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OTSUS\"/>
    </mc:Choice>
  </mc:AlternateContent>
  <bookViews>
    <workbookView xWindow="0" yWindow="0" windowWidth="20490" windowHeight="7650" firstSheet="1" activeTab="4"/>
  </bookViews>
  <sheets>
    <sheet name="A.1" sheetId="18" r:id="rId1"/>
    <sheet name="A.3  " sheetId="43" r:id="rId2"/>
    <sheet name="A.5  " sheetId="31" r:id="rId3"/>
    <sheet name="A.7  " sheetId="32" r:id="rId4"/>
    <sheet name="A.9 " sheetId="52" r:id="rId5"/>
    <sheet name="PENYERAPAN " sheetId="53" r:id="rId6"/>
    <sheet name="PAGU KABKOTA " sheetId="49" r:id="rId7"/>
    <sheet name="A2 sesuai pergub" sheetId="44" r:id="rId8"/>
    <sheet name="A.4 sesuai pergub" sheetId="35" r:id="rId9"/>
    <sheet name="A.6 sesuai pergub" sheetId="37" r:id="rId10"/>
    <sheet name="A.8 sesuai pergub" sheetId="38" r:id="rId11"/>
    <sheet name="A.10 " sheetId="56" r:id="rId12"/>
    <sheet name="%ALOKASI PEND,KESEH " sheetId="47" r:id="rId13"/>
  </sheets>
  <definedNames>
    <definedName name="_xlnm.Print_Area" localSheetId="0">A.1!$B$1:$H$61</definedName>
    <definedName name="_xlnm.Print_Area" localSheetId="1">'A.3  '!$B$1:$H$4847</definedName>
    <definedName name="_xlnm.Print_Area" localSheetId="8">'A.4 sesuai pergub'!$B$1:$S$4764</definedName>
    <definedName name="_xlnm.Print_Area" localSheetId="9">'A.6 sesuai pergub'!$A$1:$O$1039</definedName>
    <definedName name="_xlnm.Print_Area" localSheetId="3">'A.7  '!$A$1:$I$1090</definedName>
    <definedName name="_xlnm.Print_Area" localSheetId="7">'A2 sesuai pergub'!$B$1:$L$52</definedName>
    <definedName name="_xlnm.Print_Titles" localSheetId="11">'A.10 '!$A:$M,'A.10 '!$8:$9</definedName>
    <definedName name="_xlnm.Print_Titles" localSheetId="1">'A.3  '!$A:$H,'A.3  '!$8:$10</definedName>
    <definedName name="_xlnm.Print_Titles" localSheetId="8">'A.4 sesuai pergub'!$A:$N,'A.4 sesuai pergub'!$10:$12</definedName>
    <definedName name="_xlnm.Print_Titles" localSheetId="2">'A.5  '!$A:$H,'A.5  '!$10:$11</definedName>
    <definedName name="_xlnm.Print_Titles" localSheetId="9">'A.6 sesuai pergub'!$A:$N,'A.6 sesuai pergub'!$10:$11</definedName>
    <definedName name="_xlnm.Print_Titles" localSheetId="3">'A.7  '!$A:$I,'A.7  '!$11:$13</definedName>
    <definedName name="_xlnm.Print_Titles" localSheetId="10">'A.8 sesuai pergub'!$A:$N,'A.8 sesuai pergub'!$9:$11</definedName>
    <definedName name="_xlnm.Print_Titles" localSheetId="4">'A.9 '!$A:$H,'A.9 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31" l="1"/>
  <c r="E18" i="31"/>
  <c r="G18" i="31" s="1"/>
  <c r="H18" i="31"/>
  <c r="G22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9" i="31"/>
  <c r="G40" i="31"/>
  <c r="G41" i="31"/>
  <c r="G42" i="31"/>
  <c r="G43" i="31"/>
  <c r="G44" i="31"/>
  <c r="G45" i="31"/>
  <c r="G46" i="31"/>
  <c r="G47" i="31"/>
  <c r="G48" i="31"/>
  <c r="G49" i="31"/>
  <c r="G51" i="31"/>
  <c r="G52" i="31"/>
  <c r="G53" i="31"/>
  <c r="D55" i="31"/>
  <c r="E55" i="31"/>
  <c r="G55" i="31" s="1"/>
  <c r="H55" i="31"/>
  <c r="G56" i="31"/>
  <c r="G57" i="31"/>
  <c r="D59" i="31"/>
  <c r="E59" i="31"/>
  <c r="G59" i="31" s="1"/>
  <c r="H59" i="31"/>
  <c r="G61" i="31"/>
  <c r="D63" i="31"/>
  <c r="E63" i="31"/>
  <c r="H63" i="31"/>
  <c r="G64" i="31"/>
  <c r="G65" i="31"/>
  <c r="G67" i="31"/>
  <c r="G68" i="31"/>
  <c r="G69" i="31"/>
  <c r="G70" i="31"/>
  <c r="G72" i="31"/>
  <c r="D78" i="31"/>
  <c r="D77" i="31" s="1"/>
  <c r="E78" i="31"/>
  <c r="G78" i="31"/>
  <c r="H78" i="31"/>
  <c r="G79" i="31"/>
  <c r="D81" i="31"/>
  <c r="E81" i="31"/>
  <c r="G81" i="31" s="1"/>
  <c r="H81" i="31"/>
  <c r="G82" i="31"/>
  <c r="H86" i="31"/>
  <c r="D87" i="31"/>
  <c r="D86" i="31" s="1"/>
  <c r="E87" i="31"/>
  <c r="E86" i="31" s="1"/>
  <c r="D89" i="31"/>
  <c r="E89" i="31"/>
  <c r="H89" i="31"/>
  <c r="G90" i="31"/>
  <c r="G92" i="31"/>
  <c r="D98" i="31"/>
  <c r="D97" i="31" s="1"/>
  <c r="D96" i="31" s="1"/>
  <c r="E98" i="31"/>
  <c r="H98" i="31"/>
  <c r="G100" i="31"/>
  <c r="G102" i="31"/>
  <c r="G103" i="31"/>
  <c r="G104" i="31"/>
  <c r="G106" i="31"/>
  <c r="G107" i="31"/>
  <c r="G108" i="31"/>
  <c r="G110" i="31"/>
  <c r="G111" i="31"/>
  <c r="G112" i="31"/>
  <c r="D114" i="31"/>
  <c r="E114" i="31"/>
  <c r="G114" i="31"/>
  <c r="H114" i="31"/>
  <c r="G115" i="31"/>
  <c r="D117" i="31"/>
  <c r="E117" i="31"/>
  <c r="G117" i="31" s="1"/>
  <c r="H117" i="31"/>
  <c r="G118" i="31"/>
  <c r="G119" i="31"/>
  <c r="G120" i="31"/>
  <c r="G122" i="31"/>
  <c r="G123" i="31"/>
  <c r="G124" i="31"/>
  <c r="G125" i="31"/>
  <c r="G126" i="31"/>
  <c r="G128" i="31"/>
  <c r="G129" i="31"/>
  <c r="G132" i="31"/>
  <c r="G137" i="31"/>
  <c r="G138" i="31"/>
  <c r="G144" i="31"/>
  <c r="G146" i="31"/>
  <c r="G147" i="31"/>
  <c r="G148" i="31"/>
  <c r="G149" i="31"/>
  <c r="G150" i="31"/>
  <c r="G151" i="31"/>
  <c r="G152" i="31"/>
  <c r="G153" i="31"/>
  <c r="G154" i="31"/>
  <c r="D156" i="31"/>
  <c r="E156" i="31"/>
  <c r="G156" i="31" s="1"/>
  <c r="H156" i="31"/>
  <c r="G157" i="31"/>
  <c r="G158" i="31"/>
  <c r="D160" i="31"/>
  <c r="E160" i="31"/>
  <c r="G160" i="31" s="1"/>
  <c r="H160" i="31"/>
  <c r="G161" i="31"/>
  <c r="G163" i="31"/>
  <c r="G164" i="31"/>
  <c r="G165" i="31"/>
  <c r="G166" i="31"/>
  <c r="G167" i="31"/>
  <c r="D170" i="31"/>
  <c r="D169" i="31" s="1"/>
  <c r="E170" i="31"/>
  <c r="E169" i="31" s="1"/>
  <c r="G169" i="31" s="1"/>
  <c r="H170" i="31"/>
  <c r="H169" i="31" s="1"/>
  <c r="G171" i="31"/>
  <c r="G172" i="31"/>
  <c r="G173" i="31"/>
  <c r="D178" i="31"/>
  <c r="E178" i="31"/>
  <c r="H178" i="31"/>
  <c r="G179" i="31"/>
  <c r="G180" i="31"/>
  <c r="G181" i="31"/>
  <c r="G182" i="31"/>
  <c r="G183" i="31"/>
  <c r="G184" i="31"/>
  <c r="G185" i="31"/>
  <c r="D187" i="31"/>
  <c r="E187" i="31"/>
  <c r="G187" i="31" s="1"/>
  <c r="H187" i="31"/>
  <c r="G188" i="31"/>
  <c r="G189" i="31"/>
  <c r="G190" i="31"/>
  <c r="G191" i="31"/>
  <c r="G193" i="31"/>
  <c r="G194" i="31"/>
  <c r="G195" i="31"/>
  <c r="G196" i="31"/>
  <c r="G197" i="31"/>
  <c r="G198" i="31"/>
  <c r="G199" i="31"/>
  <c r="D201" i="31"/>
  <c r="E201" i="31"/>
  <c r="G201" i="31" s="1"/>
  <c r="H201" i="31"/>
  <c r="G202" i="31"/>
  <c r="G203" i="31"/>
  <c r="G204" i="31"/>
  <c r="G205" i="31"/>
  <c r="G206" i="31"/>
  <c r="D208" i="31"/>
  <c r="E208" i="31"/>
  <c r="H208" i="31"/>
  <c r="G209" i="31"/>
  <c r="G210" i="31"/>
  <c r="G211" i="31"/>
  <c r="D213" i="31"/>
  <c r="G213" i="31" s="1"/>
  <c r="E213" i="31"/>
  <c r="H213" i="31"/>
  <c r="G214" i="31"/>
  <c r="G215" i="31"/>
  <c r="G216" i="31"/>
  <c r="G217" i="31"/>
  <c r="G218" i="31"/>
  <c r="G219" i="31"/>
  <c r="G220" i="31"/>
  <c r="D222" i="31"/>
  <c r="E222" i="31"/>
  <c r="G222" i="31" s="1"/>
  <c r="G223" i="31"/>
  <c r="D225" i="31"/>
  <c r="E225" i="31"/>
  <c r="H225" i="31"/>
  <c r="G226" i="31"/>
  <c r="G227" i="31"/>
  <c r="D230" i="31"/>
  <c r="D229" i="31" s="1"/>
  <c r="E230" i="31"/>
  <c r="H230" i="31"/>
  <c r="H229" i="31" s="1"/>
  <c r="G231" i="31"/>
  <c r="D234" i="31"/>
  <c r="D233" i="31" s="1"/>
  <c r="E234" i="31"/>
  <c r="E233" i="31" s="1"/>
  <c r="H234" i="31"/>
  <c r="H233" i="31" s="1"/>
  <c r="G235" i="31"/>
  <c r="E237" i="31"/>
  <c r="D238" i="31"/>
  <c r="D237" i="31" s="1"/>
  <c r="E238" i="31"/>
  <c r="H238" i="31"/>
  <c r="H237" i="31" s="1"/>
  <c r="G239" i="31"/>
  <c r="D242" i="31"/>
  <c r="D241" i="31" s="1"/>
  <c r="E242" i="31"/>
  <c r="E241" i="31" s="1"/>
  <c r="G242" i="31"/>
  <c r="H242" i="31"/>
  <c r="H241" i="31" s="1"/>
  <c r="G243" i="31"/>
  <c r="D246" i="31"/>
  <c r="D245" i="31" s="1"/>
  <c r="E246" i="31"/>
  <c r="H246" i="31"/>
  <c r="H245" i="31" s="1"/>
  <c r="G247" i="31"/>
  <c r="D250" i="31"/>
  <c r="D249" i="31" s="1"/>
  <c r="E250" i="31"/>
  <c r="E249" i="31" s="1"/>
  <c r="H250" i="31"/>
  <c r="H249" i="31" s="1"/>
  <c r="G251" i="31"/>
  <c r="D254" i="31"/>
  <c r="D253" i="31" s="1"/>
  <c r="E254" i="31"/>
  <c r="G254" i="31" s="1"/>
  <c r="H254" i="31"/>
  <c r="H253" i="31" s="1"/>
  <c r="D257" i="31"/>
  <c r="E257" i="31"/>
  <c r="G257" i="31" s="1"/>
  <c r="H257" i="31"/>
  <c r="G258" i="31"/>
  <c r="D263" i="31"/>
  <c r="E263" i="31"/>
  <c r="G263" i="31" s="1"/>
  <c r="H263" i="31"/>
  <c r="G264" i="31"/>
  <c r="D266" i="31"/>
  <c r="E266" i="31"/>
  <c r="G266" i="31"/>
  <c r="H266" i="31"/>
  <c r="G267" i="31"/>
  <c r="G268" i="31"/>
  <c r="G269" i="31"/>
  <c r="G270" i="31"/>
  <c r="G271" i="31"/>
  <c r="G272" i="31"/>
  <c r="G273" i="31"/>
  <c r="G274" i="31"/>
  <c r="G275" i="31"/>
  <c r="G276" i="31"/>
  <c r="G277" i="31"/>
  <c r="G278" i="31"/>
  <c r="G279" i="31"/>
  <c r="G280" i="31"/>
  <c r="G281" i="31"/>
  <c r="D283" i="31"/>
  <c r="E283" i="31"/>
  <c r="H283" i="31"/>
  <c r="G284" i="31"/>
  <c r="G285" i="31"/>
  <c r="G286" i="31"/>
  <c r="G287" i="31"/>
  <c r="G288" i="31"/>
  <c r="G289" i="31"/>
  <c r="G290" i="31"/>
  <c r="G291" i="31"/>
  <c r="G292" i="31"/>
  <c r="G293" i="31"/>
  <c r="G294" i="31"/>
  <c r="G295" i="31"/>
  <c r="G296" i="31"/>
  <c r="G297" i="31"/>
  <c r="G298" i="31"/>
  <c r="G299" i="31"/>
  <c r="G300" i="31"/>
  <c r="G301" i="31"/>
  <c r="G302" i="31"/>
  <c r="G303" i="31"/>
  <c r="G305" i="31"/>
  <c r="G306" i="31"/>
  <c r="D308" i="31"/>
  <c r="E308" i="31"/>
  <c r="G308" i="31" s="1"/>
  <c r="H308" i="31"/>
  <c r="G309" i="31"/>
  <c r="G311" i="31"/>
  <c r="G312" i="31"/>
  <c r="G313" i="31"/>
  <c r="D315" i="31"/>
  <c r="E315" i="31"/>
  <c r="H315" i="31"/>
  <c r="G316" i="31"/>
  <c r="G317" i="31"/>
  <c r="G318" i="31"/>
  <c r="D320" i="31"/>
  <c r="E320" i="31"/>
  <c r="G320" i="31"/>
  <c r="H320" i="31"/>
  <c r="G322" i="31"/>
  <c r="D324" i="31"/>
  <c r="E324" i="31"/>
  <c r="G324" i="31" s="1"/>
  <c r="H324" i="31"/>
  <c r="G326" i="31"/>
  <c r="G327" i="31"/>
  <c r="G328" i="31"/>
  <c r="G329" i="31"/>
  <c r="D331" i="31"/>
  <c r="E331" i="31"/>
  <c r="H331" i="31"/>
  <c r="G332" i="31"/>
  <c r="D334" i="31"/>
  <c r="E334" i="31"/>
  <c r="G334" i="31"/>
  <c r="H334" i="31"/>
  <c r="G335" i="31"/>
  <c r="D338" i="31"/>
  <c r="D337" i="31" s="1"/>
  <c r="E338" i="31"/>
  <c r="E337" i="31" s="1"/>
  <c r="H338" i="31"/>
  <c r="H337" i="31" s="1"/>
  <c r="G339" i="31"/>
  <c r="D342" i="31"/>
  <c r="D341" i="31" s="1"/>
  <c r="E342" i="31"/>
  <c r="E341" i="31" s="1"/>
  <c r="H342" i="31"/>
  <c r="H341" i="31" s="1"/>
  <c r="G343" i="31"/>
  <c r="G344" i="31"/>
  <c r="G345" i="31"/>
  <c r="D348" i="31"/>
  <c r="E348" i="31"/>
  <c r="H348" i="31"/>
  <c r="G349" i="31"/>
  <c r="D351" i="31"/>
  <c r="E351" i="31"/>
  <c r="G351" i="31" s="1"/>
  <c r="H351" i="31"/>
  <c r="H347" i="31" s="1"/>
  <c r="G352" i="31"/>
  <c r="D357" i="31"/>
  <c r="E357" i="31"/>
  <c r="G357" i="31" s="1"/>
  <c r="H357" i="31"/>
  <c r="G358" i="31"/>
  <c r="G359" i="31"/>
  <c r="G360" i="31"/>
  <c r="G361" i="31"/>
  <c r="G363" i="31"/>
  <c r="G364" i="31"/>
  <c r="D366" i="31"/>
  <c r="E366" i="31"/>
  <c r="G366" i="31" s="1"/>
  <c r="H366" i="31"/>
  <c r="G367" i="31"/>
  <c r="G368" i="31"/>
  <c r="G369" i="31"/>
  <c r="G370" i="31"/>
  <c r="G371" i="31"/>
  <c r="G372" i="31"/>
  <c r="G373" i="31"/>
  <c r="G374" i="31"/>
  <c r="G375" i="31"/>
  <c r="G376" i="31"/>
  <c r="G377" i="31"/>
  <c r="G378" i="31"/>
  <c r="G379" i="31"/>
  <c r="G380" i="31"/>
  <c r="G381" i="31"/>
  <c r="G382" i="31"/>
  <c r="G383" i="31"/>
  <c r="D385" i="31"/>
  <c r="E385" i="31"/>
  <c r="H385" i="31"/>
  <c r="G386" i="31"/>
  <c r="G387" i="31"/>
  <c r="G388" i="31"/>
  <c r="G389" i="31"/>
  <c r="D391" i="31"/>
  <c r="E391" i="31"/>
  <c r="G391" i="31" s="1"/>
  <c r="H391" i="31"/>
  <c r="G392" i="31"/>
  <c r="G393" i="31"/>
  <c r="G394" i="31"/>
  <c r="D396" i="31"/>
  <c r="E396" i="31"/>
  <c r="G396" i="31"/>
  <c r="H396" i="31"/>
  <c r="G397" i="31"/>
  <c r="G398" i="31"/>
  <c r="D400" i="31"/>
  <c r="E400" i="31"/>
  <c r="G400" i="31" s="1"/>
  <c r="H400" i="31"/>
  <c r="G401" i="31"/>
  <c r="D403" i="31"/>
  <c r="E403" i="31"/>
  <c r="G404" i="31"/>
  <c r="D406" i="31"/>
  <c r="E406" i="31"/>
  <c r="G406" i="31" s="1"/>
  <c r="G407" i="31"/>
  <c r="D410" i="31"/>
  <c r="D409" i="31" s="1"/>
  <c r="E410" i="31"/>
  <c r="G410" i="31" s="1"/>
  <c r="H410" i="31"/>
  <c r="H409" i="31" s="1"/>
  <c r="G411" i="31"/>
  <c r="D414" i="31"/>
  <c r="E414" i="31"/>
  <c r="E413" i="31" s="1"/>
  <c r="H414" i="31"/>
  <c r="G415" i="31"/>
  <c r="D417" i="31"/>
  <c r="E417" i="31"/>
  <c r="H417" i="31"/>
  <c r="G418" i="31"/>
  <c r="D420" i="31"/>
  <c r="E420" i="31"/>
  <c r="G420" i="31" s="1"/>
  <c r="H420" i="31"/>
  <c r="G421" i="31"/>
  <c r="D428" i="31"/>
  <c r="D427" i="31" s="1"/>
  <c r="E428" i="31"/>
  <c r="G428" i="31" s="1"/>
  <c r="G427" i="31" s="1"/>
  <c r="H428" i="31"/>
  <c r="H427" i="31" s="1"/>
  <c r="G429" i="31"/>
  <c r="G430" i="31"/>
  <c r="E433" i="31"/>
  <c r="D434" i="31"/>
  <c r="D433" i="31" s="1"/>
  <c r="E434" i="31"/>
  <c r="H434" i="31"/>
  <c r="H433" i="31" s="1"/>
  <c r="D438" i="31"/>
  <c r="D437" i="31" s="1"/>
  <c r="E438" i="31"/>
  <c r="H438" i="31"/>
  <c r="H437" i="31" s="1"/>
  <c r="G439" i="31"/>
  <c r="D442" i="31"/>
  <c r="D441" i="31" s="1"/>
  <c r="E442" i="31"/>
  <c r="E441" i="31" s="1"/>
  <c r="H442" i="31"/>
  <c r="H441" i="31" s="1"/>
  <c r="G443" i="31"/>
  <c r="G444" i="31"/>
  <c r="D447" i="31"/>
  <c r="D446" i="31" s="1"/>
  <c r="E447" i="31"/>
  <c r="E446" i="31" s="1"/>
  <c r="G447" i="31"/>
  <c r="H447" i="31"/>
  <c r="H446" i="31" s="1"/>
  <c r="G448" i="31"/>
  <c r="D450" i="31"/>
  <c r="E450" i="31"/>
  <c r="G450" i="31" s="1"/>
  <c r="H450" i="31"/>
  <c r="G451" i="31"/>
  <c r="D455" i="31"/>
  <c r="E455" i="31"/>
  <c r="G455" i="31" s="1"/>
  <c r="H455" i="31"/>
  <c r="G456" i="31"/>
  <c r="G457" i="31"/>
  <c r="G458" i="31"/>
  <c r="D460" i="31"/>
  <c r="E460" i="31"/>
  <c r="G460" i="31" s="1"/>
  <c r="H460" i="31"/>
  <c r="G461" i="31"/>
  <c r="G462" i="31"/>
  <c r="G463" i="31"/>
  <c r="G464" i="31"/>
  <c r="G465" i="31"/>
  <c r="G466" i="31"/>
  <c r="G467" i="31"/>
  <c r="G469" i="31"/>
  <c r="G470" i="31"/>
  <c r="G471" i="31"/>
  <c r="G472" i="31"/>
  <c r="G473" i="31"/>
  <c r="D475" i="31"/>
  <c r="E475" i="31"/>
  <c r="G475" i="31" s="1"/>
  <c r="H475" i="31"/>
  <c r="G476" i="31"/>
  <c r="G477" i="31"/>
  <c r="G478" i="31"/>
  <c r="D480" i="31"/>
  <c r="E480" i="31"/>
  <c r="H480" i="31"/>
  <c r="G481" i="31"/>
  <c r="G482" i="31"/>
  <c r="D484" i="31"/>
  <c r="E484" i="31"/>
  <c r="G484" i="31" s="1"/>
  <c r="H484" i="31"/>
  <c r="G485" i="31"/>
  <c r="G486" i="31"/>
  <c r="G487" i="31"/>
  <c r="G488" i="31"/>
  <c r="G489" i="31"/>
  <c r="G490" i="31"/>
  <c r="G491" i="31"/>
  <c r="G492" i="31"/>
  <c r="G493" i="31"/>
  <c r="G494" i="31"/>
  <c r="G495" i="31"/>
  <c r="D497" i="31"/>
  <c r="E497" i="31"/>
  <c r="G497" i="31" s="1"/>
  <c r="H497" i="31"/>
  <c r="G498" i="31"/>
  <c r="D500" i="31"/>
  <c r="E500" i="31"/>
  <c r="H500" i="31"/>
  <c r="G502" i="31"/>
  <c r="D506" i="31"/>
  <c r="E506" i="31"/>
  <c r="H506" i="31"/>
  <c r="G507" i="31"/>
  <c r="D509" i="31"/>
  <c r="H509" i="31"/>
  <c r="G514" i="31"/>
  <c r="G515" i="31"/>
  <c r="G516" i="31"/>
  <c r="G517" i="31"/>
  <c r="G518" i="31"/>
  <c r="G519" i="31"/>
  <c r="E520" i="31"/>
  <c r="G521" i="31"/>
  <c r="G525" i="31"/>
  <c r="G526" i="31"/>
  <c r="G527" i="31"/>
  <c r="G528" i="31"/>
  <c r="G529" i="31"/>
  <c r="G530" i="31"/>
  <c r="G531" i="31"/>
  <c r="G532" i="31"/>
  <c r="G533" i="31"/>
  <c r="G534" i="31"/>
  <c r="G535" i="31"/>
  <c r="G536" i="31"/>
  <c r="G537" i="31"/>
  <c r="D539" i="31"/>
  <c r="E539" i="31"/>
  <c r="G539" i="31" s="1"/>
  <c r="H539" i="31"/>
  <c r="G540" i="31"/>
  <c r="G541" i="31"/>
  <c r="G542" i="31"/>
  <c r="G543" i="31"/>
  <c r="D545" i="31"/>
  <c r="E545" i="31"/>
  <c r="G545" i="31" s="1"/>
  <c r="H545" i="31"/>
  <c r="G546" i="31"/>
  <c r="G548" i="31"/>
  <c r="G549" i="31"/>
  <c r="G550" i="31"/>
  <c r="G551" i="31"/>
  <c r="G552" i="31"/>
  <c r="G554" i="31"/>
  <c r="G555" i="31"/>
  <c r="G556" i="31"/>
  <c r="D558" i="31"/>
  <c r="E558" i="31"/>
  <c r="H558" i="31"/>
  <c r="G559" i="31"/>
  <c r="G560" i="31"/>
  <c r="G561" i="31"/>
  <c r="G562" i="31"/>
  <c r="G563" i="31"/>
  <c r="G564" i="31"/>
  <c r="G565" i="31"/>
  <c r="G566" i="31"/>
  <c r="D568" i="31"/>
  <c r="E568" i="31"/>
  <c r="G568" i="31" s="1"/>
  <c r="H568" i="31"/>
  <c r="G569" i="31"/>
  <c r="G570" i="31"/>
  <c r="D572" i="31"/>
  <c r="E572" i="31"/>
  <c r="H572" i="31"/>
  <c r="G573" i="31"/>
  <c r="G574" i="31"/>
  <c r="G575" i="31"/>
  <c r="G577" i="31"/>
  <c r="G578" i="31"/>
  <c r="G580" i="31"/>
  <c r="G581" i="31"/>
  <c r="G582" i="31"/>
  <c r="G583" i="31"/>
  <c r="D586" i="31"/>
  <c r="G586" i="31" s="1"/>
  <c r="E586" i="31"/>
  <c r="H586" i="31"/>
  <c r="G587" i="31"/>
  <c r="G588" i="31"/>
  <c r="G589" i="31"/>
  <c r="G591" i="31"/>
  <c r="G592" i="31"/>
  <c r="G593" i="31"/>
  <c r="G594" i="31"/>
  <c r="D596" i="31"/>
  <c r="E596" i="31"/>
  <c r="G596" i="31" s="1"/>
  <c r="H596" i="31"/>
  <c r="G597" i="31"/>
  <c r="D599" i="31"/>
  <c r="E599" i="31"/>
  <c r="G599" i="31" s="1"/>
  <c r="H599" i="31"/>
  <c r="G600" i="31"/>
  <c r="G601" i="31"/>
  <c r="G602" i="31"/>
  <c r="G603" i="31"/>
  <c r="G604" i="31"/>
  <c r="G605" i="31"/>
  <c r="G608" i="31"/>
  <c r="G609" i="31"/>
  <c r="G610" i="31"/>
  <c r="E612" i="31"/>
  <c r="D613" i="31"/>
  <c r="D612" i="31" s="1"/>
  <c r="E613" i="31"/>
  <c r="G613" i="31" s="1"/>
  <c r="G612" i="31" s="1"/>
  <c r="H613" i="31"/>
  <c r="H612" i="31" s="1"/>
  <c r="G615" i="31"/>
  <c r="G616" i="31"/>
  <c r="G617" i="31"/>
  <c r="G618" i="31"/>
  <c r="G619" i="31"/>
  <c r="G620" i="31"/>
  <c r="D626" i="31"/>
  <c r="G626" i="31" s="1"/>
  <c r="H626" i="31"/>
  <c r="G627" i="31"/>
  <c r="D629" i="31"/>
  <c r="E629" i="31"/>
  <c r="G629" i="31" s="1"/>
  <c r="H629" i="31"/>
  <c r="G630" i="31"/>
  <c r="G631" i="31"/>
  <c r="D633" i="31"/>
  <c r="E633" i="31"/>
  <c r="G633" i="31" s="1"/>
  <c r="H633" i="31"/>
  <c r="G634" i="31"/>
  <c r="G635" i="31"/>
  <c r="G636" i="31"/>
  <c r="D638" i="31"/>
  <c r="E638" i="31"/>
  <c r="H638" i="31"/>
  <c r="G639" i="31"/>
  <c r="G640" i="31"/>
  <c r="G641" i="31"/>
  <c r="G642" i="31"/>
  <c r="G643" i="31"/>
  <c r="G644" i="31"/>
  <c r="G645" i="31"/>
  <c r="G646" i="31"/>
  <c r="G647" i="31"/>
  <c r="G648" i="31"/>
  <c r="G649" i="31"/>
  <c r="G650" i="31"/>
  <c r="D652" i="31"/>
  <c r="E652" i="31"/>
  <c r="G652" i="31" s="1"/>
  <c r="G653" i="31"/>
  <c r="D655" i="31"/>
  <c r="E655" i="31"/>
  <c r="H655" i="31"/>
  <c r="G656" i="31"/>
  <c r="G657" i="31"/>
  <c r="G658" i="31"/>
  <c r="G659" i="31"/>
  <c r="G661" i="31"/>
  <c r="G662" i="31"/>
  <c r="D664" i="31"/>
  <c r="E664" i="31"/>
  <c r="G664" i="31" s="1"/>
  <c r="H664" i="31"/>
  <c r="G665" i="31"/>
  <c r="D668" i="31"/>
  <c r="D667" i="31" s="1"/>
  <c r="E668" i="31"/>
  <c r="E667" i="31" s="1"/>
  <c r="G667" i="31" s="1"/>
  <c r="H668" i="31"/>
  <c r="H667" i="31" s="1"/>
  <c r="G669" i="31"/>
  <c r="G671" i="31"/>
  <c r="D674" i="31"/>
  <c r="D673" i="31" s="1"/>
  <c r="E674" i="31"/>
  <c r="E673" i="31" s="1"/>
  <c r="G673" i="31" s="1"/>
  <c r="H674" i="31"/>
  <c r="H673" i="31" s="1"/>
  <c r="G675" i="31"/>
  <c r="H677" i="31"/>
  <c r="D678" i="31"/>
  <c r="D677" i="31" s="1"/>
  <c r="E678" i="31"/>
  <c r="E677" i="31" s="1"/>
  <c r="G677" i="31" s="1"/>
  <c r="G679" i="31"/>
  <c r="D682" i="31"/>
  <c r="D681" i="31" s="1"/>
  <c r="E682" i="31"/>
  <c r="E681" i="31" s="1"/>
  <c r="H682" i="31"/>
  <c r="H681" i="31" s="1"/>
  <c r="G683" i="31"/>
  <c r="D686" i="31"/>
  <c r="D685" i="31" s="1"/>
  <c r="E686" i="31"/>
  <c r="E685" i="31" s="1"/>
  <c r="G686" i="31"/>
  <c r="G687" i="31"/>
  <c r="D690" i="31"/>
  <c r="D689" i="31" s="1"/>
  <c r="E690" i="31"/>
  <c r="E689" i="31" s="1"/>
  <c r="G690" i="31"/>
  <c r="H690" i="31"/>
  <c r="H689" i="31" s="1"/>
  <c r="G691" i="31"/>
  <c r="G692" i="31"/>
  <c r="D697" i="31"/>
  <c r="E697" i="31"/>
  <c r="H697" i="31"/>
  <c r="G698" i="31"/>
  <c r="G699" i="31"/>
  <c r="G700" i="31"/>
  <c r="G701" i="31"/>
  <c r="D703" i="31"/>
  <c r="E703" i="31"/>
  <c r="G703" i="31" s="1"/>
  <c r="H703" i="31"/>
  <c r="G704" i="31"/>
  <c r="G705" i="31"/>
  <c r="G706" i="31"/>
  <c r="G707" i="31"/>
  <c r="G708" i="31"/>
  <c r="G709" i="31"/>
  <c r="G710" i="31"/>
  <c r="G711" i="31"/>
  <c r="G712" i="31"/>
  <c r="G713" i="31"/>
  <c r="G714" i="31"/>
  <c r="G715" i="31"/>
  <c r="G716" i="31"/>
  <c r="G717" i="31"/>
  <c r="G718" i="31"/>
  <c r="G719" i="31"/>
  <c r="G720" i="31"/>
  <c r="G721" i="31"/>
  <c r="G722" i="31"/>
  <c r="G723" i="31"/>
  <c r="G724" i="31"/>
  <c r="G725" i="31"/>
  <c r="G726" i="31"/>
  <c r="G727" i="31"/>
  <c r="G728" i="31"/>
  <c r="G729" i="31"/>
  <c r="G730" i="31"/>
  <c r="G731" i="31"/>
  <c r="G732" i="31"/>
  <c r="G733" i="31"/>
  <c r="G734" i="31"/>
  <c r="G735" i="31"/>
  <c r="G736" i="31"/>
  <c r="G737" i="31"/>
  <c r="G738" i="31"/>
  <c r="G739" i="31"/>
  <c r="G740" i="31"/>
  <c r="G741" i="31"/>
  <c r="D743" i="31"/>
  <c r="E743" i="31"/>
  <c r="H743" i="31"/>
  <c r="G744" i="31"/>
  <c r="G745" i="31"/>
  <c r="G746" i="31"/>
  <c r="G747" i="31"/>
  <c r="D749" i="31"/>
  <c r="E749" i="31"/>
  <c r="G749" i="31" s="1"/>
  <c r="H749" i="31"/>
  <c r="G750" i="31"/>
  <c r="G751" i="31"/>
  <c r="G752" i="31"/>
  <c r="G753" i="31"/>
  <c r="G754" i="31"/>
  <c r="G755" i="31"/>
  <c r="G756" i="31"/>
  <c r="G757" i="31"/>
  <c r="G758" i="31"/>
  <c r="G759" i="31"/>
  <c r="G760" i="31"/>
  <c r="G761" i="31"/>
  <c r="G762" i="31"/>
  <c r="G763" i="31"/>
  <c r="G764" i="31"/>
  <c r="G765" i="31"/>
  <c r="D767" i="31"/>
  <c r="E767" i="31"/>
  <c r="H767" i="31"/>
  <c r="G768" i="31"/>
  <c r="G769" i="31"/>
  <c r="G770" i="31"/>
  <c r="D772" i="31"/>
  <c r="G772" i="31" s="1"/>
  <c r="E772" i="31"/>
  <c r="H772" i="31"/>
  <c r="G773" i="31"/>
  <c r="G774" i="31"/>
  <c r="G775" i="31"/>
  <c r="G776" i="31"/>
  <c r="G777" i="31"/>
  <c r="G778" i="31"/>
  <c r="G779" i="31"/>
  <c r="G781" i="31"/>
  <c r="G782" i="31"/>
  <c r="G783" i="31"/>
  <c r="D785" i="31"/>
  <c r="E785" i="31"/>
  <c r="G785" i="31"/>
  <c r="H785" i="31"/>
  <c r="G786" i="31"/>
  <c r="G787" i="31"/>
  <c r="G788" i="31"/>
  <c r="G789" i="31"/>
  <c r="G790" i="31"/>
  <c r="G791" i="31"/>
  <c r="D794" i="31"/>
  <c r="D793" i="31" s="1"/>
  <c r="E794" i="31"/>
  <c r="E793" i="31" s="1"/>
  <c r="H794" i="31"/>
  <c r="H793" i="31" s="1"/>
  <c r="G795" i="31"/>
  <c r="G796" i="31"/>
  <c r="D801" i="31"/>
  <c r="E801" i="31"/>
  <c r="D804" i="31"/>
  <c r="E804" i="31"/>
  <c r="H804" i="31"/>
  <c r="H800" i="31" s="1"/>
  <c r="G805" i="31"/>
  <c r="D807" i="31"/>
  <c r="G807" i="31" s="1"/>
  <c r="E807" i="31"/>
  <c r="H807" i="31"/>
  <c r="G809" i="31"/>
  <c r="G810" i="31"/>
  <c r="G812" i="31"/>
  <c r="G813" i="31"/>
  <c r="D815" i="31"/>
  <c r="G815" i="31" s="1"/>
  <c r="E815" i="31"/>
  <c r="H815" i="31"/>
  <c r="G816" i="31"/>
  <c r="G817" i="31"/>
  <c r="D819" i="31"/>
  <c r="E819" i="31"/>
  <c r="G819" i="31"/>
  <c r="H819" i="31"/>
  <c r="G820" i="31"/>
  <c r="G821" i="31"/>
  <c r="G822" i="31"/>
  <c r="D824" i="31"/>
  <c r="E824" i="31"/>
  <c r="G824" i="31" s="1"/>
  <c r="H824" i="31"/>
  <c r="G825" i="31"/>
  <c r="G826" i="31"/>
  <c r="G827" i="31"/>
  <c r="D830" i="31"/>
  <c r="D829" i="31" s="1"/>
  <c r="E830" i="31"/>
  <c r="E829" i="31" s="1"/>
  <c r="G829" i="31" s="1"/>
  <c r="H830" i="31"/>
  <c r="H829" i="31" s="1"/>
  <c r="G831" i="31"/>
  <c r="E833" i="31"/>
  <c r="G833" i="31" s="1"/>
  <c r="D834" i="31"/>
  <c r="D833" i="31" s="1"/>
  <c r="E834" i="31"/>
  <c r="G834" i="31" s="1"/>
  <c r="H834" i="31"/>
  <c r="H833" i="31" s="1"/>
  <c r="G835" i="31"/>
  <c r="D838" i="31"/>
  <c r="E838" i="31"/>
  <c r="G838" i="31" s="1"/>
  <c r="G839" i="31"/>
  <c r="G840" i="31"/>
  <c r="D842" i="31"/>
  <c r="E842" i="31"/>
  <c r="H842" i="31"/>
  <c r="H837" i="31" s="1"/>
  <c r="G843" i="31"/>
  <c r="D846" i="31"/>
  <c r="D845" i="31" s="1"/>
  <c r="E846" i="31"/>
  <c r="E845" i="31" s="1"/>
  <c r="G846" i="31"/>
  <c r="H846" i="31"/>
  <c r="H845" i="31" s="1"/>
  <c r="G847" i="31"/>
  <c r="G848" i="31"/>
  <c r="D851" i="31"/>
  <c r="D850" i="31" s="1"/>
  <c r="E851" i="31"/>
  <c r="E850" i="31" s="1"/>
  <c r="G852" i="31"/>
  <c r="D857" i="31"/>
  <c r="E857" i="31"/>
  <c r="H857" i="31"/>
  <c r="G861" i="31"/>
  <c r="G862" i="31"/>
  <c r="G863" i="31"/>
  <c r="G864" i="31"/>
  <c r="D866" i="31"/>
  <c r="G866" i="31" s="1"/>
  <c r="E866" i="31"/>
  <c r="H866" i="31"/>
  <c r="G867" i="31"/>
  <c r="G868" i="31"/>
  <c r="G869" i="31"/>
  <c r="G870" i="31"/>
  <c r="G871" i="31"/>
  <c r="G872" i="31"/>
  <c r="G873" i="31"/>
  <c r="G874" i="31"/>
  <c r="G875" i="31"/>
  <c r="G876" i="31"/>
  <c r="G877" i="31"/>
  <c r="G878" i="31"/>
  <c r="G880" i="31"/>
  <c r="G881" i="31"/>
  <c r="G882" i="31"/>
  <c r="G883" i="31"/>
  <c r="G884" i="31"/>
  <c r="G885" i="31"/>
  <c r="G886" i="31"/>
  <c r="G887" i="31"/>
  <c r="G888" i="31"/>
  <c r="G889" i="31"/>
  <c r="G890" i="31"/>
  <c r="D898" i="31"/>
  <c r="E898" i="31"/>
  <c r="H898" i="31"/>
  <c r="G899" i="31"/>
  <c r="G900" i="31"/>
  <c r="G901" i="31"/>
  <c r="G902" i="31"/>
  <c r="G903" i="31"/>
  <c r="G904" i="31"/>
  <c r="D906" i="31"/>
  <c r="E906" i="31"/>
  <c r="G906" i="31" s="1"/>
  <c r="H906" i="31"/>
  <c r="G907" i="31"/>
  <c r="G908" i="31"/>
  <c r="D910" i="31"/>
  <c r="E910" i="31"/>
  <c r="H910" i="31"/>
  <c r="G911" i="31"/>
  <c r="G912" i="31"/>
  <c r="D914" i="31"/>
  <c r="E914" i="31"/>
  <c r="G914" i="31" s="1"/>
  <c r="H914" i="31"/>
  <c r="G915" i="31"/>
  <c r="D917" i="31"/>
  <c r="E917" i="31"/>
  <c r="G917" i="31" s="1"/>
  <c r="H917" i="31"/>
  <c r="G918" i="31"/>
  <c r="G919" i="31"/>
  <c r="G920" i="31"/>
  <c r="D922" i="31"/>
  <c r="E922" i="31"/>
  <c r="G923" i="31"/>
  <c r="D926" i="31"/>
  <c r="D925" i="31" s="1"/>
  <c r="E926" i="31"/>
  <c r="G926" i="31" s="1"/>
  <c r="H926" i="31"/>
  <c r="H925" i="31" s="1"/>
  <c r="G927" i="31"/>
  <c r="D930" i="31"/>
  <c r="E930" i="31"/>
  <c r="G930" i="31" s="1"/>
  <c r="H930" i="31"/>
  <c r="H929" i="31" s="1"/>
  <c r="D934" i="31"/>
  <c r="E934" i="31"/>
  <c r="G934" i="31" s="1"/>
  <c r="H934" i="31"/>
  <c r="D939" i="31"/>
  <c r="E939" i="31"/>
  <c r="G939" i="31" s="1"/>
  <c r="G940" i="31"/>
  <c r="H940" i="31"/>
  <c r="H939" i="31" s="1"/>
  <c r="G941" i="31"/>
  <c r="G942" i="31"/>
  <c r="D945" i="31"/>
  <c r="D944" i="31" s="1"/>
  <c r="E945" i="31"/>
  <c r="E944" i="31" s="1"/>
  <c r="H945" i="31"/>
  <c r="H944" i="31" s="1"/>
  <c r="G946" i="31"/>
  <c r="D948" i="31"/>
  <c r="E948" i="31"/>
  <c r="G948" i="31" s="1"/>
  <c r="H948" i="31"/>
  <c r="G949" i="31"/>
  <c r="D952" i="31"/>
  <c r="D951" i="31" s="1"/>
  <c r="D957" i="31"/>
  <c r="E957" i="31"/>
  <c r="G957" i="31" s="1"/>
  <c r="H957" i="31"/>
  <c r="G958" i="31"/>
  <c r="G959" i="31"/>
  <c r="D961" i="31"/>
  <c r="E961" i="31"/>
  <c r="H961" i="31"/>
  <c r="G962" i="31"/>
  <c r="G963" i="31"/>
  <c r="G964" i="31"/>
  <c r="G965" i="31"/>
  <c r="G966" i="31"/>
  <c r="D968" i="31"/>
  <c r="G968" i="31" s="1"/>
  <c r="E968" i="31"/>
  <c r="H968" i="31"/>
  <c r="G969" i="31"/>
  <c r="G970" i="31"/>
  <c r="G971" i="31"/>
  <c r="G972" i="31"/>
  <c r="G974" i="31"/>
  <c r="G975" i="31"/>
  <c r="G976" i="31"/>
  <c r="G977" i="31"/>
  <c r="G978" i="31"/>
  <c r="G979" i="31"/>
  <c r="G980" i="31"/>
  <c r="G981" i="31"/>
  <c r="G982" i="31"/>
  <c r="G983" i="31"/>
  <c r="G984" i="31"/>
  <c r="D986" i="31"/>
  <c r="E986" i="31"/>
  <c r="G987" i="31"/>
  <c r="D989" i="31"/>
  <c r="E989" i="31"/>
  <c r="G989" i="31" s="1"/>
  <c r="H989" i="31"/>
  <c r="G992" i="31"/>
  <c r="G993" i="31"/>
  <c r="G997" i="31"/>
  <c r="G998" i="31"/>
  <c r="G1000" i="31"/>
  <c r="G1002" i="31"/>
  <c r="G1003" i="31"/>
  <c r="G1004" i="31"/>
  <c r="G1005" i="31"/>
  <c r="D1007" i="31"/>
  <c r="E1007" i="31"/>
  <c r="G1007" i="31" s="1"/>
  <c r="H1007" i="31"/>
  <c r="G1008" i="31"/>
  <c r="D1010" i="31"/>
  <c r="E1010" i="31"/>
  <c r="H1010" i="31"/>
  <c r="G1011" i="31"/>
  <c r="G1012" i="31"/>
  <c r="G1013" i="31"/>
  <c r="G1014" i="31"/>
  <c r="G1015" i="31"/>
  <c r="G1016" i="31"/>
  <c r="G1018" i="31"/>
  <c r="G1019" i="31"/>
  <c r="G1020" i="31"/>
  <c r="G1021" i="31"/>
  <c r="D1023" i="31"/>
  <c r="E1023" i="31"/>
  <c r="G1023" i="31" s="1"/>
  <c r="H1023" i="31"/>
  <c r="G1024" i="31"/>
  <c r="D1026" i="31"/>
  <c r="E1026" i="31"/>
  <c r="H1026" i="31"/>
  <c r="G1027" i="31"/>
  <c r="G1028" i="31"/>
  <c r="G1029" i="31"/>
  <c r="G1030" i="31"/>
  <c r="G1031" i="31"/>
  <c r="G1033" i="31"/>
  <c r="G1035" i="31"/>
  <c r="G1036" i="31"/>
  <c r="D1042" i="31"/>
  <c r="D1041" i="31" s="1"/>
  <c r="E1042" i="31"/>
  <c r="E1041" i="31" s="1"/>
  <c r="G1042" i="31"/>
  <c r="H1042" i="31"/>
  <c r="H1041" i="31" s="1"/>
  <c r="D1050" i="31"/>
  <c r="D1049" i="31" s="1"/>
  <c r="E1050" i="31"/>
  <c r="E1049" i="31" s="1"/>
  <c r="G1050" i="31"/>
  <c r="H1050" i="31"/>
  <c r="H1049" i="31" s="1"/>
  <c r="G1051" i="31"/>
  <c r="D1056" i="31"/>
  <c r="E1056" i="31"/>
  <c r="H1056" i="31"/>
  <c r="G1057" i="31"/>
  <c r="D1059" i="31"/>
  <c r="E1059" i="31"/>
  <c r="G1059" i="31" s="1"/>
  <c r="H1059" i="31"/>
  <c r="G1060" i="31"/>
  <c r="G1061" i="31"/>
  <c r="G1062" i="31"/>
  <c r="D1064" i="31"/>
  <c r="E1064" i="31"/>
  <c r="H1064" i="31"/>
  <c r="G1065" i="31"/>
  <c r="G1066" i="31"/>
  <c r="G1067" i="31"/>
  <c r="G1068" i="31"/>
  <c r="G1069" i="31"/>
  <c r="G1071" i="31"/>
  <c r="G1073" i="31"/>
  <c r="G1074" i="31"/>
  <c r="G1075" i="31"/>
  <c r="G1076" i="31"/>
  <c r="G1077" i="31"/>
  <c r="G1078" i="31"/>
  <c r="G1079" i="31"/>
  <c r="G1080" i="31"/>
  <c r="G1081" i="31"/>
  <c r="G1082" i="31"/>
  <c r="G1083" i="31"/>
  <c r="D1085" i="31"/>
  <c r="E1085" i="31"/>
  <c r="G1085" i="31" s="1"/>
  <c r="H1085" i="31"/>
  <c r="G1086" i="31"/>
  <c r="D1089" i="31"/>
  <c r="D1088" i="31" s="1"/>
  <c r="E1089" i="31"/>
  <c r="E1088" i="31" s="1"/>
  <c r="H1089" i="31"/>
  <c r="H1088" i="31" s="1"/>
  <c r="G1090" i="31"/>
  <c r="D1094" i="31"/>
  <c r="D1093" i="31" s="1"/>
  <c r="E1094" i="31"/>
  <c r="H1094" i="31"/>
  <c r="H1093" i="31" s="1"/>
  <c r="G1095" i="31"/>
  <c r="G1096" i="31"/>
  <c r="D1110" i="31"/>
  <c r="E1110" i="31"/>
  <c r="H1110" i="31"/>
  <c r="G1111" i="31"/>
  <c r="G1112" i="31"/>
  <c r="G1114" i="31"/>
  <c r="G1115" i="31"/>
  <c r="G1116" i="31"/>
  <c r="G1117" i="31"/>
  <c r="G1118" i="31"/>
  <c r="G1120" i="31"/>
  <c r="G1121" i="31"/>
  <c r="D1123" i="31"/>
  <c r="E1123" i="31"/>
  <c r="G1123" i="31" s="1"/>
  <c r="H1123" i="31"/>
  <c r="G1124" i="31"/>
  <c r="G1125" i="31"/>
  <c r="G1128" i="31"/>
  <c r="D1130" i="31"/>
  <c r="E1130" i="31"/>
  <c r="G1130" i="31" s="1"/>
  <c r="H1130" i="31"/>
  <c r="G1131" i="31"/>
  <c r="G1132" i="31"/>
  <c r="D1134" i="31"/>
  <c r="E1134" i="31"/>
  <c r="G1134" i="31" s="1"/>
  <c r="H1134" i="31"/>
  <c r="G1136" i="31"/>
  <c r="D1138" i="31"/>
  <c r="E1138" i="31"/>
  <c r="H1138" i="31"/>
  <c r="G1140" i="31"/>
  <c r="E1142" i="31"/>
  <c r="H1142" i="31"/>
  <c r="G1143" i="31"/>
  <c r="G1144" i="31"/>
  <c r="D1145" i="31"/>
  <c r="G1145" i="31" s="1"/>
  <c r="D1147" i="31"/>
  <c r="E1147" i="31"/>
  <c r="H1147" i="31"/>
  <c r="G1148" i="31"/>
  <c r="G1149" i="31"/>
  <c r="G1150" i="31"/>
  <c r="G1151" i="31"/>
  <c r="G1152" i="31"/>
  <c r="G1153" i="31"/>
  <c r="G1154" i="31"/>
  <c r="G1155" i="31"/>
  <c r="G1156" i="31"/>
  <c r="G1157" i="31"/>
  <c r="G1158" i="31"/>
  <c r="G1159" i="31"/>
  <c r="G1160" i="31"/>
  <c r="D1163" i="31"/>
  <c r="D1162" i="31" s="1"/>
  <c r="E1163" i="31"/>
  <c r="G1163" i="31" s="1"/>
  <c r="H1163" i="31"/>
  <c r="H1162" i="31" s="1"/>
  <c r="G1164" i="31"/>
  <c r="D1167" i="31"/>
  <c r="E1167" i="31"/>
  <c r="E1166" i="31" s="1"/>
  <c r="H1167" i="31"/>
  <c r="G1168" i="31"/>
  <c r="D1170" i="31"/>
  <c r="E1170" i="31"/>
  <c r="H1170" i="31"/>
  <c r="G1171" i="31"/>
  <c r="G1172" i="31"/>
  <c r="G1173" i="31"/>
  <c r="G1174" i="31"/>
  <c r="G1175" i="31"/>
  <c r="D1178" i="31"/>
  <c r="D1177" i="31" s="1"/>
  <c r="E1178" i="31"/>
  <c r="E1177" i="31" s="1"/>
  <c r="H1178" i="31"/>
  <c r="H1177" i="31" s="1"/>
  <c r="G1179" i="31"/>
  <c r="D1182" i="31"/>
  <c r="E1182" i="31"/>
  <c r="H1182" i="31"/>
  <c r="H1181" i="31" s="1"/>
  <c r="G1183" i="31"/>
  <c r="D1186" i="31"/>
  <c r="E1186" i="31"/>
  <c r="G1186" i="31"/>
  <c r="H1186" i="31"/>
  <c r="G1187" i="31"/>
  <c r="D1189" i="31"/>
  <c r="E1189" i="31"/>
  <c r="G1189" i="31" s="1"/>
  <c r="H1189" i="31"/>
  <c r="G1190" i="31"/>
  <c r="D1192" i="31"/>
  <c r="E1192" i="31"/>
  <c r="G1192" i="31" s="1"/>
  <c r="H1192" i="31"/>
  <c r="G1193" i="31"/>
  <c r="D1197" i="31"/>
  <c r="D1196" i="31" s="1"/>
  <c r="E1197" i="31"/>
  <c r="H1197" i="31"/>
  <c r="H1196" i="31" s="1"/>
  <c r="G1198" i="31"/>
  <c r="H1166" i="31" l="1"/>
  <c r="E1100" i="31"/>
  <c r="E1055" i="31"/>
  <c r="D177" i="31"/>
  <c r="G1182" i="31"/>
  <c r="G1177" i="31"/>
  <c r="G1170" i="31"/>
  <c r="G1167" i="31"/>
  <c r="G1094" i="31"/>
  <c r="G1089" i="31"/>
  <c r="G1056" i="31"/>
  <c r="G1049" i="31"/>
  <c r="G1041" i="31"/>
  <c r="G1026" i="31"/>
  <c r="G1010" i="31"/>
  <c r="G986" i="31"/>
  <c r="D956" i="31"/>
  <c r="G922" i="31"/>
  <c r="G910" i="31"/>
  <c r="D856" i="31"/>
  <c r="G842" i="31"/>
  <c r="G767" i="31"/>
  <c r="G668" i="31"/>
  <c r="G638" i="31"/>
  <c r="D413" i="31"/>
  <c r="G413" i="31" s="1"/>
  <c r="G331" i="31"/>
  <c r="H262" i="31"/>
  <c r="G238" i="31"/>
  <c r="G225" i="31"/>
  <c r="G208" i="31"/>
  <c r="G170" i="31"/>
  <c r="H505" i="31"/>
  <c r="H504" i="31" s="1"/>
  <c r="H454" i="31"/>
  <c r="H453" i="31" s="1"/>
  <c r="G442" i="31"/>
  <c r="G342" i="31"/>
  <c r="G250" i="31"/>
  <c r="G234" i="31"/>
  <c r="G178" i="31"/>
  <c r="G98" i="31"/>
  <c r="G87" i="31"/>
  <c r="H14" i="31"/>
  <c r="E856" i="31"/>
  <c r="D1181" i="31"/>
  <c r="G945" i="31"/>
  <c r="E929" i="31"/>
  <c r="G794" i="31"/>
  <c r="G682" i="31"/>
  <c r="G1197" i="31"/>
  <c r="D1166" i="31"/>
  <c r="G1147" i="31"/>
  <c r="G1138" i="31"/>
  <c r="H1100" i="31"/>
  <c r="G1064" i="31"/>
  <c r="H1055" i="31"/>
  <c r="H1053" i="31" s="1"/>
  <c r="G961" i="31"/>
  <c r="H956" i="31"/>
  <c r="G944" i="31"/>
  <c r="D929" i="31"/>
  <c r="G898" i="31"/>
  <c r="H856" i="31"/>
  <c r="D837" i="31"/>
  <c r="G830" i="31"/>
  <c r="G804" i="31"/>
  <c r="G793" i="31"/>
  <c r="G743" i="31"/>
  <c r="H696" i="31"/>
  <c r="H694" i="31" s="1"/>
  <c r="G697" i="31"/>
  <c r="G674" i="31"/>
  <c r="G655" i="31"/>
  <c r="G572" i="31"/>
  <c r="G558" i="31"/>
  <c r="G506" i="31"/>
  <c r="G500" i="31"/>
  <c r="G480" i="31"/>
  <c r="G438" i="31"/>
  <c r="G434" i="31"/>
  <c r="G417" i="31"/>
  <c r="G414" i="31"/>
  <c r="G403" i="31"/>
  <c r="G385" i="31"/>
  <c r="D356" i="31"/>
  <c r="G348" i="31"/>
  <c r="G338" i="31"/>
  <c r="G315" i="31"/>
  <c r="G283" i="31"/>
  <c r="E253" i="31"/>
  <c r="G246" i="31"/>
  <c r="G230" i="31"/>
  <c r="G63" i="31"/>
  <c r="G1166" i="31"/>
  <c r="G1088" i="31"/>
  <c r="G929" i="31"/>
  <c r="G856" i="31"/>
  <c r="H798" i="31"/>
  <c r="D175" i="31"/>
  <c r="D85" i="31"/>
  <c r="G86" i="31"/>
  <c r="H1098" i="31"/>
  <c r="H955" i="31"/>
  <c r="D955" i="31"/>
  <c r="H854" i="31"/>
  <c r="D854" i="31"/>
  <c r="G850" i="31"/>
  <c r="G845" i="31"/>
  <c r="G689" i="31"/>
  <c r="G681" i="31"/>
  <c r="G446" i="31"/>
  <c r="G441" i="31"/>
  <c r="D354" i="31"/>
  <c r="G341" i="31"/>
  <c r="H260" i="31"/>
  <c r="G249" i="31"/>
  <c r="G241" i="31"/>
  <c r="G233" i="31"/>
  <c r="D1055" i="31"/>
  <c r="D1053" i="31" s="1"/>
  <c r="G857" i="31"/>
  <c r="D800" i="31"/>
  <c r="D798" i="31" s="1"/>
  <c r="E800" i="31"/>
  <c r="H625" i="31"/>
  <c r="H623" i="31" s="1"/>
  <c r="E509" i="31"/>
  <c r="G509" i="31" s="1"/>
  <c r="G520" i="31"/>
  <c r="G433" i="31"/>
  <c r="H413" i="31"/>
  <c r="G337" i="31"/>
  <c r="D262" i="31"/>
  <c r="D260" i="31" s="1"/>
  <c r="E262" i="31"/>
  <c r="G253" i="31"/>
  <c r="G237" i="31"/>
  <c r="E85" i="31"/>
  <c r="G85" i="31" s="1"/>
  <c r="G89" i="31"/>
  <c r="E1196" i="31"/>
  <c r="G1196" i="31" s="1"/>
  <c r="E1181" i="31"/>
  <c r="G1181" i="31" s="1"/>
  <c r="G1178" i="31"/>
  <c r="E1162" i="31"/>
  <c r="G1162" i="31" s="1"/>
  <c r="D1142" i="31"/>
  <c r="G1142" i="31" s="1"/>
  <c r="G1110" i="31"/>
  <c r="E1093" i="31"/>
  <c r="G1093" i="31" s="1"/>
  <c r="E956" i="31"/>
  <c r="E925" i="31"/>
  <c r="G925" i="31" s="1"/>
  <c r="G851" i="31"/>
  <c r="E837" i="31"/>
  <c r="G837" i="31" s="1"/>
  <c r="D696" i="31"/>
  <c r="D694" i="31" s="1"/>
  <c r="E696" i="31"/>
  <c r="G685" i="31"/>
  <c r="E625" i="31"/>
  <c r="D625" i="31"/>
  <c r="D623" i="31" s="1"/>
  <c r="D505" i="31"/>
  <c r="D504" i="31" s="1"/>
  <c r="E505" i="31"/>
  <c r="D454" i="31"/>
  <c r="D453" i="31" s="1"/>
  <c r="E454" i="31"/>
  <c r="E437" i="31"/>
  <c r="G437" i="31" s="1"/>
  <c r="E427" i="31"/>
  <c r="E409" i="31"/>
  <c r="G409" i="31" s="1"/>
  <c r="H356" i="31"/>
  <c r="E356" i="31"/>
  <c r="D347" i="31"/>
  <c r="E347" i="31"/>
  <c r="G347" i="31" s="1"/>
  <c r="E245" i="31"/>
  <c r="G245" i="31" s="1"/>
  <c r="E229" i="31"/>
  <c r="G229" i="31" s="1"/>
  <c r="H177" i="31"/>
  <c r="H175" i="31" s="1"/>
  <c r="E177" i="31"/>
  <c r="H97" i="31"/>
  <c r="H96" i="31" s="1"/>
  <c r="E97" i="31"/>
  <c r="H85" i="31"/>
  <c r="H77" i="31"/>
  <c r="H13" i="31" s="1"/>
  <c r="E77" i="31"/>
  <c r="G77" i="31" s="1"/>
  <c r="D14" i="31"/>
  <c r="D13" i="31" s="1"/>
  <c r="E14" i="31"/>
  <c r="E353" i="35"/>
  <c r="E893" i="32"/>
  <c r="E889" i="32"/>
  <c r="E885" i="32"/>
  <c r="E877" i="32"/>
  <c r="E857" i="32"/>
  <c r="E849" i="32"/>
  <c r="E830" i="32"/>
  <c r="E814" i="32"/>
  <c r="E808" i="32"/>
  <c r="D893" i="32"/>
  <c r="D889" i="32"/>
  <c r="D885" i="32"/>
  <c r="D877" i="32"/>
  <c r="D857" i="32"/>
  <c r="D849" i="32"/>
  <c r="D830" i="32"/>
  <c r="D814" i="32"/>
  <c r="D808" i="32"/>
  <c r="D806" i="32" s="1"/>
  <c r="E96" i="31" l="1"/>
  <c r="G97" i="31"/>
  <c r="G177" i="31"/>
  <c r="E175" i="31"/>
  <c r="G175" i="31" s="1"/>
  <c r="G356" i="31"/>
  <c r="E354" i="31"/>
  <c r="G354" i="31" s="1"/>
  <c r="E623" i="31"/>
  <c r="G623" i="31" s="1"/>
  <c r="G625" i="31"/>
  <c r="E694" i="31"/>
  <c r="G694" i="31" s="1"/>
  <c r="G696" i="31"/>
  <c r="F354" i="31"/>
  <c r="E854" i="31"/>
  <c r="G854" i="31" s="1"/>
  <c r="E1053" i="31"/>
  <c r="G1053" i="31" s="1"/>
  <c r="E1098" i="31"/>
  <c r="G14" i="31"/>
  <c r="E13" i="31"/>
  <c r="F13" i="31" s="1"/>
  <c r="H354" i="31"/>
  <c r="H94" i="31" s="1"/>
  <c r="H1200" i="31" s="1"/>
  <c r="E453" i="31"/>
  <c r="G453" i="31" s="1"/>
  <c r="G454" i="31"/>
  <c r="E504" i="31"/>
  <c r="G504" i="31" s="1"/>
  <c r="G505" i="31"/>
  <c r="F623" i="31"/>
  <c r="E955" i="31"/>
  <c r="G955" i="31" s="1"/>
  <c r="G956" i="31"/>
  <c r="E260" i="31"/>
  <c r="G260" i="31" s="1"/>
  <c r="G262" i="31"/>
  <c r="E798" i="31"/>
  <c r="G798" i="31" s="1"/>
  <c r="G800" i="31"/>
  <c r="F854" i="31"/>
  <c r="D1100" i="31"/>
  <c r="F175" i="31"/>
  <c r="G1055" i="31"/>
  <c r="E806" i="32"/>
  <c r="D4055" i="43"/>
  <c r="D1098" i="31" l="1"/>
  <c r="G1100" i="31"/>
  <c r="F1053" i="31"/>
  <c r="F260" i="31"/>
  <c r="F453" i="31"/>
  <c r="G96" i="31"/>
  <c r="E94" i="31"/>
  <c r="E1200" i="31" s="1"/>
  <c r="F955" i="31"/>
  <c r="F694" i="31"/>
  <c r="G13" i="31"/>
  <c r="G1098" i="31"/>
  <c r="F798" i="31"/>
  <c r="F504" i="31"/>
  <c r="D60" i="35"/>
  <c r="D15" i="44"/>
  <c r="D339" i="35"/>
  <c r="F1098" i="31" l="1"/>
  <c r="D94" i="31"/>
  <c r="C329" i="56"/>
  <c r="C317" i="56"/>
  <c r="C311" i="56"/>
  <c r="C307" i="56"/>
  <c r="C300" i="56"/>
  <c r="C295" i="56"/>
  <c r="C290" i="56"/>
  <c r="C287" i="56"/>
  <c r="C228" i="56"/>
  <c r="C156" i="56"/>
  <c r="C151" i="56"/>
  <c r="C147" i="56"/>
  <c r="C133" i="56"/>
  <c r="C120" i="56"/>
  <c r="C108" i="56"/>
  <c r="C93" i="56"/>
  <c r="C82" i="56"/>
  <c r="C17" i="56"/>
  <c r="C14" i="56"/>
  <c r="F28" i="53"/>
  <c r="D28" i="53"/>
  <c r="C28" i="53"/>
  <c r="G27" i="53"/>
  <c r="E27" i="53"/>
  <c r="G25" i="53"/>
  <c r="G28" i="53" s="1"/>
  <c r="E25" i="53"/>
  <c r="E21" i="53"/>
  <c r="G19" i="53"/>
  <c r="E19" i="53"/>
  <c r="G17" i="53"/>
  <c r="E17" i="53"/>
  <c r="G16" i="53"/>
  <c r="E16" i="53"/>
  <c r="G15" i="53"/>
  <c r="E15" i="53"/>
  <c r="G14" i="53"/>
  <c r="E14" i="53"/>
  <c r="G13" i="53"/>
  <c r="E13" i="53"/>
  <c r="G12" i="53"/>
  <c r="E12" i="53"/>
  <c r="G11" i="53"/>
  <c r="E11" i="53"/>
  <c r="G10" i="53"/>
  <c r="E10" i="53"/>
  <c r="G9" i="53"/>
  <c r="E9" i="53"/>
  <c r="G8" i="53"/>
  <c r="E8" i="53"/>
  <c r="G7" i="53"/>
  <c r="E7" i="53"/>
  <c r="G6" i="53"/>
  <c r="E6" i="53"/>
  <c r="G5" i="53"/>
  <c r="G4" i="53" s="1"/>
  <c r="E5" i="53"/>
  <c r="F4" i="53"/>
  <c r="F22" i="53" s="1"/>
  <c r="D4" i="53"/>
  <c r="D22" i="53" s="1"/>
  <c r="C4" i="53"/>
  <c r="C22" i="53" s="1"/>
  <c r="G2" i="53"/>
  <c r="E2" i="53"/>
  <c r="F234" i="52"/>
  <c r="F233" i="52"/>
  <c r="F232" i="52"/>
  <c r="F231" i="52"/>
  <c r="F230" i="52"/>
  <c r="F229" i="52"/>
  <c r="G228" i="52"/>
  <c r="D228" i="52"/>
  <c r="C228" i="52"/>
  <c r="F228" i="52" s="1"/>
  <c r="F226" i="52"/>
  <c r="F225" i="52"/>
  <c r="G224" i="52"/>
  <c r="D224" i="52"/>
  <c r="F224" i="52" s="1"/>
  <c r="C224" i="52"/>
  <c r="F222" i="52"/>
  <c r="F221" i="52"/>
  <c r="F220" i="52"/>
  <c r="F219" i="52"/>
  <c r="F218" i="52"/>
  <c r="F216" i="52"/>
  <c r="F215" i="52"/>
  <c r="F214" i="52"/>
  <c r="F213" i="52"/>
  <c r="F212" i="52"/>
  <c r="F211" i="52"/>
  <c r="G210" i="52"/>
  <c r="D210" i="52"/>
  <c r="C210" i="52"/>
  <c r="F208" i="52"/>
  <c r="F207" i="52"/>
  <c r="F206" i="52"/>
  <c r="F205" i="52"/>
  <c r="F204" i="52"/>
  <c r="F203" i="52"/>
  <c r="F202" i="52"/>
  <c r="F201" i="52"/>
  <c r="F200" i="52"/>
  <c r="F199" i="52"/>
  <c r="F198" i="52"/>
  <c r="F197" i="52"/>
  <c r="G196" i="52"/>
  <c r="D196" i="52"/>
  <c r="C196" i="52"/>
  <c r="F194" i="52"/>
  <c r="F193" i="52"/>
  <c r="F192" i="52"/>
  <c r="G191" i="52"/>
  <c r="D191" i="52"/>
  <c r="C191" i="52"/>
  <c r="F185" i="52"/>
  <c r="F184" i="52"/>
  <c r="G183" i="52"/>
  <c r="D183" i="52"/>
  <c r="C183" i="52"/>
  <c r="F180" i="52"/>
  <c r="F179" i="52"/>
  <c r="F178" i="52"/>
  <c r="F177" i="52"/>
  <c r="F176" i="52"/>
  <c r="F175" i="52"/>
  <c r="F174" i="52"/>
  <c r="F172" i="52"/>
  <c r="F171" i="52"/>
  <c r="F170" i="52"/>
  <c r="F169" i="52"/>
  <c r="F168" i="52"/>
  <c r="F167" i="52"/>
  <c r="F166" i="52"/>
  <c r="F165" i="52"/>
  <c r="F164" i="52"/>
  <c r="F163" i="52"/>
  <c r="F162" i="52"/>
  <c r="F161" i="52"/>
  <c r="F160" i="52"/>
  <c r="F159" i="52"/>
  <c r="F158" i="52"/>
  <c r="G157" i="52"/>
  <c r="D157" i="52"/>
  <c r="C157" i="52"/>
  <c r="F155" i="52"/>
  <c r="F154" i="52"/>
  <c r="F153" i="52"/>
  <c r="F152" i="52"/>
  <c r="G151" i="52"/>
  <c r="D151" i="52"/>
  <c r="C151" i="52"/>
  <c r="F146" i="52"/>
  <c r="F145" i="52"/>
  <c r="F144" i="52"/>
  <c r="F143" i="52"/>
  <c r="F142" i="52"/>
  <c r="F141" i="52"/>
  <c r="F140" i="52"/>
  <c r="F139" i="52"/>
  <c r="F138" i="52"/>
  <c r="F137" i="52"/>
  <c r="F134" i="52"/>
  <c r="G133" i="52"/>
  <c r="D133" i="52"/>
  <c r="C133" i="52"/>
  <c r="F131" i="52"/>
  <c r="F129" i="52"/>
  <c r="F128" i="52"/>
  <c r="F127" i="52"/>
  <c r="F126" i="52"/>
  <c r="F125" i="52"/>
  <c r="F124" i="52"/>
  <c r="F123" i="52"/>
  <c r="F122" i="52"/>
  <c r="G121" i="52"/>
  <c r="D121" i="52"/>
  <c r="C121" i="52"/>
  <c r="F119" i="52"/>
  <c r="F118" i="52"/>
  <c r="F117" i="52"/>
  <c r="G116" i="52"/>
  <c r="D116" i="52"/>
  <c r="C116" i="52"/>
  <c r="F114" i="52"/>
  <c r="F113" i="52"/>
  <c r="F112" i="52"/>
  <c r="F111" i="52"/>
  <c r="F110" i="52"/>
  <c r="F109" i="52"/>
  <c r="F108" i="52"/>
  <c r="F107" i="52"/>
  <c r="F106" i="52"/>
  <c r="F105" i="52"/>
  <c r="F104" i="52"/>
  <c r="F103" i="52"/>
  <c r="G102" i="52"/>
  <c r="D102" i="52"/>
  <c r="C102" i="52"/>
  <c r="F100" i="52"/>
  <c r="F99" i="52"/>
  <c r="F98" i="52"/>
  <c r="F97" i="52"/>
  <c r="F96" i="52"/>
  <c r="F95" i="52"/>
  <c r="F94" i="52"/>
  <c r="G93" i="52"/>
  <c r="D93" i="52"/>
  <c r="C93" i="52"/>
  <c r="F91" i="52"/>
  <c r="F90" i="52"/>
  <c r="F89" i="52"/>
  <c r="F88" i="52"/>
  <c r="F87" i="52"/>
  <c r="F86" i="52"/>
  <c r="F85" i="52"/>
  <c r="F84" i="52"/>
  <c r="F83" i="52"/>
  <c r="F82" i="52"/>
  <c r="F81" i="52"/>
  <c r="F80" i="52"/>
  <c r="F79" i="52"/>
  <c r="F78" i="52"/>
  <c r="F76" i="52"/>
  <c r="F75" i="52"/>
  <c r="F74" i="52"/>
  <c r="F73" i="52"/>
  <c r="F72" i="52"/>
  <c r="F71" i="52"/>
  <c r="F70" i="52"/>
  <c r="F69" i="52"/>
  <c r="F68" i="52"/>
  <c r="F67" i="52"/>
  <c r="F66" i="52"/>
  <c r="F65" i="52"/>
  <c r="F64" i="52"/>
  <c r="F63" i="52"/>
  <c r="F62" i="52"/>
  <c r="F61" i="52"/>
  <c r="F60" i="52"/>
  <c r="F59" i="52"/>
  <c r="F58" i="52"/>
  <c r="F57" i="52"/>
  <c r="F56" i="52"/>
  <c r="F55" i="52"/>
  <c r="G54" i="52"/>
  <c r="D54" i="52"/>
  <c r="C54" i="52"/>
  <c r="F52" i="52"/>
  <c r="F51" i="52"/>
  <c r="F50" i="52"/>
  <c r="F49" i="52"/>
  <c r="F48" i="52"/>
  <c r="F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G14" i="52"/>
  <c r="D14" i="52"/>
  <c r="C14" i="52"/>
  <c r="D15" i="49"/>
  <c r="C15" i="49"/>
  <c r="F14" i="49"/>
  <c r="G14" i="49" s="1"/>
  <c r="F13" i="49"/>
  <c r="G13" i="49" s="1"/>
  <c r="F12" i="49"/>
  <c r="G12" i="49" s="1"/>
  <c r="F11" i="49"/>
  <c r="G11" i="49" s="1"/>
  <c r="F10" i="49"/>
  <c r="G10" i="49" s="1"/>
  <c r="F9" i="49"/>
  <c r="G9" i="49" s="1"/>
  <c r="F8" i="49"/>
  <c r="G8" i="49" s="1"/>
  <c r="F7" i="49"/>
  <c r="G7" i="49" s="1"/>
  <c r="F6" i="49"/>
  <c r="G6" i="49" s="1"/>
  <c r="F5" i="49"/>
  <c r="G5" i="49" s="1"/>
  <c r="F4" i="49"/>
  <c r="G4" i="49" s="1"/>
  <c r="F3" i="49"/>
  <c r="G3" i="49" s="1"/>
  <c r="F2" i="49"/>
  <c r="G2" i="49" s="1"/>
  <c r="I49" i="47"/>
  <c r="G49" i="47"/>
  <c r="E49" i="47"/>
  <c r="I48" i="47"/>
  <c r="G48" i="47"/>
  <c r="E48" i="47"/>
  <c r="I47" i="47"/>
  <c r="G47" i="47"/>
  <c r="E47" i="47"/>
  <c r="I46" i="47"/>
  <c r="G46" i="47"/>
  <c r="E46" i="47"/>
  <c r="I45" i="47"/>
  <c r="G45" i="47"/>
  <c r="E45" i="47"/>
  <c r="I44" i="47"/>
  <c r="G44" i="47"/>
  <c r="E44" i="47"/>
  <c r="I43" i="47"/>
  <c r="G43" i="47"/>
  <c r="E43" i="47"/>
  <c r="I42" i="47"/>
  <c r="G42" i="47"/>
  <c r="E42" i="47"/>
  <c r="I41" i="47"/>
  <c r="G41" i="47"/>
  <c r="E41" i="47"/>
  <c r="I40" i="47"/>
  <c r="G40" i="47"/>
  <c r="E40" i="47"/>
  <c r="I39" i="47"/>
  <c r="G39" i="47"/>
  <c r="E39" i="47"/>
  <c r="I38" i="47"/>
  <c r="G38" i="47"/>
  <c r="E38" i="47"/>
  <c r="I37" i="47"/>
  <c r="G37" i="47"/>
  <c r="E37" i="47"/>
  <c r="H36" i="47"/>
  <c r="H52" i="47" s="1"/>
  <c r="F36" i="47"/>
  <c r="D36" i="47"/>
  <c r="D52" i="47" s="1"/>
  <c r="C36" i="47"/>
  <c r="C52" i="47" s="1"/>
  <c r="I34" i="47"/>
  <c r="G34" i="47"/>
  <c r="E34" i="47"/>
  <c r="H29" i="47"/>
  <c r="F29" i="47"/>
  <c r="E25" i="47"/>
  <c r="E24" i="47"/>
  <c r="G23" i="47"/>
  <c r="I21" i="47"/>
  <c r="G21" i="47"/>
  <c r="E21" i="47"/>
  <c r="I20" i="47"/>
  <c r="G20" i="47"/>
  <c r="E20" i="47"/>
  <c r="I19" i="47"/>
  <c r="G19" i="47"/>
  <c r="E19" i="47"/>
  <c r="I18" i="47"/>
  <c r="G18" i="47"/>
  <c r="E18" i="47"/>
  <c r="I17" i="47"/>
  <c r="G17" i="47"/>
  <c r="E17" i="47"/>
  <c r="I16" i="47"/>
  <c r="G16" i="47"/>
  <c r="E16" i="47"/>
  <c r="I15" i="47"/>
  <c r="G15" i="47"/>
  <c r="E15" i="47"/>
  <c r="I14" i="47"/>
  <c r="G14" i="47"/>
  <c r="E14" i="47"/>
  <c r="I13" i="47"/>
  <c r="G13" i="47"/>
  <c r="E13" i="47"/>
  <c r="I12" i="47"/>
  <c r="G12" i="47"/>
  <c r="E12" i="47"/>
  <c r="I11" i="47"/>
  <c r="G11" i="47"/>
  <c r="E11" i="47"/>
  <c r="I10" i="47"/>
  <c r="G10" i="47"/>
  <c r="E10" i="47"/>
  <c r="I9" i="47"/>
  <c r="G9" i="47"/>
  <c r="E9" i="47"/>
  <c r="D8" i="47"/>
  <c r="D29" i="47" s="1"/>
  <c r="C8" i="47"/>
  <c r="C29" i="47" s="1"/>
  <c r="I6" i="47"/>
  <c r="G6" i="47"/>
  <c r="E6" i="47"/>
  <c r="D60" i="44"/>
  <c r="Q48" i="44"/>
  <c r="J42" i="44"/>
  <c r="I42" i="44"/>
  <c r="E40" i="44"/>
  <c r="E38" i="44"/>
  <c r="E36" i="44"/>
  <c r="E34" i="44"/>
  <c r="E32" i="44"/>
  <c r="S30" i="44"/>
  <c r="R30" i="44"/>
  <c r="Q30" i="44"/>
  <c r="E30" i="44"/>
  <c r="S29" i="44"/>
  <c r="R29" i="44"/>
  <c r="Q29" i="44"/>
  <c r="E29" i="44"/>
  <c r="S28" i="44"/>
  <c r="R28" i="44"/>
  <c r="Q28" i="44"/>
  <c r="E28" i="44"/>
  <c r="S27" i="44"/>
  <c r="R27" i="44"/>
  <c r="Q27" i="44"/>
  <c r="E27" i="44"/>
  <c r="S26" i="44"/>
  <c r="R26" i="44"/>
  <c r="Q26" i="44"/>
  <c r="E26" i="44"/>
  <c r="S25" i="44"/>
  <c r="R25" i="44"/>
  <c r="Q25" i="44"/>
  <c r="E25" i="44"/>
  <c r="S24" i="44"/>
  <c r="R24" i="44"/>
  <c r="Q24" i="44"/>
  <c r="E24" i="44"/>
  <c r="S23" i="44"/>
  <c r="R23" i="44"/>
  <c r="Q23" i="44"/>
  <c r="E23" i="44"/>
  <c r="S22" i="44"/>
  <c r="R22" i="44"/>
  <c r="Q22" i="44"/>
  <c r="E22" i="44"/>
  <c r="S21" i="44"/>
  <c r="R21" i="44"/>
  <c r="Q21" i="44"/>
  <c r="E21" i="44"/>
  <c r="S20" i="44"/>
  <c r="R20" i="44"/>
  <c r="Q20" i="44"/>
  <c r="E20" i="44"/>
  <c r="S19" i="44"/>
  <c r="R19" i="44"/>
  <c r="Q19" i="44"/>
  <c r="E19" i="44"/>
  <c r="W18" i="44"/>
  <c r="X18" i="44" s="1"/>
  <c r="S18" i="44"/>
  <c r="R18" i="44"/>
  <c r="Q18" i="44"/>
  <c r="E18" i="44"/>
  <c r="G17" i="44"/>
  <c r="G42" i="44" s="1"/>
  <c r="F17" i="44"/>
  <c r="R17" i="44" s="1"/>
  <c r="D17" i="44"/>
  <c r="E17" i="44" s="1"/>
  <c r="E15" i="44"/>
  <c r="E28" i="53" l="1"/>
  <c r="F210" i="52"/>
  <c r="G22" i="53"/>
  <c r="F54" i="52"/>
  <c r="G13" i="52"/>
  <c r="F121" i="52"/>
  <c r="F157" i="52"/>
  <c r="D187" i="52"/>
  <c r="F191" i="52"/>
  <c r="F14" i="52"/>
  <c r="F133" i="52"/>
  <c r="F151" i="52"/>
  <c r="F94" i="31"/>
  <c r="D1200" i="31"/>
  <c r="G94" i="31"/>
  <c r="G36" i="47"/>
  <c r="F52" i="47"/>
  <c r="G52" i="47" s="1"/>
  <c r="D13" i="52"/>
  <c r="G187" i="52"/>
  <c r="G12" i="52" s="1"/>
  <c r="G236" i="52" s="1"/>
  <c r="E52" i="47"/>
  <c r="I52" i="47"/>
  <c r="F93" i="52"/>
  <c r="F116" i="52"/>
  <c r="F183" i="52"/>
  <c r="F196" i="52"/>
  <c r="C187" i="52"/>
  <c r="C294" i="56"/>
  <c r="D42" i="44"/>
  <c r="D46" i="44" s="1"/>
  <c r="C13" i="56"/>
  <c r="E22" i="53"/>
  <c r="E4" i="53"/>
  <c r="D12" i="52"/>
  <c r="F102" i="52"/>
  <c r="C13" i="52"/>
  <c r="F15" i="49"/>
  <c r="G15" i="49" s="1"/>
  <c r="G29" i="47"/>
  <c r="E29" i="47"/>
  <c r="I29" i="47"/>
  <c r="E36" i="47"/>
  <c r="I36" i="47"/>
  <c r="E8" i="47"/>
  <c r="E42" i="44"/>
  <c r="S17" i="44"/>
  <c r="Q17" i="44"/>
  <c r="F42" i="44"/>
  <c r="K4824" i="43"/>
  <c r="K4827" i="43" s="1"/>
  <c r="F4822" i="43"/>
  <c r="F4820" i="43"/>
  <c r="F4818" i="43"/>
  <c r="F4817" i="43"/>
  <c r="F4816" i="43"/>
  <c r="G4815" i="43"/>
  <c r="G4814" i="43" s="1"/>
  <c r="E4815" i="43"/>
  <c r="E4814" i="43" s="1"/>
  <c r="F4814" i="43" s="1"/>
  <c r="D4815" i="43"/>
  <c r="D4814" i="43"/>
  <c r="F4812" i="43"/>
  <c r="F4811" i="43"/>
  <c r="F4810" i="43"/>
  <c r="G4809" i="43"/>
  <c r="E4809" i="43"/>
  <c r="D4809" i="43"/>
  <c r="F4807" i="43"/>
  <c r="G4806" i="43"/>
  <c r="E4806" i="43"/>
  <c r="D4806" i="43"/>
  <c r="F4804" i="43"/>
  <c r="F4803" i="43"/>
  <c r="F4802" i="43"/>
  <c r="F4801" i="43"/>
  <c r="F4800" i="43"/>
  <c r="F4799" i="43"/>
  <c r="G4798" i="43"/>
  <c r="E4798" i="43"/>
  <c r="D4798" i="43"/>
  <c r="F4795" i="43"/>
  <c r="F4794" i="43"/>
  <c r="F4793" i="43"/>
  <c r="F4792" i="43"/>
  <c r="G4791" i="43"/>
  <c r="G4790" i="43" s="1"/>
  <c r="E4791" i="43"/>
  <c r="D4791" i="43"/>
  <c r="D4790" i="43" s="1"/>
  <c r="F4788" i="43"/>
  <c r="G4787" i="43"/>
  <c r="E4787" i="43"/>
  <c r="D4787" i="43"/>
  <c r="F4785" i="43"/>
  <c r="G4784" i="43"/>
  <c r="E4784" i="43"/>
  <c r="D4784" i="43"/>
  <c r="F4782" i="43"/>
  <c r="G4781" i="43"/>
  <c r="E4781" i="43"/>
  <c r="D4781" i="43"/>
  <c r="F4779" i="43"/>
  <c r="F4778" i="43"/>
  <c r="G4777" i="43"/>
  <c r="E4777" i="43"/>
  <c r="D4777" i="43"/>
  <c r="F4775" i="43"/>
  <c r="F4774" i="43"/>
  <c r="F4773" i="43"/>
  <c r="F4772" i="43"/>
  <c r="G4771" i="43"/>
  <c r="E4771" i="43"/>
  <c r="D4771" i="43"/>
  <c r="F4769" i="43"/>
  <c r="G4768" i="43"/>
  <c r="E4768" i="43"/>
  <c r="D4768" i="43"/>
  <c r="F4765" i="43"/>
  <c r="F4764" i="43"/>
  <c r="F4763" i="43"/>
  <c r="F4762" i="43"/>
  <c r="G4761" i="43"/>
  <c r="E4761" i="43"/>
  <c r="D4761" i="43"/>
  <c r="F4759" i="43"/>
  <c r="F4758" i="43"/>
  <c r="F4757" i="43"/>
  <c r="G4756" i="43"/>
  <c r="E4756" i="43"/>
  <c r="D4756" i="43"/>
  <c r="F4753" i="43"/>
  <c r="G4752" i="43"/>
  <c r="E4752" i="43"/>
  <c r="D4752" i="43"/>
  <c r="F4747" i="43"/>
  <c r="F4746" i="43"/>
  <c r="G4745" i="43"/>
  <c r="E4745" i="43"/>
  <c r="D4745" i="43"/>
  <c r="F4742" i="43"/>
  <c r="G4741" i="43"/>
  <c r="E4741" i="43"/>
  <c r="D4741" i="43"/>
  <c r="F4739" i="43"/>
  <c r="F4738" i="43"/>
  <c r="F4737" i="43"/>
  <c r="F4736" i="43"/>
  <c r="F4735" i="43"/>
  <c r="F4734" i="43"/>
  <c r="F4732" i="43"/>
  <c r="F4731" i="43"/>
  <c r="G4730" i="43"/>
  <c r="E4730" i="43"/>
  <c r="D4730" i="43"/>
  <c r="F4725" i="43"/>
  <c r="G4724" i="43"/>
  <c r="E4724" i="43"/>
  <c r="D4724" i="43"/>
  <c r="F4716" i="43"/>
  <c r="F4715" i="43"/>
  <c r="G4714" i="43"/>
  <c r="E4714" i="43"/>
  <c r="D4714" i="43"/>
  <c r="F4712" i="43"/>
  <c r="F4711" i="43"/>
  <c r="G4710" i="43"/>
  <c r="E4710" i="43"/>
  <c r="D4710" i="43"/>
  <c r="F4708" i="43"/>
  <c r="G4707" i="43"/>
  <c r="E4707" i="43"/>
  <c r="D4707" i="43"/>
  <c r="F4705" i="43"/>
  <c r="F4703" i="43"/>
  <c r="F4702" i="43"/>
  <c r="F4701" i="43"/>
  <c r="G4699" i="43"/>
  <c r="E4699" i="43"/>
  <c r="D4699" i="43"/>
  <c r="F4697" i="43"/>
  <c r="F4696" i="43"/>
  <c r="G4694" i="43"/>
  <c r="E4694" i="43"/>
  <c r="D4694" i="43"/>
  <c r="F4691" i="43"/>
  <c r="G4690" i="43"/>
  <c r="G4689" i="43" s="1"/>
  <c r="E4690" i="43"/>
  <c r="E4689" i="43" s="1"/>
  <c r="D4690" i="43"/>
  <c r="D4689" i="43"/>
  <c r="F4687" i="43"/>
  <c r="F4686" i="43"/>
  <c r="G4684" i="43"/>
  <c r="E4684" i="43"/>
  <c r="D4684" i="43"/>
  <c r="F4682" i="43"/>
  <c r="F4681" i="43"/>
  <c r="F4680" i="43"/>
  <c r="G4679" i="43"/>
  <c r="E4679" i="43"/>
  <c r="D4679" i="43"/>
  <c r="F4677" i="43"/>
  <c r="F4676" i="43"/>
  <c r="F4675" i="43"/>
  <c r="F4674" i="43"/>
  <c r="G4673" i="43"/>
  <c r="E4673" i="43"/>
  <c r="D4673" i="43"/>
  <c r="F4671" i="43"/>
  <c r="F4670" i="43"/>
  <c r="G4669" i="43"/>
  <c r="E4669" i="43"/>
  <c r="D4669" i="43"/>
  <c r="F4667" i="43"/>
  <c r="F4666" i="43"/>
  <c r="G4665" i="43"/>
  <c r="E4665" i="43"/>
  <c r="D4665" i="43"/>
  <c r="F4662" i="43"/>
  <c r="F4661" i="43"/>
  <c r="F4660" i="43"/>
  <c r="G4659" i="43"/>
  <c r="E4659" i="43"/>
  <c r="D4659" i="43"/>
  <c r="F4657" i="43"/>
  <c r="F4656" i="43"/>
  <c r="F4655" i="43"/>
  <c r="F4654" i="43"/>
  <c r="F4653" i="43"/>
  <c r="F4652" i="43"/>
  <c r="G4651" i="43"/>
  <c r="E4651" i="43"/>
  <c r="D4651" i="43"/>
  <c r="F4648" i="43"/>
  <c r="G4647" i="43"/>
  <c r="G4632" i="43" s="1"/>
  <c r="E4647" i="43"/>
  <c r="F4647" i="43" s="1"/>
  <c r="D4647" i="43"/>
  <c r="F4645" i="43"/>
  <c r="F4644" i="43"/>
  <c r="G4643" i="43"/>
  <c r="E4643" i="43"/>
  <c r="D4643" i="43"/>
  <c r="F4641" i="43"/>
  <c r="G4640" i="43"/>
  <c r="E4640" i="43"/>
  <c r="D4640" i="43"/>
  <c r="F4638" i="43"/>
  <c r="F4637" i="43"/>
  <c r="G4636" i="43"/>
  <c r="E4636" i="43"/>
  <c r="D4636" i="43"/>
  <c r="F4630" i="43"/>
  <c r="F4629" i="43"/>
  <c r="F4628" i="43"/>
  <c r="G4627" i="43"/>
  <c r="G4626" i="43" s="1"/>
  <c r="E4627" i="43"/>
  <c r="D4627" i="43"/>
  <c r="D4626" i="43" s="1"/>
  <c r="E4626" i="43"/>
  <c r="F4624" i="43"/>
  <c r="G4623" i="43"/>
  <c r="E4623" i="43"/>
  <c r="D4623" i="43"/>
  <c r="D4603" i="43" s="1"/>
  <c r="F4621" i="43"/>
  <c r="F4620" i="43"/>
  <c r="F4619" i="43"/>
  <c r="F4618" i="43"/>
  <c r="F4617" i="43"/>
  <c r="F4616" i="43"/>
  <c r="G4615" i="43"/>
  <c r="E4615" i="43"/>
  <c r="D4615" i="43"/>
  <c r="F4613" i="43"/>
  <c r="F4612" i="43"/>
  <c r="F4611" i="43"/>
  <c r="F4610" i="43"/>
  <c r="F4609" i="43"/>
  <c r="F4608" i="43"/>
  <c r="G4607" i="43"/>
  <c r="E4607" i="43"/>
  <c r="F4607" i="43" s="1"/>
  <c r="D4607" i="43"/>
  <c r="F4605" i="43"/>
  <c r="F4604" i="43" s="1"/>
  <c r="G4604" i="43"/>
  <c r="E4604" i="43"/>
  <c r="D4604" i="43"/>
  <c r="F4601" i="43"/>
  <c r="F4600" i="43" s="1"/>
  <c r="G4600" i="43"/>
  <c r="E4600" i="43"/>
  <c r="D4600" i="43"/>
  <c r="F4598" i="43"/>
  <c r="F4597" i="43"/>
  <c r="G4596" i="43"/>
  <c r="E4596" i="43"/>
  <c r="D4596" i="43"/>
  <c r="F4594" i="43"/>
  <c r="F4593" i="43"/>
  <c r="F4592" i="43"/>
  <c r="F4591" i="43"/>
  <c r="F4590" i="43"/>
  <c r="G4589" i="43"/>
  <c r="E4589" i="43"/>
  <c r="D4589" i="43"/>
  <c r="F4587" i="43"/>
  <c r="F4586" i="43"/>
  <c r="F4585" i="43"/>
  <c r="G4583" i="43"/>
  <c r="G4582" i="43" s="1"/>
  <c r="E4583" i="43"/>
  <c r="F4583" i="43" s="1"/>
  <c r="D4583" i="43"/>
  <c r="F4580" i="43"/>
  <c r="G4579" i="43"/>
  <c r="G4578" i="43" s="1"/>
  <c r="E4579" i="43"/>
  <c r="D4579" i="43"/>
  <c r="F4579" i="43" s="1"/>
  <c r="E4578" i="43"/>
  <c r="F4576" i="43"/>
  <c r="F4575" i="43" s="1"/>
  <c r="G4575" i="43"/>
  <c r="E4575" i="43"/>
  <c r="D4575" i="43"/>
  <c r="F4573" i="43"/>
  <c r="F4572" i="43"/>
  <c r="F4571" i="43"/>
  <c r="G4570" i="43"/>
  <c r="E4570" i="43"/>
  <c r="D4570" i="43"/>
  <c r="F4568" i="43"/>
  <c r="F4567" i="43"/>
  <c r="F4566" i="43"/>
  <c r="F4565" i="43"/>
  <c r="F4563" i="43"/>
  <c r="F4562" i="43"/>
  <c r="G4561" i="43"/>
  <c r="E4561" i="43"/>
  <c r="D4561" i="43"/>
  <c r="F4561" i="43" s="1"/>
  <c r="F4558" i="43"/>
  <c r="F4557" i="43"/>
  <c r="F4556" i="43"/>
  <c r="G4555" i="43"/>
  <c r="E4555" i="43"/>
  <c r="D4555" i="43"/>
  <c r="F4553" i="43"/>
  <c r="G4552" i="43"/>
  <c r="E4552" i="43"/>
  <c r="D4552" i="43"/>
  <c r="D4551" i="43" s="1"/>
  <c r="F4549" i="43"/>
  <c r="G4548" i="43"/>
  <c r="G4547" i="43" s="1"/>
  <c r="E4548" i="43"/>
  <c r="E4547" i="43" s="1"/>
  <c r="D4548" i="43"/>
  <c r="D4547" i="43" s="1"/>
  <c r="F4545" i="43"/>
  <c r="G4544" i="43"/>
  <c r="G4543" i="43" s="1"/>
  <c r="E4544" i="43"/>
  <c r="E4543" i="43" s="1"/>
  <c r="D4544" i="43"/>
  <c r="F4541" i="43"/>
  <c r="G4540" i="43"/>
  <c r="G4539" i="43" s="1"/>
  <c r="E4540" i="43"/>
  <c r="D4540" i="43"/>
  <c r="D4539" i="43"/>
  <c r="F4537" i="43"/>
  <c r="G4536" i="43"/>
  <c r="E4536" i="43"/>
  <c r="E4535" i="43" s="1"/>
  <c r="D4536" i="43"/>
  <c r="D4535" i="43" s="1"/>
  <c r="G4535" i="43"/>
  <c r="F4533" i="43"/>
  <c r="G4532" i="43"/>
  <c r="G4531" i="43" s="1"/>
  <c r="E4532" i="43"/>
  <c r="D4532" i="43"/>
  <c r="D4531" i="43" s="1"/>
  <c r="E4531" i="43"/>
  <c r="F4529" i="43"/>
  <c r="G4528" i="43"/>
  <c r="G4527" i="43" s="1"/>
  <c r="E4528" i="43"/>
  <c r="E4527" i="43" s="1"/>
  <c r="D4528" i="43"/>
  <c r="F4525" i="43"/>
  <c r="G4524" i="43"/>
  <c r="G4523" i="43" s="1"/>
  <c r="E4524" i="43"/>
  <c r="D4524" i="43"/>
  <c r="D4523" i="43" s="1"/>
  <c r="F4521" i="43"/>
  <c r="G4520" i="43"/>
  <c r="G4519" i="43" s="1"/>
  <c r="E4520" i="43"/>
  <c r="D4520" i="43"/>
  <c r="E4519" i="43"/>
  <c r="F4517" i="43"/>
  <c r="G4516" i="43"/>
  <c r="G4515" i="43" s="1"/>
  <c r="E4516" i="43"/>
  <c r="D4516" i="43"/>
  <c r="D4515" i="43" s="1"/>
  <c r="E4515" i="43"/>
  <c r="F4513" i="43"/>
  <c r="G4512" i="43"/>
  <c r="G4511" i="43" s="1"/>
  <c r="E4512" i="43"/>
  <c r="E4511" i="43" s="1"/>
  <c r="D4512" i="43"/>
  <c r="F4509" i="43"/>
  <c r="G4508" i="43"/>
  <c r="G4507" i="43" s="1"/>
  <c r="E4508" i="43"/>
  <c r="D4508" i="43"/>
  <c r="D4507" i="43" s="1"/>
  <c r="F4505" i="43"/>
  <c r="G4504" i="43"/>
  <c r="G4503" i="43" s="1"/>
  <c r="E4504" i="43"/>
  <c r="E4503" i="43" s="1"/>
  <c r="D4504" i="43"/>
  <c r="D4503" i="43"/>
  <c r="F4501" i="43"/>
  <c r="G4500" i="43"/>
  <c r="G4499" i="43" s="1"/>
  <c r="E4500" i="43"/>
  <c r="D4500" i="43"/>
  <c r="D4499" i="43" s="1"/>
  <c r="E4499" i="43"/>
  <c r="F4497" i="43"/>
  <c r="F4496" i="43"/>
  <c r="F4495" i="43"/>
  <c r="F4494" i="43"/>
  <c r="G4492" i="43"/>
  <c r="E4492" i="43"/>
  <c r="D4492" i="43"/>
  <c r="F4490" i="43"/>
  <c r="G4489" i="43"/>
  <c r="E4489" i="43"/>
  <c r="D4489" i="43"/>
  <c r="F4487" i="43"/>
  <c r="G4486" i="43"/>
  <c r="E4486" i="43"/>
  <c r="D4486" i="43"/>
  <c r="F4484" i="43"/>
  <c r="G4483" i="43"/>
  <c r="E4483" i="43"/>
  <c r="D4483" i="43"/>
  <c r="F4481" i="43"/>
  <c r="F4480" i="43"/>
  <c r="F4479" i="43"/>
  <c r="F4478" i="43"/>
  <c r="F4477" i="43"/>
  <c r="F4476" i="43"/>
  <c r="F4475" i="43"/>
  <c r="F4474" i="43"/>
  <c r="G4473" i="43"/>
  <c r="E4473" i="43"/>
  <c r="D4473" i="43"/>
  <c r="F4471" i="43"/>
  <c r="G4470" i="43"/>
  <c r="E4470" i="43"/>
  <c r="D4470" i="43"/>
  <c r="F4468" i="43"/>
  <c r="F4467" i="43"/>
  <c r="F4466" i="43"/>
  <c r="F4465" i="43"/>
  <c r="G4464" i="43"/>
  <c r="E4464" i="43"/>
  <c r="D4464" i="43"/>
  <c r="F4462" i="43"/>
  <c r="F4461" i="43"/>
  <c r="F4460" i="43"/>
  <c r="F4459" i="43"/>
  <c r="G4458" i="43"/>
  <c r="E4458" i="43"/>
  <c r="D4458" i="43"/>
  <c r="F4456" i="43"/>
  <c r="F4455" i="43"/>
  <c r="F4454" i="43"/>
  <c r="G4453" i="43"/>
  <c r="E4453" i="43"/>
  <c r="D4453" i="43"/>
  <c r="F4451" i="43"/>
  <c r="G4450" i="43"/>
  <c r="E4450" i="43"/>
  <c r="D4450" i="43"/>
  <c r="F4448" i="43"/>
  <c r="F4447" i="43"/>
  <c r="F4446" i="43"/>
  <c r="F4445" i="43"/>
  <c r="F4444" i="43"/>
  <c r="F4442" i="43"/>
  <c r="F4441" i="43"/>
  <c r="F4440" i="43"/>
  <c r="G4439" i="43"/>
  <c r="E4439" i="43"/>
  <c r="D4439" i="43"/>
  <c r="F4433" i="43"/>
  <c r="F4432" i="43"/>
  <c r="F4431" i="43"/>
  <c r="F4430" i="43"/>
  <c r="F4429" i="43"/>
  <c r="F4428" i="43"/>
  <c r="F4427" i="43"/>
  <c r="F4426" i="43"/>
  <c r="F4425" i="43"/>
  <c r="F4424" i="43"/>
  <c r="F4423" i="43"/>
  <c r="F4422" i="43"/>
  <c r="F4421" i="43"/>
  <c r="G4420" i="43"/>
  <c r="E4420" i="43"/>
  <c r="D4420" i="43"/>
  <c r="D4418" i="43"/>
  <c r="F4417" i="43"/>
  <c r="F4416" i="43"/>
  <c r="G4415" i="43"/>
  <c r="E4415" i="43"/>
  <c r="F4413" i="43"/>
  <c r="G4411" i="43"/>
  <c r="E4411" i="43"/>
  <c r="D4411" i="43"/>
  <c r="F4409" i="43"/>
  <c r="G4407" i="43"/>
  <c r="E4407" i="43"/>
  <c r="D4407" i="43"/>
  <c r="F4405" i="43"/>
  <c r="F4404" i="43"/>
  <c r="G4403" i="43"/>
  <c r="E4403" i="43"/>
  <c r="D4403" i="43"/>
  <c r="F4401" i="43"/>
  <c r="F4398" i="43"/>
  <c r="F4397" i="43"/>
  <c r="G4396" i="43"/>
  <c r="E4396" i="43"/>
  <c r="D4396" i="43"/>
  <c r="F4394" i="43"/>
  <c r="F4393" i="43"/>
  <c r="F4391" i="43"/>
  <c r="F4390" i="43"/>
  <c r="F4389" i="43"/>
  <c r="F4388" i="43"/>
  <c r="F4387" i="43"/>
  <c r="F4385" i="43"/>
  <c r="F4384" i="43"/>
  <c r="G4383" i="43"/>
  <c r="E4383" i="43"/>
  <c r="D4383" i="43"/>
  <c r="F4369" i="43"/>
  <c r="G4368" i="43"/>
  <c r="G4367" i="43" s="1"/>
  <c r="E4368" i="43"/>
  <c r="D4368" i="43"/>
  <c r="D4367" i="43" s="1"/>
  <c r="F4365" i="43"/>
  <c r="F4364" i="43"/>
  <c r="F4363" i="43"/>
  <c r="G4362" i="43"/>
  <c r="G4361" i="43" s="1"/>
  <c r="E4362" i="43"/>
  <c r="E4361" i="43" s="1"/>
  <c r="D4362" i="43"/>
  <c r="F4359" i="43"/>
  <c r="F4358" i="43"/>
  <c r="F4357" i="43"/>
  <c r="F4356" i="43"/>
  <c r="G4355" i="43"/>
  <c r="G4354" i="43" s="1"/>
  <c r="G4353" i="43" s="1"/>
  <c r="E4355" i="43"/>
  <c r="E4354" i="43" s="1"/>
  <c r="D4355" i="43"/>
  <c r="F4351" i="43"/>
  <c r="G4350" i="43"/>
  <c r="E4350" i="43"/>
  <c r="D4350" i="43"/>
  <c r="F4348" i="43"/>
  <c r="F4347" i="43"/>
  <c r="G4346" i="43"/>
  <c r="E4346" i="43"/>
  <c r="D4346" i="43"/>
  <c r="F4343" i="43"/>
  <c r="G4342" i="43"/>
  <c r="E4342" i="43"/>
  <c r="D4342" i="43"/>
  <c r="F4340" i="43"/>
  <c r="G4339" i="43"/>
  <c r="E4339" i="43"/>
  <c r="D4339" i="43"/>
  <c r="F4334" i="43"/>
  <c r="G4333" i="43"/>
  <c r="G4332" i="43" s="1"/>
  <c r="E4333" i="43"/>
  <c r="D4333" i="43"/>
  <c r="F4330" i="43"/>
  <c r="E4329" i="43"/>
  <c r="D4329" i="43"/>
  <c r="F4327" i="43"/>
  <c r="E4326" i="43"/>
  <c r="D4326" i="43"/>
  <c r="F4323" i="43"/>
  <c r="F4322" i="43"/>
  <c r="F4321" i="43"/>
  <c r="G4320" i="43"/>
  <c r="E4320" i="43"/>
  <c r="D4320" i="43"/>
  <c r="F4318" i="43"/>
  <c r="G4317" i="43"/>
  <c r="G4316" i="43" s="1"/>
  <c r="E4317" i="43"/>
  <c r="D4317" i="43"/>
  <c r="F4314" i="43"/>
  <c r="E4313" i="43"/>
  <c r="D4313" i="43"/>
  <c r="F4311" i="43"/>
  <c r="G4310" i="43"/>
  <c r="E4310" i="43"/>
  <c r="D4310" i="43"/>
  <c r="F4308" i="43"/>
  <c r="G4307" i="43"/>
  <c r="G4306" i="43" s="1"/>
  <c r="E4307" i="43"/>
  <c r="D4307" i="43"/>
  <c r="D4306" i="43" s="1"/>
  <c r="F4304" i="43"/>
  <c r="G4303" i="43"/>
  <c r="G4298" i="43" s="1"/>
  <c r="E4303" i="43"/>
  <c r="D4303" i="43"/>
  <c r="F4301" i="43"/>
  <c r="F4300" i="43"/>
  <c r="G4299" i="43"/>
  <c r="E4299" i="43"/>
  <c r="D4299" i="43"/>
  <c r="E4298" i="43"/>
  <c r="F4296" i="43"/>
  <c r="E4295" i="43"/>
  <c r="D4295" i="43"/>
  <c r="F4293" i="43"/>
  <c r="G4292" i="43"/>
  <c r="E4292" i="43"/>
  <c r="D4292" i="43"/>
  <c r="F4290" i="43"/>
  <c r="G4289" i="43"/>
  <c r="E4289" i="43"/>
  <c r="D4289" i="43"/>
  <c r="F4287" i="43"/>
  <c r="G4286" i="43"/>
  <c r="E4286" i="43"/>
  <c r="D4286" i="43"/>
  <c r="E4285" i="43"/>
  <c r="F4276" i="43"/>
  <c r="G4274" i="43"/>
  <c r="E4274" i="43"/>
  <c r="D4274" i="43"/>
  <c r="F4274" i="43" s="1"/>
  <c r="F4268" i="43"/>
  <c r="G4264" i="43"/>
  <c r="G4259" i="43" s="1"/>
  <c r="E4264" i="43"/>
  <c r="D4264" i="43"/>
  <c r="D4259" i="43" s="1"/>
  <c r="E4259" i="43"/>
  <c r="F4257" i="43"/>
  <c r="G4255" i="43"/>
  <c r="E4255" i="43"/>
  <c r="D4255" i="43"/>
  <c r="F4251" i="43"/>
  <c r="G4250" i="43"/>
  <c r="G4249" i="43" s="1"/>
  <c r="E4250" i="43"/>
  <c r="D4250" i="43"/>
  <c r="F4247" i="43"/>
  <c r="G4246" i="43"/>
  <c r="G4245" i="43" s="1"/>
  <c r="E4246" i="43"/>
  <c r="E4245" i="43" s="1"/>
  <c r="D4246" i="43"/>
  <c r="F4242" i="43"/>
  <c r="G4241" i="43"/>
  <c r="G4240" i="43" s="1"/>
  <c r="E4241" i="43"/>
  <c r="D4241" i="43"/>
  <c r="E4240" i="43"/>
  <c r="D4240" i="43"/>
  <c r="G4238" i="43"/>
  <c r="F4238" i="43"/>
  <c r="E4238" i="43"/>
  <c r="D4238" i="43"/>
  <c r="G4237" i="43"/>
  <c r="F4237" i="43"/>
  <c r="E4237" i="43"/>
  <c r="E4236" i="43" s="1"/>
  <c r="D4237" i="43"/>
  <c r="G4236" i="43"/>
  <c r="F4236" i="43"/>
  <c r="D4236" i="43"/>
  <c r="D4233" i="43"/>
  <c r="D4232" i="43" s="1"/>
  <c r="F4230" i="43"/>
  <c r="G4229" i="43"/>
  <c r="E4229" i="43"/>
  <c r="D4229" i="43"/>
  <c r="F4227" i="43"/>
  <c r="G4226" i="43"/>
  <c r="G4225" i="43" s="1"/>
  <c r="E4226" i="43"/>
  <c r="E4225" i="43" s="1"/>
  <c r="D4226" i="43"/>
  <c r="D4225" i="43" s="1"/>
  <c r="F4223" i="43"/>
  <c r="G4222" i="43"/>
  <c r="E4222" i="43"/>
  <c r="D4222" i="43"/>
  <c r="F4220" i="43"/>
  <c r="G4218" i="43"/>
  <c r="E4218" i="43"/>
  <c r="D4218" i="43"/>
  <c r="F4216" i="43"/>
  <c r="G4215" i="43"/>
  <c r="E4215" i="43"/>
  <c r="D4215" i="43"/>
  <c r="F4213" i="43"/>
  <c r="G4212" i="43"/>
  <c r="G4208" i="43" s="1"/>
  <c r="E4212" i="43"/>
  <c r="D4212" i="43"/>
  <c r="F4206" i="43"/>
  <c r="G4205" i="43"/>
  <c r="E4205" i="43"/>
  <c r="D4205" i="43"/>
  <c r="F4203" i="43"/>
  <c r="G4202" i="43"/>
  <c r="E4202" i="43"/>
  <c r="F4202" i="43" s="1"/>
  <c r="D4202" i="43"/>
  <c r="F4200" i="43"/>
  <c r="F4199" i="43"/>
  <c r="G4198" i="43"/>
  <c r="E4198" i="43"/>
  <c r="D4198" i="43"/>
  <c r="F4196" i="43"/>
  <c r="G4195" i="43"/>
  <c r="E4195" i="43"/>
  <c r="D4195" i="43"/>
  <c r="F4195" i="43" s="1"/>
  <c r="F4193" i="43"/>
  <c r="F4192" i="43"/>
  <c r="G4191" i="43"/>
  <c r="E4191" i="43"/>
  <c r="D4191" i="43"/>
  <c r="F4189" i="43"/>
  <c r="G4188" i="43"/>
  <c r="E4188" i="43"/>
  <c r="D4188" i="43"/>
  <c r="F4186" i="43"/>
  <c r="F4185" i="43"/>
  <c r="F4184" i="43"/>
  <c r="G4183" i="43"/>
  <c r="E4183" i="43"/>
  <c r="F4183" i="43" s="1"/>
  <c r="D4183" i="43"/>
  <c r="F4181" i="43"/>
  <c r="G4180" i="43"/>
  <c r="E4180" i="43"/>
  <c r="F4180" i="43" s="1"/>
  <c r="D4180" i="43"/>
  <c r="F4178" i="43"/>
  <c r="G4177" i="43"/>
  <c r="E4177" i="43"/>
  <c r="D4177" i="43"/>
  <c r="F4174" i="43"/>
  <c r="G4173" i="43"/>
  <c r="E4173" i="43"/>
  <c r="F4173" i="43" s="1"/>
  <c r="D4173" i="43"/>
  <c r="F4171" i="43"/>
  <c r="F4170" i="43"/>
  <c r="F4169" i="43"/>
  <c r="F4168" i="43"/>
  <c r="F4167" i="43"/>
  <c r="F4166" i="43"/>
  <c r="F4165" i="43"/>
  <c r="F4164" i="43"/>
  <c r="F4163" i="43"/>
  <c r="F4162" i="43"/>
  <c r="F4161" i="43"/>
  <c r="F4159" i="43"/>
  <c r="F4157" i="43"/>
  <c r="F4156" i="43"/>
  <c r="F4155" i="43"/>
  <c r="F4154" i="43"/>
  <c r="F4153" i="43"/>
  <c r="G4152" i="43"/>
  <c r="E4152" i="43"/>
  <c r="D4152" i="43"/>
  <c r="F4150" i="43"/>
  <c r="F4149" i="43"/>
  <c r="F4148" i="43"/>
  <c r="G4147" i="43"/>
  <c r="E4147" i="43"/>
  <c r="D4147" i="43"/>
  <c r="F4145" i="43"/>
  <c r="G4144" i="43"/>
  <c r="E4144" i="43"/>
  <c r="F4144" i="43" s="1"/>
  <c r="D4144" i="43"/>
  <c r="D4143" i="43" s="1"/>
  <c r="F4139" i="43"/>
  <c r="G4138" i="43"/>
  <c r="E4138" i="43"/>
  <c r="D4138" i="43"/>
  <c r="F4136" i="43"/>
  <c r="G4135" i="43"/>
  <c r="E4135" i="43"/>
  <c r="D4135" i="43"/>
  <c r="F4132" i="43"/>
  <c r="G4131" i="43"/>
  <c r="E4131" i="43"/>
  <c r="D4131" i="43"/>
  <c r="F4129" i="43"/>
  <c r="G4128" i="43"/>
  <c r="E4128" i="43"/>
  <c r="D4128" i="43"/>
  <c r="F4125" i="43"/>
  <c r="G4124" i="43"/>
  <c r="G4123" i="43" s="1"/>
  <c r="E4124" i="43"/>
  <c r="E4123" i="43" s="1"/>
  <c r="D4124" i="43"/>
  <c r="D4123" i="43"/>
  <c r="F4118" i="43"/>
  <c r="G4113" i="43"/>
  <c r="G4112" i="43" s="1"/>
  <c r="E4113" i="43"/>
  <c r="E4112" i="43" s="1"/>
  <c r="D4113" i="43"/>
  <c r="D4112" i="43" s="1"/>
  <c r="F4110" i="43"/>
  <c r="F4108" i="43"/>
  <c r="F4107" i="43"/>
  <c r="F4106" i="43"/>
  <c r="F4105" i="43"/>
  <c r="F4104" i="43"/>
  <c r="F4103" i="43"/>
  <c r="F4102" i="43"/>
  <c r="G4101" i="43"/>
  <c r="E4101" i="43"/>
  <c r="D4101" i="43"/>
  <c r="F4098" i="43"/>
  <c r="F4097" i="43"/>
  <c r="F4096" i="43"/>
  <c r="G4095" i="43"/>
  <c r="E4095" i="43"/>
  <c r="D4095" i="43"/>
  <c r="F4093" i="43"/>
  <c r="F4092" i="43"/>
  <c r="F4091" i="43"/>
  <c r="G4090" i="43"/>
  <c r="E4090" i="43"/>
  <c r="D4090" i="43"/>
  <c r="F4088" i="43"/>
  <c r="F4087" i="43"/>
  <c r="G4086" i="43"/>
  <c r="E4086" i="43"/>
  <c r="D4086" i="43"/>
  <c r="F4083" i="43"/>
  <c r="G4082" i="43"/>
  <c r="E4082" i="43"/>
  <c r="D4082" i="43"/>
  <c r="F4080" i="43"/>
  <c r="F4079" i="43"/>
  <c r="G4078" i="43"/>
  <c r="E4078" i="43"/>
  <c r="D4078" i="43"/>
  <c r="F4075" i="43"/>
  <c r="G4074" i="43"/>
  <c r="E4074" i="43"/>
  <c r="D4074" i="43"/>
  <c r="F4072" i="43"/>
  <c r="G4071" i="43"/>
  <c r="E4071" i="43"/>
  <c r="D4071" i="43"/>
  <c r="F4069" i="43"/>
  <c r="G4068" i="43"/>
  <c r="E4068" i="43"/>
  <c r="D4068" i="43"/>
  <c r="F4066" i="43"/>
  <c r="G4065" i="43"/>
  <c r="E4065" i="43"/>
  <c r="D4065" i="43"/>
  <c r="F4063" i="43"/>
  <c r="F4062" i="43"/>
  <c r="F4060" i="43"/>
  <c r="F4059" i="43"/>
  <c r="F4058" i="43"/>
  <c r="F4057" i="43"/>
  <c r="F4056" i="43"/>
  <c r="G4055" i="43"/>
  <c r="G4054" i="43" s="1"/>
  <c r="E4055" i="43"/>
  <c r="F4055" i="43" s="1"/>
  <c r="F4052" i="43"/>
  <c r="F4051" i="43"/>
  <c r="F4050" i="43"/>
  <c r="G4049" i="43"/>
  <c r="G4048" i="43" s="1"/>
  <c r="E4049" i="43"/>
  <c r="D4049" i="43"/>
  <c r="D4048" i="43" s="1"/>
  <c r="F4046" i="43"/>
  <c r="F4045" i="43"/>
  <c r="F4044" i="43"/>
  <c r="G4043" i="43"/>
  <c r="G4042" i="43" s="1"/>
  <c r="E4043" i="43"/>
  <c r="D4043" i="43"/>
  <c r="E4042" i="43"/>
  <c r="F4040" i="43"/>
  <c r="F4039" i="43"/>
  <c r="F4038" i="43"/>
  <c r="F4037" i="43"/>
  <c r="F4036" i="43"/>
  <c r="F4035" i="43"/>
  <c r="F4034" i="43"/>
  <c r="F4033" i="43"/>
  <c r="F4032" i="43"/>
  <c r="F4031" i="43"/>
  <c r="F4030" i="43"/>
  <c r="F4029" i="43"/>
  <c r="G4028" i="43"/>
  <c r="G4027" i="43" s="1"/>
  <c r="E4028" i="43"/>
  <c r="D4028" i="43"/>
  <c r="E4027" i="43"/>
  <c r="F4025" i="43"/>
  <c r="F4024" i="43"/>
  <c r="F4023" i="43"/>
  <c r="G4022" i="43"/>
  <c r="E4022" i="43"/>
  <c r="D4022" i="43"/>
  <c r="F4020" i="43"/>
  <c r="F4019" i="43"/>
  <c r="F4018" i="43"/>
  <c r="F4017" i="43"/>
  <c r="F4016" i="43"/>
  <c r="F4015" i="43"/>
  <c r="G4014" i="43"/>
  <c r="E4014" i="43"/>
  <c r="D4014" i="43"/>
  <c r="F4012" i="43"/>
  <c r="F4011" i="43"/>
  <c r="G4010" i="43"/>
  <c r="E4010" i="43"/>
  <c r="D4010" i="43"/>
  <c r="F4008" i="43"/>
  <c r="F4007" i="43"/>
  <c r="F4006" i="43"/>
  <c r="F4005" i="43"/>
  <c r="F4004" i="43"/>
  <c r="F4003" i="43"/>
  <c r="F4002" i="43"/>
  <c r="G4001" i="43"/>
  <c r="E4001" i="43"/>
  <c r="D4001" i="43"/>
  <c r="F3998" i="43"/>
  <c r="F3997" i="43"/>
  <c r="F3996" i="43"/>
  <c r="F3995" i="43"/>
  <c r="G3994" i="43"/>
  <c r="G3993" i="43" s="1"/>
  <c r="E3994" i="43"/>
  <c r="E3993" i="43" s="1"/>
  <c r="D3994" i="43"/>
  <c r="D3993" i="43" s="1"/>
  <c r="F3991" i="43"/>
  <c r="F3990" i="43"/>
  <c r="G3989" i="43"/>
  <c r="E3989" i="43"/>
  <c r="D3989" i="43"/>
  <c r="F3987" i="43"/>
  <c r="G3986" i="43"/>
  <c r="E3986" i="43"/>
  <c r="D3986" i="43"/>
  <c r="F3984" i="43"/>
  <c r="G3983" i="43"/>
  <c r="E3983" i="43"/>
  <c r="D3983" i="43"/>
  <c r="F3979" i="43"/>
  <c r="F3978" i="43"/>
  <c r="F3977" i="43"/>
  <c r="G3975" i="43"/>
  <c r="E3975" i="43"/>
  <c r="D3975" i="43"/>
  <c r="F3972" i="43"/>
  <c r="F3971" i="43"/>
  <c r="G3970" i="43"/>
  <c r="E3970" i="43"/>
  <c r="D3970" i="43"/>
  <c r="F3968" i="43"/>
  <c r="F3967" i="43"/>
  <c r="E3966" i="43"/>
  <c r="D3966" i="43"/>
  <c r="F3964" i="43"/>
  <c r="F3963" i="43"/>
  <c r="G3962" i="43"/>
  <c r="E3962" i="43"/>
  <c r="D3962" i="43"/>
  <c r="F3960" i="43"/>
  <c r="F3959" i="43"/>
  <c r="F3958" i="43"/>
  <c r="F3957" i="43"/>
  <c r="F3955" i="43"/>
  <c r="G3954" i="43"/>
  <c r="E3954" i="43"/>
  <c r="D3954" i="43"/>
  <c r="F3952" i="43"/>
  <c r="F3951" i="43"/>
  <c r="F3950" i="43"/>
  <c r="F3949" i="43"/>
  <c r="F3948" i="43"/>
  <c r="F3947" i="43"/>
  <c r="F3946" i="43"/>
  <c r="F3945" i="43"/>
  <c r="F3944" i="43"/>
  <c r="F3943" i="43"/>
  <c r="F3942" i="43"/>
  <c r="F3941" i="43"/>
  <c r="F3940" i="43"/>
  <c r="F3939" i="43"/>
  <c r="F3938" i="43"/>
  <c r="F3937" i="43"/>
  <c r="F3936" i="43"/>
  <c r="F3935" i="43"/>
  <c r="G3934" i="43"/>
  <c r="E3934" i="43"/>
  <c r="D3934" i="43"/>
  <c r="F3932" i="43"/>
  <c r="F3931" i="43"/>
  <c r="F3930" i="43"/>
  <c r="F3929" i="43"/>
  <c r="F3928" i="43"/>
  <c r="F3927" i="43"/>
  <c r="G3926" i="43"/>
  <c r="E3926" i="43"/>
  <c r="D3926" i="43"/>
  <c r="F3924" i="43"/>
  <c r="F3923" i="43"/>
  <c r="F3922" i="43"/>
  <c r="F3921" i="43"/>
  <c r="F3919" i="43"/>
  <c r="F3918" i="43"/>
  <c r="F3917" i="43"/>
  <c r="F3916" i="43"/>
  <c r="F3915" i="43"/>
  <c r="F3914" i="43"/>
  <c r="F3913" i="43"/>
  <c r="F3910" i="43"/>
  <c r="F3909" i="43"/>
  <c r="F3908" i="43"/>
  <c r="G3907" i="43"/>
  <c r="E3907" i="43"/>
  <c r="F3907" i="43" s="1"/>
  <c r="D3907" i="43"/>
  <c r="F3905" i="43"/>
  <c r="F3904" i="43"/>
  <c r="F3903" i="43"/>
  <c r="F3902" i="43"/>
  <c r="F3901" i="43"/>
  <c r="F3900" i="43"/>
  <c r="F3899" i="43"/>
  <c r="F3898" i="43"/>
  <c r="F3897" i="43"/>
  <c r="F3896" i="43"/>
  <c r="F3895" i="43"/>
  <c r="F3894" i="43"/>
  <c r="F3892" i="43"/>
  <c r="G3891" i="43"/>
  <c r="E3891" i="43"/>
  <c r="D3891" i="43"/>
  <c r="F3889" i="43"/>
  <c r="F3887" i="43"/>
  <c r="F3886" i="43"/>
  <c r="G3885" i="43"/>
  <c r="E3885" i="43"/>
  <c r="D3885" i="43"/>
  <c r="F3879" i="43"/>
  <c r="F3878" i="43"/>
  <c r="F3876" i="43"/>
  <c r="F3874" i="43"/>
  <c r="F3873" i="43"/>
  <c r="F3872" i="43"/>
  <c r="F3871" i="43"/>
  <c r="F3870" i="43"/>
  <c r="G3869" i="43"/>
  <c r="E3869" i="43"/>
  <c r="D3869" i="43"/>
  <c r="F3867" i="43"/>
  <c r="G3866" i="43"/>
  <c r="E3866" i="43"/>
  <c r="D3866" i="43"/>
  <c r="F3864" i="43"/>
  <c r="F3863" i="43"/>
  <c r="F3862" i="43"/>
  <c r="F3861" i="43"/>
  <c r="F3859" i="43"/>
  <c r="F3858" i="43"/>
  <c r="F3857" i="43"/>
  <c r="F3856" i="43"/>
  <c r="F3855" i="43"/>
  <c r="F3854" i="43"/>
  <c r="G3853" i="43"/>
  <c r="E3853" i="43"/>
  <c r="D3853" i="43"/>
  <c r="F3851" i="43"/>
  <c r="G3850" i="43"/>
  <c r="E3850" i="43"/>
  <c r="D3850" i="43"/>
  <c r="F3848" i="43"/>
  <c r="F3847" i="43"/>
  <c r="F3846" i="43"/>
  <c r="F3845" i="43"/>
  <c r="F3843" i="43"/>
  <c r="F3841" i="43"/>
  <c r="F3840" i="43"/>
  <c r="F3836" i="43"/>
  <c r="F3835" i="43"/>
  <c r="G3832" i="43"/>
  <c r="E3832" i="43"/>
  <c r="D3832" i="43"/>
  <c r="F3830" i="43"/>
  <c r="E3829" i="43"/>
  <c r="D3829" i="43"/>
  <c r="F3827" i="43"/>
  <c r="F3826" i="43"/>
  <c r="F3825" i="43"/>
  <c r="F3824" i="43"/>
  <c r="F3823" i="43"/>
  <c r="F3822" i="43"/>
  <c r="F3821" i="43"/>
  <c r="F3820" i="43"/>
  <c r="F3819" i="43"/>
  <c r="F3818" i="43"/>
  <c r="F3817" i="43"/>
  <c r="F3815" i="43"/>
  <c r="F3814" i="43"/>
  <c r="F3813" i="43"/>
  <c r="F3812" i="43"/>
  <c r="G3811" i="43"/>
  <c r="E3811" i="43"/>
  <c r="D3811" i="43"/>
  <c r="F3809" i="43"/>
  <c r="F3808" i="43"/>
  <c r="F3807" i="43"/>
  <c r="F3806" i="43"/>
  <c r="F3805" i="43"/>
  <c r="G3804" i="43"/>
  <c r="E3804" i="43"/>
  <c r="D3804" i="43"/>
  <c r="F3802" i="43"/>
  <c r="F3801" i="43"/>
  <c r="G3800" i="43"/>
  <c r="E3800" i="43"/>
  <c r="D3800" i="43"/>
  <c r="F3796" i="43"/>
  <c r="G3795" i="43"/>
  <c r="G3794" i="43" s="1"/>
  <c r="E3795" i="43"/>
  <c r="E3794" i="43" s="1"/>
  <c r="D3795" i="43"/>
  <c r="D3794" i="43"/>
  <c r="D3791" i="43"/>
  <c r="D3790" i="43" s="1"/>
  <c r="D3788" i="43"/>
  <c r="F3788" i="43" s="1"/>
  <c r="F3787" i="43"/>
  <c r="F3786" i="43"/>
  <c r="G3785" i="43"/>
  <c r="E3785" i="43"/>
  <c r="D3785" i="43"/>
  <c r="F3783" i="43"/>
  <c r="G3782" i="43"/>
  <c r="E3782" i="43"/>
  <c r="D3782" i="43"/>
  <c r="F3780" i="43"/>
  <c r="G3779" i="43"/>
  <c r="E3779" i="43"/>
  <c r="D3779" i="43"/>
  <c r="F3776" i="43"/>
  <c r="F3775" i="43"/>
  <c r="F3774" i="43"/>
  <c r="F3773" i="43"/>
  <c r="F3772" i="43"/>
  <c r="F3771" i="43"/>
  <c r="G3770" i="43"/>
  <c r="G3769" i="43" s="1"/>
  <c r="E3770" i="43"/>
  <c r="E3769" i="43" s="1"/>
  <c r="D3770" i="43"/>
  <c r="D3769" i="43" s="1"/>
  <c r="F3767" i="43"/>
  <c r="F3766" i="43"/>
  <c r="G3765" i="43"/>
  <c r="E3765" i="43"/>
  <c r="F3765" i="43" s="1"/>
  <c r="D3765" i="43"/>
  <c r="F3763" i="43"/>
  <c r="F3762" i="43"/>
  <c r="F3761" i="43"/>
  <c r="F3760" i="43"/>
  <c r="F3759" i="43"/>
  <c r="F3758" i="43"/>
  <c r="F3757" i="43"/>
  <c r="F3756" i="43"/>
  <c r="G3755" i="43"/>
  <c r="E3755" i="43"/>
  <c r="D3755" i="43"/>
  <c r="F3753" i="43"/>
  <c r="G3752" i="43"/>
  <c r="E3752" i="43"/>
  <c r="D3752" i="43"/>
  <c r="F3750" i="43"/>
  <c r="F3749" i="43"/>
  <c r="F3748" i="43"/>
  <c r="F3747" i="43"/>
  <c r="G3746" i="43"/>
  <c r="E3746" i="43"/>
  <c r="D3746" i="43"/>
  <c r="F3744" i="43"/>
  <c r="F3743" i="43"/>
  <c r="F3742" i="43"/>
  <c r="F3741" i="43"/>
  <c r="F3740" i="43"/>
  <c r="F3739" i="43"/>
  <c r="F3738" i="43"/>
  <c r="F3737" i="43"/>
  <c r="F3736" i="43"/>
  <c r="G3735" i="43"/>
  <c r="E3735" i="43"/>
  <c r="D3735" i="43"/>
  <c r="F3733" i="43"/>
  <c r="F3732" i="43"/>
  <c r="F3731" i="43"/>
  <c r="F3730" i="43"/>
  <c r="F3729" i="43"/>
  <c r="F3728" i="43"/>
  <c r="G3727" i="43"/>
  <c r="E3727" i="43"/>
  <c r="D3727" i="43"/>
  <c r="F3724" i="43"/>
  <c r="G3723" i="43"/>
  <c r="G3722" i="43" s="1"/>
  <c r="E3723" i="43"/>
  <c r="E3722" i="43" s="1"/>
  <c r="D3723" i="43"/>
  <c r="D3722" i="43" s="1"/>
  <c r="F3720" i="43"/>
  <c r="G3719" i="43"/>
  <c r="E3719" i="43"/>
  <c r="E3714" i="43" s="1"/>
  <c r="D3719" i="43"/>
  <c r="F3717" i="43"/>
  <c r="F3716" i="43"/>
  <c r="G3715" i="43"/>
  <c r="E3715" i="43"/>
  <c r="D3715" i="43"/>
  <c r="F3712" i="43"/>
  <c r="F3711" i="43"/>
  <c r="G3710" i="43"/>
  <c r="E3710" i="43"/>
  <c r="D3710" i="43"/>
  <c r="F3708" i="43"/>
  <c r="G3707" i="43"/>
  <c r="G3706" i="43" s="1"/>
  <c r="E3707" i="43"/>
  <c r="D3707" i="43"/>
  <c r="F3704" i="43"/>
  <c r="F3703" i="43"/>
  <c r="F3702" i="43"/>
  <c r="F3701" i="43"/>
  <c r="G3700" i="43"/>
  <c r="E3700" i="43"/>
  <c r="D3700" i="43"/>
  <c r="F3698" i="43"/>
  <c r="F3697" i="43"/>
  <c r="F3696" i="43"/>
  <c r="F3694" i="43"/>
  <c r="G3693" i="43"/>
  <c r="E3693" i="43"/>
  <c r="D3693" i="43"/>
  <c r="F3691" i="43"/>
  <c r="F3690" i="43"/>
  <c r="F3689" i="43"/>
  <c r="F3688" i="43"/>
  <c r="F3686" i="43"/>
  <c r="G3685" i="43"/>
  <c r="E3685" i="43"/>
  <c r="D3685" i="43"/>
  <c r="F3682" i="43"/>
  <c r="F3681" i="43"/>
  <c r="F3680" i="43"/>
  <c r="G3679" i="43"/>
  <c r="E3679" i="43"/>
  <c r="D3679" i="43"/>
  <c r="F3677" i="43"/>
  <c r="G3676" i="43"/>
  <c r="E3676" i="43"/>
  <c r="D3676" i="43"/>
  <c r="D3675" i="43" s="1"/>
  <c r="F3670" i="43"/>
  <c r="F3669" i="43"/>
  <c r="G3668" i="43"/>
  <c r="E3668" i="43"/>
  <c r="D3668" i="43"/>
  <c r="F3666" i="43"/>
  <c r="F3665" i="43"/>
  <c r="F3664" i="43"/>
  <c r="F3663" i="43"/>
  <c r="F3662" i="43"/>
  <c r="F3661" i="43"/>
  <c r="F3660" i="43"/>
  <c r="F3659" i="43"/>
  <c r="F3658" i="43"/>
  <c r="G3657" i="43"/>
  <c r="G3656" i="43" s="1"/>
  <c r="E3657" i="43"/>
  <c r="D3657" i="43"/>
  <c r="F3654" i="43"/>
  <c r="G3653" i="43"/>
  <c r="G3652" i="43" s="1"/>
  <c r="E3653" i="43"/>
  <c r="D3653" i="43"/>
  <c r="E3652" i="43"/>
  <c r="F3650" i="43"/>
  <c r="G3649" i="43"/>
  <c r="E3649" i="43"/>
  <c r="D3649" i="43"/>
  <c r="F3647" i="43"/>
  <c r="F3646" i="43"/>
  <c r="G3645" i="43"/>
  <c r="E3645" i="43"/>
  <c r="D3645" i="43"/>
  <c r="F3643" i="43"/>
  <c r="F3642" i="43"/>
  <c r="E3641" i="43"/>
  <c r="D3641" i="43"/>
  <c r="F3639" i="43"/>
  <c r="F3638" i="43"/>
  <c r="G3637" i="43"/>
  <c r="E3637" i="43"/>
  <c r="D3637" i="43"/>
  <c r="F3635" i="43"/>
  <c r="F3634" i="43"/>
  <c r="F3633" i="43"/>
  <c r="G3632" i="43"/>
  <c r="E3632" i="43"/>
  <c r="D3632" i="43"/>
  <c r="F3629" i="43"/>
  <c r="F3628" i="43"/>
  <c r="G3627" i="43"/>
  <c r="G3626" i="43" s="1"/>
  <c r="F3627" i="43"/>
  <c r="E3626" i="43"/>
  <c r="D3626" i="43"/>
  <c r="F3624" i="43"/>
  <c r="G3623" i="43"/>
  <c r="E3623" i="43"/>
  <c r="D3623" i="43"/>
  <c r="F3621" i="43"/>
  <c r="F3620" i="43"/>
  <c r="F3619" i="43"/>
  <c r="F3618" i="43"/>
  <c r="G3617" i="43"/>
  <c r="E3617" i="43"/>
  <c r="D3617" i="43"/>
  <c r="F3615" i="43"/>
  <c r="F3614" i="43"/>
  <c r="F3613" i="43"/>
  <c r="G3612" i="43"/>
  <c r="E3612" i="43"/>
  <c r="D3612" i="43"/>
  <c r="F3609" i="43"/>
  <c r="G3608" i="43"/>
  <c r="E3608" i="43"/>
  <c r="D3608" i="43"/>
  <c r="F3606" i="43"/>
  <c r="G3605" i="43"/>
  <c r="G3604" i="43" s="1"/>
  <c r="E3605" i="43"/>
  <c r="D3605" i="43"/>
  <c r="F3602" i="43"/>
  <c r="F3601" i="43"/>
  <c r="G3600" i="43"/>
  <c r="E3600" i="43"/>
  <c r="D3600" i="43"/>
  <c r="F3598" i="43"/>
  <c r="F3597" i="43"/>
  <c r="G3596" i="43"/>
  <c r="E3596" i="43"/>
  <c r="D3596" i="43"/>
  <c r="F3594" i="43"/>
  <c r="G3593" i="43"/>
  <c r="E3593" i="43"/>
  <c r="D3593" i="43"/>
  <c r="F3590" i="43"/>
  <c r="F3589" i="43"/>
  <c r="G3588" i="43"/>
  <c r="E3588" i="43"/>
  <c r="D3588" i="43"/>
  <c r="F3586" i="43"/>
  <c r="G3585" i="43"/>
  <c r="E3585" i="43"/>
  <c r="D3585" i="43"/>
  <c r="F3583" i="43"/>
  <c r="G3582" i="43"/>
  <c r="E3582" i="43"/>
  <c r="D3582" i="43"/>
  <c r="D3579" i="43"/>
  <c r="F3577" i="43"/>
  <c r="F3576" i="43"/>
  <c r="F3575" i="43"/>
  <c r="F3574" i="43"/>
  <c r="F3573" i="43"/>
  <c r="G3572" i="43"/>
  <c r="E3572" i="43"/>
  <c r="D3572" i="43"/>
  <c r="F3568" i="43"/>
  <c r="F3555" i="43"/>
  <c r="F3553" i="43"/>
  <c r="G3552" i="43"/>
  <c r="E3552" i="43"/>
  <c r="D3552" i="43"/>
  <c r="F3550" i="43"/>
  <c r="F3549" i="43"/>
  <c r="F3548" i="43"/>
  <c r="F3547" i="43"/>
  <c r="F3546" i="43"/>
  <c r="F3545" i="43"/>
  <c r="G3544" i="43"/>
  <c r="E3544" i="43"/>
  <c r="D3544" i="43"/>
  <c r="F3542" i="43"/>
  <c r="F3538" i="43"/>
  <c r="G3533" i="43"/>
  <c r="E3533" i="43"/>
  <c r="D3533" i="43"/>
  <c r="F3531" i="43"/>
  <c r="F3530" i="43"/>
  <c r="F3529" i="43"/>
  <c r="G3528" i="43"/>
  <c r="E3528" i="43"/>
  <c r="D3528" i="43"/>
  <c r="F3526" i="43"/>
  <c r="F3525" i="43"/>
  <c r="F3524" i="43"/>
  <c r="F3523" i="43"/>
  <c r="F3518" i="43"/>
  <c r="G3513" i="43"/>
  <c r="E3513" i="43"/>
  <c r="D3513" i="43"/>
  <c r="F3511" i="43"/>
  <c r="F3510" i="43"/>
  <c r="F3509" i="43"/>
  <c r="G3508" i="43"/>
  <c r="E3508" i="43"/>
  <c r="D3508" i="43"/>
  <c r="F3505" i="43"/>
  <c r="E3504" i="43"/>
  <c r="D3504" i="43"/>
  <c r="F3502" i="43"/>
  <c r="F3501" i="43"/>
  <c r="F3500" i="43"/>
  <c r="G3499" i="43"/>
  <c r="E3499" i="43"/>
  <c r="D3499" i="43"/>
  <c r="F3497" i="43"/>
  <c r="G3496" i="43"/>
  <c r="E3496" i="43"/>
  <c r="D3496" i="43"/>
  <c r="F3494" i="43"/>
  <c r="F3493" i="43"/>
  <c r="G3492" i="43"/>
  <c r="E3492" i="43"/>
  <c r="D3492" i="43"/>
  <c r="F3490" i="43"/>
  <c r="F3489" i="43"/>
  <c r="G3488" i="43"/>
  <c r="E3488" i="43"/>
  <c r="D3488" i="43"/>
  <c r="F3486" i="43"/>
  <c r="F3485" i="43"/>
  <c r="F3484" i="43"/>
  <c r="F3483" i="43"/>
  <c r="F3482" i="43"/>
  <c r="F3481" i="43"/>
  <c r="G3480" i="43"/>
  <c r="E3480" i="43"/>
  <c r="D3480" i="43"/>
  <c r="F3472" i="43"/>
  <c r="F3471" i="43"/>
  <c r="F3470" i="43"/>
  <c r="F3469" i="43"/>
  <c r="F3468" i="43"/>
  <c r="F3467" i="43"/>
  <c r="F3466" i="43"/>
  <c r="F3465" i="43"/>
  <c r="F3464" i="43"/>
  <c r="F3463" i="43"/>
  <c r="F3462" i="43"/>
  <c r="F3460" i="43"/>
  <c r="F3459" i="43"/>
  <c r="F3458" i="43"/>
  <c r="F3457" i="43"/>
  <c r="F3456" i="43"/>
  <c r="F3455" i="43"/>
  <c r="F3454" i="43"/>
  <c r="F3453" i="43"/>
  <c r="F3452" i="43"/>
  <c r="F3451" i="43"/>
  <c r="F3450" i="43"/>
  <c r="F3449" i="43"/>
  <c r="G3448" i="43"/>
  <c r="E3448" i="43"/>
  <c r="D3448" i="43"/>
  <c r="F3446" i="43"/>
  <c r="F3445" i="43"/>
  <c r="F3444" i="43"/>
  <c r="F3443" i="43"/>
  <c r="G3439" i="43"/>
  <c r="G3438" i="43" s="1"/>
  <c r="E3439" i="43"/>
  <c r="D3439" i="43"/>
  <c r="F3430" i="43"/>
  <c r="E3429" i="43"/>
  <c r="F3429" i="43" s="1"/>
  <c r="D3429" i="43"/>
  <c r="D3428" i="43" s="1"/>
  <c r="D3426" i="43"/>
  <c r="G3425" i="43"/>
  <c r="E3425" i="43"/>
  <c r="F3423" i="43"/>
  <c r="F3422" i="43"/>
  <c r="G3421" i="43"/>
  <c r="E3421" i="43"/>
  <c r="D3421" i="43"/>
  <c r="F3419" i="43"/>
  <c r="F3418" i="43"/>
  <c r="F3417" i="43"/>
  <c r="G3416" i="43"/>
  <c r="E3416" i="43"/>
  <c r="D3416" i="43"/>
  <c r="F3413" i="43"/>
  <c r="F3412" i="43"/>
  <c r="G3411" i="43"/>
  <c r="G3407" i="43" s="1"/>
  <c r="E3411" i="43"/>
  <c r="E3407" i="43" s="1"/>
  <c r="D3411" i="43"/>
  <c r="F3409" i="43"/>
  <c r="E3408" i="43"/>
  <c r="D3408" i="43"/>
  <c r="F3398" i="43"/>
  <c r="F3397" i="43"/>
  <c r="F3396" i="43"/>
  <c r="F3395" i="43"/>
  <c r="G3394" i="43"/>
  <c r="G3393" i="43" s="1"/>
  <c r="E3394" i="43"/>
  <c r="D3394" i="43"/>
  <c r="E3393" i="43"/>
  <c r="D3393" i="43"/>
  <c r="F3391" i="43"/>
  <c r="G3390" i="43"/>
  <c r="G3389" i="43" s="1"/>
  <c r="E3390" i="43"/>
  <c r="E3389" i="43" s="1"/>
  <c r="D3390" i="43"/>
  <c r="D3389" i="43" s="1"/>
  <c r="F3387" i="43"/>
  <c r="G3386" i="43"/>
  <c r="E3386" i="43"/>
  <c r="D3386" i="43"/>
  <c r="F3384" i="43"/>
  <c r="F3383" i="43"/>
  <c r="G3382" i="43"/>
  <c r="E3382" i="43"/>
  <c r="D3382" i="43"/>
  <c r="F3380" i="43"/>
  <c r="G3379" i="43"/>
  <c r="E3379" i="43"/>
  <c r="D3379" i="43"/>
  <c r="D3378" i="43" s="1"/>
  <c r="F3376" i="43"/>
  <c r="E3375" i="43"/>
  <c r="D3375" i="43"/>
  <c r="F3373" i="43"/>
  <c r="E3372" i="43"/>
  <c r="E3359" i="43" s="1"/>
  <c r="D3372" i="43"/>
  <c r="F3370" i="43"/>
  <c r="F3369" i="43"/>
  <c r="G3368" i="43"/>
  <c r="E3368" i="43"/>
  <c r="D3368" i="43"/>
  <c r="F3366" i="43"/>
  <c r="G3365" i="43"/>
  <c r="E3365" i="43"/>
  <c r="D3365" i="43"/>
  <c r="F3363" i="43"/>
  <c r="F3362" i="43"/>
  <c r="F3361" i="43"/>
  <c r="G3360" i="43"/>
  <c r="E3360" i="43"/>
  <c r="D3360" i="43"/>
  <c r="F3357" i="43"/>
  <c r="F3356" i="43"/>
  <c r="F3355" i="43"/>
  <c r="G3354" i="43"/>
  <c r="E3354" i="43"/>
  <c r="D3354" i="43"/>
  <c r="F3352" i="43"/>
  <c r="F3351" i="43"/>
  <c r="G3350" i="43"/>
  <c r="E3350" i="43"/>
  <c r="D3350" i="43"/>
  <c r="F3348" i="43"/>
  <c r="G3347" i="43"/>
  <c r="E3347" i="43"/>
  <c r="D3347" i="43"/>
  <c r="F3345" i="43"/>
  <c r="G3344" i="43"/>
  <c r="E3344" i="43"/>
  <c r="D3344" i="43"/>
  <c r="F3342" i="43"/>
  <c r="F3341" i="43"/>
  <c r="G3340" i="43"/>
  <c r="E3340" i="43"/>
  <c r="D3340" i="43"/>
  <c r="F3338" i="43"/>
  <c r="G3336" i="43"/>
  <c r="E3336" i="43"/>
  <c r="D3336" i="43"/>
  <c r="F3334" i="43"/>
  <c r="F3333" i="43"/>
  <c r="F3332" i="43"/>
  <c r="G3331" i="43"/>
  <c r="G3327" i="43" s="1"/>
  <c r="E3331" i="43"/>
  <c r="D3331" i="43"/>
  <c r="F3329" i="43"/>
  <c r="E3328" i="43"/>
  <c r="D3328" i="43"/>
  <c r="F3325" i="43"/>
  <c r="G3324" i="43"/>
  <c r="E3324" i="43"/>
  <c r="D3324" i="43"/>
  <c r="F3324" i="43" s="1"/>
  <c r="F3322" i="43"/>
  <c r="G3321" i="43"/>
  <c r="E3321" i="43"/>
  <c r="D3321" i="43"/>
  <c r="F3319" i="43"/>
  <c r="F3318" i="43"/>
  <c r="F3317" i="43"/>
  <c r="F3316" i="43"/>
  <c r="F3315" i="43"/>
  <c r="F3314" i="43"/>
  <c r="F3313" i="43"/>
  <c r="G3312" i="43"/>
  <c r="E3312" i="43"/>
  <c r="D3312" i="43"/>
  <c r="F3309" i="43"/>
  <c r="G3308" i="43"/>
  <c r="E3308" i="43"/>
  <c r="D3308" i="43"/>
  <c r="F3306" i="43"/>
  <c r="G3305" i="43"/>
  <c r="E3305" i="43"/>
  <c r="D3305" i="43"/>
  <c r="F3303" i="43"/>
  <c r="G3302" i="43"/>
  <c r="E3302" i="43"/>
  <c r="D3302" i="43"/>
  <c r="F3300" i="43"/>
  <c r="G3299" i="43"/>
  <c r="E3299" i="43"/>
  <c r="D3299" i="43"/>
  <c r="F3297" i="43"/>
  <c r="G3296" i="43"/>
  <c r="E3296" i="43"/>
  <c r="E3295" i="43" s="1"/>
  <c r="D3296" i="43"/>
  <c r="F3293" i="43"/>
  <c r="G3292" i="43"/>
  <c r="E3292" i="43"/>
  <c r="D3292" i="43"/>
  <c r="F3290" i="43"/>
  <c r="G3289" i="43"/>
  <c r="E3289" i="43"/>
  <c r="D3289" i="43"/>
  <c r="F3287" i="43"/>
  <c r="F3286" i="43"/>
  <c r="G3285" i="43"/>
  <c r="E3285" i="43"/>
  <c r="D3285" i="43"/>
  <c r="F3283" i="43"/>
  <c r="F3282" i="43"/>
  <c r="F3281" i="43"/>
  <c r="G3280" i="43"/>
  <c r="E3280" i="43"/>
  <c r="D3280" i="43"/>
  <c r="F3278" i="43"/>
  <c r="F3277" i="43"/>
  <c r="G3276" i="43"/>
  <c r="E3276" i="43"/>
  <c r="D3276" i="43"/>
  <c r="F3274" i="43"/>
  <c r="G3273" i="43"/>
  <c r="E3273" i="43"/>
  <c r="D3273" i="43"/>
  <c r="F3271" i="43"/>
  <c r="E3270" i="43"/>
  <c r="D3270" i="43"/>
  <c r="F3268" i="43"/>
  <c r="E3267" i="43"/>
  <c r="D3267" i="43"/>
  <c r="F3265" i="43"/>
  <c r="F3264" i="43"/>
  <c r="G3263" i="43"/>
  <c r="E3263" i="43"/>
  <c r="D3263" i="43"/>
  <c r="F3261" i="43"/>
  <c r="F3260" i="43"/>
  <c r="G3258" i="43"/>
  <c r="E3258" i="43"/>
  <c r="D3258" i="43"/>
  <c r="F3256" i="43"/>
  <c r="G3255" i="43"/>
  <c r="E3255" i="43"/>
  <c r="D3255" i="43"/>
  <c r="F3252" i="43"/>
  <c r="F3251" i="43"/>
  <c r="F3250" i="43"/>
  <c r="G3249" i="43"/>
  <c r="E3249" i="43"/>
  <c r="D3249" i="43"/>
  <c r="F3247" i="43"/>
  <c r="F3246" i="43"/>
  <c r="F3245" i="43"/>
  <c r="G3244" i="43"/>
  <c r="E3244" i="43"/>
  <c r="D3244" i="43"/>
  <c r="F3242" i="43"/>
  <c r="F3241" i="43"/>
  <c r="G3240" i="43"/>
  <c r="E3240" i="43"/>
  <c r="D3240" i="43"/>
  <c r="F3238" i="43"/>
  <c r="F3237" i="43"/>
  <c r="F3235" i="43"/>
  <c r="F3234" i="43"/>
  <c r="G3232" i="43"/>
  <c r="E3232" i="43"/>
  <c r="D3232" i="43"/>
  <c r="F3230" i="43"/>
  <c r="G3229" i="43"/>
  <c r="E3229" i="43"/>
  <c r="D3229" i="43"/>
  <c r="E3226" i="43"/>
  <c r="D3226" i="43"/>
  <c r="F3222" i="43"/>
  <c r="F3221" i="43"/>
  <c r="G3220" i="43"/>
  <c r="E3220" i="43"/>
  <c r="E3214" i="43" s="1"/>
  <c r="J3221" i="43" s="1"/>
  <c r="D3220" i="43"/>
  <c r="F3218" i="43"/>
  <c r="J3217" i="43"/>
  <c r="G3217" i="43"/>
  <c r="E3217" i="43"/>
  <c r="D3217" i="43"/>
  <c r="D3215" i="43"/>
  <c r="F3215" i="43" s="1"/>
  <c r="F3212" i="43"/>
  <c r="G3211" i="43"/>
  <c r="G3210" i="43" s="1"/>
  <c r="E3211" i="43"/>
  <c r="E3210" i="43" s="1"/>
  <c r="D3211" i="43"/>
  <c r="D3210" i="43" s="1"/>
  <c r="F3207" i="43"/>
  <c r="G3206" i="43"/>
  <c r="E3206" i="43"/>
  <c r="D3206" i="43"/>
  <c r="F3204" i="43"/>
  <c r="F3203" i="43"/>
  <c r="F3202" i="43"/>
  <c r="F3201" i="43"/>
  <c r="F3200" i="43"/>
  <c r="F3199" i="43"/>
  <c r="F3198" i="43"/>
  <c r="G3197" i="43"/>
  <c r="E3197" i="43"/>
  <c r="D3197" i="43"/>
  <c r="F3194" i="43"/>
  <c r="F3193" i="43"/>
  <c r="F3192" i="43"/>
  <c r="F3191" i="43"/>
  <c r="F3190" i="43"/>
  <c r="G3189" i="43"/>
  <c r="E3189" i="43"/>
  <c r="D3189" i="43"/>
  <c r="F3187" i="43"/>
  <c r="F3186" i="43"/>
  <c r="F3185" i="43"/>
  <c r="F3184" i="43"/>
  <c r="F3183" i="43"/>
  <c r="F3182" i="43"/>
  <c r="F3181" i="43"/>
  <c r="G3180" i="43"/>
  <c r="E3180" i="43"/>
  <c r="D3180" i="43"/>
  <c r="F3178" i="43"/>
  <c r="F3177" i="43"/>
  <c r="F3176" i="43"/>
  <c r="G3174" i="43"/>
  <c r="E3174" i="43"/>
  <c r="D3174" i="43"/>
  <c r="F3172" i="43"/>
  <c r="F3171" i="43"/>
  <c r="F3170" i="43"/>
  <c r="F3169" i="43"/>
  <c r="F3168" i="43"/>
  <c r="F3167" i="43"/>
  <c r="F3166" i="43"/>
  <c r="G3165" i="43"/>
  <c r="G3164" i="43" s="1"/>
  <c r="E3165" i="43"/>
  <c r="E3164" i="43" s="1"/>
  <c r="D3165" i="43"/>
  <c r="F3162" i="43"/>
  <c r="G3161" i="43"/>
  <c r="E3161" i="43"/>
  <c r="D3161" i="43"/>
  <c r="F3155" i="43"/>
  <c r="G3153" i="43"/>
  <c r="E3153" i="43"/>
  <c r="D3153" i="43"/>
  <c r="F3149" i="43"/>
  <c r="F3148" i="43"/>
  <c r="F3147" i="43"/>
  <c r="F3146" i="43"/>
  <c r="F3145" i="43"/>
  <c r="F3144" i="43"/>
  <c r="F3143" i="43"/>
  <c r="G3142" i="43"/>
  <c r="E3142" i="43"/>
  <c r="D3142" i="43"/>
  <c r="F3139" i="43"/>
  <c r="F3138" i="43"/>
  <c r="F3137" i="43"/>
  <c r="G3136" i="43"/>
  <c r="G3135" i="43" s="1"/>
  <c r="E3136" i="43"/>
  <c r="D3136" i="43"/>
  <c r="D3135" i="43" s="1"/>
  <c r="F3133" i="43"/>
  <c r="F3132" i="43"/>
  <c r="F3131" i="43"/>
  <c r="F3130" i="43"/>
  <c r="F3129" i="43"/>
  <c r="F3128" i="43"/>
  <c r="F3127" i="43"/>
  <c r="F3126" i="43"/>
  <c r="F3125" i="43"/>
  <c r="F3123" i="43"/>
  <c r="F3121" i="43"/>
  <c r="F3120" i="43"/>
  <c r="F3118" i="43"/>
  <c r="F3117" i="43"/>
  <c r="F3116" i="43"/>
  <c r="G3115" i="43"/>
  <c r="E3115" i="43"/>
  <c r="D3115" i="43"/>
  <c r="F3113" i="43"/>
  <c r="F3112" i="43"/>
  <c r="F3111" i="43"/>
  <c r="F3110" i="43"/>
  <c r="F3109" i="43"/>
  <c r="F3108" i="43"/>
  <c r="G3107" i="43"/>
  <c r="E3107" i="43"/>
  <c r="D3107" i="43"/>
  <c r="F3105" i="43"/>
  <c r="G3102" i="43"/>
  <c r="E3102" i="43"/>
  <c r="D3102" i="43"/>
  <c r="F3099" i="43"/>
  <c r="F3098" i="43"/>
  <c r="G3097" i="43"/>
  <c r="E3097" i="43"/>
  <c r="D3097" i="43"/>
  <c r="F3095" i="43"/>
  <c r="G3094" i="43"/>
  <c r="E3094" i="43"/>
  <c r="D3094" i="43"/>
  <c r="F3092" i="43"/>
  <c r="F3090" i="43"/>
  <c r="G3089" i="43"/>
  <c r="E3089" i="43"/>
  <c r="D3089" i="43"/>
  <c r="F3086" i="43"/>
  <c r="F3085" i="43"/>
  <c r="F3084" i="43"/>
  <c r="F3083" i="43"/>
  <c r="F3082" i="43"/>
  <c r="F3081" i="43"/>
  <c r="F3080" i="43"/>
  <c r="F3079" i="43"/>
  <c r="G3078" i="43"/>
  <c r="G3077" i="43" s="1"/>
  <c r="E3078" i="43"/>
  <c r="E3077" i="43" s="1"/>
  <c r="D3078" i="43"/>
  <c r="D3077" i="43" s="1"/>
  <c r="F3077" i="43" s="1"/>
  <c r="F3075" i="43"/>
  <c r="F3074" i="43"/>
  <c r="F3073" i="43"/>
  <c r="F3072" i="43"/>
  <c r="F3071" i="43"/>
  <c r="G3070" i="43"/>
  <c r="E3070" i="43"/>
  <c r="D3070" i="43"/>
  <c r="F3068" i="43"/>
  <c r="F3067" i="43"/>
  <c r="F3066" i="43"/>
  <c r="F3065" i="43"/>
  <c r="G3063" i="43"/>
  <c r="E3063" i="43"/>
  <c r="D3063" i="43"/>
  <c r="F3061" i="43"/>
  <c r="F3060" i="43"/>
  <c r="F3059" i="43"/>
  <c r="F3058" i="43"/>
  <c r="F3057" i="43"/>
  <c r="G3056" i="43"/>
  <c r="E3056" i="43"/>
  <c r="D3056" i="43"/>
  <c r="F3054" i="43"/>
  <c r="F3053" i="43"/>
  <c r="G3052" i="43"/>
  <c r="E3052" i="43"/>
  <c r="D3052" i="43"/>
  <c r="F3049" i="43"/>
  <c r="F3048" i="43"/>
  <c r="F3047" i="43"/>
  <c r="F3046" i="43"/>
  <c r="F3045" i="43"/>
  <c r="F3044" i="43"/>
  <c r="G3043" i="43"/>
  <c r="E3043" i="43"/>
  <c r="D3043" i="43"/>
  <c r="F3038" i="43"/>
  <c r="G3037" i="43"/>
  <c r="E3037" i="43"/>
  <c r="D3037" i="43"/>
  <c r="F3035" i="43"/>
  <c r="F3034" i="43"/>
  <c r="F3033" i="43"/>
  <c r="F3032" i="43"/>
  <c r="F3031" i="43"/>
  <c r="G3030" i="43"/>
  <c r="E3030" i="43"/>
  <c r="D3030" i="43"/>
  <c r="F3027" i="43"/>
  <c r="F3026" i="43"/>
  <c r="F3025" i="43"/>
  <c r="F3024" i="43"/>
  <c r="F3023" i="43"/>
  <c r="F3022" i="43"/>
  <c r="F3021" i="43"/>
  <c r="F3020" i="43"/>
  <c r="G3019" i="43"/>
  <c r="E3019" i="43"/>
  <c r="D3019" i="43"/>
  <c r="F3016" i="43"/>
  <c r="F3015" i="43"/>
  <c r="F3014" i="43"/>
  <c r="F3013" i="43"/>
  <c r="F3012" i="43"/>
  <c r="F3011" i="43"/>
  <c r="F3009" i="43"/>
  <c r="F3008" i="43"/>
  <c r="F3007" i="43"/>
  <c r="F3006" i="43"/>
  <c r="F3005" i="43"/>
  <c r="F3004" i="43"/>
  <c r="F3003" i="43"/>
  <c r="F3002" i="43"/>
  <c r="F3000" i="43"/>
  <c r="F2999" i="43"/>
  <c r="F2998" i="43"/>
  <c r="F2997" i="43"/>
  <c r="F2996" i="43"/>
  <c r="F2995" i="43"/>
  <c r="F2994" i="43"/>
  <c r="G2993" i="43"/>
  <c r="G2992" i="43" s="1"/>
  <c r="E2993" i="43"/>
  <c r="D2993" i="43"/>
  <c r="D2992" i="43" s="1"/>
  <c r="F2990" i="43"/>
  <c r="F2989" i="43"/>
  <c r="F2988" i="43"/>
  <c r="F2987" i="43"/>
  <c r="F2986" i="43"/>
  <c r="F2985" i="43"/>
  <c r="F2983" i="43"/>
  <c r="F2982" i="43"/>
  <c r="F2981" i="43"/>
  <c r="F2980" i="43"/>
  <c r="F2979" i="43"/>
  <c r="F2978" i="43"/>
  <c r="F2977" i="43"/>
  <c r="F2976" i="43"/>
  <c r="G2975" i="43"/>
  <c r="E2975" i="43"/>
  <c r="D2975" i="43"/>
  <c r="F2973" i="43"/>
  <c r="F2972" i="43"/>
  <c r="F2971" i="43"/>
  <c r="G2970" i="43"/>
  <c r="E2970" i="43"/>
  <c r="D2970" i="43"/>
  <c r="F2968" i="43"/>
  <c r="F2967" i="43"/>
  <c r="F2966" i="43"/>
  <c r="F2965" i="43"/>
  <c r="F2964" i="43"/>
  <c r="F2963" i="43"/>
  <c r="G2962" i="43"/>
  <c r="E2962" i="43"/>
  <c r="D2962" i="43"/>
  <c r="F2960" i="43"/>
  <c r="G2958" i="43"/>
  <c r="E2958" i="43"/>
  <c r="D2958" i="43"/>
  <c r="F2956" i="43"/>
  <c r="F2955" i="43"/>
  <c r="F2953" i="43"/>
  <c r="G2951" i="43"/>
  <c r="E2951" i="43"/>
  <c r="D2951" i="43"/>
  <c r="F2949" i="43"/>
  <c r="F2948" i="43"/>
  <c r="F2947" i="43"/>
  <c r="F2946" i="43"/>
  <c r="F2945" i="43"/>
  <c r="F2944" i="43"/>
  <c r="F2943" i="43"/>
  <c r="F2942" i="43"/>
  <c r="G2939" i="43"/>
  <c r="E2939" i="43"/>
  <c r="D2939" i="43"/>
  <c r="F2937" i="43"/>
  <c r="F2936" i="43"/>
  <c r="F2935" i="43"/>
  <c r="F2933" i="43"/>
  <c r="F2932" i="43"/>
  <c r="F2931" i="43"/>
  <c r="F2930" i="43"/>
  <c r="G2928" i="43"/>
  <c r="E2928" i="43"/>
  <c r="D2928" i="43"/>
  <c r="F2922" i="43"/>
  <c r="G2921" i="43"/>
  <c r="G2920" i="43" s="1"/>
  <c r="E2921" i="43"/>
  <c r="D2921" i="43"/>
  <c r="D2920" i="43" s="1"/>
  <c r="F2918" i="43"/>
  <c r="G2917" i="43"/>
  <c r="E2917" i="43"/>
  <c r="D2917" i="43"/>
  <c r="F2915" i="43"/>
  <c r="F2914" i="43"/>
  <c r="G2913" i="43"/>
  <c r="E2913" i="43"/>
  <c r="D2913" i="43"/>
  <c r="F2911" i="43"/>
  <c r="F2910" i="43"/>
  <c r="F2909" i="43"/>
  <c r="F2908" i="43"/>
  <c r="G2907" i="43"/>
  <c r="E2907" i="43"/>
  <c r="D2907" i="43"/>
  <c r="F2905" i="43"/>
  <c r="G2904" i="43"/>
  <c r="E2904" i="43"/>
  <c r="D2904" i="43"/>
  <c r="F2902" i="43"/>
  <c r="F2901" i="43"/>
  <c r="G2900" i="43"/>
  <c r="E2900" i="43"/>
  <c r="D2900" i="43"/>
  <c r="F2898" i="43"/>
  <c r="F2897" i="43"/>
  <c r="F2896" i="43"/>
  <c r="F2895" i="43"/>
  <c r="F2894" i="43"/>
  <c r="F2893" i="43"/>
  <c r="F2892" i="43"/>
  <c r="F2891" i="43"/>
  <c r="F2890" i="43"/>
  <c r="F2889" i="43"/>
  <c r="F2888" i="43"/>
  <c r="F2887" i="43"/>
  <c r="G2886" i="43"/>
  <c r="E2886" i="43"/>
  <c r="D2886" i="43"/>
  <c r="F2884" i="43"/>
  <c r="G2883" i="43"/>
  <c r="E2883" i="43"/>
  <c r="D2883" i="43"/>
  <c r="F2881" i="43"/>
  <c r="F2880" i="43"/>
  <c r="F2879" i="43"/>
  <c r="F2878" i="43"/>
  <c r="F2877" i="43"/>
  <c r="F2876" i="43"/>
  <c r="F2875" i="43"/>
  <c r="G2874" i="43"/>
  <c r="E2874" i="43"/>
  <c r="D2874" i="43"/>
  <c r="F2872" i="43"/>
  <c r="F2871" i="43"/>
  <c r="G2870" i="43"/>
  <c r="E2870" i="43"/>
  <c r="D2870" i="43"/>
  <c r="F2868" i="43"/>
  <c r="G2867" i="43"/>
  <c r="E2867" i="43"/>
  <c r="D2867" i="43"/>
  <c r="F2865" i="43"/>
  <c r="G2864" i="43"/>
  <c r="E2864" i="43"/>
  <c r="D2864" i="43"/>
  <c r="F2862" i="43"/>
  <c r="G2861" i="43"/>
  <c r="E2861" i="43"/>
  <c r="D2861" i="43"/>
  <c r="F2859" i="43"/>
  <c r="F2858" i="43"/>
  <c r="F2857" i="43"/>
  <c r="F2856" i="43"/>
  <c r="G2855" i="43"/>
  <c r="E2855" i="43"/>
  <c r="D2855" i="43"/>
  <c r="F2852" i="43"/>
  <c r="F2851" i="43"/>
  <c r="F2850" i="43"/>
  <c r="F2849" i="43"/>
  <c r="F2848" i="43"/>
  <c r="F2847" i="43"/>
  <c r="G2846" i="43"/>
  <c r="E2846" i="43"/>
  <c r="D2846" i="43"/>
  <c r="F2844" i="43"/>
  <c r="F2843" i="43"/>
  <c r="F2842" i="43"/>
  <c r="F2840" i="43"/>
  <c r="F2839" i="43"/>
  <c r="F2838" i="43"/>
  <c r="F2837" i="43"/>
  <c r="F2836" i="43"/>
  <c r="F2835" i="43"/>
  <c r="F2834" i="43"/>
  <c r="G2833" i="43"/>
  <c r="E2833" i="43"/>
  <c r="D2833" i="43"/>
  <c r="F2831" i="43"/>
  <c r="F2830" i="43"/>
  <c r="F2829" i="43"/>
  <c r="G2828" i="43"/>
  <c r="E2828" i="43"/>
  <c r="D2828" i="43"/>
  <c r="F2826" i="43"/>
  <c r="F2825" i="43"/>
  <c r="F2824" i="43"/>
  <c r="F2823" i="43"/>
  <c r="F2822" i="43"/>
  <c r="F2821" i="43"/>
  <c r="F2820" i="43"/>
  <c r="F2819" i="43"/>
  <c r="F2818" i="43"/>
  <c r="F2817" i="43"/>
  <c r="F2816" i="43"/>
  <c r="F2815" i="43"/>
  <c r="F2814" i="43"/>
  <c r="F2813" i="43"/>
  <c r="F2812" i="43"/>
  <c r="F2811" i="43"/>
  <c r="G2810" i="43"/>
  <c r="E2810" i="43"/>
  <c r="D2810" i="43"/>
  <c r="F2808" i="43"/>
  <c r="F2807" i="43"/>
  <c r="F2806" i="43"/>
  <c r="F2805" i="43"/>
  <c r="G2804" i="43"/>
  <c r="E2804" i="43"/>
  <c r="D2804" i="43"/>
  <c r="F2802" i="43"/>
  <c r="F2801" i="43"/>
  <c r="F2800" i="43"/>
  <c r="F2799" i="43"/>
  <c r="F2798" i="43"/>
  <c r="F2797" i="43"/>
  <c r="F2796" i="43"/>
  <c r="F2795" i="43"/>
  <c r="F2794" i="43"/>
  <c r="F2793" i="43"/>
  <c r="F2792" i="43"/>
  <c r="F2791" i="43"/>
  <c r="F2790" i="43"/>
  <c r="F2789" i="43"/>
  <c r="F2788" i="43"/>
  <c r="F2787" i="43"/>
  <c r="F2786" i="43"/>
  <c r="F2785" i="43"/>
  <c r="F2784" i="43"/>
  <c r="F2783" i="43"/>
  <c r="F2782" i="43"/>
  <c r="F2781" i="43"/>
  <c r="F2780" i="43"/>
  <c r="F2779" i="43"/>
  <c r="F2778" i="43"/>
  <c r="F2777" i="43"/>
  <c r="F2776" i="43"/>
  <c r="F2775" i="43"/>
  <c r="F2774" i="43"/>
  <c r="F2773" i="43"/>
  <c r="F2772" i="43"/>
  <c r="F2771" i="43"/>
  <c r="F2770" i="43"/>
  <c r="F2769" i="43"/>
  <c r="F2768" i="43"/>
  <c r="F2767" i="43"/>
  <c r="F2766" i="43"/>
  <c r="F2765" i="43"/>
  <c r="G2764" i="43"/>
  <c r="E2764" i="43"/>
  <c r="D2764" i="43"/>
  <c r="F2762" i="43"/>
  <c r="F2761" i="43"/>
  <c r="F2760" i="43"/>
  <c r="F2759" i="43"/>
  <c r="G2758" i="43"/>
  <c r="E2758" i="43"/>
  <c r="D2758" i="43"/>
  <c r="F2753" i="43"/>
  <c r="F2752" i="43"/>
  <c r="G2751" i="43"/>
  <c r="E2751" i="43"/>
  <c r="D2751" i="43"/>
  <c r="D2750" i="43" s="1"/>
  <c r="E2750" i="43"/>
  <c r="F2748" i="43"/>
  <c r="F2747" i="43"/>
  <c r="G2746" i="43"/>
  <c r="E2746" i="43"/>
  <c r="D2746" i="43"/>
  <c r="F2744" i="43"/>
  <c r="F2743" i="43"/>
  <c r="F2742" i="43"/>
  <c r="D2741" i="43"/>
  <c r="F2741" i="43" s="1"/>
  <c r="F2740" i="43"/>
  <c r="G2738" i="43"/>
  <c r="E2738" i="43"/>
  <c r="G2737" i="43"/>
  <c r="F2730" i="43"/>
  <c r="G2729" i="43"/>
  <c r="E2729" i="43"/>
  <c r="D2729" i="43"/>
  <c r="E2726" i="43"/>
  <c r="D2726" i="43"/>
  <c r="F2724" i="43"/>
  <c r="F2723" i="43" s="1"/>
  <c r="G2723" i="43"/>
  <c r="E2723" i="43"/>
  <c r="D2723" i="43"/>
  <c r="F2721" i="43"/>
  <c r="G2720" i="43"/>
  <c r="E2720" i="43"/>
  <c r="D2720" i="43"/>
  <c r="F2718" i="43"/>
  <c r="F2716" i="43"/>
  <c r="F2715" i="43"/>
  <c r="F2714" i="43"/>
  <c r="F2713" i="43"/>
  <c r="F2712" i="43"/>
  <c r="G2711" i="43"/>
  <c r="E2711" i="43"/>
  <c r="D2711" i="43"/>
  <c r="F2708" i="43"/>
  <c r="F2707" i="43"/>
  <c r="G2706" i="43"/>
  <c r="E2706" i="43"/>
  <c r="D2706" i="43"/>
  <c r="F2704" i="43"/>
  <c r="F2703" i="43"/>
  <c r="E2702" i="43"/>
  <c r="D2702" i="43"/>
  <c r="F2700" i="43"/>
  <c r="G2699" i="43"/>
  <c r="G2698" i="43" s="1"/>
  <c r="E2699" i="43"/>
  <c r="D2699" i="43"/>
  <c r="F2696" i="43"/>
  <c r="F2695" i="43"/>
  <c r="F2694" i="43"/>
  <c r="G2693" i="43"/>
  <c r="E2693" i="43"/>
  <c r="D2693" i="43"/>
  <c r="F2691" i="43"/>
  <c r="G2690" i="43"/>
  <c r="E2690" i="43"/>
  <c r="D2690" i="43"/>
  <c r="D2689" i="43" s="1"/>
  <c r="F2687" i="43"/>
  <c r="F2686" i="43"/>
  <c r="F2685" i="43"/>
  <c r="G2684" i="43"/>
  <c r="E2684" i="43"/>
  <c r="D2684" i="43"/>
  <c r="F2682" i="43"/>
  <c r="G2681" i="43"/>
  <c r="E2681" i="43"/>
  <c r="D2681" i="43"/>
  <c r="F2679" i="43"/>
  <c r="E2678" i="43"/>
  <c r="D2678" i="43"/>
  <c r="G2674" i="43"/>
  <c r="F2674" i="43"/>
  <c r="E2674" i="43"/>
  <c r="D2674" i="43"/>
  <c r="F2671" i="43"/>
  <c r="G2670" i="43"/>
  <c r="E2670" i="43"/>
  <c r="D2670" i="43"/>
  <c r="F2668" i="43"/>
  <c r="G2667" i="43"/>
  <c r="E2667" i="43"/>
  <c r="D2667" i="43"/>
  <c r="F2667" i="43" s="1"/>
  <c r="F2664" i="43"/>
  <c r="G2663" i="43"/>
  <c r="E2663" i="43"/>
  <c r="D2663" i="43"/>
  <c r="F2661" i="43"/>
  <c r="G2660" i="43"/>
  <c r="E2660" i="43"/>
  <c r="D2660" i="43"/>
  <c r="F2660" i="43" s="1"/>
  <c r="F2658" i="43"/>
  <c r="F2657" i="43"/>
  <c r="F2656" i="43"/>
  <c r="F2655" i="43"/>
  <c r="F2654" i="43"/>
  <c r="F2653" i="43"/>
  <c r="G2652" i="43"/>
  <c r="E2652" i="43"/>
  <c r="D2652" i="43"/>
  <c r="D2651" i="43" s="1"/>
  <c r="F2642" i="43"/>
  <c r="F2640" i="43"/>
  <c r="G2639" i="43"/>
  <c r="E2639" i="43"/>
  <c r="E2638" i="43" s="1"/>
  <c r="D2639" i="43"/>
  <c r="G2638" i="43"/>
  <c r="D2638" i="43"/>
  <c r="F2636" i="43"/>
  <c r="F2635" i="43"/>
  <c r="G2634" i="43"/>
  <c r="G2633" i="43" s="1"/>
  <c r="E2634" i="43"/>
  <c r="E2633" i="43" s="1"/>
  <c r="D2634" i="43"/>
  <c r="F2631" i="43"/>
  <c r="G2630" i="43"/>
  <c r="E2630" i="43"/>
  <c r="D2630" i="43"/>
  <c r="F2625" i="43"/>
  <c r="G2624" i="43"/>
  <c r="E2624" i="43"/>
  <c r="D2624" i="43"/>
  <c r="F2622" i="43"/>
  <c r="G2621" i="43"/>
  <c r="E2621" i="43"/>
  <c r="D2621" i="43"/>
  <c r="F2619" i="43"/>
  <c r="G2618" i="43"/>
  <c r="E2618" i="43"/>
  <c r="D2618" i="43"/>
  <c r="F2616" i="43"/>
  <c r="F2615" i="43"/>
  <c r="G2614" i="43"/>
  <c r="E2614" i="43"/>
  <c r="D2614" i="43"/>
  <c r="F2611" i="43"/>
  <c r="F2610" i="43"/>
  <c r="F2609" i="43"/>
  <c r="F2608" i="43"/>
  <c r="F2607" i="43"/>
  <c r="F2606" i="43"/>
  <c r="F2605" i="43"/>
  <c r="F2604" i="43"/>
  <c r="F2603" i="43"/>
  <c r="F2602" i="43"/>
  <c r="F2601" i="43"/>
  <c r="G2600" i="43"/>
  <c r="E2600" i="43"/>
  <c r="D2600" i="43"/>
  <c r="F2598" i="43"/>
  <c r="F2597" i="43"/>
  <c r="F2596" i="43"/>
  <c r="F2595" i="43"/>
  <c r="F2594" i="43"/>
  <c r="F2593" i="43"/>
  <c r="F2592" i="43"/>
  <c r="F2591" i="43"/>
  <c r="F2590" i="43"/>
  <c r="G2589" i="43"/>
  <c r="E2589" i="43"/>
  <c r="D2589" i="43"/>
  <c r="F2587" i="43"/>
  <c r="F2586" i="43"/>
  <c r="F2585" i="43"/>
  <c r="F2584" i="43"/>
  <c r="F2583" i="43"/>
  <c r="E2582" i="43"/>
  <c r="F2582" i="43" s="1"/>
  <c r="F2580" i="43"/>
  <c r="F2579" i="43"/>
  <c r="F2578" i="43"/>
  <c r="F2577" i="43"/>
  <c r="F2576" i="43"/>
  <c r="G2575" i="43"/>
  <c r="E2575" i="43"/>
  <c r="D2575" i="43"/>
  <c r="F2573" i="43"/>
  <c r="F2572" i="43"/>
  <c r="F2571" i="43"/>
  <c r="G2570" i="43"/>
  <c r="E2570" i="43"/>
  <c r="D2570" i="43"/>
  <c r="F2568" i="43"/>
  <c r="F2567" i="43"/>
  <c r="F2565" i="43"/>
  <c r="G2564" i="43"/>
  <c r="G2546" i="43" s="1"/>
  <c r="E2564" i="43"/>
  <c r="D2564" i="43"/>
  <c r="F2562" i="43"/>
  <c r="F2561" i="43"/>
  <c r="F2560" i="43"/>
  <c r="F2559" i="43"/>
  <c r="F2558" i="43"/>
  <c r="F2557" i="43"/>
  <c r="F2556" i="43"/>
  <c r="F2555" i="43"/>
  <c r="F2554" i="43"/>
  <c r="F2553" i="43"/>
  <c r="F2552" i="43"/>
  <c r="F2551" i="43"/>
  <c r="F2550" i="43"/>
  <c r="F2549" i="43"/>
  <c r="F2548" i="43"/>
  <c r="G2547" i="43"/>
  <c r="E2547" i="43"/>
  <c r="D2547" i="43"/>
  <c r="F2544" i="43"/>
  <c r="G2543" i="43"/>
  <c r="E2543" i="43"/>
  <c r="D2543" i="43"/>
  <c r="F2541" i="43"/>
  <c r="F2540" i="43"/>
  <c r="F2538" i="43"/>
  <c r="F2537" i="43"/>
  <c r="F2536" i="43"/>
  <c r="F2535" i="43"/>
  <c r="G2534" i="43"/>
  <c r="E2534" i="43"/>
  <c r="D2534" i="43"/>
  <c r="F2532" i="43"/>
  <c r="E2531" i="43"/>
  <c r="D2531" i="43"/>
  <c r="F2529" i="43"/>
  <c r="F2528" i="43"/>
  <c r="F2527" i="43"/>
  <c r="F2526" i="43"/>
  <c r="F2525" i="43"/>
  <c r="F2524" i="43"/>
  <c r="F2523" i="43"/>
  <c r="F2522" i="43"/>
  <c r="F2521" i="43"/>
  <c r="F2520" i="43"/>
  <c r="F2519" i="43"/>
  <c r="F2518" i="43"/>
  <c r="G2517" i="43"/>
  <c r="E2517" i="43"/>
  <c r="D2517" i="43"/>
  <c r="F2515" i="43"/>
  <c r="F2514" i="43"/>
  <c r="F2513" i="43"/>
  <c r="G2512" i="43"/>
  <c r="E2512" i="43"/>
  <c r="D2512" i="43"/>
  <c r="F2510" i="43"/>
  <c r="F2509" i="43"/>
  <c r="G2508" i="43"/>
  <c r="E2508" i="43"/>
  <c r="D2508" i="43"/>
  <c r="F2506" i="43"/>
  <c r="G2505" i="43"/>
  <c r="D2505" i="43"/>
  <c r="F2505" i="43" s="1"/>
  <c r="F2501" i="43"/>
  <c r="F2500" i="43"/>
  <c r="G2498" i="43"/>
  <c r="E2498" i="43"/>
  <c r="D2498" i="43"/>
  <c r="F2496" i="43"/>
  <c r="G2495" i="43"/>
  <c r="E2495" i="43"/>
  <c r="F2495" i="43" s="1"/>
  <c r="D2495" i="43"/>
  <c r="F2493" i="43"/>
  <c r="G2492" i="43"/>
  <c r="E2492" i="43"/>
  <c r="F2492" i="43" s="1"/>
  <c r="D2492" i="43"/>
  <c r="F2489" i="43"/>
  <c r="F2488" i="43"/>
  <c r="G2487" i="43"/>
  <c r="E2487" i="43"/>
  <c r="D2487" i="43"/>
  <c r="G2484" i="43"/>
  <c r="F2484" i="43"/>
  <c r="E2484" i="43"/>
  <c r="D2484" i="43"/>
  <c r="F2480" i="43"/>
  <c r="F2479" i="43"/>
  <c r="G2478" i="43"/>
  <c r="E2478" i="43"/>
  <c r="E2477" i="43" s="1"/>
  <c r="D2478" i="43"/>
  <c r="D2477" i="43" s="1"/>
  <c r="G2477" i="43"/>
  <c r="F2472" i="43"/>
  <c r="G2471" i="43"/>
  <c r="E2471" i="43"/>
  <c r="D2471" i="43"/>
  <c r="F2469" i="43"/>
  <c r="G2468" i="43"/>
  <c r="G2467" i="43" s="1"/>
  <c r="E2468" i="43"/>
  <c r="D2468" i="43"/>
  <c r="F2465" i="43"/>
  <c r="F2464" i="43"/>
  <c r="F2463" i="43"/>
  <c r="G2462" i="43"/>
  <c r="E2462" i="43"/>
  <c r="D2462" i="43"/>
  <c r="D2459" i="43"/>
  <c r="F2456" i="43"/>
  <c r="F2455" i="43"/>
  <c r="F2454" i="43"/>
  <c r="F2453" i="43"/>
  <c r="F2452" i="43"/>
  <c r="F2451" i="43"/>
  <c r="G2449" i="43"/>
  <c r="G2448" i="43" s="1"/>
  <c r="E2449" i="43"/>
  <c r="D2449" i="43"/>
  <c r="E2448" i="43"/>
  <c r="F2446" i="43"/>
  <c r="G2445" i="43"/>
  <c r="E2445" i="43"/>
  <c r="D2445" i="43"/>
  <c r="F2443" i="43"/>
  <c r="F2442" i="43"/>
  <c r="G2441" i="43"/>
  <c r="E2441" i="43"/>
  <c r="F2441" i="43" s="1"/>
  <c r="D2441" i="43"/>
  <c r="G2440" i="43"/>
  <c r="F2438" i="43"/>
  <c r="F2437" i="43"/>
  <c r="G2436" i="43"/>
  <c r="E2436" i="43"/>
  <c r="D2436" i="43"/>
  <c r="F2434" i="43"/>
  <c r="G2433" i="43"/>
  <c r="G2432" i="43" s="1"/>
  <c r="E2433" i="43"/>
  <c r="D2433" i="43"/>
  <c r="F2430" i="43"/>
  <c r="F2429" i="43"/>
  <c r="F2428" i="43"/>
  <c r="F2427" i="43"/>
  <c r="F2426" i="43"/>
  <c r="F2425" i="43"/>
  <c r="F2424" i="43"/>
  <c r="F2423" i="43"/>
  <c r="F2422" i="43"/>
  <c r="G2421" i="43"/>
  <c r="E2421" i="43"/>
  <c r="F2421" i="43" s="1"/>
  <c r="D2421" i="43"/>
  <c r="F2419" i="43"/>
  <c r="G2418" i="43"/>
  <c r="E2418" i="43"/>
  <c r="E2417" i="43" s="1"/>
  <c r="D2418" i="43"/>
  <c r="G2417" i="43"/>
  <c r="F2415" i="43"/>
  <c r="F2414" i="43"/>
  <c r="F2413" i="43"/>
  <c r="G2412" i="43"/>
  <c r="E2412" i="43"/>
  <c r="D2412" i="43"/>
  <c r="F2410" i="43"/>
  <c r="G2409" i="43"/>
  <c r="G2408" i="43" s="1"/>
  <c r="E2409" i="43"/>
  <c r="E2408" i="43" s="1"/>
  <c r="D2409" i="43"/>
  <c r="F2406" i="43"/>
  <c r="F2404" i="43"/>
  <c r="F2403" i="43"/>
  <c r="F2402" i="43"/>
  <c r="F2401" i="43"/>
  <c r="F2400" i="43"/>
  <c r="G2399" i="43"/>
  <c r="E2399" i="43"/>
  <c r="D2399" i="43"/>
  <c r="F2397" i="43"/>
  <c r="G2396" i="43"/>
  <c r="E2396" i="43"/>
  <c r="D2396" i="43"/>
  <c r="F2394" i="43"/>
  <c r="F2393" i="43"/>
  <c r="F2392" i="43"/>
  <c r="F2391" i="43"/>
  <c r="G2389" i="43"/>
  <c r="E2389" i="43"/>
  <c r="D2389" i="43"/>
  <c r="F2387" i="43"/>
  <c r="F2386" i="43"/>
  <c r="F2385" i="43"/>
  <c r="F2384" i="43"/>
  <c r="F2382" i="43"/>
  <c r="F2381" i="43"/>
  <c r="F2380" i="43"/>
  <c r="F2378" i="43"/>
  <c r="G2376" i="43"/>
  <c r="E2376" i="43"/>
  <c r="D2376" i="43"/>
  <c r="F2374" i="43"/>
  <c r="F2372" i="43"/>
  <c r="F2369" i="43"/>
  <c r="F2366" i="43"/>
  <c r="F2365" i="43"/>
  <c r="G2364" i="43"/>
  <c r="E2364" i="43"/>
  <c r="D2364" i="43"/>
  <c r="F2362" i="43"/>
  <c r="G2361" i="43"/>
  <c r="E2361" i="43"/>
  <c r="D2361" i="43"/>
  <c r="D2357" i="43"/>
  <c r="D2356" i="43" s="1"/>
  <c r="G2353" i="43"/>
  <c r="F2353" i="43"/>
  <c r="E2353" i="43"/>
  <c r="D2353" i="43"/>
  <c r="G2352" i="43"/>
  <c r="F2352" i="43"/>
  <c r="E2352" i="43"/>
  <c r="D2352" i="43"/>
  <c r="F2347" i="43"/>
  <c r="G2346" i="43"/>
  <c r="G2345" i="43" s="1"/>
  <c r="E2346" i="43"/>
  <c r="D2346" i="43"/>
  <c r="D2345" i="43" s="1"/>
  <c r="E2345" i="43"/>
  <c r="F2343" i="43"/>
  <c r="G2342" i="43"/>
  <c r="E2342" i="43"/>
  <c r="D2342" i="43"/>
  <c r="F2340" i="43"/>
  <c r="G2339" i="43"/>
  <c r="E2339" i="43"/>
  <c r="D2339" i="43"/>
  <c r="F2337" i="43"/>
  <c r="F2336" i="43"/>
  <c r="G2335" i="43"/>
  <c r="E2335" i="43"/>
  <c r="D2335" i="43"/>
  <c r="F2333" i="43"/>
  <c r="G2331" i="43"/>
  <c r="E2331" i="43"/>
  <c r="D2331" i="43"/>
  <c r="F2328" i="43"/>
  <c r="F2326" i="43"/>
  <c r="G2325" i="43"/>
  <c r="E2325" i="43"/>
  <c r="D2325" i="43"/>
  <c r="F2323" i="43"/>
  <c r="F2322" i="43"/>
  <c r="F2321" i="43"/>
  <c r="F2320" i="43"/>
  <c r="G2319" i="43"/>
  <c r="E2319" i="43"/>
  <c r="D2319" i="43"/>
  <c r="F2317" i="43"/>
  <c r="F2316" i="43"/>
  <c r="F2315" i="43"/>
  <c r="F2313" i="43"/>
  <c r="G2312" i="43"/>
  <c r="E2312" i="43"/>
  <c r="D2312" i="43"/>
  <c r="F2309" i="43"/>
  <c r="F2308" i="43"/>
  <c r="G2307" i="43"/>
  <c r="E2307" i="43"/>
  <c r="D2307" i="43"/>
  <c r="F2305" i="43"/>
  <c r="F2304" i="43"/>
  <c r="F2303" i="43"/>
  <c r="G2302" i="43"/>
  <c r="E2302" i="43"/>
  <c r="D2302" i="43"/>
  <c r="F2300" i="43"/>
  <c r="G2297" i="43"/>
  <c r="E2297" i="43"/>
  <c r="D2297" i="43"/>
  <c r="F2289" i="43"/>
  <c r="F2288" i="43"/>
  <c r="G2287" i="43"/>
  <c r="E2287" i="43"/>
  <c r="D2287" i="43"/>
  <c r="F2282" i="43"/>
  <c r="F2281" i="43"/>
  <c r="F2280" i="43"/>
  <c r="G2278" i="43"/>
  <c r="G2277" i="43" s="1"/>
  <c r="E2278" i="43"/>
  <c r="E2277" i="43" s="1"/>
  <c r="D2278" i="43"/>
  <c r="F2269" i="43"/>
  <c r="F2268" i="43"/>
  <c r="G2264" i="43"/>
  <c r="E2264" i="43"/>
  <c r="D2264" i="43"/>
  <c r="F2261" i="43"/>
  <c r="F2260" i="43"/>
  <c r="F2259" i="43"/>
  <c r="G2258" i="43"/>
  <c r="E2258" i="43"/>
  <c r="D2258" i="43"/>
  <c r="F2256" i="43"/>
  <c r="G2255" i="43"/>
  <c r="E2255" i="43"/>
  <c r="D2255" i="43"/>
  <c r="F2253" i="43"/>
  <c r="F2252" i="43"/>
  <c r="F2251" i="43"/>
  <c r="G2250" i="43"/>
  <c r="E2250" i="43"/>
  <c r="D2250" i="43"/>
  <c r="D2249" i="43" s="1"/>
  <c r="F2247" i="43"/>
  <c r="F2244" i="43"/>
  <c r="F2243" i="43"/>
  <c r="F2241" i="43"/>
  <c r="F2240" i="43"/>
  <c r="G2239" i="43"/>
  <c r="E2239" i="43"/>
  <c r="D2239" i="43"/>
  <c r="F2234" i="43"/>
  <c r="G2230" i="43"/>
  <c r="E2230" i="43"/>
  <c r="D2230" i="43"/>
  <c r="D2227" i="43"/>
  <c r="F2225" i="43"/>
  <c r="G2224" i="43"/>
  <c r="E2224" i="43"/>
  <c r="D2224" i="43"/>
  <c r="F2221" i="43"/>
  <c r="G2220" i="43"/>
  <c r="E2220" i="43"/>
  <c r="D2220" i="43"/>
  <c r="F2218" i="43"/>
  <c r="F2217" i="43"/>
  <c r="F2216" i="43"/>
  <c r="F2215" i="43"/>
  <c r="F2214" i="43"/>
  <c r="G2213" i="43"/>
  <c r="E2213" i="43"/>
  <c r="D2213" i="43"/>
  <c r="F2211" i="43"/>
  <c r="G2210" i="43"/>
  <c r="E2210" i="43"/>
  <c r="D2210" i="43"/>
  <c r="F2208" i="43"/>
  <c r="G2207" i="43"/>
  <c r="E2207" i="43"/>
  <c r="D2207" i="43"/>
  <c r="F2204" i="43"/>
  <c r="F2202" i="43"/>
  <c r="F2201" i="43"/>
  <c r="F2198" i="43"/>
  <c r="F2197" i="43"/>
  <c r="F2196" i="43"/>
  <c r="F2195" i="43"/>
  <c r="G2194" i="43"/>
  <c r="E2194" i="43"/>
  <c r="D2194" i="43"/>
  <c r="F2191" i="43"/>
  <c r="F2190" i="43"/>
  <c r="F2189" i="43"/>
  <c r="G2188" i="43"/>
  <c r="E2188" i="43"/>
  <c r="D2188" i="43"/>
  <c r="F2185" i="43"/>
  <c r="F2184" i="43"/>
  <c r="F2183" i="43"/>
  <c r="F2182" i="43"/>
  <c r="F2181" i="43"/>
  <c r="F2180" i="43"/>
  <c r="F2179" i="43"/>
  <c r="F2178" i="43"/>
  <c r="F2177" i="43"/>
  <c r="F2176" i="43"/>
  <c r="F2175" i="43"/>
  <c r="F2174" i="43"/>
  <c r="F2173" i="43"/>
  <c r="F2172" i="43"/>
  <c r="F2171" i="43"/>
  <c r="F2170" i="43"/>
  <c r="F2169" i="43"/>
  <c r="F2168" i="43"/>
  <c r="F2167" i="43"/>
  <c r="F2166" i="43"/>
  <c r="F2165" i="43"/>
  <c r="F2164" i="43"/>
  <c r="F2163" i="43"/>
  <c r="F2162" i="43"/>
  <c r="F2161" i="43"/>
  <c r="F2160" i="43"/>
  <c r="F2159" i="43"/>
  <c r="G2158" i="43"/>
  <c r="E2158" i="43"/>
  <c r="D2158" i="43"/>
  <c r="F2156" i="43"/>
  <c r="F2155" i="43"/>
  <c r="F2154" i="43"/>
  <c r="F2153" i="43"/>
  <c r="G2152" i="43"/>
  <c r="E2152" i="43"/>
  <c r="D2152" i="43"/>
  <c r="F2150" i="43"/>
  <c r="F2149" i="43"/>
  <c r="F2148" i="43"/>
  <c r="F2147" i="43"/>
  <c r="G2146" i="43"/>
  <c r="E2146" i="43"/>
  <c r="D2146" i="43"/>
  <c r="F2144" i="43"/>
  <c r="F2143" i="43"/>
  <c r="F2142" i="43"/>
  <c r="F2141" i="43"/>
  <c r="F2140" i="43"/>
  <c r="G2136" i="43"/>
  <c r="E2136" i="43"/>
  <c r="D2136" i="43"/>
  <c r="F2133" i="43"/>
  <c r="F2132" i="43"/>
  <c r="F2131" i="43"/>
  <c r="F2128" i="43"/>
  <c r="F2127" i="43"/>
  <c r="F2126" i="43"/>
  <c r="F2125" i="43"/>
  <c r="F2124" i="43"/>
  <c r="F2123" i="43"/>
  <c r="G2122" i="43"/>
  <c r="E2122" i="43"/>
  <c r="D2122" i="43"/>
  <c r="F2120" i="43"/>
  <c r="G2119" i="43"/>
  <c r="E2119" i="43"/>
  <c r="D2119" i="43"/>
  <c r="F2117" i="43"/>
  <c r="F2116" i="43"/>
  <c r="F2115" i="43"/>
  <c r="F2114" i="43"/>
  <c r="F2112" i="43"/>
  <c r="F2111" i="43"/>
  <c r="F2110" i="43"/>
  <c r="G2109" i="43"/>
  <c r="E2109" i="43"/>
  <c r="D2109" i="43"/>
  <c r="F2106" i="43"/>
  <c r="F2105" i="43"/>
  <c r="F2104" i="43"/>
  <c r="F2103" i="43"/>
  <c r="F2101" i="43"/>
  <c r="F2100" i="43"/>
  <c r="F2098" i="43"/>
  <c r="F2097" i="43"/>
  <c r="F2096" i="43"/>
  <c r="G2095" i="43"/>
  <c r="E2095" i="43"/>
  <c r="D2095" i="43"/>
  <c r="F2093" i="43"/>
  <c r="F2092" i="43"/>
  <c r="G2091" i="43"/>
  <c r="E2091" i="43"/>
  <c r="D2091" i="43"/>
  <c r="F2089" i="43"/>
  <c r="F2088" i="43"/>
  <c r="F2087" i="43"/>
  <c r="F2086" i="43"/>
  <c r="F2085" i="43"/>
  <c r="F2084" i="43"/>
  <c r="F2083" i="43"/>
  <c r="F2082" i="43"/>
  <c r="G2081" i="43"/>
  <c r="E2081" i="43"/>
  <c r="D2081" i="43"/>
  <c r="F2079" i="43"/>
  <c r="F2078" i="43"/>
  <c r="F2077" i="43"/>
  <c r="F2075" i="43"/>
  <c r="F2074" i="43"/>
  <c r="F2073" i="43"/>
  <c r="F2072" i="43"/>
  <c r="F2071" i="43"/>
  <c r="F2069" i="43"/>
  <c r="G2068" i="43"/>
  <c r="E2068" i="43"/>
  <c r="D2068" i="43"/>
  <c r="F2066" i="43"/>
  <c r="F2065" i="43"/>
  <c r="F2064" i="43"/>
  <c r="F2063" i="43"/>
  <c r="G2062" i="43"/>
  <c r="E2062" i="43"/>
  <c r="D2062" i="43"/>
  <c r="F2060" i="43"/>
  <c r="F2059" i="43"/>
  <c r="F2058" i="43"/>
  <c r="F2057" i="43"/>
  <c r="F2056" i="43"/>
  <c r="F2055" i="43"/>
  <c r="F2054" i="43"/>
  <c r="F2053" i="43"/>
  <c r="F2052" i="43"/>
  <c r="F2051" i="43"/>
  <c r="F2050" i="43"/>
  <c r="F2049" i="43"/>
  <c r="F2048" i="43"/>
  <c r="F2044" i="43"/>
  <c r="F2043" i="43"/>
  <c r="E2043" i="43"/>
  <c r="F2042" i="43"/>
  <c r="F2041" i="43"/>
  <c r="F2040" i="43"/>
  <c r="F2039" i="43"/>
  <c r="F2038" i="43"/>
  <c r="I2037" i="43"/>
  <c r="F2037" i="43"/>
  <c r="G2032" i="43"/>
  <c r="E2032" i="43"/>
  <c r="D2032" i="43"/>
  <c r="F2030" i="43"/>
  <c r="G2029" i="43"/>
  <c r="E2029" i="43"/>
  <c r="D2029" i="43"/>
  <c r="F2024" i="43"/>
  <c r="F2023" i="43"/>
  <c r="F2022" i="43"/>
  <c r="F2021" i="43"/>
  <c r="F2020" i="43"/>
  <c r="F2018" i="43"/>
  <c r="G2017" i="43"/>
  <c r="E2017" i="43"/>
  <c r="D2017" i="43"/>
  <c r="F2015" i="43"/>
  <c r="G2014" i="43"/>
  <c r="E2014" i="43"/>
  <c r="D2014" i="43"/>
  <c r="F2012" i="43"/>
  <c r="G2011" i="43"/>
  <c r="E2011" i="43"/>
  <c r="D2011" i="43"/>
  <c r="F2009" i="43"/>
  <c r="F2008" i="43"/>
  <c r="F2007" i="43"/>
  <c r="G2006" i="43"/>
  <c r="E2006" i="43"/>
  <c r="D2006" i="43"/>
  <c r="F2003" i="43"/>
  <c r="G2002" i="43"/>
  <c r="E2002" i="43"/>
  <c r="D2002" i="43"/>
  <c r="F2000" i="43"/>
  <c r="F1999" i="43"/>
  <c r="G1998" i="43"/>
  <c r="E1998" i="43"/>
  <c r="D1998" i="43"/>
  <c r="D1997" i="43" s="1"/>
  <c r="F1995" i="43"/>
  <c r="F1994" i="43"/>
  <c r="G1993" i="43"/>
  <c r="E1993" i="43"/>
  <c r="D1993" i="43"/>
  <c r="F1991" i="43"/>
  <c r="G1990" i="43"/>
  <c r="E1990" i="43"/>
  <c r="D1990" i="43"/>
  <c r="F1987" i="43"/>
  <c r="G1986" i="43"/>
  <c r="G1985" i="43" s="1"/>
  <c r="E1986" i="43"/>
  <c r="D1986" i="43"/>
  <c r="D1985" i="43" s="1"/>
  <c r="F1983" i="43"/>
  <c r="F1982" i="43"/>
  <c r="F1981" i="43"/>
  <c r="F1980" i="43"/>
  <c r="G1979" i="43"/>
  <c r="E1979" i="43"/>
  <c r="D1979" i="43"/>
  <c r="F1977" i="43"/>
  <c r="G1976" i="43"/>
  <c r="E1976" i="43"/>
  <c r="D1976" i="43"/>
  <c r="D1975" i="43" s="1"/>
  <c r="F1973" i="43"/>
  <c r="F1972" i="43"/>
  <c r="F1971" i="43"/>
  <c r="G1970" i="43"/>
  <c r="E1970" i="43"/>
  <c r="D1970" i="43"/>
  <c r="F1968" i="43"/>
  <c r="G1967" i="43"/>
  <c r="E1967" i="43"/>
  <c r="D1967" i="43"/>
  <c r="F1967" i="43" s="1"/>
  <c r="F1965" i="43"/>
  <c r="G1964" i="43"/>
  <c r="E1964" i="43"/>
  <c r="D1964" i="43"/>
  <c r="F1962" i="43"/>
  <c r="G1961" i="43"/>
  <c r="E1961" i="43"/>
  <c r="D1961" i="43"/>
  <c r="F1961" i="43" s="1"/>
  <c r="F1958" i="43"/>
  <c r="G1957" i="43"/>
  <c r="E1957" i="43"/>
  <c r="D1957" i="43"/>
  <c r="F1955" i="43"/>
  <c r="F1954" i="43"/>
  <c r="F1953" i="43"/>
  <c r="F1952" i="43"/>
  <c r="G1951" i="43"/>
  <c r="E1951" i="43"/>
  <c r="D1951" i="43"/>
  <c r="F1949" i="43"/>
  <c r="F1948" i="43"/>
  <c r="G1947" i="43"/>
  <c r="E1947" i="43"/>
  <c r="D1947" i="43"/>
  <c r="F1945" i="43"/>
  <c r="F1944" i="43"/>
  <c r="G1943" i="43"/>
  <c r="E1943" i="43"/>
  <c r="D1943" i="43"/>
  <c r="F1940" i="43"/>
  <c r="F1939" i="43"/>
  <c r="G1938" i="43"/>
  <c r="E1938" i="43"/>
  <c r="D1938" i="43"/>
  <c r="F1936" i="43"/>
  <c r="F1935" i="43"/>
  <c r="F1934" i="43"/>
  <c r="F1933" i="43"/>
  <c r="F1932" i="43"/>
  <c r="G1931" i="43"/>
  <c r="E1931" i="43"/>
  <c r="D1931" i="43"/>
  <c r="F1929" i="43"/>
  <c r="F1928" i="43"/>
  <c r="F1927" i="43"/>
  <c r="F1926" i="43"/>
  <c r="F1925" i="43"/>
  <c r="G1924" i="43"/>
  <c r="E1924" i="43"/>
  <c r="D1924" i="43"/>
  <c r="F1922" i="43"/>
  <c r="F1921" i="43"/>
  <c r="F1920" i="43"/>
  <c r="G1919" i="43"/>
  <c r="E1919" i="43"/>
  <c r="D1919" i="43"/>
  <c r="F1919" i="43" s="1"/>
  <c r="F1916" i="43"/>
  <c r="G1915" i="43"/>
  <c r="E1915" i="43"/>
  <c r="D1915" i="43"/>
  <c r="F1913" i="43"/>
  <c r="F1912" i="43"/>
  <c r="G1911" i="43"/>
  <c r="E1911" i="43"/>
  <c r="D1911" i="43"/>
  <c r="F1909" i="43"/>
  <c r="F1908" i="43"/>
  <c r="F1907" i="43"/>
  <c r="G1906" i="43"/>
  <c r="E1906" i="43"/>
  <c r="F1906" i="43" s="1"/>
  <c r="D1906" i="43"/>
  <c r="F1904" i="43"/>
  <c r="F1903" i="43"/>
  <c r="F1902" i="43"/>
  <c r="F1901" i="43"/>
  <c r="F1900" i="43"/>
  <c r="F1899" i="43"/>
  <c r="F1898" i="43"/>
  <c r="G1897" i="43"/>
  <c r="E1897" i="43"/>
  <c r="D1897" i="43"/>
  <c r="F1895" i="43"/>
  <c r="G1894" i="43"/>
  <c r="E1894" i="43"/>
  <c r="D1894" i="43"/>
  <c r="F1892" i="43"/>
  <c r="G1891" i="43"/>
  <c r="E1891" i="43"/>
  <c r="D1891" i="43"/>
  <c r="F1888" i="43"/>
  <c r="F1887" i="43"/>
  <c r="F1886" i="43"/>
  <c r="G1885" i="43"/>
  <c r="G1884" i="43" s="1"/>
  <c r="E1885" i="43"/>
  <c r="D1885" i="43"/>
  <c r="D1884" i="43" s="1"/>
  <c r="F1882" i="43"/>
  <c r="F1881" i="43"/>
  <c r="G1880" i="43"/>
  <c r="E1880" i="43"/>
  <c r="D1880" i="43"/>
  <c r="F1878" i="43"/>
  <c r="I1877" i="43"/>
  <c r="G1877" i="43"/>
  <c r="E1877" i="43"/>
  <c r="D1877" i="43"/>
  <c r="F1875" i="43"/>
  <c r="G1874" i="43"/>
  <c r="E1874" i="43"/>
  <c r="D1874" i="43"/>
  <c r="F1871" i="43"/>
  <c r="G1870" i="43"/>
  <c r="G1869" i="43" s="1"/>
  <c r="E1870" i="43"/>
  <c r="E1869" i="43" s="1"/>
  <c r="D1870" i="43"/>
  <c r="D1869" i="43" s="1"/>
  <c r="F1867" i="43"/>
  <c r="G1866" i="43"/>
  <c r="E1866" i="43"/>
  <c r="D1866" i="43"/>
  <c r="F1864" i="43"/>
  <c r="G1863" i="43"/>
  <c r="E1863" i="43"/>
  <c r="D1863" i="43"/>
  <c r="F1861" i="43"/>
  <c r="F1860" i="43"/>
  <c r="G1859" i="43"/>
  <c r="E1859" i="43"/>
  <c r="D1859" i="43"/>
  <c r="F1857" i="43"/>
  <c r="G1856" i="43"/>
  <c r="E1856" i="43"/>
  <c r="D1856" i="43"/>
  <c r="F1854" i="43"/>
  <c r="G1853" i="43"/>
  <c r="E1853" i="43"/>
  <c r="D1853" i="43"/>
  <c r="F1850" i="43"/>
  <c r="G1849" i="43"/>
  <c r="E1849" i="43"/>
  <c r="D1849" i="43"/>
  <c r="F1847" i="43"/>
  <c r="G1846" i="43"/>
  <c r="E1846" i="43"/>
  <c r="D1846" i="43"/>
  <c r="F1843" i="43"/>
  <c r="F1842" i="43"/>
  <c r="F1841" i="43"/>
  <c r="F1840" i="43"/>
  <c r="F1839" i="43"/>
  <c r="F1838" i="43"/>
  <c r="F1837" i="43"/>
  <c r="F1836" i="43"/>
  <c r="G1835" i="43"/>
  <c r="E1835" i="43"/>
  <c r="D1835" i="43"/>
  <c r="F1833" i="43"/>
  <c r="G1832" i="43"/>
  <c r="E1832" i="43"/>
  <c r="D1832" i="43"/>
  <c r="F1830" i="43"/>
  <c r="G1829" i="43"/>
  <c r="E1829" i="43"/>
  <c r="D1829" i="43"/>
  <c r="F1827" i="43"/>
  <c r="F1826" i="43"/>
  <c r="G1825" i="43"/>
  <c r="E1825" i="43"/>
  <c r="D1825" i="43"/>
  <c r="F1823" i="43"/>
  <c r="G1822" i="43"/>
  <c r="E1822" i="43"/>
  <c r="D1822" i="43"/>
  <c r="F1820" i="43"/>
  <c r="F1819" i="43"/>
  <c r="F1818" i="43"/>
  <c r="F1817" i="43"/>
  <c r="F1816" i="43"/>
  <c r="F1815" i="43"/>
  <c r="F1814" i="43"/>
  <c r="G1813" i="43"/>
  <c r="E1813" i="43"/>
  <c r="D1813" i="43"/>
  <c r="D1810" i="43"/>
  <c r="F1808" i="43"/>
  <c r="F1807" i="43"/>
  <c r="F1806" i="43"/>
  <c r="G1805" i="43"/>
  <c r="E1805" i="43"/>
  <c r="D1805" i="43"/>
  <c r="F1803" i="43"/>
  <c r="F1802" i="43"/>
  <c r="F1801" i="43"/>
  <c r="G1800" i="43"/>
  <c r="E1800" i="43"/>
  <c r="D1800" i="43"/>
  <c r="F1798" i="43"/>
  <c r="F1797" i="43"/>
  <c r="F1796" i="43"/>
  <c r="F1795" i="43"/>
  <c r="F1794" i="43"/>
  <c r="F1793" i="43"/>
  <c r="F1792" i="43"/>
  <c r="F1791" i="43"/>
  <c r="F1790" i="43"/>
  <c r="G1789" i="43"/>
  <c r="E1789" i="43"/>
  <c r="D1789" i="43"/>
  <c r="F1787" i="43"/>
  <c r="G1786" i="43"/>
  <c r="E1786" i="43"/>
  <c r="D1786" i="43"/>
  <c r="K1784" i="43"/>
  <c r="M1785" i="43" s="1"/>
  <c r="F1783" i="43"/>
  <c r="G1782" i="43"/>
  <c r="E1782" i="43"/>
  <c r="D1782" i="43"/>
  <c r="F1780" i="43"/>
  <c r="F1779" i="43"/>
  <c r="F1778" i="43"/>
  <c r="F1777" i="43"/>
  <c r="F1776" i="43"/>
  <c r="F1775" i="43"/>
  <c r="F1774" i="43"/>
  <c r="F1773" i="43"/>
  <c r="F1772" i="43"/>
  <c r="F1771" i="43"/>
  <c r="F1770" i="43"/>
  <c r="G1769" i="43"/>
  <c r="E1769" i="43"/>
  <c r="D1769" i="43"/>
  <c r="F1767" i="43"/>
  <c r="F1766" i="43"/>
  <c r="G1765" i="43"/>
  <c r="E1765" i="43"/>
  <c r="D1765" i="43"/>
  <c r="F1763" i="43"/>
  <c r="F1762" i="43"/>
  <c r="F1761" i="43"/>
  <c r="G1760" i="43"/>
  <c r="E1760" i="43"/>
  <c r="D1760" i="43"/>
  <c r="F1758" i="43"/>
  <c r="F1757" i="43"/>
  <c r="F1756" i="43"/>
  <c r="F1755" i="43"/>
  <c r="F1754" i="43"/>
  <c r="F1752" i="43"/>
  <c r="F1751" i="43"/>
  <c r="F1750" i="43"/>
  <c r="F1749" i="43"/>
  <c r="F1748" i="43"/>
  <c r="F1747" i="43"/>
  <c r="F1746" i="43"/>
  <c r="G1745" i="43"/>
  <c r="E1745" i="43"/>
  <c r="D1745" i="43"/>
  <c r="F1743" i="43"/>
  <c r="F1742" i="43"/>
  <c r="F1741" i="43"/>
  <c r="G1740" i="43"/>
  <c r="E1740" i="43"/>
  <c r="D1740" i="43"/>
  <c r="F1735" i="43"/>
  <c r="F1734" i="43"/>
  <c r="F1733" i="43"/>
  <c r="F1732" i="43"/>
  <c r="G1731" i="43"/>
  <c r="E1731" i="43"/>
  <c r="D1731" i="43"/>
  <c r="F1729" i="43"/>
  <c r="F1728" i="43"/>
  <c r="F1727" i="43"/>
  <c r="F1726" i="43"/>
  <c r="G1725" i="43"/>
  <c r="E1725" i="43"/>
  <c r="D1725" i="43"/>
  <c r="F1723" i="43"/>
  <c r="G1722" i="43"/>
  <c r="E1722" i="43"/>
  <c r="D1722" i="43"/>
  <c r="F1720" i="43"/>
  <c r="F1719" i="43"/>
  <c r="F1718" i="43"/>
  <c r="G1717" i="43"/>
  <c r="E1717" i="43"/>
  <c r="D1717" i="43"/>
  <c r="D1716" i="43" s="1"/>
  <c r="E1716" i="43"/>
  <c r="F1714" i="43"/>
  <c r="G1713" i="43"/>
  <c r="G1712" i="43" s="1"/>
  <c r="E1713" i="43"/>
  <c r="E1712" i="43" s="1"/>
  <c r="D1713" i="43"/>
  <c r="D1712" i="43" s="1"/>
  <c r="F1710" i="43"/>
  <c r="G1709" i="43"/>
  <c r="G1708" i="43" s="1"/>
  <c r="E1709" i="43"/>
  <c r="E1708" i="43" s="1"/>
  <c r="D1709" i="43"/>
  <c r="D1708" i="43" s="1"/>
  <c r="F1706" i="43"/>
  <c r="G1705" i="43"/>
  <c r="G1704" i="43" s="1"/>
  <c r="E1705" i="43"/>
  <c r="D1705" i="43"/>
  <c r="D1704" i="43" s="1"/>
  <c r="F1702" i="43"/>
  <c r="G1701" i="43"/>
  <c r="G1700" i="43" s="1"/>
  <c r="E1701" i="43"/>
  <c r="D1701" i="43"/>
  <c r="D1700" i="43"/>
  <c r="F1698" i="43"/>
  <c r="G1697" i="43"/>
  <c r="G1696" i="43" s="1"/>
  <c r="E1697" i="43"/>
  <c r="D1697" i="43"/>
  <c r="E1696" i="43"/>
  <c r="F1694" i="43"/>
  <c r="E1693" i="43"/>
  <c r="D1693" i="43"/>
  <c r="G1692" i="43"/>
  <c r="E1692" i="43"/>
  <c r="F1690" i="43"/>
  <c r="G1689" i="43"/>
  <c r="G1688" i="43" s="1"/>
  <c r="E1689" i="43"/>
  <c r="E1688" i="43" s="1"/>
  <c r="D1689" i="43"/>
  <c r="D1688" i="43" s="1"/>
  <c r="F1686" i="43"/>
  <c r="G1685" i="43"/>
  <c r="G1684" i="43" s="1"/>
  <c r="E1685" i="43"/>
  <c r="D1685" i="43"/>
  <c r="D1684" i="43" s="1"/>
  <c r="F1682" i="43"/>
  <c r="G1681" i="43"/>
  <c r="G1680" i="43" s="1"/>
  <c r="E1681" i="43"/>
  <c r="D1681" i="43"/>
  <c r="E1680" i="43"/>
  <c r="D1680" i="43"/>
  <c r="F1678" i="43"/>
  <c r="G1677" i="43"/>
  <c r="G1676" i="43" s="1"/>
  <c r="E1677" i="43"/>
  <c r="E1676" i="43" s="1"/>
  <c r="D1677" i="43"/>
  <c r="D1676" i="43" s="1"/>
  <c r="F1674" i="43"/>
  <c r="G1673" i="43"/>
  <c r="G1672" i="43" s="1"/>
  <c r="E1673" i="43"/>
  <c r="D1673" i="43"/>
  <c r="D1672" i="43" s="1"/>
  <c r="F1670" i="43"/>
  <c r="F1669" i="43"/>
  <c r="F1668" i="43"/>
  <c r="F1667" i="43"/>
  <c r="G1666" i="43"/>
  <c r="G1665" i="43" s="1"/>
  <c r="E1666" i="43"/>
  <c r="F1666" i="43" s="1"/>
  <c r="D1666" i="43"/>
  <c r="D1665" i="43" s="1"/>
  <c r="F1663" i="43"/>
  <c r="F1662" i="43"/>
  <c r="F1661" i="43"/>
  <c r="G1660" i="43"/>
  <c r="F1660" i="43"/>
  <c r="F1658" i="43"/>
  <c r="F1657" i="43"/>
  <c r="G1656" i="43"/>
  <c r="G1655" i="43" s="1"/>
  <c r="E1656" i="43"/>
  <c r="D1656" i="43"/>
  <c r="D1655" i="43" s="1"/>
  <c r="F1653" i="43"/>
  <c r="G1652" i="43"/>
  <c r="G1651" i="43" s="1"/>
  <c r="E1652" i="43"/>
  <c r="D1652" i="43"/>
  <c r="D1651" i="43"/>
  <c r="F1649" i="43"/>
  <c r="F1648" i="43"/>
  <c r="F1647" i="43"/>
  <c r="G1646" i="43"/>
  <c r="G1645" i="43" s="1"/>
  <c r="E1646" i="43"/>
  <c r="E1645" i="43" s="1"/>
  <c r="D1646" i="43"/>
  <c r="D1645" i="43" s="1"/>
  <c r="G1642" i="43"/>
  <c r="E1642" i="43"/>
  <c r="D1642" i="43"/>
  <c r="F1640" i="43"/>
  <c r="G1639" i="43"/>
  <c r="G1638" i="43" s="1"/>
  <c r="E1639" i="43"/>
  <c r="D1639" i="43"/>
  <c r="F1636" i="43"/>
  <c r="G1635" i="43"/>
  <c r="E1635" i="43"/>
  <c r="D1635" i="43"/>
  <c r="F1633" i="43"/>
  <c r="F1632" i="43"/>
  <c r="F1631" i="43"/>
  <c r="F1630" i="43"/>
  <c r="F1629" i="43"/>
  <c r="F1628" i="43"/>
  <c r="G1627" i="43"/>
  <c r="E1627" i="43"/>
  <c r="D1627" i="43"/>
  <c r="F1624" i="43"/>
  <c r="G1623" i="43"/>
  <c r="G1622" i="43" s="1"/>
  <c r="E1623" i="43"/>
  <c r="D1623" i="43"/>
  <c r="E1622" i="43"/>
  <c r="F1620" i="43"/>
  <c r="G1617" i="43"/>
  <c r="G1616" i="43" s="1"/>
  <c r="E1617" i="43"/>
  <c r="D1617" i="43"/>
  <c r="D1616" i="43" s="1"/>
  <c r="E1616" i="43"/>
  <c r="F1614" i="43"/>
  <c r="G1613" i="43"/>
  <c r="E1613" i="43"/>
  <c r="E1599" i="43" s="1"/>
  <c r="D1613" i="43"/>
  <c r="F1611" i="43"/>
  <c r="F1610" i="43"/>
  <c r="G1609" i="43"/>
  <c r="E1609" i="43"/>
  <c r="D1609" i="43"/>
  <c r="F1607" i="43"/>
  <c r="F1606" i="43"/>
  <c r="F1605" i="43"/>
  <c r="F1604" i="43"/>
  <c r="F1603" i="43"/>
  <c r="F1602" i="43"/>
  <c r="F1601" i="43"/>
  <c r="G1600" i="43"/>
  <c r="E1600" i="43"/>
  <c r="D1600" i="43"/>
  <c r="F1597" i="43"/>
  <c r="F1596" i="43"/>
  <c r="G1595" i="43"/>
  <c r="E1595" i="43"/>
  <c r="D1595" i="43"/>
  <c r="F1593" i="43"/>
  <c r="G1591" i="43"/>
  <c r="E1591" i="43"/>
  <c r="D1591" i="43"/>
  <c r="F1589" i="43"/>
  <c r="E1588" i="43"/>
  <c r="D1588" i="43"/>
  <c r="F1585" i="43"/>
  <c r="F1584" i="43"/>
  <c r="G1583" i="43"/>
  <c r="G1579" i="43" s="1"/>
  <c r="E1583" i="43"/>
  <c r="D1583" i="43"/>
  <c r="F1577" i="43"/>
  <c r="G1576" i="43"/>
  <c r="E1576" i="43"/>
  <c r="D1576" i="43"/>
  <c r="F1574" i="43"/>
  <c r="G1573" i="43"/>
  <c r="E1573" i="43"/>
  <c r="D1573" i="43"/>
  <c r="F1571" i="43"/>
  <c r="F1570" i="43"/>
  <c r="G1569" i="43"/>
  <c r="G1568" i="43" s="1"/>
  <c r="E1569" i="43"/>
  <c r="D1569" i="43"/>
  <c r="F1566" i="43"/>
  <c r="G1565" i="43"/>
  <c r="G1564" i="43" s="1"/>
  <c r="E1565" i="43"/>
  <c r="E1564" i="43" s="1"/>
  <c r="D1565" i="43"/>
  <c r="D1564" i="43" s="1"/>
  <c r="F1558" i="43"/>
  <c r="G1557" i="43"/>
  <c r="G1556" i="43" s="1"/>
  <c r="E1557" i="43"/>
  <c r="D1557" i="43"/>
  <c r="D1556" i="43" s="1"/>
  <c r="F1554" i="43"/>
  <c r="F1553" i="43"/>
  <c r="G1552" i="43"/>
  <c r="G1551" i="43" s="1"/>
  <c r="E1552" i="43"/>
  <c r="D1552" i="43"/>
  <c r="E1551" i="43"/>
  <c r="F1549" i="43"/>
  <c r="G1548" i="43"/>
  <c r="E1548" i="43"/>
  <c r="D1548" i="43"/>
  <c r="F1546" i="43"/>
  <c r="G1545" i="43"/>
  <c r="E1545" i="43"/>
  <c r="D1545" i="43"/>
  <c r="F1543" i="43"/>
  <c r="F1542" i="43"/>
  <c r="G1541" i="43"/>
  <c r="E1541" i="43"/>
  <c r="D1541" i="43"/>
  <c r="F1539" i="43"/>
  <c r="G1538" i="43"/>
  <c r="E1538" i="43"/>
  <c r="D1538" i="43"/>
  <c r="F1536" i="43"/>
  <c r="F1535" i="43"/>
  <c r="G1534" i="43"/>
  <c r="E1534" i="43"/>
  <c r="D1534" i="43"/>
  <c r="F1532" i="43"/>
  <c r="F1531" i="43"/>
  <c r="G1530" i="43"/>
  <c r="E1530" i="43"/>
  <c r="D1530" i="43"/>
  <c r="F1527" i="43"/>
  <c r="F1526" i="43"/>
  <c r="F1525" i="43"/>
  <c r="F1524" i="43"/>
  <c r="F1523" i="43"/>
  <c r="F1522" i="43"/>
  <c r="G1521" i="43"/>
  <c r="G1520" i="43" s="1"/>
  <c r="E1521" i="43"/>
  <c r="D1521" i="43"/>
  <c r="D1520" i="43" s="1"/>
  <c r="F1518" i="43"/>
  <c r="F1517" i="43"/>
  <c r="G1516" i="43"/>
  <c r="E1516" i="43"/>
  <c r="D1516" i="43"/>
  <c r="F1514" i="43"/>
  <c r="G1513" i="43"/>
  <c r="E1513" i="43"/>
  <c r="D1513" i="43"/>
  <c r="F1511" i="43"/>
  <c r="G1510" i="43"/>
  <c r="E1510" i="43"/>
  <c r="D1510" i="43"/>
  <c r="F1507" i="43"/>
  <c r="F1506" i="43"/>
  <c r="F1505" i="43"/>
  <c r="G1504" i="43"/>
  <c r="E1504" i="43"/>
  <c r="D1504" i="43"/>
  <c r="F1502" i="43"/>
  <c r="E1501" i="43"/>
  <c r="D1501" i="43"/>
  <c r="F1499" i="43"/>
  <c r="F1498" i="43"/>
  <c r="G1497" i="43"/>
  <c r="E1497" i="43"/>
  <c r="D1497" i="43"/>
  <c r="F1495" i="43"/>
  <c r="G1494" i="43"/>
  <c r="E1494" i="43"/>
  <c r="D1494" i="43"/>
  <c r="F1492" i="43"/>
  <c r="F1491" i="43"/>
  <c r="G1490" i="43"/>
  <c r="E1490" i="43"/>
  <c r="D1490" i="43"/>
  <c r="F1488" i="43"/>
  <c r="F1487" i="43"/>
  <c r="G1486" i="43"/>
  <c r="E1486" i="43"/>
  <c r="D1486" i="43"/>
  <c r="F1483" i="43"/>
  <c r="E1482" i="43"/>
  <c r="D1482" i="43"/>
  <c r="F1480" i="43"/>
  <c r="E1479" i="43"/>
  <c r="D1479" i="43"/>
  <c r="F1477" i="43"/>
  <c r="G1476" i="43"/>
  <c r="E1476" i="43"/>
  <c r="D1476" i="43"/>
  <c r="F1474" i="43"/>
  <c r="F1473" i="43"/>
  <c r="G1472" i="43"/>
  <c r="E1472" i="43"/>
  <c r="D1472" i="43"/>
  <c r="F1470" i="43"/>
  <c r="F1469" i="43"/>
  <c r="F1468" i="43"/>
  <c r="G1467" i="43"/>
  <c r="E1467" i="43"/>
  <c r="D1467" i="43"/>
  <c r="F1465" i="43"/>
  <c r="F1464" i="43"/>
  <c r="F1463" i="43"/>
  <c r="F1462" i="43"/>
  <c r="G1461" i="43"/>
  <c r="E1461" i="43"/>
  <c r="D1461" i="43"/>
  <c r="F1459" i="43"/>
  <c r="F1458" i="43"/>
  <c r="F1457" i="43"/>
  <c r="F1456" i="43"/>
  <c r="F1455" i="43"/>
  <c r="F1454" i="43"/>
  <c r="F1453" i="43"/>
  <c r="F1452" i="43"/>
  <c r="F1451" i="43"/>
  <c r="F1450" i="43"/>
  <c r="F1449" i="43"/>
  <c r="F1448" i="43"/>
  <c r="F1447" i="43"/>
  <c r="F1446" i="43"/>
  <c r="F1445" i="43"/>
  <c r="F1444" i="43"/>
  <c r="F1443" i="43"/>
  <c r="G1442" i="43"/>
  <c r="E1442" i="43"/>
  <c r="D1442" i="43"/>
  <c r="F1440" i="43"/>
  <c r="F1439" i="43"/>
  <c r="F1437" i="43"/>
  <c r="F1436" i="43"/>
  <c r="F1435" i="43"/>
  <c r="F1434" i="43"/>
  <c r="G1433" i="43"/>
  <c r="E1433" i="43"/>
  <c r="D1433" i="43"/>
  <c r="F1427" i="43"/>
  <c r="G1426" i="43"/>
  <c r="E1426" i="43"/>
  <c r="D1426" i="43"/>
  <c r="F1424" i="43"/>
  <c r="G1423" i="43"/>
  <c r="G1422" i="43" s="1"/>
  <c r="E1423" i="43"/>
  <c r="D1423" i="43"/>
  <c r="D1422" i="43" s="1"/>
  <c r="F1420" i="43"/>
  <c r="G1419" i="43"/>
  <c r="E1419" i="43"/>
  <c r="D1419" i="43"/>
  <c r="F1417" i="43"/>
  <c r="G1416" i="43"/>
  <c r="E1416" i="43"/>
  <c r="D1416" i="43"/>
  <c r="E1415" i="43"/>
  <c r="D1415" i="43"/>
  <c r="F1412" i="43"/>
  <c r="G1411" i="43"/>
  <c r="E1411" i="43"/>
  <c r="D1411" i="43"/>
  <c r="F1409" i="43"/>
  <c r="F1408" i="43"/>
  <c r="F1407" i="43"/>
  <c r="G1406" i="43"/>
  <c r="E1406" i="43"/>
  <c r="D1406" i="43"/>
  <c r="E1405" i="43"/>
  <c r="D1405" i="43"/>
  <c r="F1403" i="43"/>
  <c r="G1402" i="43"/>
  <c r="G1401" i="43" s="1"/>
  <c r="E1402" i="43"/>
  <c r="D1402" i="43"/>
  <c r="D1401" i="43" s="1"/>
  <c r="F1399" i="43"/>
  <c r="G1398" i="43"/>
  <c r="G1397" i="43" s="1"/>
  <c r="D1398" i="43"/>
  <c r="F1395" i="43"/>
  <c r="G1394" i="43"/>
  <c r="G1393" i="43" s="1"/>
  <c r="D1394" i="43"/>
  <c r="F1394" i="43" s="1"/>
  <c r="F1391" i="43"/>
  <c r="G1390" i="43"/>
  <c r="G1389" i="43" s="1"/>
  <c r="E1390" i="43"/>
  <c r="D1390" i="43"/>
  <c r="D1389" i="43" s="1"/>
  <c r="E1389" i="43"/>
  <c r="F1387" i="43"/>
  <c r="G1386" i="43"/>
  <c r="G1385" i="43" s="1"/>
  <c r="E1386" i="43"/>
  <c r="D1386" i="43"/>
  <c r="D1385" i="43" s="1"/>
  <c r="F1383" i="43"/>
  <c r="G1382" i="43"/>
  <c r="G1381" i="43" s="1"/>
  <c r="E1382" i="43"/>
  <c r="D1382" i="43"/>
  <c r="D1381" i="43" s="1"/>
  <c r="F1379" i="43"/>
  <c r="G1378" i="43"/>
  <c r="G1377" i="43" s="1"/>
  <c r="E1378" i="43"/>
  <c r="D1378" i="43"/>
  <c r="D1377" i="43" s="1"/>
  <c r="F1375" i="43"/>
  <c r="G1374" i="43"/>
  <c r="G1373" i="43" s="1"/>
  <c r="E1374" i="43"/>
  <c r="D1374" i="43"/>
  <c r="D1373" i="43" s="1"/>
  <c r="F1371" i="43"/>
  <c r="G1370" i="43"/>
  <c r="G1369" i="43" s="1"/>
  <c r="E1370" i="43"/>
  <c r="D1370" i="43"/>
  <c r="D1369" i="43" s="1"/>
  <c r="E1369" i="43"/>
  <c r="F1367" i="43"/>
  <c r="G1366" i="43"/>
  <c r="G1365" i="43" s="1"/>
  <c r="E1366" i="43"/>
  <c r="D1366" i="43"/>
  <c r="D1365" i="43" s="1"/>
  <c r="F1363" i="43"/>
  <c r="G1362" i="43"/>
  <c r="G1361" i="43" s="1"/>
  <c r="E1362" i="43"/>
  <c r="E1361" i="43" s="1"/>
  <c r="D1362" i="43"/>
  <c r="D1361" i="43" s="1"/>
  <c r="F1359" i="43"/>
  <c r="G1358" i="43"/>
  <c r="G1357" i="43" s="1"/>
  <c r="E1358" i="43"/>
  <c r="D1358" i="43"/>
  <c r="D1357" i="43" s="1"/>
  <c r="F1355" i="43"/>
  <c r="G1354" i="43"/>
  <c r="G1353" i="43" s="1"/>
  <c r="E1354" i="43"/>
  <c r="D1354" i="43"/>
  <c r="D1353" i="43" s="1"/>
  <c r="E1353" i="43"/>
  <c r="F1351" i="43"/>
  <c r="G1350" i="43"/>
  <c r="G1349" i="43" s="1"/>
  <c r="E1350" i="43"/>
  <c r="E1349" i="43" s="1"/>
  <c r="D1350" i="43"/>
  <c r="D1349" i="43" s="1"/>
  <c r="F1347" i="43"/>
  <c r="G1346" i="43"/>
  <c r="G1345" i="43" s="1"/>
  <c r="E1346" i="43"/>
  <c r="D1346" i="43"/>
  <c r="D1345" i="43" s="1"/>
  <c r="E1345" i="43"/>
  <c r="F1343" i="43"/>
  <c r="G1342" i="43"/>
  <c r="G1341" i="43" s="1"/>
  <c r="E1342" i="43"/>
  <c r="D1342" i="43"/>
  <c r="D1341" i="43" s="1"/>
  <c r="F1339" i="43"/>
  <c r="G1338" i="43"/>
  <c r="G1337" i="43" s="1"/>
  <c r="E1338" i="43"/>
  <c r="D1338" i="43"/>
  <c r="D1337" i="43" s="1"/>
  <c r="F1335" i="43"/>
  <c r="G1334" i="43"/>
  <c r="G1333" i="43" s="1"/>
  <c r="E1334" i="43"/>
  <c r="D1334" i="43"/>
  <c r="D1333" i="43"/>
  <c r="F1331" i="43"/>
  <c r="G1330" i="43"/>
  <c r="E1330" i="43"/>
  <c r="D1330" i="43"/>
  <c r="F1328" i="43"/>
  <c r="G1327" i="43"/>
  <c r="E1327" i="43"/>
  <c r="D1327" i="43"/>
  <c r="F1325" i="43"/>
  <c r="F1324" i="43"/>
  <c r="G1323" i="43"/>
  <c r="E1323" i="43"/>
  <c r="D1323" i="43"/>
  <c r="D1320" i="43"/>
  <c r="F1320" i="43" s="1"/>
  <c r="G1319" i="43"/>
  <c r="E1319" i="43"/>
  <c r="F1317" i="43"/>
  <c r="G1316" i="43"/>
  <c r="E1316" i="43"/>
  <c r="D1316" i="43"/>
  <c r="D1315" i="43" s="1"/>
  <c r="F1313" i="43"/>
  <c r="F1312" i="43"/>
  <c r="G1311" i="43"/>
  <c r="E1311" i="43"/>
  <c r="D1311" i="43"/>
  <c r="F1309" i="43"/>
  <c r="F1308" i="43"/>
  <c r="G1307" i="43"/>
  <c r="E1307" i="43"/>
  <c r="D1307" i="43"/>
  <c r="F1305" i="43"/>
  <c r="G1304" i="43"/>
  <c r="E1304" i="43"/>
  <c r="D1304" i="43"/>
  <c r="F1301" i="43"/>
  <c r="G1300" i="43"/>
  <c r="E1300" i="43"/>
  <c r="D1300" i="43"/>
  <c r="F1298" i="43"/>
  <c r="G1297" i="43"/>
  <c r="E1297" i="43"/>
  <c r="D1297" i="43"/>
  <c r="F1295" i="43"/>
  <c r="G1294" i="43"/>
  <c r="E1294" i="43"/>
  <c r="D1294" i="43"/>
  <c r="F1292" i="43"/>
  <c r="F1291" i="43"/>
  <c r="G1290" i="43"/>
  <c r="E1290" i="43"/>
  <c r="D1290" i="43"/>
  <c r="F1288" i="43"/>
  <c r="F1287" i="43"/>
  <c r="F1286" i="43"/>
  <c r="F1285" i="43"/>
  <c r="F1284" i="43"/>
  <c r="F1283" i="43"/>
  <c r="F1282" i="43"/>
  <c r="F1281" i="43"/>
  <c r="F1280" i="43"/>
  <c r="F1279" i="43"/>
  <c r="G1278" i="43"/>
  <c r="E1278" i="43"/>
  <c r="D1278" i="43"/>
  <c r="F1276" i="43"/>
  <c r="F1275" i="43"/>
  <c r="F1274" i="43"/>
  <c r="G1273" i="43"/>
  <c r="E1273" i="43"/>
  <c r="D1273" i="43"/>
  <c r="F1270" i="43"/>
  <c r="F1269" i="43"/>
  <c r="F1268" i="43"/>
  <c r="F1267" i="43"/>
  <c r="G1266" i="43"/>
  <c r="E1266" i="43"/>
  <c r="D1266" i="43"/>
  <c r="F1264" i="43"/>
  <c r="F1263" i="43"/>
  <c r="G1262" i="43"/>
  <c r="E1262" i="43"/>
  <c r="F1262" i="43" s="1"/>
  <c r="F1260" i="43"/>
  <c r="G1259" i="43"/>
  <c r="F1259" i="43"/>
  <c r="F1257" i="43"/>
  <c r="F1256" i="43"/>
  <c r="G1255" i="43"/>
  <c r="E1255" i="43"/>
  <c r="D1255" i="43"/>
  <c r="F1253" i="43"/>
  <c r="F1252" i="43"/>
  <c r="F1251" i="43"/>
  <c r="G1250" i="43"/>
  <c r="E1250" i="43"/>
  <c r="D1250" i="43"/>
  <c r="F1247" i="43"/>
  <c r="F1246" i="43"/>
  <c r="G1245" i="43"/>
  <c r="E1245" i="43"/>
  <c r="D1245" i="43"/>
  <c r="E1242" i="43"/>
  <c r="D1242" i="43"/>
  <c r="F1240" i="43"/>
  <c r="G1239" i="43"/>
  <c r="E1239" i="43"/>
  <c r="D1239" i="43"/>
  <c r="F1237" i="43"/>
  <c r="F1236" i="43"/>
  <c r="F1235" i="43"/>
  <c r="F1234" i="43"/>
  <c r="F1233" i="43"/>
  <c r="F1232" i="43"/>
  <c r="G1231" i="43"/>
  <c r="E1231" i="43"/>
  <c r="D1231" i="43"/>
  <c r="F1229" i="43"/>
  <c r="G1228" i="43"/>
  <c r="E1228" i="43"/>
  <c r="D1228" i="43"/>
  <c r="F1226" i="43"/>
  <c r="G1225" i="43"/>
  <c r="E1225" i="43"/>
  <c r="D1225" i="43"/>
  <c r="F1223" i="43"/>
  <c r="G1222" i="43"/>
  <c r="E1222" i="43"/>
  <c r="D1222" i="43"/>
  <c r="F1220" i="43"/>
  <c r="G1219" i="43"/>
  <c r="E1219" i="43"/>
  <c r="D1219" i="43"/>
  <c r="F1216" i="43"/>
  <c r="G1215" i="43"/>
  <c r="E1215" i="43"/>
  <c r="D1215" i="43"/>
  <c r="F1213" i="43"/>
  <c r="G1212" i="43"/>
  <c r="E1212" i="43"/>
  <c r="D1212" i="43"/>
  <c r="F1210" i="43"/>
  <c r="F1209" i="43"/>
  <c r="F1208" i="43"/>
  <c r="G1207" i="43"/>
  <c r="G1206" i="43" s="1"/>
  <c r="E1207" i="43"/>
  <c r="D1207" i="43"/>
  <c r="F1204" i="43"/>
  <c r="G1203" i="43"/>
  <c r="E1203" i="43"/>
  <c r="D1203" i="43"/>
  <c r="F1201" i="43"/>
  <c r="G1200" i="43"/>
  <c r="E1200" i="43"/>
  <c r="D1200" i="43"/>
  <c r="F1198" i="43"/>
  <c r="F1197" i="43"/>
  <c r="F1196" i="43"/>
  <c r="G1195" i="43"/>
  <c r="E1195" i="43"/>
  <c r="D1195" i="43"/>
  <c r="F1193" i="43"/>
  <c r="G1192" i="43"/>
  <c r="G1191" i="43" s="1"/>
  <c r="E1192" i="43"/>
  <c r="D1192" i="43"/>
  <c r="F1189" i="43"/>
  <c r="F1188" i="43"/>
  <c r="G1187" i="43"/>
  <c r="E1187" i="43"/>
  <c r="D1187" i="43"/>
  <c r="F1185" i="43"/>
  <c r="G1184" i="43"/>
  <c r="E1184" i="43"/>
  <c r="D1184" i="43"/>
  <c r="F1184" i="43" s="1"/>
  <c r="F1182" i="43"/>
  <c r="G1181" i="43"/>
  <c r="E1181" i="43"/>
  <c r="D1181" i="43"/>
  <c r="E1180" i="43"/>
  <c r="F1178" i="43"/>
  <c r="G1177" i="43"/>
  <c r="E1177" i="43"/>
  <c r="D1177" i="43"/>
  <c r="F1175" i="43"/>
  <c r="F1174" i="43"/>
  <c r="G1173" i="43"/>
  <c r="E1173" i="43"/>
  <c r="D1173" i="43"/>
  <c r="F1171" i="43"/>
  <c r="F1170" i="43"/>
  <c r="G1169" i="43"/>
  <c r="E1169" i="43"/>
  <c r="F1169" i="43" s="1"/>
  <c r="D1169" i="43"/>
  <c r="F1167" i="43"/>
  <c r="F1166" i="43"/>
  <c r="G1165" i="43"/>
  <c r="E1165" i="43"/>
  <c r="D1165" i="43"/>
  <c r="F1165" i="43" s="1"/>
  <c r="F1163" i="43"/>
  <c r="F1162" i="43"/>
  <c r="G1161" i="43"/>
  <c r="E1161" i="43"/>
  <c r="E1160" i="43" s="1"/>
  <c r="D1161" i="43"/>
  <c r="F1158" i="43"/>
  <c r="F1157" i="43"/>
  <c r="G1156" i="43"/>
  <c r="E1156" i="43"/>
  <c r="E1155" i="43" s="1"/>
  <c r="D1156" i="43"/>
  <c r="G1155" i="43"/>
  <c r="D1155" i="43"/>
  <c r="F1153" i="43"/>
  <c r="G1152" i="43"/>
  <c r="E1152" i="43"/>
  <c r="D1152" i="43"/>
  <c r="F1150" i="43"/>
  <c r="G1149" i="43"/>
  <c r="E1149" i="43"/>
  <c r="F1149" i="43" s="1"/>
  <c r="D1149" i="43"/>
  <c r="F1147" i="43"/>
  <c r="G1146" i="43"/>
  <c r="E1146" i="43"/>
  <c r="F1146" i="43" s="1"/>
  <c r="D1146" i="43"/>
  <c r="F1144" i="43"/>
  <c r="F1143" i="43"/>
  <c r="G1142" i="43"/>
  <c r="E1142" i="43"/>
  <c r="D1142" i="43"/>
  <c r="F1140" i="43"/>
  <c r="G1139" i="43"/>
  <c r="E1139" i="43"/>
  <c r="D1139" i="43"/>
  <c r="D1138" i="43" s="1"/>
  <c r="F1136" i="43"/>
  <c r="G1135" i="43"/>
  <c r="E1135" i="43"/>
  <c r="D1135" i="43"/>
  <c r="F1133" i="43"/>
  <c r="G1132" i="43"/>
  <c r="E1132" i="43"/>
  <c r="D1132" i="43"/>
  <c r="F1130" i="43"/>
  <c r="G1129" i="43"/>
  <c r="E1129" i="43"/>
  <c r="D1129" i="43"/>
  <c r="F1127" i="43"/>
  <c r="G1126" i="43"/>
  <c r="E1126" i="43"/>
  <c r="D1126" i="43"/>
  <c r="F1124" i="43"/>
  <c r="G1123" i="43"/>
  <c r="E1123" i="43"/>
  <c r="D1123" i="43"/>
  <c r="F1121" i="43"/>
  <c r="G1120" i="43"/>
  <c r="E1120" i="43"/>
  <c r="D1120" i="43"/>
  <c r="F1118" i="43"/>
  <c r="G1117" i="43"/>
  <c r="E1117" i="43"/>
  <c r="D1117" i="43"/>
  <c r="F1115" i="43"/>
  <c r="G1114" i="43"/>
  <c r="E1114" i="43"/>
  <c r="D1114" i="43"/>
  <c r="F1112" i="43"/>
  <c r="F1111" i="43"/>
  <c r="F1110" i="43"/>
  <c r="G1109" i="43"/>
  <c r="E1109" i="43"/>
  <c r="D1109" i="43"/>
  <c r="F1107" i="43"/>
  <c r="G1106" i="43"/>
  <c r="E1106" i="43"/>
  <c r="D1106" i="43"/>
  <c r="F1104" i="43"/>
  <c r="G1103" i="43"/>
  <c r="E1103" i="43"/>
  <c r="D1103" i="43"/>
  <c r="F1101" i="43"/>
  <c r="F1100" i="43"/>
  <c r="F1099" i="43"/>
  <c r="F1098" i="43"/>
  <c r="F1097" i="43"/>
  <c r="F1096" i="43"/>
  <c r="F1095" i="43"/>
  <c r="G1094" i="43"/>
  <c r="E1094" i="43"/>
  <c r="D1094" i="43"/>
  <c r="F1091" i="43"/>
  <c r="G1090" i="43"/>
  <c r="E1090" i="43"/>
  <c r="D1090" i="43"/>
  <c r="F1088" i="43"/>
  <c r="G1087" i="43"/>
  <c r="E1087" i="43"/>
  <c r="D1087" i="43"/>
  <c r="F1085" i="43"/>
  <c r="G1084" i="43"/>
  <c r="E1084" i="43"/>
  <c r="D1084" i="43"/>
  <c r="F1082" i="43"/>
  <c r="G1081" i="43"/>
  <c r="E1081" i="43"/>
  <c r="D1081" i="43"/>
  <c r="F1079" i="43"/>
  <c r="G1078" i="43"/>
  <c r="G1077" i="43" s="1"/>
  <c r="E1078" i="43"/>
  <c r="D1078" i="43"/>
  <c r="F1075" i="43"/>
  <c r="G1074" i="43"/>
  <c r="E1074" i="43"/>
  <c r="D1074" i="43"/>
  <c r="F1072" i="43"/>
  <c r="G1071" i="43"/>
  <c r="E1071" i="43"/>
  <c r="D1071" i="43"/>
  <c r="F1069" i="43"/>
  <c r="G1068" i="43"/>
  <c r="E1068" i="43"/>
  <c r="D1068" i="43"/>
  <c r="F1066" i="43"/>
  <c r="F1065" i="43"/>
  <c r="F1064" i="43"/>
  <c r="F1063" i="43"/>
  <c r="G1062" i="43"/>
  <c r="E1062" i="43"/>
  <c r="D1062" i="43"/>
  <c r="F1060" i="43"/>
  <c r="F1059" i="43"/>
  <c r="G1058" i="43"/>
  <c r="E1058" i="43"/>
  <c r="D1058" i="43"/>
  <c r="F1056" i="43"/>
  <c r="G1055" i="43"/>
  <c r="E1055" i="43"/>
  <c r="D1055" i="43"/>
  <c r="F1053" i="43"/>
  <c r="G1052" i="43"/>
  <c r="E1052" i="43"/>
  <c r="D1052" i="43"/>
  <c r="F1049" i="43"/>
  <c r="G1048" i="43"/>
  <c r="G1047" i="43" s="1"/>
  <c r="E1048" i="43"/>
  <c r="D1048" i="43"/>
  <c r="D1047" i="43" s="1"/>
  <c r="F1045" i="43"/>
  <c r="G1044" i="43"/>
  <c r="E1044" i="43"/>
  <c r="D1044" i="43"/>
  <c r="F1042" i="43"/>
  <c r="G1041" i="43"/>
  <c r="E1041" i="43"/>
  <c r="D1041" i="43"/>
  <c r="F1039" i="43"/>
  <c r="F1038" i="43"/>
  <c r="G1037" i="43"/>
  <c r="E1037" i="43"/>
  <c r="D1037" i="43"/>
  <c r="F1035" i="43"/>
  <c r="G1034" i="43"/>
  <c r="E1034" i="43"/>
  <c r="D1034" i="43"/>
  <c r="D1033" i="43" s="1"/>
  <c r="F1031" i="43"/>
  <c r="G1030" i="43"/>
  <c r="E1030" i="43"/>
  <c r="D1030" i="43"/>
  <c r="F1028" i="43"/>
  <c r="G1027" i="43"/>
  <c r="E1027" i="43"/>
  <c r="D1027" i="43"/>
  <c r="F1025" i="43"/>
  <c r="G1024" i="43"/>
  <c r="E1024" i="43"/>
  <c r="D1024" i="43"/>
  <c r="F1022" i="43"/>
  <c r="G1021" i="43"/>
  <c r="E1021" i="43"/>
  <c r="D1021" i="43"/>
  <c r="F1019" i="43"/>
  <c r="G1018" i="43"/>
  <c r="E1018" i="43"/>
  <c r="D1018" i="43"/>
  <c r="E1017" i="43"/>
  <c r="F1015" i="43"/>
  <c r="G1014" i="43"/>
  <c r="G1010" i="43" s="1"/>
  <c r="E1014" i="43"/>
  <c r="D1014" i="43"/>
  <c r="G1011" i="43"/>
  <c r="D1011" i="43"/>
  <c r="D1010" i="43" s="1"/>
  <c r="F1008" i="43"/>
  <c r="G1007" i="43"/>
  <c r="E1007" i="43"/>
  <c r="D1007" i="43"/>
  <c r="F1005" i="43"/>
  <c r="G1004" i="43"/>
  <c r="E1004" i="43"/>
  <c r="D1004" i="43"/>
  <c r="F1002" i="43"/>
  <c r="F1001" i="43"/>
  <c r="F1000" i="43"/>
  <c r="F999" i="43"/>
  <c r="G998" i="43"/>
  <c r="E998" i="43"/>
  <c r="D998" i="43"/>
  <c r="F996" i="43"/>
  <c r="G995" i="43"/>
  <c r="E995" i="43"/>
  <c r="D995" i="43"/>
  <c r="F993" i="43"/>
  <c r="F992" i="43"/>
  <c r="F991" i="43"/>
  <c r="G990" i="43"/>
  <c r="E990" i="43"/>
  <c r="D990" i="43"/>
  <c r="F988" i="43"/>
  <c r="F987" i="43"/>
  <c r="F986" i="43"/>
  <c r="F985" i="43"/>
  <c r="F984" i="43"/>
  <c r="G983" i="43"/>
  <c r="E983" i="43"/>
  <c r="D983" i="43"/>
  <c r="F981" i="43"/>
  <c r="G980" i="43"/>
  <c r="E980" i="43"/>
  <c r="D980" i="43"/>
  <c r="F978" i="43"/>
  <c r="F977" i="43"/>
  <c r="G976" i="43"/>
  <c r="E976" i="43"/>
  <c r="D976" i="43"/>
  <c r="F974" i="43"/>
  <c r="F973" i="43"/>
  <c r="F972" i="43"/>
  <c r="G971" i="43"/>
  <c r="E971" i="43"/>
  <c r="D971" i="43"/>
  <c r="F969" i="43"/>
  <c r="G968" i="43"/>
  <c r="E968" i="43"/>
  <c r="D968" i="43"/>
  <c r="F966" i="43"/>
  <c r="G965" i="43"/>
  <c r="E965" i="43"/>
  <c r="D965" i="43"/>
  <c r="F963" i="43"/>
  <c r="F962" i="43"/>
  <c r="F961" i="43"/>
  <c r="F960" i="43"/>
  <c r="F959" i="43"/>
  <c r="F958" i="43"/>
  <c r="F957" i="43"/>
  <c r="F956" i="43"/>
  <c r="F955" i="43"/>
  <c r="F954" i="43"/>
  <c r="F953" i="43"/>
  <c r="F952" i="43"/>
  <c r="F951" i="43"/>
  <c r="G950" i="43"/>
  <c r="E950" i="43"/>
  <c r="D950" i="43"/>
  <c r="F948" i="43"/>
  <c r="G947" i="43"/>
  <c r="E947" i="43"/>
  <c r="D947" i="43"/>
  <c r="F945" i="43"/>
  <c r="G944" i="43"/>
  <c r="E944" i="43"/>
  <c r="D944" i="43"/>
  <c r="F942" i="43"/>
  <c r="F941" i="43"/>
  <c r="G940" i="43"/>
  <c r="E940" i="43"/>
  <c r="D940" i="43"/>
  <c r="F937" i="43"/>
  <c r="G936" i="43"/>
  <c r="E936" i="43"/>
  <c r="D936" i="43"/>
  <c r="F934" i="43"/>
  <c r="G933" i="43"/>
  <c r="E933" i="43"/>
  <c r="D933" i="43"/>
  <c r="F931" i="43"/>
  <c r="F930" i="43"/>
  <c r="F929" i="43"/>
  <c r="F928" i="43"/>
  <c r="G926" i="43"/>
  <c r="E926" i="43"/>
  <c r="D926" i="43"/>
  <c r="F924" i="43"/>
  <c r="G922" i="43"/>
  <c r="E922" i="43"/>
  <c r="D922" i="43"/>
  <c r="F920" i="43"/>
  <c r="F919" i="43"/>
  <c r="F918" i="43"/>
  <c r="G917" i="43"/>
  <c r="E917" i="43"/>
  <c r="D917" i="43"/>
  <c r="F915" i="43"/>
  <c r="F914" i="43"/>
  <c r="F913" i="43"/>
  <c r="F911" i="43"/>
  <c r="G910" i="43"/>
  <c r="E910" i="43"/>
  <c r="D910" i="43"/>
  <c r="F908" i="43"/>
  <c r="F907" i="43"/>
  <c r="F905" i="43"/>
  <c r="F904" i="43"/>
  <c r="F903" i="43"/>
  <c r="F902" i="43"/>
  <c r="F901" i="43"/>
  <c r="F900" i="43"/>
  <c r="F899" i="43"/>
  <c r="F898" i="43"/>
  <c r="F897" i="43"/>
  <c r="F896" i="43"/>
  <c r="F895" i="43"/>
  <c r="F894" i="43"/>
  <c r="F893" i="43"/>
  <c r="F892" i="43"/>
  <c r="F891" i="43"/>
  <c r="F890" i="43"/>
  <c r="F889" i="43"/>
  <c r="F888" i="43"/>
  <c r="F887" i="43"/>
  <c r="F886" i="43"/>
  <c r="G885" i="43"/>
  <c r="E885" i="43"/>
  <c r="D885" i="43"/>
  <c r="F883" i="43"/>
  <c r="F882" i="43"/>
  <c r="F881" i="43"/>
  <c r="F880" i="43"/>
  <c r="F879" i="43"/>
  <c r="F878" i="43"/>
  <c r="F877" i="43"/>
  <c r="F876" i="43"/>
  <c r="F875" i="43"/>
  <c r="F874" i="43"/>
  <c r="F873" i="43"/>
  <c r="F872" i="43"/>
  <c r="F871" i="43"/>
  <c r="F870" i="43"/>
  <c r="F869" i="43"/>
  <c r="G868" i="43"/>
  <c r="E868" i="43"/>
  <c r="D868" i="43"/>
  <c r="F866" i="43"/>
  <c r="G865" i="43"/>
  <c r="E865" i="43"/>
  <c r="D865" i="43"/>
  <c r="F860" i="43"/>
  <c r="F859" i="43"/>
  <c r="G858" i="43"/>
  <c r="E858" i="43"/>
  <c r="D858" i="43"/>
  <c r="F856" i="43"/>
  <c r="G855" i="43"/>
  <c r="G854" i="43" s="1"/>
  <c r="E855" i="43"/>
  <c r="D855" i="43"/>
  <c r="E854" i="43"/>
  <c r="F852" i="43"/>
  <c r="F851" i="43"/>
  <c r="G850" i="43"/>
  <c r="G849" i="43" s="1"/>
  <c r="E850" i="43"/>
  <c r="D850" i="43"/>
  <c r="D849" i="43" s="1"/>
  <c r="F847" i="43"/>
  <c r="G846" i="43"/>
  <c r="E846" i="43"/>
  <c r="D846" i="43"/>
  <c r="F844" i="43"/>
  <c r="F843" i="43"/>
  <c r="G842" i="43"/>
  <c r="E842" i="43"/>
  <c r="D842" i="43"/>
  <c r="F840" i="43"/>
  <c r="G839" i="43"/>
  <c r="E839" i="43"/>
  <c r="D839" i="43"/>
  <c r="F837" i="43"/>
  <c r="G836" i="43"/>
  <c r="E836" i="43"/>
  <c r="D836" i="43"/>
  <c r="F834" i="43"/>
  <c r="G833" i="43"/>
  <c r="E833" i="43"/>
  <c r="D833" i="43"/>
  <c r="F831" i="43"/>
  <c r="G830" i="43"/>
  <c r="E830" i="43"/>
  <c r="D830" i="43"/>
  <c r="F828" i="43"/>
  <c r="G827" i="43"/>
  <c r="E827" i="43"/>
  <c r="D827" i="43"/>
  <c r="F824" i="43"/>
  <c r="E823" i="43"/>
  <c r="D823" i="43"/>
  <c r="F821" i="43"/>
  <c r="G820" i="43"/>
  <c r="E820" i="43"/>
  <c r="D820" i="43"/>
  <c r="F818" i="43"/>
  <c r="G817" i="43"/>
  <c r="E817" i="43"/>
  <c r="D817" i="43"/>
  <c r="F815" i="43"/>
  <c r="G814" i="43"/>
  <c r="E814" i="43"/>
  <c r="D814" i="43"/>
  <c r="F812" i="43"/>
  <c r="G811" i="43"/>
  <c r="E811" i="43"/>
  <c r="D811" i="43"/>
  <c r="F809" i="43"/>
  <c r="G808" i="43"/>
  <c r="E808" i="43"/>
  <c r="D808" i="43"/>
  <c r="F806" i="43"/>
  <c r="G805" i="43"/>
  <c r="E805" i="43"/>
  <c r="D805" i="43"/>
  <c r="F803" i="43"/>
  <c r="G802" i="43"/>
  <c r="E802" i="43"/>
  <c r="D802" i="43"/>
  <c r="D801" i="43" s="1"/>
  <c r="F799" i="43"/>
  <c r="E798" i="43"/>
  <c r="D798" i="43"/>
  <c r="F796" i="43"/>
  <c r="G795" i="43"/>
  <c r="E795" i="43"/>
  <c r="D795" i="43"/>
  <c r="F793" i="43"/>
  <c r="G792" i="43"/>
  <c r="E792" i="43"/>
  <c r="D792" i="43"/>
  <c r="F790" i="43"/>
  <c r="G789" i="43"/>
  <c r="E789" i="43"/>
  <c r="D789" i="43"/>
  <c r="F787" i="43"/>
  <c r="G786" i="43"/>
  <c r="E786" i="43"/>
  <c r="D786" i="43"/>
  <c r="F783" i="43"/>
  <c r="G782" i="43"/>
  <c r="E782" i="43"/>
  <c r="D782" i="43"/>
  <c r="F780" i="43"/>
  <c r="F779" i="43"/>
  <c r="G778" i="43"/>
  <c r="E778" i="43"/>
  <c r="D778" i="43"/>
  <c r="F776" i="43"/>
  <c r="G775" i="43"/>
  <c r="E775" i="43"/>
  <c r="D775" i="43"/>
  <c r="F773" i="43"/>
  <c r="G772" i="43"/>
  <c r="E772" i="43"/>
  <c r="D772" i="43"/>
  <c r="F770" i="43"/>
  <c r="G769" i="43"/>
  <c r="E769" i="43"/>
  <c r="D769" i="43"/>
  <c r="F766" i="43"/>
  <c r="E765" i="43"/>
  <c r="D765" i="43"/>
  <c r="F763" i="43"/>
  <c r="G762" i="43"/>
  <c r="E762" i="43"/>
  <c r="D762" i="43"/>
  <c r="F760" i="43"/>
  <c r="G759" i="43"/>
  <c r="E759" i="43"/>
  <c r="D759" i="43"/>
  <c r="F757" i="43"/>
  <c r="G756" i="43"/>
  <c r="E756" i="43"/>
  <c r="D756" i="43"/>
  <c r="F754" i="43"/>
  <c r="G753" i="43"/>
  <c r="E753" i="43"/>
  <c r="D753" i="43"/>
  <c r="F751" i="43"/>
  <c r="G750" i="43"/>
  <c r="E750" i="43"/>
  <c r="D750" i="43"/>
  <c r="F748" i="43"/>
  <c r="G747" i="43"/>
  <c r="E747" i="43"/>
  <c r="D747" i="43"/>
  <c r="F744" i="43"/>
  <c r="F743" i="43"/>
  <c r="G742" i="43"/>
  <c r="E742" i="43"/>
  <c r="D742" i="43"/>
  <c r="F740" i="43"/>
  <c r="G739" i="43"/>
  <c r="E739" i="43"/>
  <c r="D739" i="43"/>
  <c r="F737" i="43"/>
  <c r="G736" i="43"/>
  <c r="E736" i="43"/>
  <c r="D736" i="43"/>
  <c r="F734" i="43"/>
  <c r="G733" i="43"/>
  <c r="E733" i="43"/>
  <c r="D733" i="43"/>
  <c r="F731" i="43"/>
  <c r="G730" i="43"/>
  <c r="E730" i="43"/>
  <c r="D730" i="43"/>
  <c r="F728" i="43"/>
  <c r="G727" i="43"/>
  <c r="G726" i="43" s="1"/>
  <c r="E727" i="43"/>
  <c r="D727" i="43"/>
  <c r="F724" i="43"/>
  <c r="G723" i="43"/>
  <c r="E723" i="43"/>
  <c r="D723" i="43"/>
  <c r="F721" i="43"/>
  <c r="G720" i="43"/>
  <c r="E720" i="43"/>
  <c r="D720" i="43"/>
  <c r="F718" i="43"/>
  <c r="G717" i="43"/>
  <c r="E717" i="43"/>
  <c r="D717" i="43"/>
  <c r="F715" i="43"/>
  <c r="G714" i="43"/>
  <c r="E714" i="43"/>
  <c r="D714" i="43"/>
  <c r="F712" i="43"/>
  <c r="G711" i="43"/>
  <c r="E711" i="43"/>
  <c r="D711" i="43"/>
  <c r="F709" i="43"/>
  <c r="G708" i="43"/>
  <c r="E708" i="43"/>
  <c r="D708" i="43"/>
  <c r="F706" i="43"/>
  <c r="G705" i="43"/>
  <c r="E705" i="43"/>
  <c r="D705" i="43"/>
  <c r="F702" i="43"/>
  <c r="G701" i="43"/>
  <c r="G700" i="43" s="1"/>
  <c r="E701" i="43"/>
  <c r="D701" i="43"/>
  <c r="D700" i="43"/>
  <c r="F698" i="43"/>
  <c r="G697" i="43"/>
  <c r="E697" i="43"/>
  <c r="D697" i="43"/>
  <c r="F697" i="43" s="1"/>
  <c r="F695" i="43"/>
  <c r="F694" i="43"/>
  <c r="F693" i="43"/>
  <c r="F692" i="43"/>
  <c r="G691" i="43"/>
  <c r="E691" i="43"/>
  <c r="D691" i="43"/>
  <c r="F689" i="43"/>
  <c r="G688" i="43"/>
  <c r="G687" i="43" s="1"/>
  <c r="E688" i="43"/>
  <c r="F688" i="43" s="1"/>
  <c r="D688" i="43"/>
  <c r="F685" i="43"/>
  <c r="G684" i="43"/>
  <c r="E684" i="43"/>
  <c r="D684" i="43"/>
  <c r="F682" i="43"/>
  <c r="G681" i="43"/>
  <c r="E681" i="43"/>
  <c r="D681" i="43"/>
  <c r="F679" i="43"/>
  <c r="F678" i="43"/>
  <c r="G677" i="43"/>
  <c r="E677" i="43"/>
  <c r="D677" i="43"/>
  <c r="F675" i="43"/>
  <c r="F674" i="43"/>
  <c r="G673" i="43"/>
  <c r="G672" i="43" s="1"/>
  <c r="E673" i="43"/>
  <c r="D673" i="43"/>
  <c r="F670" i="43"/>
  <c r="F669" i="43"/>
  <c r="G668" i="43"/>
  <c r="E668" i="43"/>
  <c r="D668" i="43"/>
  <c r="F666" i="43"/>
  <c r="G665" i="43"/>
  <c r="E665" i="43"/>
  <c r="F665" i="43" s="1"/>
  <c r="D665" i="43"/>
  <c r="G662" i="43"/>
  <c r="E662" i="43"/>
  <c r="D662" i="43"/>
  <c r="G659" i="43"/>
  <c r="E659" i="43"/>
  <c r="D659" i="43"/>
  <c r="F657" i="43"/>
  <c r="G656" i="43"/>
  <c r="E656" i="43"/>
  <c r="D656" i="43"/>
  <c r="F654" i="43"/>
  <c r="F653" i="43"/>
  <c r="G652" i="43"/>
  <c r="E652" i="43"/>
  <c r="D652" i="43"/>
  <c r="F649" i="43"/>
  <c r="F648" i="43"/>
  <c r="G647" i="43"/>
  <c r="G646" i="43" s="1"/>
  <c r="E647" i="43"/>
  <c r="D647" i="43"/>
  <c r="D646" i="43" s="1"/>
  <c r="E646" i="43"/>
  <c r="F644" i="43"/>
  <c r="G643" i="43"/>
  <c r="G642" i="43" s="1"/>
  <c r="E643" i="43"/>
  <c r="E642" i="43" s="1"/>
  <c r="D643" i="43"/>
  <c r="D642" i="43" s="1"/>
  <c r="F640" i="43"/>
  <c r="F639" i="43"/>
  <c r="G638" i="43"/>
  <c r="E638" i="43"/>
  <c r="D638" i="43"/>
  <c r="F636" i="43"/>
  <c r="F635" i="43"/>
  <c r="F634" i="43"/>
  <c r="G633" i="43"/>
  <c r="E633" i="43"/>
  <c r="D633" i="43"/>
  <c r="F631" i="43"/>
  <c r="F630" i="43"/>
  <c r="F629" i="43"/>
  <c r="G628" i="43"/>
  <c r="E628" i="43"/>
  <c r="D628" i="43"/>
  <c r="F625" i="43"/>
  <c r="F624" i="43"/>
  <c r="G623" i="43"/>
  <c r="G622" i="43" s="1"/>
  <c r="E623" i="43"/>
  <c r="E622" i="43" s="1"/>
  <c r="D623" i="43"/>
  <c r="D622" i="43" s="1"/>
  <c r="F620" i="43"/>
  <c r="G619" i="43"/>
  <c r="E619" i="43"/>
  <c r="D619" i="43"/>
  <c r="F617" i="43"/>
  <c r="F616" i="43"/>
  <c r="G615" i="43"/>
  <c r="E615" i="43"/>
  <c r="D615" i="43"/>
  <c r="F613" i="43"/>
  <c r="F612" i="43"/>
  <c r="F611" i="43"/>
  <c r="F610" i="43"/>
  <c r="G609" i="43"/>
  <c r="E609" i="43"/>
  <c r="D609" i="43"/>
  <c r="F607" i="43"/>
  <c r="G606" i="43"/>
  <c r="E606" i="43"/>
  <c r="D606" i="43"/>
  <c r="F603" i="43"/>
  <c r="G602" i="43"/>
  <c r="E602" i="43"/>
  <c r="D602" i="43"/>
  <c r="F600" i="43"/>
  <c r="G599" i="43"/>
  <c r="E599" i="43"/>
  <c r="D599" i="43"/>
  <c r="F597" i="43"/>
  <c r="G596" i="43"/>
  <c r="E596" i="43"/>
  <c r="D596" i="43"/>
  <c r="F594" i="43"/>
  <c r="G593" i="43"/>
  <c r="E593" i="43"/>
  <c r="D593" i="43"/>
  <c r="F590" i="43"/>
  <c r="G589" i="43"/>
  <c r="G588" i="43" s="1"/>
  <c r="E589" i="43"/>
  <c r="D589" i="43"/>
  <c r="D588" i="43" s="1"/>
  <c r="E588" i="43"/>
  <c r="F586" i="43"/>
  <c r="E585" i="43"/>
  <c r="D585" i="43"/>
  <c r="F583" i="43"/>
  <c r="G582" i="43"/>
  <c r="E582" i="43"/>
  <c r="D582" i="43"/>
  <c r="D579" i="43"/>
  <c r="G578" i="43"/>
  <c r="E578" i="43"/>
  <c r="F576" i="43"/>
  <c r="F575" i="43"/>
  <c r="G574" i="43"/>
  <c r="G573" i="43" s="1"/>
  <c r="E574" i="43"/>
  <c r="E573" i="43" s="1"/>
  <c r="D574" i="43"/>
  <c r="D573" i="43" s="1"/>
  <c r="F571" i="43"/>
  <c r="G570" i="43"/>
  <c r="E570" i="43"/>
  <c r="D570" i="43"/>
  <c r="F568" i="43"/>
  <c r="F567" i="43"/>
  <c r="F566" i="43"/>
  <c r="F565" i="43"/>
  <c r="G564" i="43"/>
  <c r="E564" i="43"/>
  <c r="D564" i="43"/>
  <c r="F561" i="43"/>
  <c r="G560" i="43"/>
  <c r="G559" i="43" s="1"/>
  <c r="E560" i="43"/>
  <c r="D560" i="43"/>
  <c r="D559" i="43"/>
  <c r="F557" i="43"/>
  <c r="I556" i="43"/>
  <c r="G556" i="43"/>
  <c r="E556" i="43"/>
  <c r="D556" i="43"/>
  <c r="F554" i="43"/>
  <c r="F553" i="43"/>
  <c r="F552" i="43"/>
  <c r="G551" i="43"/>
  <c r="G535" i="43" s="1"/>
  <c r="E551" i="43"/>
  <c r="D551" i="43"/>
  <c r="F549" i="43"/>
  <c r="F548" i="43"/>
  <c r="F547" i="43"/>
  <c r="G546" i="43"/>
  <c r="E546" i="43"/>
  <c r="D546" i="43"/>
  <c r="F544" i="43"/>
  <c r="F543" i="43"/>
  <c r="F542" i="43"/>
  <c r="F541" i="43"/>
  <c r="F540" i="43"/>
  <c r="G539" i="43"/>
  <c r="E539" i="43"/>
  <c r="D539" i="43"/>
  <c r="F537" i="43"/>
  <c r="G536" i="43"/>
  <c r="E536" i="43"/>
  <c r="D536" i="43"/>
  <c r="G531" i="43"/>
  <c r="E531" i="43"/>
  <c r="D531" i="43"/>
  <c r="E528" i="43"/>
  <c r="D528" i="43"/>
  <c r="F526" i="43"/>
  <c r="F525" i="43"/>
  <c r="F524" i="43"/>
  <c r="F523" i="43"/>
  <c r="F522" i="43"/>
  <c r="F521" i="43"/>
  <c r="F520" i="43"/>
  <c r="G519" i="43"/>
  <c r="E519" i="43"/>
  <c r="D519" i="43"/>
  <c r="F517" i="43"/>
  <c r="F516" i="43"/>
  <c r="F515" i="43"/>
  <c r="G514" i="43"/>
  <c r="E514" i="43"/>
  <c r="D514" i="43"/>
  <c r="F512" i="43"/>
  <c r="F511" i="43"/>
  <c r="F510" i="43"/>
  <c r="F509" i="43"/>
  <c r="F508" i="43"/>
  <c r="I507" i="43"/>
  <c r="G507" i="43"/>
  <c r="E507" i="43"/>
  <c r="D507" i="43"/>
  <c r="F507" i="43" s="1"/>
  <c r="F505" i="43"/>
  <c r="F504" i="43"/>
  <c r="F503" i="43"/>
  <c r="F502" i="43"/>
  <c r="F501" i="43"/>
  <c r="F500" i="43"/>
  <c r="F499" i="43"/>
  <c r="F497" i="43"/>
  <c r="F496" i="43"/>
  <c r="F495" i="43"/>
  <c r="F494" i="43"/>
  <c r="G493" i="43"/>
  <c r="E493" i="43"/>
  <c r="D493" i="43"/>
  <c r="F491" i="43"/>
  <c r="F490" i="43"/>
  <c r="F489" i="43"/>
  <c r="F488" i="43"/>
  <c r="F487" i="43"/>
  <c r="F486" i="43"/>
  <c r="F485" i="43"/>
  <c r="G484" i="43"/>
  <c r="E484" i="43"/>
  <c r="D484" i="43"/>
  <c r="F479" i="43"/>
  <c r="G478" i="43"/>
  <c r="E478" i="43"/>
  <c r="D478" i="43"/>
  <c r="F476" i="43"/>
  <c r="G475" i="43"/>
  <c r="E475" i="43"/>
  <c r="D475" i="43"/>
  <c r="F475" i="43" s="1"/>
  <c r="F473" i="43"/>
  <c r="F472" i="43"/>
  <c r="G471" i="43"/>
  <c r="E471" i="43"/>
  <c r="D471" i="43"/>
  <c r="D470" i="43" s="1"/>
  <c r="F468" i="43"/>
  <c r="G467" i="43"/>
  <c r="G466" i="43" s="1"/>
  <c r="E467" i="43"/>
  <c r="E466" i="43" s="1"/>
  <c r="D467" i="43"/>
  <c r="D466" i="43" s="1"/>
  <c r="F464" i="43"/>
  <c r="G463" i="43"/>
  <c r="G462" i="43" s="1"/>
  <c r="E463" i="43"/>
  <c r="E462" i="43" s="1"/>
  <c r="D463" i="43"/>
  <c r="D462" i="43"/>
  <c r="F460" i="43"/>
  <c r="G459" i="43"/>
  <c r="E459" i="43"/>
  <c r="D459" i="43"/>
  <c r="F457" i="43"/>
  <c r="G456" i="43"/>
  <c r="E456" i="43"/>
  <c r="D456" i="43"/>
  <c r="F454" i="43"/>
  <c r="F453" i="43"/>
  <c r="G452" i="43"/>
  <c r="E452" i="43"/>
  <c r="D452" i="43"/>
  <c r="F449" i="43"/>
  <c r="F448" i="43"/>
  <c r="F447" i="43"/>
  <c r="F446" i="43"/>
  <c r="F445" i="43"/>
  <c r="F444" i="43"/>
  <c r="G443" i="43"/>
  <c r="G442" i="43" s="1"/>
  <c r="E443" i="43"/>
  <c r="E442" i="43" s="1"/>
  <c r="D443" i="43"/>
  <c r="D442" i="43" s="1"/>
  <c r="E440" i="43"/>
  <c r="F440" i="43" s="1"/>
  <c r="G439" i="43"/>
  <c r="G438" i="43" s="1"/>
  <c r="D439" i="43"/>
  <c r="D438" i="43"/>
  <c r="F436" i="43"/>
  <c r="F435" i="43"/>
  <c r="G434" i="43"/>
  <c r="E434" i="43"/>
  <c r="D434" i="43"/>
  <c r="F432" i="43"/>
  <c r="F430" i="43"/>
  <c r="F429" i="43"/>
  <c r="G428" i="43"/>
  <c r="E428" i="43"/>
  <c r="D428" i="43"/>
  <c r="F426" i="43"/>
  <c r="F425" i="43"/>
  <c r="F424" i="43"/>
  <c r="G423" i="43"/>
  <c r="E423" i="43"/>
  <c r="D423" i="43"/>
  <c r="F421" i="43"/>
  <c r="F420" i="43"/>
  <c r="F419" i="43"/>
  <c r="G418" i="43"/>
  <c r="E418" i="43"/>
  <c r="D418" i="43"/>
  <c r="F416" i="43"/>
  <c r="F415" i="43"/>
  <c r="F414" i="43"/>
  <c r="F413" i="43"/>
  <c r="F412" i="43"/>
  <c r="G411" i="43"/>
  <c r="E411" i="43"/>
  <c r="D411" i="43"/>
  <c r="F408" i="43"/>
  <c r="F407" i="43"/>
  <c r="F406" i="43"/>
  <c r="F404" i="43"/>
  <c r="F402" i="43"/>
  <c r="G401" i="43"/>
  <c r="E401" i="43"/>
  <c r="D401" i="43"/>
  <c r="F396" i="43"/>
  <c r="D390" i="43"/>
  <c r="F390" i="43" s="1"/>
  <c r="G389" i="43"/>
  <c r="E389" i="43"/>
  <c r="F386" i="43"/>
  <c r="G384" i="43"/>
  <c r="E384" i="43"/>
  <c r="D384" i="43"/>
  <c r="F382" i="43"/>
  <c r="G381" i="43"/>
  <c r="E381" i="43"/>
  <c r="D381" i="43"/>
  <c r="F381" i="43" s="1"/>
  <c r="F378" i="43"/>
  <c r="G377" i="43"/>
  <c r="G376" i="43" s="1"/>
  <c r="E377" i="43"/>
  <c r="D377" i="43"/>
  <c r="D376" i="43" s="1"/>
  <c r="F374" i="43"/>
  <c r="F373" i="43"/>
  <c r="F372" i="43"/>
  <c r="F371" i="43"/>
  <c r="G370" i="43"/>
  <c r="E370" i="43"/>
  <c r="D370" i="43"/>
  <c r="F368" i="43"/>
  <c r="F367" i="43"/>
  <c r="F366" i="43"/>
  <c r="F365" i="43"/>
  <c r="F364" i="43"/>
  <c r="F363" i="43"/>
  <c r="F361" i="43"/>
  <c r="F360" i="43"/>
  <c r="F359" i="43"/>
  <c r="F358" i="43"/>
  <c r="F357" i="43"/>
  <c r="F356" i="43"/>
  <c r="F355" i="43"/>
  <c r="F354" i="43"/>
  <c r="F353" i="43"/>
  <c r="F352" i="43"/>
  <c r="F351" i="43"/>
  <c r="F350" i="43"/>
  <c r="F349" i="43"/>
  <c r="F347" i="43"/>
  <c r="F346" i="43"/>
  <c r="F345" i="43"/>
  <c r="F344" i="43"/>
  <c r="F343" i="43"/>
  <c r="G342" i="43"/>
  <c r="E342" i="43"/>
  <c r="D342" i="43"/>
  <c r="E340" i="43"/>
  <c r="D340" i="43"/>
  <c r="F340" i="43" s="1"/>
  <c r="G339" i="43"/>
  <c r="E339" i="43"/>
  <c r="F336" i="43"/>
  <c r="F335" i="43"/>
  <c r="F334" i="43"/>
  <c r="F333" i="43"/>
  <c r="F332" i="43"/>
  <c r="F330" i="43"/>
  <c r="G329" i="43"/>
  <c r="E329" i="43"/>
  <c r="D329" i="43"/>
  <c r="F327" i="43"/>
  <c r="F326" i="43"/>
  <c r="G325" i="43"/>
  <c r="E325" i="43"/>
  <c r="D325" i="43"/>
  <c r="F323" i="43"/>
  <c r="F322" i="43"/>
  <c r="F321" i="43"/>
  <c r="F320" i="43"/>
  <c r="F319" i="43"/>
  <c r="F318" i="43"/>
  <c r="F317" i="43"/>
  <c r="F316" i="43"/>
  <c r="F315" i="43"/>
  <c r="F313" i="43"/>
  <c r="F307" i="43"/>
  <c r="F306" i="43"/>
  <c r="F301" i="43"/>
  <c r="F298" i="43"/>
  <c r="F297" i="43"/>
  <c r="F295" i="43"/>
  <c r="F294" i="43"/>
  <c r="F293" i="43"/>
  <c r="F292" i="43"/>
  <c r="F291" i="43"/>
  <c r="F289" i="43"/>
  <c r="F288" i="43"/>
  <c r="F287" i="43"/>
  <c r="G286" i="43"/>
  <c r="E286" i="43"/>
  <c r="D286" i="43"/>
  <c r="F284" i="43"/>
  <c r="G283" i="43"/>
  <c r="E283" i="43"/>
  <c r="D283" i="43"/>
  <c r="F281" i="43"/>
  <c r="F280" i="43"/>
  <c r="F279" i="43"/>
  <c r="F277" i="43"/>
  <c r="F276" i="43"/>
  <c r="F275" i="43"/>
  <c r="F273" i="43"/>
  <c r="F272" i="43"/>
  <c r="F271" i="43"/>
  <c r="F269" i="43"/>
  <c r="G267" i="43"/>
  <c r="E267" i="43"/>
  <c r="D267" i="43"/>
  <c r="F260" i="43"/>
  <c r="G259" i="43"/>
  <c r="E259" i="43"/>
  <c r="D259" i="43"/>
  <c r="E257" i="43"/>
  <c r="D257" i="43"/>
  <c r="D255" i="43" s="1"/>
  <c r="D254" i="43" s="1"/>
  <c r="F256" i="43"/>
  <c r="G255" i="43"/>
  <c r="E255" i="43"/>
  <c r="G254" i="43"/>
  <c r="E254" i="43"/>
  <c r="F252" i="43"/>
  <c r="F251" i="43"/>
  <c r="G249" i="43"/>
  <c r="E249" i="43"/>
  <c r="D249" i="43"/>
  <c r="F243" i="43"/>
  <c r="G242" i="43"/>
  <c r="E242" i="43"/>
  <c r="D242" i="43"/>
  <c r="F240" i="43"/>
  <c r="G239" i="43"/>
  <c r="G226" i="43" s="1"/>
  <c r="E239" i="43"/>
  <c r="D239" i="43"/>
  <c r="F220" i="43"/>
  <c r="F219" i="43"/>
  <c r="G218" i="43"/>
  <c r="G210" i="43" s="1"/>
  <c r="E218" i="43"/>
  <c r="E210" i="43" s="1"/>
  <c r="D218" i="43"/>
  <c r="D210" i="43"/>
  <c r="F205" i="43"/>
  <c r="G204" i="43"/>
  <c r="E204" i="43"/>
  <c r="D204" i="43"/>
  <c r="F202" i="43"/>
  <c r="G200" i="43"/>
  <c r="G195" i="43" s="1"/>
  <c r="E200" i="43"/>
  <c r="D200" i="43"/>
  <c r="E195" i="43"/>
  <c r="F193" i="43"/>
  <c r="G192" i="43"/>
  <c r="E192" i="43"/>
  <c r="D192" i="43"/>
  <c r="F190" i="43"/>
  <c r="G189" i="43"/>
  <c r="E189" i="43"/>
  <c r="D189" i="43"/>
  <c r="F187" i="43"/>
  <c r="G186" i="43"/>
  <c r="E186" i="43"/>
  <c r="F186" i="43" s="1"/>
  <c r="D186" i="43"/>
  <c r="F183" i="43"/>
  <c r="G182" i="43"/>
  <c r="E182" i="43"/>
  <c r="D182" i="43"/>
  <c r="F174" i="43"/>
  <c r="G173" i="43"/>
  <c r="E173" i="43"/>
  <c r="D173" i="43"/>
  <c r="D172" i="43"/>
  <c r="F168" i="43"/>
  <c r="G167" i="43"/>
  <c r="E167" i="43"/>
  <c r="D167" i="43"/>
  <c r="F165" i="43"/>
  <c r="F164" i="43"/>
  <c r="G163" i="43"/>
  <c r="E163" i="43"/>
  <c r="D163" i="43"/>
  <c r="F161" i="43"/>
  <c r="G160" i="43"/>
  <c r="E160" i="43"/>
  <c r="D160" i="43"/>
  <c r="D159" i="43"/>
  <c r="F157" i="43"/>
  <c r="G156" i="43"/>
  <c r="G152" i="43" s="1"/>
  <c r="E156" i="43"/>
  <c r="D156" i="43"/>
  <c r="D152" i="43" s="1"/>
  <c r="E152" i="43"/>
  <c r="F148" i="43"/>
  <c r="F147" i="43"/>
  <c r="F146" i="43"/>
  <c r="G145" i="43"/>
  <c r="E145" i="43"/>
  <c r="E144" i="43" s="1"/>
  <c r="D145" i="43"/>
  <c r="G144" i="43"/>
  <c r="D144" i="43"/>
  <c r="F139" i="43"/>
  <c r="F138" i="43"/>
  <c r="F135" i="43"/>
  <c r="G134" i="43"/>
  <c r="G133" i="43" s="1"/>
  <c r="E134" i="43"/>
  <c r="D134" i="43"/>
  <c r="D133" i="43" s="1"/>
  <c r="F123" i="43"/>
  <c r="G122" i="43"/>
  <c r="G121" i="43" s="1"/>
  <c r="E122" i="43"/>
  <c r="D122" i="43"/>
  <c r="E121" i="43"/>
  <c r="F111" i="43"/>
  <c r="E108" i="43"/>
  <c r="E107" i="43" s="1"/>
  <c r="D108" i="43"/>
  <c r="G107" i="43"/>
  <c r="F105" i="43"/>
  <c r="F104" i="43"/>
  <c r="G103" i="43"/>
  <c r="G102" i="43" s="1"/>
  <c r="E103" i="43"/>
  <c r="D103" i="43"/>
  <c r="D102" i="43"/>
  <c r="F95" i="43"/>
  <c r="D94" i="43"/>
  <c r="F94" i="43" s="1"/>
  <c r="F92" i="43"/>
  <c r="G91" i="43"/>
  <c r="E91" i="43"/>
  <c r="D91" i="43"/>
  <c r="F89" i="43"/>
  <c r="G88" i="43"/>
  <c r="E88" i="43"/>
  <c r="D88" i="43"/>
  <c r="F86" i="43"/>
  <c r="D85" i="43"/>
  <c r="F85" i="43" s="1"/>
  <c r="F83" i="43"/>
  <c r="F82" i="43"/>
  <c r="G81" i="43"/>
  <c r="E81" i="43"/>
  <c r="D81" i="43"/>
  <c r="F79" i="43"/>
  <c r="G78" i="43"/>
  <c r="E78" i="43"/>
  <c r="D78" i="43"/>
  <c r="E77" i="43"/>
  <c r="F72" i="43"/>
  <c r="F70" i="43"/>
  <c r="F69" i="43"/>
  <c r="F68" i="43"/>
  <c r="F67" i="43"/>
  <c r="F65" i="43"/>
  <c r="F64" i="43"/>
  <c r="G63" i="43"/>
  <c r="E63" i="43"/>
  <c r="D63" i="43"/>
  <c r="F63" i="43" s="1"/>
  <c r="F61" i="43"/>
  <c r="G59" i="43"/>
  <c r="E59" i="43"/>
  <c r="D59" i="43"/>
  <c r="F57" i="43"/>
  <c r="F56" i="43"/>
  <c r="G55" i="43"/>
  <c r="E55" i="43"/>
  <c r="D55" i="43"/>
  <c r="F53" i="43"/>
  <c r="F52" i="43"/>
  <c r="F51" i="43"/>
  <c r="F49" i="43"/>
  <c r="F48" i="43"/>
  <c r="F47" i="43"/>
  <c r="F46" i="43"/>
  <c r="F45" i="43"/>
  <c r="F44" i="43"/>
  <c r="F43" i="43"/>
  <c r="F42" i="43"/>
  <c r="F41" i="43"/>
  <c r="F40" i="43"/>
  <c r="F39" i="43"/>
  <c r="F37" i="43"/>
  <c r="F36" i="43"/>
  <c r="F35" i="43"/>
  <c r="F34" i="43"/>
  <c r="F33" i="43"/>
  <c r="F32" i="43"/>
  <c r="F31" i="43"/>
  <c r="F30" i="43"/>
  <c r="F29" i="43"/>
  <c r="F28" i="43"/>
  <c r="F27" i="43"/>
  <c r="F26" i="43"/>
  <c r="F25" i="43"/>
  <c r="F24" i="43"/>
  <c r="F22" i="43"/>
  <c r="G18" i="43"/>
  <c r="E18" i="43"/>
  <c r="D18" i="43"/>
  <c r="D754" i="38"/>
  <c r="E706" i="38"/>
  <c r="D697" i="38"/>
  <c r="D696" i="38" s="1"/>
  <c r="D708" i="38"/>
  <c r="D3518" i="35"/>
  <c r="D1023" i="37"/>
  <c r="E748" i="37"/>
  <c r="D747" i="37"/>
  <c r="E747" i="37" s="1"/>
  <c r="D519" i="37"/>
  <c r="D497" i="37"/>
  <c r="D441" i="37"/>
  <c r="D434" i="37"/>
  <c r="D320" i="35"/>
  <c r="D389" i="43" l="1"/>
  <c r="D388" i="43" s="1"/>
  <c r="F531" i="43"/>
  <c r="F536" i="43"/>
  <c r="F539" i="43"/>
  <c r="F556" i="43"/>
  <c r="F656" i="43"/>
  <c r="F659" i="43"/>
  <c r="E672" i="43"/>
  <c r="D2005" i="43"/>
  <c r="G3311" i="43"/>
  <c r="F3350" i="43"/>
  <c r="F3360" i="43"/>
  <c r="G3611" i="43"/>
  <c r="E3726" i="43"/>
  <c r="F3850" i="43"/>
  <c r="F3885" i="43"/>
  <c r="F4596" i="43"/>
  <c r="F4623" i="43"/>
  <c r="F4636" i="43"/>
  <c r="F2477" i="43"/>
  <c r="G1160" i="43"/>
  <c r="G1739" i="43"/>
  <c r="F1931" i="43"/>
  <c r="G1997" i="43"/>
  <c r="G2028" i="43"/>
  <c r="F2258" i="43"/>
  <c r="G2311" i="43"/>
  <c r="D2311" i="43"/>
  <c r="D3164" i="43"/>
  <c r="G3415" i="43"/>
  <c r="F4229" i="43"/>
  <c r="F4310" i="43"/>
  <c r="E826" i="43"/>
  <c r="G1249" i="43"/>
  <c r="F3220" i="43"/>
  <c r="F3727" i="43"/>
  <c r="E4325" i="43"/>
  <c r="E4353" i="43"/>
  <c r="G4723" i="43"/>
  <c r="C12" i="52"/>
  <c r="E13" i="52"/>
  <c r="F187" i="52"/>
  <c r="E187" i="52"/>
  <c r="G4767" i="43"/>
  <c r="D4650" i="43"/>
  <c r="F4333" i="43"/>
  <c r="F4329" i="43"/>
  <c r="D4077" i="43"/>
  <c r="G4077" i="43"/>
  <c r="F4068" i="43"/>
  <c r="F4049" i="43"/>
  <c r="G4000" i="43"/>
  <c r="F3715" i="43"/>
  <c r="F3707" i="43"/>
  <c r="D3684" i="43"/>
  <c r="F3605" i="43"/>
  <c r="D3592" i="43"/>
  <c r="F3600" i="43"/>
  <c r="F3276" i="43"/>
  <c r="F3270" i="43"/>
  <c r="F2904" i="43"/>
  <c r="F2886" i="43"/>
  <c r="F2874" i="43"/>
  <c r="E2854" i="43"/>
  <c r="F3206" i="43"/>
  <c r="F3189" i="43"/>
  <c r="F3174" i="43"/>
  <c r="D2673" i="43"/>
  <c r="F2678" i="43"/>
  <c r="F2543" i="43"/>
  <c r="F2531" i="43"/>
  <c r="F2396" i="43"/>
  <c r="F2376" i="43"/>
  <c r="F2325" i="43"/>
  <c r="D2135" i="43"/>
  <c r="G1873" i="43"/>
  <c r="F1877" i="43"/>
  <c r="E1873" i="43"/>
  <c r="F1863" i="43"/>
  <c r="F1829" i="43"/>
  <c r="F1822" i="43"/>
  <c r="D1785" i="43"/>
  <c r="F1813" i="43"/>
  <c r="F1769" i="43"/>
  <c r="F1745" i="43"/>
  <c r="F1731" i="43"/>
  <c r="F1716" i="43"/>
  <c r="F1516" i="43"/>
  <c r="F1513" i="43"/>
  <c r="F1510" i="43"/>
  <c r="F1504" i="43"/>
  <c r="F1472" i="43"/>
  <c r="F1461" i="43"/>
  <c r="E1431" i="43"/>
  <c r="F1342" i="43"/>
  <c r="F1338" i="43"/>
  <c r="F1311" i="43"/>
  <c r="F1304" i="43"/>
  <c r="F1290" i="43"/>
  <c r="F1278" i="43"/>
  <c r="F1266" i="43"/>
  <c r="F1250" i="43"/>
  <c r="F1231" i="43"/>
  <c r="F1225" i="43"/>
  <c r="F1044" i="43"/>
  <c r="F1014" i="43"/>
  <c r="F1004" i="43"/>
  <c r="F990" i="43"/>
  <c r="F980" i="43"/>
  <c r="F968" i="43"/>
  <c r="F965" i="43"/>
  <c r="D939" i="43"/>
  <c r="F947" i="43"/>
  <c r="E563" i="43"/>
  <c r="F442" i="43"/>
  <c r="F423" i="43"/>
  <c r="F210" i="43"/>
  <c r="F122" i="43"/>
  <c r="F108" i="43"/>
  <c r="F103" i="43"/>
  <c r="F389" i="43"/>
  <c r="F267" i="43"/>
  <c r="G338" i="43"/>
  <c r="F370" i="43"/>
  <c r="F456" i="43"/>
  <c r="D1414" i="43"/>
  <c r="F1990" i="43"/>
  <c r="F2224" i="43"/>
  <c r="F2412" i="43"/>
  <c r="F2547" i="43"/>
  <c r="F2575" i="43"/>
  <c r="F2589" i="43"/>
  <c r="F2624" i="43"/>
  <c r="F2711" i="43"/>
  <c r="F2764" i="43"/>
  <c r="F2939" i="43"/>
  <c r="F3030" i="43"/>
  <c r="F3063" i="43"/>
  <c r="F3249" i="43"/>
  <c r="F3382" i="43"/>
  <c r="F3496" i="43"/>
  <c r="F3508" i="43"/>
  <c r="F3533" i="43"/>
  <c r="F3552" i="43"/>
  <c r="F3582" i="43"/>
  <c r="E3611" i="43"/>
  <c r="F3632" i="43"/>
  <c r="F3641" i="43"/>
  <c r="F3657" i="43"/>
  <c r="F3676" i="43"/>
  <c r="D4345" i="43"/>
  <c r="G4345" i="43"/>
  <c r="F4458" i="43"/>
  <c r="F4470" i="43"/>
  <c r="F4473" i="43"/>
  <c r="F4535" i="43"/>
  <c r="F4626" i="43"/>
  <c r="F4679" i="43"/>
  <c r="F4689" i="43"/>
  <c r="F4690" i="43"/>
  <c r="F4694" i="43"/>
  <c r="F4777" i="43"/>
  <c r="F4815" i="43"/>
  <c r="F596" i="43"/>
  <c r="F602" i="43"/>
  <c r="F609" i="43"/>
  <c r="F619" i="43"/>
  <c r="F711" i="43"/>
  <c r="F717" i="43"/>
  <c r="F756" i="43"/>
  <c r="F762" i="43"/>
  <c r="F765" i="43"/>
  <c r="F775" i="43"/>
  <c r="F782" i="43"/>
  <c r="F795" i="43"/>
  <c r="F808" i="43"/>
  <c r="F823" i="43"/>
  <c r="F827" i="43"/>
  <c r="F833" i="43"/>
  <c r="F836" i="43"/>
  <c r="D864" i="43"/>
  <c r="F917" i="43"/>
  <c r="F933" i="43"/>
  <c r="F1058" i="43"/>
  <c r="F1062" i="43"/>
  <c r="F1074" i="43"/>
  <c r="F1078" i="43"/>
  <c r="F1081" i="43"/>
  <c r="F1103" i="43"/>
  <c r="F1106" i="43"/>
  <c r="F1117" i="43"/>
  <c r="F1123" i="43"/>
  <c r="F1126" i="43"/>
  <c r="F1207" i="43"/>
  <c r="G1315" i="43"/>
  <c r="F1323" i="43"/>
  <c r="F1405" i="43"/>
  <c r="F1406" i="43"/>
  <c r="F1411" i="43"/>
  <c r="F1426" i="43"/>
  <c r="D1529" i="43"/>
  <c r="G1529" i="43"/>
  <c r="F1534" i="43"/>
  <c r="F1541" i="43"/>
  <c r="F1557" i="43"/>
  <c r="F1569" i="43"/>
  <c r="F1591" i="43"/>
  <c r="F1595" i="43"/>
  <c r="F1600" i="43"/>
  <c r="F1609" i="43"/>
  <c r="F1635" i="43"/>
  <c r="F1680" i="43"/>
  <c r="F1705" i="43"/>
  <c r="F1712" i="43"/>
  <c r="F1976" i="43"/>
  <c r="F2109" i="43"/>
  <c r="F2119" i="43"/>
  <c r="F2690" i="43"/>
  <c r="F3089" i="43"/>
  <c r="F3210" i="43"/>
  <c r="F3292" i="43"/>
  <c r="F3305" i="43"/>
  <c r="D3407" i="43"/>
  <c r="F3934" i="43"/>
  <c r="F3975" i="43"/>
  <c r="E4085" i="43"/>
  <c r="F4095" i="43"/>
  <c r="F4741" i="43"/>
  <c r="D746" i="37"/>
  <c r="F462" i="43"/>
  <c r="F622" i="43"/>
  <c r="F1319" i="43"/>
  <c r="E1315" i="43"/>
  <c r="F1315" i="43" s="1"/>
  <c r="D1638" i="43"/>
  <c r="F1656" i="43"/>
  <c r="E1655" i="43"/>
  <c r="F1655" i="43" s="1"/>
  <c r="F1701" i="43"/>
  <c r="E1700" i="43"/>
  <c r="F1700" i="43" s="1"/>
  <c r="F1885" i="43"/>
  <c r="E1884" i="43"/>
  <c r="F1884" i="43" s="1"/>
  <c r="F3255" i="43"/>
  <c r="D3254" i="43"/>
  <c r="F329" i="43"/>
  <c r="F377" i="43"/>
  <c r="F401" i="43"/>
  <c r="F411" i="43"/>
  <c r="F428" i="43"/>
  <c r="F452" i="43"/>
  <c r="F463" i="43"/>
  <c r="F466" i="43"/>
  <c r="F478" i="43"/>
  <c r="F514" i="43"/>
  <c r="F528" i="43"/>
  <c r="F551" i="43"/>
  <c r="F560" i="43"/>
  <c r="F564" i="43"/>
  <c r="G563" i="43"/>
  <c r="F582" i="43"/>
  <c r="F593" i="43"/>
  <c r="D605" i="43"/>
  <c r="F623" i="43"/>
  <c r="F628" i="43"/>
  <c r="F638" i="43"/>
  <c r="F662" i="43"/>
  <c r="F701" i="43"/>
  <c r="F705" i="43"/>
  <c r="F720" i="43"/>
  <c r="E726" i="43"/>
  <c r="F726" i="43" s="1"/>
  <c r="F739" i="43"/>
  <c r="F742" i="43"/>
  <c r="F747" i="43"/>
  <c r="F753" i="43"/>
  <c r="F769" i="43"/>
  <c r="F786" i="43"/>
  <c r="F792" i="43"/>
  <c r="F814" i="43"/>
  <c r="F820" i="43"/>
  <c r="F842" i="43"/>
  <c r="F846" i="43"/>
  <c r="F850" i="43"/>
  <c r="F910" i="43"/>
  <c r="F922" i="43"/>
  <c r="F926" i="43"/>
  <c r="F944" i="43"/>
  <c r="F976" i="43"/>
  <c r="F995" i="43"/>
  <c r="F998" i="43"/>
  <c r="F1018" i="43"/>
  <c r="F1024" i="43"/>
  <c r="F1027" i="43"/>
  <c r="F1048" i="43"/>
  <c r="F1052" i="43"/>
  <c r="F1068" i="43"/>
  <c r="F1087" i="43"/>
  <c r="F1094" i="43"/>
  <c r="F1114" i="43"/>
  <c r="F1132" i="43"/>
  <c r="F1139" i="43"/>
  <c r="F1161" i="43"/>
  <c r="F1177" i="43"/>
  <c r="F1192" i="43"/>
  <c r="F1200" i="43"/>
  <c r="F1334" i="43"/>
  <c r="E1333" i="43"/>
  <c r="F1333" i="43" s="1"/>
  <c r="F1349" i="43"/>
  <c r="F1366" i="43"/>
  <c r="E1365" i="43"/>
  <c r="F1365" i="43" s="1"/>
  <c r="F1552" i="43"/>
  <c r="D1551" i="43"/>
  <c r="F1551" i="43" s="1"/>
  <c r="F1623" i="43"/>
  <c r="D1622" i="43"/>
  <c r="F1622" i="43" s="1"/>
  <c r="F1645" i="43"/>
  <c r="F1673" i="43"/>
  <c r="E1672" i="43"/>
  <c r="F1672" i="43" s="1"/>
  <c r="F1676" i="43"/>
  <c r="F1693" i="43"/>
  <c r="D1692" i="43"/>
  <c r="F1692" i="43" s="1"/>
  <c r="F1697" i="43"/>
  <c r="D1696" i="43"/>
  <c r="F1696" i="43" s="1"/>
  <c r="F2312" i="43"/>
  <c r="E2311" i="43"/>
  <c r="F2638" i="43"/>
  <c r="F2921" i="43"/>
  <c r="E2920" i="43"/>
  <c r="F2920" i="43" s="1"/>
  <c r="F3312" i="43"/>
  <c r="D3311" i="43"/>
  <c r="F1215" i="43"/>
  <c r="F1219" i="43"/>
  <c r="F1239" i="43"/>
  <c r="F1273" i="43"/>
  <c r="F1300" i="43"/>
  <c r="F1350" i="43"/>
  <c r="F1369" i="43"/>
  <c r="F1382" i="43"/>
  <c r="F1423" i="43"/>
  <c r="F1433" i="43"/>
  <c r="D1431" i="43"/>
  <c r="F1482" i="43"/>
  <c r="D1485" i="43"/>
  <c r="G1485" i="43"/>
  <c r="F1490" i="43"/>
  <c r="F1497" i="43"/>
  <c r="F1521" i="43"/>
  <c r="F1576" i="43"/>
  <c r="F1583" i="43"/>
  <c r="G1599" i="43"/>
  <c r="F1613" i="43"/>
  <c r="F1639" i="43"/>
  <c r="F1646" i="43"/>
  <c r="F1652" i="43"/>
  <c r="F1677" i="43"/>
  <c r="F1685" i="43"/>
  <c r="F1713" i="43"/>
  <c r="F1722" i="43"/>
  <c r="F1725" i="43"/>
  <c r="F1740" i="43"/>
  <c r="E1785" i="43"/>
  <c r="F1800" i="43"/>
  <c r="F1825" i="43"/>
  <c r="F1835" i="43"/>
  <c r="F1846" i="43"/>
  <c r="F1866" i="43"/>
  <c r="F1870" i="43"/>
  <c r="F1880" i="43"/>
  <c r="G1890" i="43"/>
  <c r="D1942" i="43"/>
  <c r="F1947" i="43"/>
  <c r="F1986" i="43"/>
  <c r="F1998" i="43"/>
  <c r="F2017" i="43"/>
  <c r="F2029" i="43"/>
  <c r="F2062" i="43"/>
  <c r="F2081" i="43"/>
  <c r="F2095" i="43"/>
  <c r="F2146" i="43"/>
  <c r="F2158" i="43"/>
  <c r="F2194" i="43"/>
  <c r="F2207" i="43"/>
  <c r="F2250" i="43"/>
  <c r="F2264" i="43"/>
  <c r="F2297" i="43"/>
  <c r="F2307" i="43"/>
  <c r="F2319" i="43"/>
  <c r="F2335" i="43"/>
  <c r="F2342" i="43"/>
  <c r="F2346" i="43"/>
  <c r="F2345" i="43" s="1"/>
  <c r="F2389" i="43"/>
  <c r="F2468" i="43"/>
  <c r="E2482" i="43"/>
  <c r="F2508" i="43"/>
  <c r="F2517" i="43"/>
  <c r="F2534" i="43"/>
  <c r="F2614" i="43"/>
  <c r="F2630" i="43"/>
  <c r="F2639" i="43"/>
  <c r="F2681" i="43"/>
  <c r="F2699" i="43"/>
  <c r="F2751" i="43"/>
  <c r="F2750" i="43" s="1"/>
  <c r="F2758" i="43"/>
  <c r="F2828" i="43"/>
  <c r="F2846" i="43"/>
  <c r="F2855" i="43"/>
  <c r="F2870" i="43"/>
  <c r="F2907" i="43"/>
  <c r="F2917" i="43"/>
  <c r="F2951" i="43"/>
  <c r="F2962" i="43"/>
  <c r="F2993" i="43"/>
  <c r="F3019" i="43"/>
  <c r="F3052" i="43"/>
  <c r="F3078" i="43"/>
  <c r="F3102" i="43"/>
  <c r="F3180" i="43"/>
  <c r="F3211" i="43"/>
  <c r="G3214" i="43"/>
  <c r="G3209" i="43" s="1"/>
  <c r="F3232" i="43"/>
  <c r="F3244" i="43"/>
  <c r="F3258" i="43"/>
  <c r="F3267" i="43"/>
  <c r="F3273" i="43"/>
  <c r="F3280" i="43"/>
  <c r="F3302" i="43"/>
  <c r="F3328" i="43"/>
  <c r="F3368" i="43"/>
  <c r="F3393" i="43"/>
  <c r="F3394" i="43"/>
  <c r="F3411" i="43"/>
  <c r="F3416" i="43"/>
  <c r="F3421" i="43"/>
  <c r="F3488" i="43"/>
  <c r="F3504" i="43"/>
  <c r="F3528" i="43"/>
  <c r="F3585" i="43"/>
  <c r="F3593" i="43"/>
  <c r="F3653" i="43"/>
  <c r="D3652" i="43"/>
  <c r="F3652" i="43" s="1"/>
  <c r="F3794" i="43"/>
  <c r="F4014" i="43"/>
  <c r="E4000" i="43"/>
  <c r="D4127" i="43"/>
  <c r="F4246" i="43"/>
  <c r="D4245" i="43"/>
  <c r="F4245" i="43" s="1"/>
  <c r="F4520" i="43"/>
  <c r="F4519" i="43" s="1"/>
  <c r="D4519" i="43"/>
  <c r="G3631" i="43"/>
  <c r="F3685" i="43"/>
  <c r="F3752" i="43"/>
  <c r="F3755" i="43"/>
  <c r="F3770" i="43"/>
  <c r="F3779" i="43"/>
  <c r="F3795" i="43"/>
  <c r="F3811" i="43"/>
  <c r="F3866" i="43"/>
  <c r="F3869" i="43"/>
  <c r="F3962" i="43"/>
  <c r="F3970" i="43"/>
  <c r="F3983" i="43"/>
  <c r="F3986" i="43"/>
  <c r="F4022" i="43"/>
  <c r="F4028" i="43"/>
  <c r="F4043" i="43"/>
  <c r="F4090" i="43"/>
  <c r="F4123" i="43"/>
  <c r="F4128" i="43"/>
  <c r="F4152" i="43"/>
  <c r="F4191" i="43"/>
  <c r="F4215" i="43"/>
  <c r="F4225" i="43"/>
  <c r="F4295" i="43"/>
  <c r="F4299" i="43"/>
  <c r="F4317" i="43"/>
  <c r="F4320" i="43"/>
  <c r="D4325" i="43"/>
  <c r="F4362" i="43"/>
  <c r="F4396" i="43"/>
  <c r="F4407" i="43"/>
  <c r="F4439" i="43"/>
  <c r="F4453" i="43"/>
  <c r="F4483" i="43"/>
  <c r="F4504" i="43"/>
  <c r="F4503" i="43" s="1"/>
  <c r="F4524" i="43"/>
  <c r="F4523" i="43" s="1"/>
  <c r="F4536" i="43"/>
  <c r="F4552" i="43"/>
  <c r="F4627" i="43"/>
  <c r="F4651" i="43"/>
  <c r="G4650" i="43"/>
  <c r="F4665" i="43"/>
  <c r="F4669" i="43"/>
  <c r="F4707" i="43"/>
  <c r="F4714" i="43"/>
  <c r="F4724" i="43"/>
  <c r="F4730" i="43"/>
  <c r="F4752" i="43"/>
  <c r="F4756" i="43"/>
  <c r="F4768" i="43"/>
  <c r="F4771" i="43"/>
  <c r="F4784" i="43"/>
  <c r="F4787" i="43"/>
  <c r="G4797" i="43"/>
  <c r="F18" i="43"/>
  <c r="F59" i="43"/>
  <c r="F81" i="43"/>
  <c r="F88" i="43"/>
  <c r="F91" i="43"/>
  <c r="E102" i="43"/>
  <c r="F102" i="43" s="1"/>
  <c r="D121" i="43"/>
  <c r="F134" i="43"/>
  <c r="F145" i="43"/>
  <c r="F192" i="43"/>
  <c r="F254" i="43"/>
  <c r="F259" i="43"/>
  <c r="F1200" i="31"/>
  <c r="G1200" i="31"/>
  <c r="D14" i="43"/>
  <c r="E14" i="43"/>
  <c r="F78" i="43"/>
  <c r="G77" i="43"/>
  <c r="D107" i="43"/>
  <c r="F107" i="43" s="1"/>
  <c r="F121" i="43"/>
  <c r="E133" i="43"/>
  <c r="F133" i="43" s="1"/>
  <c r="F144" i="43"/>
  <c r="F152" i="43"/>
  <c r="E159" i="43"/>
  <c r="F159" i="43" s="1"/>
  <c r="E172" i="43"/>
  <c r="F172" i="43" s="1"/>
  <c r="G185" i="43"/>
  <c r="D195" i="43"/>
  <c r="F204" i="43"/>
  <c r="D226" i="43"/>
  <c r="F242" i="43"/>
  <c r="E226" i="43"/>
  <c r="F255" i="43"/>
  <c r="F283" i="43"/>
  <c r="G266" i="43"/>
  <c r="F325" i="43"/>
  <c r="D339" i="43"/>
  <c r="F342" i="43"/>
  <c r="E376" i="43"/>
  <c r="F376" i="43" s="1"/>
  <c r="D380" i="43"/>
  <c r="E380" i="43"/>
  <c r="G388" i="43"/>
  <c r="F418" i="43"/>
  <c r="F434" i="43"/>
  <c r="F484" i="43"/>
  <c r="D483" i="43"/>
  <c r="G483" i="43"/>
  <c r="G14" i="43"/>
  <c r="F156" i="43"/>
  <c r="F160" i="43"/>
  <c r="G159" i="43"/>
  <c r="F167" i="43"/>
  <c r="F173" i="43"/>
  <c r="G172" i="43"/>
  <c r="F189" i="43"/>
  <c r="F200" i="43"/>
  <c r="F218" i="43"/>
  <c r="F239" i="43"/>
  <c r="F257" i="43"/>
  <c r="F286" i="43"/>
  <c r="G380" i="43"/>
  <c r="G410" i="43"/>
  <c r="G451" i="43"/>
  <c r="F573" i="43"/>
  <c r="F588" i="43"/>
  <c r="F606" i="43"/>
  <c r="G627" i="43"/>
  <c r="F642" i="43"/>
  <c r="F646" i="43"/>
  <c r="D672" i="43"/>
  <c r="F672" i="43" s="1"/>
  <c r="F684" i="43"/>
  <c r="G704" i="43"/>
  <c r="D726" i="43"/>
  <c r="F730" i="43"/>
  <c r="G746" i="43"/>
  <c r="G768" i="43"/>
  <c r="G785" i="43"/>
  <c r="E801" i="43"/>
  <c r="F801" i="43" s="1"/>
  <c r="D854" i="43"/>
  <c r="F858" i="43"/>
  <c r="E864" i="43"/>
  <c r="F864" i="43" s="1"/>
  <c r="E1033" i="43"/>
  <c r="F1033" i="43" s="1"/>
  <c r="G1051" i="43"/>
  <c r="G1138" i="43"/>
  <c r="F1155" i="43"/>
  <c r="G1180" i="43"/>
  <c r="G1218" i="43"/>
  <c r="D1272" i="43"/>
  <c r="G1272" i="43"/>
  <c r="F1353" i="43"/>
  <c r="F1386" i="43"/>
  <c r="E1385" i="43"/>
  <c r="F1385" i="43" s="1"/>
  <c r="G1415" i="43"/>
  <c r="G1414" i="43" s="1"/>
  <c r="F443" i="43"/>
  <c r="F459" i="43"/>
  <c r="F467" i="43"/>
  <c r="F471" i="43"/>
  <c r="G470" i="43"/>
  <c r="F493" i="43"/>
  <c r="F519" i="43"/>
  <c r="D535" i="43"/>
  <c r="F535" i="43" s="1"/>
  <c r="E535" i="43"/>
  <c r="E559" i="43"/>
  <c r="F559" i="43" s="1"/>
  <c r="D563" i="43"/>
  <c r="F563" i="43" s="1"/>
  <c r="F570" i="43"/>
  <c r="F574" i="43"/>
  <c r="F585" i="43"/>
  <c r="F589" i="43"/>
  <c r="G592" i="43"/>
  <c r="F599" i="43"/>
  <c r="G605" i="43"/>
  <c r="F615" i="43"/>
  <c r="D627" i="43"/>
  <c r="F633" i="43"/>
  <c r="F643" i="43"/>
  <c r="F647" i="43"/>
  <c r="E651" i="43"/>
  <c r="F652" i="43"/>
  <c r="G651" i="43"/>
  <c r="D651" i="43"/>
  <c r="F668" i="43"/>
  <c r="F673" i="43"/>
  <c r="F681" i="43"/>
  <c r="E687" i="43"/>
  <c r="F691" i="43"/>
  <c r="E700" i="43"/>
  <c r="F700" i="43" s="1"/>
  <c r="F708" i="43"/>
  <c r="F714" i="43"/>
  <c r="F723" i="43"/>
  <c r="F727" i="43"/>
  <c r="F736" i="43"/>
  <c r="D746" i="43"/>
  <c r="E746" i="43"/>
  <c r="F759" i="43"/>
  <c r="F772" i="43"/>
  <c r="F778" i="43"/>
  <c r="D785" i="43"/>
  <c r="E785" i="43"/>
  <c r="F798" i="43"/>
  <c r="F802" i="43"/>
  <c r="G801" i="43"/>
  <c r="F811" i="43"/>
  <c r="F817" i="43"/>
  <c r="F830" i="43"/>
  <c r="G826" i="43"/>
  <c r="F839" i="43"/>
  <c r="E849" i="43"/>
  <c r="F849" i="43" s="1"/>
  <c r="F855" i="43"/>
  <c r="F865" i="43"/>
  <c r="G864" i="43"/>
  <c r="F885" i="43"/>
  <c r="F936" i="43"/>
  <c r="F940" i="43"/>
  <c r="G939" i="43"/>
  <c r="F950" i="43"/>
  <c r="F971" i="43"/>
  <c r="F983" i="43"/>
  <c r="F1007" i="43"/>
  <c r="E1010" i="43"/>
  <c r="F1010" i="43" s="1"/>
  <c r="F1021" i="43"/>
  <c r="G1017" i="43"/>
  <c r="F1030" i="43"/>
  <c r="F1034" i="43"/>
  <c r="G1033" i="43"/>
  <c r="F1041" i="43"/>
  <c r="E1047" i="43"/>
  <c r="F1047" i="43" s="1"/>
  <c r="F1055" i="43"/>
  <c r="F1071" i="43"/>
  <c r="D1077" i="43"/>
  <c r="E1077" i="43"/>
  <c r="F1090" i="43"/>
  <c r="G1093" i="43"/>
  <c r="F1109" i="43"/>
  <c r="F1120" i="43"/>
  <c r="F1129" i="43"/>
  <c r="F1135" i="43"/>
  <c r="F1142" i="43"/>
  <c r="F1152" i="43"/>
  <c r="F1156" i="43"/>
  <c r="F1173" i="43"/>
  <c r="F1181" i="43"/>
  <c r="F1187" i="43"/>
  <c r="E1191" i="43"/>
  <c r="F1195" i="43"/>
  <c r="F1203" i="43"/>
  <c r="E1206" i="43"/>
  <c r="F1212" i="43"/>
  <c r="F1222" i="43"/>
  <c r="F1228" i="43"/>
  <c r="F1245" i="43"/>
  <c r="E1249" i="43"/>
  <c r="F1255" i="43"/>
  <c r="D1303" i="43"/>
  <c r="G1303" i="43"/>
  <c r="D1322" i="43"/>
  <c r="G1322" i="43"/>
  <c r="E1337" i="43"/>
  <c r="F1337" i="43" s="1"/>
  <c r="F1354" i="43"/>
  <c r="F1358" i="43"/>
  <c r="F1378" i="43"/>
  <c r="E1377" i="43"/>
  <c r="F1377" i="43" s="1"/>
  <c r="E1381" i="43"/>
  <c r="F1381" i="43" s="1"/>
  <c r="F1389" i="43"/>
  <c r="F1398" i="43"/>
  <c r="D1397" i="43"/>
  <c r="F1397" i="43" s="1"/>
  <c r="F1402" i="43"/>
  <c r="E1401" i="43"/>
  <c r="F1401" i="43" s="1"/>
  <c r="F1442" i="43"/>
  <c r="F1370" i="43"/>
  <c r="F1374" i="43"/>
  <c r="F1390" i="43"/>
  <c r="G1405" i="43"/>
  <c r="F1415" i="43"/>
  <c r="F1416" i="43"/>
  <c r="F1419" i="43"/>
  <c r="G1431" i="43"/>
  <c r="F1467" i="43"/>
  <c r="F1476" i="43"/>
  <c r="F1479" i="43"/>
  <c r="F1486" i="43"/>
  <c r="F1494" i="43"/>
  <c r="F1501" i="43"/>
  <c r="E1520" i="43"/>
  <c r="F1520" i="43" s="1"/>
  <c r="F1530" i="43"/>
  <c r="F1538" i="43"/>
  <c r="F1545" i="43"/>
  <c r="F1548" i="43"/>
  <c r="E1556" i="43"/>
  <c r="F1556" i="43" s="1"/>
  <c r="F1565" i="43"/>
  <c r="D1568" i="43"/>
  <c r="E1579" i="43"/>
  <c r="D1599" i="43"/>
  <c r="F1599" i="43" s="1"/>
  <c r="F1617" i="43"/>
  <c r="E1626" i="43"/>
  <c r="F1627" i="43"/>
  <c r="D1626" i="43"/>
  <c r="G1626" i="43"/>
  <c r="E1638" i="43"/>
  <c r="F1638" i="43" s="1"/>
  <c r="E1651" i="43"/>
  <c r="F1651" i="43" s="1"/>
  <c r="E1665" i="43"/>
  <c r="F1665" i="43" s="1"/>
  <c r="F1681" i="43"/>
  <c r="E1684" i="43"/>
  <c r="F1684" i="43" s="1"/>
  <c r="F1689" i="43"/>
  <c r="E1704" i="43"/>
  <c r="F1704" i="43" s="1"/>
  <c r="F1709" i="43"/>
  <c r="D1739" i="43"/>
  <c r="F1760" i="43"/>
  <c r="F1765" i="43"/>
  <c r="F1782" i="43"/>
  <c r="G1785" i="43"/>
  <c r="F1805" i="43"/>
  <c r="G1845" i="43"/>
  <c r="F1853" i="43"/>
  <c r="F1859" i="43"/>
  <c r="F1869" i="43"/>
  <c r="D1890" i="43"/>
  <c r="F1911" i="43"/>
  <c r="G1918" i="43"/>
  <c r="G1942" i="43"/>
  <c r="F1957" i="43"/>
  <c r="F1970" i="43"/>
  <c r="D1989" i="43"/>
  <c r="G1989" i="43"/>
  <c r="F2002" i="43"/>
  <c r="F2006" i="43"/>
  <c r="G2005" i="43"/>
  <c r="F2014" i="43"/>
  <c r="F2068" i="43"/>
  <c r="F2091" i="43"/>
  <c r="F2122" i="43"/>
  <c r="F2136" i="43"/>
  <c r="G2135" i="43"/>
  <c r="F2152" i="43"/>
  <c r="F2188" i="43"/>
  <c r="F2220" i="43"/>
  <c r="F2239" i="43"/>
  <c r="F2255" i="43"/>
  <c r="F2278" i="43"/>
  <c r="F2302" i="43"/>
  <c r="F2331" i="43"/>
  <c r="G2330" i="43"/>
  <c r="F2339" i="43"/>
  <c r="F2361" i="43"/>
  <c r="G2360" i="43"/>
  <c r="F2399" i="43"/>
  <c r="F2409" i="43"/>
  <c r="D2417" i="43"/>
  <c r="F2417" i="43" s="1"/>
  <c r="E2467" i="43"/>
  <c r="F2478" i="43"/>
  <c r="G2613" i="43"/>
  <c r="G2666" i="43"/>
  <c r="G2673" i="43"/>
  <c r="G2689" i="43"/>
  <c r="E2710" i="43"/>
  <c r="G2757" i="43"/>
  <c r="G2755" i="43" s="1"/>
  <c r="D2924" i="43"/>
  <c r="F2958" i="43"/>
  <c r="F2975" i="43"/>
  <c r="G3018" i="43"/>
  <c r="E3051" i="43"/>
  <c r="G3088" i="43"/>
  <c r="F1564" i="43"/>
  <c r="E1568" i="43"/>
  <c r="D1579" i="43"/>
  <c r="F1616" i="43"/>
  <c r="F1688" i="43"/>
  <c r="F1708" i="43"/>
  <c r="F1717" i="43"/>
  <c r="F1789" i="43"/>
  <c r="F1832" i="43"/>
  <c r="F1874" i="43"/>
  <c r="F1891" i="43"/>
  <c r="F1897" i="43"/>
  <c r="F1915" i="43"/>
  <c r="F1938" i="43"/>
  <c r="F1943" i="43"/>
  <c r="F1951" i="43"/>
  <c r="G1975" i="43"/>
  <c r="G2206" i="43"/>
  <c r="G2223" i="43"/>
  <c r="D2277" i="43"/>
  <c r="F2277" i="43" s="1"/>
  <c r="F2287" i="43"/>
  <c r="G2296" i="43"/>
  <c r="F2364" i="43"/>
  <c r="D2408" i="43"/>
  <c r="F2408" i="43" s="1"/>
  <c r="F2418" i="43"/>
  <c r="F2433" i="43"/>
  <c r="E2440" i="43"/>
  <c r="F2449" i="43"/>
  <c r="F2487" i="43"/>
  <c r="G2482" i="43"/>
  <c r="D2482" i="43"/>
  <c r="F2482" i="43" s="1"/>
  <c r="F2498" i="43"/>
  <c r="G2504" i="43"/>
  <c r="F2600" i="43"/>
  <c r="F2621" i="43"/>
  <c r="F2634" i="43"/>
  <c r="F2652" i="43"/>
  <c r="G2651" i="43"/>
  <c r="D2666" i="43"/>
  <c r="F2670" i="43"/>
  <c r="G2710" i="43"/>
  <c r="F2729" i="43"/>
  <c r="F2810" i="43"/>
  <c r="F2861" i="43"/>
  <c r="F2867" i="43"/>
  <c r="F2883" i="43"/>
  <c r="F2900" i="43"/>
  <c r="F2913" i="43"/>
  <c r="F2928" i="43"/>
  <c r="G2924" i="43"/>
  <c r="F2970" i="43"/>
  <c r="E2992" i="43"/>
  <c r="F2992" i="43" s="1"/>
  <c r="F3070" i="43"/>
  <c r="E3088" i="43"/>
  <c r="F3097" i="43"/>
  <c r="F3115" i="43"/>
  <c r="G3101" i="43"/>
  <c r="G3141" i="43"/>
  <c r="F3161" i="43"/>
  <c r="F3197" i="43"/>
  <c r="F3240" i="43"/>
  <c r="F3289" i="43"/>
  <c r="F3296" i="43"/>
  <c r="G3295" i="43"/>
  <c r="F3308" i="43"/>
  <c r="G3359" i="43"/>
  <c r="F3389" i="43"/>
  <c r="F3448" i="43"/>
  <c r="F3492" i="43"/>
  <c r="F3513" i="43"/>
  <c r="F3544" i="43"/>
  <c r="F3588" i="43"/>
  <c r="F3626" i="43"/>
  <c r="F3649" i="43"/>
  <c r="E3656" i="43"/>
  <c r="F3693" i="43"/>
  <c r="G3714" i="43"/>
  <c r="F3723" i="43"/>
  <c r="G3778" i="43"/>
  <c r="D3799" i="43"/>
  <c r="F3829" i="43"/>
  <c r="F3853" i="43"/>
  <c r="F3891" i="43"/>
  <c r="F3954" i="43"/>
  <c r="F3966" i="43"/>
  <c r="D3974" i="43"/>
  <c r="G3974" i="43"/>
  <c r="F3989" i="43"/>
  <c r="F3994" i="43"/>
  <c r="F4001" i="43"/>
  <c r="D4027" i="43"/>
  <c r="F4027" i="43" s="1"/>
  <c r="D4042" i="43"/>
  <c r="F4042" i="43" s="1"/>
  <c r="E4048" i="43"/>
  <c r="F4048" i="43" s="1"/>
  <c r="F4065" i="43"/>
  <c r="F4078" i="43"/>
  <c r="D4085" i="43"/>
  <c r="F4086" i="43"/>
  <c r="G4085" i="43"/>
  <c r="F4101" i="43"/>
  <c r="F4113" i="43"/>
  <c r="G4143" i="43"/>
  <c r="F4418" i="43"/>
  <c r="D4415" i="43"/>
  <c r="D3225" i="43"/>
  <c r="G3225" i="43"/>
  <c r="E3254" i="43"/>
  <c r="F3254" i="43" s="1"/>
  <c r="G3254" i="43"/>
  <c r="F3263" i="43"/>
  <c r="F3285" i="43"/>
  <c r="F3331" i="43"/>
  <c r="F3340" i="43"/>
  <c r="F3347" i="43"/>
  <c r="F3354" i="43"/>
  <c r="F3365" i="43"/>
  <c r="F3375" i="43"/>
  <c r="F3379" i="43"/>
  <c r="G3378" i="43"/>
  <c r="F3386" i="43"/>
  <c r="F3390" i="43"/>
  <c r="F3407" i="43"/>
  <c r="F3408" i="43"/>
  <c r="G3400" i="43"/>
  <c r="F3439" i="43"/>
  <c r="G3507" i="43"/>
  <c r="F3612" i="43"/>
  <c r="F3623" i="43"/>
  <c r="G3675" i="43"/>
  <c r="G3684" i="43"/>
  <c r="F3722" i="43"/>
  <c r="F3746" i="43"/>
  <c r="F3769" i="43"/>
  <c r="F3804" i="43"/>
  <c r="F3832" i="43"/>
  <c r="G3884" i="43"/>
  <c r="F3993" i="43"/>
  <c r="F4085" i="43"/>
  <c r="F4112" i="43"/>
  <c r="G4127" i="43"/>
  <c r="G4134" i="43"/>
  <c r="G4285" i="43"/>
  <c r="F4326" i="43"/>
  <c r="F4499" i="43"/>
  <c r="F4531" i="43"/>
  <c r="F4547" i="43"/>
  <c r="G4551" i="43"/>
  <c r="G4560" i="43"/>
  <c r="G4664" i="43"/>
  <c r="G4693" i="43"/>
  <c r="D4797" i="43"/>
  <c r="F4809" i="43"/>
  <c r="F4124" i="43"/>
  <c r="F4138" i="43"/>
  <c r="G4176" i="43"/>
  <c r="F4188" i="43"/>
  <c r="F4198" i="43"/>
  <c r="F4205" i="43"/>
  <c r="F4212" i="43"/>
  <c r="F4222" i="43"/>
  <c r="F4226" i="43"/>
  <c r="F4240" i="43"/>
  <c r="F4241" i="43"/>
  <c r="F4259" i="43"/>
  <c r="F4264" i="43"/>
  <c r="F4286" i="43"/>
  <c r="F4292" i="43"/>
  <c r="F4307" i="43"/>
  <c r="D4316" i="43"/>
  <c r="F4346" i="43"/>
  <c r="F4383" i="43"/>
  <c r="G4373" i="43"/>
  <c r="F4403" i="43"/>
  <c r="F4420" i="43"/>
  <c r="F4450" i="43"/>
  <c r="F4464" i="43"/>
  <c r="F4492" i="43"/>
  <c r="F4500" i="43"/>
  <c r="F4512" i="43"/>
  <c r="F4511" i="43" s="1"/>
  <c r="F4516" i="43"/>
  <c r="F4515" i="43" s="1"/>
  <c r="F4532" i="43"/>
  <c r="F4544" i="43"/>
  <c r="F4548" i="43"/>
  <c r="E4560" i="43"/>
  <c r="E4582" i="43"/>
  <c r="F4615" i="43"/>
  <c r="F4659" i="43"/>
  <c r="F4673" i="43"/>
  <c r="F4710" i="43"/>
  <c r="D4723" i="43"/>
  <c r="F4761" i="43"/>
  <c r="E4767" i="43"/>
  <c r="F4781" i="43"/>
  <c r="F4806" i="43"/>
  <c r="D90" i="56"/>
  <c r="C12" i="56"/>
  <c r="D294" i="56" s="1"/>
  <c r="F13" i="52"/>
  <c r="D236" i="52"/>
  <c r="F12" i="52"/>
  <c r="F195" i="43"/>
  <c r="F854" i="43"/>
  <c r="F55" i="43"/>
  <c r="D77" i="43"/>
  <c r="F163" i="43"/>
  <c r="F182" i="43"/>
  <c r="E185" i="43"/>
  <c r="E266" i="43"/>
  <c r="F384" i="43"/>
  <c r="E388" i="43"/>
  <c r="F388" i="43" s="1"/>
  <c r="E410" i="43"/>
  <c r="E439" i="43"/>
  <c r="E451" i="43"/>
  <c r="D578" i="43"/>
  <c r="E592" i="43"/>
  <c r="E605" i="43"/>
  <c r="F605" i="43" s="1"/>
  <c r="D687" i="43"/>
  <c r="E704" i="43"/>
  <c r="F750" i="43"/>
  <c r="E768" i="43"/>
  <c r="F789" i="43"/>
  <c r="F805" i="43"/>
  <c r="D826" i="43"/>
  <c r="F826" i="43" s="1"/>
  <c r="F868" i="43"/>
  <c r="D1017" i="43"/>
  <c r="F1017" i="43" s="1"/>
  <c r="F1037" i="43"/>
  <c r="E1051" i="43"/>
  <c r="E1093" i="43"/>
  <c r="E1138" i="43"/>
  <c r="F1138" i="43" s="1"/>
  <c r="D1180" i="43"/>
  <c r="F1180" i="43" s="1"/>
  <c r="D1191" i="43"/>
  <c r="E1218" i="43"/>
  <c r="E1272" i="43"/>
  <c r="F1316" i="43"/>
  <c r="E1322" i="43"/>
  <c r="F1327" i="43"/>
  <c r="F1330" i="43"/>
  <c r="F1346" i="43"/>
  <c r="F1362" i="43"/>
  <c r="F1345" i="43"/>
  <c r="F1361" i="43"/>
  <c r="F249" i="43"/>
  <c r="E338" i="43"/>
  <c r="E470" i="43"/>
  <c r="F470" i="43" s="1"/>
  <c r="E483" i="43"/>
  <c r="F546" i="43"/>
  <c r="E627" i="43"/>
  <c r="F677" i="43"/>
  <c r="F733" i="43"/>
  <c r="E939" i="43"/>
  <c r="F1084" i="43"/>
  <c r="D1206" i="43"/>
  <c r="F1206" i="43" s="1"/>
  <c r="D1249" i="43"/>
  <c r="F1249" i="43" s="1"/>
  <c r="F1294" i="43"/>
  <c r="F1297" i="43"/>
  <c r="E1303" i="43"/>
  <c r="F1307" i="43"/>
  <c r="E1341" i="43"/>
  <c r="F1341" i="43" s="1"/>
  <c r="E1357" i="43"/>
  <c r="F1357" i="43" s="1"/>
  <c r="E1373" i="43"/>
  <c r="F1373" i="43" s="1"/>
  <c r="D185" i="43"/>
  <c r="D266" i="43"/>
  <c r="D410" i="43"/>
  <c r="D451" i="43"/>
  <c r="D592" i="43"/>
  <c r="D704" i="43"/>
  <c r="D768" i="43"/>
  <c r="D1051" i="43"/>
  <c r="D1093" i="43"/>
  <c r="D1160" i="43"/>
  <c r="F1160" i="43" s="1"/>
  <c r="D1218" i="43"/>
  <c r="E1485" i="43"/>
  <c r="E1529" i="43"/>
  <c r="F1529" i="43" s="1"/>
  <c r="F1573" i="43"/>
  <c r="F1588" i="43"/>
  <c r="F1786" i="43"/>
  <c r="D1852" i="43"/>
  <c r="F1856" i="43"/>
  <c r="E1852" i="43"/>
  <c r="E1890" i="43"/>
  <c r="F1894" i="43"/>
  <c r="D1960" i="43"/>
  <c r="E1960" i="43"/>
  <c r="F1964" i="43"/>
  <c r="E1997" i="43"/>
  <c r="F1997" i="43" s="1"/>
  <c r="E2028" i="43"/>
  <c r="G2249" i="43"/>
  <c r="D2296" i="43"/>
  <c r="E2432" i="43"/>
  <c r="F2445" i="43"/>
  <c r="D2440" i="43"/>
  <c r="F2440" i="43" s="1"/>
  <c r="F2462" i="43"/>
  <c r="D2448" i="43"/>
  <c r="F2448" i="43" s="1"/>
  <c r="D2467" i="43"/>
  <c r="F2467" i="43" s="1"/>
  <c r="F2471" i="43"/>
  <c r="E2504" i="43"/>
  <c r="F2512" i="43"/>
  <c r="F2618" i="43"/>
  <c r="D2613" i="43"/>
  <c r="E2689" i="43"/>
  <c r="F2689" i="43" s="1"/>
  <c r="F2693" i="43"/>
  <c r="F2706" i="43"/>
  <c r="D2698" i="43"/>
  <c r="F2720" i="43"/>
  <c r="D2710" i="43"/>
  <c r="F2710" i="43" s="1"/>
  <c r="F3136" i="43"/>
  <c r="E3135" i="43"/>
  <c r="F3135" i="43" s="1"/>
  <c r="E3141" i="43"/>
  <c r="F3153" i="43"/>
  <c r="F4508" i="43"/>
  <c r="F4507" i="43" s="1"/>
  <c r="E4507" i="43"/>
  <c r="F4540" i="43"/>
  <c r="E4539" i="43"/>
  <c r="F4539" i="43" s="1"/>
  <c r="E1422" i="43"/>
  <c r="E1739" i="43"/>
  <c r="D1845" i="43"/>
  <c r="E1845" i="43"/>
  <c r="F1849" i="43"/>
  <c r="G1852" i="43"/>
  <c r="D1873" i="43"/>
  <c r="F1873" i="43" s="1"/>
  <c r="D1918" i="43"/>
  <c r="E1942" i="43"/>
  <c r="G1960" i="43"/>
  <c r="E1985" i="43"/>
  <c r="F1985" i="43" s="1"/>
  <c r="F2230" i="43"/>
  <c r="D2223" i="43"/>
  <c r="D2360" i="43"/>
  <c r="D2504" i="43"/>
  <c r="E2546" i="43"/>
  <c r="F2570" i="43"/>
  <c r="D2633" i="43"/>
  <c r="F2633" i="43" s="1"/>
  <c r="E2698" i="43"/>
  <c r="F2702" i="43"/>
  <c r="F2804" i="43"/>
  <c r="D2757" i="43"/>
  <c r="G2854" i="43"/>
  <c r="E2924" i="43"/>
  <c r="F2924" i="43" s="1"/>
  <c r="F3043" i="43"/>
  <c r="D3018" i="43"/>
  <c r="F3056" i="43"/>
  <c r="D3051" i="43"/>
  <c r="F3051" i="43" s="1"/>
  <c r="F3142" i="43"/>
  <c r="D3141" i="43"/>
  <c r="F3426" i="43"/>
  <c r="D3425" i="43"/>
  <c r="F3425" i="43" s="1"/>
  <c r="F3785" i="43"/>
  <c r="D3778" i="43"/>
  <c r="F4177" i="43"/>
  <c r="D4176" i="43"/>
  <c r="F1979" i="43"/>
  <c r="E1975" i="43"/>
  <c r="F1975" i="43" s="1"/>
  <c r="D2028" i="43"/>
  <c r="F2032" i="43"/>
  <c r="F2213" i="43"/>
  <c r="D2206" i="43"/>
  <c r="D2330" i="43"/>
  <c r="D2432" i="43"/>
  <c r="F2436" i="43"/>
  <c r="F2564" i="43"/>
  <c r="D2546" i="43"/>
  <c r="E2757" i="43"/>
  <c r="F2833" i="43"/>
  <c r="E3018" i="43"/>
  <c r="F3037" i="43"/>
  <c r="F4010" i="43"/>
  <c r="D4000" i="43"/>
  <c r="F4000" i="43" s="1"/>
  <c r="D1393" i="43"/>
  <c r="F1393" i="43" s="1"/>
  <c r="F1924" i="43"/>
  <c r="E1918" i="43"/>
  <c r="E1989" i="43"/>
  <c r="F1989" i="43" s="1"/>
  <c r="F1993" i="43"/>
  <c r="F2011" i="43"/>
  <c r="E2005" i="43"/>
  <c r="F2005" i="43" s="1"/>
  <c r="E2206" i="43"/>
  <c r="F2210" i="43"/>
  <c r="F2663" i="43"/>
  <c r="E2651" i="43"/>
  <c r="F2651" i="43" s="1"/>
  <c r="E2673" i="43"/>
  <c r="F2673" i="43" s="1"/>
  <c r="F2684" i="43"/>
  <c r="E2737" i="43"/>
  <c r="F2746" i="43"/>
  <c r="D2854" i="43"/>
  <c r="F2854" i="43" s="1"/>
  <c r="F2864" i="43"/>
  <c r="G3051" i="43"/>
  <c r="F3094" i="43"/>
  <c r="D3088" i="43"/>
  <c r="E3101" i="43"/>
  <c r="F3107" i="43"/>
  <c r="D3656" i="43"/>
  <c r="F3656" i="43" s="1"/>
  <c r="F3668" i="43"/>
  <c r="F3800" i="43"/>
  <c r="E3799" i="43"/>
  <c r="E2135" i="43"/>
  <c r="F2135" i="43" s="1"/>
  <c r="E2296" i="43"/>
  <c r="E2330" i="43"/>
  <c r="E2360" i="43"/>
  <c r="E2666" i="43"/>
  <c r="F2666" i="43" s="1"/>
  <c r="D2738" i="43"/>
  <c r="D2737" i="43" s="1"/>
  <c r="F3165" i="43"/>
  <c r="F3217" i="43"/>
  <c r="D3214" i="43"/>
  <c r="E3225" i="43"/>
  <c r="F3229" i="43"/>
  <c r="F3321" i="43"/>
  <c r="E3311" i="43"/>
  <c r="E3327" i="43"/>
  <c r="F3344" i="43"/>
  <c r="F3480" i="43"/>
  <c r="D3438" i="43"/>
  <c r="D3604" i="43"/>
  <c r="F3608" i="43"/>
  <c r="F3617" i="43"/>
  <c r="D3611" i="43"/>
  <c r="F3611" i="43" s="1"/>
  <c r="E3631" i="43"/>
  <c r="F3645" i="43"/>
  <c r="E3675" i="43"/>
  <c r="F3675" i="43" s="1"/>
  <c r="F3679" i="43"/>
  <c r="E3684" i="43"/>
  <c r="F3684" i="43" s="1"/>
  <c r="F3700" i="43"/>
  <c r="D3706" i="43"/>
  <c r="F3710" i="43"/>
  <c r="F3735" i="43"/>
  <c r="D3726" i="43"/>
  <c r="F3726" i="43" s="1"/>
  <c r="E3778" i="43"/>
  <c r="F3778" i="43" s="1"/>
  <c r="F3782" i="43"/>
  <c r="E4077" i="43"/>
  <c r="F4077" i="43" s="1"/>
  <c r="F4082" i="43"/>
  <c r="D4285" i="43"/>
  <c r="F4285" i="43" s="1"/>
  <c r="F4289" i="43"/>
  <c r="F4355" i="43"/>
  <c r="D4354" i="43"/>
  <c r="F4528" i="43"/>
  <c r="F4527" i="43" s="1"/>
  <c r="D4527" i="43"/>
  <c r="F3164" i="43"/>
  <c r="D3295" i="43"/>
  <c r="F3299" i="43"/>
  <c r="F3372" i="43"/>
  <c r="D3359" i="43"/>
  <c r="F3359" i="43" s="1"/>
  <c r="E3592" i="43"/>
  <c r="F3592" i="43" s="1"/>
  <c r="F3596" i="43"/>
  <c r="F3637" i="43"/>
  <c r="D3631" i="43"/>
  <c r="F3719" i="43"/>
  <c r="D3714" i="43"/>
  <c r="F3714" i="43" s="1"/>
  <c r="G3799" i="43"/>
  <c r="F3926" i="43"/>
  <c r="D3884" i="43"/>
  <c r="F4074" i="43"/>
  <c r="D4054" i="43"/>
  <c r="F4135" i="43"/>
  <c r="D4134" i="43"/>
  <c r="F4250" i="43"/>
  <c r="E4249" i="43"/>
  <c r="F4798" i="43"/>
  <c r="E4797" i="43"/>
  <c r="E2223" i="43"/>
  <c r="E2249" i="43"/>
  <c r="F2249" i="43" s="1"/>
  <c r="E2613" i="43"/>
  <c r="F2613" i="43" s="1"/>
  <c r="D3101" i="43"/>
  <c r="F3336" i="43"/>
  <c r="D3327" i="43"/>
  <c r="E3415" i="43"/>
  <c r="D3415" i="43"/>
  <c r="D3400" i="43" s="1"/>
  <c r="E3438" i="43"/>
  <c r="F3499" i="43"/>
  <c r="F3572" i="43"/>
  <c r="D3507" i="43"/>
  <c r="G3592" i="43"/>
  <c r="E3604" i="43"/>
  <c r="F3604" i="43" s="1"/>
  <c r="E3706" i="43"/>
  <c r="G3726" i="43"/>
  <c r="E4127" i="43"/>
  <c r="F4131" i="43"/>
  <c r="E4332" i="43"/>
  <c r="F4339" i="43"/>
  <c r="F4368" i="43"/>
  <c r="E4367" i="43"/>
  <c r="F4367" i="43" s="1"/>
  <c r="G4435" i="43"/>
  <c r="F4791" i="43"/>
  <c r="E4790" i="43"/>
  <c r="F4790" i="43" s="1"/>
  <c r="E3378" i="43"/>
  <c r="F3378" i="43" s="1"/>
  <c r="E4054" i="43"/>
  <c r="F4071" i="43"/>
  <c r="E4143" i="43"/>
  <c r="F4147" i="43"/>
  <c r="E4208" i="43"/>
  <c r="F4218" i="43"/>
  <c r="F4303" i="43"/>
  <c r="D4298" i="43"/>
  <c r="F4298" i="43" s="1"/>
  <c r="E4306" i="43"/>
  <c r="F4306" i="43" s="1"/>
  <c r="F4313" i="43"/>
  <c r="F4489" i="43"/>
  <c r="D4435" i="43"/>
  <c r="E4551" i="43"/>
  <c r="F4551" i="43" s="1"/>
  <c r="F4555" i="43"/>
  <c r="F4570" i="43"/>
  <c r="D4560" i="43"/>
  <c r="F4589" i="43"/>
  <c r="D4582" i="43"/>
  <c r="F4582" i="43" s="1"/>
  <c r="G4603" i="43"/>
  <c r="E4650" i="43"/>
  <c r="F4650" i="43" s="1"/>
  <c r="D4664" i="43"/>
  <c r="F4699" i="43"/>
  <c r="D4693" i="43"/>
  <c r="E4723" i="43"/>
  <c r="F4745" i="43"/>
  <c r="D4767" i="43"/>
  <c r="E3209" i="43"/>
  <c r="F4411" i="43"/>
  <c r="E4373" i="43"/>
  <c r="E4435" i="43"/>
  <c r="F4486" i="43"/>
  <c r="F4643" i="43"/>
  <c r="D4632" i="43"/>
  <c r="E3428" i="43"/>
  <c r="F3428" i="43" s="1"/>
  <c r="E3507" i="43"/>
  <c r="E3884" i="43"/>
  <c r="F3884" i="43" s="1"/>
  <c r="E3974" i="43"/>
  <c r="D4208" i="43"/>
  <c r="D4249" i="43"/>
  <c r="F4255" i="43"/>
  <c r="E4316" i="43"/>
  <c r="F4325" i="43"/>
  <c r="F4342" i="43"/>
  <c r="D4332" i="43"/>
  <c r="E4345" i="43"/>
  <c r="F4350" i="43"/>
  <c r="D4361" i="43"/>
  <c r="F4361" i="43" s="1"/>
  <c r="D4511" i="43"/>
  <c r="E4523" i="43"/>
  <c r="D4543" i="43"/>
  <c r="F4543" i="43" s="1"/>
  <c r="D4578" i="43"/>
  <c r="F4578" i="43" s="1"/>
  <c r="E4632" i="43"/>
  <c r="F4640" i="43"/>
  <c r="F4684" i="43"/>
  <c r="E4664" i="43"/>
  <c r="F4664" i="43" s="1"/>
  <c r="E4134" i="43"/>
  <c r="F4134" i="43" s="1"/>
  <c r="E4176" i="43"/>
  <c r="F4176" i="43" s="1"/>
  <c r="E4603" i="43"/>
  <c r="F4603" i="43" s="1"/>
  <c r="E4693" i="43"/>
  <c r="F4127" i="43" l="1"/>
  <c r="F627" i="43"/>
  <c r="D13" i="56"/>
  <c r="F226" i="43"/>
  <c r="G12" i="43"/>
  <c r="F2311" i="43"/>
  <c r="C236" i="52"/>
  <c r="E12" i="52"/>
  <c r="F4797" i="43"/>
  <c r="F4345" i="43"/>
  <c r="F4316" i="43"/>
  <c r="F3507" i="43"/>
  <c r="F3311" i="43"/>
  <c r="F3018" i="43"/>
  <c r="F2223" i="43"/>
  <c r="G2026" i="43"/>
  <c r="F1918" i="43"/>
  <c r="F1890" i="43"/>
  <c r="F1785" i="43"/>
  <c r="F1568" i="43"/>
  <c r="F1431" i="43"/>
  <c r="F1322" i="43"/>
  <c r="F1303" i="43"/>
  <c r="F1191" i="43"/>
  <c r="F939" i="43"/>
  <c r="F14" i="43"/>
  <c r="G862" i="43"/>
  <c r="F4632" i="43"/>
  <c r="F1845" i="43"/>
  <c r="F4767" i="43"/>
  <c r="G4371" i="43"/>
  <c r="G4141" i="43"/>
  <c r="F4693" i="43"/>
  <c r="F3974" i="43"/>
  <c r="F4723" i="43"/>
  <c r="F4560" i="43"/>
  <c r="G3798" i="43"/>
  <c r="F2360" i="43"/>
  <c r="F2296" i="43"/>
  <c r="F3088" i="43"/>
  <c r="F1942" i="43"/>
  <c r="F1272" i="43"/>
  <c r="F687" i="43"/>
  <c r="G3224" i="43"/>
  <c r="F746" i="43"/>
  <c r="F651" i="43"/>
  <c r="F4435" i="43"/>
  <c r="G3436" i="43"/>
  <c r="D3224" i="43"/>
  <c r="F2206" i="43"/>
  <c r="F3141" i="43"/>
  <c r="F1093" i="43"/>
  <c r="D481" i="43"/>
  <c r="F1626" i="43"/>
  <c r="D1429" i="43"/>
  <c r="G1429" i="43"/>
  <c r="F1077" i="43"/>
  <c r="F785" i="43"/>
  <c r="G481" i="43"/>
  <c r="F380" i="43"/>
  <c r="F339" i="43"/>
  <c r="D338" i="43"/>
  <c r="D264" i="43" s="1"/>
  <c r="G264" i="43"/>
  <c r="D3798" i="43"/>
  <c r="F3101" i="43"/>
  <c r="G1737" i="43"/>
  <c r="D1737" i="43"/>
  <c r="F338" i="43"/>
  <c r="F592" i="43"/>
  <c r="F185" i="43"/>
  <c r="F4415" i="43"/>
  <c r="D4373" i="43"/>
  <c r="D4371" i="43" s="1"/>
  <c r="G2503" i="43"/>
  <c r="F1579" i="43"/>
  <c r="D330" i="56"/>
  <c r="D326" i="56"/>
  <c r="D322" i="56"/>
  <c r="D318" i="56"/>
  <c r="D314" i="56"/>
  <c r="D302" i="56"/>
  <c r="D298" i="56"/>
  <c r="D291" i="56"/>
  <c r="D287" i="56"/>
  <c r="D283" i="56"/>
  <c r="D279" i="56"/>
  <c r="D275" i="56"/>
  <c r="D271" i="56"/>
  <c r="D267" i="56"/>
  <c r="D263" i="56"/>
  <c r="D259" i="56"/>
  <c r="D255" i="56"/>
  <c r="D251" i="56"/>
  <c r="D247" i="56"/>
  <c r="D243" i="56"/>
  <c r="D239" i="56"/>
  <c r="D235" i="56"/>
  <c r="D231" i="56"/>
  <c r="D223" i="56"/>
  <c r="D219" i="56"/>
  <c r="D215" i="56"/>
  <c r="D211" i="56"/>
  <c r="D207" i="56"/>
  <c r="D203" i="56"/>
  <c r="D199" i="56"/>
  <c r="D195" i="56"/>
  <c r="D191" i="56"/>
  <c r="D187" i="56"/>
  <c r="D183" i="56"/>
  <c r="D179" i="56"/>
  <c r="D175" i="56"/>
  <c r="D171" i="56"/>
  <c r="D167" i="56"/>
  <c r="D163" i="56"/>
  <c r="D159" i="56"/>
  <c r="D151" i="56"/>
  <c r="D147" i="56"/>
  <c r="D143" i="56"/>
  <c r="D139" i="56"/>
  <c r="D135" i="56"/>
  <c r="D131" i="56"/>
  <c r="D127" i="56"/>
  <c r="D123" i="56"/>
  <c r="D115" i="56"/>
  <c r="D111" i="56"/>
  <c r="D103" i="56"/>
  <c r="D99" i="56"/>
  <c r="D95" i="56"/>
  <c r="D91" i="56"/>
  <c r="D87" i="56"/>
  <c r="D83" i="56"/>
  <c r="D79" i="56"/>
  <c r="D75" i="56"/>
  <c r="D71" i="56"/>
  <c r="D67" i="56"/>
  <c r="D63" i="56"/>
  <c r="D59" i="56"/>
  <c r="D55" i="56"/>
  <c r="D51" i="56"/>
  <c r="D47" i="56"/>
  <c r="D43" i="56"/>
  <c r="D39" i="56"/>
  <c r="D35" i="56"/>
  <c r="D31" i="56"/>
  <c r="D27" i="56"/>
  <c r="D23" i="56"/>
  <c r="D19" i="56"/>
  <c r="D15" i="56"/>
  <c r="C334" i="56"/>
  <c r="D334" i="56" s="1"/>
  <c r="D325" i="56"/>
  <c r="D321" i="56"/>
  <c r="D313" i="56"/>
  <c r="D309" i="56"/>
  <c r="D305" i="56"/>
  <c r="D301" i="56"/>
  <c r="D297" i="56"/>
  <c r="D282" i="56"/>
  <c r="D278" i="56"/>
  <c r="D274" i="56"/>
  <c r="D270" i="56"/>
  <c r="D266" i="56"/>
  <c r="D262" i="56"/>
  <c r="D258" i="56"/>
  <c r="D254" i="56"/>
  <c r="D250" i="56"/>
  <c r="D246" i="56"/>
  <c r="D242" i="56"/>
  <c r="D238" i="56"/>
  <c r="D234" i="56"/>
  <c r="D230" i="56"/>
  <c r="D226" i="56"/>
  <c r="D222" i="56"/>
  <c r="D218" i="56"/>
  <c r="D214" i="56"/>
  <c r="D210" i="56"/>
  <c r="D206" i="56"/>
  <c r="D202" i="56"/>
  <c r="D198" i="56"/>
  <c r="D194" i="56"/>
  <c r="D190" i="56"/>
  <c r="D186" i="56"/>
  <c r="D182" i="56"/>
  <c r="D178" i="56"/>
  <c r="D174" i="56"/>
  <c r="D170" i="56"/>
  <c r="D166" i="56"/>
  <c r="D162" i="56"/>
  <c r="D158" i="56"/>
  <c r="D154" i="56"/>
  <c r="D142" i="56"/>
  <c r="D138" i="56"/>
  <c r="D134" i="56"/>
  <c r="D130" i="56"/>
  <c r="D126" i="56"/>
  <c r="D122" i="56"/>
  <c r="D118" i="56"/>
  <c r="D114" i="56"/>
  <c r="D110" i="56"/>
  <c r="D106" i="56"/>
  <c r="D102" i="56"/>
  <c r="D98" i="56"/>
  <c r="D94" i="56"/>
  <c r="D86" i="56"/>
  <c r="D78" i="56"/>
  <c r="D74" i="56"/>
  <c r="D70" i="56"/>
  <c r="D66" i="56"/>
  <c r="D62" i="56"/>
  <c r="D58" i="56"/>
  <c r="D54" i="56"/>
  <c r="D50" i="56"/>
  <c r="D46" i="56"/>
  <c r="D42" i="56"/>
  <c r="D38" i="56"/>
  <c r="D34" i="56"/>
  <c r="D30" i="56"/>
  <c r="D26" i="56"/>
  <c r="D22" i="56"/>
  <c r="D18" i="56"/>
  <c r="D12" i="56"/>
  <c r="D327" i="56"/>
  <c r="D319" i="56"/>
  <c r="D311" i="56"/>
  <c r="D303" i="56"/>
  <c r="D295" i="56"/>
  <c r="D292" i="56"/>
  <c r="D332" i="56"/>
  <c r="D324" i="56"/>
  <c r="D320" i="56"/>
  <c r="D312" i="56"/>
  <c r="D308" i="56"/>
  <c r="D304" i="56"/>
  <c r="D296" i="56"/>
  <c r="D285" i="56"/>
  <c r="D281" i="56"/>
  <c r="D277" i="56"/>
  <c r="D273" i="56"/>
  <c r="D269" i="56"/>
  <c r="D265" i="56"/>
  <c r="D261" i="56"/>
  <c r="D257" i="56"/>
  <c r="D253" i="56"/>
  <c r="D249" i="56"/>
  <c r="D245" i="56"/>
  <c r="D241" i="56"/>
  <c r="D237" i="56"/>
  <c r="D233" i="56"/>
  <c r="D229" i="56"/>
  <c r="D225" i="56"/>
  <c r="D221" i="56"/>
  <c r="D217" i="56"/>
  <c r="D213" i="56"/>
  <c r="D209" i="56"/>
  <c r="D205" i="56"/>
  <c r="D201" i="56"/>
  <c r="D197" i="56"/>
  <c r="D193" i="56"/>
  <c r="D189" i="56"/>
  <c r="D185" i="56"/>
  <c r="D181" i="56"/>
  <c r="D177" i="56"/>
  <c r="D173" i="56"/>
  <c r="D169" i="56"/>
  <c r="D165" i="56"/>
  <c r="D161" i="56"/>
  <c r="D157" i="56"/>
  <c r="D153" i="56"/>
  <c r="D149" i="56"/>
  <c r="D145" i="56"/>
  <c r="D141" i="56"/>
  <c r="D137" i="56"/>
  <c r="D129" i="56"/>
  <c r="D125" i="56"/>
  <c r="D121" i="56"/>
  <c r="D117" i="56"/>
  <c r="D113" i="56"/>
  <c r="D109" i="56"/>
  <c r="D105" i="56"/>
  <c r="D101" i="56"/>
  <c r="D97" i="56"/>
  <c r="D89" i="56"/>
  <c r="D85" i="56"/>
  <c r="D77" i="56"/>
  <c r="D73" i="56"/>
  <c r="D69" i="56"/>
  <c r="D65" i="56"/>
  <c r="D61" i="56"/>
  <c r="D57" i="56"/>
  <c r="D53" i="56"/>
  <c r="D49" i="56"/>
  <c r="D45" i="56"/>
  <c r="D41" i="56"/>
  <c r="D37" i="56"/>
  <c r="D33" i="56"/>
  <c r="D29" i="56"/>
  <c r="D25" i="56"/>
  <c r="D21" i="56"/>
  <c r="D331" i="56"/>
  <c r="D315" i="56"/>
  <c r="D307" i="56"/>
  <c r="D288" i="56"/>
  <c r="D272" i="56"/>
  <c r="D256" i="56"/>
  <c r="D240" i="56"/>
  <c r="D212" i="56"/>
  <c r="D196" i="56"/>
  <c r="D180" i="56"/>
  <c r="D164" i="56"/>
  <c r="D152" i="56"/>
  <c r="D144" i="56"/>
  <c r="D128" i="56"/>
  <c r="D116" i="56"/>
  <c r="D104" i="56"/>
  <c r="D88" i="56"/>
  <c r="D76" i="56"/>
  <c r="D60" i="56"/>
  <c r="D44" i="56"/>
  <c r="D28" i="56"/>
  <c r="D323" i="56"/>
  <c r="D284" i="56"/>
  <c r="D268" i="56"/>
  <c r="D252" i="56"/>
  <c r="D236" i="56"/>
  <c r="D224" i="56"/>
  <c r="D208" i="56"/>
  <c r="D192" i="56"/>
  <c r="D176" i="56"/>
  <c r="D160" i="56"/>
  <c r="D140" i="56"/>
  <c r="D124" i="56"/>
  <c r="D112" i="56"/>
  <c r="D100" i="56"/>
  <c r="D84" i="56"/>
  <c r="D72" i="56"/>
  <c r="D56" i="56"/>
  <c r="D40" i="56"/>
  <c r="D24" i="56"/>
  <c r="D276" i="56"/>
  <c r="D244" i="56"/>
  <c r="D200" i="56"/>
  <c r="D184" i="56"/>
  <c r="D80" i="56"/>
  <c r="D64" i="56"/>
  <c r="D48" i="56"/>
  <c r="D280" i="56"/>
  <c r="D264" i="56"/>
  <c r="D248" i="56"/>
  <c r="D232" i="56"/>
  <c r="D220" i="56"/>
  <c r="D204" i="56"/>
  <c r="D188" i="56"/>
  <c r="D172" i="56"/>
  <c r="D156" i="56"/>
  <c r="D148" i="56"/>
  <c r="D136" i="56"/>
  <c r="D120" i="56"/>
  <c r="D108" i="56"/>
  <c r="D96" i="56"/>
  <c r="D68" i="56"/>
  <c r="D52" i="56"/>
  <c r="D36" i="56"/>
  <c r="D20" i="56"/>
  <c r="D260" i="56"/>
  <c r="D228" i="56"/>
  <c r="D216" i="56"/>
  <c r="D168" i="56"/>
  <c r="D32" i="56"/>
  <c r="D133" i="56"/>
  <c r="D290" i="56"/>
  <c r="D82" i="56"/>
  <c r="D17" i="56"/>
  <c r="D14" i="56"/>
  <c r="D93" i="56"/>
  <c r="D300" i="56"/>
  <c r="D329" i="56"/>
  <c r="D317" i="56"/>
  <c r="E4371" i="43"/>
  <c r="F3631" i="43"/>
  <c r="F3295" i="43"/>
  <c r="F2738" i="43"/>
  <c r="D2026" i="43"/>
  <c r="F2698" i="43"/>
  <c r="D2503" i="43"/>
  <c r="E1429" i="43"/>
  <c r="F1429" i="43" s="1"/>
  <c r="F1485" i="43"/>
  <c r="F704" i="43"/>
  <c r="F4208" i="43"/>
  <c r="F4054" i="43"/>
  <c r="F4332" i="43"/>
  <c r="F3706" i="43"/>
  <c r="E3400" i="43"/>
  <c r="F3400" i="43" s="1"/>
  <c r="F3415" i="43"/>
  <c r="F3327" i="43"/>
  <c r="F2330" i="43"/>
  <c r="E2755" i="43"/>
  <c r="F2757" i="43"/>
  <c r="F1960" i="43"/>
  <c r="F1852" i="43"/>
  <c r="D862" i="43"/>
  <c r="F451" i="43"/>
  <c r="F578" i="43"/>
  <c r="D3436" i="43"/>
  <c r="F3225" i="43"/>
  <c r="F3799" i="43"/>
  <c r="E3798" i="43"/>
  <c r="F3798" i="43" s="1"/>
  <c r="F1739" i="43"/>
  <c r="E1737" i="43"/>
  <c r="F2504" i="43"/>
  <c r="E2503" i="43"/>
  <c r="F2432" i="43"/>
  <c r="F2028" i="43"/>
  <c r="E2026" i="43"/>
  <c r="F1218" i="43"/>
  <c r="F768" i="43"/>
  <c r="F439" i="43"/>
  <c r="E438" i="43"/>
  <c r="F438" i="43" s="1"/>
  <c r="F266" i="43"/>
  <c r="D12" i="43"/>
  <c r="E4141" i="43"/>
  <c r="F4143" i="43"/>
  <c r="F3438" i="43"/>
  <c r="E3436" i="43"/>
  <c r="F4249" i="43"/>
  <c r="F4354" i="43"/>
  <c r="D4353" i="43"/>
  <c r="F4353" i="43" s="1"/>
  <c r="D3209" i="43"/>
  <c r="D2755" i="43" s="1"/>
  <c r="F3214" i="43"/>
  <c r="F2737" i="43"/>
  <c r="D4141" i="43"/>
  <c r="F2546" i="43"/>
  <c r="E1414" i="43"/>
  <c r="F1414" i="43" s="1"/>
  <c r="F1422" i="43"/>
  <c r="F483" i="43"/>
  <c r="E481" i="43"/>
  <c r="F1051" i="43"/>
  <c r="F410" i="43"/>
  <c r="E12" i="43"/>
  <c r="F77" i="43"/>
  <c r="D16" i="38"/>
  <c r="D15" i="38" s="1"/>
  <c r="D13" i="38" s="1"/>
  <c r="E17" i="37"/>
  <c r="D24" i="37"/>
  <c r="D21" i="37"/>
  <c r="D15" i="37"/>
  <c r="E980" i="38"/>
  <c r="E970" i="38"/>
  <c r="E971" i="38"/>
  <c r="E975" i="38"/>
  <c r="E967" i="38"/>
  <c r="E929" i="38"/>
  <c r="E932" i="38"/>
  <c r="E933" i="38"/>
  <c r="E936" i="38"/>
  <c r="E939" i="38"/>
  <c r="E942" i="38"/>
  <c r="E943" i="38"/>
  <c r="E946" i="38"/>
  <c r="E947" i="38"/>
  <c r="E948" i="38"/>
  <c r="E949" i="38"/>
  <c r="E950" i="38"/>
  <c r="E953" i="38"/>
  <c r="E956" i="38"/>
  <c r="E959" i="38"/>
  <c r="E962" i="38"/>
  <c r="E963" i="38"/>
  <c r="E926" i="38"/>
  <c r="E875" i="38"/>
  <c r="E876" i="38"/>
  <c r="E877" i="38"/>
  <c r="E878" i="38"/>
  <c r="E881" i="38"/>
  <c r="E882" i="38"/>
  <c r="E883" i="38"/>
  <c r="E884" i="38"/>
  <c r="E885" i="38"/>
  <c r="E886" i="38"/>
  <c r="E887" i="38"/>
  <c r="E890" i="38"/>
  <c r="E893" i="38"/>
  <c r="E894" i="38"/>
  <c r="E895" i="38"/>
  <c r="E896" i="38"/>
  <c r="E897" i="38"/>
  <c r="E898" i="38"/>
  <c r="E899" i="38"/>
  <c r="E900" i="38"/>
  <c r="E901" i="38"/>
  <c r="E902" i="38"/>
  <c r="E903" i="38"/>
  <c r="E904" i="38"/>
  <c r="E907" i="38"/>
  <c r="E908" i="38"/>
  <c r="E911" i="38"/>
  <c r="E912" i="38"/>
  <c r="E915" i="38"/>
  <c r="E916" i="38"/>
  <c r="E919" i="38"/>
  <c r="E920" i="38"/>
  <c r="E870" i="38"/>
  <c r="E871" i="38"/>
  <c r="E872" i="38"/>
  <c r="E849" i="38"/>
  <c r="E850" i="38"/>
  <c r="E853" i="38"/>
  <c r="E864" i="38"/>
  <c r="E861" i="38"/>
  <c r="E857" i="38"/>
  <c r="E848" i="38"/>
  <c r="E844" i="38"/>
  <c r="E840" i="38"/>
  <c r="E836" i="38"/>
  <c r="E832" i="38"/>
  <c r="E828" i="38"/>
  <c r="E824" i="38"/>
  <c r="E823" i="38"/>
  <c r="E822" i="38"/>
  <c r="E820" i="38"/>
  <c r="E816" i="38"/>
  <c r="E812" i="38"/>
  <c r="E808" i="38"/>
  <c r="E804" i="38"/>
  <c r="E800" i="38"/>
  <c r="E796" i="38"/>
  <c r="E766" i="38"/>
  <c r="E767" i="38"/>
  <c r="E770" i="38"/>
  <c r="E771" i="38"/>
  <c r="E772" i="38"/>
  <c r="E773" i="38"/>
  <c r="E776" i="38"/>
  <c r="E779" i="38"/>
  <c r="E780" i="38"/>
  <c r="E781" i="38"/>
  <c r="E784" i="38"/>
  <c r="E787" i="38"/>
  <c r="E790" i="38"/>
  <c r="E791" i="38"/>
  <c r="E792" i="38"/>
  <c r="E763" i="38"/>
  <c r="E756" i="38"/>
  <c r="E757" i="38"/>
  <c r="E744" i="38"/>
  <c r="E747" i="38"/>
  <c r="E734" i="38"/>
  <c r="E737" i="38"/>
  <c r="E740" i="38"/>
  <c r="E741" i="38"/>
  <c r="E720" i="38"/>
  <c r="E722" i="38"/>
  <c r="E724" i="38"/>
  <c r="E725" i="38"/>
  <c r="E728" i="38"/>
  <c r="E729" i="38"/>
  <c r="E755" i="38"/>
  <c r="E751" i="38"/>
  <c r="E733" i="38"/>
  <c r="E719" i="38"/>
  <c r="E709" i="38"/>
  <c r="E710" i="38"/>
  <c r="E711" i="38"/>
  <c r="E712" i="38"/>
  <c r="E713" i="38"/>
  <c r="E714" i="38"/>
  <c r="E715" i="38"/>
  <c r="E699" i="38"/>
  <c r="E700" i="38"/>
  <c r="E701" i="38"/>
  <c r="E702" i="38"/>
  <c r="E703" i="38"/>
  <c r="E704" i="38"/>
  <c r="E698" i="38"/>
  <c r="E688" i="38"/>
  <c r="E689" i="38"/>
  <c r="E692" i="38"/>
  <c r="E693" i="38"/>
  <c r="E694" i="38"/>
  <c r="E687" i="38"/>
  <c r="E626" i="38"/>
  <c r="E627" i="38"/>
  <c r="E628" i="38"/>
  <c r="E629" i="38"/>
  <c r="E630" i="38"/>
  <c r="E631" i="38"/>
  <c r="E634" i="38"/>
  <c r="E635" i="38"/>
  <c r="E636" i="38"/>
  <c r="E637" i="38"/>
  <c r="E638" i="38"/>
  <c r="E639" i="38"/>
  <c r="E640" i="38"/>
  <c r="E641" i="38"/>
  <c r="E642" i="38"/>
  <c r="E643" i="38"/>
  <c r="E644" i="38"/>
  <c r="E645" i="38"/>
  <c r="E648" i="38"/>
  <c r="E649" i="38"/>
  <c r="E652" i="38"/>
  <c r="E653" i="38"/>
  <c r="E654" i="38"/>
  <c r="E655" i="38"/>
  <c r="E658" i="38"/>
  <c r="E659" i="38"/>
  <c r="E660" i="38"/>
  <c r="E661" i="38"/>
  <c r="E662" i="38"/>
  <c r="E665" i="38"/>
  <c r="E666" i="38"/>
  <c r="E667" i="38"/>
  <c r="E668" i="38"/>
  <c r="E669" i="38"/>
  <c r="E670" i="38"/>
  <c r="E673" i="38"/>
  <c r="E674" i="38"/>
  <c r="E675" i="38"/>
  <c r="E676" i="38"/>
  <c r="E677" i="38"/>
  <c r="E678" i="38"/>
  <c r="E679" i="38"/>
  <c r="E680" i="38"/>
  <c r="E681" i="38"/>
  <c r="E682" i="38"/>
  <c r="E683" i="38"/>
  <c r="E621" i="38"/>
  <c r="E622" i="38"/>
  <c r="E623" i="38"/>
  <c r="E612" i="38"/>
  <c r="E600" i="38"/>
  <c r="E601" i="38"/>
  <c r="E615" i="38"/>
  <c r="E609" i="38"/>
  <c r="E605" i="38"/>
  <c r="E597" i="38"/>
  <c r="E580" i="38"/>
  <c r="E581" i="38"/>
  <c r="E582" i="38"/>
  <c r="E583" i="38"/>
  <c r="E584" i="38"/>
  <c r="E585" i="38"/>
  <c r="E586" i="38"/>
  <c r="E587" i="38"/>
  <c r="E588" i="38"/>
  <c r="E589" i="38"/>
  <c r="E590" i="38"/>
  <c r="E592" i="38"/>
  <c r="E593" i="38"/>
  <c r="E579" i="38"/>
  <c r="E544" i="38"/>
  <c r="E545" i="38"/>
  <c r="E546" i="38"/>
  <c r="E547" i="38"/>
  <c r="E548" i="38"/>
  <c r="E549" i="38"/>
  <c r="E552" i="38"/>
  <c r="E553" i="38"/>
  <c r="E554" i="38"/>
  <c r="E555" i="38"/>
  <c r="E556" i="38"/>
  <c r="E557" i="38"/>
  <c r="E558" i="38"/>
  <c r="E559" i="38"/>
  <c r="E560" i="38"/>
  <c r="E561" i="38"/>
  <c r="E562" i="38"/>
  <c r="E563" i="38"/>
  <c r="E564" i="38"/>
  <c r="E565" i="38"/>
  <c r="E566" i="38"/>
  <c r="E567" i="38"/>
  <c r="E568" i="38"/>
  <c r="E569" i="38"/>
  <c r="E570" i="38"/>
  <c r="E571" i="38"/>
  <c r="E572" i="38"/>
  <c r="E573" i="38"/>
  <c r="E574" i="38"/>
  <c r="E575" i="38"/>
  <c r="E543" i="38"/>
  <c r="E532" i="38"/>
  <c r="E535" i="38"/>
  <c r="E536" i="38"/>
  <c r="E537" i="38"/>
  <c r="E538" i="38"/>
  <c r="E539" i="38"/>
  <c r="E529" i="38"/>
  <c r="E510" i="38"/>
  <c r="E511" i="38"/>
  <c r="E512" i="38"/>
  <c r="E513" i="38"/>
  <c r="E514" i="38"/>
  <c r="E515" i="38"/>
  <c r="E516" i="38"/>
  <c r="E517" i="38"/>
  <c r="E518" i="38"/>
  <c r="E519" i="38"/>
  <c r="E522" i="38"/>
  <c r="E525" i="38"/>
  <c r="E502" i="38"/>
  <c r="E503" i="38"/>
  <c r="E504" i="38"/>
  <c r="E507" i="38"/>
  <c r="E496" i="38"/>
  <c r="E449" i="38"/>
  <c r="E450" i="38"/>
  <c r="E451" i="38"/>
  <c r="E452" i="38"/>
  <c r="E455" i="38"/>
  <c r="E458" i="38"/>
  <c r="E459" i="38"/>
  <c r="E462" i="38"/>
  <c r="E465" i="38"/>
  <c r="E466" i="38"/>
  <c r="E469" i="38"/>
  <c r="E470" i="38"/>
  <c r="E471" i="38"/>
  <c r="E474" i="38"/>
  <c r="E477" i="38"/>
  <c r="E478" i="38"/>
  <c r="E479" i="38"/>
  <c r="E482" i="38"/>
  <c r="E483" i="38"/>
  <c r="E484" i="38"/>
  <c r="E485" i="38"/>
  <c r="E488" i="38"/>
  <c r="E489" i="38"/>
  <c r="E492" i="38"/>
  <c r="E446" i="38"/>
  <c r="E440" i="38"/>
  <c r="E375" i="38"/>
  <c r="E376" i="38"/>
  <c r="E377" i="38"/>
  <c r="E378" i="38"/>
  <c r="E381" i="38"/>
  <c r="E384" i="38"/>
  <c r="E387" i="38"/>
  <c r="E388" i="38"/>
  <c r="E391" i="38"/>
  <c r="E392" i="38"/>
  <c r="E393" i="38"/>
  <c r="E394" i="38"/>
  <c r="E395" i="38"/>
  <c r="E398" i="38"/>
  <c r="E399" i="38"/>
  <c r="E400" i="38"/>
  <c r="E401" i="38"/>
  <c r="E402" i="38"/>
  <c r="E403" i="38"/>
  <c r="E404" i="38"/>
  <c r="E405" i="38"/>
  <c r="E406" i="38"/>
  <c r="E407" i="38"/>
  <c r="E408" i="38"/>
  <c r="E409" i="38"/>
  <c r="E410" i="38"/>
  <c r="E411" i="38"/>
  <c r="E412" i="38"/>
  <c r="E415" i="38"/>
  <c r="E416" i="38"/>
  <c r="E417" i="38"/>
  <c r="E418" i="38"/>
  <c r="E419" i="38"/>
  <c r="E420" i="38"/>
  <c r="E421" i="38"/>
  <c r="E422" i="38"/>
  <c r="E423" i="38"/>
  <c r="E424" i="38"/>
  <c r="E427" i="38"/>
  <c r="E428" i="38"/>
  <c r="E429" i="38"/>
  <c r="E430" i="38"/>
  <c r="E431" i="38"/>
  <c r="E432" i="38"/>
  <c r="E435" i="38"/>
  <c r="E372" i="38"/>
  <c r="E365" i="38"/>
  <c r="E366" i="38"/>
  <c r="E362" i="38"/>
  <c r="E358" i="38"/>
  <c r="E307" i="38"/>
  <c r="E308" i="38"/>
  <c r="E311" i="38"/>
  <c r="E312" i="38"/>
  <c r="E313" i="38"/>
  <c r="E316" i="38"/>
  <c r="E319" i="38"/>
  <c r="E322" i="38"/>
  <c r="E323" i="38"/>
  <c r="E324" i="38"/>
  <c r="E325" i="38"/>
  <c r="E326" i="38"/>
  <c r="E327" i="38"/>
  <c r="E330" i="38"/>
  <c r="E331" i="38"/>
  <c r="E334" i="38"/>
  <c r="E335" i="38"/>
  <c r="E338" i="38"/>
  <c r="E341" i="38"/>
  <c r="E342" i="38"/>
  <c r="E343" i="38"/>
  <c r="E344" i="38"/>
  <c r="E345" i="38"/>
  <c r="E348" i="38"/>
  <c r="E351" i="38"/>
  <c r="E352" i="38"/>
  <c r="E353" i="38"/>
  <c r="E354" i="38"/>
  <c r="E355" i="38"/>
  <c r="E356" i="38"/>
  <c r="E357" i="38"/>
  <c r="E303" i="38"/>
  <c r="E304" i="38"/>
  <c r="E277" i="38"/>
  <c r="E278" i="38"/>
  <c r="E279" i="38"/>
  <c r="E280" i="38"/>
  <c r="E281" i="38"/>
  <c r="E282" i="38"/>
  <c r="E283" i="38"/>
  <c r="E284" i="38"/>
  <c r="E285" i="38"/>
  <c r="E286" i="38"/>
  <c r="E287" i="38"/>
  <c r="E290" i="38"/>
  <c r="E291" i="38"/>
  <c r="E292" i="38"/>
  <c r="E293" i="38"/>
  <c r="E294" i="38"/>
  <c r="E295" i="38"/>
  <c r="E296" i="38"/>
  <c r="E297" i="38"/>
  <c r="E274" i="38"/>
  <c r="E273" i="38"/>
  <c r="E263" i="38"/>
  <c r="E266" i="38"/>
  <c r="E269" i="38"/>
  <c r="E259" i="38"/>
  <c r="E260" i="38"/>
  <c r="E253" i="38"/>
  <c r="E248" i="38"/>
  <c r="E187" i="38"/>
  <c r="E188" i="38"/>
  <c r="E191" i="38"/>
  <c r="E194" i="38"/>
  <c r="E195" i="38"/>
  <c r="E196" i="38"/>
  <c r="E197" i="38"/>
  <c r="E198" i="38"/>
  <c r="E199" i="38"/>
  <c r="E200" i="38"/>
  <c r="E201" i="38"/>
  <c r="E202" i="38"/>
  <c r="E203" i="38"/>
  <c r="E204" i="38"/>
  <c r="E207" i="38"/>
  <c r="E210" i="38"/>
  <c r="E213" i="38"/>
  <c r="E214" i="38"/>
  <c r="E215" i="38"/>
  <c r="E218" i="38"/>
  <c r="E219" i="38"/>
  <c r="E222" i="38"/>
  <c r="E223" i="38"/>
  <c r="E224" i="38"/>
  <c r="E225" i="38"/>
  <c r="E226" i="38"/>
  <c r="E229" i="38"/>
  <c r="E230" i="38"/>
  <c r="E231" i="38"/>
  <c r="E234" i="38"/>
  <c r="E237" i="38"/>
  <c r="E238" i="38"/>
  <c r="E241" i="38"/>
  <c r="E244" i="38"/>
  <c r="E184" i="38"/>
  <c r="E178" i="38"/>
  <c r="E175" i="38"/>
  <c r="E171" i="38"/>
  <c r="E168" i="38"/>
  <c r="E164" i="38"/>
  <c r="E163" i="38"/>
  <c r="E129" i="38"/>
  <c r="E130" i="38"/>
  <c r="E131" i="38"/>
  <c r="E132" i="38"/>
  <c r="E133" i="38"/>
  <c r="E134" i="38"/>
  <c r="E135" i="38"/>
  <c r="E136" i="38"/>
  <c r="E137" i="38"/>
  <c r="E138" i="38"/>
  <c r="E139" i="38"/>
  <c r="E140" i="38"/>
  <c r="E141" i="38"/>
  <c r="E142" i="38"/>
  <c r="E143" i="38"/>
  <c r="E144" i="38"/>
  <c r="E145" i="38"/>
  <c r="E146" i="38"/>
  <c r="E147" i="38"/>
  <c r="E148" i="38"/>
  <c r="E149" i="38"/>
  <c r="E150" i="38"/>
  <c r="E151" i="38"/>
  <c r="E152" i="38"/>
  <c r="E153" i="38"/>
  <c r="E154" i="38"/>
  <c r="E157" i="38"/>
  <c r="E158" i="38"/>
  <c r="E159" i="38"/>
  <c r="E126" i="38"/>
  <c r="E116" i="38"/>
  <c r="E117" i="38"/>
  <c r="E118" i="38"/>
  <c r="E119" i="38"/>
  <c r="E120" i="38"/>
  <c r="E115" i="38"/>
  <c r="E81" i="38"/>
  <c r="E83" i="38"/>
  <c r="E84" i="38"/>
  <c r="E85" i="38"/>
  <c r="E87" i="38"/>
  <c r="E88" i="38"/>
  <c r="E90" i="38"/>
  <c r="E91" i="38"/>
  <c r="E92" i="38"/>
  <c r="E94" i="38"/>
  <c r="E95" i="38"/>
  <c r="E98" i="38"/>
  <c r="E99" i="38"/>
  <c r="E100" i="38"/>
  <c r="E103" i="38"/>
  <c r="E105" i="38"/>
  <c r="E106" i="38"/>
  <c r="E109" i="38"/>
  <c r="E110" i="38"/>
  <c r="E111" i="38"/>
  <c r="E80" i="38"/>
  <c r="E74" i="38"/>
  <c r="E70" i="38"/>
  <c r="E28" i="38"/>
  <c r="E29" i="38"/>
  <c r="E30" i="38"/>
  <c r="E31" i="38"/>
  <c r="E32" i="38"/>
  <c r="E33" i="38"/>
  <c r="E34" i="38"/>
  <c r="E35" i="38"/>
  <c r="E38" i="38"/>
  <c r="E39" i="38"/>
  <c r="E42" i="38"/>
  <c r="E45" i="38"/>
  <c r="E48" i="38"/>
  <c r="E49" i="38"/>
  <c r="E52" i="38"/>
  <c r="E53" i="38"/>
  <c r="E54" i="38"/>
  <c r="E57" i="38"/>
  <c r="E58" i="38"/>
  <c r="E59" i="38"/>
  <c r="E62" i="38"/>
  <c r="E63" i="38"/>
  <c r="E66" i="38"/>
  <c r="E25" i="38"/>
  <c r="E17" i="38"/>
  <c r="E236" i="52" l="1"/>
  <c r="C239" i="52"/>
  <c r="F1737" i="43"/>
  <c r="F236" i="52"/>
  <c r="E3224" i="43"/>
  <c r="F3224" i="43" s="1"/>
  <c r="F2503" i="43"/>
  <c r="G262" i="43"/>
  <c r="G4824" i="43" s="1"/>
  <c r="F481" i="43"/>
  <c r="D14" i="37"/>
  <c r="F3436" i="43"/>
  <c r="F2026" i="43"/>
  <c r="F4373" i="43"/>
  <c r="E14" i="37"/>
  <c r="F4141" i="43"/>
  <c r="F4371" i="43"/>
  <c r="E264" i="43"/>
  <c r="D262" i="43"/>
  <c r="D4824" i="43" s="1"/>
  <c r="F2755" i="43"/>
  <c r="F3209" i="43"/>
  <c r="E862" i="43"/>
  <c r="F862" i="43" s="1"/>
  <c r="F12" i="43"/>
  <c r="E1025" i="37"/>
  <c r="E1024" i="37"/>
  <c r="E1020" i="37"/>
  <c r="E969" i="37"/>
  <c r="E970" i="37"/>
  <c r="E971" i="37"/>
  <c r="E972" i="37"/>
  <c r="E973" i="37"/>
  <c r="E974" i="37"/>
  <c r="E975" i="37"/>
  <c r="E978" i="37"/>
  <c r="E979" i="37"/>
  <c r="E980" i="37"/>
  <c r="E981" i="37"/>
  <c r="E982" i="37"/>
  <c r="E983" i="37"/>
  <c r="E984" i="37"/>
  <c r="E985" i="37"/>
  <c r="E986" i="37"/>
  <c r="E987" i="37"/>
  <c r="E988" i="37"/>
  <c r="E989" i="37"/>
  <c r="E990" i="37"/>
  <c r="E991" i="37"/>
  <c r="E992" i="37"/>
  <c r="E995" i="37"/>
  <c r="E996" i="37"/>
  <c r="E997" i="37"/>
  <c r="E998" i="37"/>
  <c r="E999" i="37"/>
  <c r="E1002" i="37"/>
  <c r="E1003" i="37"/>
  <c r="E1006" i="37"/>
  <c r="E1007" i="37"/>
  <c r="E1008" i="37"/>
  <c r="E1009" i="37"/>
  <c r="E1012" i="37"/>
  <c r="E1013" i="37"/>
  <c r="E1016" i="37"/>
  <c r="E966" i="37"/>
  <c r="E956" i="37"/>
  <c r="E960" i="37"/>
  <c r="E953" i="37"/>
  <c r="E949" i="37"/>
  <c r="E900" i="37"/>
  <c r="E901" i="37"/>
  <c r="E902" i="37"/>
  <c r="E903" i="37"/>
  <c r="E904" i="37"/>
  <c r="E905" i="37"/>
  <c r="E906" i="37"/>
  <c r="E907" i="37"/>
  <c r="E908" i="37"/>
  <c r="E909" i="37"/>
  <c r="E912" i="37"/>
  <c r="E913" i="37"/>
  <c r="E914" i="37"/>
  <c r="E915" i="37"/>
  <c r="E916" i="37"/>
  <c r="E919" i="37"/>
  <c r="E920" i="37"/>
  <c r="E921" i="37"/>
  <c r="E922" i="37"/>
  <c r="E923" i="37"/>
  <c r="E924" i="37"/>
  <c r="E925" i="37"/>
  <c r="E926" i="37"/>
  <c r="E929" i="37"/>
  <c r="E930" i="37"/>
  <c r="E931" i="37"/>
  <c r="E932" i="37"/>
  <c r="E935" i="37"/>
  <c r="E936" i="37"/>
  <c r="E937" i="37"/>
  <c r="E938" i="37"/>
  <c r="E939" i="37"/>
  <c r="E940" i="37"/>
  <c r="E941" i="37"/>
  <c r="E942" i="37"/>
  <c r="E945" i="37"/>
  <c r="E895" i="37"/>
  <c r="E896" i="37"/>
  <c r="E897" i="37"/>
  <c r="E894" i="37"/>
  <c r="E893" i="37"/>
  <c r="E889" i="37"/>
  <c r="E890" i="37"/>
  <c r="E884" i="37"/>
  <c r="E879" i="37"/>
  <c r="E880" i="37"/>
  <c r="E878" i="37"/>
  <c r="E870" i="37"/>
  <c r="E873" i="37"/>
  <c r="E874" i="37"/>
  <c r="E867" i="37"/>
  <c r="E855" i="37"/>
  <c r="E856" i="37"/>
  <c r="E857" i="37"/>
  <c r="E860" i="37"/>
  <c r="E863" i="37"/>
  <c r="E852" i="37"/>
  <c r="E795" i="37"/>
  <c r="E796" i="37"/>
  <c r="E797" i="37"/>
  <c r="E798" i="37"/>
  <c r="E799" i="37"/>
  <c r="E800" i="37"/>
  <c r="E801" i="37"/>
  <c r="E802" i="37"/>
  <c r="E803" i="37"/>
  <c r="E804" i="37"/>
  <c r="E805" i="37"/>
  <c r="E806" i="37"/>
  <c r="E807" i="37"/>
  <c r="E808" i="37"/>
  <c r="E809" i="37"/>
  <c r="E810" i="37"/>
  <c r="E811" i="37"/>
  <c r="E812" i="37"/>
  <c r="E815" i="37"/>
  <c r="E818" i="37"/>
  <c r="E821" i="37"/>
  <c r="E822" i="37"/>
  <c r="E823" i="37"/>
  <c r="E826" i="37"/>
  <c r="E827" i="37"/>
  <c r="E828" i="37"/>
  <c r="E831" i="37"/>
  <c r="E832" i="37"/>
  <c r="E833" i="37"/>
  <c r="E834" i="37"/>
  <c r="E835" i="37"/>
  <c r="E836" i="37"/>
  <c r="E837" i="37"/>
  <c r="E838" i="37"/>
  <c r="E839" i="37"/>
  <c r="E840" i="37"/>
  <c r="E841" i="37"/>
  <c r="E842" i="37"/>
  <c r="E843" i="37"/>
  <c r="E846" i="37"/>
  <c r="E847" i="37"/>
  <c r="E848" i="37"/>
  <c r="E792" i="37"/>
  <c r="E793" i="37"/>
  <c r="E794" i="37"/>
  <c r="E783" i="37"/>
  <c r="E786" i="37"/>
  <c r="E780" i="37"/>
  <c r="E775" i="37"/>
  <c r="E776" i="37"/>
  <c r="E772" i="37"/>
  <c r="E768" i="37"/>
  <c r="E760" i="37"/>
  <c r="E763" i="37"/>
  <c r="E764" i="37"/>
  <c r="E759" i="37"/>
  <c r="E755" i="37"/>
  <c r="E751" i="37"/>
  <c r="E750" i="37"/>
  <c r="E699" i="37"/>
  <c r="E700" i="37"/>
  <c r="E701" i="37"/>
  <c r="E702" i="37"/>
  <c r="E703" i="37"/>
  <c r="E704" i="37"/>
  <c r="E705" i="37"/>
  <c r="E706" i="37"/>
  <c r="E707" i="37"/>
  <c r="E708" i="37"/>
  <c r="E709" i="37"/>
  <c r="E710" i="37"/>
  <c r="E711" i="37"/>
  <c r="E712" i="37"/>
  <c r="E713" i="37"/>
  <c r="E714" i="37"/>
  <c r="E715" i="37"/>
  <c r="E716" i="37"/>
  <c r="E717" i="37"/>
  <c r="E718" i="37"/>
  <c r="E721" i="37"/>
  <c r="E722" i="37"/>
  <c r="E723" i="37"/>
  <c r="E724" i="37"/>
  <c r="E725" i="37"/>
  <c r="E726" i="37"/>
  <c r="E727" i="37"/>
  <c r="E728" i="37"/>
  <c r="E731" i="37"/>
  <c r="E732" i="37"/>
  <c r="E733" i="37"/>
  <c r="E734" i="37"/>
  <c r="E737" i="37"/>
  <c r="E738" i="37"/>
  <c r="E739" i="37"/>
  <c r="E740" i="37"/>
  <c r="E741" i="37"/>
  <c r="E742" i="37"/>
  <c r="E743" i="37"/>
  <c r="E744" i="37"/>
  <c r="E695" i="37"/>
  <c r="E696" i="37"/>
  <c r="E689" i="37"/>
  <c r="E677" i="37"/>
  <c r="E680" i="37"/>
  <c r="E683" i="37"/>
  <c r="E684" i="37"/>
  <c r="E685" i="37"/>
  <c r="E670" i="37"/>
  <c r="E673" i="37"/>
  <c r="E669" i="37"/>
  <c r="E661" i="37"/>
  <c r="E662" i="37"/>
  <c r="E665" i="37"/>
  <c r="E588" i="37"/>
  <c r="E589" i="37"/>
  <c r="E590" i="37"/>
  <c r="E591" i="37"/>
  <c r="E592" i="37"/>
  <c r="E593" i="37"/>
  <c r="E594" i="37"/>
  <c r="E595" i="37"/>
  <c r="E596" i="37"/>
  <c r="E597" i="37"/>
  <c r="E598" i="37"/>
  <c r="E599" i="37"/>
  <c r="E600" i="37"/>
  <c r="E601" i="37"/>
  <c r="E602" i="37"/>
  <c r="E603" i="37"/>
  <c r="E604" i="37"/>
  <c r="E605" i="37"/>
  <c r="E606" i="37"/>
  <c r="E609" i="37"/>
  <c r="E610" i="37"/>
  <c r="E611" i="37"/>
  <c r="E612" i="37"/>
  <c r="E613" i="37"/>
  <c r="E616" i="37"/>
  <c r="E617" i="37"/>
  <c r="E618" i="37"/>
  <c r="E619" i="37"/>
  <c r="E620" i="37"/>
  <c r="E621" i="37"/>
  <c r="E622" i="37"/>
  <c r="E623" i="37"/>
  <c r="E624" i="37"/>
  <c r="E625" i="37"/>
  <c r="E626" i="37"/>
  <c r="E627" i="37"/>
  <c r="E628" i="37"/>
  <c r="E629" i="37"/>
  <c r="E630" i="37"/>
  <c r="E631" i="37"/>
  <c r="E634" i="37"/>
  <c r="E635" i="37"/>
  <c r="E636" i="37"/>
  <c r="E639" i="37"/>
  <c r="E640" i="37"/>
  <c r="E641" i="37"/>
  <c r="E642" i="37"/>
  <c r="E643" i="37"/>
  <c r="E644" i="37"/>
  <c r="E645" i="37"/>
  <c r="E646" i="37"/>
  <c r="E647" i="37"/>
  <c r="E648" i="37"/>
  <c r="E649" i="37"/>
  <c r="E652" i="37"/>
  <c r="E653" i="37"/>
  <c r="E654" i="37"/>
  <c r="E655" i="37"/>
  <c r="E656" i="37"/>
  <c r="E657" i="37"/>
  <c r="E581" i="37"/>
  <c r="E582" i="37"/>
  <c r="E583" i="37"/>
  <c r="E584" i="37"/>
  <c r="E585" i="37"/>
  <c r="E576" i="37"/>
  <c r="E533" i="37"/>
  <c r="E536" i="37"/>
  <c r="E537" i="37"/>
  <c r="E538" i="37"/>
  <c r="E539" i="37"/>
  <c r="E540" i="37"/>
  <c r="E541" i="37"/>
  <c r="E542" i="37"/>
  <c r="E543" i="37"/>
  <c r="E544" i="37"/>
  <c r="E545" i="37"/>
  <c r="E546" i="37"/>
  <c r="E547" i="37"/>
  <c r="E550" i="37"/>
  <c r="E551" i="37"/>
  <c r="E552" i="37"/>
  <c r="E555" i="37"/>
  <c r="E556" i="37"/>
  <c r="E559" i="37"/>
  <c r="E560" i="37"/>
  <c r="E561" i="37"/>
  <c r="E562" i="37"/>
  <c r="E563" i="37"/>
  <c r="E564" i="37"/>
  <c r="E565" i="37"/>
  <c r="E568" i="37"/>
  <c r="E569" i="37"/>
  <c r="E570" i="37"/>
  <c r="E571" i="37"/>
  <c r="E572" i="37"/>
  <c r="E529" i="37"/>
  <c r="E530" i="37"/>
  <c r="E527" i="37"/>
  <c r="E528" i="37"/>
  <c r="E521" i="37"/>
  <c r="E520" i="37"/>
  <c r="E508" i="37"/>
  <c r="E509" i="37"/>
  <c r="E510" i="37"/>
  <c r="E511" i="37"/>
  <c r="E512" i="37"/>
  <c r="E513" i="37"/>
  <c r="E516" i="37"/>
  <c r="E505" i="37"/>
  <c r="E499" i="37"/>
  <c r="E498" i="37"/>
  <c r="E494" i="37"/>
  <c r="E495" i="37"/>
  <c r="E493" i="37"/>
  <c r="E490" i="37"/>
  <c r="E477" i="37"/>
  <c r="E478" i="37"/>
  <c r="E479" i="37"/>
  <c r="E480" i="37"/>
  <c r="E481" i="37"/>
  <c r="E482" i="37"/>
  <c r="E483" i="37"/>
  <c r="E484" i="37"/>
  <c r="E485" i="37"/>
  <c r="E486" i="37"/>
  <c r="E487" i="37"/>
  <c r="E476" i="37"/>
  <c r="E473" i="37"/>
  <c r="E470" i="37"/>
  <c r="E449" i="37"/>
  <c r="E450" i="37"/>
  <c r="E451" i="37"/>
  <c r="E452" i="37"/>
  <c r="E453" i="37"/>
  <c r="E454" i="37"/>
  <c r="E455" i="37"/>
  <c r="E456" i="37"/>
  <c r="E457" i="37"/>
  <c r="E458" i="37"/>
  <c r="E459" i="37"/>
  <c r="E460" i="37"/>
  <c r="E461" i="37"/>
  <c r="E462" i="37"/>
  <c r="E463" i="37"/>
  <c r="E464" i="37"/>
  <c r="E465" i="37"/>
  <c r="E466" i="37"/>
  <c r="E467" i="37"/>
  <c r="E448" i="37"/>
  <c r="E443" i="37"/>
  <c r="E444" i="37"/>
  <c r="E445" i="37"/>
  <c r="E442" i="37"/>
  <c r="E436" i="37"/>
  <c r="E437" i="37"/>
  <c r="E435" i="37"/>
  <c r="E373" i="37"/>
  <c r="E346" i="37"/>
  <c r="E347" i="37"/>
  <c r="E348" i="37"/>
  <c r="E349" i="37"/>
  <c r="E350" i="37"/>
  <c r="E351" i="37"/>
  <c r="E352" i="37"/>
  <c r="E353" i="37"/>
  <c r="E354" i="37"/>
  <c r="E355" i="37"/>
  <c r="E356" i="37"/>
  <c r="E357" i="37"/>
  <c r="E358" i="37"/>
  <c r="E359" i="37"/>
  <c r="E360" i="37"/>
  <c r="E361" i="37"/>
  <c r="E362" i="37"/>
  <c r="E363" i="37"/>
  <c r="E364" i="37"/>
  <c r="E365" i="37"/>
  <c r="E366" i="37"/>
  <c r="E367" i="37"/>
  <c r="E368" i="37"/>
  <c r="E369" i="37"/>
  <c r="E370" i="37"/>
  <c r="E371" i="37"/>
  <c r="E372" i="37"/>
  <c r="E376" i="37"/>
  <c r="E377" i="37"/>
  <c r="E380" i="37"/>
  <c r="E381" i="37"/>
  <c r="E382" i="37"/>
  <c r="E383" i="37"/>
  <c r="E384" i="37"/>
  <c r="E385" i="37"/>
  <c r="E386" i="37"/>
  <c r="E387" i="37"/>
  <c r="E388" i="37"/>
  <c r="E389" i="37"/>
  <c r="E392" i="37"/>
  <c r="E393" i="37"/>
  <c r="E394" i="37"/>
  <c r="E395" i="37"/>
  <c r="E398" i="37"/>
  <c r="E399" i="37"/>
  <c r="E400" i="37"/>
  <c r="E401" i="37"/>
  <c r="E402" i="37"/>
  <c r="E403" i="37"/>
  <c r="E404" i="37"/>
  <c r="E405" i="37"/>
  <c r="E408" i="37"/>
  <c r="E409" i="37"/>
  <c r="E410" i="37"/>
  <c r="E411" i="37"/>
  <c r="E412" i="37"/>
  <c r="E415" i="37"/>
  <c r="E418" i="37"/>
  <c r="E419" i="37"/>
  <c r="E420" i="37"/>
  <c r="E421" i="37"/>
  <c r="E422" i="37"/>
  <c r="E425" i="37"/>
  <c r="E426" i="37"/>
  <c r="E429" i="37"/>
  <c r="E430" i="37"/>
  <c r="E431" i="37"/>
  <c r="E345" i="37"/>
  <c r="E340" i="37"/>
  <c r="E341" i="37"/>
  <c r="E342" i="37"/>
  <c r="E339" i="37"/>
  <c r="E338" i="37"/>
  <c r="E332" i="37"/>
  <c r="E333" i="37"/>
  <c r="E329" i="37"/>
  <c r="E321" i="37"/>
  <c r="E322" i="37"/>
  <c r="E323" i="37"/>
  <c r="E324" i="37"/>
  <c r="E325" i="37"/>
  <c r="E320" i="37"/>
  <c r="E316" i="37"/>
  <c r="E313" i="37"/>
  <c r="E309" i="37"/>
  <c r="E308" i="37"/>
  <c r="E305" i="37"/>
  <c r="E304" i="37"/>
  <c r="E301" i="37"/>
  <c r="E270" i="37"/>
  <c r="E271" i="37"/>
  <c r="E272" i="37"/>
  <c r="E273" i="37"/>
  <c r="E274" i="37"/>
  <c r="E277" i="37"/>
  <c r="E278" i="37"/>
  <c r="E279" i="37"/>
  <c r="E280" i="37"/>
  <c r="E281" i="37"/>
  <c r="E282" i="37"/>
  <c r="E283" i="37"/>
  <c r="E284" i="37"/>
  <c r="E285" i="37"/>
  <c r="E286" i="37"/>
  <c r="E289" i="37"/>
  <c r="E290" i="37"/>
  <c r="E293" i="37"/>
  <c r="E294" i="37"/>
  <c r="E297" i="37"/>
  <c r="E267" i="37"/>
  <c r="E260" i="37"/>
  <c r="E261" i="37"/>
  <c r="E259" i="37"/>
  <c r="E255" i="37"/>
  <c r="E252" i="37"/>
  <c r="E248" i="37"/>
  <c r="E249" i="37"/>
  <c r="E247" i="37"/>
  <c r="E239" i="37"/>
  <c r="E240" i="37"/>
  <c r="E241" i="37"/>
  <c r="E242" i="37"/>
  <c r="E243" i="37"/>
  <c r="E234" i="37"/>
  <c r="E235" i="37"/>
  <c r="E236" i="37"/>
  <c r="E237" i="37"/>
  <c r="E238" i="37"/>
  <c r="E231" i="37"/>
  <c r="E232" i="37"/>
  <c r="E233" i="37"/>
  <c r="E230" i="37"/>
  <c r="E226" i="37"/>
  <c r="E227" i="37"/>
  <c r="E225" i="37"/>
  <c r="E198" i="37"/>
  <c r="E199" i="37"/>
  <c r="E200" i="37"/>
  <c r="E201" i="37"/>
  <c r="E202" i="37"/>
  <c r="E203" i="37"/>
  <c r="E204" i="37"/>
  <c r="E205" i="37"/>
  <c r="E206" i="37"/>
  <c r="E207" i="37"/>
  <c r="E208" i="37"/>
  <c r="E209" i="37"/>
  <c r="E210" i="37"/>
  <c r="E211" i="37"/>
  <c r="E212" i="37"/>
  <c r="E213" i="37"/>
  <c r="E214" i="37"/>
  <c r="E215" i="37"/>
  <c r="E216" i="37"/>
  <c r="E217" i="37"/>
  <c r="E218" i="37"/>
  <c r="E219" i="37"/>
  <c r="E220" i="37"/>
  <c r="E221" i="37"/>
  <c r="E222" i="37"/>
  <c r="E197" i="37"/>
  <c r="E183" i="37"/>
  <c r="E184" i="37"/>
  <c r="E185" i="37"/>
  <c r="E186" i="37"/>
  <c r="E187" i="37"/>
  <c r="E188" i="37"/>
  <c r="E189" i="37"/>
  <c r="E190" i="37"/>
  <c r="E191" i="37"/>
  <c r="E192" i="37"/>
  <c r="E193" i="37"/>
  <c r="E194" i="37"/>
  <c r="E182" i="37"/>
  <c r="E177" i="37"/>
  <c r="E170" i="37"/>
  <c r="E169" i="37"/>
  <c r="E165" i="37"/>
  <c r="E161" i="37"/>
  <c r="E117" i="37"/>
  <c r="E118" i="37"/>
  <c r="E119" i="37"/>
  <c r="E120" i="37"/>
  <c r="E121" i="37"/>
  <c r="E122" i="37"/>
  <c r="E123" i="37"/>
  <c r="E124" i="37"/>
  <c r="E125" i="37"/>
  <c r="E126" i="37"/>
  <c r="E127" i="37"/>
  <c r="E128" i="37"/>
  <c r="E129" i="37"/>
  <c r="E130" i="37"/>
  <c r="E131" i="37"/>
  <c r="E132" i="37"/>
  <c r="E133" i="37"/>
  <c r="E136" i="37"/>
  <c r="E137" i="37"/>
  <c r="E138" i="37"/>
  <c r="E139" i="37"/>
  <c r="E142" i="37"/>
  <c r="E143" i="37"/>
  <c r="E144" i="37"/>
  <c r="E147" i="37"/>
  <c r="E148" i="37"/>
  <c r="E151" i="37"/>
  <c r="E153" i="37"/>
  <c r="E154" i="37"/>
  <c r="E157" i="37"/>
  <c r="E110" i="37"/>
  <c r="E111" i="37"/>
  <c r="E112" i="37"/>
  <c r="E113" i="37"/>
  <c r="E114" i="37"/>
  <c r="E109" i="37"/>
  <c r="E103" i="37"/>
  <c r="E99" i="37"/>
  <c r="E94" i="37"/>
  <c r="E95" i="37"/>
  <c r="E93" i="37"/>
  <c r="E89" i="37"/>
  <c r="E84" i="37"/>
  <c r="E85" i="37"/>
  <c r="E83" i="37"/>
  <c r="E79" i="37"/>
  <c r="E61" i="37"/>
  <c r="E62" i="37"/>
  <c r="E63" i="37"/>
  <c r="E64" i="37"/>
  <c r="E67" i="37"/>
  <c r="E68" i="37"/>
  <c r="E69" i="37"/>
  <c r="E70" i="37"/>
  <c r="E71" i="37"/>
  <c r="E72" i="37"/>
  <c r="E73" i="37"/>
  <c r="E76" i="37"/>
  <c r="E56" i="37"/>
  <c r="E57" i="37"/>
  <c r="E58" i="37"/>
  <c r="E49" i="37"/>
  <c r="E50" i="37"/>
  <c r="E51" i="37"/>
  <c r="E52" i="37"/>
  <c r="E53" i="37"/>
  <c r="E40" i="37"/>
  <c r="E43" i="37"/>
  <c r="E44" i="37"/>
  <c r="E45" i="37"/>
  <c r="E46" i="37"/>
  <c r="E47" i="37"/>
  <c r="E48" i="37"/>
  <c r="E39" i="37"/>
  <c r="F264" i="43" l="1"/>
  <c r="E262" i="43"/>
  <c r="E29" i="37"/>
  <c r="E30" i="37"/>
  <c r="E31" i="37"/>
  <c r="D28" i="37"/>
  <c r="E28" i="37" s="1"/>
  <c r="E322" i="35"/>
  <c r="D325" i="35"/>
  <c r="D324" i="35" s="1"/>
  <c r="E25" i="37"/>
  <c r="E19" i="37"/>
  <c r="E21" i="37"/>
  <c r="E22" i="37"/>
  <c r="E24" i="37"/>
  <c r="E16" i="37"/>
  <c r="D298" i="35"/>
  <c r="D42" i="35"/>
  <c r="D4760" i="35"/>
  <c r="D4761" i="35" s="1"/>
  <c r="D350" i="35"/>
  <c r="D349" i="35" s="1"/>
  <c r="D4731" i="35"/>
  <c r="D4389" i="35"/>
  <c r="D4104" i="35"/>
  <c r="D3681" i="35"/>
  <c r="D3357" i="35"/>
  <c r="D2865" i="35"/>
  <c r="D2558" i="35"/>
  <c r="F262" i="43" l="1"/>
  <c r="E4824" i="43"/>
  <c r="F4824" i="43" s="1"/>
  <c r="E326" i="35"/>
  <c r="E324" i="35"/>
  <c r="E328" i="35"/>
  <c r="E327" i="35"/>
  <c r="E325" i="35"/>
  <c r="D27" i="37"/>
  <c r="D2377" i="35"/>
  <c r="D2374" i="35"/>
  <c r="D2103" i="35"/>
  <c r="D1713" i="35"/>
  <c r="D1085" i="35"/>
  <c r="D922" i="35"/>
  <c r="D627" i="35"/>
  <c r="E27" i="37" l="1"/>
  <c r="D13" i="37"/>
  <c r="E174" i="37"/>
  <c r="D111" i="35" l="1"/>
  <c r="D117" i="35"/>
  <c r="D121" i="35"/>
  <c r="D110" i="35" l="1"/>
  <c r="H679" i="32"/>
  <c r="H674" i="32"/>
  <c r="G675" i="32"/>
  <c r="G676" i="32"/>
  <c r="G677" i="32"/>
  <c r="H119" i="32"/>
  <c r="D345" i="35" l="1"/>
  <c r="D310" i="35"/>
  <c r="D307" i="35"/>
  <c r="D303" i="35"/>
  <c r="D495" i="38"/>
  <c r="D494" i="38" s="1"/>
  <c r="D491" i="38"/>
  <c r="E491" i="38" s="1"/>
  <c r="D487" i="38"/>
  <c r="E487" i="38" s="1"/>
  <c r="D481" i="38"/>
  <c r="E481" i="38" s="1"/>
  <c r="D476" i="38"/>
  <c r="E476" i="38" s="1"/>
  <c r="D473" i="38"/>
  <c r="E473" i="38" s="1"/>
  <c r="D468" i="38"/>
  <c r="E468" i="38" s="1"/>
  <c r="D464" i="38"/>
  <c r="E464" i="38" s="1"/>
  <c r="D461" i="38"/>
  <c r="E461" i="38" s="1"/>
  <c r="D457" i="38"/>
  <c r="E457" i="38" s="1"/>
  <c r="D454" i="38"/>
  <c r="E454" i="38" s="1"/>
  <c r="D448" i="38"/>
  <c r="E448" i="38" s="1"/>
  <c r="D445" i="38"/>
  <c r="E445" i="38" s="1"/>
  <c r="D575" i="37"/>
  <c r="D567" i="37"/>
  <c r="E567" i="37" s="1"/>
  <c r="D558" i="37"/>
  <c r="E558" i="37" s="1"/>
  <c r="D554" i="37"/>
  <c r="E554" i="37" s="1"/>
  <c r="D549" i="37"/>
  <c r="E549" i="37" s="1"/>
  <c r="D535" i="37"/>
  <c r="E535" i="37" s="1"/>
  <c r="D532" i="37"/>
  <c r="E532" i="37" s="1"/>
  <c r="D526" i="37"/>
  <c r="E526" i="37" s="1"/>
  <c r="D4763" i="35"/>
  <c r="D574" i="37" l="1"/>
  <c r="E574" i="37" s="1"/>
  <c r="E575" i="37"/>
  <c r="D319" i="35"/>
  <c r="D306" i="35" s="1"/>
  <c r="D301" i="35" s="1"/>
  <c r="D344" i="35"/>
  <c r="D444" i="38"/>
  <c r="D525" i="37"/>
  <c r="D2862" i="35"/>
  <c r="D2855" i="35"/>
  <c r="D2858" i="35"/>
  <c r="D2848" i="35"/>
  <c r="D2851" i="35"/>
  <c r="D2838" i="35"/>
  <c r="D2841" i="35"/>
  <c r="D2844" i="35"/>
  <c r="D2828" i="35"/>
  <c r="D2831" i="35"/>
  <c r="D2834" i="35"/>
  <c r="D2821" i="35"/>
  <c r="D2824" i="35"/>
  <c r="D2810" i="35"/>
  <c r="D2813" i="35"/>
  <c r="D2803" i="35"/>
  <c r="D2806" i="35"/>
  <c r="D2793" i="35"/>
  <c r="D2796" i="35"/>
  <c r="D2799" i="35"/>
  <c r="D2789" i="35"/>
  <c r="D2786" i="35"/>
  <c r="D2771" i="35"/>
  <c r="D2779" i="35"/>
  <c r="D2774" i="35"/>
  <c r="D2767" i="35"/>
  <c r="D2764" i="35"/>
  <c r="D2760" i="35"/>
  <c r="D2755" i="35"/>
  <c r="D2749" i="35"/>
  <c r="D2746" i="35"/>
  <c r="D2740" i="35"/>
  <c r="D2737" i="35"/>
  <c r="D2733" i="35"/>
  <c r="D2726" i="35"/>
  <c r="D2722" i="35"/>
  <c r="D2721" i="35" s="1"/>
  <c r="D2715" i="35"/>
  <c r="D2714" i="35" s="1"/>
  <c r="E303" i="35" l="1"/>
  <c r="D523" i="37"/>
  <c r="E523" i="37" s="1"/>
  <c r="E525" i="37"/>
  <c r="E444" i="38"/>
  <c r="D442" i="38"/>
  <c r="E442" i="38" s="1"/>
  <c r="E306" i="35"/>
  <c r="E319" i="35"/>
  <c r="D2785" i="35"/>
  <c r="D2802" i="35"/>
  <c r="D2820" i="35"/>
  <c r="D2792" i="35"/>
  <c r="D2847" i="35"/>
  <c r="D2745" i="35"/>
  <c r="D2809" i="35"/>
  <c r="D2837" i="35"/>
  <c r="D2827" i="35"/>
  <c r="D2854" i="35"/>
  <c r="D2770" i="35"/>
  <c r="D2725" i="35"/>
  <c r="D2706" i="35"/>
  <c r="D2710" i="35"/>
  <c r="D2701" i="35"/>
  <c r="D2694" i="35"/>
  <c r="D2693" i="35" s="1"/>
  <c r="D2690" i="35"/>
  <c r="D2687" i="35"/>
  <c r="D2684" i="35"/>
  <c r="D2681" i="35"/>
  <c r="D2678" i="35"/>
  <c r="D2675" i="35"/>
  <c r="D2669" i="35"/>
  <c r="D2668" i="35" s="1"/>
  <c r="D2658" i="35"/>
  <c r="D2662" i="35"/>
  <c r="E315" i="35" l="1"/>
  <c r="E311" i="35"/>
  <c r="E314" i="35"/>
  <c r="E304" i="35"/>
  <c r="E301" i="35"/>
  <c r="E317" i="35"/>
  <c r="E313" i="35"/>
  <c r="E308" i="35"/>
  <c r="E316" i="35"/>
  <c r="E312" i="35"/>
  <c r="E310" i="35"/>
  <c r="E307" i="35"/>
  <c r="E320" i="35"/>
  <c r="D2697" i="35"/>
  <c r="D2674" i="35"/>
  <c r="D2654" i="35"/>
  <c r="D2648" i="35"/>
  <c r="D2643" i="35"/>
  <c r="D2640" i="35"/>
  <c r="D2635" i="35"/>
  <c r="D2631" i="35"/>
  <c r="D2628" i="35"/>
  <c r="D2624" i="35"/>
  <c r="D2615" i="35"/>
  <c r="D2572" i="35"/>
  <c r="D2563" i="35"/>
  <c r="D2604" i="35"/>
  <c r="D2595" i="35"/>
  <c r="D2591" i="35"/>
  <c r="D2586" i="35"/>
  <c r="H668" i="32"/>
  <c r="E668" i="32"/>
  <c r="G666" i="32"/>
  <c r="G662" i="32"/>
  <c r="H661" i="32"/>
  <c r="E661" i="32"/>
  <c r="D661" i="32"/>
  <c r="G659" i="32"/>
  <c r="H658" i="32"/>
  <c r="E658" i="32"/>
  <c r="G658" i="32" s="1"/>
  <c r="D658" i="32"/>
  <c r="G656" i="32"/>
  <c r="G655" i="32"/>
  <c r="H654" i="32"/>
  <c r="E654" i="32"/>
  <c r="D654" i="32"/>
  <c r="G652" i="32"/>
  <c r="G651" i="32"/>
  <c r="G650" i="32"/>
  <c r="H649" i="32"/>
  <c r="E649" i="32"/>
  <c r="D649" i="32"/>
  <c r="G647" i="32"/>
  <c r="G646" i="32"/>
  <c r="H645" i="32"/>
  <c r="E645" i="32"/>
  <c r="D645" i="32"/>
  <c r="G643" i="32"/>
  <c r="H642" i="32"/>
  <c r="E642" i="32"/>
  <c r="G642" i="32" s="1"/>
  <c r="D642" i="32"/>
  <c r="G640" i="32"/>
  <c r="E639" i="32"/>
  <c r="D639" i="32"/>
  <c r="G637" i="32"/>
  <c r="E636" i="32"/>
  <c r="D636" i="32"/>
  <c r="G634" i="32"/>
  <c r="G633" i="32"/>
  <c r="H632" i="32"/>
  <c r="E632" i="32"/>
  <c r="D632" i="32"/>
  <c r="G630" i="32"/>
  <c r="G629" i="32"/>
  <c r="H627" i="32"/>
  <c r="E627" i="32"/>
  <c r="D627" i="32"/>
  <c r="G625" i="32"/>
  <c r="H624" i="32"/>
  <c r="E624" i="32"/>
  <c r="D624" i="32"/>
  <c r="G627" i="32" l="1"/>
  <c r="D623" i="32"/>
  <c r="G639" i="32"/>
  <c r="G649" i="32"/>
  <c r="G636" i="32"/>
  <c r="G624" i="32"/>
  <c r="G661" i="32"/>
  <c r="G632" i="32"/>
  <c r="G645" i="32"/>
  <c r="G654" i="32"/>
  <c r="D3815" i="35" l="1"/>
  <c r="D3814" i="35" s="1"/>
  <c r="D3858" i="35"/>
  <c r="D2554" i="35"/>
  <c r="D1705" i="35"/>
  <c r="D2506" i="35" l="1"/>
  <c r="D2509" i="35"/>
  <c r="D2497" i="35"/>
  <c r="D2481" i="35"/>
  <c r="D2468" i="35"/>
  <c r="D863" i="38"/>
  <c r="E863" i="38" s="1"/>
  <c r="D860" i="38"/>
  <c r="D856" i="38"/>
  <c r="D852" i="38"/>
  <c r="E852" i="38" s="1"/>
  <c r="D847" i="38"/>
  <c r="E847" i="38" s="1"/>
  <c r="D843" i="38"/>
  <c r="D839" i="38"/>
  <c r="D835" i="38"/>
  <c r="D831" i="38"/>
  <c r="D827" i="38"/>
  <c r="D819" i="38"/>
  <c r="D815" i="38"/>
  <c r="D811" i="38"/>
  <c r="D807" i="38"/>
  <c r="D803" i="38"/>
  <c r="D799" i="38"/>
  <c r="D795" i="38"/>
  <c r="D789" i="38"/>
  <c r="E789" i="38" s="1"/>
  <c r="D786" i="38"/>
  <c r="E786" i="38" s="1"/>
  <c r="D783" i="38"/>
  <c r="E783" i="38" s="1"/>
  <c r="D778" i="38"/>
  <c r="E778" i="38" s="1"/>
  <c r="D775" i="38"/>
  <c r="E775" i="38" s="1"/>
  <c r="D769" i="38"/>
  <c r="E769" i="38" s="1"/>
  <c r="D765" i="38"/>
  <c r="E765" i="38" s="1"/>
  <c r="D762" i="38"/>
  <c r="E762" i="38" s="1"/>
  <c r="D877" i="37"/>
  <c r="D872" i="37"/>
  <c r="E872" i="37" s="1"/>
  <c r="D869" i="37"/>
  <c r="E869" i="37" s="1"/>
  <c r="D866" i="37"/>
  <c r="E866" i="37" s="1"/>
  <c r="D862" i="37"/>
  <c r="E862" i="37" s="1"/>
  <c r="D859" i="37"/>
  <c r="E859" i="37" s="1"/>
  <c r="D854" i="37"/>
  <c r="E854" i="37" s="1"/>
  <c r="D851" i="37"/>
  <c r="D845" i="37"/>
  <c r="E845" i="37" s="1"/>
  <c r="D830" i="37"/>
  <c r="E830" i="37" s="1"/>
  <c r="D825" i="37"/>
  <c r="E825" i="37" s="1"/>
  <c r="D820" i="37"/>
  <c r="E820" i="37" s="1"/>
  <c r="D817" i="37"/>
  <c r="E817" i="37" s="1"/>
  <c r="D814" i="37"/>
  <c r="E814" i="37" s="1"/>
  <c r="D791" i="37"/>
  <c r="E791" i="37" s="1"/>
  <c r="D4103" i="35"/>
  <c r="D4100" i="35"/>
  <c r="D4097" i="35"/>
  <c r="D4091" i="35"/>
  <c r="D4086" i="35"/>
  <c r="D4083" i="35"/>
  <c r="D4078" i="35"/>
  <c r="D4071" i="35"/>
  <c r="D4067" i="35"/>
  <c r="D4064" i="35"/>
  <c r="D4059" i="35"/>
  <c r="D4056" i="35"/>
  <c r="D4048" i="35"/>
  <c r="D4044" i="35"/>
  <c r="D4031" i="35"/>
  <c r="D4023" i="35"/>
  <c r="D4019" i="35"/>
  <c r="D4052" i="35"/>
  <c r="D4041" i="35"/>
  <c r="D4038" i="35"/>
  <c r="D4027" i="35"/>
  <c r="D4016" i="35"/>
  <c r="D4009" i="35"/>
  <c r="D4005" i="35"/>
  <c r="D3997" i="35"/>
  <c r="D3991" i="35"/>
  <c r="D3983" i="35"/>
  <c r="D3987" i="35"/>
  <c r="D3980" i="35"/>
  <c r="D3977" i="35"/>
  <c r="D3974" i="35"/>
  <c r="D3967" i="35"/>
  <c r="D3970" i="35"/>
  <c r="D3963" i="35"/>
  <c r="D3960" i="35"/>
  <c r="D3956" i="35"/>
  <c r="D3952" i="35"/>
  <c r="D3944" i="35"/>
  <c r="D3941" i="35"/>
  <c r="D3934" i="35"/>
  <c r="D3931" i="35"/>
  <c r="D3920" i="35"/>
  <c r="D3912" i="35"/>
  <c r="D3927" i="35"/>
  <c r="D3917" i="35"/>
  <c r="D3908" i="35"/>
  <c r="D3905" i="35"/>
  <c r="D3902" i="35"/>
  <c r="D3891" i="35"/>
  <c r="D3883" i="35"/>
  <c r="D3880" i="35"/>
  <c r="D3867" i="35"/>
  <c r="D3862" i="35"/>
  <c r="D3851" i="35"/>
  <c r="D3848" i="35"/>
  <c r="D3839" i="35"/>
  <c r="D3781" i="35"/>
  <c r="D3778" i="35"/>
  <c r="D3775" i="35"/>
  <c r="D3770" i="35"/>
  <c r="D3767" i="35"/>
  <c r="D3761" i="35"/>
  <c r="D3754" i="35"/>
  <c r="D3757" i="35"/>
  <c r="D3748" i="35"/>
  <c r="D3733" i="35"/>
  <c r="D3728" i="35"/>
  <c r="D3723" i="35"/>
  <c r="D3720" i="35"/>
  <c r="D3717" i="35"/>
  <c r="D3694" i="35"/>
  <c r="G1077" i="32"/>
  <c r="G1076" i="32"/>
  <c r="G1075" i="32"/>
  <c r="H1074" i="32"/>
  <c r="E1074" i="32"/>
  <c r="D1074" i="32"/>
  <c r="G1072" i="32"/>
  <c r="H1071" i="32"/>
  <c r="E1071" i="32"/>
  <c r="D1071" i="32"/>
  <c r="D1070" i="32" s="1"/>
  <c r="G1068" i="32"/>
  <c r="H1067" i="32"/>
  <c r="H1066" i="32" s="1"/>
  <c r="E1067" i="32"/>
  <c r="D1067" i="32"/>
  <c r="D1066" i="32" s="1"/>
  <c r="E1066" i="32"/>
  <c r="G1064" i="32"/>
  <c r="H1063" i="32"/>
  <c r="H1062" i="32" s="1"/>
  <c r="E1063" i="32"/>
  <c r="D1063" i="32"/>
  <c r="D1062" i="32"/>
  <c r="G1060" i="32"/>
  <c r="H1059" i="32"/>
  <c r="H1058" i="32" s="1"/>
  <c r="E1059" i="32"/>
  <c r="E1058" i="32" s="1"/>
  <c r="D1059" i="32"/>
  <c r="G1056" i="32"/>
  <c r="H1055" i="32"/>
  <c r="H1054" i="32" s="1"/>
  <c r="E1055" i="32"/>
  <c r="E1054" i="32" s="1"/>
  <c r="D1055" i="32"/>
  <c r="D1054" i="32" s="1"/>
  <c r="G1052" i="32"/>
  <c r="H1051" i="32"/>
  <c r="H1050" i="32" s="1"/>
  <c r="E1051" i="32"/>
  <c r="E1050" i="32" s="1"/>
  <c r="G1050" i="32" s="1"/>
  <c r="D1051" i="32"/>
  <c r="D1050" i="32"/>
  <c r="G1048" i="32"/>
  <c r="H1047" i="32"/>
  <c r="E1047" i="32"/>
  <c r="E1046" i="32" s="1"/>
  <c r="D1047" i="32"/>
  <c r="H1046" i="32"/>
  <c r="G1044" i="32"/>
  <c r="H1043" i="32"/>
  <c r="H1042" i="32" s="1"/>
  <c r="E1043" i="32"/>
  <c r="E1042" i="32" s="1"/>
  <c r="D1043" i="32"/>
  <c r="G1040" i="32"/>
  <c r="H1039" i="32"/>
  <c r="H1038" i="32" s="1"/>
  <c r="E1039" i="32"/>
  <c r="D1039" i="32"/>
  <c r="D1038" i="32" s="1"/>
  <c r="G1036" i="32"/>
  <c r="H1035" i="32"/>
  <c r="H1034" i="32" s="1"/>
  <c r="E1035" i="32"/>
  <c r="D1035" i="32"/>
  <c r="D1034" i="32" s="1"/>
  <c r="E1034" i="32"/>
  <c r="G1032" i="32"/>
  <c r="H1031" i="32"/>
  <c r="E1031" i="32"/>
  <c r="E1030" i="32" s="1"/>
  <c r="D1031" i="32"/>
  <c r="H1030" i="32"/>
  <c r="G1028" i="32"/>
  <c r="H1027" i="32"/>
  <c r="H1026" i="32" s="1"/>
  <c r="E1027" i="32"/>
  <c r="D1027" i="32"/>
  <c r="E1026" i="32"/>
  <c r="G1024" i="32"/>
  <c r="H1023" i="32"/>
  <c r="H1022" i="32" s="1"/>
  <c r="E1023" i="32"/>
  <c r="D1023" i="32"/>
  <c r="D1022" i="32" s="1"/>
  <c r="G1020" i="32"/>
  <c r="H1019" i="32"/>
  <c r="E1019" i="32"/>
  <c r="E1018" i="32" s="1"/>
  <c r="D1019" i="32"/>
  <c r="H1018" i="32"/>
  <c r="D1018" i="32"/>
  <c r="G1016" i="32"/>
  <c r="G1015" i="32"/>
  <c r="G1014" i="32"/>
  <c r="G1013" i="32"/>
  <c r="H1011" i="32"/>
  <c r="E1011" i="32"/>
  <c r="D1011" i="32"/>
  <c r="G1009" i="32"/>
  <c r="H1008" i="32"/>
  <c r="E1008" i="32"/>
  <c r="D1008" i="32"/>
  <c r="G1006" i="32"/>
  <c r="H1005" i="32"/>
  <c r="E1005" i="32"/>
  <c r="D1005" i="32"/>
  <c r="G1005" i="32" s="1"/>
  <c r="G1003" i="32"/>
  <c r="H1002" i="32"/>
  <c r="E1002" i="32"/>
  <c r="D1002" i="32"/>
  <c r="G1000" i="32"/>
  <c r="G999" i="32"/>
  <c r="G998" i="32"/>
  <c r="G997" i="32"/>
  <c r="G996" i="32"/>
  <c r="G995" i="32"/>
  <c r="G994" i="32"/>
  <c r="G993" i="32"/>
  <c r="H992" i="32"/>
  <c r="E992" i="32"/>
  <c r="D992" i="32"/>
  <c r="G990" i="32"/>
  <c r="H989" i="32"/>
  <c r="E989" i="32"/>
  <c r="G989" i="32" s="1"/>
  <c r="D989" i="32"/>
  <c r="G987" i="32"/>
  <c r="G986" i="32"/>
  <c r="G985" i="32"/>
  <c r="G984" i="32"/>
  <c r="H983" i="32"/>
  <c r="E983" i="32"/>
  <c r="D983" i="32"/>
  <c r="G981" i="32"/>
  <c r="G980" i="32"/>
  <c r="G979" i="32"/>
  <c r="G978" i="32"/>
  <c r="H977" i="32"/>
  <c r="E977" i="32"/>
  <c r="G977" i="32" s="1"/>
  <c r="D977" i="32"/>
  <c r="G975" i="32"/>
  <c r="G974" i="32"/>
  <c r="G973" i="32"/>
  <c r="H972" i="32"/>
  <c r="E972" i="32"/>
  <c r="G972" i="32" s="1"/>
  <c r="D972" i="32"/>
  <c r="G970" i="32"/>
  <c r="H969" i="32"/>
  <c r="E969" i="32"/>
  <c r="G969" i="32" s="1"/>
  <c r="D969" i="32"/>
  <c r="G967" i="32"/>
  <c r="G966" i="32"/>
  <c r="G965" i="32"/>
  <c r="G964" i="32"/>
  <c r="G963" i="32"/>
  <c r="G961" i="32"/>
  <c r="G960" i="32"/>
  <c r="G959" i="32"/>
  <c r="H958" i="32"/>
  <c r="E958" i="32"/>
  <c r="D958" i="32"/>
  <c r="D954" i="32" l="1"/>
  <c r="G1063" i="32"/>
  <c r="G1071" i="32"/>
  <c r="G1074" i="32"/>
  <c r="G1018" i="32"/>
  <c r="G1059" i="32"/>
  <c r="E851" i="37"/>
  <c r="D850" i="37"/>
  <c r="G1023" i="32"/>
  <c r="G1022" i="32" s="1"/>
  <c r="G1027" i="32"/>
  <c r="G1026" i="32" s="1"/>
  <c r="G1047" i="32"/>
  <c r="G1046" i="32" s="1"/>
  <c r="G1054" i="32"/>
  <c r="D1058" i="32"/>
  <c r="G1058" i="32" s="1"/>
  <c r="E1062" i="32"/>
  <c r="G1062" i="32" s="1"/>
  <c r="G1008" i="32"/>
  <c r="G1031" i="32"/>
  <c r="G1030" i="32" s="1"/>
  <c r="G1039" i="32"/>
  <c r="G1038" i="32" s="1"/>
  <c r="G1043" i="32"/>
  <c r="G1042" i="32" s="1"/>
  <c r="D876" i="37"/>
  <c r="E876" i="37" s="1"/>
  <c r="E877" i="37"/>
  <c r="D826" i="38"/>
  <c r="E826" i="38" s="1"/>
  <c r="E827" i="38"/>
  <c r="D794" i="38"/>
  <c r="E794" i="38" s="1"/>
  <c r="E795" i="38"/>
  <c r="D810" i="38"/>
  <c r="E810" i="38" s="1"/>
  <c r="E811" i="38"/>
  <c r="D830" i="38"/>
  <c r="E830" i="38" s="1"/>
  <c r="E831" i="38"/>
  <c r="D842" i="38"/>
  <c r="E842" i="38" s="1"/>
  <c r="E843" i="38"/>
  <c r="D798" i="38"/>
  <c r="E798" i="38" s="1"/>
  <c r="E799" i="38"/>
  <c r="D814" i="38"/>
  <c r="E814" i="38" s="1"/>
  <c r="E815" i="38"/>
  <c r="D834" i="38"/>
  <c r="E834" i="38" s="1"/>
  <c r="E835" i="38"/>
  <c r="D806" i="38"/>
  <c r="E806" i="38" s="1"/>
  <c r="E807" i="38"/>
  <c r="D859" i="38"/>
  <c r="E859" i="38" s="1"/>
  <c r="E860" i="38"/>
  <c r="D802" i="38"/>
  <c r="E802" i="38" s="1"/>
  <c r="E803" i="38"/>
  <c r="D818" i="38"/>
  <c r="E818" i="38" s="1"/>
  <c r="E819" i="38"/>
  <c r="D838" i="38"/>
  <c r="E838" i="38" s="1"/>
  <c r="E839" i="38"/>
  <c r="D855" i="38"/>
  <c r="E855" i="38" s="1"/>
  <c r="E856" i="38"/>
  <c r="G958" i="32"/>
  <c r="G983" i="32"/>
  <c r="G1011" i="32"/>
  <c r="E1022" i="32"/>
  <c r="D1042" i="32"/>
  <c r="D1046" i="32"/>
  <c r="H1070" i="32"/>
  <c r="G992" i="32"/>
  <c r="G1002" i="32"/>
  <c r="D1026" i="32"/>
  <c r="D1030" i="32"/>
  <c r="G1035" i="32"/>
  <c r="G1034" i="32" s="1"/>
  <c r="E1038" i="32"/>
  <c r="G1055" i="32"/>
  <c r="G1067" i="32"/>
  <c r="E1070" i="32"/>
  <c r="G1070" i="32" s="1"/>
  <c r="E954" i="32"/>
  <c r="G1066" i="32"/>
  <c r="D2480" i="35"/>
  <c r="D4096" i="35"/>
  <c r="D846" i="38"/>
  <c r="E846" i="38" s="1"/>
  <c r="D865" i="37"/>
  <c r="E865" i="37" s="1"/>
  <c r="D4077" i="35"/>
  <c r="D761" i="38"/>
  <c r="E761" i="38" s="1"/>
  <c r="E850" i="37"/>
  <c r="D790" i="37"/>
  <c r="E790" i="37" s="1"/>
  <c r="D3996" i="35"/>
  <c r="D4055" i="35"/>
  <c r="D4015" i="35"/>
  <c r="D3973" i="35"/>
  <c r="D3959" i="35"/>
  <c r="D3966" i="35"/>
  <c r="D3940" i="35"/>
  <c r="D3930" i="35"/>
  <c r="D3911" i="35"/>
  <c r="D3879" i="35"/>
  <c r="D3847" i="35"/>
  <c r="D3753" i="35"/>
  <c r="D3693" i="35"/>
  <c r="G1019" i="32"/>
  <c r="G1051" i="32"/>
  <c r="G441" i="32"/>
  <c r="H440" i="32"/>
  <c r="E440" i="32"/>
  <c r="D440" i="32"/>
  <c r="G438" i="32"/>
  <c r="G437" i="32"/>
  <c r="G436" i="32"/>
  <c r="G435" i="32"/>
  <c r="G434" i="32"/>
  <c r="H433" i="32"/>
  <c r="E433" i="32"/>
  <c r="D433" i="32"/>
  <c r="G431" i="32"/>
  <c r="H430" i="32"/>
  <c r="E430" i="32"/>
  <c r="D430" i="32"/>
  <c r="G428" i="32"/>
  <c r="H427" i="32"/>
  <c r="E427" i="32"/>
  <c r="D427" i="32"/>
  <c r="D426" i="32" s="1"/>
  <c r="G424" i="32"/>
  <c r="G422" i="32"/>
  <c r="G421" i="32"/>
  <c r="G418" i="32"/>
  <c r="G417" i="32"/>
  <c r="G416" i="32"/>
  <c r="G415" i="32"/>
  <c r="H414" i="32"/>
  <c r="E414" i="32"/>
  <c r="D414" i="32"/>
  <c r="G411" i="32"/>
  <c r="G410" i="32"/>
  <c r="G409" i="32"/>
  <c r="H408" i="32"/>
  <c r="E408" i="32"/>
  <c r="D408" i="32"/>
  <c r="G405" i="32"/>
  <c r="G404" i="32"/>
  <c r="G403" i="32"/>
  <c r="G402" i="32"/>
  <c r="G401" i="32"/>
  <c r="G400" i="32"/>
  <c r="G399" i="32"/>
  <c r="G398" i="32"/>
  <c r="G397" i="32"/>
  <c r="G396" i="32"/>
  <c r="G395" i="32"/>
  <c r="G394" i="32"/>
  <c r="G393" i="32"/>
  <c r="G392" i="32"/>
  <c r="G391" i="32"/>
  <c r="G390" i="32"/>
  <c r="G389" i="32"/>
  <c r="G388" i="32"/>
  <c r="G387" i="32"/>
  <c r="G386" i="32"/>
  <c r="G385" i="32"/>
  <c r="G384" i="32"/>
  <c r="G383" i="32"/>
  <c r="G382" i="32"/>
  <c r="G381" i="32"/>
  <c r="G380" i="32"/>
  <c r="G379" i="32"/>
  <c r="H378" i="32"/>
  <c r="E378" i="32"/>
  <c r="D378" i="32"/>
  <c r="G376" i="32"/>
  <c r="G375" i="32"/>
  <c r="G374" i="32"/>
  <c r="G373" i="32"/>
  <c r="H372" i="32"/>
  <c r="E372" i="32"/>
  <c r="D372" i="32"/>
  <c r="G370" i="32"/>
  <c r="G369" i="32"/>
  <c r="G368" i="32"/>
  <c r="G367" i="32"/>
  <c r="H366" i="32"/>
  <c r="E366" i="32"/>
  <c r="D366" i="32"/>
  <c r="G364" i="32"/>
  <c r="G363" i="32"/>
  <c r="G362" i="32"/>
  <c r="G361" i="32"/>
  <c r="G360" i="32"/>
  <c r="H356" i="32"/>
  <c r="E356" i="32"/>
  <c r="D356" i="32"/>
  <c r="J514" i="31"/>
  <c r="G378" i="32" l="1"/>
  <c r="G356" i="32"/>
  <c r="G427" i="32"/>
  <c r="G430" i="32"/>
  <c r="G433" i="32"/>
  <c r="D952" i="32"/>
  <c r="F952" i="32" s="1"/>
  <c r="G366" i="32"/>
  <c r="G408" i="32"/>
  <c r="G372" i="32"/>
  <c r="G414" i="32"/>
  <c r="H426" i="32"/>
  <c r="G440" i="32"/>
  <c r="G954" i="32"/>
  <c r="E952" i="32"/>
  <c r="G952" i="32" s="1"/>
  <c r="D759" i="38"/>
  <c r="E759" i="38" s="1"/>
  <c r="E426" i="32"/>
  <c r="G426" i="32" s="1"/>
  <c r="D289" i="38" l="1"/>
  <c r="E289" i="38" s="1"/>
  <c r="D276" i="38"/>
  <c r="E276" i="38" s="1"/>
  <c r="D272" i="38"/>
  <c r="E272" i="38" s="1"/>
  <c r="D302" i="38"/>
  <c r="E302" i="38" s="1"/>
  <c r="D268" i="38"/>
  <c r="E268" i="38" s="1"/>
  <c r="D265" i="38"/>
  <c r="E265" i="38" s="1"/>
  <c r="D262" i="38"/>
  <c r="E262" i="38" s="1"/>
  <c r="D258" i="38"/>
  <c r="E258" i="38" s="1"/>
  <c r="E434" i="37"/>
  <c r="D428" i="37"/>
  <c r="E428" i="37" s="1"/>
  <c r="D424" i="37"/>
  <c r="E424" i="37" s="1"/>
  <c r="D417" i="37"/>
  <c r="E417" i="37" s="1"/>
  <c r="D414" i="37"/>
  <c r="E414" i="37" s="1"/>
  <c r="D407" i="37"/>
  <c r="E407" i="37" s="1"/>
  <c r="D397" i="37"/>
  <c r="E397" i="37" s="1"/>
  <c r="D391" i="37"/>
  <c r="E391" i="37" s="1"/>
  <c r="D379" i="37"/>
  <c r="E379" i="37" s="1"/>
  <c r="D375" i="37"/>
  <c r="E375" i="37" s="1"/>
  <c r="D344" i="37"/>
  <c r="E344" i="37" s="1"/>
  <c r="D337" i="37"/>
  <c r="E337" i="37" s="1"/>
  <c r="D1969" i="35"/>
  <c r="D1961" i="35"/>
  <c r="D1955" i="35"/>
  <c r="D1950" i="35"/>
  <c r="D2102" i="35"/>
  <c r="D2097" i="35"/>
  <c r="D2093" i="35"/>
  <c r="D2089" i="35"/>
  <c r="D2082" i="35"/>
  <c r="D2085" i="35"/>
  <c r="D2079" i="35"/>
  <c r="D2071" i="35"/>
  <c r="D2047" i="35"/>
  <c r="D2033" i="35"/>
  <c r="D2042" i="35"/>
  <c r="D2039" i="35"/>
  <c r="D2029" i="35"/>
  <c r="D2018" i="35"/>
  <c r="D2013" i="35"/>
  <c r="D2009" i="35"/>
  <c r="D2002" i="35"/>
  <c r="D1990" i="35"/>
  <c r="D1984" i="35"/>
  <c r="D1944" i="35"/>
  <c r="D1943" i="35" s="1"/>
  <c r="D1919" i="35"/>
  <c r="D1914" i="35"/>
  <c r="D1876" i="35"/>
  <c r="D1910" i="35"/>
  <c r="D1871" i="35"/>
  <c r="D1854" i="35"/>
  <c r="D1841" i="35"/>
  <c r="D1837" i="35"/>
  <c r="D1833" i="35"/>
  <c r="D1830" i="35"/>
  <c r="D1823" i="35"/>
  <c r="D1817" i="35"/>
  <c r="D1813" i="35"/>
  <c r="D1806" i="35"/>
  <c r="D1803" i="35"/>
  <c r="D1796" i="35"/>
  <c r="D1786" i="35"/>
  <c r="D1780" i="35"/>
  <c r="D1768" i="35"/>
  <c r="D1733" i="35"/>
  <c r="D1726" i="35"/>
  <c r="D433" i="37" l="1"/>
  <c r="E433" i="37" s="1"/>
  <c r="D2092" i="35"/>
  <c r="D2070" i="35"/>
  <c r="D2088" i="35"/>
  <c r="D2096" i="35"/>
  <c r="D271" i="38"/>
  <c r="E271" i="38" s="1"/>
  <c r="D336" i="37"/>
  <c r="E336" i="37" s="1"/>
  <c r="D1949" i="35"/>
  <c r="D257" i="38"/>
  <c r="D2078" i="35"/>
  <c r="D2028" i="35"/>
  <c r="D1836" i="35"/>
  <c r="E257" i="38" l="1"/>
  <c r="D255" i="38"/>
  <c r="E255" i="38" s="1"/>
  <c r="D335" i="37"/>
  <c r="E335" i="37" s="1"/>
  <c r="D2077" i="35"/>
  <c r="D735" i="35"/>
  <c r="D739" i="35"/>
  <c r="D1118" i="35"/>
  <c r="D923" i="35"/>
  <c r="D467" i="35" l="1"/>
  <c r="D474" i="35"/>
  <c r="D481" i="35"/>
  <c r="D480" i="35" s="1"/>
  <c r="D463" i="35"/>
  <c r="D462" i="35" s="1"/>
  <c r="D506" i="35"/>
  <c r="D505" i="35" s="1"/>
  <c r="D522" i="35"/>
  <c r="D521" i="35" s="1"/>
  <c r="D532" i="35"/>
  <c r="D535" i="35"/>
  <c r="D538" i="35"/>
  <c r="D542" i="35"/>
  <c r="D546" i="35"/>
  <c r="D549" i="35"/>
  <c r="D553" i="35"/>
  <c r="D556" i="35"/>
  <c r="D559" i="35"/>
  <c r="D568" i="35"/>
  <c r="D571" i="35"/>
  <c r="D581" i="35"/>
  <c r="D585" i="35"/>
  <c r="D590" i="35"/>
  <c r="D593" i="35"/>
  <c r="D597" i="35"/>
  <c r="D979" i="38"/>
  <c r="D974" i="38"/>
  <c r="D969" i="38"/>
  <c r="E969" i="38" s="1"/>
  <c r="D966" i="38"/>
  <c r="D961" i="38"/>
  <c r="E961" i="38" s="1"/>
  <c r="D958" i="38"/>
  <c r="E958" i="38" s="1"/>
  <c r="D955" i="38"/>
  <c r="E955" i="38" s="1"/>
  <c r="D952" i="38"/>
  <c r="E952" i="38" s="1"/>
  <c r="D945" i="38"/>
  <c r="E945" i="38" s="1"/>
  <c r="D941" i="38"/>
  <c r="E941" i="38" s="1"/>
  <c r="D938" i="38"/>
  <c r="E938" i="38" s="1"/>
  <c r="D935" i="38"/>
  <c r="E935" i="38" s="1"/>
  <c r="D931" i="38"/>
  <c r="E931" i="38" s="1"/>
  <c r="D928" i="38"/>
  <c r="E928" i="38" s="1"/>
  <c r="D925" i="38"/>
  <c r="E925" i="38" s="1"/>
  <c r="D918" i="38"/>
  <c r="E918" i="38" s="1"/>
  <c r="D914" i="38"/>
  <c r="E914" i="38" s="1"/>
  <c r="D910" i="38"/>
  <c r="E910" i="38" s="1"/>
  <c r="D906" i="38"/>
  <c r="E906" i="38" s="1"/>
  <c r="D892" i="38"/>
  <c r="E892" i="38" s="1"/>
  <c r="D889" i="38"/>
  <c r="E889" i="38" s="1"/>
  <c r="D880" i="38"/>
  <c r="E880" i="38" s="1"/>
  <c r="D874" i="38"/>
  <c r="E874" i="38" s="1"/>
  <c r="D869" i="38"/>
  <c r="E869" i="38" s="1"/>
  <c r="D750" i="38"/>
  <c r="D746" i="38"/>
  <c r="E746" i="38" s="1"/>
  <c r="D743" i="38"/>
  <c r="E743" i="38" s="1"/>
  <c r="D739" i="38"/>
  <c r="E739" i="38" s="1"/>
  <c r="D736" i="38"/>
  <c r="E736" i="38" s="1"/>
  <c r="D732" i="38"/>
  <c r="E732" i="38" s="1"/>
  <c r="D727" i="38"/>
  <c r="E727" i="38" s="1"/>
  <c r="D721" i="38"/>
  <c r="E721" i="38" s="1"/>
  <c r="D718" i="38"/>
  <c r="E718" i="38" s="1"/>
  <c r="E708" i="38"/>
  <c r="E697" i="38"/>
  <c r="D691" i="38"/>
  <c r="E691" i="38" s="1"/>
  <c r="D686" i="38"/>
  <c r="D672" i="38"/>
  <c r="E672" i="38" s="1"/>
  <c r="D664" i="38"/>
  <c r="E664" i="38" s="1"/>
  <c r="D657" i="38"/>
  <c r="E657" i="38" s="1"/>
  <c r="D651" i="38"/>
  <c r="E651" i="38" s="1"/>
  <c r="D647" i="38"/>
  <c r="E647" i="38" s="1"/>
  <c r="D633" i="38"/>
  <c r="E633" i="38" s="1"/>
  <c r="D625" i="38"/>
  <c r="E625" i="38" s="1"/>
  <c r="D620" i="38"/>
  <c r="D614" i="38"/>
  <c r="E614" i="38" s="1"/>
  <c r="D611" i="38"/>
  <c r="E611" i="38" s="1"/>
  <c r="D608" i="38"/>
  <c r="E608" i="38" s="1"/>
  <c r="D604" i="38"/>
  <c r="D599" i="38"/>
  <c r="E599" i="38" s="1"/>
  <c r="D596" i="38"/>
  <c r="E596" i="38" s="1"/>
  <c r="D591" i="38"/>
  <c r="E591" i="38" s="1"/>
  <c r="D578" i="38"/>
  <c r="E578" i="38" s="1"/>
  <c r="D551" i="38"/>
  <c r="E551" i="38" s="1"/>
  <c r="D542" i="38"/>
  <c r="E542" i="38" s="1"/>
  <c r="D534" i="38"/>
  <c r="E534" i="38" s="1"/>
  <c r="D531" i="38"/>
  <c r="E531" i="38" s="1"/>
  <c r="D528" i="38"/>
  <c r="E528" i="38" s="1"/>
  <c r="D524" i="38"/>
  <c r="E524" i="38" s="1"/>
  <c r="D521" i="38"/>
  <c r="E521" i="38" s="1"/>
  <c r="D509" i="38"/>
  <c r="E509" i="38" s="1"/>
  <c r="D506" i="38"/>
  <c r="E506" i="38" s="1"/>
  <c r="D501" i="38"/>
  <c r="E501" i="38" s="1"/>
  <c r="D439" i="38"/>
  <c r="D434" i="38"/>
  <c r="E434" i="38" s="1"/>
  <c r="D426" i="38"/>
  <c r="E426" i="38" s="1"/>
  <c r="D414" i="38"/>
  <c r="E414" i="38" s="1"/>
  <c r="D397" i="38"/>
  <c r="E397" i="38" s="1"/>
  <c r="D390" i="38"/>
  <c r="E390" i="38" s="1"/>
  <c r="D386" i="38"/>
  <c r="E386" i="38" s="1"/>
  <c r="D383" i="38"/>
  <c r="E383" i="38" s="1"/>
  <c r="D380" i="38"/>
  <c r="E380" i="38" s="1"/>
  <c r="D374" i="38"/>
  <c r="E374" i="38" s="1"/>
  <c r="D371" i="38"/>
  <c r="E371" i="38" s="1"/>
  <c r="D364" i="38"/>
  <c r="E364" i="38" s="1"/>
  <c r="D361" i="38"/>
  <c r="E361" i="38" s="1"/>
  <c r="D350" i="38"/>
  <c r="E350" i="38" s="1"/>
  <c r="D347" i="38"/>
  <c r="E347" i="38" s="1"/>
  <c r="D340" i="38"/>
  <c r="E340" i="38" s="1"/>
  <c r="D337" i="38"/>
  <c r="E337" i="38" s="1"/>
  <c r="D333" i="38"/>
  <c r="E333" i="38" s="1"/>
  <c r="D329" i="38"/>
  <c r="E329" i="38" s="1"/>
  <c r="D321" i="38"/>
  <c r="E321" i="38" s="1"/>
  <c r="D318" i="38"/>
  <c r="E318" i="38" s="1"/>
  <c r="D315" i="38"/>
  <c r="E315" i="38" s="1"/>
  <c r="D310" i="38"/>
  <c r="E310" i="38" s="1"/>
  <c r="D306" i="38"/>
  <c r="E306" i="38" s="1"/>
  <c r="D114" i="38"/>
  <c r="E114" i="38" s="1"/>
  <c r="D108" i="38"/>
  <c r="E108" i="38" s="1"/>
  <c r="D102" i="38"/>
  <c r="E102" i="38" s="1"/>
  <c r="D97" i="38"/>
  <c r="E97" i="38" s="1"/>
  <c r="D79" i="38"/>
  <c r="D252" i="38"/>
  <c r="D247" i="38"/>
  <c r="D243" i="38"/>
  <c r="E243" i="38" s="1"/>
  <c r="D240" i="38"/>
  <c r="E240" i="38" s="1"/>
  <c r="D236" i="38"/>
  <c r="E236" i="38" s="1"/>
  <c r="D233" i="38"/>
  <c r="E233" i="38" s="1"/>
  <c r="D228" i="38"/>
  <c r="E228" i="38" s="1"/>
  <c r="D221" i="38"/>
  <c r="E221" i="38" s="1"/>
  <c r="D217" i="38"/>
  <c r="E217" i="38" s="1"/>
  <c r="D212" i="38"/>
  <c r="E212" i="38" s="1"/>
  <c r="D209" i="38"/>
  <c r="E209" i="38" s="1"/>
  <c r="D206" i="38"/>
  <c r="E206" i="38" s="1"/>
  <c r="D193" i="38"/>
  <c r="E193" i="38" s="1"/>
  <c r="D190" i="38"/>
  <c r="E190" i="38" s="1"/>
  <c r="D186" i="38"/>
  <c r="E186" i="38" s="1"/>
  <c r="D183" i="38"/>
  <c r="E183" i="38" s="1"/>
  <c r="D73" i="38"/>
  <c r="D69" i="38"/>
  <c r="E69" i="38" s="1"/>
  <c r="D65" i="38"/>
  <c r="E65" i="38" s="1"/>
  <c r="D61" i="38"/>
  <c r="E61" i="38" s="1"/>
  <c r="D56" i="38"/>
  <c r="E56" i="38" s="1"/>
  <c r="D51" i="38"/>
  <c r="E51" i="38" s="1"/>
  <c r="D47" i="38"/>
  <c r="E47" i="38" s="1"/>
  <c r="D44" i="38"/>
  <c r="E44" i="38" s="1"/>
  <c r="D41" i="38"/>
  <c r="E41" i="38" s="1"/>
  <c r="D37" i="38"/>
  <c r="E37" i="38" s="1"/>
  <c r="D27" i="38"/>
  <c r="E27" i="38" s="1"/>
  <c r="D24" i="38"/>
  <c r="E24" i="38" s="1"/>
  <c r="D177" i="38"/>
  <c r="E177" i="38" s="1"/>
  <c r="D174" i="38"/>
  <c r="E174" i="38" s="1"/>
  <c r="D170" i="38"/>
  <c r="E170" i="38" s="1"/>
  <c r="D167" i="38"/>
  <c r="E167" i="38" s="1"/>
  <c r="D162" i="38"/>
  <c r="D156" i="38"/>
  <c r="E156" i="38" s="1"/>
  <c r="D128" i="38"/>
  <c r="E128" i="38" s="1"/>
  <c r="D125" i="38"/>
  <c r="E16" i="38"/>
  <c r="D883" i="37"/>
  <c r="E1023" i="37"/>
  <c r="D1019" i="37"/>
  <c r="D1015" i="37"/>
  <c r="E1015" i="37" s="1"/>
  <c r="D1011" i="37"/>
  <c r="E1011" i="37" s="1"/>
  <c r="D1005" i="37"/>
  <c r="E1005" i="37" s="1"/>
  <c r="D1001" i="37"/>
  <c r="E1001" i="37" s="1"/>
  <c r="D994" i="37"/>
  <c r="E994" i="37" s="1"/>
  <c r="D977" i="37"/>
  <c r="E977" i="37" s="1"/>
  <c r="D968" i="37"/>
  <c r="E968" i="37" s="1"/>
  <c r="D965" i="37"/>
  <c r="D959" i="37"/>
  <c r="D955" i="37"/>
  <c r="E955" i="37" s="1"/>
  <c r="D952" i="37"/>
  <c r="E952" i="37" s="1"/>
  <c r="D948" i="37"/>
  <c r="D944" i="37"/>
  <c r="E944" i="37" s="1"/>
  <c r="D934" i="37"/>
  <c r="E934" i="37" s="1"/>
  <c r="D928" i="37"/>
  <c r="E928" i="37" s="1"/>
  <c r="D918" i="37"/>
  <c r="E918" i="37" s="1"/>
  <c r="D911" i="37"/>
  <c r="E911" i="37" s="1"/>
  <c r="D899" i="37"/>
  <c r="E899" i="37" s="1"/>
  <c r="D892" i="37"/>
  <c r="E892" i="37" s="1"/>
  <c r="D888" i="37"/>
  <c r="E888" i="37" s="1"/>
  <c r="D785" i="37"/>
  <c r="E785" i="37" s="1"/>
  <c r="D782" i="37"/>
  <c r="E782" i="37" s="1"/>
  <c r="D779" i="37"/>
  <c r="E779" i="37" s="1"/>
  <c r="D774" i="37"/>
  <c r="E774" i="37" s="1"/>
  <c r="D771" i="37"/>
  <c r="E771" i="37" s="1"/>
  <c r="D767" i="37"/>
  <c r="D762" i="37"/>
  <c r="E762" i="37" s="1"/>
  <c r="D758" i="37"/>
  <c r="D754" i="37"/>
  <c r="E746" i="37"/>
  <c r="D736" i="37"/>
  <c r="E736" i="37" s="1"/>
  <c r="D730" i="37"/>
  <c r="E730" i="37" s="1"/>
  <c r="D720" i="37"/>
  <c r="E720" i="37" s="1"/>
  <c r="D698" i="37"/>
  <c r="E698" i="37" s="1"/>
  <c r="D694" i="37"/>
  <c r="E694" i="37" s="1"/>
  <c r="D688" i="37"/>
  <c r="D682" i="37"/>
  <c r="E682" i="37" s="1"/>
  <c r="D679" i="37"/>
  <c r="E679" i="37" s="1"/>
  <c r="D676" i="37"/>
  <c r="E676" i="37" s="1"/>
  <c r="D672" i="37"/>
  <c r="E672" i="37" s="1"/>
  <c r="D668" i="37"/>
  <c r="D664" i="37"/>
  <c r="E664" i="37" s="1"/>
  <c r="D660" i="37"/>
  <c r="E660" i="37" s="1"/>
  <c r="D651" i="37"/>
  <c r="E651" i="37" s="1"/>
  <c r="D638" i="37"/>
  <c r="E638" i="37" s="1"/>
  <c r="D633" i="37"/>
  <c r="E633" i="37" s="1"/>
  <c r="D615" i="37"/>
  <c r="E615" i="37" s="1"/>
  <c r="D608" i="37"/>
  <c r="E608" i="37" s="1"/>
  <c r="D587" i="37"/>
  <c r="E587" i="37" s="1"/>
  <c r="D580" i="37"/>
  <c r="E580" i="37" s="1"/>
  <c r="E519" i="37"/>
  <c r="D515" i="37"/>
  <c r="E515" i="37" s="1"/>
  <c r="D507" i="37"/>
  <c r="E507" i="37" s="1"/>
  <c r="D504" i="37"/>
  <c r="E504" i="37" s="1"/>
  <c r="P337" i="37"/>
  <c r="E497" i="37"/>
  <c r="D492" i="37"/>
  <c r="E492" i="37" s="1"/>
  <c r="D489" i="37"/>
  <c r="E489" i="37" s="1"/>
  <c r="D475" i="37"/>
  <c r="E475" i="37" s="1"/>
  <c r="D472" i="37"/>
  <c r="E472" i="37" s="1"/>
  <c r="D469" i="37"/>
  <c r="E469" i="37" s="1"/>
  <c r="D447" i="37"/>
  <c r="E441" i="37"/>
  <c r="D176" i="37"/>
  <c r="E176" i="37" s="1"/>
  <c r="D173" i="37"/>
  <c r="D168" i="37"/>
  <c r="E168" i="37" s="1"/>
  <c r="D164" i="37"/>
  <c r="E164" i="37" s="1"/>
  <c r="D163" i="37"/>
  <c r="E163" i="37" s="1"/>
  <c r="D160" i="37"/>
  <c r="E160" i="37" s="1"/>
  <c r="D156" i="37"/>
  <c r="E156" i="37" s="1"/>
  <c r="D150" i="37"/>
  <c r="E150" i="37" s="1"/>
  <c r="D146" i="37"/>
  <c r="E146" i="37" s="1"/>
  <c r="D141" i="37"/>
  <c r="E141" i="37" s="1"/>
  <c r="D135" i="37"/>
  <c r="E135" i="37" s="1"/>
  <c r="D116" i="37"/>
  <c r="E116" i="37" s="1"/>
  <c r="D108" i="37"/>
  <c r="E108" i="37" s="1"/>
  <c r="D331" i="37"/>
  <c r="E331" i="37" s="1"/>
  <c r="D328" i="37"/>
  <c r="E328" i="37" s="1"/>
  <c r="D319" i="37"/>
  <c r="E319" i="37" s="1"/>
  <c r="D315" i="37"/>
  <c r="E315" i="37" s="1"/>
  <c r="D312" i="37"/>
  <c r="E312" i="37" s="1"/>
  <c r="D307" i="37"/>
  <c r="E307" i="37" s="1"/>
  <c r="D303" i="37"/>
  <c r="E303" i="37" s="1"/>
  <c r="D300" i="37"/>
  <c r="E300" i="37" s="1"/>
  <c r="D296" i="37"/>
  <c r="E296" i="37" s="1"/>
  <c r="D292" i="37"/>
  <c r="E292" i="37" s="1"/>
  <c r="D288" i="37"/>
  <c r="E288" i="37" s="1"/>
  <c r="D276" i="37"/>
  <c r="E276" i="37" s="1"/>
  <c r="D269" i="37"/>
  <c r="E269" i="37" s="1"/>
  <c r="D266" i="37"/>
  <c r="E266" i="37" s="1"/>
  <c r="D102" i="37"/>
  <c r="E102" i="37" s="1"/>
  <c r="D98" i="37"/>
  <c r="E98" i="37" s="1"/>
  <c r="D92" i="37"/>
  <c r="E92" i="37" s="1"/>
  <c r="D88" i="37"/>
  <c r="E88" i="37" s="1"/>
  <c r="D82" i="37"/>
  <c r="E82" i="37" s="1"/>
  <c r="D78" i="37"/>
  <c r="E78" i="37" s="1"/>
  <c r="D75" i="37"/>
  <c r="E75" i="37" s="1"/>
  <c r="D66" i="37"/>
  <c r="E66" i="37" s="1"/>
  <c r="D60" i="37"/>
  <c r="E60" i="37" s="1"/>
  <c r="D55" i="37"/>
  <c r="E55" i="37" s="1"/>
  <c r="D42" i="37"/>
  <c r="E42" i="37" s="1"/>
  <c r="D38" i="37"/>
  <c r="E38" i="37" s="1"/>
  <c r="D258" i="37"/>
  <c r="E258" i="37" s="1"/>
  <c r="D254" i="37"/>
  <c r="E254" i="37" s="1"/>
  <c r="D251" i="37"/>
  <c r="E251" i="37" s="1"/>
  <c r="D246" i="37"/>
  <c r="E246" i="37" s="1"/>
  <c r="D229" i="37"/>
  <c r="E229" i="37" s="1"/>
  <c r="D224" i="37"/>
  <c r="E224" i="37" s="1"/>
  <c r="D196" i="37"/>
  <c r="E196" i="37" s="1"/>
  <c r="D181" i="37"/>
  <c r="E181" i="37" s="1"/>
  <c r="R179" i="37"/>
  <c r="Q27" i="37"/>
  <c r="S25" i="37"/>
  <c r="S24" i="37"/>
  <c r="S23" i="37"/>
  <c r="S22" i="37"/>
  <c r="S21" i="37"/>
  <c r="S20" i="37"/>
  <c r="S19" i="37"/>
  <c r="E18" i="37"/>
  <c r="E15" i="37"/>
  <c r="E4021" i="35"/>
  <c r="E4020" i="35"/>
  <c r="D3990" i="35"/>
  <c r="D3876" i="35"/>
  <c r="D3861" i="35" s="1"/>
  <c r="D3844" i="35"/>
  <c r="D3835" i="35"/>
  <c r="D3834" i="35" s="1"/>
  <c r="D3831" i="35"/>
  <c r="D3827" i="35"/>
  <c r="D3826" i="35" s="1"/>
  <c r="D3823" i="35"/>
  <c r="D3822" i="35" s="1"/>
  <c r="D3819" i="35"/>
  <c r="D3818" i="35" s="1"/>
  <c r="D3811" i="35"/>
  <c r="D3810" i="35" s="1"/>
  <c r="D3807" i="35"/>
  <c r="D3803" i="35"/>
  <c r="D3802" i="35" s="1"/>
  <c r="D3799" i="35"/>
  <c r="D3798" i="35" s="1"/>
  <c r="D3795" i="35"/>
  <c r="D3794" i="35" s="1"/>
  <c r="D3791" i="35"/>
  <c r="D3787" i="35"/>
  <c r="D3786" i="35" s="1"/>
  <c r="D2861" i="35"/>
  <c r="D2665" i="35"/>
  <c r="D2661" i="35" s="1"/>
  <c r="D2621" i="35"/>
  <c r="D2612" i="35"/>
  <c r="D2569" i="35"/>
  <c r="D2562" i="35" s="1"/>
  <c r="D4749" i="35"/>
  <c r="D4726" i="35"/>
  <c r="D4721" i="35"/>
  <c r="D4720" i="35" s="1"/>
  <c r="D4717" i="35"/>
  <c r="D4713" i="35"/>
  <c r="D4710" i="35"/>
  <c r="D4707" i="35"/>
  <c r="D4703" i="35"/>
  <c r="D4700" i="35"/>
  <c r="D4697" i="35"/>
  <c r="D4694" i="35"/>
  <c r="D4691" i="35"/>
  <c r="D4687" i="35"/>
  <c r="D4683" i="35"/>
  <c r="D4680" i="35"/>
  <c r="D4676" i="35"/>
  <c r="D4671" i="35"/>
  <c r="D4668" i="35"/>
  <c r="D4664" i="35"/>
  <c r="D4661" i="35"/>
  <c r="D4658" i="35"/>
  <c r="D4655" i="35"/>
  <c r="D4650" i="35"/>
  <c r="D4647" i="35"/>
  <c r="D4643" i="35"/>
  <c r="D4640" i="35"/>
  <c r="D4637" i="35"/>
  <c r="D4634" i="35"/>
  <c r="D4630" i="35"/>
  <c r="D4626" i="35"/>
  <c r="D4623" i="35"/>
  <c r="D4620" i="35"/>
  <c r="D4617" i="35"/>
  <c r="D4612" i="35"/>
  <c r="D4609" i="35"/>
  <c r="D4601" i="35"/>
  <c r="D4597" i="35"/>
  <c r="D4594" i="35"/>
  <c r="D4590" i="35"/>
  <c r="D4587" i="35"/>
  <c r="D4584" i="35"/>
  <c r="D4580" i="35"/>
  <c r="D4575" i="35"/>
  <c r="D4569" i="35"/>
  <c r="D4566" i="35"/>
  <c r="D4563" i="35"/>
  <c r="D4556" i="35"/>
  <c r="D4552" i="35"/>
  <c r="D4549" i="35"/>
  <c r="D4544" i="35"/>
  <c r="D4543" i="35" s="1"/>
  <c r="D4540" i="35"/>
  <c r="D4539" i="35" s="1"/>
  <c r="D4536" i="35"/>
  <c r="D4532" i="35"/>
  <c r="D4531" i="35" s="1"/>
  <c r="D4527" i="35"/>
  <c r="D4526" i="35" s="1"/>
  <c r="D4523" i="35"/>
  <c r="D4520" i="35"/>
  <c r="D4516" i="35"/>
  <c r="D4515" i="35" s="1"/>
  <c r="D4512" i="35"/>
  <c r="D4509" i="35"/>
  <c r="D4506" i="35"/>
  <c r="D4502" i="35"/>
  <c r="D4499" i="35"/>
  <c r="D4495" i="35"/>
  <c r="D4492" i="35"/>
  <c r="D4487" i="35"/>
  <c r="D4484" i="35"/>
  <c r="D4481" i="35"/>
  <c r="D4478" i="35"/>
  <c r="D4471" i="35"/>
  <c r="D4467" i="35"/>
  <c r="D4464" i="35"/>
  <c r="D4461" i="35"/>
  <c r="D4457" i="35"/>
  <c r="D4454" i="35"/>
  <c r="D4451" i="35"/>
  <c r="D4447" i="35"/>
  <c r="D4443" i="35"/>
  <c r="D4437" i="35"/>
  <c r="D4433" i="35"/>
  <c r="D4426" i="35"/>
  <c r="D4409" i="35"/>
  <c r="D4400" i="35"/>
  <c r="D4397" i="35"/>
  <c r="D4391" i="35"/>
  <c r="D4388" i="35"/>
  <c r="D4384" i="35"/>
  <c r="D4381" i="35"/>
  <c r="D4376" i="35"/>
  <c r="D4370" i="35"/>
  <c r="D4364" i="35"/>
  <c r="D4361" i="35"/>
  <c r="D4355" i="35"/>
  <c r="D4352" i="35"/>
  <c r="D4348" i="35"/>
  <c r="D4343" i="35"/>
  <c r="D4339" i="35"/>
  <c r="D4336" i="35"/>
  <c r="D4329" i="35"/>
  <c r="D4325" i="35"/>
  <c r="D4322" i="35"/>
  <c r="D4318" i="35"/>
  <c r="D4312" i="35"/>
  <c r="D4308" i="35"/>
  <c r="D4307" i="35" s="1"/>
  <c r="D4304" i="35"/>
  <c r="D4301" i="35"/>
  <c r="D4296" i="35"/>
  <c r="D4290" i="35"/>
  <c r="D4270" i="35"/>
  <c r="D4264" i="35"/>
  <c r="D4263" i="35" s="1"/>
  <c r="D4250" i="35"/>
  <c r="D4241" i="35"/>
  <c r="D4236" i="35"/>
  <c r="D4225" i="35"/>
  <c r="D4220" i="35"/>
  <c r="D4216" i="35"/>
  <c r="D4212" i="35"/>
  <c r="D4208" i="35"/>
  <c r="D4194" i="35"/>
  <c r="D4191" i="35"/>
  <c r="D4182" i="35"/>
  <c r="D4176" i="35"/>
  <c r="D4171" i="35"/>
  <c r="D4167" i="35"/>
  <c r="D4157" i="35"/>
  <c r="D4151" i="35"/>
  <c r="D4141" i="35"/>
  <c r="D4134" i="35"/>
  <c r="D4122" i="35"/>
  <c r="D4115" i="35"/>
  <c r="D4111" i="35"/>
  <c r="D3688" i="35"/>
  <c r="D3684" i="35"/>
  <c r="D3680" i="35"/>
  <c r="D3677" i="35"/>
  <c r="D3667" i="35"/>
  <c r="D3664" i="35"/>
  <c r="D3660" i="35"/>
  <c r="D3659" i="35" s="1"/>
  <c r="D3655" i="35"/>
  <c r="D3652" i="35"/>
  <c r="D3647" i="35"/>
  <c r="D3644" i="35"/>
  <c r="D3638" i="35"/>
  <c r="D3634" i="35"/>
  <c r="D3630" i="35"/>
  <c r="D3623" i="35"/>
  <c r="D3619" i="35"/>
  <c r="D3615" i="35"/>
  <c r="D3611" i="35"/>
  <c r="D3608" i="35"/>
  <c r="D3603" i="35"/>
  <c r="D3599" i="35"/>
  <c r="D3595" i="35"/>
  <c r="D3594" i="35" s="1"/>
  <c r="D3590" i="35"/>
  <c r="D3587" i="35"/>
  <c r="D3584" i="35"/>
  <c r="D3580" i="35"/>
  <c r="D3577" i="35"/>
  <c r="D3573" i="35"/>
  <c r="D3570" i="35"/>
  <c r="D3566" i="35"/>
  <c r="D3562" i="35"/>
  <c r="D3558" i="35"/>
  <c r="D3553" i="35"/>
  <c r="D3547" i="35"/>
  <c r="D3544" i="35"/>
  <c r="D3540" i="35"/>
  <c r="D3539" i="35" s="1"/>
  <c r="D3530" i="35"/>
  <c r="D3514" i="35"/>
  <c r="D3510" i="35"/>
  <c r="D3507" i="35"/>
  <c r="D3504" i="35"/>
  <c r="D3501" i="35"/>
  <c r="D3498" i="35"/>
  <c r="D3494" i="35"/>
  <c r="D3488" i="35"/>
  <c r="D3483" i="35"/>
  <c r="D3469" i="35"/>
  <c r="D3461" i="35"/>
  <c r="D3454" i="35"/>
  <c r="D3448" i="35"/>
  <c r="D3444" i="35"/>
  <c r="D3430" i="35"/>
  <c r="D3422" i="35"/>
  <c r="D3417" i="35"/>
  <c r="D3406" i="35"/>
  <c r="D3400" i="35"/>
  <c r="D3390" i="35"/>
  <c r="D3368" i="35"/>
  <c r="D3364" i="35"/>
  <c r="D3356" i="35"/>
  <c r="D3353" i="35" s="1"/>
  <c r="D3348" i="35"/>
  <c r="D3347" i="35" s="1"/>
  <c r="D3341" i="35"/>
  <c r="D3334" i="35"/>
  <c r="D3328" i="35"/>
  <c r="D3323" i="35"/>
  <c r="D3319" i="35"/>
  <c r="D3316" i="35"/>
  <c r="D3313" i="35"/>
  <c r="D3303" i="35"/>
  <c r="D3297" i="35"/>
  <c r="D3279" i="35"/>
  <c r="D3245" i="35"/>
  <c r="D3239" i="35"/>
  <c r="D3234" i="35"/>
  <c r="D3229" i="35"/>
  <c r="D3224" i="35"/>
  <c r="D3220" i="35"/>
  <c r="D3216" i="35"/>
  <c r="D3213" i="35"/>
  <c r="D3209" i="35"/>
  <c r="D3206" i="35"/>
  <c r="D3202" i="35"/>
  <c r="D3199" i="35"/>
  <c r="D3194" i="35"/>
  <c r="D3190" i="35"/>
  <c r="D3189" i="35" s="1"/>
  <c r="D3181" i="35"/>
  <c r="D3175" i="35"/>
  <c r="D3171" i="35"/>
  <c r="D3162" i="35"/>
  <c r="D3154" i="35"/>
  <c r="D3147" i="35"/>
  <c r="D3141" i="35"/>
  <c r="D3134" i="35"/>
  <c r="D3131" i="35"/>
  <c r="D3126" i="35"/>
  <c r="D3121" i="35"/>
  <c r="D3116" i="35"/>
  <c r="D3115" i="35" s="1"/>
  <c r="D3111" i="35"/>
  <c r="D3108" i="35"/>
  <c r="D3104" i="35"/>
  <c r="D3100" i="35"/>
  <c r="D3081" i="35"/>
  <c r="D3048" i="35"/>
  <c r="D3044" i="35"/>
  <c r="D3018" i="35"/>
  <c r="D3009" i="35"/>
  <c r="D3000" i="35"/>
  <c r="D2996" i="35"/>
  <c r="D2991" i="35"/>
  <c r="D2983" i="35"/>
  <c r="D2980" i="35"/>
  <c r="D2977" i="35"/>
  <c r="D2973" i="35"/>
  <c r="D2970" i="35"/>
  <c r="D2958" i="35"/>
  <c r="D2955" i="35"/>
  <c r="D2950" i="35"/>
  <c r="D2941" i="35"/>
  <c r="D2928" i="35"/>
  <c r="D2923" i="35"/>
  <c r="D2905" i="35"/>
  <c r="D2898" i="35"/>
  <c r="D2877" i="35"/>
  <c r="D2870" i="35"/>
  <c r="D2553" i="35"/>
  <c r="D2549" i="35"/>
  <c r="D2546" i="35"/>
  <c r="D2542" i="35"/>
  <c r="D2537" i="35"/>
  <c r="D2533" i="35"/>
  <c r="D2532" i="35" s="1"/>
  <c r="D2528" i="35"/>
  <c r="D2525" i="35"/>
  <c r="D2520" i="35"/>
  <c r="D2519" i="35" s="1"/>
  <c r="D2516" i="35"/>
  <c r="D2512" i="35"/>
  <c r="D2503" i="35"/>
  <c r="D2465" i="35"/>
  <c r="D2461" i="35"/>
  <c r="D2453" i="35"/>
  <c r="D2441" i="35"/>
  <c r="D2424" i="35"/>
  <c r="D2417" i="35"/>
  <c r="D2413" i="35"/>
  <c r="D2410" i="35"/>
  <c r="D2407" i="35"/>
  <c r="D2401" i="35"/>
  <c r="D2398" i="35"/>
  <c r="D2394" i="35"/>
  <c r="D2386" i="35"/>
  <c r="D2383" i="35"/>
  <c r="D2108" i="35"/>
  <c r="D2101" i="35" s="1"/>
  <c r="D2100" i="35" s="1"/>
  <c r="D2067" i="35"/>
  <c r="D2064" i="35"/>
  <c r="D2060" i="35"/>
  <c r="D2059" i="35" s="1"/>
  <c r="D2055" i="35"/>
  <c r="D2046" i="35" s="1"/>
  <c r="D2025" i="35"/>
  <c r="D2017" i="35" s="1"/>
  <c r="D2006" i="35"/>
  <c r="D2005" i="35" s="1"/>
  <c r="D1999" i="35"/>
  <c r="D1998" i="35" s="1"/>
  <c r="D1980" i="35"/>
  <c r="D1977" i="35"/>
  <c r="D1974" i="35"/>
  <c r="D1940" i="35"/>
  <c r="D1937" i="35"/>
  <c r="D1934" i="35"/>
  <c r="D1930" i="35"/>
  <c r="D1927" i="35"/>
  <c r="D1924" i="35"/>
  <c r="D1868" i="35"/>
  <c r="D1865" i="35"/>
  <c r="D1827" i="35"/>
  <c r="D1822" i="35" s="1"/>
  <c r="D1764" i="35"/>
  <c r="D1725" i="35" s="1"/>
  <c r="Q1741" i="35"/>
  <c r="Q1740" i="35" s="1"/>
  <c r="D2372" i="35"/>
  <c r="D2369" i="35"/>
  <c r="D2366" i="35"/>
  <c r="D2361" i="35"/>
  <c r="D2355" i="35"/>
  <c r="D2351" i="35"/>
  <c r="D2347" i="35"/>
  <c r="D2343" i="35"/>
  <c r="D2340" i="35"/>
  <c r="D2333" i="35"/>
  <c r="D2325" i="35"/>
  <c r="D2322" i="35"/>
  <c r="D2318" i="35"/>
  <c r="D2312" i="35"/>
  <c r="D2305" i="35"/>
  <c r="D2302" i="35"/>
  <c r="D2296" i="35"/>
  <c r="D2291" i="35"/>
  <c r="D2287" i="35"/>
  <c r="D2284" i="35"/>
  <c r="D2283" i="35" s="1"/>
  <c r="D2280" i="35"/>
  <c r="D2277" i="35"/>
  <c r="D2274" i="35"/>
  <c r="D2270" i="35"/>
  <c r="D2267" i="35"/>
  <c r="D2262" i="35"/>
  <c r="D2257" i="35"/>
  <c r="D2251" i="35"/>
  <c r="O2242" i="35"/>
  <c r="D2242" i="35"/>
  <c r="D2237" i="35"/>
  <c r="D2233" i="35"/>
  <c r="D2229" i="35"/>
  <c r="D2225" i="35"/>
  <c r="D2224" i="35" s="1"/>
  <c r="D2220" i="35"/>
  <c r="D2217" i="35"/>
  <c r="D2209" i="35"/>
  <c r="D2206" i="35"/>
  <c r="D2202" i="35"/>
  <c r="D2198" i="35"/>
  <c r="D2190" i="35"/>
  <c r="D2187" i="35"/>
  <c r="D2184" i="35"/>
  <c r="D2179" i="35"/>
  <c r="D2175" i="35"/>
  <c r="D2171" i="35"/>
  <c r="D2165" i="35"/>
  <c r="D2162" i="35"/>
  <c r="D2148" i="35"/>
  <c r="D2145" i="35"/>
  <c r="D2142" i="35"/>
  <c r="D2120" i="35"/>
  <c r="D2114" i="35"/>
  <c r="Q2111" i="35"/>
  <c r="D921" i="35"/>
  <c r="D915" i="35"/>
  <c r="D912" i="35"/>
  <c r="D907" i="35"/>
  <c r="D903" i="35"/>
  <c r="D902" i="35" s="1"/>
  <c r="D899" i="35"/>
  <c r="D898" i="35" s="1"/>
  <c r="D895" i="35"/>
  <c r="D894" i="35" s="1"/>
  <c r="D891" i="35"/>
  <c r="D890" i="35" s="1"/>
  <c r="D887" i="35"/>
  <c r="D886" i="35" s="1"/>
  <c r="D883" i="35"/>
  <c r="D882" i="35" s="1"/>
  <c r="D879" i="35"/>
  <c r="D878" i="35" s="1"/>
  <c r="D875" i="35"/>
  <c r="D874" i="35" s="1"/>
  <c r="D871" i="35"/>
  <c r="D870" i="35" s="1"/>
  <c r="D867" i="35"/>
  <c r="D866" i="35" s="1"/>
  <c r="D863" i="35"/>
  <c r="D862" i="35" s="1"/>
  <c r="D856" i="35"/>
  <c r="D855" i="35" s="1"/>
  <c r="D846" i="35"/>
  <c r="D845" i="35" s="1"/>
  <c r="D842" i="35"/>
  <c r="D841" i="35" s="1"/>
  <c r="D836" i="35"/>
  <c r="D835" i="35" s="1"/>
  <c r="D832" i="35"/>
  <c r="D829" i="35"/>
  <c r="D825" i="35"/>
  <c r="D817" i="35"/>
  <c r="D813" i="35"/>
  <c r="D812" i="35" s="1"/>
  <c r="D809" i="35"/>
  <c r="D808" i="35" s="1"/>
  <c r="D805" i="35"/>
  <c r="D801" i="35"/>
  <c r="D792" i="35"/>
  <c r="D787" i="35"/>
  <c r="D784" i="35"/>
  <c r="D781" i="35"/>
  <c r="D777" i="35"/>
  <c r="D773" i="35"/>
  <c r="D770" i="35"/>
  <c r="D766" i="35"/>
  <c r="D762" i="35"/>
  <c r="D761" i="35" s="1"/>
  <c r="D758" i="35"/>
  <c r="D757" i="35" s="1"/>
  <c r="D753" i="35"/>
  <c r="D752" i="35" s="1"/>
  <c r="D742" i="35"/>
  <c r="D731" i="35"/>
  <c r="D722" i="35"/>
  <c r="D721" i="35" s="1"/>
  <c r="D717" i="35"/>
  <c r="D711" i="35"/>
  <c r="D706" i="35"/>
  <c r="D688" i="35"/>
  <c r="D684" i="35"/>
  <c r="D678" i="35"/>
  <c r="D674" i="35"/>
  <c r="D669" i="35"/>
  <c r="D663" i="35"/>
  <c r="D644" i="35"/>
  <c r="D636" i="35"/>
  <c r="D1721" i="35"/>
  <c r="D1718" i="35"/>
  <c r="D1715" i="35"/>
  <c r="D1712" i="35"/>
  <c r="D1708" i="35"/>
  <c r="D1703" i="35"/>
  <c r="D1697" i="35"/>
  <c r="D1694" i="35"/>
  <c r="D1690" i="35"/>
  <c r="D1689" i="35" s="1"/>
  <c r="D1686" i="35"/>
  <c r="D1685" i="35" s="1"/>
  <c r="D1682" i="35"/>
  <c r="D1681" i="35" s="1"/>
  <c r="D1677" i="35"/>
  <c r="D1676" i="35" s="1"/>
  <c r="D1673" i="35"/>
  <c r="D1670" i="35"/>
  <c r="D1666" i="35"/>
  <c r="D1665" i="35" s="1"/>
  <c r="D1662" i="35"/>
  <c r="D1661" i="35" s="1"/>
  <c r="D1658" i="35"/>
  <c r="D1657" i="35" s="1"/>
  <c r="D1654" i="35"/>
  <c r="D1653" i="35" s="1"/>
  <c r="D1650" i="35"/>
  <c r="D1649" i="35" s="1"/>
  <c r="D1646" i="35"/>
  <c r="D1645" i="35" s="1"/>
  <c r="D1642" i="35"/>
  <c r="D1641" i="35" s="1"/>
  <c r="D1638" i="35"/>
  <c r="D1637" i="35" s="1"/>
  <c r="D1634" i="35"/>
  <c r="D1633" i="35" s="1"/>
  <c r="D1630" i="35"/>
  <c r="D1629" i="35" s="1"/>
  <c r="D1626" i="35"/>
  <c r="D1625" i="35" s="1"/>
  <c r="D1622" i="35"/>
  <c r="D1621" i="35" s="1"/>
  <c r="D1618" i="35"/>
  <c r="D1615" i="35"/>
  <c r="D1612" i="35"/>
  <c r="D1608" i="35"/>
  <c r="D1604" i="35"/>
  <c r="D1600" i="35"/>
  <c r="D1597" i="35"/>
  <c r="D1594" i="35"/>
  <c r="D1588" i="35"/>
  <c r="D1585" i="35"/>
  <c r="D1581" i="35"/>
  <c r="D1578" i="35"/>
  <c r="D1573" i="35"/>
  <c r="D1570" i="35"/>
  <c r="D1567" i="35"/>
  <c r="D1563" i="35"/>
  <c r="D1551" i="35"/>
  <c r="D1545" i="35"/>
  <c r="D1541" i="35"/>
  <c r="D1536" i="35"/>
  <c r="D1532" i="35"/>
  <c r="D1528" i="35"/>
  <c r="D1525" i="35"/>
  <c r="D1520" i="35"/>
  <c r="D1513" i="35"/>
  <c r="D1510" i="35"/>
  <c r="D1507" i="35"/>
  <c r="D1503" i="35"/>
  <c r="D1500" i="35"/>
  <c r="D1492" i="35"/>
  <c r="D1488" i="35"/>
  <c r="D1483" i="35"/>
  <c r="D1479" i="35"/>
  <c r="D1476" i="35"/>
  <c r="D1470" i="35"/>
  <c r="D1467" i="35"/>
  <c r="D1463" i="35"/>
  <c r="D1458" i="35"/>
  <c r="D1454" i="35"/>
  <c r="D1449" i="35"/>
  <c r="D1444" i="35"/>
  <c r="D1439" i="35"/>
  <c r="D1438" i="35" s="1"/>
  <c r="D1435" i="35"/>
  <c r="D1432" i="35"/>
  <c r="D1429" i="35"/>
  <c r="D1426" i="35"/>
  <c r="D1422" i="35"/>
  <c r="D1419" i="35"/>
  <c r="D1416" i="35"/>
  <c r="E1414" i="35"/>
  <c r="D1413" i="35"/>
  <c r="D1410" i="35"/>
  <c r="D1407" i="35"/>
  <c r="D1404" i="35"/>
  <c r="D1400" i="35"/>
  <c r="D1395" i="35"/>
  <c r="D1392" i="35"/>
  <c r="D1389" i="35"/>
  <c r="D1380" i="35"/>
  <c r="D1375" i="35"/>
  <c r="D1372" i="35"/>
  <c r="D1364" i="35"/>
  <c r="D1360" i="35"/>
  <c r="D1357" i="35"/>
  <c r="D1351" i="35"/>
  <c r="D1347" i="35"/>
  <c r="D1344" i="35"/>
  <c r="D1341" i="35"/>
  <c r="D1337" i="35"/>
  <c r="D1336" i="35" s="1"/>
  <c r="D1333" i="35"/>
  <c r="D1328" i="35"/>
  <c r="D1325" i="35"/>
  <c r="D1322" i="35"/>
  <c r="D1319" i="35"/>
  <c r="D1314" i="35"/>
  <c r="D1311" i="35"/>
  <c r="D1308" i="35"/>
  <c r="D1304" i="35"/>
  <c r="D1303" i="35" s="1"/>
  <c r="D1300" i="35"/>
  <c r="D1297" i="35"/>
  <c r="D1293" i="35"/>
  <c r="D1290" i="35"/>
  <c r="D1285" i="35"/>
  <c r="D1278" i="35"/>
  <c r="D1274" i="35"/>
  <c r="D1269" i="35"/>
  <c r="D1266" i="35"/>
  <c r="D1263" i="35"/>
  <c r="D1250" i="35"/>
  <c r="D1247" i="35"/>
  <c r="D1243" i="35"/>
  <c r="D1240" i="35"/>
  <c r="D1236" i="35"/>
  <c r="D1232" i="35"/>
  <c r="D1228" i="35"/>
  <c r="D1216" i="35"/>
  <c r="D1209" i="35"/>
  <c r="D1206" i="35"/>
  <c r="D630" i="35"/>
  <c r="D629" i="35" s="1"/>
  <c r="D624" i="35"/>
  <c r="D623" i="35" s="1"/>
  <c r="D620" i="35"/>
  <c r="D617" i="35"/>
  <c r="D614" i="35"/>
  <c r="D610" i="35"/>
  <c r="D609" i="35" s="1"/>
  <c r="D606" i="35"/>
  <c r="D605" i="35" s="1"/>
  <c r="D526" i="35"/>
  <c r="D525" i="35" s="1"/>
  <c r="D518" i="35"/>
  <c r="D515" i="35"/>
  <c r="D510" i="35"/>
  <c r="D502" i="35"/>
  <c r="D498" i="35"/>
  <c r="D493" i="35"/>
  <c r="D490" i="35"/>
  <c r="D485" i="35"/>
  <c r="D459" i="35"/>
  <c r="D456" i="35"/>
  <c r="D453" i="35"/>
  <c r="D449" i="35"/>
  <c r="D448" i="35" s="1"/>
  <c r="D445" i="35"/>
  <c r="D441" i="35"/>
  <c r="D436" i="35"/>
  <c r="D431" i="35"/>
  <c r="D427" i="35"/>
  <c r="O424" i="35"/>
  <c r="D424" i="35"/>
  <c r="D421" i="35"/>
  <c r="D417" i="35"/>
  <c r="D407" i="35"/>
  <c r="D404" i="35"/>
  <c r="D400" i="35"/>
  <c r="D397" i="35"/>
  <c r="D388" i="35"/>
  <c r="D382" i="35"/>
  <c r="O377" i="35"/>
  <c r="D377" i="35"/>
  <c r="E374" i="35"/>
  <c r="D364" i="35"/>
  <c r="D360" i="35"/>
  <c r="D1200" i="35"/>
  <c r="D1199" i="35" s="1"/>
  <c r="D1196" i="35"/>
  <c r="D1195" i="35" s="1"/>
  <c r="D1192" i="35"/>
  <c r="D1189" i="35"/>
  <c r="D1186" i="35"/>
  <c r="D1180" i="35"/>
  <c r="D1177" i="35"/>
  <c r="D1163" i="35"/>
  <c r="D1126" i="35"/>
  <c r="D1120" i="35"/>
  <c r="D1117" i="35"/>
  <c r="D1113" i="35"/>
  <c r="D1109" i="35"/>
  <c r="D1105" i="35"/>
  <c r="D1101" i="35"/>
  <c r="D1097" i="35"/>
  <c r="D1094" i="35"/>
  <c r="D1091" i="35"/>
  <c r="D1087" i="35"/>
  <c r="D1084" i="35"/>
  <c r="D1079" i="35"/>
  <c r="D1071" i="35"/>
  <c r="D1066" i="35"/>
  <c r="D1061" i="35"/>
  <c r="D1049" i="35"/>
  <c r="D1044" i="35"/>
  <c r="D1040" i="35"/>
  <c r="D1037" i="35"/>
  <c r="D1032" i="35"/>
  <c r="D1031" i="35" s="1"/>
  <c r="D1026" i="35"/>
  <c r="D998" i="35"/>
  <c r="D995" i="35"/>
  <c r="D978" i="35"/>
  <c r="D973" i="35"/>
  <c r="D945" i="35"/>
  <c r="P930" i="35"/>
  <c r="D930" i="35"/>
  <c r="D297" i="35"/>
  <c r="D296" i="35" s="1"/>
  <c r="D293" i="35"/>
  <c r="D289" i="35"/>
  <c r="D283" i="35"/>
  <c r="D277" i="35"/>
  <c r="D274" i="35"/>
  <c r="D267" i="35"/>
  <c r="D264" i="35"/>
  <c r="D261" i="35"/>
  <c r="D256" i="35"/>
  <c r="D252" i="35"/>
  <c r="D245" i="35"/>
  <c r="D240" i="35"/>
  <c r="D235" i="35"/>
  <c r="D232" i="35"/>
  <c r="D221" i="35"/>
  <c r="D215" i="35"/>
  <c r="D207" i="35"/>
  <c r="D197" i="35"/>
  <c r="D189" i="35"/>
  <c r="D184" i="35"/>
  <c r="D180" i="35"/>
  <c r="D168" i="35"/>
  <c r="D159" i="35"/>
  <c r="D152" i="35"/>
  <c r="D135" i="35"/>
  <c r="D132" i="35"/>
  <c r="D128" i="35"/>
  <c r="D333" i="35"/>
  <c r="D107" i="35"/>
  <c r="D97" i="35"/>
  <c r="D87" i="35"/>
  <c r="D74" i="35"/>
  <c r="D66" i="35"/>
  <c r="D59" i="35"/>
  <c r="D52" i="35"/>
  <c r="D46" i="35"/>
  <c r="D34" i="35"/>
  <c r="D30" i="35"/>
  <c r="D29" i="35" s="1"/>
  <c r="D26" i="35"/>
  <c r="D23" i="35"/>
  <c r="S21" i="35"/>
  <c r="S20" i="35"/>
  <c r="S19" i="35"/>
  <c r="S18" i="35"/>
  <c r="D17" i="35"/>
  <c r="D15" i="35" s="1"/>
  <c r="M14" i="35"/>
  <c r="E447" i="37" l="1"/>
  <c r="D440" i="37"/>
  <c r="E758" i="37"/>
  <c r="D757" i="37"/>
  <c r="E965" i="37"/>
  <c r="D964" i="37"/>
  <c r="E620" i="38"/>
  <c r="D619" i="38"/>
  <c r="E619" i="38" s="1"/>
  <c r="E686" i="38"/>
  <c r="D685" i="38"/>
  <c r="E685" i="38" s="1"/>
  <c r="E125" i="38"/>
  <c r="D124" i="38"/>
  <c r="E124" i="38" s="1"/>
  <c r="E79" i="38"/>
  <c r="D78" i="38"/>
  <c r="E78" i="38" s="1"/>
  <c r="D687" i="37"/>
  <c r="E687" i="37" s="1"/>
  <c r="E688" i="37"/>
  <c r="D947" i="37"/>
  <c r="E947" i="37" s="1"/>
  <c r="E948" i="37"/>
  <c r="D1018" i="37"/>
  <c r="E1018" i="37" s="1"/>
  <c r="E1019" i="37"/>
  <c r="D766" i="37"/>
  <c r="E766" i="37" s="1"/>
  <c r="E767" i="37"/>
  <c r="D882" i="37"/>
  <c r="E882" i="37" s="1"/>
  <c r="E883" i="37"/>
  <c r="D667" i="37"/>
  <c r="E667" i="37" s="1"/>
  <c r="E668" i="37"/>
  <c r="D753" i="37"/>
  <c r="E753" i="37" s="1"/>
  <c r="E754" i="37"/>
  <c r="D958" i="37"/>
  <c r="E958" i="37" s="1"/>
  <c r="E959" i="37"/>
  <c r="D246" i="38"/>
  <c r="E246" i="38" s="1"/>
  <c r="E247" i="38"/>
  <c r="D753" i="38"/>
  <c r="E753" i="38" s="1"/>
  <c r="E754" i="38"/>
  <c r="D978" i="38"/>
  <c r="E979" i="38"/>
  <c r="D161" i="38"/>
  <c r="E161" i="38" s="1"/>
  <c r="E162" i="38"/>
  <c r="D72" i="38"/>
  <c r="E72" i="38" s="1"/>
  <c r="E73" i="38"/>
  <c r="D251" i="38"/>
  <c r="E251" i="38" s="1"/>
  <c r="E252" i="38"/>
  <c r="D603" i="38"/>
  <c r="E603" i="38" s="1"/>
  <c r="E604" i="38"/>
  <c r="D965" i="38"/>
  <c r="E965" i="38" s="1"/>
  <c r="E966" i="38"/>
  <c r="D749" i="38"/>
  <c r="E749" i="38" s="1"/>
  <c r="E750" i="38"/>
  <c r="D973" i="38"/>
  <c r="E973" i="38" s="1"/>
  <c r="E974" i="38"/>
  <c r="D438" i="38"/>
  <c r="E438" i="38" s="1"/>
  <c r="E439" i="38"/>
  <c r="D101" i="37"/>
  <c r="E101" i="37" s="1"/>
  <c r="D87" i="37"/>
  <c r="E87" i="37" s="1"/>
  <c r="D167" i="37"/>
  <c r="E167" i="37" s="1"/>
  <c r="E440" i="37"/>
  <c r="D159" i="37"/>
  <c r="E159" i="37" s="1"/>
  <c r="D318" i="37"/>
  <c r="E318" i="37" s="1"/>
  <c r="D91" i="37"/>
  <c r="E91" i="37" s="1"/>
  <c r="D97" i="37"/>
  <c r="E97" i="37" s="1"/>
  <c r="D172" i="37"/>
  <c r="E172" i="37" s="1"/>
  <c r="E173" i="37"/>
  <c r="D58" i="35"/>
  <c r="D332" i="35"/>
  <c r="D282" i="35"/>
  <c r="D281" i="35" s="1"/>
  <c r="D2611" i="35"/>
  <c r="D2560" i="35" s="1"/>
  <c r="D2464" i="35"/>
  <c r="D788" i="37"/>
  <c r="E788" i="37" s="1"/>
  <c r="D301" i="38"/>
  <c r="E301" i="38" s="1"/>
  <c r="D2063" i="35"/>
  <c r="D1973" i="35"/>
  <c r="D1864" i="35"/>
  <c r="D1933" i="35"/>
  <c r="D1913" i="35"/>
  <c r="D730" i="35"/>
  <c r="D531" i="35"/>
  <c r="D589" i="35"/>
  <c r="D466" i="35"/>
  <c r="D552" i="35"/>
  <c r="D3838" i="35"/>
  <c r="D360" i="38"/>
  <c r="E360" i="38" s="1"/>
  <c r="D607" i="38"/>
  <c r="E607" i="38" s="1"/>
  <c r="D68" i="38"/>
  <c r="E68" i="38" s="1"/>
  <c r="E696" i="38"/>
  <c r="D924" i="38"/>
  <c r="E924" i="38" s="1"/>
  <c r="D173" i="38"/>
  <c r="E173" i="38" s="1"/>
  <c r="D577" i="38"/>
  <c r="E577" i="38" s="1"/>
  <c r="D23" i="38"/>
  <c r="E23" i="38" s="1"/>
  <c r="D113" i="38"/>
  <c r="E113" i="38" s="1"/>
  <c r="D541" i="38"/>
  <c r="E541" i="38" s="1"/>
  <c r="D731" i="38"/>
  <c r="E731" i="38" s="1"/>
  <c r="D717" i="38"/>
  <c r="E717" i="38" s="1"/>
  <c r="E15" i="38"/>
  <c r="D182" i="38"/>
  <c r="E182" i="38" s="1"/>
  <c r="D370" i="38"/>
  <c r="D868" i="38"/>
  <c r="D500" i="38"/>
  <c r="E500" i="38" s="1"/>
  <c r="D166" i="38"/>
  <c r="E166" i="38" s="1"/>
  <c r="D250" i="38"/>
  <c r="E250" i="38" s="1"/>
  <c r="D527" i="38"/>
  <c r="E527" i="38" s="1"/>
  <c r="D595" i="38"/>
  <c r="E595" i="38" s="1"/>
  <c r="E494" i="38"/>
  <c r="E495" i="38"/>
  <c r="D311" i="37"/>
  <c r="E311" i="37" s="1"/>
  <c r="D81" i="37"/>
  <c r="E81" i="37" s="1"/>
  <c r="D299" i="37"/>
  <c r="E299" i="37" s="1"/>
  <c r="D107" i="37"/>
  <c r="E107" i="37" s="1"/>
  <c r="E757" i="37"/>
  <c r="D1022" i="37"/>
  <c r="E1022" i="37" s="1"/>
  <c r="D778" i="37"/>
  <c r="E778" i="37" s="1"/>
  <c r="D245" i="37"/>
  <c r="E245" i="37" s="1"/>
  <c r="D659" i="37"/>
  <c r="E659" i="37" s="1"/>
  <c r="D887" i="37"/>
  <c r="E887" i="37" s="1"/>
  <c r="D180" i="37"/>
  <c r="E180" i="37" s="1"/>
  <c r="D518" i="37"/>
  <c r="E518" i="37" s="1"/>
  <c r="D770" i="37"/>
  <c r="E770" i="37" s="1"/>
  <c r="E964" i="37"/>
  <c r="D579" i="37"/>
  <c r="E579" i="37" s="1"/>
  <c r="D257" i="37"/>
  <c r="E257" i="37" s="1"/>
  <c r="D265" i="37"/>
  <c r="E265" i="37" s="1"/>
  <c r="D503" i="37"/>
  <c r="E503" i="37" s="1"/>
  <c r="D675" i="37"/>
  <c r="E675" i="37" s="1"/>
  <c r="D693" i="37"/>
  <c r="E693" i="37" s="1"/>
  <c r="D951" i="37"/>
  <c r="E951" i="37" s="1"/>
  <c r="D37" i="37"/>
  <c r="E37" i="37" s="1"/>
  <c r="D327" i="37"/>
  <c r="E327" i="37" s="1"/>
  <c r="D3790" i="35"/>
  <c r="D3830" i="35"/>
  <c r="D3857" i="35"/>
  <c r="D3806" i="35"/>
  <c r="D2536" i="35"/>
  <c r="D3205" i="35"/>
  <c r="D4342" i="35"/>
  <c r="D4380" i="35"/>
  <c r="D1702" i="35"/>
  <c r="D3219" i="35"/>
  <c r="D1036" i="35"/>
  <c r="D2216" i="35"/>
  <c r="D3663" i="35"/>
  <c r="D260" i="35"/>
  <c r="D2228" i="35"/>
  <c r="D3482" i="35"/>
  <c r="D1593" i="35"/>
  <c r="D906" i="35"/>
  <c r="D2290" i="35"/>
  <c r="D3193" i="35"/>
  <c r="D4667" i="35"/>
  <c r="D1425" i="35"/>
  <c r="D791" i="35"/>
  <c r="D3080" i="35"/>
  <c r="D3557" i="35"/>
  <c r="D33" i="35"/>
  <c r="D1693" i="35"/>
  <c r="D816" i="35"/>
  <c r="D3212" i="35"/>
  <c r="D3565" i="35"/>
  <c r="D4351" i="35"/>
  <c r="D4387" i="35"/>
  <c r="D1043" i="35"/>
  <c r="D403" i="35"/>
  <c r="D484" i="35"/>
  <c r="D1205" i="35"/>
  <c r="D1318" i="35"/>
  <c r="D687" i="35"/>
  <c r="D2113" i="35"/>
  <c r="D2170" i="35"/>
  <c r="D1983" i="35"/>
  <c r="D3493" i="35"/>
  <c r="D3643" i="35"/>
  <c r="D3676" i="35"/>
  <c r="D231" i="35"/>
  <c r="D1108" i="35"/>
  <c r="D509" i="35"/>
  <c r="D1307" i="35"/>
  <c r="D1711" i="35"/>
  <c r="D635" i="35"/>
  <c r="D994" i="35"/>
  <c r="D1060" i="35"/>
  <c r="D452" i="35"/>
  <c r="D613" i="35"/>
  <c r="D1443" i="35"/>
  <c r="D3140" i="35"/>
  <c r="D3233" i="35"/>
  <c r="D3363" i="35"/>
  <c r="D3517" i="35"/>
  <c r="D3598" i="35"/>
  <c r="D4328" i="35"/>
  <c r="D4633" i="35"/>
  <c r="D1125" i="35"/>
  <c r="D4396" i="35"/>
  <c r="D359" i="35"/>
  <c r="D1340" i="35"/>
  <c r="D1475" i="35"/>
  <c r="D2339" i="35"/>
  <c r="D2354" i="35"/>
  <c r="D3543" i="35"/>
  <c r="D4583" i="35"/>
  <c r="D4654" i="35"/>
  <c r="D1239" i="35"/>
  <c r="D1462" i="35"/>
  <c r="D1531" i="35"/>
  <c r="D1669" i="35"/>
  <c r="D2321" i="35"/>
  <c r="D2990" i="35"/>
  <c r="D127" i="35"/>
  <c r="D167" i="35"/>
  <c r="D929" i="35"/>
  <c r="D1090" i="35"/>
  <c r="D1363" i="35"/>
  <c r="D1379" i="35"/>
  <c r="D1506" i="35"/>
  <c r="D1607" i="35"/>
  <c r="E1413" i="35"/>
  <c r="D1577" i="35"/>
  <c r="D1491" i="35"/>
  <c r="D1544" i="35"/>
  <c r="D765" i="35"/>
  <c r="D776" i="35"/>
  <c r="D828" i="35"/>
  <c r="D2250" i="35"/>
  <c r="D2236" i="35"/>
  <c r="D2976" i="35"/>
  <c r="D3170" i="35"/>
  <c r="D2301" i="35"/>
  <c r="D2382" i="35"/>
  <c r="D2552" i="35"/>
  <c r="D2869" i="35"/>
  <c r="D2545" i="35"/>
  <c r="D3618" i="35"/>
  <c r="D2397" i="35"/>
  <c r="D2524" i="35"/>
  <c r="D2949" i="35"/>
  <c r="D3120" i="35"/>
  <c r="D3174" i="35"/>
  <c r="D3278" i="35"/>
  <c r="D3607" i="35"/>
  <c r="D3583" i="35"/>
  <c r="D4110" i="35"/>
  <c r="D3312" i="35"/>
  <c r="D3416" i="35"/>
  <c r="D3351" i="35"/>
  <c r="D3651" i="35"/>
  <c r="D4240" i="35"/>
  <c r="D4170" i="35"/>
  <c r="D4593" i="35"/>
  <c r="D3622" i="35"/>
  <c r="D4491" i="35"/>
  <c r="D4535" i="35"/>
  <c r="D4548" i="35"/>
  <c r="D4224" i="35"/>
  <c r="D4450" i="35"/>
  <c r="D4519" i="35"/>
  <c r="D4269" i="35"/>
  <c r="D4311" i="35"/>
  <c r="D4360" i="35"/>
  <c r="D4646" i="35"/>
  <c r="D4562" i="35"/>
  <c r="D4616" i="35"/>
  <c r="E4624" i="35"/>
  <c r="D4679" i="35"/>
  <c r="D4690" i="35"/>
  <c r="D4706" i="35"/>
  <c r="D4716" i="35"/>
  <c r="D4725" i="35"/>
  <c r="D962" i="37" l="1"/>
  <c r="D617" i="38"/>
  <c r="E370" i="38"/>
  <c r="D122" i="38"/>
  <c r="E122" i="38" s="1"/>
  <c r="D330" i="35"/>
  <c r="E334" i="35" s="1"/>
  <c r="D14" i="35"/>
  <c r="D437" i="38"/>
  <c r="E437" i="38" s="1"/>
  <c r="D866" i="38"/>
  <c r="E866" i="38" s="1"/>
  <c r="E868" i="38"/>
  <c r="D977" i="38"/>
  <c r="E977" i="38" s="1"/>
  <c r="E978" i="38"/>
  <c r="D105" i="37"/>
  <c r="E105" i="37" s="1"/>
  <c r="D439" i="37"/>
  <c r="E439" i="37" s="1"/>
  <c r="E2751" i="35"/>
  <c r="E2562" i="35"/>
  <c r="D886" i="37"/>
  <c r="E886" i="37" s="1"/>
  <c r="E2828" i="35"/>
  <c r="E2856" i="35"/>
  <c r="E2852" i="35"/>
  <c r="E2825" i="35"/>
  <c r="E2832" i="35"/>
  <c r="E2842" i="35"/>
  <c r="E2827" i="35"/>
  <c r="E2822" i="35"/>
  <c r="E2841" i="35"/>
  <c r="E2848" i="35"/>
  <c r="E2820" i="35"/>
  <c r="E2835" i="35"/>
  <c r="E2865" i="35"/>
  <c r="E2844" i="35"/>
  <c r="E2863" i="35"/>
  <c r="E2864" i="35"/>
  <c r="E2834" i="35"/>
  <c r="E2829" i="35"/>
  <c r="E2859" i="35"/>
  <c r="E2838" i="35"/>
  <c r="E2821" i="35"/>
  <c r="E2831" i="35"/>
  <c r="E2847" i="35"/>
  <c r="E2858" i="35"/>
  <c r="E2851" i="35"/>
  <c r="E2855" i="35"/>
  <c r="E2849" i="35"/>
  <c r="E2824" i="35"/>
  <c r="E2839" i="35"/>
  <c r="E2837" i="35"/>
  <c r="E2854" i="35"/>
  <c r="E2845" i="35"/>
  <c r="D263" i="37"/>
  <c r="E263" i="37" s="1"/>
  <c r="E1467" i="35"/>
  <c r="D3691" i="35"/>
  <c r="D1724" i="35"/>
  <c r="D299" i="38"/>
  <c r="E299" i="38" s="1"/>
  <c r="D357" i="35"/>
  <c r="D21" i="38"/>
  <c r="E21" i="38" s="1"/>
  <c r="D922" i="38"/>
  <c r="E922" i="38" s="1"/>
  <c r="E617" i="38"/>
  <c r="D76" i="38"/>
  <c r="E76" i="38" s="1"/>
  <c r="D180" i="38"/>
  <c r="E180" i="38" s="1"/>
  <c r="D498" i="38"/>
  <c r="E498" i="38" s="1"/>
  <c r="E13" i="38"/>
  <c r="D179" i="37"/>
  <c r="E962" i="37"/>
  <c r="D578" i="37"/>
  <c r="E578" i="37" s="1"/>
  <c r="D691" i="37"/>
  <c r="E691" i="37" s="1"/>
  <c r="D501" i="37"/>
  <c r="E501" i="37" s="1"/>
  <c r="D35" i="37"/>
  <c r="E35" i="37" s="1"/>
  <c r="D1701" i="35"/>
  <c r="D1203" i="35" s="1"/>
  <c r="E1205" i="35" s="1"/>
  <c r="D4379" i="35"/>
  <c r="D4108" i="35" s="1"/>
  <c r="D2867" i="35"/>
  <c r="E2869" i="35" s="1"/>
  <c r="E3009" i="35"/>
  <c r="D2111" i="35"/>
  <c r="D927" i="35"/>
  <c r="D4724" i="35"/>
  <c r="D4394" i="35" s="1"/>
  <c r="D3361" i="35"/>
  <c r="E2408" i="35"/>
  <c r="D2381" i="35"/>
  <c r="D633" i="35"/>
  <c r="E14" i="35" l="1"/>
  <c r="E330" i="35"/>
  <c r="E340" i="35"/>
  <c r="E338" i="35"/>
  <c r="E332" i="35"/>
  <c r="E333" i="35"/>
  <c r="E335" i="35"/>
  <c r="E337" i="35"/>
  <c r="E342" i="35"/>
  <c r="E350" i="35"/>
  <c r="E339" i="35"/>
  <c r="E347" i="35"/>
  <c r="E349" i="35"/>
  <c r="E344" i="35"/>
  <c r="E341" i="35"/>
  <c r="E345" i="35"/>
  <c r="E336" i="35"/>
  <c r="E346" i="35"/>
  <c r="E351" i="35"/>
  <c r="D368" i="38"/>
  <c r="E368" i="38" s="1"/>
  <c r="D33" i="37"/>
  <c r="E179" i="37"/>
  <c r="E13" i="37"/>
  <c r="E38" i="35"/>
  <c r="E37" i="35"/>
  <c r="E44" i="35"/>
  <c r="E40" i="35"/>
  <c r="E36" i="35"/>
  <c r="E43" i="35"/>
  <c r="E39" i="35"/>
  <c r="E35" i="35"/>
  <c r="E42" i="35"/>
  <c r="E2500" i="35"/>
  <c r="E2495" i="35"/>
  <c r="E2491" i="35"/>
  <c r="E2487" i="35"/>
  <c r="E2483" i="35"/>
  <c r="E2476" i="35"/>
  <c r="E2474" i="35"/>
  <c r="E2498" i="35"/>
  <c r="E2489" i="35"/>
  <c r="E2478" i="35"/>
  <c r="E2473" i="35"/>
  <c r="E2501" i="35"/>
  <c r="E2492" i="35"/>
  <c r="E2484" i="35"/>
  <c r="E2472" i="35"/>
  <c r="E2499" i="35"/>
  <c r="E2494" i="35"/>
  <c r="E2490" i="35"/>
  <c r="E2486" i="35"/>
  <c r="E2475" i="35"/>
  <c r="E2471" i="35"/>
  <c r="E2493" i="35"/>
  <c r="E2485" i="35"/>
  <c r="E2470" i="35"/>
  <c r="E2488" i="35"/>
  <c r="E2477" i="35"/>
  <c r="E2509" i="35"/>
  <c r="E2481" i="35"/>
  <c r="E2497" i="35"/>
  <c r="E3361" i="35"/>
  <c r="E359" i="35"/>
  <c r="E4108" i="35"/>
  <c r="E4155" i="35"/>
  <c r="E290" i="35"/>
  <c r="E58" i="35"/>
  <c r="E4092" i="35"/>
  <c r="E4073" i="35"/>
  <c r="E4068" i="35"/>
  <c r="E4062" i="35"/>
  <c r="E4053" i="35"/>
  <c r="E4035" i="35"/>
  <c r="E4012" i="35"/>
  <c r="E3994" i="35"/>
  <c r="E3971" i="35"/>
  <c r="E3954" i="35"/>
  <c r="E3949" i="35"/>
  <c r="E3928" i="35"/>
  <c r="E4060" i="35"/>
  <c r="E4002" i="35"/>
  <c r="E3957" i="35"/>
  <c r="E3925" i="35"/>
  <c r="E4098" i="35"/>
  <c r="E4074" i="35"/>
  <c r="E4049" i="35"/>
  <c r="E4001" i="35"/>
  <c r="E3985" i="35"/>
  <c r="E3950" i="35"/>
  <c r="E3924" i="35"/>
  <c r="E4101" i="35"/>
  <c r="E4072" i="35"/>
  <c r="E4061" i="35"/>
  <c r="E4042" i="35"/>
  <c r="E4034" i="35"/>
  <c r="E4003" i="35"/>
  <c r="E3988" i="35"/>
  <c r="E3953" i="35"/>
  <c r="E3948" i="35"/>
  <c r="E4094" i="35"/>
  <c r="E4075" i="35"/>
  <c r="E4065" i="35"/>
  <c r="E4050" i="35"/>
  <c r="E4033" i="35"/>
  <c r="E3938" i="35"/>
  <c r="E4093" i="35"/>
  <c r="E4069" i="35"/>
  <c r="E4036" i="35"/>
  <c r="E4029" i="35"/>
  <c r="E3937" i="35"/>
  <c r="E3987" i="35"/>
  <c r="E4064" i="35"/>
  <c r="E4071" i="35"/>
  <c r="E3952" i="35"/>
  <c r="E4059" i="35"/>
  <c r="E4048" i="35"/>
  <c r="E4052" i="35"/>
  <c r="E4091" i="35"/>
  <c r="E4100" i="35"/>
  <c r="E4041" i="35"/>
  <c r="E3970" i="35"/>
  <c r="E3956" i="35"/>
  <c r="E3927" i="35"/>
  <c r="E4097" i="35"/>
  <c r="E4067" i="35"/>
  <c r="E4096" i="35"/>
  <c r="E4170" i="35"/>
  <c r="E2545" i="35"/>
  <c r="E2558" i="35"/>
  <c r="E2090" i="35"/>
  <c r="E2074" i="35"/>
  <c r="E2050" i="35"/>
  <c r="E2031" i="35"/>
  <c r="E2011" i="35"/>
  <c r="E1993" i="35"/>
  <c r="E1986" i="35"/>
  <c r="E1967" i="35"/>
  <c r="E1921" i="35"/>
  <c r="E1905" i="35"/>
  <c r="E1901" i="35"/>
  <c r="E1897" i="35"/>
  <c r="E1893" i="35"/>
  <c r="E1889" i="35"/>
  <c r="E1885" i="35"/>
  <c r="E1881" i="35"/>
  <c r="E1861" i="35"/>
  <c r="E1851" i="35"/>
  <c r="E1847" i="35"/>
  <c r="E1843" i="35"/>
  <c r="E1818" i="35"/>
  <c r="E1809" i="35"/>
  <c r="E1792" i="35"/>
  <c r="E1778" i="35"/>
  <c r="E1759" i="35"/>
  <c r="E1731" i="35"/>
  <c r="E2080" i="35"/>
  <c r="E2051" i="35"/>
  <c r="E2037" i="35"/>
  <c r="E1994" i="35"/>
  <c r="E1922" i="35"/>
  <c r="E1894" i="35"/>
  <c r="E1882" i="35"/>
  <c r="E1848" i="35"/>
  <c r="E1810" i="35"/>
  <c r="E1760" i="35"/>
  <c r="E2094" i="35"/>
  <c r="E2083" i="35"/>
  <c r="E2073" i="35"/>
  <c r="E2053" i="35"/>
  <c r="E2049" i="35"/>
  <c r="E2040" i="35"/>
  <c r="E2015" i="35"/>
  <c r="E2010" i="35"/>
  <c r="E1996" i="35"/>
  <c r="E1992" i="35"/>
  <c r="E1971" i="35"/>
  <c r="E1966" i="35"/>
  <c r="E1908" i="35"/>
  <c r="E1904" i="35"/>
  <c r="E1900" i="35"/>
  <c r="E1896" i="35"/>
  <c r="E1892" i="35"/>
  <c r="E1888" i="35"/>
  <c r="E1884" i="35"/>
  <c r="E1880" i="35"/>
  <c r="E1862" i="35"/>
  <c r="E1850" i="35"/>
  <c r="E1846" i="35"/>
  <c r="E1839" i="35"/>
  <c r="E1808" i="35"/>
  <c r="E1791" i="35"/>
  <c r="E1762" i="35"/>
  <c r="E1758" i="35"/>
  <c r="E1730" i="35"/>
  <c r="E2075" i="35"/>
  <c r="E2043" i="35"/>
  <c r="E2003" i="35"/>
  <c r="E1902" i="35"/>
  <c r="E1890" i="35"/>
  <c r="E1878" i="35"/>
  <c r="E1844" i="35"/>
  <c r="E1789" i="35"/>
  <c r="E1728" i="35"/>
  <c r="E2098" i="35"/>
  <c r="E2072" i="35"/>
  <c r="E2052" i="35"/>
  <c r="E2044" i="35"/>
  <c r="E2014" i="35"/>
  <c r="E1995" i="35"/>
  <c r="E1988" i="35"/>
  <c r="E1970" i="35"/>
  <c r="E1965" i="35"/>
  <c r="E1907" i="35"/>
  <c r="E1903" i="35"/>
  <c r="E1899" i="35"/>
  <c r="E1895" i="35"/>
  <c r="E1891" i="35"/>
  <c r="E1887" i="35"/>
  <c r="E1883" i="35"/>
  <c r="E1879" i="35"/>
  <c r="E1860" i="35"/>
  <c r="E1849" i="35"/>
  <c r="E1845" i="35"/>
  <c r="E1820" i="35"/>
  <c r="E1811" i="35"/>
  <c r="E1794" i="35"/>
  <c r="E1790" i="35"/>
  <c r="E1761" i="35"/>
  <c r="E1757" i="35"/>
  <c r="E1729" i="35"/>
  <c r="E2086" i="35"/>
  <c r="E1987" i="35"/>
  <c r="E1906" i="35"/>
  <c r="E1898" i="35"/>
  <c r="E1886" i="35"/>
  <c r="E1852" i="35"/>
  <c r="E1819" i="35"/>
  <c r="E1793" i="35"/>
  <c r="E1756" i="35"/>
  <c r="E2042" i="35"/>
  <c r="E2085" i="35"/>
  <c r="E2039" i="35"/>
  <c r="E2079" i="35"/>
  <c r="E2071" i="35"/>
  <c r="E2002" i="35"/>
  <c r="E2009" i="35"/>
  <c r="E2097" i="35"/>
  <c r="E2082" i="35"/>
  <c r="E2013" i="35"/>
  <c r="E2093" i="35"/>
  <c r="E2089" i="35"/>
  <c r="E1817" i="35"/>
  <c r="E1969" i="35"/>
  <c r="E2088" i="35"/>
  <c r="E2078" i="35"/>
  <c r="E2092" i="35"/>
  <c r="E2070" i="35"/>
  <c r="E2096" i="35"/>
  <c r="E2077" i="35"/>
  <c r="E1725" i="35"/>
  <c r="E3923" i="35"/>
  <c r="E3918" i="35"/>
  <c r="E3906" i="35"/>
  <c r="E3898" i="35"/>
  <c r="E3873" i="35"/>
  <c r="E3841" i="35"/>
  <c r="E3746" i="35"/>
  <c r="E3742" i="35"/>
  <c r="E3738" i="35"/>
  <c r="E3726" i="35"/>
  <c r="E3712" i="35"/>
  <c r="E3708" i="35"/>
  <c r="E3704" i="35"/>
  <c r="E3874" i="35"/>
  <c r="E3763" i="35"/>
  <c r="E3731" i="35"/>
  <c r="E3705" i="35"/>
  <c r="E3922" i="35"/>
  <c r="E3889" i="35"/>
  <c r="E3872" i="35"/>
  <c r="E3765" i="35"/>
  <c r="E3745" i="35"/>
  <c r="E3741" i="35"/>
  <c r="E3737" i="35"/>
  <c r="E3715" i="35"/>
  <c r="E3711" i="35"/>
  <c r="E3707" i="35"/>
  <c r="E3703" i="35"/>
  <c r="E3899" i="35"/>
  <c r="E3739" i="35"/>
  <c r="E3709" i="35"/>
  <c r="E3921" i="35"/>
  <c r="E3909" i="35"/>
  <c r="E3900" i="35"/>
  <c r="E3888" i="35"/>
  <c r="E3855" i="35"/>
  <c r="E3764" i="35"/>
  <c r="E3744" i="35"/>
  <c r="E3740" i="35"/>
  <c r="E3736" i="35"/>
  <c r="E3714" i="35"/>
  <c r="E3710" i="35"/>
  <c r="E3706" i="35"/>
  <c r="E3702" i="35"/>
  <c r="E3842" i="35"/>
  <c r="E3743" i="35"/>
  <c r="E3713" i="35"/>
  <c r="E3908" i="35"/>
  <c r="E3920" i="35"/>
  <c r="E3917" i="35"/>
  <c r="E3905" i="35"/>
  <c r="E3607" i="35"/>
  <c r="E3278" i="35"/>
  <c r="E2250" i="35"/>
  <c r="E1733" i="35"/>
  <c r="E1365" i="35"/>
  <c r="E1369" i="35"/>
  <c r="E1367" i="35"/>
  <c r="E1368" i="35"/>
  <c r="E1366" i="35"/>
  <c r="E1370" i="35"/>
  <c r="E1364" i="35"/>
  <c r="E1373" i="35"/>
  <c r="E1372" i="35"/>
  <c r="E1376" i="35"/>
  <c r="E1377" i="35"/>
  <c r="E1375" i="35"/>
  <c r="E1382" i="35"/>
  <c r="E1386" i="35"/>
  <c r="E1381" i="35"/>
  <c r="E1383" i="35"/>
  <c r="E1387" i="35"/>
  <c r="E1384" i="35"/>
  <c r="E1385" i="35"/>
  <c r="E1390" i="35"/>
  <c r="E1393" i="35"/>
  <c r="E1389" i="35"/>
  <c r="E1392" i="35"/>
  <c r="E1709" i="35"/>
  <c r="E1765" i="35"/>
  <c r="E733" i="35"/>
  <c r="E736" i="35"/>
  <c r="E740" i="35"/>
  <c r="E737" i="35"/>
  <c r="E735" i="35"/>
  <c r="E739" i="35"/>
  <c r="E776" i="35"/>
  <c r="E1841" i="35"/>
  <c r="E468" i="35"/>
  <c r="E472" i="35"/>
  <c r="E476" i="35"/>
  <c r="E475" i="35"/>
  <c r="E469" i="35"/>
  <c r="E477" i="35"/>
  <c r="E471" i="35"/>
  <c r="E482" i="35"/>
  <c r="E470" i="35"/>
  <c r="E474" i="35"/>
  <c r="E478" i="35"/>
  <c r="E481" i="35"/>
  <c r="E467" i="35"/>
  <c r="E466" i="35"/>
  <c r="E480" i="35"/>
  <c r="E1991" i="35"/>
  <c r="E464" i="35"/>
  <c r="E462" i="35"/>
  <c r="E463" i="35"/>
  <c r="E507" i="35"/>
  <c r="E522" i="35"/>
  <c r="E535" i="35"/>
  <c r="E539" i="35"/>
  <c r="E543" i="35"/>
  <c r="E547" i="35"/>
  <c r="E554" i="35"/>
  <c r="E562" i="35"/>
  <c r="E566" i="35"/>
  <c r="E574" i="35"/>
  <c r="E578" i="35"/>
  <c r="E582" i="35"/>
  <c r="E586" i="35"/>
  <c r="E593" i="35"/>
  <c r="E597" i="35"/>
  <c r="E601" i="35"/>
  <c r="E531" i="35"/>
  <c r="E505" i="35"/>
  <c r="E523" i="35"/>
  <c r="E532" i="35"/>
  <c r="E536" i="35"/>
  <c r="E540" i="35"/>
  <c r="E544" i="35"/>
  <c r="E552" i="35"/>
  <c r="E559" i="35"/>
  <c r="E563" i="35"/>
  <c r="E571" i="35"/>
  <c r="E575" i="35"/>
  <c r="E579" i="35"/>
  <c r="E583" i="35"/>
  <c r="E587" i="35"/>
  <c r="E590" i="35"/>
  <c r="E594" i="35"/>
  <c r="E598" i="35"/>
  <c r="E602" i="35"/>
  <c r="E506" i="35"/>
  <c r="E546" i="35"/>
  <c r="E553" i="35"/>
  <c r="E561" i="35"/>
  <c r="E569" i="35"/>
  <c r="E577" i="35"/>
  <c r="E585" i="35"/>
  <c r="E600" i="35"/>
  <c r="E521" i="35"/>
  <c r="E533" i="35"/>
  <c r="E549" i="35"/>
  <c r="E556" i="35"/>
  <c r="E560" i="35"/>
  <c r="E564" i="35"/>
  <c r="E568" i="35"/>
  <c r="E572" i="35"/>
  <c r="E576" i="35"/>
  <c r="E591" i="35"/>
  <c r="E595" i="35"/>
  <c r="E599" i="35"/>
  <c r="E603" i="35"/>
  <c r="E538" i="35"/>
  <c r="E542" i="35"/>
  <c r="E550" i="35"/>
  <c r="E557" i="35"/>
  <c r="E565" i="35"/>
  <c r="E573" i="35"/>
  <c r="E581" i="35"/>
  <c r="E589" i="35"/>
  <c r="E1774" i="35"/>
  <c r="E1941" i="35"/>
  <c r="E2026" i="35"/>
  <c r="E1740" i="35"/>
  <c r="E2105" i="35"/>
  <c r="E1910" i="35"/>
  <c r="E1937" i="35"/>
  <c r="E1963" i="35"/>
  <c r="E1783" i="35"/>
  <c r="E1931" i="35"/>
  <c r="E2065" i="35"/>
  <c r="E2006" i="35"/>
  <c r="E2035" i="35"/>
  <c r="E1724" i="35"/>
  <c r="E1799" i="35"/>
  <c r="E1914" i="35"/>
  <c r="E1747" i="35"/>
  <c r="E1780" i="35"/>
  <c r="E1745" i="35"/>
  <c r="E2007" i="35"/>
  <c r="E1726" i="35"/>
  <c r="E1813" i="35"/>
  <c r="E1868" i="35"/>
  <c r="E2101" i="35"/>
  <c r="E1736" i="35"/>
  <c r="E1796" i="35"/>
  <c r="E1955" i="35"/>
  <c r="E1775" i="35"/>
  <c r="E1945" i="35"/>
  <c r="E2063" i="35"/>
  <c r="E445" i="35"/>
  <c r="D19" i="38"/>
  <c r="E19" i="38" s="1"/>
  <c r="E4106" i="35"/>
  <c r="E4088" i="35"/>
  <c r="E4084" i="35"/>
  <c r="E4081" i="35"/>
  <c r="E4038" i="35"/>
  <c r="E4025" i="35"/>
  <c r="E4019" i="35"/>
  <c r="E4013" i="35"/>
  <c r="E4009" i="35"/>
  <c r="E4005" i="35"/>
  <c r="E3998" i="35"/>
  <c r="E3983" i="35"/>
  <c r="E3980" i="35"/>
  <c r="E3977" i="35"/>
  <c r="E3975" i="35"/>
  <c r="E3946" i="35"/>
  <c r="E3941" i="35"/>
  <c r="E3935" i="35"/>
  <c r="E3931" i="35"/>
  <c r="E3915" i="35"/>
  <c r="E3902" i="35"/>
  <c r="E3895" i="35"/>
  <c r="E3885" i="35"/>
  <c r="E3881" i="35"/>
  <c r="E3871" i="35"/>
  <c r="E3863" i="35"/>
  <c r="E3845" i="35"/>
  <c r="E3836" i="35"/>
  <c r="E3820" i="35"/>
  <c r="E3812" i="35"/>
  <c r="E3796" i="35"/>
  <c r="E3776" i="35"/>
  <c r="E3773" i="35"/>
  <c r="E3758" i="35"/>
  <c r="E3749" i="35"/>
  <c r="E3734" i="35"/>
  <c r="E3729" i="35"/>
  <c r="E3724" i="35"/>
  <c r="E3699" i="35"/>
  <c r="E3695" i="35"/>
  <c r="E4089" i="35"/>
  <c r="E4039" i="35"/>
  <c r="E4105" i="35"/>
  <c r="E4087" i="35"/>
  <c r="E4083" i="35"/>
  <c r="E4080" i="35"/>
  <c r="E4028" i="35"/>
  <c r="E4024" i="35"/>
  <c r="E3997" i="35"/>
  <c r="E3993" i="35"/>
  <c r="E3974" i="35"/>
  <c r="E3968" i="35"/>
  <c r="E3945" i="35"/>
  <c r="E3934" i="35"/>
  <c r="E3914" i="35"/>
  <c r="E3894" i="35"/>
  <c r="E3884" i="35"/>
  <c r="E3880" i="35"/>
  <c r="E3877" i="35"/>
  <c r="E3870" i="35"/>
  <c r="E3862" i="35"/>
  <c r="E3859" i="35"/>
  <c r="E3854" i="35"/>
  <c r="E3844" i="35"/>
  <c r="E3835" i="35"/>
  <c r="E3832" i="35"/>
  <c r="E3819" i="35"/>
  <c r="E3816" i="35"/>
  <c r="E3811" i="35"/>
  <c r="E3808" i="35"/>
  <c r="E3795" i="35"/>
  <c r="E3792" i="35"/>
  <c r="E3784" i="35"/>
  <c r="E3775" i="35"/>
  <c r="E3772" i="35"/>
  <c r="E3757" i="35"/>
  <c r="E3748" i="35"/>
  <c r="E3733" i="35"/>
  <c r="E3728" i="35"/>
  <c r="E3723" i="35"/>
  <c r="E3698" i="35"/>
  <c r="E3694" i="35"/>
  <c r="E3691" i="35"/>
  <c r="E4078" i="35"/>
  <c r="E4056" i="35"/>
  <c r="E4031" i="35"/>
  <c r="E4079" i="35"/>
  <c r="E4057" i="35"/>
  <c r="E4032" i="35"/>
  <c r="E4017" i="35"/>
  <c r="E4011" i="35"/>
  <c r="E4007" i="35"/>
  <c r="E4000" i="35"/>
  <c r="E3992" i="35"/>
  <c r="E3964" i="35"/>
  <c r="E3961" i="35"/>
  <c r="E3913" i="35"/>
  <c r="E3897" i="35"/>
  <c r="E3893" i="35"/>
  <c r="E3887" i="35"/>
  <c r="E3869" i="35"/>
  <c r="E3865" i="35"/>
  <c r="E3853" i="35"/>
  <c r="E3828" i="35"/>
  <c r="E3815" i="35"/>
  <c r="E3804" i="35"/>
  <c r="E3788" i="35"/>
  <c r="E3783" i="35"/>
  <c r="E3779" i="35"/>
  <c r="E3771" i="35"/>
  <c r="E3762" i="35"/>
  <c r="E3751" i="35"/>
  <c r="E3701" i="35"/>
  <c r="E3697" i="35"/>
  <c r="E4010" i="35"/>
  <c r="E3932" i="35"/>
  <c r="E3892" i="35"/>
  <c r="E3868" i="35"/>
  <c r="E3852" i="35"/>
  <c r="E3824" i="35"/>
  <c r="E3818" i="35"/>
  <c r="E3810" i="35"/>
  <c r="E3787" i="35"/>
  <c r="E3770" i="35"/>
  <c r="E3761" i="35"/>
  <c r="E3750" i="35"/>
  <c r="E3730" i="35"/>
  <c r="E3696" i="35"/>
  <c r="E3886" i="35"/>
  <c r="E3864" i="35"/>
  <c r="E3725" i="35"/>
  <c r="E3978" i="35"/>
  <c r="E3947" i="35"/>
  <c r="E3912" i="35"/>
  <c r="E3896" i="35"/>
  <c r="E3849" i="35"/>
  <c r="E3840" i="35"/>
  <c r="E3778" i="35"/>
  <c r="E3759" i="35"/>
  <c r="E3700" i="35"/>
  <c r="E4104" i="35"/>
  <c r="E3999" i="35"/>
  <c r="E3991" i="35"/>
  <c r="E3981" i="35"/>
  <c r="E3960" i="35"/>
  <c r="E3942" i="35"/>
  <c r="E3903" i="35"/>
  <c r="E3800" i="35"/>
  <c r="E3794" i="35"/>
  <c r="E3782" i="35"/>
  <c r="E3755" i="35"/>
  <c r="E3721" i="35"/>
  <c r="E3718" i="35"/>
  <c r="E4016" i="35"/>
  <c r="E3936" i="35"/>
  <c r="E3827" i="35"/>
  <c r="E3814" i="35"/>
  <c r="E3768" i="35"/>
  <c r="E3735" i="35"/>
  <c r="E4006" i="35"/>
  <c r="E3996" i="35"/>
  <c r="E3984" i="35"/>
  <c r="E3973" i="35"/>
  <c r="E3963" i="35"/>
  <c r="E3834" i="35"/>
  <c r="E3803" i="35"/>
  <c r="E3753" i="35"/>
  <c r="E3791" i="35"/>
  <c r="E3720" i="35"/>
  <c r="E3930" i="35"/>
  <c r="E3823" i="35"/>
  <c r="E3847" i="35"/>
  <c r="E3867" i="35"/>
  <c r="E4027" i="35"/>
  <c r="E3826" i="35"/>
  <c r="E4086" i="35"/>
  <c r="E3807" i="35"/>
  <c r="E4055" i="35"/>
  <c r="E3848" i="35"/>
  <c r="E3876" i="35"/>
  <c r="E3883" i="35"/>
  <c r="E3959" i="35"/>
  <c r="E3838" i="35"/>
  <c r="E3767" i="35"/>
  <c r="E3754" i="35"/>
  <c r="E3990" i="35"/>
  <c r="E3851" i="35"/>
  <c r="E3891" i="35"/>
  <c r="E4077" i="35"/>
  <c r="E3717" i="35"/>
  <c r="E3822" i="35"/>
  <c r="E3911" i="35"/>
  <c r="E3799" i="35"/>
  <c r="E4103" i="35"/>
  <c r="E3831" i="35"/>
  <c r="E3781" i="35"/>
  <c r="E3802" i="35"/>
  <c r="E3940" i="35"/>
  <c r="E3786" i="35"/>
  <c r="E3858" i="35"/>
  <c r="E3967" i="35"/>
  <c r="E3798" i="35"/>
  <c r="E4015" i="35"/>
  <c r="E4023" i="35"/>
  <c r="E3839" i="35"/>
  <c r="E3944" i="35"/>
  <c r="E3790" i="35"/>
  <c r="E3857" i="35"/>
  <c r="E3861" i="35"/>
  <c r="E3966" i="35"/>
  <c r="E3879" i="35"/>
  <c r="E3693" i="35"/>
  <c r="E3830" i="35"/>
  <c r="E3806" i="35"/>
  <c r="E2029" i="35"/>
  <c r="E1742" i="35"/>
  <c r="E1782" i="35"/>
  <c r="E1828" i="35"/>
  <c r="E1855" i="35"/>
  <c r="E1990" i="35"/>
  <c r="E1751" i="35"/>
  <c r="E1787" i="35"/>
  <c r="E2020" i="35"/>
  <c r="E2036" i="35"/>
  <c r="E1744" i="35"/>
  <c r="E1784" i="35"/>
  <c r="E1911" i="35"/>
  <c r="E1749" i="35"/>
  <c r="E2106" i="35"/>
  <c r="E1827" i="35"/>
  <c r="E1754" i="35"/>
  <c r="E1786" i="35"/>
  <c r="E1807" i="35"/>
  <c r="E1834" i="35"/>
  <c r="E1866" i="35"/>
  <c r="E1934" i="35"/>
  <c r="E2005" i="35"/>
  <c r="E1755" i="35"/>
  <c r="E1801" i="35"/>
  <c r="E1856" i="35"/>
  <c r="E1748" i="35"/>
  <c r="E1798" i="35"/>
  <c r="E1925" i="35"/>
  <c r="E1981" i="35"/>
  <c r="E2048" i="35"/>
  <c r="E1825" i="35"/>
  <c r="E1858" i="35"/>
  <c r="E2034" i="35"/>
  <c r="E2108" i="35"/>
  <c r="E1973" i="35"/>
  <c r="E1833" i="35"/>
  <c r="E1949" i="35"/>
  <c r="E1842" i="35"/>
  <c r="E1935" i="35"/>
  <c r="E1956" i="35"/>
  <c r="E2057" i="35"/>
  <c r="E1734" i="35"/>
  <c r="E1772" i="35"/>
  <c r="E1824" i="35"/>
  <c r="E1857" i="35"/>
  <c r="E1928" i="35"/>
  <c r="E1978" i="35"/>
  <c r="E2060" i="35"/>
  <c r="E1781" i="35"/>
  <c r="E1952" i="35"/>
  <c r="E2102" i="35"/>
  <c r="E1823" i="35"/>
  <c r="E452" i="35"/>
  <c r="E456" i="35"/>
  <c r="E413" i="35"/>
  <c r="E2018" i="35"/>
  <c r="E1837" i="35"/>
  <c r="E395" i="35"/>
  <c r="E513" i="35"/>
  <c r="E370" i="35"/>
  <c r="E373" i="35"/>
  <c r="E509" i="35"/>
  <c r="E422" i="35"/>
  <c r="E388" i="35"/>
  <c r="E408" i="35"/>
  <c r="E448" i="35"/>
  <c r="E441" i="35"/>
  <c r="E617" i="35"/>
  <c r="E368" i="35"/>
  <c r="E437" i="35"/>
  <c r="E411" i="35"/>
  <c r="E496" i="35"/>
  <c r="E457" i="35"/>
  <c r="E371" i="35"/>
  <c r="E486" i="35"/>
  <c r="E606" i="35"/>
  <c r="E484" i="35"/>
  <c r="E372" i="35"/>
  <c r="E491" i="35"/>
  <c r="E631" i="35"/>
  <c r="E438" i="35"/>
  <c r="E518" i="35"/>
  <c r="E614" i="35"/>
  <c r="E519" i="35"/>
  <c r="E390" i="35"/>
  <c r="E512" i="35"/>
  <c r="E379" i="35"/>
  <c r="E410" i="35"/>
  <c r="E425" i="35"/>
  <c r="E495" i="35"/>
  <c r="E527" i="35"/>
  <c r="E361" i="35"/>
  <c r="E377" i="35"/>
  <c r="E392" i="35"/>
  <c r="E415" i="35"/>
  <c r="E442" i="35"/>
  <c r="E460" i="35"/>
  <c r="E500" i="35"/>
  <c r="E525" i="35"/>
  <c r="E625" i="35"/>
  <c r="E385" i="35"/>
  <c r="E412" i="35"/>
  <c r="E529" i="35"/>
  <c r="E375" i="35"/>
  <c r="E394" i="35"/>
  <c r="E421" i="35"/>
  <c r="E454" i="35"/>
  <c r="E490" i="35"/>
  <c r="E627" i="35"/>
  <c r="E427" i="35"/>
  <c r="E357" i="35"/>
  <c r="E383" i="35"/>
  <c r="E414" i="35"/>
  <c r="E429" i="35"/>
  <c r="E499" i="35"/>
  <c r="E607" i="35"/>
  <c r="E365" i="35"/>
  <c r="E380" i="35"/>
  <c r="E400" i="35"/>
  <c r="E419" i="35"/>
  <c r="E446" i="35"/>
  <c r="E528" i="35"/>
  <c r="E605" i="35"/>
  <c r="E629" i="35"/>
  <c r="E389" i="35"/>
  <c r="E443" i="35"/>
  <c r="E615" i="35"/>
  <c r="E378" i="35"/>
  <c r="E405" i="35"/>
  <c r="E428" i="35"/>
  <c r="E498" i="35"/>
  <c r="E526" i="35"/>
  <c r="E630" i="35"/>
  <c r="E404" i="35"/>
  <c r="E391" i="35"/>
  <c r="E418" i="35"/>
  <c r="E433" i="35"/>
  <c r="E487" i="35"/>
  <c r="E503" i="35"/>
  <c r="E621" i="35"/>
  <c r="E369" i="35"/>
  <c r="E384" i="35"/>
  <c r="E407" i="35"/>
  <c r="E434" i="35"/>
  <c r="E449" i="35"/>
  <c r="E488" i="35"/>
  <c r="E510" i="35"/>
  <c r="E611" i="35"/>
  <c r="E362" i="35"/>
  <c r="E401" i="35"/>
  <c r="E450" i="35"/>
  <c r="E626" i="35"/>
  <c r="E386" i="35"/>
  <c r="E409" i="35"/>
  <c r="E432" i="35"/>
  <c r="E502" i="35"/>
  <c r="E424" i="35"/>
  <c r="E1913" i="35"/>
  <c r="E1983" i="35"/>
  <c r="E1920" i="35"/>
  <c r="E623" i="35"/>
  <c r="E1822" i="35"/>
  <c r="E397" i="35"/>
  <c r="E485" i="35"/>
  <c r="E364" i="35"/>
  <c r="E613" i="35"/>
  <c r="E620" i="35"/>
  <c r="E516" i="35"/>
  <c r="E494" i="35"/>
  <c r="E436" i="35"/>
  <c r="E417" i="35"/>
  <c r="E398" i="35"/>
  <c r="E382" i="35"/>
  <c r="E367" i="35"/>
  <c r="E511" i="35"/>
  <c r="E439" i="35"/>
  <c r="E393" i="35"/>
  <c r="E366" i="35"/>
  <c r="E618" i="35"/>
  <c r="E1999" i="35"/>
  <c r="E1830" i="35"/>
  <c r="E1865" i="35"/>
  <c r="E1768" i="35"/>
  <c r="E1864" i="35"/>
  <c r="E1869" i="35"/>
  <c r="E1773" i="35"/>
  <c r="E1739" i="35"/>
  <c r="E2021" i="35"/>
  <c r="E1961" i="35"/>
  <c r="E1876" i="35"/>
  <c r="E1769" i="35"/>
  <c r="E1741" i="35"/>
  <c r="E2068" i="35"/>
  <c r="E1964" i="35"/>
  <c r="E1797" i="35"/>
  <c r="E1771" i="35"/>
  <c r="E1737" i="35"/>
  <c r="E2056" i="35"/>
  <c r="E2019" i="35"/>
  <c r="E1959" i="35"/>
  <c r="E1947" i="35"/>
  <c r="E1930" i="35"/>
  <c r="E1874" i="35"/>
  <c r="E1800" i="35"/>
  <c r="E1750" i="35"/>
  <c r="E1940" i="35"/>
  <c r="E2028" i="35"/>
  <c r="E2067" i="35"/>
  <c r="E515" i="35"/>
  <c r="E1806" i="35"/>
  <c r="E459" i="35"/>
  <c r="E1803" i="35"/>
  <c r="E493" i="35"/>
  <c r="E403" i="35"/>
  <c r="E1746" i="35"/>
  <c r="E1770" i="35"/>
  <c r="E1815" i="35"/>
  <c r="E1859" i="35"/>
  <c r="E1953" i="35"/>
  <c r="E2023" i="35"/>
  <c r="E2030" i="35"/>
  <c r="E2059" i="35"/>
  <c r="E1743" i="35"/>
  <c r="E1766" i="35"/>
  <c r="E1915" i="35"/>
  <c r="E1938" i="35"/>
  <c r="E2047" i="35"/>
  <c r="E1738" i="35"/>
  <c r="E1752" i="35"/>
  <c r="E1776" i="35"/>
  <c r="E1788" i="35"/>
  <c r="E1804" i="35"/>
  <c r="E1831" i="35"/>
  <c r="E1957" i="35"/>
  <c r="E1985" i="35"/>
  <c r="E2033" i="35"/>
  <c r="E1727" i="35"/>
  <c r="E1877" i="35"/>
  <c r="E1958" i="35"/>
  <c r="E2104" i="35"/>
  <c r="E1854" i="35"/>
  <c r="E1974" i="35"/>
  <c r="E1933" i="35"/>
  <c r="E1977" i="35"/>
  <c r="E1984" i="35"/>
  <c r="E2025" i="35"/>
  <c r="E1919" i="35"/>
  <c r="E1838" i="35"/>
  <c r="E1872" i="35"/>
  <c r="E1916" i="35"/>
  <c r="E1951" i="35"/>
  <c r="E1975" i="35"/>
  <c r="E2000" i="35"/>
  <c r="E1735" i="35"/>
  <c r="E1753" i="35"/>
  <c r="E1777" i="35"/>
  <c r="E1814" i="35"/>
  <c r="E1873" i="35"/>
  <c r="E1917" i="35"/>
  <c r="E1946" i="35"/>
  <c r="E1962" i="35"/>
  <c r="E2022" i="35"/>
  <c r="E2103" i="35"/>
  <c r="E2061" i="35"/>
  <c r="E2109" i="35"/>
  <c r="E1980" i="35"/>
  <c r="E1764" i="35"/>
  <c r="E1871" i="35"/>
  <c r="E1998" i="35"/>
  <c r="E1927" i="35"/>
  <c r="E2017" i="35"/>
  <c r="E4311" i="35"/>
  <c r="E1836" i="35"/>
  <c r="E2046" i="35"/>
  <c r="E1607" i="35"/>
  <c r="E1693" i="35"/>
  <c r="E1291" i="35"/>
  <c r="E1225" i="35"/>
  <c r="E1257" i="35"/>
  <c r="E1308" i="35"/>
  <c r="E1452" i="35"/>
  <c r="E1627" i="35"/>
  <c r="E1337" i="35"/>
  <c r="E1719" i="35"/>
  <c r="E1641" i="35"/>
  <c r="E1698" i="35"/>
  <c r="E1526" i="35"/>
  <c r="E1682" i="35"/>
  <c r="E1239" i="35"/>
  <c r="E1358" i="35"/>
  <c r="E1314" i="35"/>
  <c r="E1477" i="35"/>
  <c r="E1331" i="35"/>
  <c r="E1619" i="35"/>
  <c r="E609" i="35"/>
  <c r="E1681" i="35"/>
  <c r="E1600" i="35"/>
  <c r="E1593" i="35"/>
  <c r="E1523" i="35"/>
  <c r="E1561" i="35"/>
  <c r="E1549" i="35"/>
  <c r="E1459" i="35"/>
  <c r="E1480" i="35"/>
  <c r="E624" i="35"/>
  <c r="E431" i="35"/>
  <c r="E1950" i="35"/>
  <c r="E610" i="35"/>
  <c r="E1943" i="35"/>
  <c r="E2100" i="35"/>
  <c r="E1924" i="35"/>
  <c r="E1944" i="35"/>
  <c r="E2055" i="35"/>
  <c r="E1690" i="35"/>
  <c r="E1528" i="35"/>
  <c r="E1438" i="35"/>
  <c r="E1559" i="35"/>
  <c r="E1355" i="35"/>
  <c r="E1326" i="35"/>
  <c r="E1211" i="35"/>
  <c r="E1521" i="35"/>
  <c r="E1687" i="35"/>
  <c r="E1699" i="35"/>
  <c r="E2064" i="35"/>
  <c r="E1328" i="35"/>
  <c r="E1407" i="35"/>
  <c r="E1304" i="35"/>
  <c r="E1520" i="35"/>
  <c r="E1224" i="35"/>
  <c r="E1410" i="35"/>
  <c r="E1595" i="35"/>
  <c r="E1248" i="35"/>
  <c r="E1429" i="35"/>
  <c r="E1203" i="35"/>
  <c r="E1586" i="35"/>
  <c r="E1258" i="35"/>
  <c r="E1357" i="35"/>
  <c r="E1575" i="35"/>
  <c r="E1493" i="35"/>
  <c r="E1556" i="35"/>
  <c r="E1363" i="35"/>
  <c r="E1503" i="35"/>
  <c r="E1336" i="35"/>
  <c r="E1285" i="35"/>
  <c r="E1425" i="35"/>
  <c r="E1419" i="35"/>
  <c r="E1271" i="35"/>
  <c r="E1468" i="35"/>
  <c r="E1658" i="35"/>
  <c r="E1272" i="35"/>
  <c r="E1511" i="35"/>
  <c r="E1230" i="35"/>
  <c r="E1408" i="35"/>
  <c r="E1626" i="35"/>
  <c r="E1286" i="35"/>
  <c r="E1398" i="35"/>
  <c r="E1666" i="35"/>
  <c r="E1546" i="35"/>
  <c r="E1436" i="35"/>
  <c r="E1583" i="35"/>
  <c r="E453" i="35"/>
  <c r="E360" i="35"/>
  <c r="E4224" i="35"/>
  <c r="E1491" i="35"/>
  <c r="E2949" i="35"/>
  <c r="E1506" i="35"/>
  <c r="E3120" i="35"/>
  <c r="E1677" i="35"/>
  <c r="E1646" i="35"/>
  <c r="E1541" i="35"/>
  <c r="E1702" i="35"/>
  <c r="E1236" i="35"/>
  <c r="E1570" i="35"/>
  <c r="E1676" i="35"/>
  <c r="E1654" i="35"/>
  <c r="E1657" i="35"/>
  <c r="E1303" i="35"/>
  <c r="E1439" i="35"/>
  <c r="E1703" i="35"/>
  <c r="E1630" i="35"/>
  <c r="E1625" i="35"/>
  <c r="E1269" i="35"/>
  <c r="E1697" i="35"/>
  <c r="E1344" i="35"/>
  <c r="E1251" i="35"/>
  <c r="E1275" i="35"/>
  <c r="E1309" i="35"/>
  <c r="E1416" i="35"/>
  <c r="E1485" i="35"/>
  <c r="E1529" i="35"/>
  <c r="E1565" i="35"/>
  <c r="E1612" i="35"/>
  <c r="E1673" i="35"/>
  <c r="E1209" i="35"/>
  <c r="E1233" i="35"/>
  <c r="E1252" i="35"/>
  <c r="E1276" i="35"/>
  <c r="E1329" i="35"/>
  <c r="E1435" i="35"/>
  <c r="E1531" i="35"/>
  <c r="E1590" i="35"/>
  <c r="E1655" i="35"/>
  <c r="E1214" i="35"/>
  <c r="E1234" i="35"/>
  <c r="E1261" i="35"/>
  <c r="E1334" i="35"/>
  <c r="E1420" i="35"/>
  <c r="E1494" i="35"/>
  <c r="E1555" i="35"/>
  <c r="E1597" i="35"/>
  <c r="E1650" i="35"/>
  <c r="E1704" i="35"/>
  <c r="E1219" i="35"/>
  <c r="E1270" i="35"/>
  <c r="E1290" i="35"/>
  <c r="E1312" i="35"/>
  <c r="E1341" i="35"/>
  <c r="E1361" i="35"/>
  <c r="E1427" i="35"/>
  <c r="E1483" i="35"/>
  <c r="E1532" i="35"/>
  <c r="E1623" i="35"/>
  <c r="E1706" i="35"/>
  <c r="E1411" i="35"/>
  <c r="E1456" i="35"/>
  <c r="E1501" i="35"/>
  <c r="E1554" i="35"/>
  <c r="E1635" i="35"/>
  <c r="E1397" i="35"/>
  <c r="E1446" i="35"/>
  <c r="E1495" i="35"/>
  <c r="E1533" i="35"/>
  <c r="E1560" i="35"/>
  <c r="E1598" i="35"/>
  <c r="E1643" i="35"/>
  <c r="E1705" i="35"/>
  <c r="E1701" i="35"/>
  <c r="E2976" i="35"/>
  <c r="E1577" i="35"/>
  <c r="E1379" i="35"/>
  <c r="E1712" i="35"/>
  <c r="E1458" i="35"/>
  <c r="E1585" i="35"/>
  <c r="E1247" i="35"/>
  <c r="E1340" i="35"/>
  <c r="E1318" i="35"/>
  <c r="E1662" i="35"/>
  <c r="E1621" i="35"/>
  <c r="E1206" i="35"/>
  <c r="E1311" i="35"/>
  <c r="E1653" i="35"/>
  <c r="E1622" i="35"/>
  <c r="E1615" i="35"/>
  <c r="E1510" i="35"/>
  <c r="E1263" i="35"/>
  <c r="E1638" i="35"/>
  <c r="E1661" i="35"/>
  <c r="E1454" i="35"/>
  <c r="E1475" i="35"/>
  <c r="E1232" i="35"/>
  <c r="E1255" i="35"/>
  <c r="E1283" i="35"/>
  <c r="E1320" i="35"/>
  <c r="E1440" i="35"/>
  <c r="E1498" i="35"/>
  <c r="E1534" i="35"/>
  <c r="E1582" i="35"/>
  <c r="E1618" i="35"/>
  <c r="E1685" i="35"/>
  <c r="E1217" i="35"/>
  <c r="E1237" i="35"/>
  <c r="E1256" i="35"/>
  <c r="E1288" i="35"/>
  <c r="E1333" i="35"/>
  <c r="E1481" i="35"/>
  <c r="E1542" i="35"/>
  <c r="E1608" i="35"/>
  <c r="E1691" i="35"/>
  <c r="E1218" i="35"/>
  <c r="E1241" i="35"/>
  <c r="E1301" i="35"/>
  <c r="E1348" i="35"/>
  <c r="E1464" i="35"/>
  <c r="E1500" i="35"/>
  <c r="E1567" i="35"/>
  <c r="E1610" i="35"/>
  <c r="E1671" i="35"/>
  <c r="E1715" i="35"/>
  <c r="E1250" i="35"/>
  <c r="E1274" i="35"/>
  <c r="E1294" i="35"/>
  <c r="E1319" i="35"/>
  <c r="E1345" i="35"/>
  <c r="E1445" i="35"/>
  <c r="E1496" i="35"/>
  <c r="E1538" i="35"/>
  <c r="E1642" i="35"/>
  <c r="E1423" i="35"/>
  <c r="E1471" i="35"/>
  <c r="E1508" i="35"/>
  <c r="E1558" i="35"/>
  <c r="E1667" i="35"/>
  <c r="E1401" i="35"/>
  <c r="E1465" i="35"/>
  <c r="E1514" i="35"/>
  <c r="E1537" i="35"/>
  <c r="E1568" i="35"/>
  <c r="E1602" i="35"/>
  <c r="E1659" i="35"/>
  <c r="E1716" i="35"/>
  <c r="E4240" i="35"/>
  <c r="E3312" i="35"/>
  <c r="E1544" i="35"/>
  <c r="E1629" i="35"/>
  <c r="E1463" i="35"/>
  <c r="E1669" i="35"/>
  <c r="E1297" i="35"/>
  <c r="E1689" i="35"/>
  <c r="E1444" i="35"/>
  <c r="E1443" i="35"/>
  <c r="E1637" i="35"/>
  <c r="E1322" i="35"/>
  <c r="E1594" i="35"/>
  <c r="E1432" i="35"/>
  <c r="E1488" i="35"/>
  <c r="E1243" i="35"/>
  <c r="E1307" i="35"/>
  <c r="E1581" i="35"/>
  <c r="E1604" i="35"/>
  <c r="E1711" i="35"/>
  <c r="E1216" i="35"/>
  <c r="E1212" i="35"/>
  <c r="E1267" i="35"/>
  <c r="E1287" i="35"/>
  <c r="E1342" i="35"/>
  <c r="E1404" i="35"/>
  <c r="E1447" i="35"/>
  <c r="E1504" i="35"/>
  <c r="E1551" i="35"/>
  <c r="E1588" i="35"/>
  <c r="E1639" i="35"/>
  <c r="E1713" i="35"/>
  <c r="E1221" i="35"/>
  <c r="E1240" i="35"/>
  <c r="E1264" i="35"/>
  <c r="E1300" i="35"/>
  <c r="E1347" i="35"/>
  <c r="E1400" i="35"/>
  <c r="E1492" i="35"/>
  <c r="E1547" i="35"/>
  <c r="E1634" i="35"/>
  <c r="E1708" i="35"/>
  <c r="E1222" i="35"/>
  <c r="E1253" i="35"/>
  <c r="E1315" i="35"/>
  <c r="E1352" i="35"/>
  <c r="E1402" i="35"/>
  <c r="E1470" i="35"/>
  <c r="E1525" i="35"/>
  <c r="E1578" i="35"/>
  <c r="E1616" i="35"/>
  <c r="E1683" i="35"/>
  <c r="E1207" i="35"/>
  <c r="E1254" i="35"/>
  <c r="E1278" i="35"/>
  <c r="E1305" i="35"/>
  <c r="E1323" i="35"/>
  <c r="E1349" i="35"/>
  <c r="E1451" i="35"/>
  <c r="E1507" i="35"/>
  <c r="E1563" i="35"/>
  <c r="E1663" i="35"/>
  <c r="E1441" i="35"/>
  <c r="E1486" i="35"/>
  <c r="E1516" i="35"/>
  <c r="E1589" i="35"/>
  <c r="E1674" i="35"/>
  <c r="E1417" i="35"/>
  <c r="E1473" i="35"/>
  <c r="E1518" i="35"/>
  <c r="E1552" i="35"/>
  <c r="E1579" i="35"/>
  <c r="E1609" i="35"/>
  <c r="E1695" i="35"/>
  <c r="E2397" i="35"/>
  <c r="E2552" i="35"/>
  <c r="E929" i="35"/>
  <c r="E2382" i="35"/>
  <c r="E1670" i="35"/>
  <c r="E1395" i="35"/>
  <c r="E1462" i="35"/>
  <c r="E1645" i="35"/>
  <c r="E1718" i="35"/>
  <c r="E1426" i="35"/>
  <c r="E1476" i="35"/>
  <c r="E1228" i="35"/>
  <c r="E1293" i="35"/>
  <c r="E1220" i="35"/>
  <c r="E1259" i="35"/>
  <c r="E1279" i="35"/>
  <c r="E1295" i="35"/>
  <c r="E1354" i="35"/>
  <c r="E1422" i="35"/>
  <c r="E1479" i="35"/>
  <c r="E1515" i="35"/>
  <c r="E1545" i="35"/>
  <c r="E1571" i="35"/>
  <c r="E1601" i="35"/>
  <c r="E1649" i="35"/>
  <c r="E1694" i="35"/>
  <c r="E1213" i="35"/>
  <c r="E1229" i="35"/>
  <c r="E1244" i="35"/>
  <c r="E1260" i="35"/>
  <c r="E1280" i="35"/>
  <c r="E1325" i="35"/>
  <c r="E1351" i="35"/>
  <c r="E1380" i="35"/>
  <c r="E1455" i="35"/>
  <c r="E1517" i="35"/>
  <c r="E1553" i="35"/>
  <c r="E1631" i="35"/>
  <c r="E1665" i="35"/>
  <c r="E1210" i="35"/>
  <c r="E1226" i="35"/>
  <c r="E1245" i="35"/>
  <c r="E1281" i="35"/>
  <c r="E1330" i="35"/>
  <c r="E1360" i="35"/>
  <c r="E1396" i="35"/>
  <c r="E1449" i="35"/>
  <c r="E1489" i="35"/>
  <c r="E1536" i="35"/>
  <c r="E1573" i="35"/>
  <c r="E1605" i="35"/>
  <c r="E1647" i="35"/>
  <c r="E1686" i="35"/>
  <c r="E1721" i="35"/>
  <c r="E1223" i="35"/>
  <c r="E1266" i="35"/>
  <c r="E1282" i="35"/>
  <c r="E1298" i="35"/>
  <c r="E1316" i="35"/>
  <c r="E1338" i="35"/>
  <c r="E1353" i="35"/>
  <c r="E1433" i="35"/>
  <c r="E1472" i="35"/>
  <c r="E1513" i="35"/>
  <c r="E1557" i="35"/>
  <c r="E1633" i="35"/>
  <c r="E1678" i="35"/>
  <c r="E1430" i="35"/>
  <c r="E1460" i="35"/>
  <c r="E1497" i="35"/>
  <c r="E1539" i="35"/>
  <c r="E1574" i="35"/>
  <c r="E1651" i="35"/>
  <c r="E1722" i="35"/>
  <c r="E1405" i="35"/>
  <c r="E1450" i="35"/>
  <c r="E1484" i="35"/>
  <c r="E1522" i="35"/>
  <c r="E1548" i="35"/>
  <c r="E1564" i="35"/>
  <c r="E1591" i="35"/>
  <c r="E1613" i="35"/>
  <c r="E1679" i="35"/>
  <c r="E4732" i="35"/>
  <c r="E4728" i="35"/>
  <c r="E4722" i="35"/>
  <c r="E4708" i="35"/>
  <c r="E4701" i="35"/>
  <c r="E4656" i="35"/>
  <c r="E4638" i="35"/>
  <c r="E4631" i="35"/>
  <c r="E4627" i="35"/>
  <c r="E4604" i="35"/>
  <c r="E4585" i="35"/>
  <c r="E4578" i="35"/>
  <c r="E4570" i="35"/>
  <c r="E4559" i="35"/>
  <c r="E4541" i="35"/>
  <c r="E4528" i="35"/>
  <c r="E4731" i="35"/>
  <c r="E4727" i="35"/>
  <c r="E4721" i="35"/>
  <c r="E4718" i="35"/>
  <c r="E4711" i="35"/>
  <c r="E4704" i="35"/>
  <c r="E4692" i="35"/>
  <c r="E4685" i="35"/>
  <c r="E4681" i="35"/>
  <c r="E4674" i="35"/>
  <c r="E4659" i="35"/>
  <c r="E4652" i="35"/>
  <c r="E4648" i="35"/>
  <c r="E4641" i="35"/>
  <c r="E4618" i="35"/>
  <c r="E4607" i="35"/>
  <c r="E4603" i="35"/>
  <c r="E4599" i="35"/>
  <c r="E4595" i="35"/>
  <c r="E4588" i="35"/>
  <c r="E4584" i="35"/>
  <c r="E4581" i="35"/>
  <c r="E4577" i="35"/>
  <c r="E4573" i="35"/>
  <c r="E4569" i="35"/>
  <c r="E4558" i="35"/>
  <c r="E4554" i="35"/>
  <c r="E4550" i="35"/>
  <c r="E4734" i="35"/>
  <c r="E4730" i="35"/>
  <c r="E4714" i="35"/>
  <c r="E4695" i="35"/>
  <c r="E4688" i="35"/>
  <c r="E4684" i="35"/>
  <c r="E4677" i="35"/>
  <c r="E4673" i="35"/>
  <c r="E4669" i="35"/>
  <c r="E4662" i="35"/>
  <c r="E4651" i="35"/>
  <c r="E4644" i="35"/>
  <c r="E4621" i="35"/>
  <c r="E4614" i="35"/>
  <c r="E4610" i="35"/>
  <c r="E4606" i="35"/>
  <c r="E4602" i="35"/>
  <c r="E4598" i="35"/>
  <c r="E4591" i="35"/>
  <c r="E4576" i="35"/>
  <c r="E4572" i="35"/>
  <c r="E4564" i="35"/>
  <c r="E4557" i="35"/>
  <c r="E4553" i="35"/>
  <c r="E4546" i="35"/>
  <c r="E4698" i="35"/>
  <c r="E4672" i="35"/>
  <c r="E4650" i="35"/>
  <c r="E4609" i="35"/>
  <c r="E4590" i="35"/>
  <c r="E4571" i="35"/>
  <c r="E4563" i="35"/>
  <c r="E4545" i="35"/>
  <c r="E4504" i="35"/>
  <c r="E4500" i="35"/>
  <c r="E4496" i="35"/>
  <c r="E4489" i="35"/>
  <c r="E4485" i="35"/>
  <c r="E4473" i="35"/>
  <c r="E4469" i="35"/>
  <c r="E4465" i="35"/>
  <c r="E4438" i="35"/>
  <c r="E4434" i="35"/>
  <c r="E4430" i="35"/>
  <c r="E4422" i="35"/>
  <c r="E4418" i="35"/>
  <c r="E4414" i="35"/>
  <c r="E4410" i="35"/>
  <c r="E4406" i="35"/>
  <c r="E4402" i="35"/>
  <c r="E4398" i="35"/>
  <c r="E4713" i="35"/>
  <c r="E4687" i="35"/>
  <c r="E4665" i="35"/>
  <c r="E4597" i="35"/>
  <c r="E4552" i="35"/>
  <c r="E4537" i="35"/>
  <c r="E4533" i="35"/>
  <c r="E4526" i="35"/>
  <c r="E4521" i="35"/>
  <c r="E4507" i="35"/>
  <c r="E4503" i="35"/>
  <c r="E4488" i="35"/>
  <c r="E4476" i="35"/>
  <c r="E4472" i="35"/>
  <c r="E4468" i="35"/>
  <c r="E4452" i="35"/>
  <c r="E4445" i="35"/>
  <c r="E4441" i="35"/>
  <c r="E4429" i="35"/>
  <c r="E4421" i="35"/>
  <c r="E4417" i="35"/>
  <c r="E4413" i="35"/>
  <c r="E4405" i="35"/>
  <c r="E4401" i="35"/>
  <c r="E4394" i="35"/>
  <c r="E4733" i="35"/>
  <c r="E4694" i="35"/>
  <c r="E4676" i="35"/>
  <c r="E4668" i="35"/>
  <c r="E4613" i="35"/>
  <c r="E4605" i="35"/>
  <c r="E4575" i="35"/>
  <c r="E4567" i="35"/>
  <c r="E4560" i="35"/>
  <c r="E4532" i="35"/>
  <c r="E4529" i="35"/>
  <c r="E4524" i="35"/>
  <c r="E4517" i="35"/>
  <c r="E4510" i="35"/>
  <c r="E4479" i="35"/>
  <c r="E4475" i="35"/>
  <c r="E4459" i="35"/>
  <c r="E4455" i="35"/>
  <c r="E4448" i="35"/>
  <c r="E4444" i="35"/>
  <c r="E4440" i="35"/>
  <c r="E4428" i="35"/>
  <c r="E4424" i="35"/>
  <c r="E4420" i="35"/>
  <c r="E4416" i="35"/>
  <c r="E4412" i="35"/>
  <c r="E4404" i="35"/>
  <c r="E4643" i="35"/>
  <c r="E4635" i="35"/>
  <c r="E4628" i="35"/>
  <c r="E4601" i="35"/>
  <c r="E4556" i="35"/>
  <c r="E4523" i="35"/>
  <c r="E4509" i="35"/>
  <c r="E4482" i="35"/>
  <c r="E4474" i="35"/>
  <c r="E4462" i="35"/>
  <c r="E4454" i="35"/>
  <c r="E4427" i="35"/>
  <c r="E4415" i="35"/>
  <c r="E4403" i="35"/>
  <c r="E4683" i="35"/>
  <c r="E4661" i="35"/>
  <c r="E4654" i="35"/>
  <c r="E4497" i="35"/>
  <c r="E4443" i="35"/>
  <c r="E4435" i="35"/>
  <c r="E4411" i="35"/>
  <c r="E4720" i="35"/>
  <c r="E4527" i="35"/>
  <c r="E4513" i="35"/>
  <c r="E4478" i="35"/>
  <c r="E4458" i="35"/>
  <c r="E4423" i="35"/>
  <c r="E4447" i="35"/>
  <c r="E4419" i="35"/>
  <c r="E4729" i="35"/>
  <c r="E4396" i="35"/>
  <c r="E4620" i="35"/>
  <c r="E4516" i="35"/>
  <c r="E4431" i="35"/>
  <c r="E4407" i="35"/>
  <c r="E4493" i="35"/>
  <c r="E4439" i="35"/>
  <c r="E4457" i="35"/>
  <c r="E4549" i="35"/>
  <c r="E4409" i="35"/>
  <c r="E4467" i="35"/>
  <c r="E4583" i="35"/>
  <c r="E4461" i="35"/>
  <c r="E4531" i="35"/>
  <c r="E4437" i="35"/>
  <c r="E4630" i="35"/>
  <c r="E4664" i="35"/>
  <c r="E4633" i="35"/>
  <c r="E4626" i="35"/>
  <c r="E4691" i="35"/>
  <c r="E4512" i="35"/>
  <c r="E4433" i="35"/>
  <c r="E4487" i="35"/>
  <c r="E4520" i="35"/>
  <c r="E4612" i="35"/>
  <c r="E4471" i="35"/>
  <c r="E4710" i="35"/>
  <c r="E4492" i="35"/>
  <c r="E4543" i="35"/>
  <c r="E4637" i="35"/>
  <c r="E4703" i="35"/>
  <c r="E4397" i="35"/>
  <c r="E4640" i="35"/>
  <c r="E4680" i="35"/>
  <c r="E4634" i="35"/>
  <c r="E4726" i="35"/>
  <c r="E4540" i="35"/>
  <c r="E4536" i="35"/>
  <c r="E4495" i="35"/>
  <c r="E4539" i="35"/>
  <c r="E4400" i="35"/>
  <c r="E4481" i="35"/>
  <c r="E4499" i="35"/>
  <c r="E4587" i="35"/>
  <c r="E4544" i="35"/>
  <c r="E4617" i="35"/>
  <c r="E4658" i="35"/>
  <c r="E4697" i="35"/>
  <c r="E4667" i="35"/>
  <c r="E4655" i="35"/>
  <c r="E4464" i="35"/>
  <c r="E4484" i="35"/>
  <c r="E4594" i="35"/>
  <c r="E4502" i="35"/>
  <c r="E4451" i="35"/>
  <c r="E4506" i="35"/>
  <c r="E4566" i="35"/>
  <c r="E4426" i="35"/>
  <c r="E4515" i="35"/>
  <c r="E4700" i="35"/>
  <c r="E4623" i="35"/>
  <c r="E4647" i="35"/>
  <c r="E4580" i="35"/>
  <c r="E4671" i="35"/>
  <c r="E4717" i="35"/>
  <c r="E4707" i="35"/>
  <c r="E4690" i="35"/>
  <c r="E4562" i="35"/>
  <c r="E4491" i="35"/>
  <c r="E4716" i="35"/>
  <c r="E4450" i="35"/>
  <c r="E4535" i="35"/>
  <c r="E4725" i="35"/>
  <c r="E4548" i="35"/>
  <c r="E4646" i="35"/>
  <c r="E4706" i="35"/>
  <c r="E4593" i="35"/>
  <c r="E4616" i="35"/>
  <c r="E4679" i="35"/>
  <c r="E4519" i="35"/>
  <c r="E828" i="35"/>
  <c r="E127" i="35"/>
  <c r="E765" i="35"/>
  <c r="E2301" i="35"/>
  <c r="E2524" i="35"/>
  <c r="E4110" i="35"/>
  <c r="E4360" i="35"/>
  <c r="E2236" i="35"/>
  <c r="E2464" i="35"/>
  <c r="E3351" i="35"/>
  <c r="E3689" i="35"/>
  <c r="E3685" i="35"/>
  <c r="E3681" i="35"/>
  <c r="E3674" i="35"/>
  <c r="E3670" i="35"/>
  <c r="E3656" i="35"/>
  <c r="E3649" i="35"/>
  <c r="E3645" i="35"/>
  <c r="E3626" i="35"/>
  <c r="E3616" i="35"/>
  <c r="E3612" i="35"/>
  <c r="E3672" i="35"/>
  <c r="E3668" i="35"/>
  <c r="E3661" i="35"/>
  <c r="E3640" i="35"/>
  <c r="E3636" i="35"/>
  <c r="E3632" i="35"/>
  <c r="E3628" i="35"/>
  <c r="E3624" i="35"/>
  <c r="E3688" i="35"/>
  <c r="E3678" i="35"/>
  <c r="E3671" i="35"/>
  <c r="E3665" i="35"/>
  <c r="E3655" i="35"/>
  <c r="E3611" i="35"/>
  <c r="E3603" i="35"/>
  <c r="E3599" i="35"/>
  <c r="E3596" i="35"/>
  <c r="E3585" i="35"/>
  <c r="E3578" i="35"/>
  <c r="E3574" i="35"/>
  <c r="E3570" i="35"/>
  <c r="E3566" i="35"/>
  <c r="E3563" i="35"/>
  <c r="E3559" i="35"/>
  <c r="E3547" i="35"/>
  <c r="E3540" i="35"/>
  <c r="E3537" i="35"/>
  <c r="E3533" i="35"/>
  <c r="E3525" i="35"/>
  <c r="E3521" i="35"/>
  <c r="E3514" i="35"/>
  <c r="E3510" i="35"/>
  <c r="E3502" i="35"/>
  <c r="E3498" i="35"/>
  <c r="E3494" i="35"/>
  <c r="E3491" i="35"/>
  <c r="E3483" i="35"/>
  <c r="E3480" i="35"/>
  <c r="E3476" i="35"/>
  <c r="E3472" i="35"/>
  <c r="E3464" i="35"/>
  <c r="E3456" i="35"/>
  <c r="E3452" i="35"/>
  <c r="E3448" i="35"/>
  <c r="E3444" i="35"/>
  <c r="E3440" i="35"/>
  <c r="E3436" i="35"/>
  <c r="E3432" i="35"/>
  <c r="E3428" i="35"/>
  <c r="E3424" i="35"/>
  <c r="E3420" i="35"/>
  <c r="E3413" i="35"/>
  <c r="E3409" i="35"/>
  <c r="E3401" i="35"/>
  <c r="E3397" i="35"/>
  <c r="E3393" i="35"/>
  <c r="E3385" i="35"/>
  <c r="E3381" i="35"/>
  <c r="E3377" i="35"/>
  <c r="E3373" i="35"/>
  <c r="E3369" i="35"/>
  <c r="E3365" i="35"/>
  <c r="E3682" i="35"/>
  <c r="E3669" i="35"/>
  <c r="E3659" i="35"/>
  <c r="E3648" i="35"/>
  <c r="E3635" i="35"/>
  <c r="E3627" i="35"/>
  <c r="E3592" i="35"/>
  <c r="E3588" i="35"/>
  <c r="E3581" i="35"/>
  <c r="E3555" i="35"/>
  <c r="E3551" i="35"/>
  <c r="E3536" i="35"/>
  <c r="E3532" i="35"/>
  <c r="E3528" i="35"/>
  <c r="E3524" i="35"/>
  <c r="E3520" i="35"/>
  <c r="E3505" i="35"/>
  <c r="E3490" i="35"/>
  <c r="E3486" i="35"/>
  <c r="E3479" i="35"/>
  <c r="E3475" i="35"/>
  <c r="E3471" i="35"/>
  <c r="E3467" i="35"/>
  <c r="E3463" i="35"/>
  <c r="E3459" i="35"/>
  <c r="E3455" i="35"/>
  <c r="E3451" i="35"/>
  <c r="E3439" i="35"/>
  <c r="E3435" i="35"/>
  <c r="E3431" i="35"/>
  <c r="E3427" i="35"/>
  <c r="E3423" i="35"/>
  <c r="E3419" i="35"/>
  <c r="E3412" i="35"/>
  <c r="E3408" i="35"/>
  <c r="E3404" i="35"/>
  <c r="E3396" i="35"/>
  <c r="E3392" i="35"/>
  <c r="E3388" i="35"/>
  <c r="E3384" i="35"/>
  <c r="E3380" i="35"/>
  <c r="E3376" i="35"/>
  <c r="E3372" i="35"/>
  <c r="E3686" i="35"/>
  <c r="E3680" i="35"/>
  <c r="E3667" i="35"/>
  <c r="E3653" i="35"/>
  <c r="E3641" i="35"/>
  <c r="E3625" i="35"/>
  <c r="E3620" i="35"/>
  <c r="E3609" i="35"/>
  <c r="E3605" i="35"/>
  <c r="E3601" i="35"/>
  <c r="E3591" i="35"/>
  <c r="E3568" i="35"/>
  <c r="E3554" i="35"/>
  <c r="E3550" i="35"/>
  <c r="E3545" i="35"/>
  <c r="E3535" i="35"/>
  <c r="E3531" i="35"/>
  <c r="E3527" i="35"/>
  <c r="E3523" i="35"/>
  <c r="E3519" i="35"/>
  <c r="E3512" i="35"/>
  <c r="E3508" i="35"/>
  <c r="E3496" i="35"/>
  <c r="E3489" i="35"/>
  <c r="E3485" i="35"/>
  <c r="E3478" i="35"/>
  <c r="E3474" i="35"/>
  <c r="E3470" i="35"/>
  <c r="E3466" i="35"/>
  <c r="E3462" i="35"/>
  <c r="E3458" i="35"/>
  <c r="E3450" i="35"/>
  <c r="E3446" i="35"/>
  <c r="E3442" i="35"/>
  <c r="E3438" i="35"/>
  <c r="E3434" i="35"/>
  <c r="E3426" i="35"/>
  <c r="E3418" i="35"/>
  <c r="E3411" i="35"/>
  <c r="E3407" i="35"/>
  <c r="E3403" i="35"/>
  <c r="E3395" i="35"/>
  <c r="E3391" i="35"/>
  <c r="E3387" i="35"/>
  <c r="E3383" i="35"/>
  <c r="E3379" i="35"/>
  <c r="E3375" i="35"/>
  <c r="E3371" i="35"/>
  <c r="E3639" i="35"/>
  <c r="E3604" i="35"/>
  <c r="E3590" i="35"/>
  <c r="E3534" i="35"/>
  <c r="E3522" i="35"/>
  <c r="E3488" i="35"/>
  <c r="E3457" i="35"/>
  <c r="E3445" i="35"/>
  <c r="E3433" i="35"/>
  <c r="E3417" i="35"/>
  <c r="E3406" i="35"/>
  <c r="E3398" i="35"/>
  <c r="E3386" i="35"/>
  <c r="E3370" i="35"/>
  <c r="E3363" i="35"/>
  <c r="E3623" i="35"/>
  <c r="E3613" i="35"/>
  <c r="E3571" i="35"/>
  <c r="E3557" i="35"/>
  <c r="E3548" i="35"/>
  <c r="E3541" i="35"/>
  <c r="E3530" i="35"/>
  <c r="E3518" i="35"/>
  <c r="E3511" i="35"/>
  <c r="E3495" i="35"/>
  <c r="E3477" i="35"/>
  <c r="E3465" i="35"/>
  <c r="E3394" i="35"/>
  <c r="E3382" i="35"/>
  <c r="E3684" i="35"/>
  <c r="E3657" i="35"/>
  <c r="E3644" i="35"/>
  <c r="E3600" i="35"/>
  <c r="E3594" i="35"/>
  <c r="E3484" i="35"/>
  <c r="E3473" i="35"/>
  <c r="E3461" i="35"/>
  <c r="E3449" i="35"/>
  <c r="E3441" i="35"/>
  <c r="E3425" i="35"/>
  <c r="E3414" i="35"/>
  <c r="E3402" i="35"/>
  <c r="E3390" i="35"/>
  <c r="E3378" i="35"/>
  <c r="E3366" i="35"/>
  <c r="E3544" i="35"/>
  <c r="E3673" i="35"/>
  <c r="E3660" i="35"/>
  <c r="E3553" i="35"/>
  <c r="E3526" i="35"/>
  <c r="E3469" i="35"/>
  <c r="E3631" i="35"/>
  <c r="E3567" i="35"/>
  <c r="E3560" i="35"/>
  <c r="E3507" i="35"/>
  <c r="E3499" i="35"/>
  <c r="E3575" i="35"/>
  <c r="E3515" i="35"/>
  <c r="E3437" i="35"/>
  <c r="E3410" i="35"/>
  <c r="E3374" i="35"/>
  <c r="E3539" i="35"/>
  <c r="E3493" i="35"/>
  <c r="E3517" i="35"/>
  <c r="E3587" i="35"/>
  <c r="E3454" i="35"/>
  <c r="E3595" i="35"/>
  <c r="E3543" i="35"/>
  <c r="E3615" i="35"/>
  <c r="E3634" i="35"/>
  <c r="E3630" i="35"/>
  <c r="E3643" i="35"/>
  <c r="E3364" i="35"/>
  <c r="E3619" i="35"/>
  <c r="E3562" i="35"/>
  <c r="E3368" i="35"/>
  <c r="E3504" i="35"/>
  <c r="E3558" i="35"/>
  <c r="E3652" i="35"/>
  <c r="E3647" i="35"/>
  <c r="E3664" i="35"/>
  <c r="E3638" i="35"/>
  <c r="E3400" i="35"/>
  <c r="E3584" i="35"/>
  <c r="E3577" i="35"/>
  <c r="E3565" i="35"/>
  <c r="E3573" i="35"/>
  <c r="E3663" i="35"/>
  <c r="E3677" i="35"/>
  <c r="E3422" i="35"/>
  <c r="E3608" i="35"/>
  <c r="E3501" i="35"/>
  <c r="E3430" i="35"/>
  <c r="E3580" i="35"/>
  <c r="E3482" i="35"/>
  <c r="E3598" i="35"/>
  <c r="E3676" i="35"/>
  <c r="E4724" i="35"/>
  <c r="E299" i="35"/>
  <c r="E284" i="35"/>
  <c r="E278" i="35"/>
  <c r="E274" i="35"/>
  <c r="E270" i="35"/>
  <c r="E262" i="35"/>
  <c r="E247" i="35"/>
  <c r="E243" i="35"/>
  <c r="E235" i="35"/>
  <c r="E228" i="35"/>
  <c r="E224" i="35"/>
  <c r="E216" i="35"/>
  <c r="E212" i="35"/>
  <c r="E208" i="35"/>
  <c r="E204" i="35"/>
  <c r="E200" i="35"/>
  <c r="E192" i="35"/>
  <c r="E184" i="35"/>
  <c r="E180" i="35"/>
  <c r="E176" i="35"/>
  <c r="E172" i="35"/>
  <c r="E168" i="35"/>
  <c r="E165" i="35"/>
  <c r="E161" i="35"/>
  <c r="E154" i="35"/>
  <c r="E150" i="35"/>
  <c r="E146" i="35"/>
  <c r="E142" i="35"/>
  <c r="E138" i="35"/>
  <c r="E298" i="35"/>
  <c r="E291" i="35"/>
  <c r="E287" i="35"/>
  <c r="E269" i="35"/>
  <c r="E265" i="35"/>
  <c r="E258" i="35"/>
  <c r="E254" i="35"/>
  <c r="E250" i="35"/>
  <c r="E246" i="35"/>
  <c r="E242" i="35"/>
  <c r="E238" i="35"/>
  <c r="E227" i="35"/>
  <c r="E223" i="35"/>
  <c r="E219" i="35"/>
  <c r="E211" i="35"/>
  <c r="E203" i="35"/>
  <c r="E199" i="35"/>
  <c r="E195" i="35"/>
  <c r="E191" i="35"/>
  <c r="E187" i="35"/>
  <c r="E175" i="35"/>
  <c r="E171" i="35"/>
  <c r="E164" i="35"/>
  <c r="E157" i="35"/>
  <c r="E153" i="35"/>
  <c r="E149" i="35"/>
  <c r="E145" i="35"/>
  <c r="E141" i="35"/>
  <c r="E137" i="35"/>
  <c r="E133" i="35"/>
  <c r="E129" i="35"/>
  <c r="E122" i="35"/>
  <c r="E113" i="35"/>
  <c r="E104" i="35"/>
  <c r="E100" i="35"/>
  <c r="E92" i="35"/>
  <c r="E88" i="35"/>
  <c r="E84" i="35"/>
  <c r="E80" i="35"/>
  <c r="E76" i="35"/>
  <c r="E72" i="35"/>
  <c r="E68" i="35"/>
  <c r="E64" i="35"/>
  <c r="E60" i="35"/>
  <c r="E53" i="35"/>
  <c r="E49" i="35"/>
  <c r="E27" i="35"/>
  <c r="E272" i="35"/>
  <c r="E268" i="35"/>
  <c r="E253" i="35"/>
  <c r="E237" i="35"/>
  <c r="E233" i="35"/>
  <c r="E226" i="35"/>
  <c r="E222" i="35"/>
  <c r="E198" i="35"/>
  <c r="E190" i="35"/>
  <c r="E182" i="35"/>
  <c r="E178" i="35"/>
  <c r="E170" i="35"/>
  <c r="E160" i="35"/>
  <c r="E144" i="35"/>
  <c r="E136" i="35"/>
  <c r="E125" i="35"/>
  <c r="E112" i="35"/>
  <c r="E99" i="35"/>
  <c r="E95" i="35"/>
  <c r="E83" i="35"/>
  <c r="E75" i="35"/>
  <c r="E67" i="35"/>
  <c r="E56" i="35"/>
  <c r="E48" i="35"/>
  <c r="E20" i="35"/>
  <c r="E115" i="35"/>
  <c r="E105" i="35"/>
  <c r="E94" i="35"/>
  <c r="E70" i="35"/>
  <c r="E297" i="35"/>
  <c r="E294" i="35"/>
  <c r="E286" i="35"/>
  <c r="E257" i="35"/>
  <c r="E249" i="35"/>
  <c r="E241" i="35"/>
  <c r="E218" i="35"/>
  <c r="E210" i="35"/>
  <c r="E202" i="35"/>
  <c r="E194" i="35"/>
  <c r="E186" i="35"/>
  <c r="E174" i="35"/>
  <c r="E163" i="35"/>
  <c r="E156" i="35"/>
  <c r="E148" i="35"/>
  <c r="E140" i="35"/>
  <c r="E103" i="35"/>
  <c r="E91" i="35"/>
  <c r="E79" i="35"/>
  <c r="E71" i="35"/>
  <c r="E63" i="35"/>
  <c r="E18" i="35"/>
  <c r="E98" i="35"/>
  <c r="E82" i="35"/>
  <c r="E62" i="35"/>
  <c r="E285" i="35"/>
  <c r="E279" i="35"/>
  <c r="E275" i="35"/>
  <c r="E271" i="35"/>
  <c r="E248" i="35"/>
  <c r="E236" i="35"/>
  <c r="E229" i="35"/>
  <c r="E225" i="35"/>
  <c r="E217" i="35"/>
  <c r="E213" i="35"/>
  <c r="E209" i="35"/>
  <c r="E205" i="35"/>
  <c r="E201" i="35"/>
  <c r="E193" i="35"/>
  <c r="E185" i="35"/>
  <c r="E181" i="35"/>
  <c r="E177" i="35"/>
  <c r="E173" i="35"/>
  <c r="E169" i="35"/>
  <c r="E162" i="35"/>
  <c r="E155" i="35"/>
  <c r="E147" i="35"/>
  <c r="E143" i="35"/>
  <c r="E139" i="35"/>
  <c r="E124" i="35"/>
  <c r="E119" i="35"/>
  <c r="E108" i="35"/>
  <c r="E102" i="35"/>
  <c r="E90" i="35"/>
  <c r="E78" i="35"/>
  <c r="E55" i="35"/>
  <c r="E47" i="35"/>
  <c r="E69" i="35"/>
  <c r="E46" i="35"/>
  <c r="E31" i="35"/>
  <c r="E123" i="35"/>
  <c r="E114" i="35"/>
  <c r="E93" i="35"/>
  <c r="E81" i="35"/>
  <c r="E54" i="35"/>
  <c r="E34" i="35"/>
  <c r="E130" i="35"/>
  <c r="E89" i="35"/>
  <c r="E61" i="35"/>
  <c r="E19" i="35"/>
  <c r="E101" i="35"/>
  <c r="E77" i="35"/>
  <c r="E118" i="35"/>
  <c r="E107" i="35"/>
  <c r="E97" i="35"/>
  <c r="E50" i="35"/>
  <c r="E21" i="35"/>
  <c r="E85" i="35"/>
  <c r="E24" i="35"/>
  <c r="E17" i="35"/>
  <c r="E117" i="35"/>
  <c r="E74" i="35"/>
  <c r="E215" i="35"/>
  <c r="E189" i="35"/>
  <c r="E29" i="35"/>
  <c r="E159" i="35"/>
  <c r="E283" i="35"/>
  <c r="E66" i="35"/>
  <c r="E252" i="35"/>
  <c r="E59" i="35"/>
  <c r="E207" i="35"/>
  <c r="E26" i="35"/>
  <c r="E87" i="35"/>
  <c r="E240" i="35"/>
  <c r="E277" i="35"/>
  <c r="E221" i="35"/>
  <c r="E15" i="35"/>
  <c r="E132" i="35"/>
  <c r="E264" i="35"/>
  <c r="E135" i="35"/>
  <c r="E267" i="35"/>
  <c r="E33" i="35"/>
  <c r="E260" i="35"/>
  <c r="E52" i="35"/>
  <c r="E111" i="35"/>
  <c r="E245" i="35"/>
  <c r="E23" i="35"/>
  <c r="E197" i="35"/>
  <c r="E281" i="35"/>
  <c r="E256" i="35"/>
  <c r="E232" i="35"/>
  <c r="E293" i="35"/>
  <c r="E152" i="35"/>
  <c r="E296" i="35"/>
  <c r="E121" i="35"/>
  <c r="E261" i="35"/>
  <c r="E30" i="35"/>
  <c r="E231" i="35"/>
  <c r="E289" i="35"/>
  <c r="E282" i="35"/>
  <c r="E128" i="35"/>
  <c r="E167" i="35"/>
  <c r="E3622" i="35"/>
  <c r="E1090" i="35"/>
  <c r="E2534" i="35"/>
  <c r="E2517" i="35"/>
  <c r="E2513" i="35"/>
  <c r="E2507" i="35"/>
  <c r="E2456" i="35"/>
  <c r="E2448" i="35"/>
  <c r="E2444" i="35"/>
  <c r="E2436" i="35"/>
  <c r="E2432" i="35"/>
  <c r="E2428" i="35"/>
  <c r="E2420" i="35"/>
  <c r="E2404" i="35"/>
  <c r="E2389" i="35"/>
  <c r="E2557" i="35"/>
  <c r="E2547" i="35"/>
  <c r="E2540" i="35"/>
  <c r="E2533" i="35"/>
  <c r="E2530" i="35"/>
  <c r="E2526" i="35"/>
  <c r="E2516" i="35"/>
  <c r="E2512" i="35"/>
  <c r="E2506" i="35"/>
  <c r="E2466" i="35"/>
  <c r="E2459" i="35"/>
  <c r="E2455" i="35"/>
  <c r="E2451" i="35"/>
  <c r="E2447" i="35"/>
  <c r="E2443" i="35"/>
  <c r="E2439" i="35"/>
  <c r="E2435" i="35"/>
  <c r="E2431" i="35"/>
  <c r="E2427" i="35"/>
  <c r="E2419" i="35"/>
  <c r="E2415" i="35"/>
  <c r="E2411" i="35"/>
  <c r="E2407" i="35"/>
  <c r="E2403" i="35"/>
  <c r="E2399" i="35"/>
  <c r="E2392" i="35"/>
  <c r="E2388" i="35"/>
  <c r="E2384" i="35"/>
  <c r="E2556" i="35"/>
  <c r="E2550" i="35"/>
  <c r="E2543" i="35"/>
  <c r="E2539" i="35"/>
  <c r="E2529" i="35"/>
  <c r="E2522" i="35"/>
  <c r="E2469" i="35"/>
  <c r="E2462" i="35"/>
  <c r="E2458" i="35"/>
  <c r="E2454" i="35"/>
  <c r="E2450" i="35"/>
  <c r="E2446" i="35"/>
  <c r="E2442" i="35"/>
  <c r="E2438" i="35"/>
  <c r="E2434" i="35"/>
  <c r="E2430" i="35"/>
  <c r="E2426" i="35"/>
  <c r="E2422" i="35"/>
  <c r="E2418" i="35"/>
  <c r="E2414" i="35"/>
  <c r="E2402" i="35"/>
  <c r="E2395" i="35"/>
  <c r="E2391" i="35"/>
  <c r="E2387" i="35"/>
  <c r="E2381" i="35"/>
  <c r="E2555" i="35"/>
  <c r="E2538" i="35"/>
  <c r="E2532" i="35"/>
  <c r="E2461" i="35"/>
  <c r="E2425" i="35"/>
  <c r="E2386" i="35"/>
  <c r="E2521" i="35"/>
  <c r="E2514" i="35"/>
  <c r="E2504" i="35"/>
  <c r="E2468" i="35"/>
  <c r="E2449" i="35"/>
  <c r="E2437" i="35"/>
  <c r="E2413" i="35"/>
  <c r="E2405" i="35"/>
  <c r="E2394" i="35"/>
  <c r="E2542" i="35"/>
  <c r="E2528" i="35"/>
  <c r="E2457" i="35"/>
  <c r="E2445" i="35"/>
  <c r="E2433" i="35"/>
  <c r="E2421" i="35"/>
  <c r="E2401" i="35"/>
  <c r="E2549" i="35"/>
  <c r="E2510" i="35"/>
  <c r="E2482" i="35"/>
  <c r="E2453" i="35"/>
  <c r="E2441" i="35"/>
  <c r="E2429" i="35"/>
  <c r="E2417" i="35"/>
  <c r="E2390" i="35"/>
  <c r="E2465" i="35"/>
  <c r="E2536" i="35"/>
  <c r="E2546" i="35"/>
  <c r="E2398" i="35"/>
  <c r="E2519" i="35"/>
  <c r="E2383" i="35"/>
  <c r="E2424" i="35"/>
  <c r="E2554" i="35"/>
  <c r="E2480" i="35"/>
  <c r="E2410" i="35"/>
  <c r="E2503" i="35"/>
  <c r="E2553" i="35"/>
  <c r="E2537" i="35"/>
  <c r="E2520" i="35"/>
  <c r="E2525" i="35"/>
  <c r="E3174" i="35"/>
  <c r="E110" i="35"/>
  <c r="E3170" i="35"/>
  <c r="E3416" i="35"/>
  <c r="E3583" i="35"/>
  <c r="E922" i="35"/>
  <c r="E918" i="35"/>
  <c r="E910" i="35"/>
  <c r="E903" i="35"/>
  <c r="E900" i="35"/>
  <c r="E894" i="35"/>
  <c r="E887" i="35"/>
  <c r="E884" i="35"/>
  <c r="E878" i="35"/>
  <c r="E871" i="35"/>
  <c r="E868" i="35"/>
  <c r="E862" i="35"/>
  <c r="E858" i="35"/>
  <c r="E855" i="35"/>
  <c r="E851" i="35"/>
  <c r="E846" i="35"/>
  <c r="E843" i="35"/>
  <c r="E836" i="35"/>
  <c r="E833" i="35"/>
  <c r="E829" i="35"/>
  <c r="E826" i="35"/>
  <c r="E822" i="35"/>
  <c r="E818" i="35"/>
  <c r="E805" i="35"/>
  <c r="E801" i="35"/>
  <c r="E797" i="35"/>
  <c r="E793" i="35"/>
  <c r="E785" i="35"/>
  <c r="E781" i="35"/>
  <c r="E777" i="35"/>
  <c r="E774" i="35"/>
  <c r="E770" i="35"/>
  <c r="E766" i="35"/>
  <c r="E763" i="35"/>
  <c r="E753" i="35"/>
  <c r="E750" i="35"/>
  <c r="E744" i="35"/>
  <c r="E732" i="35"/>
  <c r="E725" i="35"/>
  <c r="E718" i="35"/>
  <c r="E714" i="35"/>
  <c r="E709" i="35"/>
  <c r="E700" i="35"/>
  <c r="E694" i="35"/>
  <c r="E689" i="35"/>
  <c r="E682" i="35"/>
  <c r="E925" i="35"/>
  <c r="E917" i="35"/>
  <c r="E913" i="35"/>
  <c r="E909" i="35"/>
  <c r="E896" i="35"/>
  <c r="E880" i="35"/>
  <c r="E864" i="35"/>
  <c r="E857" i="35"/>
  <c r="E850" i="35"/>
  <c r="E839" i="35"/>
  <c r="E821" i="35"/>
  <c r="E814" i="35"/>
  <c r="E796" i="35"/>
  <c r="E788" i="35"/>
  <c r="E759" i="35"/>
  <c r="E749" i="35"/>
  <c r="E743" i="35"/>
  <c r="E728" i="35"/>
  <c r="E724" i="35"/>
  <c r="E712" i="35"/>
  <c r="E708" i="35"/>
  <c r="E704" i="35"/>
  <c r="E699" i="35"/>
  <c r="E693" i="35"/>
  <c r="E685" i="35"/>
  <c r="E681" i="35"/>
  <c r="E676" i="35"/>
  <c r="E672" i="35"/>
  <c r="E664" i="35"/>
  <c r="E660" i="35"/>
  <c r="E656" i="35"/>
  <c r="E652" i="35"/>
  <c r="E648" i="35"/>
  <c r="E640" i="35"/>
  <c r="E633" i="35"/>
  <c r="E924" i="35"/>
  <c r="E916" i="35"/>
  <c r="E912" i="35"/>
  <c r="E908" i="35"/>
  <c r="E895" i="35"/>
  <c r="E892" i="35"/>
  <c r="E879" i="35"/>
  <c r="E876" i="35"/>
  <c r="E863" i="35"/>
  <c r="E860" i="35"/>
  <c r="E856" i="35"/>
  <c r="E853" i="35"/>
  <c r="E848" i="35"/>
  <c r="E838" i="35"/>
  <c r="E813" i="35"/>
  <c r="E810" i="35"/>
  <c r="E803" i="35"/>
  <c r="E799" i="35"/>
  <c r="E795" i="35"/>
  <c r="E787" i="35"/>
  <c r="E779" i="35"/>
  <c r="E768" i="35"/>
  <c r="E758" i="35"/>
  <c r="E755" i="35"/>
  <c r="E752" i="35"/>
  <c r="E747" i="35"/>
  <c r="E742" i="35"/>
  <c r="E727" i="35"/>
  <c r="E723" i="35"/>
  <c r="E711" i="35"/>
  <c r="E707" i="35"/>
  <c r="E703" i="35"/>
  <c r="E697" i="35"/>
  <c r="E692" i="35"/>
  <c r="E684" i="35"/>
  <c r="E679" i="35"/>
  <c r="E675" i="35"/>
  <c r="E671" i="35"/>
  <c r="E667" i="35"/>
  <c r="E663" i="35"/>
  <c r="E659" i="35"/>
  <c r="E655" i="35"/>
  <c r="E651" i="35"/>
  <c r="E647" i="35"/>
  <c r="E923" i="35"/>
  <c r="E919" i="35"/>
  <c r="E904" i="35"/>
  <c r="E888" i="35"/>
  <c r="E872" i="35"/>
  <c r="E859" i="35"/>
  <c r="E852" i="35"/>
  <c r="E847" i="35"/>
  <c r="E837" i="35"/>
  <c r="E830" i="35"/>
  <c r="E823" i="35"/>
  <c r="E819" i="35"/>
  <c r="E806" i="35"/>
  <c r="E802" i="35"/>
  <c r="E798" i="35"/>
  <c r="E794" i="35"/>
  <c r="E782" i="35"/>
  <c r="E778" i="35"/>
  <c r="E771" i="35"/>
  <c r="E767" i="35"/>
  <c r="E754" i="35"/>
  <c r="E746" i="35"/>
  <c r="E726" i="35"/>
  <c r="E719" i="35"/>
  <c r="E715" i="35"/>
  <c r="E701" i="35"/>
  <c r="E696" i="35"/>
  <c r="E690" i="35"/>
  <c r="E670" i="35"/>
  <c r="E666" i="35"/>
  <c r="E658" i="35"/>
  <c r="E654" i="35"/>
  <c r="E650" i="35"/>
  <c r="E646" i="35"/>
  <c r="E642" i="35"/>
  <c r="E638" i="35"/>
  <c r="E649" i="35"/>
  <c r="E639" i="35"/>
  <c r="E669" i="35"/>
  <c r="E661" i="35"/>
  <c r="E645" i="35"/>
  <c r="E637" i="35"/>
  <c r="E657" i="35"/>
  <c r="E665" i="35"/>
  <c r="E653" i="35"/>
  <c r="E641" i="35"/>
  <c r="E678" i="35"/>
  <c r="E773" i="35"/>
  <c r="E886" i="35"/>
  <c r="E731" i="35"/>
  <c r="E825" i="35"/>
  <c r="E899" i="35"/>
  <c r="E687" i="35"/>
  <c r="E812" i="35"/>
  <c r="E902" i="35"/>
  <c r="E832" i="35"/>
  <c r="E906" i="35"/>
  <c r="E809" i="35"/>
  <c r="E907" i="35"/>
  <c r="E706" i="35"/>
  <c r="E817" i="35"/>
  <c r="E898" i="35"/>
  <c r="E762" i="35"/>
  <c r="E841" i="35"/>
  <c r="E915" i="35"/>
  <c r="E717" i="35"/>
  <c r="E842" i="35"/>
  <c r="E921" i="35"/>
  <c r="E674" i="35"/>
  <c r="E757" i="35"/>
  <c r="E845" i="35"/>
  <c r="E722" i="35"/>
  <c r="E730" i="35"/>
  <c r="E835" i="35"/>
  <c r="E636" i="35"/>
  <c r="E791" i="35"/>
  <c r="E867" i="35"/>
  <c r="E870" i="35"/>
  <c r="E688" i="35"/>
  <c r="E784" i="35"/>
  <c r="E874" i="35"/>
  <c r="E875" i="35"/>
  <c r="E635" i="35"/>
  <c r="E761" i="35"/>
  <c r="E866" i="35"/>
  <c r="E644" i="35"/>
  <c r="E808" i="35"/>
  <c r="E890" i="35"/>
  <c r="E792" i="35"/>
  <c r="E882" i="35"/>
  <c r="E721" i="35"/>
  <c r="E816" i="35"/>
  <c r="E883" i="35"/>
  <c r="E891" i="35"/>
  <c r="E1199" i="35"/>
  <c r="E1192" i="35"/>
  <c r="E1184" i="35"/>
  <c r="E1180" i="35"/>
  <c r="E1173" i="35"/>
  <c r="E1169" i="35"/>
  <c r="E1165" i="35"/>
  <c r="E1161" i="35"/>
  <c r="E1157" i="35"/>
  <c r="E1153" i="35"/>
  <c r="E1149" i="35"/>
  <c r="E1145" i="35"/>
  <c r="E1141" i="35"/>
  <c r="E1137" i="35"/>
  <c r="E1133" i="35"/>
  <c r="E1129" i="35"/>
  <c r="E1122" i="35"/>
  <c r="E1118" i="35"/>
  <c r="E1114" i="35"/>
  <c r="E1110" i="35"/>
  <c r="E1103" i="35"/>
  <c r="E1099" i="35"/>
  <c r="E1095" i="35"/>
  <c r="E1091" i="35"/>
  <c r="E1088" i="35"/>
  <c r="E1084" i="35"/>
  <c r="E1080" i="35"/>
  <c r="E1076" i="35"/>
  <c r="E1072" i="35"/>
  <c r="E1068" i="35"/>
  <c r="E1064" i="35"/>
  <c r="E1057" i="35"/>
  <c r="E1053" i="35"/>
  <c r="E1049" i="35"/>
  <c r="E1045" i="35"/>
  <c r="E1038" i="35"/>
  <c r="E1028" i="35"/>
  <c r="E1024" i="35"/>
  <c r="E1020" i="35"/>
  <c r="E1016" i="35"/>
  <c r="E1012" i="35"/>
  <c r="E1008" i="35"/>
  <c r="E1004" i="35"/>
  <c r="E1000" i="35"/>
  <c r="E996" i="35"/>
  <c r="E989" i="35"/>
  <c r="E985" i="35"/>
  <c r="E981" i="35"/>
  <c r="E973" i="35"/>
  <c r="E969" i="35"/>
  <c r="E965" i="35"/>
  <c r="E961" i="35"/>
  <c r="E957" i="35"/>
  <c r="E953" i="35"/>
  <c r="E949" i="35"/>
  <c r="E945" i="35"/>
  <c r="E941" i="35"/>
  <c r="E937" i="35"/>
  <c r="E933" i="35"/>
  <c r="E930" i="35"/>
  <c r="E927" i="35"/>
  <c r="E1201" i="35"/>
  <c r="E1187" i="35"/>
  <c r="E1183" i="35"/>
  <c r="E1172" i="35"/>
  <c r="E1168" i="35"/>
  <c r="E1164" i="35"/>
  <c r="E1160" i="35"/>
  <c r="E1156" i="35"/>
  <c r="E1152" i="35"/>
  <c r="E1148" i="35"/>
  <c r="E1144" i="35"/>
  <c r="E1140" i="35"/>
  <c r="E1136" i="35"/>
  <c r="E1132" i="35"/>
  <c r="E1128" i="35"/>
  <c r="E1121" i="35"/>
  <c r="E1106" i="35"/>
  <c r="E1102" i="35"/>
  <c r="E1098" i="35"/>
  <c r="E1075" i="35"/>
  <c r="E1067" i="35"/>
  <c r="E1063" i="35"/>
  <c r="E1056" i="35"/>
  <c r="E1052" i="35"/>
  <c r="E1041" i="35"/>
  <c r="E1034" i="35"/>
  <c r="E1027" i="35"/>
  <c r="E1023" i="35"/>
  <c r="E1019" i="35"/>
  <c r="E1015" i="35"/>
  <c r="E1011" i="35"/>
  <c r="E1007" i="35"/>
  <c r="E1003" i="35"/>
  <c r="E999" i="35"/>
  <c r="E992" i="35"/>
  <c r="E988" i="35"/>
  <c r="E984" i="35"/>
  <c r="E980" i="35"/>
  <c r="E976" i="35"/>
  <c r="E968" i="35"/>
  <c r="E964" i="35"/>
  <c r="E960" i="35"/>
  <c r="E956" i="35"/>
  <c r="E952" i="35"/>
  <c r="E948" i="35"/>
  <c r="E940" i="35"/>
  <c r="E936" i="35"/>
  <c r="E932" i="35"/>
  <c r="E1200" i="35"/>
  <c r="E1197" i="35"/>
  <c r="E1190" i="35"/>
  <c r="E1186" i="35"/>
  <c r="E1182" i="35"/>
  <c r="E1178" i="35"/>
  <c r="E1175" i="35"/>
  <c r="E1171" i="35"/>
  <c r="E1167" i="35"/>
  <c r="E1163" i="35"/>
  <c r="E1159" i="35"/>
  <c r="E1155" i="35"/>
  <c r="E1151" i="35"/>
  <c r="E1147" i="35"/>
  <c r="E1143" i="35"/>
  <c r="E1139" i="35"/>
  <c r="E1135" i="35"/>
  <c r="E1131" i="35"/>
  <c r="E1127" i="35"/>
  <c r="E1120" i="35"/>
  <c r="E1105" i="35"/>
  <c r="E1101" i="35"/>
  <c r="E1097" i="35"/>
  <c r="E1082" i="35"/>
  <c r="E1074" i="35"/>
  <c r="E1066" i="35"/>
  <c r="E1062" i="35"/>
  <c r="E1055" i="35"/>
  <c r="E1051" i="35"/>
  <c r="E1047" i="35"/>
  <c r="E1040" i="35"/>
  <c r="E1033" i="35"/>
  <c r="E1026" i="35"/>
  <c r="E1022" i="35"/>
  <c r="E1018" i="35"/>
  <c r="E1014" i="35"/>
  <c r="E1010" i="35"/>
  <c r="E1006" i="35"/>
  <c r="E1002" i="35"/>
  <c r="E998" i="35"/>
  <c r="E991" i="35"/>
  <c r="E987" i="35"/>
  <c r="E983" i="35"/>
  <c r="E979" i="35"/>
  <c r="E975" i="35"/>
  <c r="E971" i="35"/>
  <c r="E967" i="35"/>
  <c r="E963" i="35"/>
  <c r="E959" i="35"/>
  <c r="E955" i="35"/>
  <c r="E951" i="35"/>
  <c r="E947" i="35"/>
  <c r="E943" i="35"/>
  <c r="E939" i="35"/>
  <c r="E935" i="35"/>
  <c r="E931" i="35"/>
  <c r="E1193" i="35"/>
  <c r="E1181" i="35"/>
  <c r="E1174" i="35"/>
  <c r="E1170" i="35"/>
  <c r="E1166" i="35"/>
  <c r="E1158" i="35"/>
  <c r="E1154" i="35"/>
  <c r="E1150" i="35"/>
  <c r="E1146" i="35"/>
  <c r="E1142" i="35"/>
  <c r="E1138" i="35"/>
  <c r="E1134" i="35"/>
  <c r="E1130" i="35"/>
  <c r="E1123" i="35"/>
  <c r="E1115" i="35"/>
  <c r="E1111" i="35"/>
  <c r="E1092" i="35"/>
  <c r="E1085" i="35"/>
  <c r="E1081" i="35"/>
  <c r="E1077" i="35"/>
  <c r="E1073" i="35"/>
  <c r="E1069" i="35"/>
  <c r="E1058" i="35"/>
  <c r="E1054" i="35"/>
  <c r="E1050" i="35"/>
  <c r="E1046" i="35"/>
  <c r="E1029" i="35"/>
  <c r="E1021" i="35"/>
  <c r="E1017" i="35"/>
  <c r="E1013" i="35"/>
  <c r="E1009" i="35"/>
  <c r="E1005" i="35"/>
  <c r="E1001" i="35"/>
  <c r="E990" i="35"/>
  <c r="E986" i="35"/>
  <c r="E982" i="35"/>
  <c r="E974" i="35"/>
  <c r="E970" i="35"/>
  <c r="E966" i="35"/>
  <c r="E962" i="35"/>
  <c r="E958" i="35"/>
  <c r="E954" i="35"/>
  <c r="E950" i="35"/>
  <c r="E946" i="35"/>
  <c r="E942" i="35"/>
  <c r="E938" i="35"/>
  <c r="E934" i="35"/>
  <c r="E978" i="35"/>
  <c r="E994" i="35"/>
  <c r="E1113" i="35"/>
  <c r="E1177" i="35"/>
  <c r="E1108" i="35"/>
  <c r="E1060" i="35"/>
  <c r="E1125" i="35"/>
  <c r="E1031" i="35"/>
  <c r="E1189" i="35"/>
  <c r="E1036" i="35"/>
  <c r="E1037" i="35"/>
  <c r="E1195" i="35"/>
  <c r="E1109" i="35"/>
  <c r="E1126" i="35"/>
  <c r="E1043" i="35"/>
  <c r="E995" i="35"/>
  <c r="E1044" i="35"/>
  <c r="E1079" i="35"/>
  <c r="E1032" i="35"/>
  <c r="E1196" i="35"/>
  <c r="E1087" i="35"/>
  <c r="E1071" i="35"/>
  <c r="E1117" i="35"/>
  <c r="E1094" i="35"/>
  <c r="E1061" i="35"/>
  <c r="E2378" i="35"/>
  <c r="E2374" i="35"/>
  <c r="E2370" i="35"/>
  <c r="E2362" i="35"/>
  <c r="E2358" i="35"/>
  <c r="E2336" i="35"/>
  <c r="E2328" i="35"/>
  <c r="E2313" i="35"/>
  <c r="E2309" i="35"/>
  <c r="E2298" i="35"/>
  <c r="E2294" i="35"/>
  <c r="E2272" i="35"/>
  <c r="E2268" i="35"/>
  <c r="E2264" i="35"/>
  <c r="E2260" i="35"/>
  <c r="E2252" i="35"/>
  <c r="E2245" i="35"/>
  <c r="E2238" i="35"/>
  <c r="E2231" i="35"/>
  <c r="E2221" i="35"/>
  <c r="E2214" i="35"/>
  <c r="E2377" i="35"/>
  <c r="E2373" i="35"/>
  <c r="E2369" i="35"/>
  <c r="E2361" i="35"/>
  <c r="E2357" i="35"/>
  <c r="E2335" i="35"/>
  <c r="E2331" i="35"/>
  <c r="E2327" i="35"/>
  <c r="E2323" i="35"/>
  <c r="E2316" i="35"/>
  <c r="E2312" i="35"/>
  <c r="E2308" i="35"/>
  <c r="E2297" i="35"/>
  <c r="E2293" i="35"/>
  <c r="E2275" i="35"/>
  <c r="E2271" i="35"/>
  <c r="E2267" i="35"/>
  <c r="E2263" i="35"/>
  <c r="E2259" i="35"/>
  <c r="E2255" i="35"/>
  <c r="E2251" i="35"/>
  <c r="E2376" i="35"/>
  <c r="E2364" i="35"/>
  <c r="E2356" i="35"/>
  <c r="E2349" i="35"/>
  <c r="E2345" i="35"/>
  <c r="E2341" i="35"/>
  <c r="E2334" i="35"/>
  <c r="E2330" i="35"/>
  <c r="E2326" i="35"/>
  <c r="E2319" i="35"/>
  <c r="E2315" i="35"/>
  <c r="E2307" i="35"/>
  <c r="E2303" i="35"/>
  <c r="E2292" i="35"/>
  <c r="E2285" i="35"/>
  <c r="E2278" i="35"/>
  <c r="E2258" i="35"/>
  <c r="E2254" i="35"/>
  <c r="E2247" i="35"/>
  <c r="E2243" i="35"/>
  <c r="E2240" i="35"/>
  <c r="E2226" i="35"/>
  <c r="E2212" i="35"/>
  <c r="E2379" i="35"/>
  <c r="E2375" i="35"/>
  <c r="E2367" i="35"/>
  <c r="E2363" i="35"/>
  <c r="E2359" i="35"/>
  <c r="E2355" i="35"/>
  <c r="E2352" i="35"/>
  <c r="E2348" i="35"/>
  <c r="E2344" i="35"/>
  <c r="E2340" i="35"/>
  <c r="E2337" i="35"/>
  <c r="E2333" i="35"/>
  <c r="E2329" i="35"/>
  <c r="E2325" i="35"/>
  <c r="E2318" i="35"/>
  <c r="E2314" i="35"/>
  <c r="E2310" i="35"/>
  <c r="E2306" i="35"/>
  <c r="E2302" i="35"/>
  <c r="E2299" i="35"/>
  <c r="E2291" i="35"/>
  <c r="E2288" i="35"/>
  <c r="E2284" i="35"/>
  <c r="E2277" i="35"/>
  <c r="E2248" i="35"/>
  <c r="E2224" i="35"/>
  <c r="E2218" i="35"/>
  <c r="E2211" i="35"/>
  <c r="E2207" i="35"/>
  <c r="E2203" i="35"/>
  <c r="E2199" i="35"/>
  <c r="E2195" i="35"/>
  <c r="E2191" i="35"/>
  <c r="E2187" i="35"/>
  <c r="E2179" i="35"/>
  <c r="E2175" i="35"/>
  <c r="E2171" i="35"/>
  <c r="E2168" i="35"/>
  <c r="E2160" i="35"/>
  <c r="E2156" i="35"/>
  <c r="E2152" i="35"/>
  <c r="E2148" i="35"/>
  <c r="E2140" i="35"/>
  <c r="E2136" i="35"/>
  <c r="E2132" i="35"/>
  <c r="E2128" i="35"/>
  <c r="E2124" i="35"/>
  <c r="E2120" i="35"/>
  <c r="E2116" i="35"/>
  <c r="E2265" i="35"/>
  <c r="E2253" i="35"/>
  <c r="E2246" i="35"/>
  <c r="E2239" i="35"/>
  <c r="E2234" i="35"/>
  <c r="E2222" i="35"/>
  <c r="E2210" i="35"/>
  <c r="E2194" i="35"/>
  <c r="E2182" i="35"/>
  <c r="E2167" i="35"/>
  <c r="E2163" i="35"/>
  <c r="E2159" i="35"/>
  <c r="E2155" i="35"/>
  <c r="E2151" i="35"/>
  <c r="E2143" i="35"/>
  <c r="E2139" i="35"/>
  <c r="E2135" i="35"/>
  <c r="E2131" i="35"/>
  <c r="E2127" i="35"/>
  <c r="E2123" i="35"/>
  <c r="E2115" i="35"/>
  <c r="E2281" i="35"/>
  <c r="E2244" i="35"/>
  <c r="E2237" i="35"/>
  <c r="E2225" i="35"/>
  <c r="E2220" i="35"/>
  <c r="E2209" i="35"/>
  <c r="E2193" i="35"/>
  <c r="E2185" i="35"/>
  <c r="E2181" i="35"/>
  <c r="E2177" i="35"/>
  <c r="E2173" i="35"/>
  <c r="E2166" i="35"/>
  <c r="E2162" i="35"/>
  <c r="E2158" i="35"/>
  <c r="E2154" i="35"/>
  <c r="E2150" i="35"/>
  <c r="E2146" i="35"/>
  <c r="E2142" i="35"/>
  <c r="E2138" i="35"/>
  <c r="E2134" i="35"/>
  <c r="E2130" i="35"/>
  <c r="E2126" i="35"/>
  <c r="E2122" i="35"/>
  <c r="E2118" i="35"/>
  <c r="E2114" i="35"/>
  <c r="E2257" i="35"/>
  <c r="E2230" i="35"/>
  <c r="E2213" i="35"/>
  <c r="E2204" i="35"/>
  <c r="E2200" i="35"/>
  <c r="E2196" i="35"/>
  <c r="E2192" i="35"/>
  <c r="E2188" i="35"/>
  <c r="E2180" i="35"/>
  <c r="E2176" i="35"/>
  <c r="E2172" i="35"/>
  <c r="E2157" i="35"/>
  <c r="E2153" i="35"/>
  <c r="E2149" i="35"/>
  <c r="E2137" i="35"/>
  <c r="E2133" i="35"/>
  <c r="E2129" i="35"/>
  <c r="E2125" i="35"/>
  <c r="E2121" i="35"/>
  <c r="E2117" i="35"/>
  <c r="E2111" i="35"/>
  <c r="E2202" i="35"/>
  <c r="E2206" i="35"/>
  <c r="E2290" i="35"/>
  <c r="E2262" i="35"/>
  <c r="E2354" i="35"/>
  <c r="E2321" i="35"/>
  <c r="E2287" i="35"/>
  <c r="E2113" i="35"/>
  <c r="E2145" i="35"/>
  <c r="E2351" i="35"/>
  <c r="E2216" i="35"/>
  <c r="E2274" i="35"/>
  <c r="E2372" i="35"/>
  <c r="E2343" i="35"/>
  <c r="E2229" i="35"/>
  <c r="E2305" i="35"/>
  <c r="E2190" i="35"/>
  <c r="E2198" i="35"/>
  <c r="E2165" i="35"/>
  <c r="E2270" i="35"/>
  <c r="E2233" i="35"/>
  <c r="E2296" i="35"/>
  <c r="E2217" i="35"/>
  <c r="E2242" i="35"/>
  <c r="E2347" i="35"/>
  <c r="E2228" i="35"/>
  <c r="E2184" i="35"/>
  <c r="E2170" i="35"/>
  <c r="E2280" i="35"/>
  <c r="E2339" i="35"/>
  <c r="E2283" i="35"/>
  <c r="E2366" i="35"/>
  <c r="E2322" i="35"/>
  <c r="E3618" i="35"/>
  <c r="E4374" i="35"/>
  <c r="E4366" i="35"/>
  <c r="E4362" i="35"/>
  <c r="E4344" i="35"/>
  <c r="E4337" i="35"/>
  <c r="E4333" i="35"/>
  <c r="E4326" i="35"/>
  <c r="E4314" i="35"/>
  <c r="E4292" i="35"/>
  <c r="E4288" i="35"/>
  <c r="E4284" i="35"/>
  <c r="E4280" i="35"/>
  <c r="E4276" i="35"/>
  <c r="E4272" i="35"/>
  <c r="E4265" i="35"/>
  <c r="E4258" i="35"/>
  <c r="E4254" i="35"/>
  <c r="E4377" i="35"/>
  <c r="E4373" i="35"/>
  <c r="E4365" i="35"/>
  <c r="E4358" i="35"/>
  <c r="E4340" i="35"/>
  <c r="E4332" i="35"/>
  <c r="E4313" i="35"/>
  <c r="E4299" i="35"/>
  <c r="E4291" i="35"/>
  <c r="E4287" i="35"/>
  <c r="E4283" i="35"/>
  <c r="E4279" i="35"/>
  <c r="E4275" i="35"/>
  <c r="E4271" i="35"/>
  <c r="E4261" i="35"/>
  <c r="E4257" i="35"/>
  <c r="E4253" i="35"/>
  <c r="E4389" i="35"/>
  <c r="E4382" i="35"/>
  <c r="E4372" i="35"/>
  <c r="E4368" i="35"/>
  <c r="E4357" i="35"/>
  <c r="E4353" i="35"/>
  <c r="E4346" i="35"/>
  <c r="E4331" i="35"/>
  <c r="E4320" i="35"/>
  <c r="E4316" i="35"/>
  <c r="E4309" i="35"/>
  <c r="E4302" i="35"/>
  <c r="E4298" i="35"/>
  <c r="E4294" i="35"/>
  <c r="E4286" i="35"/>
  <c r="E4282" i="35"/>
  <c r="E4278" i="35"/>
  <c r="E4274" i="35"/>
  <c r="E4267" i="35"/>
  <c r="E4260" i="35"/>
  <c r="E4256" i="35"/>
  <c r="E4392" i="35"/>
  <c r="E4371" i="35"/>
  <c r="E4352" i="35"/>
  <c r="E4305" i="35"/>
  <c r="E4297" i="35"/>
  <c r="E4285" i="35"/>
  <c r="E4251" i="35"/>
  <c r="E4247" i="35"/>
  <c r="E4243" i="35"/>
  <c r="E4232" i="35"/>
  <c r="E4228" i="35"/>
  <c r="E4221" i="35"/>
  <c r="E4217" i="35"/>
  <c r="E4213" i="35"/>
  <c r="E4209" i="35"/>
  <c r="E4205" i="35"/>
  <c r="E4201" i="35"/>
  <c r="E4197" i="35"/>
  <c r="E4189" i="35"/>
  <c r="E4185" i="35"/>
  <c r="E4177" i="35"/>
  <c r="E4173" i="35"/>
  <c r="E4162" i="35"/>
  <c r="E4158" i="35"/>
  <c r="E4153" i="35"/>
  <c r="E4149" i="35"/>
  <c r="E4145" i="35"/>
  <c r="E4137" i="35"/>
  <c r="E4129" i="35"/>
  <c r="E4125" i="35"/>
  <c r="E4117" i="35"/>
  <c r="E4113" i="35"/>
  <c r="E4385" i="35"/>
  <c r="E4345" i="35"/>
  <c r="E4319" i="35"/>
  <c r="E4308" i="35"/>
  <c r="E4281" i="35"/>
  <c r="E4266" i="35"/>
  <c r="E4259" i="35"/>
  <c r="E4246" i="35"/>
  <c r="E4242" i="35"/>
  <c r="E4231" i="35"/>
  <c r="E4227" i="35"/>
  <c r="E4220" i="35"/>
  <c r="E4216" i="35"/>
  <c r="E4212" i="35"/>
  <c r="E4208" i="35"/>
  <c r="E4204" i="35"/>
  <c r="E4200" i="35"/>
  <c r="E4196" i="35"/>
  <c r="E4192" i="35"/>
  <c r="E4188" i="35"/>
  <c r="E4184" i="35"/>
  <c r="E4180" i="35"/>
  <c r="E4176" i="35"/>
  <c r="E4172" i="35"/>
  <c r="E4165" i="35"/>
  <c r="E4161" i="35"/>
  <c r="E4157" i="35"/>
  <c r="E4152" i="35"/>
  <c r="E4148" i="35"/>
  <c r="E4144" i="35"/>
  <c r="E4136" i="35"/>
  <c r="E4132" i="35"/>
  <c r="E4128" i="35"/>
  <c r="E4388" i="35"/>
  <c r="E4379" i="35"/>
  <c r="E4367" i="35"/>
  <c r="E4356" i="35"/>
  <c r="E4334" i="35"/>
  <c r="E4301" i="35"/>
  <c r="E4293" i="35"/>
  <c r="E4277" i="35"/>
  <c r="E4255" i="35"/>
  <c r="E4245" i="35"/>
  <c r="E4238" i="35"/>
  <c r="E4234" i="35"/>
  <c r="E4230" i="35"/>
  <c r="E4226" i="35"/>
  <c r="E4203" i="35"/>
  <c r="E4199" i="35"/>
  <c r="E4195" i="35"/>
  <c r="E4187" i="35"/>
  <c r="E4183" i="35"/>
  <c r="E4179" i="35"/>
  <c r="E4168" i="35"/>
  <c r="E4164" i="35"/>
  <c r="E4160" i="35"/>
  <c r="E4147" i="35"/>
  <c r="E4143" i="35"/>
  <c r="E4139" i="35"/>
  <c r="E4135" i="35"/>
  <c r="E4131" i="35"/>
  <c r="E4127" i="35"/>
  <c r="E4123" i="35"/>
  <c r="E4119" i="35"/>
  <c r="E4349" i="35"/>
  <c r="E4263" i="35"/>
  <c r="E4248" i="35"/>
  <c r="E4194" i="35"/>
  <c r="E4182" i="35"/>
  <c r="E4174" i="35"/>
  <c r="E4163" i="35"/>
  <c r="E4138" i="35"/>
  <c r="E4126" i="35"/>
  <c r="E4120" i="35"/>
  <c r="E4112" i="35"/>
  <c r="E4315" i="35"/>
  <c r="E4273" i="35"/>
  <c r="E4244" i="35"/>
  <c r="E4233" i="35"/>
  <c r="E4222" i="35"/>
  <c r="E4214" i="35"/>
  <c r="E4206" i="35"/>
  <c r="E4159" i="35"/>
  <c r="E4146" i="35"/>
  <c r="E4134" i="35"/>
  <c r="E4124" i="35"/>
  <c r="E4118" i="35"/>
  <c r="E4381" i="35"/>
  <c r="E4330" i="35"/>
  <c r="E4323" i="35"/>
  <c r="E4252" i="35"/>
  <c r="E4229" i="35"/>
  <c r="E4202" i="35"/>
  <c r="E4178" i="35"/>
  <c r="E4167" i="35"/>
  <c r="E4142" i="35"/>
  <c r="E4122" i="35"/>
  <c r="E4116" i="35"/>
  <c r="E4154" i="35"/>
  <c r="E4130" i="35"/>
  <c r="E4342" i="35"/>
  <c r="E4237" i="35"/>
  <c r="E4210" i="35"/>
  <c r="E4218" i="35"/>
  <c r="E4186" i="35"/>
  <c r="E4225" i="35"/>
  <c r="E4198" i="35"/>
  <c r="E4364" i="35"/>
  <c r="E4191" i="35"/>
  <c r="E4236" i="35"/>
  <c r="E4325" i="35"/>
  <c r="E4296" i="35"/>
  <c r="E4370" i="35"/>
  <c r="E4339" i="35"/>
  <c r="E4380" i="35"/>
  <c r="E4115" i="35"/>
  <c r="E4171" i="35"/>
  <c r="E4290" i="35"/>
  <c r="E4351" i="35"/>
  <c r="E4304" i="35"/>
  <c r="E4391" i="35"/>
  <c r="E4312" i="35"/>
  <c r="E4348" i="35"/>
  <c r="E4241" i="35"/>
  <c r="E4355" i="35"/>
  <c r="E4307" i="35"/>
  <c r="E4264" i="35"/>
  <c r="E4384" i="35"/>
  <c r="E4328" i="35"/>
  <c r="E4322" i="35"/>
  <c r="E4343" i="35"/>
  <c r="E4250" i="35"/>
  <c r="E4141" i="35"/>
  <c r="E4111" i="35"/>
  <c r="E4376" i="35"/>
  <c r="E4151" i="35"/>
  <c r="E4318" i="35"/>
  <c r="E4336" i="35"/>
  <c r="E4270" i="35"/>
  <c r="E4329" i="35"/>
  <c r="E4387" i="35"/>
  <c r="E4361" i="35"/>
  <c r="E3651" i="35"/>
  <c r="E4269" i="35"/>
  <c r="E3344" i="35"/>
  <c r="E3336" i="35"/>
  <c r="E3332" i="35"/>
  <c r="E3328" i="35"/>
  <c r="E3324" i="35"/>
  <c r="E3320" i="35"/>
  <c r="E3316" i="35"/>
  <c r="E3309" i="35"/>
  <c r="E3305" i="35"/>
  <c r="E3301" i="35"/>
  <c r="E3297" i="35"/>
  <c r="E3293" i="35"/>
  <c r="E3289" i="35"/>
  <c r="E3285" i="35"/>
  <c r="E3281" i="35"/>
  <c r="E3274" i="35"/>
  <c r="E3270" i="35"/>
  <c r="E3266" i="35"/>
  <c r="E3262" i="35"/>
  <c r="E3258" i="35"/>
  <c r="E3254" i="35"/>
  <c r="E3250" i="35"/>
  <c r="E3246" i="35"/>
  <c r="E3242" i="35"/>
  <c r="E3234" i="35"/>
  <c r="E3231" i="35"/>
  <c r="E3227" i="35"/>
  <c r="E3216" i="35"/>
  <c r="E3209" i="35"/>
  <c r="E3202" i="35"/>
  <c r="E3359" i="35"/>
  <c r="E3354" i="35"/>
  <c r="E3343" i="35"/>
  <c r="E3339" i="35"/>
  <c r="E3335" i="35"/>
  <c r="E3331" i="35"/>
  <c r="E3308" i="35"/>
  <c r="E3304" i="35"/>
  <c r="E3300" i="35"/>
  <c r="E3292" i="35"/>
  <c r="E3288" i="35"/>
  <c r="E3284" i="35"/>
  <c r="E3280" i="35"/>
  <c r="E3273" i="35"/>
  <c r="E3269" i="35"/>
  <c r="E3265" i="35"/>
  <c r="E3261" i="35"/>
  <c r="E3257" i="35"/>
  <c r="E3253" i="35"/>
  <c r="E3249" i="35"/>
  <c r="E3241" i="35"/>
  <c r="E3237" i="35"/>
  <c r="E3230" i="35"/>
  <c r="E3226" i="35"/>
  <c r="E3222" i="35"/>
  <c r="E3197" i="35"/>
  <c r="E3187" i="35"/>
  <c r="E3183" i="35"/>
  <c r="E3179" i="35"/>
  <c r="E3357" i="35"/>
  <c r="E3349" i="35"/>
  <c r="E3342" i="35"/>
  <c r="E3338" i="35"/>
  <c r="E3330" i="35"/>
  <c r="E3326" i="35"/>
  <c r="E3314" i="35"/>
  <c r="E3307" i="35"/>
  <c r="E3299" i="35"/>
  <c r="E3295" i="35"/>
  <c r="E3291" i="35"/>
  <c r="E3287" i="35"/>
  <c r="E3283" i="35"/>
  <c r="E3276" i="35"/>
  <c r="E3272" i="35"/>
  <c r="E3268" i="35"/>
  <c r="E3264" i="35"/>
  <c r="E3260" i="35"/>
  <c r="E3256" i="35"/>
  <c r="E3252" i="35"/>
  <c r="E3248" i="35"/>
  <c r="E3240" i="35"/>
  <c r="E3236" i="35"/>
  <c r="E3225" i="35"/>
  <c r="E3221" i="35"/>
  <c r="E3214" i="35"/>
  <c r="E3207" i="35"/>
  <c r="E3200" i="35"/>
  <c r="E3196" i="35"/>
  <c r="E3186" i="35"/>
  <c r="E3182" i="35"/>
  <c r="E3178" i="35"/>
  <c r="E3341" i="35"/>
  <c r="E3329" i="35"/>
  <c r="E3321" i="35"/>
  <c r="E3313" i="35"/>
  <c r="E3290" i="35"/>
  <c r="E3275" i="35"/>
  <c r="E3259" i="35"/>
  <c r="E3235" i="35"/>
  <c r="E3224" i="35"/>
  <c r="E3217" i="35"/>
  <c r="E3210" i="35"/>
  <c r="E3203" i="35"/>
  <c r="E3195" i="35"/>
  <c r="E3191" i="35"/>
  <c r="E3185" i="35"/>
  <c r="E3177" i="35"/>
  <c r="E3166" i="35"/>
  <c r="E3162" i="35"/>
  <c r="E3158" i="35"/>
  <c r="E3154" i="35"/>
  <c r="E3150" i="35"/>
  <c r="E3142" i="35"/>
  <c r="E3135" i="35"/>
  <c r="E3131" i="35"/>
  <c r="E3127" i="35"/>
  <c r="E3123" i="35"/>
  <c r="E3116" i="35"/>
  <c r="E3113" i="35"/>
  <c r="E3109" i="35"/>
  <c r="E3105" i="35"/>
  <c r="E3101" i="35"/>
  <c r="E3097" i="35"/>
  <c r="E3093" i="35"/>
  <c r="E3089" i="35"/>
  <c r="E3085" i="35"/>
  <c r="E3081" i="35"/>
  <c r="E3078" i="35"/>
  <c r="E3074" i="35"/>
  <c r="E3070" i="35"/>
  <c r="E3066" i="35"/>
  <c r="E3062" i="35"/>
  <c r="E3058" i="35"/>
  <c r="E3054" i="35"/>
  <c r="E3050" i="35"/>
  <c r="E3046" i="35"/>
  <c r="E3042" i="35"/>
  <c r="E3038" i="35"/>
  <c r="E3034" i="35"/>
  <c r="E3030" i="35"/>
  <c r="E3026" i="35"/>
  <c r="E3022" i="35"/>
  <c r="E3018" i="35"/>
  <c r="E3014" i="35"/>
  <c r="E3010" i="35"/>
  <c r="E3006" i="35"/>
  <c r="E3002" i="35"/>
  <c r="E2998" i="35"/>
  <c r="E2994" i="35"/>
  <c r="E2987" i="35"/>
  <c r="E2968" i="35"/>
  <c r="E2964" i="35"/>
  <c r="E2960" i="35"/>
  <c r="E2956" i="35"/>
  <c r="E2952" i="35"/>
  <c r="E2945" i="35"/>
  <c r="E2937" i="35"/>
  <c r="E2933" i="35"/>
  <c r="E2929" i="35"/>
  <c r="E2925" i="35"/>
  <c r="E2921" i="35"/>
  <c r="E2917" i="35"/>
  <c r="E2913" i="35"/>
  <c r="E2909" i="35"/>
  <c r="E2901" i="35"/>
  <c r="E2893" i="35"/>
  <c r="E2889" i="35"/>
  <c r="E2885" i="35"/>
  <c r="E2881" i="35"/>
  <c r="E2873" i="35"/>
  <c r="E3348" i="35"/>
  <c r="E3298" i="35"/>
  <c r="E3286" i="35"/>
  <c r="E3271" i="35"/>
  <c r="E3255" i="35"/>
  <c r="E3243" i="35"/>
  <c r="E3194" i="35"/>
  <c r="E3184" i="35"/>
  <c r="E3176" i="35"/>
  <c r="E3172" i="35"/>
  <c r="E3165" i="35"/>
  <c r="E3157" i="35"/>
  <c r="E3149" i="35"/>
  <c r="E3145" i="35"/>
  <c r="E3138" i="35"/>
  <c r="E3126" i="35"/>
  <c r="E3122" i="35"/>
  <c r="E3112" i="35"/>
  <c r="E3096" i="35"/>
  <c r="E3092" i="35"/>
  <c r="E3088" i="35"/>
  <c r="E3084" i="35"/>
  <c r="E3077" i="35"/>
  <c r="E3073" i="35"/>
  <c r="E3069" i="35"/>
  <c r="E3065" i="35"/>
  <c r="E3061" i="35"/>
  <c r="E3057" i="35"/>
  <c r="E3053" i="35"/>
  <c r="E3049" i="35"/>
  <c r="E3045" i="35"/>
  <c r="E3041" i="35"/>
  <c r="E3037" i="35"/>
  <c r="E3033" i="35"/>
  <c r="E3029" i="35"/>
  <c r="E3025" i="35"/>
  <c r="E3021" i="35"/>
  <c r="E3013" i="35"/>
  <c r="E3005" i="35"/>
  <c r="E3001" i="35"/>
  <c r="E2997" i="35"/>
  <c r="E2993" i="35"/>
  <c r="E2986" i="35"/>
  <c r="E2978" i="35"/>
  <c r="E2971" i="35"/>
  <c r="E2967" i="35"/>
  <c r="E2963" i="35"/>
  <c r="E2959" i="35"/>
  <c r="E2955" i="35"/>
  <c r="E2951" i="35"/>
  <c r="E2944" i="35"/>
  <c r="E2936" i="35"/>
  <c r="E2932" i="35"/>
  <c r="E2928" i="35"/>
  <c r="E2924" i="35"/>
  <c r="E2920" i="35"/>
  <c r="E2916" i="35"/>
  <c r="E2912" i="35"/>
  <c r="E2908" i="35"/>
  <c r="E2900" i="35"/>
  <c r="E2896" i="35"/>
  <c r="E2892" i="35"/>
  <c r="E2888" i="35"/>
  <c r="E2884" i="35"/>
  <c r="E2880" i="35"/>
  <c r="E2872" i="35"/>
  <c r="E3356" i="35"/>
  <c r="E3337" i="35"/>
  <c r="E3325" i="35"/>
  <c r="E3317" i="35"/>
  <c r="E3310" i="35"/>
  <c r="E3282" i="35"/>
  <c r="E3267" i="35"/>
  <c r="E3251" i="35"/>
  <c r="E3239" i="35"/>
  <c r="E3220" i="35"/>
  <c r="E3213" i="35"/>
  <c r="E3206" i="35"/>
  <c r="E3199" i="35"/>
  <c r="E3168" i="35"/>
  <c r="E3164" i="35"/>
  <c r="E3160" i="35"/>
  <c r="E3156" i="35"/>
  <c r="E3152" i="35"/>
  <c r="E3148" i="35"/>
  <c r="E3144" i="35"/>
  <c r="E3137" i="35"/>
  <c r="E3129" i="35"/>
  <c r="E3118" i="35"/>
  <c r="E3095" i="35"/>
  <c r="E3091" i="35"/>
  <c r="E3087" i="35"/>
  <c r="E3083" i="35"/>
  <c r="E3076" i="35"/>
  <c r="E3072" i="35"/>
  <c r="E3068" i="35"/>
  <c r="E3064" i="35"/>
  <c r="E3060" i="35"/>
  <c r="E3056" i="35"/>
  <c r="E3052" i="35"/>
  <c r="E3040" i="35"/>
  <c r="E3036" i="35"/>
  <c r="E3032" i="35"/>
  <c r="E3028" i="35"/>
  <c r="E3024" i="35"/>
  <c r="E3020" i="35"/>
  <c r="E3016" i="35"/>
  <c r="E3012" i="35"/>
  <c r="E3004" i="35"/>
  <c r="E2992" i="35"/>
  <c r="E2985" i="35"/>
  <c r="E2981" i="35"/>
  <c r="E2974" i="35"/>
  <c r="E2966" i="35"/>
  <c r="E2962" i="35"/>
  <c r="E2947" i="35"/>
  <c r="E2943" i="35"/>
  <c r="E2939" i="35"/>
  <c r="E2935" i="35"/>
  <c r="E2931" i="35"/>
  <c r="E2919" i="35"/>
  <c r="E2915" i="35"/>
  <c r="E2911" i="35"/>
  <c r="E2907" i="35"/>
  <c r="E2903" i="35"/>
  <c r="E2899" i="35"/>
  <c r="E2895" i="35"/>
  <c r="E2891" i="35"/>
  <c r="E2887" i="35"/>
  <c r="E2883" i="35"/>
  <c r="E2879" i="35"/>
  <c r="E2875" i="35"/>
  <c r="E2871" i="35"/>
  <c r="E3345" i="35"/>
  <c r="E3306" i="35"/>
  <c r="E3167" i="35"/>
  <c r="E3155" i="35"/>
  <c r="E3102" i="35"/>
  <c r="E3090" i="35"/>
  <c r="E3063" i="35"/>
  <c r="E3031" i="35"/>
  <c r="E3007" i="35"/>
  <c r="E2991" i="35"/>
  <c r="E2973" i="35"/>
  <c r="E2961" i="35"/>
  <c r="E2938" i="35"/>
  <c r="E2926" i="35"/>
  <c r="E2910" i="35"/>
  <c r="E2898" i="35"/>
  <c r="E2886" i="35"/>
  <c r="E2874" i="35"/>
  <c r="E3263" i="35"/>
  <c r="E3163" i="35"/>
  <c r="E3143" i="35"/>
  <c r="E3136" i="35"/>
  <c r="E3128" i="35"/>
  <c r="E3117" i="35"/>
  <c r="E3086" i="35"/>
  <c r="E3075" i="35"/>
  <c r="E3059" i="35"/>
  <c r="E3027" i="35"/>
  <c r="E3015" i="35"/>
  <c r="E3003" i="35"/>
  <c r="E2980" i="35"/>
  <c r="E2946" i="35"/>
  <c r="E2934" i="35"/>
  <c r="E2906" i="35"/>
  <c r="E2882" i="35"/>
  <c r="E2870" i="35"/>
  <c r="E3247" i="35"/>
  <c r="E3151" i="35"/>
  <c r="E3106" i="35"/>
  <c r="E3098" i="35"/>
  <c r="E3082" i="35"/>
  <c r="E3071" i="35"/>
  <c r="E3055" i="35"/>
  <c r="E3039" i="35"/>
  <c r="E3023" i="35"/>
  <c r="E3011" i="35"/>
  <c r="E2988" i="35"/>
  <c r="E2942" i="35"/>
  <c r="E2930" i="35"/>
  <c r="E2918" i="35"/>
  <c r="E2894" i="35"/>
  <c r="E2878" i="35"/>
  <c r="E3294" i="35"/>
  <c r="E3159" i="35"/>
  <c r="E3147" i="35"/>
  <c r="E3140" i="35"/>
  <c r="E3132" i="35"/>
  <c r="E3124" i="35"/>
  <c r="E3094" i="35"/>
  <c r="E3067" i="35"/>
  <c r="E3051" i="35"/>
  <c r="E3035" i="35"/>
  <c r="E3019" i="35"/>
  <c r="E2984" i="35"/>
  <c r="E2965" i="35"/>
  <c r="E2953" i="35"/>
  <c r="E2914" i="35"/>
  <c r="E2902" i="35"/>
  <c r="E2890" i="35"/>
  <c r="E2867" i="35"/>
  <c r="E3115" i="35"/>
  <c r="E3212" i="35"/>
  <c r="E2905" i="35"/>
  <c r="E3141" i="35"/>
  <c r="E2990" i="35"/>
  <c r="E3193" i="35"/>
  <c r="E3080" i="35"/>
  <c r="E3323" i="35"/>
  <c r="E3353" i="35"/>
  <c r="E2977" i="35"/>
  <c r="E3229" i="35"/>
  <c r="E2970" i="35"/>
  <c r="E3334" i="35"/>
  <c r="E3044" i="35"/>
  <c r="E3205" i="35"/>
  <c r="E2950" i="35"/>
  <c r="E3111" i="35"/>
  <c r="E3181" i="35"/>
  <c r="E3175" i="35"/>
  <c r="E3190" i="35"/>
  <c r="E3245" i="35"/>
  <c r="E2877" i="35"/>
  <c r="E2996" i="35"/>
  <c r="E3171" i="35"/>
  <c r="E3000" i="35"/>
  <c r="E2923" i="35"/>
  <c r="E3100" i="35"/>
  <c r="E3219" i="35"/>
  <c r="E2983" i="35"/>
  <c r="E3233" i="35"/>
  <c r="E3303" i="35"/>
  <c r="E2941" i="35"/>
  <c r="E3104" i="35"/>
  <c r="E3189" i="35"/>
  <c r="E3134" i="35"/>
  <c r="E2958" i="35"/>
  <c r="E3108" i="35"/>
  <c r="E3048" i="35"/>
  <c r="E3121" i="35"/>
  <c r="E3279" i="35"/>
  <c r="E3347" i="35"/>
  <c r="E3319" i="35"/>
  <c r="G233" i="32"/>
  <c r="G229" i="32"/>
  <c r="G226" i="32"/>
  <c r="H218" i="32"/>
  <c r="G222" i="32"/>
  <c r="G215" i="32"/>
  <c r="H214" i="32"/>
  <c r="E214" i="32"/>
  <c r="D214" i="32"/>
  <c r="G212" i="32"/>
  <c r="H211" i="32"/>
  <c r="E211" i="32"/>
  <c r="D211" i="32"/>
  <c r="G209" i="32"/>
  <c r="G208" i="32"/>
  <c r="G207" i="32"/>
  <c r="G206" i="32"/>
  <c r="H205" i="32"/>
  <c r="E205" i="32"/>
  <c r="D205" i="32"/>
  <c r="G203" i="32"/>
  <c r="H202" i="32"/>
  <c r="E202" i="32"/>
  <c r="D202" i="32"/>
  <c r="G200" i="32"/>
  <c r="G199" i="32"/>
  <c r="G198" i="32"/>
  <c r="H197" i="32"/>
  <c r="E197" i="32"/>
  <c r="D197" i="32"/>
  <c r="G195" i="32"/>
  <c r="G194" i="32"/>
  <c r="G193" i="32"/>
  <c r="G192" i="32"/>
  <c r="G191" i="32"/>
  <c r="H190" i="32"/>
  <c r="E190" i="32"/>
  <c r="D190" i="32"/>
  <c r="G188" i="32"/>
  <c r="H187" i="32"/>
  <c r="E187" i="32"/>
  <c r="D187" i="32"/>
  <c r="G185" i="32"/>
  <c r="G184" i="32"/>
  <c r="H183" i="32"/>
  <c r="E183" i="32"/>
  <c r="D183" i="32"/>
  <c r="G181" i="32"/>
  <c r="G180" i="32"/>
  <c r="G179" i="32"/>
  <c r="H178" i="32"/>
  <c r="E178" i="32"/>
  <c r="D178" i="32"/>
  <c r="G176" i="32"/>
  <c r="H175" i="32"/>
  <c r="E175" i="32"/>
  <c r="G175" i="32" s="1"/>
  <c r="D175" i="32"/>
  <c r="G173" i="32"/>
  <c r="H172" i="32"/>
  <c r="E172" i="32"/>
  <c r="D172" i="32"/>
  <c r="G170" i="32"/>
  <c r="G169" i="32"/>
  <c r="G168" i="32"/>
  <c r="G167" i="32"/>
  <c r="G166" i="32"/>
  <c r="G165" i="32"/>
  <c r="G164" i="32"/>
  <c r="G163" i="32"/>
  <c r="G162" i="32"/>
  <c r="G161" i="32"/>
  <c r="G160" i="32"/>
  <c r="G159" i="32"/>
  <c r="G158" i="32"/>
  <c r="H157" i="32"/>
  <c r="E157" i="32"/>
  <c r="D157" i="32"/>
  <c r="G155" i="32"/>
  <c r="H154" i="32"/>
  <c r="E154" i="32"/>
  <c r="D154" i="32"/>
  <c r="G152" i="32"/>
  <c r="H151" i="32"/>
  <c r="E151" i="32"/>
  <c r="G151" i="32" s="1"/>
  <c r="D151" i="32"/>
  <c r="G149" i="32"/>
  <c r="G148" i="32"/>
  <c r="H147" i="32"/>
  <c r="H146" i="32" s="1"/>
  <c r="E147" i="32"/>
  <c r="D147" i="32"/>
  <c r="D146" i="32" s="1"/>
  <c r="E33" i="37" l="1"/>
  <c r="D1027" i="37"/>
  <c r="E1027" i="37" s="1"/>
  <c r="G187" i="32"/>
  <c r="G197" i="32"/>
  <c r="G202" i="32"/>
  <c r="G205" i="32"/>
  <c r="G211" i="32"/>
  <c r="G157" i="32"/>
  <c r="G183" i="32"/>
  <c r="G178" i="32"/>
  <c r="G147" i="32"/>
  <c r="G154" i="32"/>
  <c r="G172" i="32"/>
  <c r="G190" i="32"/>
  <c r="G214" i="32"/>
  <c r="E146" i="32"/>
  <c r="G146" i="32" s="1"/>
  <c r="E2814" i="35"/>
  <c r="E2807" i="35"/>
  <c r="E2800" i="35"/>
  <c r="E2794" i="35"/>
  <c r="E2782" i="35"/>
  <c r="E2777" i="35"/>
  <c r="E2816" i="35"/>
  <c r="E2787" i="35"/>
  <c r="E2781" i="35"/>
  <c r="E2776" i="35"/>
  <c r="E2818" i="35"/>
  <c r="E2803" i="35"/>
  <c r="E2796" i="35"/>
  <c r="E2783" i="35"/>
  <c r="E2774" i="35"/>
  <c r="E2817" i="35"/>
  <c r="E2811" i="35"/>
  <c r="E2804" i="35"/>
  <c r="E2797" i="35"/>
  <c r="E2780" i="35"/>
  <c r="E2775" i="35"/>
  <c r="E2810" i="35"/>
  <c r="E2790" i="35"/>
  <c r="E2779" i="35"/>
  <c r="E2802" i="35"/>
  <c r="E2789" i="35"/>
  <c r="E2806" i="35"/>
  <c r="E2785" i="35"/>
  <c r="E2792" i="35"/>
  <c r="E2786" i="35"/>
  <c r="E2793" i="35"/>
  <c r="E2809" i="35"/>
  <c r="E2813" i="35"/>
  <c r="E2799" i="35"/>
  <c r="E2768" i="35"/>
  <c r="E2762" i="35"/>
  <c r="E2752" i="35"/>
  <c r="E2758" i="35"/>
  <c r="E2761" i="35"/>
  <c r="E2753" i="35"/>
  <c r="E2756" i="35"/>
  <c r="E2750" i="35"/>
  <c r="E2757" i="35"/>
  <c r="E2765" i="35"/>
  <c r="E2749" i="35"/>
  <c r="E2764" i="35"/>
  <c r="E2760" i="35"/>
  <c r="E2755" i="35"/>
  <c r="E2767" i="35"/>
  <c r="E2743" i="35"/>
  <c r="E2738" i="35"/>
  <c r="E2735" i="35"/>
  <c r="E2734" i="35"/>
  <c r="E2742" i="35"/>
  <c r="E2731" i="35"/>
  <c r="E2741" i="35"/>
  <c r="E2733" i="35"/>
  <c r="E2740" i="35"/>
  <c r="E2737" i="35"/>
  <c r="E2719" i="35"/>
  <c r="E2718" i="35"/>
  <c r="E2717" i="35"/>
  <c r="E2704" i="35"/>
  <c r="E2712" i="35"/>
  <c r="E2711" i="35"/>
  <c r="E2708" i="35"/>
  <c r="E2710" i="35"/>
  <c r="E2659" i="35"/>
  <c r="E2651" i="35"/>
  <c r="E2650" i="35"/>
  <c r="E2652" i="35"/>
  <c r="E2656" i="35"/>
  <c r="E2646" i="35"/>
  <c r="E2655" i="35"/>
  <c r="E2654" i="35"/>
  <c r="E2658" i="35"/>
  <c r="E2633" i="35"/>
  <c r="E2638" i="35"/>
  <c r="E2619" i="35"/>
  <c r="E2626" i="35"/>
  <c r="E2609" i="35"/>
  <c r="E2605" i="35"/>
  <c r="E2600" i="35"/>
  <c r="E2584" i="35"/>
  <c r="E2580" i="35"/>
  <c r="E2565" i="35"/>
  <c r="E2588" i="35"/>
  <c r="E2608" i="35"/>
  <c r="E2604" i="35"/>
  <c r="E2599" i="35"/>
  <c r="E2583" i="35"/>
  <c r="E2579" i="35"/>
  <c r="E2560" i="35"/>
  <c r="E2601" i="35"/>
  <c r="E2566" i="35"/>
  <c r="E2607" i="35"/>
  <c r="E2602" i="35"/>
  <c r="E2589" i="35"/>
  <c r="E2582" i="35"/>
  <c r="E2567" i="35"/>
  <c r="E2606" i="35"/>
  <c r="E2581" i="35"/>
  <c r="D355" i="35"/>
  <c r="D982" i="38"/>
  <c r="E982" i="38" s="1"/>
  <c r="E2730" i="35"/>
  <c r="E2723" i="35"/>
  <c r="E2670" i="35"/>
  <c r="E2645" i="35"/>
  <c r="E2629" i="35"/>
  <c r="E2616" i="35"/>
  <c r="E2598" i="35"/>
  <c r="E2578" i="35"/>
  <c r="E2574" i="35"/>
  <c r="E2570" i="35"/>
  <c r="E2563" i="35"/>
  <c r="E2862" i="35"/>
  <c r="E2772" i="35"/>
  <c r="E2729" i="35"/>
  <c r="E2722" i="35"/>
  <c r="E2716" i="35"/>
  <c r="E2703" i="35"/>
  <c r="E2699" i="35"/>
  <c r="E2695" i="35"/>
  <c r="E2669" i="35"/>
  <c r="E2663" i="35"/>
  <c r="E2649" i="35"/>
  <c r="E2644" i="35"/>
  <c r="E2637" i="35"/>
  <c r="E2632" i="35"/>
  <c r="E2628" i="35"/>
  <c r="E2615" i="35"/>
  <c r="E2597" i="35"/>
  <c r="E2593" i="35"/>
  <c r="E2587" i="35"/>
  <c r="E2577" i="35"/>
  <c r="E2573" i="35"/>
  <c r="E2728" i="35"/>
  <c r="E2707" i="35"/>
  <c r="E2702" i="35"/>
  <c r="E2688" i="35"/>
  <c r="E2685" i="35"/>
  <c r="E2682" i="35"/>
  <c r="E2676" i="35"/>
  <c r="E2672" i="35"/>
  <c r="E2666" i="35"/>
  <c r="E2641" i="35"/>
  <c r="E2636" i="35"/>
  <c r="E2618" i="35"/>
  <c r="E2596" i="35"/>
  <c r="E2592" i="35"/>
  <c r="E2576" i="35"/>
  <c r="E2861" i="35"/>
  <c r="E2747" i="35"/>
  <c r="E2727" i="35"/>
  <c r="E2706" i="35"/>
  <c r="E2701" i="35"/>
  <c r="E2691" i="35"/>
  <c r="E2687" i="35"/>
  <c r="E2684" i="35"/>
  <c r="E2681" i="35"/>
  <c r="E2679" i="35"/>
  <c r="E2675" i="35"/>
  <c r="E2671" i="35"/>
  <c r="E2665" i="35"/>
  <c r="E2640" i="35"/>
  <c r="E2635" i="35"/>
  <c r="E2625" i="35"/>
  <c r="E2622" i="35"/>
  <c r="E2617" i="35"/>
  <c r="E2613" i="35"/>
  <c r="E2575" i="35"/>
  <c r="E2564" i="35"/>
  <c r="E2770" i="35"/>
  <c r="E2693" i="35"/>
  <c r="E2591" i="35"/>
  <c r="E2572" i="35"/>
  <c r="E2715" i="35"/>
  <c r="E2726" i="35"/>
  <c r="E2662" i="35"/>
  <c r="E2621" i="35"/>
  <c r="E2661" i="35"/>
  <c r="E2569" i="35"/>
  <c r="E2714" i="35"/>
  <c r="E2631" i="35"/>
  <c r="E2611" i="35"/>
  <c r="E2678" i="35"/>
  <c r="E2648" i="35"/>
  <c r="E2586" i="35"/>
  <c r="E2721" i="35"/>
  <c r="E2771" i="35"/>
  <c r="E2697" i="35"/>
  <c r="E2643" i="35"/>
  <c r="E2698" i="35"/>
  <c r="E2595" i="35"/>
  <c r="E2746" i="35"/>
  <c r="E2624" i="35"/>
  <c r="E2690" i="35"/>
  <c r="E2612" i="35"/>
  <c r="E2694" i="35"/>
  <c r="E2674" i="35"/>
  <c r="E2745" i="35"/>
  <c r="E2668" i="35"/>
  <c r="E2725" i="35"/>
  <c r="E355" i="35" l="1"/>
  <c r="D4736" i="35"/>
  <c r="D4739" i="35" s="1"/>
  <c r="E4736" i="35" l="1"/>
  <c r="G93" i="32" l="1"/>
  <c r="H92" i="32"/>
  <c r="E92" i="32"/>
  <c r="D92" i="32"/>
  <c r="D91" i="32" s="1"/>
  <c r="G89" i="32"/>
  <c r="G88" i="32"/>
  <c r="G87" i="32"/>
  <c r="G86" i="32"/>
  <c r="H85" i="32"/>
  <c r="E85" i="32"/>
  <c r="D85" i="32"/>
  <c r="G83" i="32"/>
  <c r="G82" i="32"/>
  <c r="G81" i="32"/>
  <c r="G80" i="32"/>
  <c r="G79" i="32"/>
  <c r="G78" i="32"/>
  <c r="G76" i="32"/>
  <c r="G75" i="32"/>
  <c r="G74" i="32"/>
  <c r="G73" i="32"/>
  <c r="G72" i="32"/>
  <c r="G71" i="32"/>
  <c r="G70" i="32"/>
  <c r="G69" i="32"/>
  <c r="G68" i="32"/>
  <c r="G67" i="32"/>
  <c r="G66" i="32"/>
  <c r="G65" i="32"/>
  <c r="G64" i="32"/>
  <c r="G62" i="32"/>
  <c r="G61" i="32"/>
  <c r="G60" i="32"/>
  <c r="G59" i="32"/>
  <c r="G58" i="32"/>
  <c r="H57" i="32"/>
  <c r="E57" i="32"/>
  <c r="D57" i="32"/>
  <c r="E55" i="32"/>
  <c r="D55" i="32"/>
  <c r="D54" i="32" s="1"/>
  <c r="H54" i="32"/>
  <c r="H91" i="32"/>
  <c r="G85" i="32" l="1"/>
  <c r="G55" i="32"/>
  <c r="E54" i="32"/>
  <c r="G54" i="32" s="1"/>
  <c r="G57" i="32"/>
  <c r="G92" i="32"/>
  <c r="E91" i="32"/>
  <c r="G91" i="32" s="1"/>
  <c r="G130" i="32" l="1"/>
  <c r="J129" i="32"/>
  <c r="H129" i="32"/>
  <c r="E129" i="32"/>
  <c r="G129" i="32" s="1"/>
  <c r="D129" i="32"/>
  <c r="G127" i="32"/>
  <c r="G126" i="32"/>
  <c r="G125" i="32"/>
  <c r="H124" i="32"/>
  <c r="E124" i="32"/>
  <c r="D124" i="32"/>
  <c r="G122" i="32"/>
  <c r="G121" i="32"/>
  <c r="G120" i="32"/>
  <c r="E119" i="32"/>
  <c r="D119" i="32"/>
  <c r="G117" i="32"/>
  <c r="G116" i="32"/>
  <c r="G115" i="32"/>
  <c r="G114" i="32"/>
  <c r="G113" i="32"/>
  <c r="H112" i="32"/>
  <c r="E112" i="32"/>
  <c r="D112" i="32"/>
  <c r="G110" i="32"/>
  <c r="H109" i="32"/>
  <c r="E109" i="32"/>
  <c r="D109" i="32"/>
  <c r="J201" i="31"/>
  <c r="G109" i="32" l="1"/>
  <c r="G124" i="32"/>
  <c r="G119" i="32"/>
  <c r="G112" i="32"/>
  <c r="G448" i="32" l="1"/>
  <c r="H444" i="32"/>
  <c r="H443" i="32" s="1"/>
  <c r="E444" i="32"/>
  <c r="D444" i="32"/>
  <c r="D443" i="32" s="1"/>
  <c r="G444" i="32" l="1"/>
  <c r="E443" i="32"/>
  <c r="G443" i="32" s="1"/>
  <c r="G802" i="32" l="1"/>
  <c r="H797" i="32"/>
  <c r="E797" i="32"/>
  <c r="G798" i="32"/>
  <c r="G795" i="32"/>
  <c r="G794" i="32"/>
  <c r="G793" i="32"/>
  <c r="G792" i="32"/>
  <c r="G789" i="32"/>
  <c r="G788" i="32"/>
  <c r="G787" i="32"/>
  <c r="G786" i="32"/>
  <c r="G785" i="32"/>
  <c r="G784" i="32"/>
  <c r="G783" i="32"/>
  <c r="G782" i="32"/>
  <c r="G781" i="32"/>
  <c r="G777" i="32"/>
  <c r="G768" i="32"/>
  <c r="G767" i="32"/>
  <c r="H766" i="32"/>
  <c r="E766" i="32"/>
  <c r="D766" i="32"/>
  <c r="G764" i="32"/>
  <c r="G763" i="32"/>
  <c r="H762" i="32"/>
  <c r="E762" i="32"/>
  <c r="D762" i="32"/>
  <c r="G760" i="32"/>
  <c r="H759" i="32"/>
  <c r="E759" i="32"/>
  <c r="D759" i="32"/>
  <c r="G756" i="32"/>
  <c r="G755" i="32"/>
  <c r="H754" i="32"/>
  <c r="E754" i="32"/>
  <c r="D754" i="32"/>
  <c r="G752" i="32"/>
  <c r="H751" i="32"/>
  <c r="E751" i="32"/>
  <c r="D751" i="32"/>
  <c r="G749" i="32"/>
  <c r="H748" i="32"/>
  <c r="E748" i="32"/>
  <c r="D748" i="32"/>
  <c r="D745" i="32"/>
  <c r="G743" i="32"/>
  <c r="G742" i="32"/>
  <c r="G741" i="32"/>
  <c r="G740" i="32"/>
  <c r="G739" i="32"/>
  <c r="H738" i="32"/>
  <c r="E738" i="32"/>
  <c r="D738" i="32"/>
  <c r="G734" i="32"/>
  <c r="G721" i="32"/>
  <c r="G719" i="32"/>
  <c r="H718" i="32"/>
  <c r="E718" i="32"/>
  <c r="D718" i="32"/>
  <c r="G716" i="32"/>
  <c r="G715" i="32"/>
  <c r="G714" i="32"/>
  <c r="G713" i="32"/>
  <c r="G712" i="32"/>
  <c r="G711" i="32"/>
  <c r="H710" i="32"/>
  <c r="E710" i="32"/>
  <c r="D710" i="32"/>
  <c r="G708" i="32"/>
  <c r="G704" i="32"/>
  <c r="H699" i="32"/>
  <c r="E699" i="32"/>
  <c r="D699" i="32"/>
  <c r="G697" i="32"/>
  <c r="G696" i="32"/>
  <c r="G695" i="32"/>
  <c r="H694" i="32"/>
  <c r="E694" i="32"/>
  <c r="D694" i="32"/>
  <c r="G692" i="32"/>
  <c r="G691" i="32"/>
  <c r="G690" i="32"/>
  <c r="G689" i="32"/>
  <c r="G684" i="32"/>
  <c r="E679" i="32"/>
  <c r="D679" i="32"/>
  <c r="E674" i="32"/>
  <c r="D674" i="32"/>
  <c r="G751" i="32" l="1"/>
  <c r="G766" i="32"/>
  <c r="G738" i="32"/>
  <c r="G748" i="32"/>
  <c r="G674" i="32"/>
  <c r="G754" i="32"/>
  <c r="G694" i="32"/>
  <c r="G699" i="32"/>
  <c r="G710" i="32"/>
  <c r="G759" i="32"/>
  <c r="G762" i="32"/>
  <c r="G679" i="32"/>
  <c r="G718" i="32"/>
  <c r="G619" i="32" l="1"/>
  <c r="G615" i="32"/>
  <c r="G611" i="32"/>
  <c r="G610" i="32"/>
  <c r="G609" i="32"/>
  <c r="H608" i="32"/>
  <c r="E608" i="32"/>
  <c r="G605" i="32"/>
  <c r="G601" i="32"/>
  <c r="H600" i="32"/>
  <c r="E600" i="32"/>
  <c r="D600" i="32"/>
  <c r="G598" i="32"/>
  <c r="G597" i="32"/>
  <c r="H596" i="32"/>
  <c r="E596" i="32"/>
  <c r="D596" i="32"/>
  <c r="G594" i="32"/>
  <c r="G593" i="32"/>
  <c r="G592" i="32"/>
  <c r="G591" i="32"/>
  <c r="H590" i="32"/>
  <c r="E590" i="32"/>
  <c r="D590" i="32"/>
  <c r="G588" i="32"/>
  <c r="H587" i="32"/>
  <c r="E587" i="32"/>
  <c r="D587" i="32"/>
  <c r="G585" i="32"/>
  <c r="G584" i="32"/>
  <c r="H583" i="32"/>
  <c r="E583" i="32"/>
  <c r="D583" i="32"/>
  <c r="G581" i="32"/>
  <c r="G580" i="32"/>
  <c r="G579" i="32"/>
  <c r="G578" i="32"/>
  <c r="G577" i="32"/>
  <c r="G576" i="32"/>
  <c r="G575" i="32"/>
  <c r="G574" i="32"/>
  <c r="G573" i="32"/>
  <c r="G572" i="32"/>
  <c r="G571" i="32"/>
  <c r="G570" i="32"/>
  <c r="H569" i="32"/>
  <c r="E569" i="32"/>
  <c r="D569" i="32"/>
  <c r="G567" i="32"/>
  <c r="H566" i="32"/>
  <c r="E566" i="32"/>
  <c r="D566" i="32"/>
  <c r="G564" i="32"/>
  <c r="G563" i="32"/>
  <c r="G562" i="32"/>
  <c r="G561" i="32"/>
  <c r="G560" i="32"/>
  <c r="G559" i="32"/>
  <c r="G558" i="32"/>
  <c r="H557" i="32"/>
  <c r="E557" i="32"/>
  <c r="D557" i="32"/>
  <c r="G555" i="32"/>
  <c r="G554" i="32"/>
  <c r="H553" i="32"/>
  <c r="E553" i="32"/>
  <c r="D553" i="32"/>
  <c r="G551" i="32"/>
  <c r="H550" i="32"/>
  <c r="E550" i="32"/>
  <c r="D550" i="32"/>
  <c r="G548" i="32"/>
  <c r="H547" i="32"/>
  <c r="E547" i="32"/>
  <c r="D547" i="32"/>
  <c r="G545" i="32"/>
  <c r="H544" i="32"/>
  <c r="E544" i="32"/>
  <c r="D544" i="32"/>
  <c r="G542" i="32"/>
  <c r="G541" i="32"/>
  <c r="G540" i="32"/>
  <c r="G539" i="32"/>
  <c r="H538" i="32"/>
  <c r="E538" i="32"/>
  <c r="D538" i="32"/>
  <c r="G583" i="32" l="1"/>
  <c r="G557" i="32"/>
  <c r="G547" i="32"/>
  <c r="G569" i="32"/>
  <c r="G544" i="32"/>
  <c r="G590" i="32"/>
  <c r="G550" i="32"/>
  <c r="G553" i="32"/>
  <c r="G587" i="32"/>
  <c r="G600" i="32"/>
  <c r="G538" i="32"/>
  <c r="G566" i="32"/>
  <c r="G596" i="32"/>
  <c r="H898" i="32" l="1"/>
  <c r="H897" i="32" s="1"/>
  <c r="E898" i="32"/>
  <c r="G899" i="32"/>
  <c r="G895" i="32"/>
  <c r="G894" i="32"/>
  <c r="H893" i="32"/>
  <c r="G893" i="32"/>
  <c r="G891" i="32"/>
  <c r="G890" i="32"/>
  <c r="G889" i="32"/>
  <c r="G887" i="32"/>
  <c r="G886" i="32"/>
  <c r="H885" i="32"/>
  <c r="G883" i="32"/>
  <c r="G882" i="32"/>
  <c r="G881" i="32"/>
  <c r="G880" i="32"/>
  <c r="G878" i="32"/>
  <c r="H877" i="32"/>
  <c r="G877" i="32"/>
  <c r="G875" i="32"/>
  <c r="G874" i="32"/>
  <c r="G873" i="32"/>
  <c r="G872" i="32"/>
  <c r="G871" i="32"/>
  <c r="G870" i="32"/>
  <c r="G869" i="32"/>
  <c r="G868" i="32"/>
  <c r="G867" i="32"/>
  <c r="G866" i="32"/>
  <c r="G865" i="32"/>
  <c r="G864" i="32"/>
  <c r="G863" i="32"/>
  <c r="G862" i="32"/>
  <c r="G861" i="32"/>
  <c r="G860" i="32"/>
  <c r="G859" i="32"/>
  <c r="G858" i="32"/>
  <c r="H857" i="32"/>
  <c r="G857" i="32"/>
  <c r="G855" i="32"/>
  <c r="G854" i="32"/>
  <c r="G853" i="32"/>
  <c r="G852" i="32"/>
  <c r="G851" i="32"/>
  <c r="G850" i="32"/>
  <c r="H849" i="32"/>
  <c r="G849" i="32"/>
  <c r="G847" i="32"/>
  <c r="G846" i="32"/>
  <c r="G845" i="32"/>
  <c r="G844" i="32"/>
  <c r="G842" i="32"/>
  <c r="G841" i="32"/>
  <c r="G840" i="32"/>
  <c r="G839" i="32"/>
  <c r="G838" i="32"/>
  <c r="G837" i="32"/>
  <c r="G836" i="32"/>
  <c r="G833" i="32"/>
  <c r="G832" i="32"/>
  <c r="G831" i="32"/>
  <c r="H830" i="32"/>
  <c r="G828" i="32"/>
  <c r="G827" i="32"/>
  <c r="G826" i="32"/>
  <c r="G825" i="32"/>
  <c r="G824" i="32"/>
  <c r="G823" i="32"/>
  <c r="G822" i="32"/>
  <c r="G821" i="32"/>
  <c r="G820" i="32"/>
  <c r="G819" i="32"/>
  <c r="G818" i="32"/>
  <c r="G817" i="32"/>
  <c r="G815" i="32"/>
  <c r="H814" i="32"/>
  <c r="G812" i="32"/>
  <c r="G810" i="32"/>
  <c r="G809" i="32"/>
  <c r="H808" i="32"/>
  <c r="G808" i="32"/>
  <c r="G830" i="32" l="1"/>
  <c r="G814" i="32"/>
  <c r="G885" i="32"/>
  <c r="E897" i="32"/>
  <c r="G521" i="32" l="1"/>
  <c r="G520" i="32"/>
  <c r="G519" i="32"/>
  <c r="G518" i="32"/>
  <c r="G517" i="32"/>
  <c r="G516" i="32"/>
  <c r="G515" i="32"/>
  <c r="G514" i="32"/>
  <c r="G513" i="32"/>
  <c r="G512" i="32"/>
  <c r="G511" i="32"/>
  <c r="H510" i="32"/>
  <c r="E510" i="32"/>
  <c r="D510" i="32"/>
  <c r="G508" i="32"/>
  <c r="G507" i="32"/>
  <c r="G506" i="32"/>
  <c r="G505" i="32"/>
  <c r="G504" i="32"/>
  <c r="G503" i="32"/>
  <c r="G502" i="32"/>
  <c r="G501" i="32"/>
  <c r="G500" i="32"/>
  <c r="H499" i="32"/>
  <c r="E499" i="32"/>
  <c r="D499" i="32"/>
  <c r="G497" i="32"/>
  <c r="G496" i="32"/>
  <c r="G495" i="32"/>
  <c r="G494" i="32"/>
  <c r="G493" i="32"/>
  <c r="E492" i="32"/>
  <c r="G492" i="32" s="1"/>
  <c r="G490" i="32"/>
  <c r="G489" i="32"/>
  <c r="G488" i="32"/>
  <c r="G487" i="32"/>
  <c r="G486" i="32"/>
  <c r="H485" i="32"/>
  <c r="E485" i="32"/>
  <c r="D485" i="32"/>
  <c r="G483" i="32"/>
  <c r="G482" i="32"/>
  <c r="G481" i="32"/>
  <c r="H480" i="32"/>
  <c r="E480" i="32"/>
  <c r="D480" i="32"/>
  <c r="G478" i="32"/>
  <c r="G477" i="32"/>
  <c r="G475" i="32"/>
  <c r="H474" i="32"/>
  <c r="E474" i="32"/>
  <c r="D474" i="32"/>
  <c r="G472" i="32"/>
  <c r="G471" i="32"/>
  <c r="G470" i="32"/>
  <c r="G469" i="32"/>
  <c r="G468" i="32"/>
  <c r="G467" i="32"/>
  <c r="G466" i="32"/>
  <c r="G465" i="32"/>
  <c r="G464" i="32"/>
  <c r="G463" i="32"/>
  <c r="G462" i="32"/>
  <c r="G461" i="32"/>
  <c r="G460" i="32"/>
  <c r="G459" i="32"/>
  <c r="G458" i="32"/>
  <c r="H457" i="32"/>
  <c r="E457" i="32"/>
  <c r="D457" i="32"/>
  <c r="G474" i="32" l="1"/>
  <c r="G457" i="32"/>
  <c r="G480" i="32"/>
  <c r="G499" i="32"/>
  <c r="G510" i="32"/>
  <c r="G485" i="32"/>
  <c r="G282" i="32"/>
  <c r="G281" i="32"/>
  <c r="G280" i="32"/>
  <c r="G279" i="32"/>
  <c r="G278" i="32"/>
  <c r="G277" i="32"/>
  <c r="H276" i="32"/>
  <c r="E276" i="32"/>
  <c r="D276" i="32"/>
  <c r="G273" i="32"/>
  <c r="G272" i="32"/>
  <c r="H271" i="32"/>
  <c r="E271" i="32"/>
  <c r="D271" i="32"/>
  <c r="G269" i="32"/>
  <c r="H268" i="32"/>
  <c r="E268" i="32"/>
  <c r="D268" i="32"/>
  <c r="G266" i="32"/>
  <c r="H265" i="32"/>
  <c r="E265" i="32"/>
  <c r="D265" i="32"/>
  <c r="G262" i="32"/>
  <c r="G261" i="32"/>
  <c r="G260" i="32"/>
  <c r="H259" i="32"/>
  <c r="E259" i="32"/>
  <c r="D259" i="32"/>
  <c r="G257" i="32"/>
  <c r="E256" i="32"/>
  <c r="D256" i="32"/>
  <c r="G254" i="32"/>
  <c r="G253" i="32"/>
  <c r="H252" i="32"/>
  <c r="E252" i="32"/>
  <c r="D252" i="32"/>
  <c r="G250" i="32"/>
  <c r="H249" i="32"/>
  <c r="E249" i="32"/>
  <c r="D249" i="32"/>
  <c r="G247" i="32"/>
  <c r="G246" i="32"/>
  <c r="H245" i="32"/>
  <c r="E245" i="32"/>
  <c r="D245" i="32"/>
  <c r="G243" i="32"/>
  <c r="G242" i="32"/>
  <c r="H241" i="32"/>
  <c r="E241" i="32"/>
  <c r="D241" i="32"/>
  <c r="G241" i="32" l="1"/>
  <c r="G276" i="32"/>
  <c r="G249" i="32"/>
  <c r="G256" i="32"/>
  <c r="G271" i="32"/>
  <c r="G252" i="32"/>
  <c r="G259" i="32"/>
  <c r="G245" i="32"/>
  <c r="G265" i="32"/>
  <c r="G268" i="32"/>
  <c r="G351" i="32" l="1"/>
  <c r="H350" i="32"/>
  <c r="E350" i="32"/>
  <c r="D350" i="32"/>
  <c r="G348" i="32"/>
  <c r="H347" i="32"/>
  <c r="E347" i="32"/>
  <c r="D347" i="32"/>
  <c r="G344" i="32"/>
  <c r="G343" i="32"/>
  <c r="G342" i="32"/>
  <c r="G341" i="32"/>
  <c r="G340" i="32"/>
  <c r="G339" i="32"/>
  <c r="G338" i="32"/>
  <c r="G337" i="32"/>
  <c r="H336" i="32"/>
  <c r="E336" i="32"/>
  <c r="D336" i="32"/>
  <c r="G334" i="32"/>
  <c r="H333" i="32"/>
  <c r="E333" i="32"/>
  <c r="D333" i="32"/>
  <c r="G331" i="32"/>
  <c r="H330" i="32"/>
  <c r="E330" i="32"/>
  <c r="D330" i="32"/>
  <c r="G328" i="32"/>
  <c r="G327" i="32"/>
  <c r="H326" i="32"/>
  <c r="E326" i="32"/>
  <c r="D326" i="32"/>
  <c r="G324" i="32"/>
  <c r="H323" i="32"/>
  <c r="E323" i="32"/>
  <c r="D323" i="32"/>
  <c r="G321" i="32"/>
  <c r="G320" i="32"/>
  <c r="G319" i="32"/>
  <c r="G318" i="32"/>
  <c r="G317" i="32"/>
  <c r="G316" i="32"/>
  <c r="G315" i="32"/>
  <c r="H314" i="32"/>
  <c r="E314" i="32"/>
  <c r="D314" i="32"/>
  <c r="D311" i="32"/>
  <c r="G309" i="32"/>
  <c r="G308" i="32"/>
  <c r="G307" i="32"/>
  <c r="H306" i="32"/>
  <c r="E306" i="32"/>
  <c r="D306" i="32"/>
  <c r="G304" i="32"/>
  <c r="G303" i="32"/>
  <c r="G302" i="32"/>
  <c r="H301" i="32"/>
  <c r="E301" i="32"/>
  <c r="D301" i="32"/>
  <c r="G299" i="32"/>
  <c r="G298" i="32"/>
  <c r="G297" i="32"/>
  <c r="G296" i="32"/>
  <c r="G295" i="32"/>
  <c r="G294" i="32"/>
  <c r="G293" i="32"/>
  <c r="G292" i="32"/>
  <c r="G291" i="32"/>
  <c r="H290" i="32"/>
  <c r="E290" i="32"/>
  <c r="D290" i="32"/>
  <c r="G288" i="32"/>
  <c r="H287" i="32"/>
  <c r="E287" i="32"/>
  <c r="D287" i="32"/>
  <c r="G323" i="32" l="1"/>
  <c r="G290" i="32"/>
  <c r="G336" i="32"/>
  <c r="G347" i="32"/>
  <c r="G314" i="32"/>
  <c r="G330" i="32"/>
  <c r="G287" i="32"/>
  <c r="G306" i="32"/>
  <c r="G333" i="32"/>
  <c r="G350" i="32"/>
  <c r="G301" i="32"/>
  <c r="G326" i="32"/>
  <c r="G950" i="32"/>
  <c r="G946" i="32"/>
  <c r="G943" i="32"/>
  <c r="G936" i="32"/>
  <c r="H935" i="32"/>
  <c r="E935" i="32"/>
  <c r="D935" i="32"/>
  <c r="G933" i="32"/>
  <c r="H932" i="32"/>
  <c r="E932" i="32"/>
  <c r="D932" i="32"/>
  <c r="G930" i="32"/>
  <c r="G929" i="32"/>
  <c r="H928" i="32"/>
  <c r="E928" i="32"/>
  <c r="D928" i="32"/>
  <c r="G926" i="32"/>
  <c r="H925" i="32"/>
  <c r="E925" i="32"/>
  <c r="D925" i="32"/>
  <c r="G923" i="32"/>
  <c r="G922" i="32"/>
  <c r="H921" i="32"/>
  <c r="E921" i="32"/>
  <c r="D921" i="32"/>
  <c r="G919" i="32"/>
  <c r="H918" i="32"/>
  <c r="E918" i="32"/>
  <c r="D918" i="32"/>
  <c r="G916" i="32"/>
  <c r="G915" i="32"/>
  <c r="G914" i="32"/>
  <c r="H913" i="32"/>
  <c r="E913" i="32"/>
  <c r="D913" i="32"/>
  <c r="G911" i="32"/>
  <c r="H910" i="32"/>
  <c r="E910" i="32"/>
  <c r="D910" i="32"/>
  <c r="G908" i="32"/>
  <c r="H907" i="32"/>
  <c r="E907" i="32"/>
  <c r="D907" i="32"/>
  <c r="G918" i="32" l="1"/>
  <c r="G907" i="32"/>
  <c r="G913" i="32"/>
  <c r="G932" i="32"/>
  <c r="G935" i="32"/>
  <c r="G921" i="32"/>
  <c r="G910" i="32"/>
  <c r="G925" i="32"/>
  <c r="G928" i="32"/>
  <c r="E16" i="18" l="1"/>
  <c r="E18" i="18"/>
  <c r="D18" i="18"/>
  <c r="D37" i="18" s="1"/>
  <c r="D16" i="18"/>
  <c r="H949" i="32"/>
  <c r="H948" i="32" s="1"/>
  <c r="E949" i="32"/>
  <c r="E948" i="32" s="1"/>
  <c r="D949" i="32"/>
  <c r="D948" i="32" s="1"/>
  <c r="H945" i="32"/>
  <c r="E945" i="32"/>
  <c r="D945" i="32"/>
  <c r="H942" i="32"/>
  <c r="E942" i="32"/>
  <c r="D942" i="32"/>
  <c r="H906" i="32"/>
  <c r="D906" i="32"/>
  <c r="D898" i="32"/>
  <c r="H806" i="32"/>
  <c r="H804" i="32" s="1"/>
  <c r="H801" i="32"/>
  <c r="H800" i="32" s="1"/>
  <c r="E801" i="32"/>
  <c r="D801" i="32"/>
  <c r="D800" i="32" s="1"/>
  <c r="D797" i="32"/>
  <c r="G797" i="32" s="1"/>
  <c r="H791" i="32"/>
  <c r="E791" i="32"/>
  <c r="D791" i="32"/>
  <c r="H780" i="32"/>
  <c r="E780" i="32"/>
  <c r="D780" i="32"/>
  <c r="G776" i="32"/>
  <c r="H775" i="32"/>
  <c r="H774" i="32" s="1"/>
  <c r="E775" i="32"/>
  <c r="E774" i="32" s="1"/>
  <c r="D775" i="32"/>
  <c r="D774" i="32" s="1"/>
  <c r="G772" i="32"/>
  <c r="E771" i="32"/>
  <c r="D771" i="32"/>
  <c r="D770" i="32" s="1"/>
  <c r="D758" i="32"/>
  <c r="H758" i="32"/>
  <c r="E758" i="32"/>
  <c r="H673" i="32"/>
  <c r="E673" i="32"/>
  <c r="D668" i="32"/>
  <c r="G668" i="32" s="1"/>
  <c r="H665" i="32"/>
  <c r="H664" i="32" s="1"/>
  <c r="E665" i="32"/>
  <c r="D665" i="32"/>
  <c r="H618" i="32"/>
  <c r="H617" i="32" s="1"/>
  <c r="E618" i="32"/>
  <c r="G618" i="32" s="1"/>
  <c r="D618" i="32"/>
  <c r="D617" i="32" s="1"/>
  <c r="H614" i="32"/>
  <c r="G614" i="32"/>
  <c r="G613" i="32" s="1"/>
  <c r="E614" i="32"/>
  <c r="E613" i="32" s="1"/>
  <c r="D614" i="32"/>
  <c r="D613" i="32" s="1"/>
  <c r="H613" i="32"/>
  <c r="D608" i="32"/>
  <c r="G608" i="32" s="1"/>
  <c r="H607" i="32"/>
  <c r="H604" i="32"/>
  <c r="H603" i="32" s="1"/>
  <c r="E604" i="32"/>
  <c r="E603" i="32" s="1"/>
  <c r="D604" i="32"/>
  <c r="D603" i="32" s="1"/>
  <c r="H537" i="32"/>
  <c r="G533" i="32"/>
  <c r="H532" i="32"/>
  <c r="H531" i="32" s="1"/>
  <c r="E532" i="32"/>
  <c r="D532" i="32"/>
  <c r="D531" i="32" s="1"/>
  <c r="H528" i="32"/>
  <c r="H527" i="32" s="1"/>
  <c r="E528" i="32"/>
  <c r="D528" i="32"/>
  <c r="D527" i="32" s="1"/>
  <c r="E527" i="32"/>
  <c r="G525" i="32"/>
  <c r="H524" i="32"/>
  <c r="H523" i="32" s="1"/>
  <c r="E524" i="32"/>
  <c r="D524" i="32"/>
  <c r="D523" i="32" s="1"/>
  <c r="E523" i="32"/>
  <c r="H456" i="32"/>
  <c r="D451" i="32"/>
  <c r="H450" i="32"/>
  <c r="G450" i="32"/>
  <c r="E450" i="32"/>
  <c r="D450" i="32"/>
  <c r="D346" i="32"/>
  <c r="H346" i="32"/>
  <c r="E346" i="32"/>
  <c r="H286" i="32"/>
  <c r="H275" i="32"/>
  <c r="E275" i="32"/>
  <c r="D275" i="32"/>
  <c r="G235" i="32"/>
  <c r="H235" i="32"/>
  <c r="E235" i="32"/>
  <c r="D235" i="32"/>
  <c r="G232" i="32"/>
  <c r="H232" i="32"/>
  <c r="H231" i="32" s="1"/>
  <c r="E232" i="32"/>
  <c r="D232" i="32"/>
  <c r="D231" i="32" s="1"/>
  <c r="H228" i="32"/>
  <c r="E228" i="32"/>
  <c r="D228" i="32"/>
  <c r="H225" i="32"/>
  <c r="E225" i="32"/>
  <c r="D225" i="32"/>
  <c r="H221" i="32"/>
  <c r="H217" i="32" s="1"/>
  <c r="E221" i="32"/>
  <c r="D221" i="32"/>
  <c r="D218" i="32"/>
  <c r="G142" i="32"/>
  <c r="H141" i="32"/>
  <c r="H140" i="32" s="1"/>
  <c r="E141" i="32"/>
  <c r="D141" i="32"/>
  <c r="D140" i="32" s="1"/>
  <c r="G138" i="32"/>
  <c r="H137" i="32"/>
  <c r="H136" i="32" s="1"/>
  <c r="E137" i="32"/>
  <c r="E136" i="32" s="1"/>
  <c r="D137" i="32"/>
  <c r="D136" i="32" s="1"/>
  <c r="G134" i="32"/>
  <c r="H133" i="32"/>
  <c r="H132" i="32" s="1"/>
  <c r="E133" i="32"/>
  <c r="E132" i="32" s="1"/>
  <c r="D133" i="32"/>
  <c r="D132" i="32" s="1"/>
  <c r="G104" i="32"/>
  <c r="G103" i="32" s="1"/>
  <c r="G102" i="32" s="1"/>
  <c r="H103" i="32"/>
  <c r="H102" i="32" s="1"/>
  <c r="E103" i="32"/>
  <c r="E102" i="32" s="1"/>
  <c r="D103" i="32"/>
  <c r="D102" i="32" s="1"/>
  <c r="G97" i="32"/>
  <c r="H96" i="32"/>
  <c r="H95" i="32" s="1"/>
  <c r="E96" i="32"/>
  <c r="E95" i="32" s="1"/>
  <c r="D96" i="32"/>
  <c r="D95" i="32" s="1"/>
  <c r="G35" i="32"/>
  <c r="D34" i="32"/>
  <c r="G34" i="32" s="1"/>
  <c r="G32" i="32"/>
  <c r="H31" i="32"/>
  <c r="E31" i="32"/>
  <c r="D31" i="32"/>
  <c r="G29" i="32"/>
  <c r="H28" i="32"/>
  <c r="E28" i="32"/>
  <c r="D28" i="32"/>
  <c r="G26" i="32"/>
  <c r="D25" i="32"/>
  <c r="G25" i="32" s="1"/>
  <c r="G23" i="32"/>
  <c r="G22" i="32"/>
  <c r="H21" i="32"/>
  <c r="E21" i="32"/>
  <c r="D21" i="32"/>
  <c r="G19" i="32"/>
  <c r="H18" i="32"/>
  <c r="H17" i="32" s="1"/>
  <c r="E18" i="32"/>
  <c r="D18" i="32"/>
  <c r="E37" i="18"/>
  <c r="G21" i="32" l="1"/>
  <c r="G942" i="32"/>
  <c r="G141" i="32"/>
  <c r="G18" i="32"/>
  <c r="D224" i="32"/>
  <c r="G665" i="32"/>
  <c r="H224" i="32"/>
  <c r="G774" i="32"/>
  <c r="G225" i="32"/>
  <c r="G532" i="32"/>
  <c r="E140" i="32"/>
  <c r="G140" i="32" s="1"/>
  <c r="D779" i="32"/>
  <c r="G603" i="32"/>
  <c r="H15" i="32"/>
  <c r="G604" i="32"/>
  <c r="G95" i="32"/>
  <c r="G524" i="32"/>
  <c r="E664" i="32"/>
  <c r="G791" i="32"/>
  <c r="E531" i="32"/>
  <c r="G531" i="32" s="1"/>
  <c r="E779" i="32"/>
  <c r="G780" i="32"/>
  <c r="H779" i="32"/>
  <c r="G523" i="32"/>
  <c r="H53" i="32"/>
  <c r="H51" i="32" s="1"/>
  <c r="D217" i="32"/>
  <c r="H671" i="32"/>
  <c r="G133" i="32"/>
  <c r="G528" i="32"/>
  <c r="D17" i="32"/>
  <c r="D15" i="32" s="1"/>
  <c r="F15" i="32" s="1"/>
  <c r="G31" i="32"/>
  <c r="G96" i="32"/>
  <c r="H108" i="32"/>
  <c r="H106" i="32" s="1"/>
  <c r="H454" i="32"/>
  <c r="G527" i="32"/>
  <c r="D607" i="32"/>
  <c r="D664" i="32"/>
  <c r="G771" i="32"/>
  <c r="G801" i="32"/>
  <c r="E17" i="32"/>
  <c r="E53" i="32"/>
  <c r="G132" i="32"/>
  <c r="G137" i="32"/>
  <c r="G221" i="32"/>
  <c r="E231" i="32"/>
  <c r="G231" i="32" s="1"/>
  <c r="G275" i="32"/>
  <c r="D355" i="32"/>
  <c r="D353" i="32" s="1"/>
  <c r="H355" i="32"/>
  <c r="H353" i="32" s="1"/>
  <c r="G779" i="32"/>
  <c r="E800" i="32"/>
  <c r="G800" i="32" s="1"/>
  <c r="D897" i="32"/>
  <c r="G897" i="32" s="1"/>
  <c r="G898" i="32"/>
  <c r="G949" i="32"/>
  <c r="G136" i="32"/>
  <c r="G775" i="32"/>
  <c r="H954" i="32"/>
  <c r="H952" i="32" s="1"/>
  <c r="E617" i="32"/>
  <c r="G617" i="32" s="1"/>
  <c r="H535" i="32"/>
  <c r="H938" i="32"/>
  <c r="H284" i="32"/>
  <c r="G948" i="32"/>
  <c r="G945" i="32"/>
  <c r="E938" i="32"/>
  <c r="E15" i="32"/>
  <c r="D53" i="32"/>
  <c r="D51" i="32" s="1"/>
  <c r="F51" i="32" s="1"/>
  <c r="E51" i="32"/>
  <c r="G28" i="32"/>
  <c r="D286" i="32"/>
  <c r="D284" i="32" s="1"/>
  <c r="G346" i="32"/>
  <c r="E355" i="32"/>
  <c r="E353" i="32" s="1"/>
  <c r="G353" i="32" s="1"/>
  <c r="E537" i="32"/>
  <c r="E607" i="32"/>
  <c r="H623" i="32"/>
  <c r="H621" i="32" s="1"/>
  <c r="G758" i="32"/>
  <c r="E906" i="32"/>
  <c r="H904" i="32"/>
  <c r="E108" i="32"/>
  <c r="D240" i="32"/>
  <c r="D238" i="32" s="1"/>
  <c r="E240" i="32"/>
  <c r="E456" i="32"/>
  <c r="D537" i="32"/>
  <c r="D535" i="32" s="1"/>
  <c r="D621" i="32"/>
  <c r="D673" i="32"/>
  <c r="D671" i="32" s="1"/>
  <c r="D938" i="32"/>
  <c r="D904" i="32" s="1"/>
  <c r="E224" i="32"/>
  <c r="G224" i="32" s="1"/>
  <c r="G228" i="32"/>
  <c r="D108" i="32"/>
  <c r="D106" i="32" s="1"/>
  <c r="H240" i="32"/>
  <c r="H238" i="32" s="1"/>
  <c r="D456" i="32"/>
  <c r="D454" i="32" s="1"/>
  <c r="E804" i="32"/>
  <c r="E217" i="32"/>
  <c r="E286" i="32"/>
  <c r="E623" i="32"/>
  <c r="E770" i="32"/>
  <c r="G770" i="32" s="1"/>
  <c r="G217" i="32" l="1"/>
  <c r="G17" i="32"/>
  <c r="F106" i="32"/>
  <c r="F353" i="32"/>
  <c r="F535" i="32"/>
  <c r="G664" i="32"/>
  <c r="D144" i="32"/>
  <c r="F144" i="32" s="1"/>
  <c r="E535" i="32"/>
  <c r="H144" i="32"/>
  <c r="E671" i="32"/>
  <c r="G671" i="32" s="1"/>
  <c r="G607" i="32"/>
  <c r="D804" i="32"/>
  <c r="G938" i="32"/>
  <c r="G623" i="32"/>
  <c r="E621" i="32"/>
  <c r="G621" i="32" s="1"/>
  <c r="G240" i="32"/>
  <c r="E238" i="32"/>
  <c r="G238" i="32" s="1"/>
  <c r="G355" i="32"/>
  <c r="G51" i="32"/>
  <c r="E144" i="32"/>
  <c r="G108" i="32"/>
  <c r="E106" i="32"/>
  <c r="G106" i="32" s="1"/>
  <c r="G286" i="32"/>
  <c r="E284" i="32"/>
  <c r="G284" i="32" s="1"/>
  <c r="G673" i="32"/>
  <c r="G806" i="32"/>
  <c r="H49" i="32"/>
  <c r="H1078" i="32" s="1"/>
  <c r="G53" i="32"/>
  <c r="G15" i="32"/>
  <c r="G456" i="32"/>
  <c r="E454" i="32"/>
  <c r="G454" i="32" s="1"/>
  <c r="E904" i="32"/>
  <c r="G904" i="32" s="1"/>
  <c r="G906" i="32"/>
  <c r="G537" i="32"/>
  <c r="G535" i="32"/>
  <c r="F454" i="32" l="1"/>
  <c r="F284" i="32"/>
  <c r="F238" i="32"/>
  <c r="G144" i="32"/>
  <c r="G804" i="32"/>
  <c r="F804" i="32"/>
  <c r="F904" i="32"/>
  <c r="F621" i="32"/>
  <c r="F671" i="32"/>
  <c r="D49" i="32"/>
  <c r="E49" i="32"/>
  <c r="D1078" i="32" l="1"/>
  <c r="F1078" i="32" s="1"/>
  <c r="F49" i="32"/>
  <c r="G49" i="32"/>
  <c r="E1078" i="32"/>
  <c r="G1078" i="32" s="1"/>
</calcChain>
</file>

<file path=xl/comments1.xml><?xml version="1.0" encoding="utf-8"?>
<comments xmlns="http://schemas.openxmlformats.org/spreadsheetml/2006/main">
  <authors>
    <author>ACER INDONESIA</author>
    <author>asus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B2701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40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D3441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E3441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E3444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051 - 0183/TU</t>
        </r>
      </text>
    </comment>
    <comment ref="E3445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051 - 0180/TU
655 - 3333 TU</t>
        </r>
      </text>
    </comment>
    <comment ref="E3446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057 - 0222/TU</t>
        </r>
      </text>
    </comment>
    <comment ref="E3447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501 - 2606 TU</t>
        </r>
      </text>
    </comment>
    <comment ref="E344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301 - 1680 LS
608 - 3075 LS</t>
        </r>
      </text>
    </comment>
    <comment ref="E3450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239-1360/LS
414 - 2232 LS
617 - 3131 LS</t>
        </r>
      </text>
    </comment>
    <comment ref="E345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266 - 1535 LS
425 - 2307 LS
617 - 3129 LS</t>
        </r>
      </text>
    </comment>
    <comment ref="E345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266 - 1533 LS
463 - 2440 LS
608 - 3076 LS</t>
        </r>
      </text>
    </comment>
    <comment ref="E3454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266 - 1532 LS
391 - 2105 LS
552 - 2795 LS</t>
        </r>
      </text>
    </comment>
    <comment ref="E3456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266 - 1534 LS
492 2579 LS
617 - 3132 LS</t>
        </r>
      </text>
    </comment>
    <comment ref="E3457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301 - 1678 LS
391 - 2104 LS
571 - 2934 LS</t>
        </r>
      </text>
    </comment>
    <comment ref="E345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608 - 3074 LS</t>
        </r>
      </text>
    </comment>
    <comment ref="E345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414 - 2231 LS
617 - 3130 LS</t>
        </r>
      </text>
    </comment>
    <comment ref="E3461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301 - 1679 LS
579 - 2982 LS</t>
        </r>
      </text>
    </comment>
    <comment ref="E346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051 - 0181/TU</t>
        </r>
      </text>
    </comment>
    <comment ref="E346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476 - 2521 TU
6553321.A TU</t>
        </r>
      </text>
    </comment>
    <comment ref="E3464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239 - 1367/LS
571 - 2939 TU
617 - 3128 LS</t>
        </r>
      </text>
    </comment>
    <comment ref="E3466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062 - 0237/TU</t>
        </r>
      </text>
    </comment>
    <comment ref="E3475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180 - 0958 TU</t>
        </r>
      </text>
    </comment>
    <comment ref="E3477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608 - 3081 TU</t>
        </r>
      </text>
    </comment>
    <comment ref="E347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173 - 0905 TU</t>
        </r>
      </text>
    </comment>
    <comment ref="E347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173 - 0906 TU</t>
        </r>
      </text>
    </comment>
    <comment ref="E348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239 - 1364.B LS
432 - 2336 LS</t>
        </r>
      </text>
    </comment>
    <comment ref="E348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171 - 0898 LS
247 - 1453/LS
655 - 3334 LS</t>
        </r>
      </text>
    </comment>
    <comment ref="E349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421 - 2294 TU</t>
        </r>
      </text>
    </comment>
    <comment ref="E3500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189 - 1003 TU</t>
        </r>
      </text>
    </comment>
    <comment ref="E3501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432 - 2334 TU</t>
        </r>
      </text>
    </comment>
    <comment ref="E350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173 - 0903 TU</t>
        </r>
      </text>
    </comment>
    <comment ref="E3505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1052 - 4840 LS</t>
        </r>
      </text>
    </comment>
    <comment ref="E352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655 - 3328 TU</t>
        </r>
      </text>
    </comment>
    <comment ref="E352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287 - 1622 TU</t>
        </r>
      </text>
    </comment>
    <comment ref="E3526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655 - 3327 TU</t>
        </r>
      </text>
    </comment>
    <comment ref="E352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655 - 3329 TU</t>
        </r>
      </text>
    </comment>
    <comment ref="E352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287 - 1615 TU</t>
        </r>
      </text>
    </comment>
    <comment ref="E3535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655 - 3328 TU</t>
        </r>
      </text>
    </comment>
    <comment ref="E354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655 - 3330 TU</t>
        </r>
      </text>
    </comment>
    <comment ref="E354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287 - 1617 TU</t>
        </r>
      </text>
    </comment>
    <comment ref="E3546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655 - 3331 TU</t>
        </r>
      </text>
    </comment>
    <comment ref="E3549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287 - 1619 TU</t>
        </r>
      </text>
    </comment>
    <comment ref="E355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287 - 1620 TU</t>
        </r>
      </text>
    </comment>
    <comment ref="E356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239 - 1363 LS
350 - 1903 LS
395 - 2133 TU
571 - 2936 LS
579 - 2983 LS</t>
        </r>
      </text>
    </comment>
    <comment ref="E3564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189 - 1005 LS
345 - 1874 LS
395 - 2131 TU
414 - 2235 LS
432 - 2337 LS
456 - 2418 LS
633 - 3189 LS</t>
        </r>
      </text>
    </comment>
    <comment ref="E356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239 - 1362/LS
319 - 1764 LS
338 - 1859/TU AP</t>
        </r>
      </text>
    </comment>
    <comment ref="E3570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287 - 1614 LS
408 - 2171 LS
552 - 2808 TU AP
655 - 3324 LS
655 3325 LS</t>
        </r>
      </text>
    </comment>
    <comment ref="E3654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057 - 0221 TU
294 - 1645 TU
476 - 2520 TU</t>
        </r>
      </text>
    </comment>
    <comment ref="E365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400 - 2149 TU</t>
        </r>
      </text>
    </comment>
    <comment ref="E3661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391 - 2106 LS
414 - 2233 LS
633 - 3280 LS</t>
        </r>
      </text>
    </comment>
    <comment ref="E3677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206 - 1106 TU
345 - 1873/LS
563 - 2905 TU</t>
        </r>
      </text>
    </comment>
    <comment ref="E3680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317 - 1760 LS
552 - 2800 LS</t>
        </r>
      </text>
    </comment>
    <comment ref="E368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633 - 3190 LS</t>
        </r>
      </text>
    </comment>
    <comment ref="E3702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274 - 1566 LS
655 - 3322 TU</t>
        </r>
      </text>
    </comment>
    <comment ref="E3703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350 - 1905/LS
408 - 2170 TU
655 - 3326 LS</t>
        </r>
      </text>
    </comment>
    <comment ref="E3728" authorId="0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552 - 2803 TU
617 - 3135 LS</t>
        </r>
      </text>
    </comment>
    <comment ref="B4176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37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asus</author>
    <author>ACER INDONESIA</author>
  </authors>
  <commentList>
    <comment ref="C693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5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E85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D85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E85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E86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051 - 0183/TU</t>
        </r>
      </text>
    </comment>
    <comment ref="E86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051 - 0180/TU
655 - 3333 TU</t>
        </r>
      </text>
    </comment>
    <comment ref="E86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057 - 0222/TU</t>
        </r>
      </text>
    </comment>
    <comment ref="E86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501 - 2606 TU</t>
        </r>
      </text>
    </comment>
    <comment ref="E86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301 - 1680 LS
608 - 3075 LS</t>
        </r>
      </text>
    </comment>
    <comment ref="E86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239-1360/LS
414 - 2232 LS
617 - 3131 LS</t>
        </r>
      </text>
    </comment>
    <comment ref="E87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266 - 1535 LS
425 - 2307 LS
617 - 3129 LS</t>
        </r>
      </text>
    </comment>
    <comment ref="E87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266 - 1533 LS
463 - 2440 LS
608 - 3076 LS</t>
        </r>
      </text>
    </comment>
    <comment ref="E87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266 - 1532 LS
391 - 2105 LS
552 - 2795 LS</t>
        </r>
      </text>
    </comment>
    <comment ref="E87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266 - 1534 LS
492 2579 LS
617 - 3132 LS</t>
        </r>
      </text>
    </comment>
    <comment ref="E87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301 - 1678 LS
391 - 2104 LS
571 - 2934 LS</t>
        </r>
      </text>
    </comment>
    <comment ref="E87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608 - 3074 LS</t>
        </r>
      </text>
    </comment>
    <comment ref="E87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414 - 2231 LS
617 - 3130 LS</t>
        </r>
      </text>
    </comment>
    <comment ref="E87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301 - 1679 LS
579 - 2982 LS</t>
        </r>
      </text>
    </comment>
    <comment ref="E88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051 - 0181/TU</t>
        </r>
      </text>
    </comment>
    <comment ref="E88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476 - 2521 TU
6553321.A TU</t>
        </r>
      </text>
    </comment>
    <comment ref="E88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239 - 1367/LS
571 - 2939 TU
617 - 3128 LS</t>
        </r>
      </text>
    </comment>
    <comment ref="E88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062 - 0237/TU</t>
        </r>
      </text>
    </comment>
    <comment ref="E89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180 - 0958 TU</t>
        </r>
      </text>
    </comment>
    <comment ref="E89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608 - 3081 TU</t>
        </r>
      </text>
    </comment>
    <comment ref="E89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173 - 0905 TU</t>
        </r>
      </text>
    </comment>
    <comment ref="E89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173 - 0906 TU</t>
        </r>
      </text>
    </comment>
    <comment ref="E90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239 - 1364.B LS
432 - 2336 LS</t>
        </r>
      </text>
    </comment>
    <comment ref="E90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171 - 0898 LS
247 - 1453/LS
655 - 3334 LS</t>
        </r>
      </text>
    </comment>
    <comment ref="E91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421 - 2294 TU</t>
        </r>
      </text>
    </comment>
    <comment ref="E91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189 - 1003 TU</t>
        </r>
      </text>
    </comment>
    <comment ref="E91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432 - 2334 TU</t>
        </r>
      </text>
    </comment>
    <comment ref="E92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173 - 0903 TU</t>
        </r>
      </text>
    </comment>
    <comment ref="E92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1052 - 4840 LS</t>
        </r>
      </text>
    </comment>
    <comment ref="E93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421 - 2293 TU</t>
        </r>
      </text>
    </comment>
  </commentList>
</comments>
</file>

<file path=xl/comments3.xml><?xml version="1.0" encoding="utf-8"?>
<comments xmlns="http://schemas.openxmlformats.org/spreadsheetml/2006/main">
  <authors>
    <author>asus</author>
    <author>ACER INDONESIA</author>
  </authors>
  <commentList>
    <comment ref="C534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8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655 - 3328 TU</t>
        </r>
      </text>
    </comment>
    <comment ref="E68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287 - 1622 TU</t>
        </r>
      </text>
    </comment>
    <comment ref="E69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655 - 3327 TU</t>
        </r>
      </text>
    </comment>
    <comment ref="E69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655 - 3329 TU</t>
        </r>
      </text>
    </comment>
    <comment ref="E69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287 - 1615 TU</t>
        </r>
      </text>
    </comment>
    <comment ref="E70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655 - 3328 TU</t>
        </r>
      </text>
    </comment>
    <comment ref="E70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655 - 3330 TU</t>
        </r>
      </text>
    </comment>
    <comment ref="E70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287 - 1617 TU</t>
        </r>
      </text>
    </comment>
    <comment ref="E71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655 - 3331 TU</t>
        </r>
      </text>
    </comment>
    <comment ref="E71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287 - 1619 TU</t>
        </r>
      </text>
    </comment>
    <comment ref="E71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287 - 1620 TU</t>
        </r>
      </text>
    </comment>
    <comment ref="E72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239 - 1363 LS
350 - 1903 LS
395 - 2133 TU
571 - 2936 LS
579 - 2983 LS</t>
        </r>
      </text>
    </comment>
    <comment ref="E73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189 - 1005 LS
345 - 1874 LS
395 - 2131 TU
414 - 2235 LS
432 - 2337 LS
456 - 2418 LS
633 - 3189 LS</t>
        </r>
      </text>
    </comment>
    <comment ref="E73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239 - 1362/LS
319 - 1764 LS
338 - 1859/TU AP</t>
        </r>
      </text>
    </comment>
    <comment ref="E73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287 - 1614 LS
408 - 2171 LS
552 - 2808 TU AP
655 - 3324 LS
655 3325 LS</t>
        </r>
      </text>
    </comment>
  </commentList>
</comments>
</file>

<file path=xl/comments4.xml><?xml version="1.0" encoding="utf-8"?>
<comments xmlns="http://schemas.openxmlformats.org/spreadsheetml/2006/main">
  <authors>
    <author>asus</author>
  </authors>
  <commentList>
    <comment ref="B116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HP</author>
    <author>asus</author>
    <author>ACER INDONESIA</author>
  </authors>
  <commentList>
    <comment ref="H1309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15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39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548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58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365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K3366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K3367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501 - 2606 TU</t>
        </r>
      </text>
    </comment>
    <comment ref="K3368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239 - 1364.A/LS
432 - 2335 LS
571 - 2935 LS</t>
        </r>
      </text>
    </comment>
    <comment ref="K3369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301 - 1680 LS
608 - 3075 LS</t>
        </r>
      </text>
    </comment>
    <comment ref="K337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239-1360/LS
414 - 2232 LS
617 - 3131 LS</t>
        </r>
      </text>
    </comment>
    <comment ref="K3371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301 - 1681 LS
463 - 2441 LS
617 - 3133 LS</t>
        </r>
      </text>
    </comment>
    <comment ref="K3372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266 - 1535 LS
425 - 2307 LS
617 - 3129 LS</t>
        </r>
      </text>
    </comment>
    <comment ref="K3373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266 - 1533 LS
463 - 2440 LS
608 - 3076 LS</t>
        </r>
      </text>
    </comment>
    <comment ref="K3374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266 - 1532 LS
391 - 2105 LS
552 - 2795 LS</t>
        </r>
      </text>
    </comment>
    <comment ref="K3375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306 - 1707 LS
490 - 2573 LS
655 - 3336 LS</t>
        </r>
      </text>
    </comment>
    <comment ref="K3376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266 - 1534 LS
492 2579 LS
617 - 3132 LS</t>
        </r>
      </text>
    </comment>
    <comment ref="K3377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301 - 1678 LS
391 - 2104 LS
571 - 2934 LS</t>
        </r>
      </text>
    </comment>
    <comment ref="K3378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608 - 3074 LS</t>
        </r>
      </text>
    </comment>
    <comment ref="K3379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414 - 2231 LS
617 - 3130 LS</t>
        </r>
      </text>
    </comment>
    <comment ref="K338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395 - 2129 LS
655 - 3335 LS</t>
        </r>
      </text>
    </comment>
    <comment ref="K3381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301 - 1679 LS
579 - 2982 LS</t>
        </r>
      </text>
    </comment>
    <comment ref="K3382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051 - 0181/TU</t>
        </r>
      </text>
    </comment>
    <comment ref="K3383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476 - 2521 TU
6553321.A TU</t>
        </r>
      </text>
    </comment>
    <comment ref="K3384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239 - 1367/LS
571 - 2939 TU
617 - 3128 LS</t>
        </r>
      </text>
    </comment>
    <comment ref="K3386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062 - 0237/TU</t>
        </r>
      </text>
    </comment>
    <comment ref="K3389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180 - 0958 TU</t>
        </r>
      </text>
    </comment>
    <comment ref="K339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189 - 1002 TU</t>
        </r>
      </text>
    </comment>
    <comment ref="K3391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608 - 3081 TU</t>
        </r>
      </text>
    </comment>
    <comment ref="K3392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173 - 0905 TU</t>
        </r>
      </text>
    </comment>
    <comment ref="K3393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173 - 0906 TU</t>
        </r>
      </text>
    </comment>
    <comment ref="K3402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239 - 1364.B LS
432 - 2336 LS</t>
        </r>
      </text>
    </comment>
    <comment ref="K3403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171 - 0898 LS
247 - 1453/LS
655 - 3334 LS</t>
        </r>
      </text>
    </comment>
    <comment ref="K3418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452 - 2407 LS</t>
        </r>
      </text>
    </comment>
    <comment ref="K3424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332 - 1820 LS</t>
        </r>
      </text>
    </comment>
    <comment ref="K3428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463 - 2438 TU</t>
        </r>
      </text>
    </comment>
    <comment ref="K343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655 - 3329 TU</t>
        </r>
      </text>
    </comment>
    <comment ref="K3431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287 - 1615 TU</t>
        </r>
      </text>
    </comment>
    <comment ref="K3432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463 - 2439 TU</t>
        </r>
      </text>
    </comment>
    <comment ref="K3447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287 - 1617 TU</t>
        </r>
      </text>
    </comment>
    <comment ref="K3449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287 - 1618 TU</t>
        </r>
      </text>
    </comment>
    <comment ref="K345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655 - 3331 TU</t>
        </r>
      </text>
    </comment>
    <comment ref="K3454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287 - 1620 TU</t>
        </r>
      </text>
    </comment>
    <comment ref="K3559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057 - 0221 TU
294 - 1645 TU
476 - 2520 TU</t>
        </r>
      </text>
    </comment>
    <comment ref="K3567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400 - 2149 TU</t>
        </r>
      </text>
    </comment>
    <comment ref="K3585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206 - 1106 TU
345 - 1873/LS
563 - 2905 TU</t>
        </r>
      </text>
    </comment>
    <comment ref="K3588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317 - 1760 LS
552 - 2800 LS</t>
        </r>
      </text>
    </comment>
    <comment ref="K359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633 - 3190 LS</t>
        </r>
      </text>
    </comment>
    <comment ref="K3620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113 - 0542/TU</t>
        </r>
      </text>
    </comment>
    <comment ref="K3624" authorId="2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552 - 2803 TU
617 - 3135 LS</t>
        </r>
      </text>
    </comment>
    <comment ref="B4096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450" authorId="1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asus</author>
    <author>ACER INDONESIA</author>
  </authors>
  <commentList>
    <comment ref="C522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9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105 - 0453/TU</t>
        </r>
      </text>
    </comment>
    <comment ref="K69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490 - 2574 LS
552 - 2801 TU</t>
        </r>
      </text>
    </comment>
    <comment ref="K69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051 - 0183/TU</t>
        </r>
      </text>
    </comment>
    <comment ref="K70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051 - 0180/TU
655 - 3333 TU</t>
        </r>
      </text>
    </comment>
    <comment ref="K70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057 - 0222/TU</t>
        </r>
      </text>
    </comment>
    <comment ref="K70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501 - 2606 TU</t>
        </r>
      </text>
    </comment>
    <comment ref="K70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239 - 1364.A/LS
432 - 2335 LS
571 - 2935 LS</t>
        </r>
      </text>
    </comment>
    <comment ref="K70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301 - 1680 LS
608 - 3075 LS</t>
        </r>
      </text>
    </comment>
    <comment ref="K70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239-1360/LS
414 - 2232 LS
617 - 3131 LS</t>
        </r>
      </text>
    </comment>
    <comment ref="K70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301 - 1681 LS
463 - 2441 LS
617 - 3133 LS</t>
        </r>
      </text>
    </comment>
    <comment ref="K70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266 - 1535 LS
425 - 2307 LS
617 - 3129 LS</t>
        </r>
      </text>
    </comment>
    <comment ref="K70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266 - 1533 LS
463 - 2440 LS
608 - 3076 LS</t>
        </r>
      </text>
    </comment>
    <comment ref="K70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266 - 1532 LS
391 - 2105 LS
552 - 2795 LS</t>
        </r>
      </text>
    </comment>
    <comment ref="K71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306 - 1707 LS
490 - 2573 LS
655 - 3336 LS</t>
        </r>
      </text>
    </comment>
    <comment ref="K71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266 - 1534 LS
492 2579 LS
617 - 3132 LS</t>
        </r>
      </text>
    </comment>
    <comment ref="K71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301 - 1678 LS
391 - 2104 LS
571 - 2934 LS</t>
        </r>
      </text>
    </comment>
    <comment ref="K71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608 - 3074 LS</t>
        </r>
      </text>
    </comment>
    <comment ref="K71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414 - 2231 LS
617 - 3130 LS</t>
        </r>
      </text>
    </comment>
    <comment ref="K71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395 - 2129 LS
655 - 3335 LS</t>
        </r>
      </text>
    </comment>
    <comment ref="K71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301 - 1679 LS
579 - 2982 LS</t>
        </r>
      </text>
    </comment>
    <comment ref="K71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051 - 0181/TU</t>
        </r>
      </text>
    </comment>
    <comment ref="K71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476 - 2521 TU
6553321.A TU</t>
        </r>
      </text>
    </comment>
    <comment ref="K71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239 - 1367/LS
571 - 2939 TU
617 - 3128 LS</t>
        </r>
      </text>
    </comment>
    <comment ref="K72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062 - 0237/TU</t>
        </r>
      </text>
    </comment>
    <comment ref="K72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180 - 0958 TU</t>
        </r>
      </text>
    </comment>
    <comment ref="K72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189 - 1002 TU</t>
        </r>
      </text>
    </comment>
    <comment ref="K72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608 - 3081 TU</t>
        </r>
      </text>
    </comment>
    <comment ref="K72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173 - 0905 TU</t>
        </r>
      </text>
    </comment>
    <comment ref="K72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624 - 3163 TU</t>
        </r>
      </text>
    </comment>
    <comment ref="K72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173 - 0906 TU</t>
        </r>
      </text>
    </comment>
    <comment ref="K73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239 - 1364.B LS
432 - 2336 LS</t>
        </r>
      </text>
    </comment>
    <comment ref="K73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171 - 0898 LS
247 - 1453/LS
655 - 3334 LS</t>
        </r>
      </text>
    </comment>
    <comment ref="K73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171 - 0898 LS
247 - 1453/LS
655 - 3334 LS</t>
        </r>
      </text>
    </comment>
    <comment ref="K75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421 - 2293 TU</t>
        </r>
      </text>
    </comment>
  </commentList>
</comments>
</file>

<file path=xl/comments7.xml><?xml version="1.0" encoding="utf-8"?>
<comments xmlns="http://schemas.openxmlformats.org/spreadsheetml/2006/main">
  <authors>
    <author>asus</author>
    <author>ACER INDONESIA</author>
  </authors>
  <commentList>
    <comment ref="C441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2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452 - 2407 LS</t>
        </r>
      </text>
    </comment>
    <comment ref="K626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332 - 1820 LS</t>
        </r>
      </text>
    </comment>
    <comment ref="K63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463 - 2438 TU</t>
        </r>
      </text>
    </comment>
    <comment ref="K63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655 - 3328 TU</t>
        </r>
      </text>
    </comment>
    <comment ref="K63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287 - 1622 TU</t>
        </r>
      </text>
    </comment>
    <comment ref="K637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655 - 3327 TU</t>
        </r>
      </text>
    </comment>
    <comment ref="K63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655 - 3329 TU</t>
        </r>
      </text>
    </comment>
    <comment ref="K640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287 - 1615 TU</t>
        </r>
      </text>
    </comment>
    <comment ref="K641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463 - 2439 TU</t>
        </r>
      </text>
    </comment>
    <comment ref="K653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287 - 1616 TU</t>
        </r>
      </text>
    </comment>
    <comment ref="K654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655 - 3330 TU</t>
        </r>
      </text>
    </comment>
    <comment ref="K65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287 - 1617 TU</t>
        </r>
      </text>
    </comment>
    <comment ref="K658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287 - 1618 TU</t>
        </r>
      </text>
    </comment>
    <comment ref="K659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655 - 3331 TU</t>
        </r>
      </text>
    </comment>
    <comment ref="K662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287 - 1619 TU</t>
        </r>
      </text>
    </comment>
    <comment ref="K665" authorId="1" shapeId="0">
      <text>
        <r>
          <rPr>
            <b/>
            <sz val="9"/>
            <color indexed="81"/>
            <rFont val="Tahoma"/>
            <family val="2"/>
          </rPr>
          <t>ACER INDONESIA:</t>
        </r>
        <r>
          <rPr>
            <sz val="9"/>
            <color indexed="81"/>
            <rFont val="Tahoma"/>
            <family val="2"/>
          </rPr>
          <t xml:space="preserve">
287 - 1620 TU</t>
        </r>
      </text>
    </comment>
  </commentList>
</comments>
</file>

<file path=xl/comments8.xml><?xml version="1.0" encoding="utf-8"?>
<comments xmlns="http://schemas.openxmlformats.org/spreadsheetml/2006/main">
  <authors>
    <author>asus</author>
  </authors>
  <commentList>
    <comment ref="B108" authorId="0" shapeId="0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<sst xmlns="http://schemas.openxmlformats.org/spreadsheetml/2006/main" count="46027" uniqueCount="7964">
  <si>
    <t>REKAPITULASI ALOKASI DAN REALISASI PENGGUNAAN DANA OTONOMI KHUSUS</t>
  </si>
  <si>
    <t>DIURAIKAN BERDASARKAN ORGANISASI, PROGRAM/KEGIATAN PROVINSI DAN KABUPATEN/KOTA</t>
  </si>
  <si>
    <t>TAHUN ANGGARAN 2019</t>
  </si>
  <si>
    <t>PROVINSI            : PAPUA BARAT</t>
  </si>
  <si>
    <t>PENERIMAAN      : Rp.2.406.778.685.000,-</t>
  </si>
  <si>
    <t>PENERIMAAN      : Rp.2.507.241.496.000,00</t>
  </si>
  <si>
    <t>NO.</t>
  </si>
  <si>
    <t>U R A I A N</t>
  </si>
  <si>
    <t>PERMINTAAN PENYALURAN TAHAP I</t>
  </si>
  <si>
    <t>PERMINTAAN PENYALURAN TAHAP II</t>
  </si>
  <si>
    <t>PERMINTAAN PENYALURAN TAHAP III</t>
  </si>
  <si>
    <t>KET</t>
  </si>
  <si>
    <t>ALOKASI ANGGARAN (Rp.)</t>
  </si>
  <si>
    <t>ALOKASI ANGGARAN  (Rp.)</t>
  </si>
  <si>
    <t>REALISASI ANGGARAN  (Rp.)</t>
  </si>
  <si>
    <t>PROSENTASE REALISASI ANGGARAN (%)</t>
  </si>
  <si>
    <t>CAPAIAN OUTPUT                    ( %)</t>
  </si>
  <si>
    <t>REALISASI ANGGARAN (Rp.)</t>
  </si>
  <si>
    <t>CAPAIAN OUTPUT                       ( %)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</si>
  <si>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</si>
  <si>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</si>
  <si>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</si>
  <si>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</si>
  <si>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</si>
  <si>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</si>
  <si>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</si>
  <si>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</si>
  <si>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</si>
  <si>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</si>
  <si>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</si>
  <si>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</si>
  <si>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</si>
  <si>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A</t>
  </si>
  <si>
    <t>PROVINSI PAPUA BARAT</t>
  </si>
  <si>
    <t>1</t>
  </si>
  <si>
    <t>DINAS PENDIDIKAN</t>
  </si>
  <si>
    <t>1.1. Program Peningkatan Sarana dan Prasarana Aparatur</t>
  </si>
  <si>
    <t>1.1.1. Pembangunan Tempat Penampungan Air Kantor</t>
  </si>
  <si>
    <t>1.2. Program Pendidikan Menengah</t>
  </si>
  <si>
    <t>1.2.1. Lomba-lomba Tk.Provinsi dan Nasional</t>
  </si>
  <si>
    <t>1.2.2. Lomba-lomba  bagi siswa Berkebutuhan khusus (Bidang SMA)</t>
  </si>
  <si>
    <t>1.2.3. Lomba LKS</t>
  </si>
  <si>
    <t>1.2.4. Lomba FL2SN</t>
  </si>
  <si>
    <t>1.2.5. Prakerin</t>
  </si>
  <si>
    <t>1.2.6. Pelatihan Penyusunan kurikulum</t>
  </si>
  <si>
    <t>1.2.7. Peningkatan Kerjasama dengan dunia usaha dan dunia indutri SMK</t>
  </si>
  <si>
    <t>1.2.8. Lomba lomba Bidang SMA</t>
  </si>
  <si>
    <t>1.2.9. Pembangunan RKB SMA Moria Kota Sorong</t>
  </si>
  <si>
    <t>1.2.10.Pembanguan Pagar SMAN Kokas Fakfak</t>
  </si>
  <si>
    <t>1.2.11.Pembangunan Laboratorium SMK N 2 Bomberay Fakfak</t>
  </si>
  <si>
    <t>1.2.12.Renovasi Gedung Pendidikan BPKB Manokwari</t>
  </si>
  <si>
    <t>1.2.13.Lomba O2SN SMK Tingkat Provinsi dan Nasional</t>
  </si>
  <si>
    <t>1.2.14.Pelatihan Guru Matematika</t>
  </si>
  <si>
    <t>1.2.15.Pengadaan komputer SMAS YPPK Don Bosco Fakfak</t>
  </si>
  <si>
    <t>1.2.16.Pengadaan komputer SMKN 1 Fakfak</t>
  </si>
  <si>
    <t>1.2.17.Pengadaan komputer SMKS Yapis Fakfak</t>
  </si>
  <si>
    <t>1.2.18.Pengadaan komputer SMAN 2 Fakfak</t>
  </si>
  <si>
    <t>1.2.19.Rehabiitasi Berat SMAN 2 Fakfak</t>
  </si>
  <si>
    <t>1.2.20.Rehab Sedang (Gedung A) SMKN 1 Fakfak</t>
  </si>
  <si>
    <t>1.2.21.Rehab Berat Lab IPA (Gedung E) SMKN 1 Fakfak</t>
  </si>
  <si>
    <t>1.2.22.Rehab Sedang Ruang Teori (Gedung D) SMKN 1 Fakfak</t>
  </si>
  <si>
    <t>1.2.23.Rehab Ruang Workshop (Gedung L dan N) SMKN 1 Fakfak</t>
  </si>
  <si>
    <t>1.2.24.Penguatan Program Revitalisasi SMK</t>
  </si>
  <si>
    <t>1.2.25.Pembangunan Gedung Praktek Siswa Perikanan Dotir Kab. Teluk Wondama</t>
  </si>
  <si>
    <t>1.2.26.Pembangunan 2 (dua) Ruang Kelas Baru dan Mebeluiar SMKS YABT Petra Kais Kab. Sorong Selatan</t>
  </si>
  <si>
    <t>1.2.27.Pembangunan Pagar SMKN 1 Kab. Sorong</t>
  </si>
  <si>
    <t>1.2.28.Pembangunan 2 (dua) Ruang Kelas Baru SMA YPK Teminabuan Kab. Sorong</t>
  </si>
  <si>
    <t>1.2.29.Pembangunan Pagar SMAN 1 Kota Sorong</t>
  </si>
  <si>
    <t>1.2.30.Pembangunan Laboratorium IPA SMKN 4 Prafi</t>
  </si>
  <si>
    <t>1.2.31.Pembangunan Laboratorium dan Ruang Praktek Sekolah</t>
  </si>
  <si>
    <t>1.2.32.Kajian Pembangunan SMK Maritim</t>
  </si>
  <si>
    <t>1.2.33.Penyediaan Peralatan UNBBK Sekolah SMK</t>
  </si>
  <si>
    <t>1.2.34.Pembangunan Ruang Kelas Baru SMA Negeri 1 Aitinyo Kabupaten Maybrat</t>
  </si>
  <si>
    <t>1.3.  Program Peningkatan Mutu Pendidik dan Tenaga Kependidikan</t>
  </si>
  <si>
    <t>1.3.1. Pelatihan Penguatan kapasitas tim penilai angka kredit guru dan Tenaga Kependidikan</t>
  </si>
  <si>
    <t>1.3.2. Workshop Penilaian Kinerja Guru</t>
  </si>
  <si>
    <t>1.4.1. Evaluasi Pelaksanaan Kurikulum Pada Pendidikan Menengah dan Pengembangan Sistem Penjaminan Mutu Pendidikan di Seluruh Papua Barat</t>
  </si>
  <si>
    <t>1.5. Program Guru dan Tenaga Kependidikan</t>
  </si>
  <si>
    <t>1.5.1. Seleksi Guru Berprestasi</t>
  </si>
  <si>
    <t>1.5.2. Beasiswa OAP Study ke Luar Negeri</t>
  </si>
  <si>
    <t>1.5.3. Pelatihan calon kepala sekolah SMA/SMK</t>
  </si>
  <si>
    <t>1.5.4. Pelatihan Pendidikan Diklat PPG (Program Pendidikan Profesi Guru)</t>
  </si>
  <si>
    <t>1.5.5. Operasional Pengawas SMA dan SMK</t>
  </si>
  <si>
    <t>1.5.6. Pendataan dan Validasi Guru Tendik di Seluruh Papua Barat</t>
  </si>
  <si>
    <t>1.5.7. Rehabilitasi dan Pengadaan SKO Papua Barat</t>
  </si>
  <si>
    <t>1.5.8. Pelatihan Penguatan Pengawas SMA/SMK</t>
  </si>
  <si>
    <t>1.5.9. Pelantikan Kepala Sekolah SMA dan SMK Papua Barat</t>
  </si>
  <si>
    <t>1.6. Program Afirmasi Pendidikan Bagi Putra/putri asli Papua dan Papua Barat</t>
  </si>
  <si>
    <t>1.6.1. Afirmasi bagi anak asli papua di Perguruan Tinggi dan ADEM</t>
  </si>
  <si>
    <t>2</t>
  </si>
  <si>
    <t>DINAS KESEHATAN</t>
  </si>
  <si>
    <t>2.1. Program Obat dan Perbekalan Kesehatan</t>
  </si>
  <si>
    <t>2.1.1. Pengadaaan Obat dan Perbekalan Kesehatan</t>
  </si>
  <si>
    <t>2.2. Program Upaya Kesehatan Masyarakat</t>
  </si>
  <si>
    <t>2.2.1. Pelacakan Kasus Gizi Buruk Kabupaten / Kota</t>
  </si>
  <si>
    <t>2.3. Program pengadaan, peningkatan sarana dan prasarana rumah sakit/ rumah sakit jiwa/  rumah sakit paru-paru/  rumah sakit mata</t>
  </si>
  <si>
    <t>2.3.1. Pelayanan Pengelolaan darah Untuk OAP</t>
  </si>
  <si>
    <t>2.4. Program Rujukan Kesehatan bagi orang Papua</t>
  </si>
  <si>
    <t xml:space="preserve">2.4.1. Pembiayaan Iuaran Peserta JKN Penduduk AOP dalam Rangka Menjaga Keberlangsungan UHC </t>
  </si>
  <si>
    <t>2.5. Program pengiriman dan pendisiplinan tenaga kesehatan ke distrik, kampung terpencil dan terisolir</t>
  </si>
  <si>
    <t>2.5.1. Penempatan Tenaga Kesehatan ( Analis, Kesling, Bidan, Gizi )</t>
  </si>
  <si>
    <t>3</t>
  </si>
  <si>
    <t>DINAS PEKERJAAN UMUM DAN PENATAAN RUANG</t>
  </si>
  <si>
    <t>3.1. Program Peningkatan Sarana dan Prasarana Aparatur</t>
  </si>
  <si>
    <t>3.1.1. Pemeliharaan rutin/berkala perlengkapan gedung kantor</t>
  </si>
  <si>
    <t>3.1.2. Pemeliharaan rutin/berkala peralatan gedung kantor</t>
  </si>
  <si>
    <t>4</t>
  </si>
  <si>
    <t>BADAN KESATUAN BANGSA DAN POLITIK</t>
  </si>
  <si>
    <t>4.1. Program pendidikan politik masyarakat</t>
  </si>
  <si>
    <t>4.1.1. Sosialisasi Pendidikan Politik Bagi Partai Politik</t>
  </si>
  <si>
    <t>4.1.2. Sosialisasi Peran Etika dan Budaya Politik dalam Memantapkan Kerukunan Masyarakat dalam Berdemokrasi</t>
  </si>
  <si>
    <t>5</t>
  </si>
  <si>
    <t>DINAS SOSIAL</t>
  </si>
  <si>
    <t>5.1. Program  Pemberdayaan Sosial dan Penanggulangan Kemiskinan</t>
  </si>
  <si>
    <t>5.1.1. Pengadan UEP Pertanian bagi Warga Komunitas Adat Terpencil di Daerah Pegunungan</t>
  </si>
  <si>
    <t>5.1.2. Renovasi Rumah Warga Bagi Daerah Kumuh Perkotaan</t>
  </si>
  <si>
    <t>5.1.3. Pemberdayaan Sosial Stimulan Usaha Ekonomi Produktif (UEP) Bagi Mama -  Mama Asli Papua</t>
  </si>
  <si>
    <t>5.1.4. Pengadaan Bantuan Kelompok Usaha Bersama (KUBE) Bagi Warga Komunitas Adat Terpencil</t>
  </si>
  <si>
    <t>5.2. Program Perlindungan dan Jaminan Sosial</t>
  </si>
  <si>
    <t>5.2.1. Bantuan Usaha Ekonomi Kreatif bagi Korban Bencana Sosial</t>
  </si>
  <si>
    <t>6</t>
  </si>
  <si>
    <t xml:space="preserve">DINAS TENAGA KERJA DAN TRANSMIGRASI </t>
  </si>
  <si>
    <t>6.1. Program Peningkatan Kualitas dan Produktivitas Tenaga Kerja</t>
  </si>
  <si>
    <t>6.1.1. Pembangunan dan Peningkatan Sarana dan Prasarana Pusat-Pusat Pelatihan Sumber Daya Manusia (SDM) Papua</t>
  </si>
  <si>
    <t>7</t>
  </si>
  <si>
    <t>DINAS PEMBERDAYAAN PEREMPUAN DAN PERLINDUNGAN ANAK</t>
  </si>
  <si>
    <t>7.1. Program peningkatan peran serta dan kesetaraan gender dalam pembangunan</t>
  </si>
  <si>
    <t>7.1.1. Pembinaan Organisasi Perempuan</t>
  </si>
  <si>
    <t>8</t>
  </si>
  <si>
    <t>DINAS TANAMAN PANGAN</t>
  </si>
  <si>
    <t>8.1. Program Peningkatan Kapasitas Sumber Daya Aparatur</t>
  </si>
  <si>
    <t>8.1.1. Pengembangan Layanan Publik</t>
  </si>
  <si>
    <t>9</t>
  </si>
  <si>
    <t>DINAS LINGKUNGAN HIDUP DAN PERTANAHAN</t>
  </si>
  <si>
    <t>9.1. Program Peningkatan Sarana dan Prasarana Aparatur</t>
  </si>
  <si>
    <t>9.1.1. Pemeliharaan rutin/berkala gedung kantor</t>
  </si>
  <si>
    <t>10</t>
  </si>
  <si>
    <t>DINAS PEMBERDAYAAN MASYARAKAT DAN KAMPUNG</t>
  </si>
  <si>
    <t>10.1. Program Peningkatan Keberdayaan Masyarakat Lokal Papua</t>
  </si>
  <si>
    <t>10.1.1. Pelatihan dan Pendampingan pengadaan barang dan jasa bagi pengusaha OAP</t>
  </si>
  <si>
    <t>10.1.2. Pemberian Bantuan stimulan usaha kuliner bagi orang asli papua (OAP)</t>
  </si>
  <si>
    <t>10.1.3. Penyediaan Air Bersih dan Sanitasi</t>
  </si>
  <si>
    <t>10.1.4. Penyedia Bantuan Seni Budaya Orang Asli Papua</t>
  </si>
  <si>
    <t>10.1.5. Pembangunan dan Bantuan Perlengkapan Sanggar TTG Bagi Masyarakat di Kampung</t>
  </si>
  <si>
    <t>10.2. Program Pengembangan Ekonomi Kampung</t>
  </si>
  <si>
    <t>10.2.1. Bantuan mesin cetak batu bata dan batu tela</t>
  </si>
  <si>
    <t>11</t>
  </si>
  <si>
    <t>DINAS KOPERASI DAN USAHA MIKRO KECIL DAN MENENGAH</t>
  </si>
  <si>
    <t>11.1. Program Peningkatan Kualitas Kelembagaan Koperasi</t>
  </si>
  <si>
    <t>11.1.1. Penyebaran model-model pola pengembangan koperasi (Bimbingan Teknis Manajemen Koperasi bagi Gerakan Koperasi OAP)</t>
  </si>
  <si>
    <t>11.1.3. Sosialisasi Prinsip-prinsip pengembangan Koperasi (Pelatihan NIK bagi Aparatur dan Gerakan OAP)</t>
  </si>
  <si>
    <t>11.1.4. Sosialisasi Pemahaman Prinsip-prinsip Pemahaman Perkoperasian (Sosialisasi Peraturan Menteri Koperasi dan UKM Republik Indonesia No. 17 Tahun 2015 dan PP No. 62</t>
  </si>
  <si>
    <t>11.1.5. Peningkatan dan pengawasan jaringan kerjasama usaha koperasi (Bimbingan teknis pengawasan bagi pengurus dan pengawas koperasi OAP)</t>
  </si>
  <si>
    <t>12</t>
  </si>
  <si>
    <t>DINAS KELAUTAN DAN PERIKANAN</t>
  </si>
  <si>
    <t>12.1 Program pengembangan perikanan tangkap</t>
  </si>
  <si>
    <t>12.1.1. Pengadaan Sarana Perikanan Tangkap</t>
  </si>
  <si>
    <t>13</t>
  </si>
  <si>
    <t>DINAS TANAMAN PANGAN, HORTIKULTURA DAN PERKEBUNAN</t>
  </si>
  <si>
    <t>13.1. Program Peningkatan Kesejahteraan Petani</t>
  </si>
  <si>
    <t>13.1.1. Pendampingan Pengembangan Pangan Lokal Pada Petani OAP</t>
  </si>
  <si>
    <t>13.2. Program Peningkatan Produksi, Produktivitas dan mutu produk tanaman pangan</t>
  </si>
  <si>
    <t>13.2.1. Pengembangan Tanaman Pangan</t>
  </si>
  <si>
    <t>13.2.2. Pengembangan Sistem Perlindungan Tanaman Pangan</t>
  </si>
  <si>
    <t>13.3. Program Peningkatan Sarana dan Prasarana Pertanian</t>
  </si>
  <si>
    <t>13.3.1. Bantuan Pengadaan Alat Mesin Pertanian</t>
  </si>
  <si>
    <t>13.3.2. Perluasan Areal Tanam dan Optimalisasi Lahan</t>
  </si>
  <si>
    <t>13.3.3. Penyediaan Alat Panen Perkebunan</t>
  </si>
  <si>
    <t>14</t>
  </si>
  <si>
    <t>DINAS PETERNAKAN DAN KESEHATAN HEWAN</t>
  </si>
  <si>
    <t>14.1. Program Peningkatan Kesejahteraan Petani</t>
  </si>
  <si>
    <t>14.1.1. Pengembangan dan Pendampingan Petani dan pelaku Agribisnis</t>
  </si>
  <si>
    <t>14.2. Program pencegahan dan penanggulangan penyakit ternak</t>
  </si>
  <si>
    <t>14.2.1. Penyedia Obat-obatan hewan dan hormon</t>
  </si>
  <si>
    <t>14.3. Program peningkatan produksi hasil peternakan</t>
  </si>
  <si>
    <t>14.3.1. Pengadaan dan Pendistribusian Bibit Ternak Kepada Masyarakat OAP</t>
  </si>
  <si>
    <t>14.4. Program Peningkatan Sarana Dan Prasarana Peternakan</t>
  </si>
  <si>
    <t>14.4.1. Peningkatan Pemanfaatan dan Produktifitas lahan tidur (OAP)</t>
  </si>
  <si>
    <t>15</t>
  </si>
  <si>
    <t>DINAS ENERGI DAN SUMBER DAYA MINERAL</t>
  </si>
  <si>
    <t>15.1. Program pembinaan dan pengembangan bidang ketenagalistrikan</t>
  </si>
  <si>
    <t>15.1.1.Pengembangan dan Pembangunan Lampu Tenaga Surya Hemat Energi (LTSHE)</t>
  </si>
  <si>
    <t>15.2. Program Pembinaan Dan Pengawasan Bidang Energi Dan Ketenagalistrikan</t>
  </si>
  <si>
    <t>15.2.1.Pembangunan Solarcell Tersebar / PLTS (OAP)</t>
  </si>
  <si>
    <t>15.3. Program Pengelolaan Potensi Air Bawah Tanah</t>
  </si>
  <si>
    <t>15.3.1.Pengadaan Air Bersih Melalui Sumur bor</t>
  </si>
  <si>
    <t>16</t>
  </si>
  <si>
    <t>DINAS PERINDUSTRIAN DAN PERDAGANGAN (PERDAGANGAN)</t>
  </si>
  <si>
    <t>16.1. Program peningkatan dan pengembangan ekspor dan Impor</t>
  </si>
  <si>
    <t>16.1.1. FGD Pelaku Usaha Perdagangan dalam Upaya Peningkatan Nilai Eksport Bersih</t>
  </si>
  <si>
    <t>16.1.2. Pengadaan Peralatan  Pengolahan Pala Bagi OAP</t>
  </si>
  <si>
    <t>16.2. Program peningkatan efisiensi perdagangan dalam negeri</t>
  </si>
  <si>
    <t>16.2.1. Pasar Murah Dalam Menyambut Hari-hari besar Keagamaan</t>
  </si>
  <si>
    <t>16.2.2. Bantuan Peralatan Usaha Pedagang Kaki Lima dan Asongan</t>
  </si>
  <si>
    <t>16.3. Program Peningkatan Pelayanan dan Pengawasan di Bidang Perdagangan</t>
  </si>
  <si>
    <t>16.3.1. Edukasi Konsumen Menuju Konsumen Cerdas (KONCER) Bagi Orang Asli Papua</t>
  </si>
  <si>
    <t>16.4. Program Perlindungan dan Pengamanan Perdagangan</t>
  </si>
  <si>
    <t>16.4.1. Pelaksanaan Puncak hari konsumen nasional (HAKORNAS) tahun 2019 dan Bulan Pengaduan konsumen</t>
  </si>
  <si>
    <t>17</t>
  </si>
  <si>
    <t>DINAS PERINDUSTRIAN DAN PERDAGANGAN (PERINDUSTRIAN)</t>
  </si>
  <si>
    <t>17.1. Program peningkatan  teknologi industri</t>
  </si>
  <si>
    <t>17.1.1. Bimtek Kerajinan Noken dan Bantuan Alat dan bahan</t>
  </si>
  <si>
    <t>17.1.2. Bantuan Peralatan Pengolahan kopi</t>
  </si>
  <si>
    <t>17.1.3. Bantuan Peralatan Perbengkelan</t>
  </si>
  <si>
    <t>17.1.4. Bantuan Peralatan Pengolahan sagu</t>
  </si>
  <si>
    <t>17.1.5. Bimtek dan Bantuan Alat Pembuatan Kapal Fiber</t>
  </si>
  <si>
    <t>17.2. Program pengembangan sentra-sentra industri potensial</t>
  </si>
  <si>
    <t>17.2.1. Bimtek Pelaku usaha logam(pantai besi) OAP</t>
  </si>
  <si>
    <t>17.2.2. Bantuan peralatan teknologi industri besar</t>
  </si>
  <si>
    <t>18</t>
  </si>
  <si>
    <t>DINAS TENAGA KERJA DAN TRANSMIGRASI</t>
  </si>
  <si>
    <t>18.1. Program Transmigrasi lokal</t>
  </si>
  <si>
    <t>18.1.1. Pembangunan Sarana Air Bersih Pipanisasi Tahap I UPT Aitrem Kab. Maybrat</t>
  </si>
  <si>
    <t>19</t>
  </si>
  <si>
    <t>SEKRETARIAT DAERAH</t>
  </si>
  <si>
    <t>19.1. Program Peningkatan Sarana dan Prasarana Aparatur</t>
  </si>
  <si>
    <t>19.1.1. Pengadaan Laptop</t>
  </si>
  <si>
    <t>19.2. Program Peningkatan Kapasitas Sumber Daya Aparatur</t>
  </si>
  <si>
    <t>19.2.1. Konsultasi dan Koordinasi Peraturan Perundang - Undangan</t>
  </si>
  <si>
    <t>19.3. Program Kerjasama Informasi Pembangunan Daerah</t>
  </si>
  <si>
    <t>19.3.1. Pembenahan Infrastruktur Papua Barat TV (PBTV)</t>
  </si>
  <si>
    <t>19.4. Program Peningkatan Sarana Prasarana Lembaga Sosial Keagamaan di Provinsi Papua Barat</t>
  </si>
  <si>
    <t>19.4.1. Pembangunan Gedung Kantor Sekretariat Majelis Ulama Indonesia Provinsi Papua Barat</t>
  </si>
  <si>
    <t>19.5. Program Kebijakan Affirmasi</t>
  </si>
  <si>
    <t>19.6. Program Peningkatan Kapasitas Perguruan Tinggi Lokal di Papua Barat</t>
  </si>
  <si>
    <t>19.6.1. Pengadaan Jaringan Internet pada Pergururan Tinggi Lokal di Provinsi Papua Barat</t>
  </si>
  <si>
    <t>19.6.2. Koordinasi dan Fasilitasi Akreditasi Perguruan Tinggi Swasta Se - Papua Barat</t>
  </si>
  <si>
    <t>19.7. Program Peningkatan Kualitas Kaimanan dan Ketaqwaan TYME</t>
  </si>
  <si>
    <t>19.7.1. Penyelenggaraan Kebaktian Rohani Budaya Bangsa Se Pulau dan Tanah Papua</t>
  </si>
  <si>
    <t>19.8. Program Peningkatan Sarana Prasarana Rumah Peribadan Lembaga Sosial Keagamaan</t>
  </si>
  <si>
    <t>19.8.1. Pembangunan Gedung Gereja Central GPKAI Surerei</t>
  </si>
  <si>
    <t>19.8.2. Pembangunan Lanjutan Tahap Ke II Gedung Gereja Jemaat Ruben Fait Majin GKI Klasis Maybrat</t>
  </si>
  <si>
    <t>19.8.3. Pembangunan Lanjutan Tahap Ke II Gedung Gereja Jemaat Imanuel Segor GKI Klasis Maybrat</t>
  </si>
  <si>
    <t>20</t>
  </si>
  <si>
    <t>BADAN PENGELOLA KEUANGAN DAN ASET DAERAH</t>
  </si>
  <si>
    <t>20.1. Belanja Hibah</t>
  </si>
  <si>
    <t>20.1.1. Hibah kepada organisasi kemasyarakatan</t>
  </si>
  <si>
    <t>20.2. Belanja Bantuan Sosial</t>
  </si>
  <si>
    <t>20.2.1.  Belanja Bantuan Sosial untuk Masyarakat (Fungsi Pendidikan)</t>
  </si>
  <si>
    <t>B</t>
  </si>
  <si>
    <t>KABUPATEN/KOTA</t>
  </si>
  <si>
    <t>I. KABUPATEN TELUK BINTUNI</t>
  </si>
  <si>
    <t>1. DINAS PENDIDIKAN, KEBUDAYAAN, PEMUDA DAN OLAH RAGA</t>
  </si>
  <si>
    <t>1.1. Program Pendidikan Anak Usia Dini</t>
  </si>
  <si>
    <t>1.1.2. Penyediaan BOP TK negeri dalam rangka pendidikan bebas biaya</t>
  </si>
  <si>
    <t>1.1.3. Penyediaan BOP TK Swasta dalam rangka pendidikan bebas biaya</t>
  </si>
  <si>
    <t>1.2. Program Pengembangan Nilai Kebudayaan</t>
  </si>
  <si>
    <t>1.2.1. Pembangunan Kantor LMA 7 Suku Asli Teluk Bintuni</t>
  </si>
  <si>
    <t>1.3. Program Wajib Belajar Pendidikan Dasar Sembilan Tahun</t>
  </si>
  <si>
    <t>1.3.1. Penyediaan BOP Negeri dalam rangka pendidikan bebas biaya SD</t>
  </si>
  <si>
    <t>1.3.2. Penyediaan BOP Negeri dalam rangka pendidikan bebas biaya SMP</t>
  </si>
  <si>
    <t xml:space="preserve">1.3.3. Pembangunan (relokasi) 3 RKB SMP Negeri Jagiro </t>
  </si>
  <si>
    <t>2.  DINAS KESEHATAN</t>
  </si>
  <si>
    <t>2.1. Program Pelayanan Kesehatan Dasar</t>
  </si>
  <si>
    <t>2.1.1. Pengadaan Obat-Obatan perbekalan Kesehatan Puskesmas</t>
  </si>
  <si>
    <t>2.2. Program Peningkatan Pelayanan Puskesmas/Puskesmas Pembantu</t>
  </si>
  <si>
    <t>2.2.1. Peningkatan Pelayanan Puskesmas/Puskesmas Pembantu Babo</t>
  </si>
  <si>
    <t>2.2.2. Peningkatan Pelayanan Puskesmas/Puskesmas Pembantu Bintuni</t>
  </si>
  <si>
    <t>2.2.3. Peningkatan Pelayanan Puskesmas/Puskesmas Pembantu Manimeri</t>
  </si>
  <si>
    <t>2.2.4. Peningkatan Pelayanan Puskesmas/Puskesmas Pembantu Moskona Utara</t>
  </si>
  <si>
    <t>2.2.5. Peningkatan Pelayanan Puskesmas/Puskesmas Pembantu Farfurwar</t>
  </si>
  <si>
    <t>2.2.6. Peningkatan Pelayanan Puskesmas/Puskesmas Pembantu Plus Stenkool III</t>
  </si>
  <si>
    <t>2.2.7. Peningkatan Pelayanan Puskesmas/Puskesmas Pembantu Tanah Merah</t>
  </si>
  <si>
    <t>2.2.8. Peningkatan Pelayanan Puskesmas/Puskesmas Pembantu Idoor</t>
  </si>
  <si>
    <t>2.2.9. Peningkatan Pelayanan Puskesmas/Puskesmas Pembantu Kuri</t>
  </si>
  <si>
    <t>2.2.11. Peningkatan Pelayanan Puskesmas/Puskesmas Pembantu Tembuni</t>
  </si>
  <si>
    <t>2.2.12. Peningkatan Pelayanan Puskesmas/Puskesmas Pembantu Merdey</t>
  </si>
  <si>
    <t>2.2.13. Peningkatan Pelayanan Puskesmas/Puskesmas Pembantu Jagiro</t>
  </si>
  <si>
    <t>2.2.14. Peningkatan Pelayanan Puskesmas/Puskesmas Pembantu Aranday</t>
  </si>
  <si>
    <t>2.2.15. Peningkatan Pelayanan Puskesmas/Puskesmas Pembantu Weriagar</t>
  </si>
  <si>
    <t>2.2.16. Peningkatan Pelayanan Puskesmas/Puskesmas Pembantu Tuhiba</t>
  </si>
  <si>
    <t>2.2.17. Peningkatan Pelayanan Puskesmas/Puskesmas Pembantu Kaitaro</t>
  </si>
  <si>
    <t>2.2.18. Peningkatan Pelayanan Puskesmas/Puskesmas Pembantu Kalitami</t>
  </si>
  <si>
    <t>2.2.19. Peningkatan Pelayanan Puskesmas/Puskesmas Pembantu Dataran Beimes</t>
  </si>
  <si>
    <t>2.2.20. Peningkatan Pelayanan Puskesmas/Puskesmas Pembantu Moskona Barat</t>
  </si>
  <si>
    <t>2.2.21. Peningkatan Pelayanan Puskesmas/Puskesmas Pembantu Aroba</t>
  </si>
  <si>
    <t>2.2.22. Peningkatan Pelayanan Puskesmas/Puskesmas Pembantu Moskona Timur</t>
  </si>
  <si>
    <t xml:space="preserve">2.2.23. Peningkatan Pelayanan Puskesmas/Puskesmas Pembantu Masyeta </t>
  </si>
  <si>
    <t>2.2.24. Peningkatan Pelayanan Puskesmas/Puskesmas Pembantu Aranday Kampung</t>
  </si>
  <si>
    <t>2.2.25. Peningkatan Pelayanan Puskesmas/Puskesmas Pembantu Biscoop</t>
  </si>
  <si>
    <t>2.2.26. Peningkatan Pelayanan Puskesmas/Puskesmas Pembantu Muturi</t>
  </si>
  <si>
    <t>2.3. Program Pencegahan dan Pemberantasan Penyakit</t>
  </si>
  <si>
    <t>2.3.1. Pencegahan dan Penanggulangan Penyakit Menular dan Tidak Menular</t>
  </si>
  <si>
    <t>2.3.2. Penanggulangan dan Pemberantasan Penyakit TBC</t>
  </si>
  <si>
    <t>2.3.3. Penanggulangan ODHA</t>
  </si>
  <si>
    <t>2.3.4. Pelayanan, Pencegahan dan Penanggulangan Penyakit Menular</t>
  </si>
  <si>
    <t>3. RUMAH SAKIT UMUM DAERAH</t>
  </si>
  <si>
    <t>3.1. Program Pengadaan, Peningkatan Sarana dan Prasarana Rumah Sakit/Rumah Sakit Jiwa/Rumah Sakit Paru Paru/Rumah Sakit Mata</t>
  </si>
  <si>
    <t>3.1.1. Pengadaan Obat-obatan Rumah Sakit Umum Daerah</t>
  </si>
  <si>
    <t>4. DINAS PERUMAHAN DAN KAWASAN PERMUKIMAN</t>
  </si>
  <si>
    <t>4.1. Program Pengembangan Perumahan</t>
  </si>
  <si>
    <t>4.1.1.  Pembangunan Rumah Layak Huni (Type 42)</t>
  </si>
  <si>
    <t>4.2. Program Lingkungan Sehat Perumahan</t>
  </si>
  <si>
    <t>4.2.1. Pembangunan Air Bersih Distrik Idoor (SR 100 unit)</t>
  </si>
  <si>
    <t>5. DINAS PERIKANAN</t>
  </si>
  <si>
    <t>5.1. Program Pengembangan Perikanan Tangkap</t>
  </si>
  <si>
    <t>5.1.1. Pengadaan Sarana dan Prasarana Penangkapan (Motor Tempel 15 PK)</t>
  </si>
  <si>
    <t>5.1.2. Pengadaan Sarana dan Prasarana Penangkapan (Casco Fiber ‹ 3 GT)</t>
  </si>
  <si>
    <t>5.1.3. Pengadaan Sarana dan Prasarana Penangkapan (Motor Katinting 5,5 HP)</t>
  </si>
  <si>
    <t>5.1.4. Pengadaan Sarana dan Prasarana Penangkapan (Casco Fiber 6 Mtr)</t>
  </si>
  <si>
    <t>5.1.5. Pengadaan Sarana dan Prasarana Penangkapan (Jaring Udang)</t>
  </si>
  <si>
    <t>5.1.6. Pengadaan Sarana dan Prasarana Penangkapan (Jaring Ikan)</t>
  </si>
  <si>
    <t>5.1.7. Pengadaan Sarana dan Prasarana Penangkapan (Coolbox 200 Ltr)</t>
  </si>
  <si>
    <t>5.2. Program Pengembangan  Budidaya Perikanan</t>
  </si>
  <si>
    <t>5.2.1. Pengadaan Sarana dan Prasarana Budidaya Perikanan (Paket Keramba Jaring Apung)</t>
  </si>
  <si>
    <t>5.2.2. Pengadaan Sarana dan Prasarana Budidaya Perikanan (Pemasangan KJA</t>
  </si>
  <si>
    <t>5.2.3. Pengadaan Kolam Berteknologi Bioflok dameter 3 M (Paket Kolam Bioflok)</t>
  </si>
  <si>
    <t>5.2.4. Pengadaan Kolam Berteknologi Bioflok dameter 3 M (Pemasangan Kolam Bioflok)</t>
  </si>
  <si>
    <t>5.2.5. Pengadaan Kolam Budidaya Air Tawar (60 M2)</t>
  </si>
  <si>
    <t>5.2.6. Pengadaan Benih Ikan Unggul Nila/Mas</t>
  </si>
  <si>
    <t>6.1. Program Penguatan Kelembagaan Pengarusutamaan Gender dan Anak</t>
  </si>
  <si>
    <t>6.1.1. Penyusunan Buku Profil Anak 7 Suku</t>
  </si>
  <si>
    <t>6.1.2. Forum Anak Daerah</t>
  </si>
  <si>
    <t>6.1.3. Pendampingan Anak yang berhadapan dengan hukum</t>
  </si>
  <si>
    <t>6.2. Program Peningkatan Kualitas Hidup dan Perlindungan Perempuan</t>
  </si>
  <si>
    <t>6.2.1. Sosialisasi Kota Layak Anak</t>
  </si>
  <si>
    <t>6.2.2. Sosialisasi UU Perlindungan Anak ke Distrik</t>
  </si>
  <si>
    <t>6.2.3. Sosialisasi Telepon Sahabat Anak (TESA)</t>
  </si>
  <si>
    <t>6.3. Program Peningkatan Kualitas Hidup dan Perlindungan Perempuan</t>
  </si>
  <si>
    <t>6.3.1. Pelatihan Bagi Pelatih (TOT) SDM Pelayanan dan Pendampingan Korban KDRT</t>
  </si>
  <si>
    <t>6.3.2. Pelatihan Memasak Berbasis Produk Lokal</t>
  </si>
  <si>
    <t>6.3.3. Pelatihan Jahit Menjahit</t>
  </si>
  <si>
    <t>6.4. Program Peningkatan Peran Serta dan Kesetaraan Gender dalam Pembangunan</t>
  </si>
  <si>
    <t>6.4.1. Penyusunan Buku Profil Perempuan 7 Suku di Kab. Teluk Bintuni</t>
  </si>
  <si>
    <t>6.4.2. Pelatihan dan Peningkatan Manajemen Usaha bagi Perempuan Asli Papua dalam mengelola Usaha Rumah Kreasi</t>
  </si>
  <si>
    <t>6.4.3. Pengembangan Materi dan Pelayanan KIE tentang Pengarusutamaan Gender PUG)</t>
  </si>
  <si>
    <t>6.5. Program Peningkatan Sarana dan Prasarana Pelayanan, Komunikasi, Informasi dan Edukasi</t>
  </si>
  <si>
    <t>6.5.1. Pengembangan Ruang Publik Ramah Anak di Distrik</t>
  </si>
  <si>
    <t>6.5.2. Fasilitasi dan Advokasi Hak Sipil Anak di Distrik</t>
  </si>
  <si>
    <t>7. DINAS SOSIAL</t>
  </si>
  <si>
    <t>7.1. Program Peningkatan Kualitas Keimanan dan Ketaqwaan Masyarakat</t>
  </si>
  <si>
    <t>7.1.1. Bantuan Sarana dan Prasarana Keagamaan</t>
  </si>
  <si>
    <t>8. BPKAD - Selaku PPKD</t>
  </si>
  <si>
    <t>8.1. Belanja Bantuan Sosial</t>
  </si>
  <si>
    <t>8.1.1. Belanja Bantuan Sosial Organisasi Kemasyarakatan</t>
  </si>
  <si>
    <t>8.1.3. Belanja Beasiswa Tugas Belajar (DINKES)</t>
  </si>
  <si>
    <t>8.1.4. Belanja Beasiswa Tugas Belajar (BKD)</t>
  </si>
  <si>
    <t>8.1.5. Bantuan Pendidikan Mahasiswa Murni</t>
  </si>
  <si>
    <t>8.1.6. Belanja Bantuan Keuangan kepada Desa</t>
  </si>
  <si>
    <t>9. DINAS PERTANIAN</t>
  </si>
  <si>
    <t>9.1. Program Peningkatan Ketahanan Pangan Pertanian/Perkebunan</t>
  </si>
  <si>
    <t>9.1.1. Pengembangan Tanaman Keladi</t>
  </si>
  <si>
    <t>9.1.2. Pengembangan Tanaman Sayuran</t>
  </si>
  <si>
    <t>9.2. Program Peningkatan Teknologi Pertanian/Perkebunan</t>
  </si>
  <si>
    <t>9.2.1. Peningkatan Sarana Prasarana</t>
  </si>
  <si>
    <t>9.3. Program Peningkatan Produksi Pertanian/Perkebunan</t>
  </si>
  <si>
    <t>9.3.1. Pengembangan Tanaman Pala</t>
  </si>
  <si>
    <t>10. DINAS PERDAGANGAN, PERINDUSTRIAN, KOPERASI dan UMKM</t>
  </si>
  <si>
    <t xml:space="preserve">10.1. Program Peningkatan Efisiensi Perdagangan Dalam Negeri </t>
  </si>
  <si>
    <t>10.1.1.  Subsidi Kebutuhan 9 Bahan Pokok</t>
  </si>
  <si>
    <t>11. DINAS PEKERJAAN UMUM DAN PENATAAN RUANG</t>
  </si>
  <si>
    <t>11.1. Program Pembangunan Infrastruktur Pedesaan</t>
  </si>
  <si>
    <t>11.1.1. Pembangunan Jalan dan Jembatan Pedesaan</t>
  </si>
  <si>
    <t>II. KABUPATEN MANOKWARI</t>
  </si>
  <si>
    <t xml:space="preserve">1. DINAS PENDIDIKAN DAN KEBUDAYAAN </t>
  </si>
  <si>
    <t>1.1.  Program Pendidikan Anak Usia Dini</t>
  </si>
  <si>
    <t>1.1.1. Pembangunan gedung sekolah</t>
  </si>
  <si>
    <t>1.1.2. Pengadaan alat rumah tangga sekolah</t>
  </si>
  <si>
    <t>1.1.3. Rehabilitasi sedang/berat taman, lapangan upacara dan fasilitas parkir</t>
  </si>
  <si>
    <t>1.1.4. Pelatihan kompetensi tenaga pendidik</t>
  </si>
  <si>
    <t>1.1.6. Publikasi dan sosialisasi Pendidikan Anak Usia Dini</t>
  </si>
  <si>
    <t xml:space="preserve">1.1.7. Penyelenggaraan Pendidikan Anak Usia Dini  </t>
  </si>
  <si>
    <t xml:space="preserve">1.2.  Program Wajib Belajar Pendidikan Dasar Sembilan Tahun </t>
  </si>
  <si>
    <t>1.2.1. Pembangunan gedung sekolah</t>
  </si>
  <si>
    <t>1.2.2. Pembangunan taman, lapangan upacara dan fasilitas parkir</t>
  </si>
  <si>
    <t>1.2.3. Pemeliharaan rutin/berkala perlengkapan sekolah</t>
  </si>
  <si>
    <t>1.2.4. Pelatihan Penyusunan kurikulum</t>
  </si>
  <si>
    <t>1.2.5. Penyediaan dana pengembangansekolah Untuk SD/MI/SDLB dan SMP/MTS</t>
  </si>
  <si>
    <t>1.2.6. Pembinaaan minat, bakat, dan kreativitas siswa</t>
  </si>
  <si>
    <t>1.2.7. Pengembangan Comprehensive Teaching And Learning (CTL)</t>
  </si>
  <si>
    <t>1.2.8.Pelaksanaan Seleksi Lomba Olimpiade Sains Nasional Tingkat SD</t>
  </si>
  <si>
    <t>1.2.9. Pelatihan Kurikulum PKHS Tingkat SD</t>
  </si>
  <si>
    <t>1.2.10.Pelaksanaan Ujian Nasional SD/MI dan SMP/MTs</t>
  </si>
  <si>
    <t>1.2.11.Penyediaan Bantuan Operasional Sekolah Daerah (BOSDA) Jenjang SMP dan Paket B</t>
  </si>
  <si>
    <t>1.2.12. Pelatihan Kurikulum PKHS Tingkat SMP</t>
  </si>
  <si>
    <t xml:space="preserve">1.3. Program Pendidikan Non Formal </t>
  </si>
  <si>
    <t>1.3.1. Pemberian bantuan operasional pendidikan non formal</t>
  </si>
  <si>
    <t>1.3.2. Pembinaan pendidikan kursus dan kelembagaan</t>
  </si>
  <si>
    <t>1.3.3. Pengembangan pendidikan keaksaraan</t>
  </si>
  <si>
    <t>1.3.4. Pengembangan pendidikan kecakapan hidup</t>
  </si>
  <si>
    <t>1.3.5. Monitoring, evaluasi dan pelaporan</t>
  </si>
  <si>
    <t xml:space="preserve">1.4.  Program Peningkatan Mutu Pendidik dan Kependidikan </t>
  </si>
  <si>
    <t>1.4.1. pelatihan bagi pendidik untuk memenuhi standar kompetensi</t>
  </si>
  <si>
    <t>1.4.2. Monitoring, evaluasi dan pelaporan</t>
  </si>
  <si>
    <t>1.4.3. Pelatihan Penguatan Kapasitas Tim Penilai Angka Kredit Guru dan Tenaga Kependidikan</t>
  </si>
  <si>
    <t xml:space="preserve">1.5. Program manajemen Pelayanan Pendidikan </t>
  </si>
  <si>
    <t>1.5.1. Pelaksanaan Evaluasi Hasil Kinerja Bidang Pendidikan</t>
  </si>
  <si>
    <t>1.5.2 Pelaksanaan Kerja Sama Secara Kelembagaan di Bidang Pendidikan</t>
  </si>
  <si>
    <t>1.5.3 Sosialisasi dan Advokasi Berbagai Peraturan Pemerintah di Bidang Pendidikan</t>
  </si>
  <si>
    <t>1.5.4 Penerapan Sistem dan Informasi Manajemen Pendidikan</t>
  </si>
  <si>
    <t>1.5.5 Monitoring, Evaluasi dan Pelaporan</t>
  </si>
  <si>
    <t xml:space="preserve">1.5.6 Penyediaan Bantuan Hari-Hari Besar  </t>
  </si>
  <si>
    <t>1.5.7 Penyelenggaraan Pelatihan, Seminar dan Lokakarya, serta Diskusi Ilmiah tentang Berbagai Isu Pendidikan (Tim Tehnis)</t>
  </si>
  <si>
    <t>1.6. Program Pengelolaan Keragaman Budaya</t>
  </si>
  <si>
    <t>1.6.1 Penyusunan sistem informasi database bidang kebudayaan</t>
  </si>
  <si>
    <t>1.7. Program pengembangan kerjasama pengelolaan kekayaan budaya</t>
  </si>
  <si>
    <t>1.7.1 Membangun kemitraanpengelolaan kebudayaan anatar daerah</t>
  </si>
  <si>
    <t>1.7.2 Monitoring, evaluasi dan pelaporan</t>
  </si>
  <si>
    <t>2. DINAS KESEHATAN</t>
  </si>
  <si>
    <t>2.1.1. Peningkatan pemerataan obat dan perbekalan kesehatan</t>
  </si>
  <si>
    <t>2.2.1.Penyelenggaraan penyehatan lingkungan</t>
  </si>
  <si>
    <t xml:space="preserve">2.2.2.Peningkatan Pelayanan dan Penanggulangan Masalah Kesehatan Bagi PNS  </t>
  </si>
  <si>
    <t>2.2.3.Penyediaaan Biaya Operasional Rumah Sakit</t>
  </si>
  <si>
    <t>2.2.4.Akreditasi Puskesmas Amban, Wosi, Warmare, Prafi, Masni dan Mowbja</t>
  </si>
  <si>
    <t>2.2.5.Perencanaan Terpadu Kesehatan Ibu dan Anak</t>
  </si>
  <si>
    <t>2.3. Program Perbaikan Gizi Masyarakat</t>
  </si>
  <si>
    <t>2.3.1.Pemberian tambahan makanan dan vitamin</t>
  </si>
  <si>
    <t>2.3.2.Penanggulangan Kurang Energi Protein (KEP), Anemia Gizi Besi, Gangguan Akibat kurang Yodium (GAKY), Kurang Vitamin A, dan Kekurangan Zat Gizi Mikro Lainnya</t>
  </si>
  <si>
    <t>2.3.3.Monitoring, evaluasi dan pelaporan</t>
  </si>
  <si>
    <t>2.4. Program Pencegahan dan Penanggulangan Penyakit Menular</t>
  </si>
  <si>
    <t>2.4.1.Pelayanan pencegahan dan penanggulangan penyakit menular</t>
  </si>
  <si>
    <t>2.4.2.Peningkatan survellance Epidemiologi dan penanggulangan wabah</t>
  </si>
  <si>
    <t>2.4.3.Pencegahan Penyakit Tidak Menular (PTM)</t>
  </si>
  <si>
    <t>2.5. Program pengadaan, peningkatan dan perbaikan sarana dan prasarana puskesmas/ puskemas pembantu dan jaringannya</t>
  </si>
  <si>
    <t xml:space="preserve">2.5.1.Pengadaan sarana dan prasarana puskesmas </t>
  </si>
  <si>
    <t xml:space="preserve">3.  RUMAH SAKIT UMUM DAERAH </t>
  </si>
  <si>
    <t>3.1. Program Obat dan Perbekalan Kesehatan</t>
  </si>
  <si>
    <t xml:space="preserve">3.1.1. Pengadaaan Obat dan Perbekalan Kesehatan </t>
  </si>
  <si>
    <t xml:space="preserve">4. DINAS PERUMAHAN RAKYAT DAN KAWASAN PEMUKIMAN </t>
  </si>
  <si>
    <t>4.1.1.Fasilitasi dan stimulasi pembangunan perumahan masyarakat kurang mampu</t>
  </si>
  <si>
    <t>4.1.2.Penataan Kawasan Permukiman</t>
  </si>
  <si>
    <t xml:space="preserve">4.1.3.Fasilitasi dan stimulasi pembangunan perumahan masyarakat kurang mampu </t>
  </si>
  <si>
    <t>4.1.4.Operasional Penyediaan Perumahan</t>
  </si>
  <si>
    <t>4.2. Program Pengembangan Infrastruktur permukiman</t>
  </si>
  <si>
    <t xml:space="preserve">4.2.1. Pembangunan Jalan lingkungan </t>
  </si>
  <si>
    <t>5. BADAN KESATUAN BANGSA DAN POLITIK</t>
  </si>
  <si>
    <t xml:space="preserve">5.1.  Program Pengembangan Wawasan Kebangasaan </t>
  </si>
  <si>
    <t xml:space="preserve">5.1.1.Peningkatan toleransi dan kerukunan dalam kehidupan beragama </t>
  </si>
  <si>
    <t xml:space="preserve">5.1.2.Peningkatan rasa solidaritas dan ikatan sosial dikalangan masyarakat  </t>
  </si>
  <si>
    <t>6. DINAS SOSIAL</t>
  </si>
  <si>
    <t>6.1. Program Pelayanan dan Rehabilitasi Kesejahteraan Sosial</t>
  </si>
  <si>
    <t>6.1.1.Pelatihan keterampilan dan praktek belajar kerja bagi anak terlantar termasuk anak jalanan, anak cacat, dan anak nakal</t>
  </si>
  <si>
    <t>6.2. Program Pemberdayaan Kelembagaan Kesejahteraan Sosial</t>
  </si>
  <si>
    <t>6.2.1.Peningkatan kualitas SDM kesejahteraan sosial masyarakat</t>
  </si>
  <si>
    <t>6.3. Program Pemberdayaan Sosial dan Penangulangan Kemiskinan</t>
  </si>
  <si>
    <t>6.3.1.Penunjang Kegiatan Karang Taruna</t>
  </si>
  <si>
    <t xml:space="preserve">7. BADAN PENANGGULANGAN BENCANA DAERAH </t>
  </si>
  <si>
    <t>7.1. Progam Pembangunan Prasarana Kebencanaan</t>
  </si>
  <si>
    <t xml:space="preserve">7.1.1. Pembangunan Rumah Pasca Bencana  </t>
  </si>
  <si>
    <t>8. DINAS TENAGA KERJA DAN TRANSMIGRASI</t>
  </si>
  <si>
    <t>8.1. Program Peningkatan Kualitas dan Produktivitas Tenaga Kerja</t>
  </si>
  <si>
    <t>8.1.1.Pendidikan dan pelatihan ketrampilan bagi pencari kerja</t>
  </si>
  <si>
    <t>8.2. Program Peningkatan Kesempatan Kerja</t>
  </si>
  <si>
    <t>8.2.1.Pengembangan kelembagaan produktivitas dan pelatihan kewirausahaan</t>
  </si>
  <si>
    <t>8.3. Program pengembangan wilayah transmigrasi</t>
  </si>
  <si>
    <t>8.3.1.Penyediaan dan pengelolaan prasarana dan sarana sosial dan ekonomi di kawasan transmigrasi</t>
  </si>
  <si>
    <t>8.4. Program Transmigrasi lokal</t>
  </si>
  <si>
    <t>8.4.1.Penyuluhan transmigrasi lokal</t>
  </si>
  <si>
    <t>9. DINAS PEMBERDAYAAN PEREMPUAN, PERLINDUNGAN ANAK DAN KELUARGA BERENCANA</t>
  </si>
  <si>
    <t>9.1.1.Pembangunan gedung kantor</t>
  </si>
  <si>
    <t>9.2. Program Penguatan Kelembagaan Pengarusutamaan Gender dan Anak</t>
  </si>
  <si>
    <t>9.2.1.Peningkatan kapasitas dan jaringan kelembagaan pemberdayaan perempuan dan anak</t>
  </si>
  <si>
    <t>9.2.2.Pengembangan Sistem Informasi Gender dan Anak</t>
  </si>
  <si>
    <t xml:space="preserve">9.2.3.Pemenuhan Hak Sipil Anak  </t>
  </si>
  <si>
    <t xml:space="preserve">9.2.4.Perlindungan Khusus Anak (Penyedia layanan PATBM) </t>
  </si>
  <si>
    <t>9.3. Program Peningkatan Kualitas Hidup dan Perlindungan Perempuan</t>
  </si>
  <si>
    <t>9.3.1.Fasilitasi upaya perlindungan perempuan terhadap tindak kekerasan</t>
  </si>
  <si>
    <t>9.3.2.Sosialisasi Undang-undang PKDRT dan Perlindungan Anak</t>
  </si>
  <si>
    <t>9.4. Program peningkatan peran serta dan kesetaraan jender dalam pembangunan</t>
  </si>
  <si>
    <t>9.4.1.Kegiatan bimbingan manajemen usah abagi perempuan dalam mengelola usaha</t>
  </si>
  <si>
    <t>10. DINAS KEPENDUDUKAN DAN PENCATATAN SIPIL</t>
  </si>
  <si>
    <t>10.1. Program Penataan Administrasi Kependudukan</t>
  </si>
  <si>
    <t>10.1.1.Pengolahan dalam penyusunan laporan informasi kependudukan</t>
  </si>
  <si>
    <t xml:space="preserve">10.1.2.Pelayanan Perkawinan Massal  </t>
  </si>
  <si>
    <t>11. DINAS PEMBERDAYAAN MASYARAKAT DAN KAMPUNG</t>
  </si>
  <si>
    <t>11.1. Program Peningkatan Keberdayaan Masyarakat Perdesaan</t>
  </si>
  <si>
    <t>11.1.1.Pemberdayaan Lembaga dan Organisasi Masyarakat Perdesaan</t>
  </si>
  <si>
    <t>11.1.2.Penyelenggaraan Lomba Kampung</t>
  </si>
  <si>
    <t>11.1.3.Survey Kajian &amp; Evaluasi Pemekaran Kampung</t>
  </si>
  <si>
    <t>11.2. Program pengembangan lembaga ekonomi pedesaan</t>
  </si>
  <si>
    <t>11.2.1.Pelatihan ketrampilan usaha industri kerajinan</t>
  </si>
  <si>
    <t>11.2.2.Fasilitasi permodalan bagi usaha mikro kecil dan menengah di perdesaan</t>
  </si>
  <si>
    <t>11.2.3.Fasilitasi kemitraan swasta dan usaha mikro kecil dan menengah di perdesaan</t>
  </si>
  <si>
    <t>11.3. Program peningkatan partisipasi masyarakat dalam membangun desa</t>
  </si>
  <si>
    <t>11.3.1.Pembinaan kelompok masyarakat pembangunan desa</t>
  </si>
  <si>
    <t>11.3.2.Monitoring, evaluasi dan pelaporan</t>
  </si>
  <si>
    <t>12. DINAS PERHUBUNGAN, KELAUTAN DAN PERIKANAN</t>
  </si>
  <si>
    <t>12.1. Program pengembangan perikanan tangkap</t>
  </si>
  <si>
    <t xml:space="preserve">12.1.1.Pengembangan Sarana dan Prasarana Perikanan Tangkap dan Budidaya </t>
  </si>
  <si>
    <t>13. DINAS KEARSIPAN DAN PERPUSTAKAAN</t>
  </si>
  <si>
    <t>13.1. Program Peningkatan Budaya Membaca</t>
  </si>
  <si>
    <t xml:space="preserve">13.1.1.Pembangunan Taman Baca  </t>
  </si>
  <si>
    <t>13.1.2.Lomba Cerita Tingkat Sekolah Dasar</t>
  </si>
  <si>
    <t>14. DINAS PARIWISATA, KEPEMUDAAN DAN OLAHRAGA</t>
  </si>
  <si>
    <t>14.1. Program peningkatan peran serta kepemudaan</t>
  </si>
  <si>
    <t>14.1.1.Monitoring, evaluasi dan pelaporan</t>
  </si>
  <si>
    <t>14.2. Program peningkatan upaya penumbuhan kewirausahaan dan kecakapan hidup pemuda</t>
  </si>
  <si>
    <t>14.2.1.Pelatihan kewirausahaan bagi pemuda</t>
  </si>
  <si>
    <t>14.3. Program Pembinaan dan Pemasyarakatan Olah Raga</t>
  </si>
  <si>
    <t>14.4. Program pengembangan pemasaran pariwisata</t>
  </si>
  <si>
    <t>14.4.1. Pelaksanaan promosi pariwisata nusantara di dalam dan di luar negeri</t>
  </si>
  <si>
    <t>14.5. Program pengembangan destinasi pariwisata</t>
  </si>
  <si>
    <t>14.5.1. Pelatihan Manajemen Kelompok Sadar Wisata Sebagai Aparat Pengelola Retribusi</t>
  </si>
  <si>
    <t>14.6. Program pengembangan Kemitraan</t>
  </si>
  <si>
    <t>14.6.1.Peningkatan peran serta masyarakat dalam pengembangan kemitraan pariwisata</t>
  </si>
  <si>
    <t>14.6.2.Pendataan Kelompok Industri dan Seni dan Budaya dalam Pengembangan Kemitraan Pariwisata</t>
  </si>
  <si>
    <t>15. DINAS PERTANIAN DAN KETAHANAN PANGAN</t>
  </si>
  <si>
    <t>15.1. Program pencegahan dan penanggulangan penyakit ternak</t>
  </si>
  <si>
    <t xml:space="preserve">15.1.1.Pencegahan dan penanggulangan Penyakit Ternak </t>
  </si>
  <si>
    <t>15.1.2.Pencegahan Produk Pangan Asal Hewan</t>
  </si>
  <si>
    <t>15.2. Program peningkatan produksi hasil peternakan</t>
  </si>
  <si>
    <t xml:space="preserve">15.2.1.Pengadaan Ternak Sapi  </t>
  </si>
  <si>
    <t xml:space="preserve">15.2.2.Pengadaan Ternak Babi </t>
  </si>
  <si>
    <t>15.3. Program Pengembangan Agribisnis</t>
  </si>
  <si>
    <t xml:space="preserve">15.3.1.Pengembangan Budi Daya Tanaman Kacang tanah </t>
  </si>
  <si>
    <t>15.4. Program Pengembangan Tanaman Buah-Buahan</t>
  </si>
  <si>
    <t xml:space="preserve">15.4.1.Pengembangan Budi Daya Tanaman Rambutan Okulasi  </t>
  </si>
  <si>
    <t>16. DINAS PERINDUSTRIAN, PERDAGANGAN, KOPERASI, USAHA KECIL DAN MENENGAH</t>
  </si>
  <si>
    <t>16.1. Program Pengembangan Kewirausahaan dan Keunggulan Kompetitif Usaha Kecil Menengah</t>
  </si>
  <si>
    <t>16.1.1.Pelatihan Manajemen Usaha dan Pendidikan Keuangan Keluarga</t>
  </si>
  <si>
    <t>16.2. Program peningkatan kemampuan teknologi industri</t>
  </si>
  <si>
    <t>16.2.1.Pelatihan Pembuatan Batako</t>
  </si>
  <si>
    <t>16.2.2.Pelatihan Keterampilan Salon dan Bantuan Peralatan Bagi Putra-Putri Papua</t>
  </si>
  <si>
    <t>16.2.3.Pelatihan Perbaikan/Service Alat Pendingin (AC, Kulkas, Freaser) dan Bantuan Peserta Bagi Putra Putri  Papua.</t>
  </si>
  <si>
    <t>16.2.4.Pelatihan Keterampilan Bengkel Las dan Bantuan Peralatan Bagi Putra Putri Papua.</t>
  </si>
  <si>
    <t>16.3. Program Peningkatan Kualitas dan Kuantitas Produk Unggulan UKMK</t>
  </si>
  <si>
    <t>16.3.1.Pelatihan Manajemen Usaha Mikro</t>
  </si>
  <si>
    <t>17. BAGIAN KESEJAHTERAAN RAKYAT</t>
  </si>
  <si>
    <t>17.1. Program mengintensifkan penanganan pengaduan masyarakat</t>
  </si>
  <si>
    <t>17.1.1.Pembentukan unit khusus penanganan pengaduan masyarakat</t>
  </si>
  <si>
    <t>18. DISTRIK MANOKWARI BARAT</t>
  </si>
  <si>
    <t>18.1. Program Pemberdayaan Kelembagaan Kesejahteraan Sosial</t>
  </si>
  <si>
    <t xml:space="preserve">18.1.1.Fasilitasi Bantuan Sosial Lembaga Keagamaan  </t>
  </si>
  <si>
    <t>18.2. Program peningkatan peran serta dan kesetaraan jender dalam pembangunan</t>
  </si>
  <si>
    <t>18.2.1.Kegiatan pembinaan organisasi perempuan</t>
  </si>
  <si>
    <t>18.3. Program pengembangan lembaga ekonomi pedesaan</t>
  </si>
  <si>
    <t>18.3.1.Monitoring, evaluasi dan pelaporan</t>
  </si>
  <si>
    <t>18.4. Program peningkatan partisipasi masyarakat dalam membangun desa</t>
  </si>
  <si>
    <t>18.4.1.Pembinaan kelompok masyarakat pembangunan desa</t>
  </si>
  <si>
    <t>18.5. Program peningkatan kapasitas aparatur pemerintah desa</t>
  </si>
  <si>
    <t xml:space="preserve">18.5.1.Pelatihan Aparatur Pemerintah Desa Dalam Bidang Manajemen Pemerintahan Desa </t>
  </si>
  <si>
    <t>18.6. Program peningkatan peran serta kepemudaan</t>
  </si>
  <si>
    <t xml:space="preserve">18.6.1.Fasilitasi Karang Taruna </t>
  </si>
  <si>
    <t>18.7. Program perencanaan pembangunan daerah</t>
  </si>
  <si>
    <t>18.7.1.Penyelenggaraan musrenbang RKPD</t>
  </si>
  <si>
    <t>19. DISTRIK MANOKWARI TIMUR</t>
  </si>
  <si>
    <t>19.1. Program Pendidikan Anak Usia Dini</t>
  </si>
  <si>
    <t>19.1.1.Penyelenggaraan Pendidikan Anak Usia Dini</t>
  </si>
  <si>
    <t>19.2. Program Pemberdayaan Kelembagaan Kesejahteraan Sosial</t>
  </si>
  <si>
    <t xml:space="preserve">19.2.1.Fasilitasi Bantuan Sosial Lembaga Keagamaan </t>
  </si>
  <si>
    <t>19.3. Program peningkatan peran serta dan kesetaraan jender dalam pembangunan</t>
  </si>
  <si>
    <t>19.3.1.Kegiatan pembinaan organisasi perempuan</t>
  </si>
  <si>
    <t>19.4. Program Peningkatan Keberdayaan Masyarakat Perdesaan</t>
  </si>
  <si>
    <t>19.4.1.Pemberdayaan Lembaga dan Organisasi Masyarakat Perdesaan</t>
  </si>
  <si>
    <t>19.5. Program pengembangan lembaga ekonomi pedesaan</t>
  </si>
  <si>
    <t>19.5.1.Fasilitasi permodalan bagi usaha mikro kecil dan menengah di perdesaan</t>
  </si>
  <si>
    <t>19.6. Program peningkatan kapasitas aparatur pemerintah desa</t>
  </si>
  <si>
    <t xml:space="preserve">19.6.1.Monitoring, Evaluasi dan Pelaporan  </t>
  </si>
  <si>
    <t>19.6.2.Pelaksanaan Musyawarah Pembangunan Desa (Musrembang Distrik)</t>
  </si>
  <si>
    <t>20. DISTRIK MANOKWARI UTARA</t>
  </si>
  <si>
    <t>20.1. Program Pendidikan Anak Usia Dini</t>
  </si>
  <si>
    <t>20.1.1.Penyelenggaraan Pendidikan Anak Usia Dini</t>
  </si>
  <si>
    <t>20.2. Program Pemberdayaan Kelembagaan Kesejahteraan Sosial</t>
  </si>
  <si>
    <t xml:space="preserve">20.2.1.Fasilitasi Bantuan Sosial Lembaga Keagamaan  </t>
  </si>
  <si>
    <t>20.3. Program Peningkatan Keberdayaan Masyarakat Perdesaan</t>
  </si>
  <si>
    <t>20.3.1.Pemberdayaan Lembaga dan Organisasi Masyarakat Perdesaan</t>
  </si>
  <si>
    <t>20.4. Program pengembangan lembaga ekonomi pedesaan</t>
  </si>
  <si>
    <t xml:space="preserve">20.4.1.Fasilitasi Permodalan Bagi Kelompok Petani Sayuran </t>
  </si>
  <si>
    <t>20.5. Program peningkatan partisipasi masyarakat dalam membangun desa</t>
  </si>
  <si>
    <t>20.5.1.Pembinaan kelompok masyarakat pembangunan desa</t>
  </si>
  <si>
    <t>20.6. Program peningkatan kapasitas aparatur pemerintah desa</t>
  </si>
  <si>
    <t>20.6.1.Pelatihan aparatur pemerintah desa dalam bidang manajemen pemerintahan desa</t>
  </si>
  <si>
    <t>20.7. Program perencanaan pembangunan daerah</t>
  </si>
  <si>
    <t>20.7.1.Penyelenggaraan musrenbang RKPD</t>
  </si>
  <si>
    <t>21. DISTRIK MANOKWARI SELATAN</t>
  </si>
  <si>
    <t>21.1. Program Pendidikan Anak Usia Dini</t>
  </si>
  <si>
    <t>21.1.1. Penyelenggaraan Pendidikan Anak Usia Dini</t>
  </si>
  <si>
    <t>21.2. Program Pemberdayaan Kelembagaan Kesejahteraan Sosial</t>
  </si>
  <si>
    <t xml:space="preserve">21.2.1. Fasilitasi Bantuan Sosial Lembaga Keagamaan  </t>
  </si>
  <si>
    <t>21.3. Program peningkatan peran serta dan kesetaraan jender dalam pembangunan</t>
  </si>
  <si>
    <t>21.3.1. Kegiatan pembinaan organisasi perempuan</t>
  </si>
  <si>
    <t>21.4. Program peningkatan kapasitas aparatur pemerintah desa</t>
  </si>
  <si>
    <t>21.4.1.Monitoring, evaluasi dan pelaporan</t>
  </si>
  <si>
    <t xml:space="preserve">21.4.2.Pelatihan Aparatur Pemerintah Desa Dalam Bidang Manajemen Pemerintahan Desa </t>
  </si>
  <si>
    <t>21.5. Program peningkatan peran serta kepemudaan</t>
  </si>
  <si>
    <t xml:space="preserve">21.5.1.Fasilitasi Karang Taruna  </t>
  </si>
  <si>
    <t>22. DISTRIK PRAFI</t>
  </si>
  <si>
    <t>22.1. Program Pendidikan Anak Usia Dini</t>
  </si>
  <si>
    <t>22.1.1. Penyelenggaraan Pendidikan Anak Usia Dini</t>
  </si>
  <si>
    <t>22.2. Program peningkatan peran serta dan kesetaraan jender dalam pembangunan</t>
  </si>
  <si>
    <t>22.2.1. Kegiatan pembinaan organisasi perempuan</t>
  </si>
  <si>
    <t>22.3. Program pengembangan lembaga ekonomi pedesaan</t>
  </si>
  <si>
    <t>23.3.1.Monitoring, evaluasi dan pelaporan</t>
  </si>
  <si>
    <t>22.4. Program peningkatan partisipasi masyarakat dalam membangun desa</t>
  </si>
  <si>
    <t>22.4.1.Pemberian stimulan pembangunan desa</t>
  </si>
  <si>
    <t>22.5. Program perencanaan pembangunan daerah</t>
  </si>
  <si>
    <t>22.5.1. Penyelenggaraan musrenbang RKPD</t>
  </si>
  <si>
    <t>23. DISTRIK TANAH RUBUH</t>
  </si>
  <si>
    <t>23.1. Program Pendidikan Anak Usia Dini</t>
  </si>
  <si>
    <t>23.1.1. Penyelenggaraan Pendidikan Anak Usia Dini</t>
  </si>
  <si>
    <t>23.2. Program Pemberdayaan Kelembagaan Kesejahteraan Sosial</t>
  </si>
  <si>
    <t xml:space="preserve">24.2.1. Fasilitasi Bantuan Sosial Lembaga Keagamaan  </t>
  </si>
  <si>
    <t>23.3. Program peningkatan peran serta dan kesetaraan jender dalam pembangunan</t>
  </si>
  <si>
    <t>23.3.1. Kegiatan pembinaan organisasi perempuan</t>
  </si>
  <si>
    <t>23.4. Program Peningkatan Keberdayaan Masyarakat Perdesaan</t>
  </si>
  <si>
    <t>23.4.1.Pemberdayaan Lembaga dan Organisasi Masyarakat Perdesaan</t>
  </si>
  <si>
    <t>23.5. Program pengembangan lembaga ekonomi pedesaan</t>
  </si>
  <si>
    <t xml:space="preserve">23.5.1.Fasilitasi Permodalan Bagi Kelompok Petani Sayuran </t>
  </si>
  <si>
    <t>23.6. Program peningkatan partisipasi masyarakat dalam membangun desa</t>
  </si>
  <si>
    <t>23.6.1.Pembinaan Kelompok Masyarakat Pembangunan Desa</t>
  </si>
  <si>
    <t>23.7. Program peningkatan kapasitas aparatur pemerintah desa</t>
  </si>
  <si>
    <t xml:space="preserve">23.7.1.Pelatihan Aparatur Pemerintah Desa Dalam Bidang Manajemen Pemerintahan Desa </t>
  </si>
  <si>
    <t>23.8. Program perencanaan pembangunan daerah</t>
  </si>
  <si>
    <t>23.8.1.Penyelenggaraan musrenbang RKPD</t>
  </si>
  <si>
    <t>24. DISTRIK WARMARE</t>
  </si>
  <si>
    <t>24.1. Program Pendidikan Anak Usia Dini</t>
  </si>
  <si>
    <t>24.1.1. Perencanaan dan penyusunan program Pendidikan Anak Usia Dini</t>
  </si>
  <si>
    <t>24.2. Program Pemberdayaan Kelembagaan Kesejahteraan Sosial</t>
  </si>
  <si>
    <t>24.3. Program peningkatan peran serta dan kesetaraan jender dalam pembangunan</t>
  </si>
  <si>
    <t>24.3.1. Kegiatan pembinaan organisasi perempuan</t>
  </si>
  <si>
    <t>24.4. Program Peningkatan Keberdayaan Masyarakat Perdesaan</t>
  </si>
  <si>
    <t>25.4.1. Pemberdayaan Lembaga dan Organisasi Masyarakat Perdesaan</t>
  </si>
  <si>
    <t>24.5. Program peningkatan partisipasi masyarakat dalam membangun desa</t>
  </si>
  <si>
    <t>24.5.1.Pembinaan kelompok masyarakat pembangunan desa</t>
  </si>
  <si>
    <t>24.6. Program peningkatan kapasitas aparatur pemerintah desa</t>
  </si>
  <si>
    <t>24.6.1.Pelatihan aparatur pemerintah desa dalam bidang manajemen pemerintahan desa</t>
  </si>
  <si>
    <t>24.6.2.Monitoring, evaluasi dan pelaporan</t>
  </si>
  <si>
    <t>24.7. Program perencanaan pembangunan daerah</t>
  </si>
  <si>
    <t>24.7.1. Penyelenggaraan musrenbang RKPD</t>
  </si>
  <si>
    <t>25. BADAN PENDAPATAN PENGELOLA KEUANGAN DAN ASET DAERAH</t>
  </si>
  <si>
    <t>25.1. Non Program</t>
  </si>
  <si>
    <t>25.1.1.Belanja Bantuan Sosial Pendidikan Kepada Anggota Masyarakat</t>
  </si>
  <si>
    <t>25.1.2.Belanja Hibah kepada Badan/Lembaga/Organisasi Keagamaan</t>
  </si>
  <si>
    <t>26. BADAN KEPEGAWAIAN, PENDIDIKAN DAN PELATIHAN</t>
  </si>
  <si>
    <t>26.1. Program Peningkatan Kapasitas Sumber Daya Aparatur</t>
  </si>
  <si>
    <t>26.1.1.Pendidikan dan pelatihan formal</t>
  </si>
  <si>
    <t>26.2. Program Pembinaan dan Pengembangan Aparatur</t>
  </si>
  <si>
    <t>26.2.1.Pemberian Bantuan Penyelenggaraan Penerimaan Praja IPDN</t>
  </si>
  <si>
    <t>26.2.2.Penyediaan Beasiswa Dokter Spesialis</t>
  </si>
  <si>
    <t>III. KABUPATEN FAKFAK</t>
  </si>
  <si>
    <t>1. DINAS PENDIDIKAN</t>
  </si>
  <si>
    <t>1.1.1. Rehabilitasi Sedang / Berat Gedung Kantor</t>
  </si>
  <si>
    <t>1.2. Program Pendidikan Anak usia Dini</t>
  </si>
  <si>
    <t>1.2.1. Pelatihan Kompetensi Tenaga Pendidik</t>
  </si>
  <si>
    <t>1.2.2. Penyelenggaan Pendidikan Anak Usia Dini</t>
  </si>
  <si>
    <t>1.2.3. Pengembangan Data dan Informasi Pendidikan Anak Usia Dini</t>
  </si>
  <si>
    <t>1.2.4. Pengembangan Kurikulum, Bahan Ajar dan Model Pembelajaran Pendidikan Anak Usia Dini</t>
  </si>
  <si>
    <t>1.2.5. Publikasi dan Sosialisasi Pendidikan Anak Usia Dini</t>
  </si>
  <si>
    <t>1.2.6. Bimbingan Teknis Operator Scanner Lembar Kerja Komputer (LJK) Paket A, Paket B dan Paket C</t>
  </si>
  <si>
    <t>1.2.7. Pelatihan Managemen Pengelolaan Lembaga Satuan Pendidikan PAUD dan PNF Bekerjasama dengan Lembaga Kursus Komputer</t>
  </si>
  <si>
    <t>1.2.8. Pendidikan dan Kecakapan Kerja Kursus / Pelatihan Komputer Bagi Masyarakat Bekerjasama dengan Lembaga Kursus Komputer</t>
  </si>
  <si>
    <t>1.2.9. Sosialisasi dan Bimtek Akreditasi PAUD dan PNF dalam rangka SPM PAUD</t>
  </si>
  <si>
    <t>1.2.10.Pendampingan dan Verifikasi Akreditasi PAUD dan PNF</t>
  </si>
  <si>
    <t>1.2.11.Bimbingan Keaksaraan Usaha Mandiri (KUM)</t>
  </si>
  <si>
    <t>1.2.12.Workshop Peningkatan Kreatifitas Pendidik PAUD dan APE</t>
  </si>
  <si>
    <t>1.2.13.Workshop Penguatan Karakter Bagi Pendidik PAUD</t>
  </si>
  <si>
    <t>1.2.14.Penyelenggaraan PORSENI bagi Peserta Didik PAUD</t>
  </si>
  <si>
    <t>1.2.15.Penguatan Kualitas Kelembagaan Pengelola PKBM dalam Rangka Pelaksanaan SPM PKBM</t>
  </si>
  <si>
    <t>1.3.1. Pembangunan Rumah Dinas Kepala Sekolah, Guru, Penjaga Sekolah</t>
  </si>
  <si>
    <t>1.3.2. Penambahan Ruang Kelas Sekolah</t>
  </si>
  <si>
    <t>1.3.3. Penambahan Ruang Guru Sekolah</t>
  </si>
  <si>
    <t>1.3.4. Pembangunan Taman, Lapangan Upacara dan Fasilitas Parkir</t>
  </si>
  <si>
    <t>1.3.6. Pengadaan Sarana Mobilitas Sekolah</t>
  </si>
  <si>
    <t>1.3.7. Penyelenggaraan Paket A setara SD</t>
  </si>
  <si>
    <t>1.3.8. Penyelenggaraan Paket B setara SMP</t>
  </si>
  <si>
    <t>1.3.15.Lomba Olimpiade Sains IPA dan Matematika Tingkat SD</t>
  </si>
  <si>
    <t>1.3.16.Penyelenggaraan Pembinaan dan Lomba Olimpiade Sains Nasional Tingkat SMP</t>
  </si>
  <si>
    <t>1.3.17.Pelatihan Penyusunan Kurikulum</t>
  </si>
  <si>
    <t>1.4. Program Pendidikan Menengah</t>
  </si>
  <si>
    <t>1.4.1. Penyelenggaraan Paket C setara SMU</t>
  </si>
  <si>
    <t>1.4.2. Penyelenggaraan Akreditasi Sekolah Menengah</t>
  </si>
  <si>
    <t xml:space="preserve">1.4.4. Pendidikan Lanjut Tingkat SMA Bagi Putra - Putri Papua Berprestasi  </t>
  </si>
  <si>
    <t>1.4.5. Monitoring, Evaluasi dan Pelaporan Afirmasi ADIK dan ADEM</t>
  </si>
  <si>
    <t>1.5. Program Pendidikan Non Formal</t>
  </si>
  <si>
    <t>1.5.1. Penyediaan Sarana dan Prasarana Pendidikan Non Formal</t>
  </si>
  <si>
    <t>1.5.2. Pengembangan Data dan Informasi Pendidikan Non Formal</t>
  </si>
  <si>
    <t>1.5.3. Pengembangan Kurikulum, Bahan Ajar dan Model Pembelajaran Pendidikan Non Formal</t>
  </si>
  <si>
    <t>1.6. Program Peningkatan Mutu Pendidik dan Tenaga Kependidikan</t>
  </si>
  <si>
    <t>1.6.1. Pelaksanaan Uji Kompetensi Pendidik dan Tenaga Kependidikan</t>
  </si>
  <si>
    <t>1.6.2. Pengembangan Sistem Penghargaan dan Perlindungan Terhadap Profesi Pendidik</t>
  </si>
  <si>
    <t>1.7. Program Manajemen Pelayanan Pendidikan</t>
  </si>
  <si>
    <t>1.8. Program Pengembangan Kebijakan dan Manajemen Olah Raga</t>
  </si>
  <si>
    <t>1.8.1. Pengembangan Sistem Sertifikasi dan Standarisasi Profesi</t>
  </si>
  <si>
    <t>1.9. Program Pembinaan dan Pemasyarakatan Olah Raga</t>
  </si>
  <si>
    <t>1.9.1. Mengikuti Kompetesi LSP</t>
  </si>
  <si>
    <t>2.1. Program Peningkatan Sarana dan Prasarana Aparatur</t>
  </si>
  <si>
    <t>2.1.1. Pengadaan Perlengkapan Gedung Kantor</t>
  </si>
  <si>
    <t>2.1.2. Rehabilitasi Sedang / Berat Rumah Dinas</t>
  </si>
  <si>
    <t>2.2. Program Peningkatan Kapasitas Sumber Daya Aparatur</t>
  </si>
  <si>
    <t>2.2.1. Pendidikan dan Pelatihan Formal</t>
  </si>
  <si>
    <t>2.3. Program Obat dan Perbekalan Kesehatan</t>
  </si>
  <si>
    <t>2.3.1. Pengadaan Obat dan Perbekalan Kesehatan</t>
  </si>
  <si>
    <t>2.4. Program Upaya Kesehatan Masyarakat</t>
  </si>
  <si>
    <t>2.4.1. Revatalisasi Sistem Kesehatan</t>
  </si>
  <si>
    <t>2.4.2. Monitoring, Evaluasi dan Pelaporan</t>
  </si>
  <si>
    <t>2.4.3. Penyediaan Biaya Operasional dan Pemeliharaan</t>
  </si>
  <si>
    <t>2.4.4. Penyediaan Biaya Operasional Puskesmas Fakfak Kota</t>
  </si>
  <si>
    <t>2.4.5. Penyediaan Biaya Operasional Puskesmas Fakfak Tengah</t>
  </si>
  <si>
    <t>2.4.6. Penyediaan Biaya Operasional Puskesmas Sekban</t>
  </si>
  <si>
    <t xml:space="preserve">2.4.7. Penyediaan Biaya Operasional Puskesmas Weri </t>
  </si>
  <si>
    <t xml:space="preserve">2.4.8. Penyediaan Biaya Operasional Puskesmas Karas </t>
  </si>
  <si>
    <t>2.4.9. Penyediaan Biaya Operasional Puskesmas Werba</t>
  </si>
  <si>
    <t>2.4.10.Penyediaan Biaya Operasional Puskesmas Kramongmongga</t>
  </si>
  <si>
    <t>2.4.11.Penyediaan Biaya Operasional Puskesmas Degen</t>
  </si>
  <si>
    <t>2.4.12.Penyediaan Biaya Operasional Puskesmas Kokas</t>
  </si>
  <si>
    <t>2.4.13.Penyediaan Biaya Operasional Puskesmas Bomberay</t>
  </si>
  <si>
    <t>2.5. Program Pengawasan Obat dan Makanan</t>
  </si>
  <si>
    <t>2.5.1. Peningkatan Penyidikan dan Penegakan Hukum di Bidang Obat dan Makanan</t>
  </si>
  <si>
    <t>2.6. Program Pengembangan Obat Asli Indonesia</t>
  </si>
  <si>
    <t>2.6.1. Pengembangan Standarisasi Tanaman Obat Bahan Alam Indonesia</t>
  </si>
  <si>
    <t>2.7. Program Promosi Kesehatan dan Pemberdayaan Masyarakat</t>
  </si>
  <si>
    <t>2.7.1. Pengembangan Media Promosi dan Informasi Sadar Hidup Sehat</t>
  </si>
  <si>
    <t>2.7.2. Penyuluhan Masyarakat Pola Hidup Sehat</t>
  </si>
  <si>
    <t>2.7.3. Peningkatan Pemanfaatan Sarana Kesehatan</t>
  </si>
  <si>
    <t>2.8. Program Perbaikan Gizi Masyarakat</t>
  </si>
  <si>
    <t>2.8.1. Penanggulangan Kurang Energi Protein (KEP), Anemia Gizi Besi, Gangguan Akibat Kurang Yodium (GAKY), Kurang Vitamin A, dan Kekurangan Zat Gizi Mikro Lainnya</t>
  </si>
  <si>
    <t>2.8.2. Monitoring, Evaluasi dan Pelaporan</t>
  </si>
  <si>
    <t>2.9. Program Pengembangan Lingkungan Sehat</t>
  </si>
  <si>
    <t>2.9.1. Pengkajian Pengembangan Lingkungan Sehat</t>
  </si>
  <si>
    <t>2.10. Program Pencegahan dan Penanggulangan Penyakit Menular</t>
  </si>
  <si>
    <t>2.10.1. Penyemprotan / Fogging Sarang Nyamuk</t>
  </si>
  <si>
    <t>2.10.2. Pelayanan Pencegahan dan Penanggulangan Penyakit Menular</t>
  </si>
  <si>
    <t>2.10.3. Peningkatan Imunisasi</t>
  </si>
  <si>
    <t>2.10.4. Peningkatan Survellance Epidemiologi an Penanggulangan Wabah</t>
  </si>
  <si>
    <t>2.10.5. Monitoring, Evaluasi dan Pelaporan</t>
  </si>
  <si>
    <t>2.11. Program Standarisasi Pelayanan Kesehatan</t>
  </si>
  <si>
    <t>2.11.1. Penyusunan Standar Pelayanan Kesehatan</t>
  </si>
  <si>
    <t>2.11.2. Evaluasi dan Pengembangan Standar Pelayanan Kesehatan</t>
  </si>
  <si>
    <t>2.11.3. Pembangunan dan Pemutakhiran Data Dasar Standar Pelayanan Kesehatan</t>
  </si>
  <si>
    <t>2.12. Program Pelayanan Kesehatan Penduduk Miskin</t>
  </si>
  <si>
    <t>2.12.1. Pelayanan Kesehatan Masyarakat</t>
  </si>
  <si>
    <t>2.13. Program Pengadaan, Peningkatan dan Perbaikan Sarana dan Prasarana Puskesmas / Puskesmas Pembantu dan Jaringannya</t>
  </si>
  <si>
    <t>2.13.1. Pengadaan Sarana dan prasarana Puskesmas</t>
  </si>
  <si>
    <t>2.13.2. Rehabilitasi Sedang / Berat Puskesmas Pembantu</t>
  </si>
  <si>
    <t>2.13.3. Monitoring, Evaluasi dan Pelaporan</t>
  </si>
  <si>
    <t>2.13.4. Pengadaan Sarana dan prasarana Puskesmas</t>
  </si>
  <si>
    <t>2.14. Program Peningkatan Pelayanan Kesehatan Lansia</t>
  </si>
  <si>
    <t>2.14.1. Monitoring, Evaluasi dan Pelaporan</t>
  </si>
  <si>
    <t>2.15. Program Peningkatan Keselamatan Ibu Melahirkan dan Anak</t>
  </si>
  <si>
    <t>2.15.1. Perawatan Secara Berkala Bagi Ibu Hamil Bagi Keluarga Kurang Mampu</t>
  </si>
  <si>
    <t>3. UPT RSUD</t>
  </si>
  <si>
    <t>3.1. Program Peningkatan Disiplin Aparatur</t>
  </si>
  <si>
    <t>3.1.1. Pengadaan Pakaian Kerja Lapangan</t>
  </si>
  <si>
    <t>3.2. Program Pelayanan Kesehatan Penduduk Miskin</t>
  </si>
  <si>
    <t xml:space="preserve">3.2.1. Pelayanan Kesehatan Masyarakat  </t>
  </si>
  <si>
    <t>4. DINAS PEKERJAAN UMUM, PENATAAN RUANG, PERUMAHAN RAKYAT DAN KAWASAN PERMUKIMAN</t>
  </si>
  <si>
    <t>4.1. Program Manajemen Pelayanan Pendidikan</t>
  </si>
  <si>
    <t>4.1.2. Penyediaan Sarana dan Prasarana Asrama</t>
  </si>
  <si>
    <t>4.2. Program Pembangunan Turap / Talud Bronjol</t>
  </si>
  <si>
    <t>4.2.1. Pembangunan Turap / Talud Bronjol</t>
  </si>
  <si>
    <t>4.3. Program rehabilitasi/pemeliharaan jalan dan jembatan</t>
  </si>
  <si>
    <t xml:space="preserve">4.3.1. Rehabilitasi/Pemeliharaan Jalan </t>
  </si>
  <si>
    <t>4.4. Program Pengembangan Perumahan</t>
  </si>
  <si>
    <t>4.4.1. Pembangunan Fasilitas Umum dan Fasilitas Sosial Keagamaan</t>
  </si>
  <si>
    <t>4.5. Program Pengelolaan Areal Pemakaman</t>
  </si>
  <si>
    <t>4.5.1. Pembangunan Sarana dan Prasarana Pemakaman</t>
  </si>
  <si>
    <t>5.1. Program Peningkatan dan Kenyamanan Lingkungan</t>
  </si>
  <si>
    <t>5.1.1. Pengendalian Keamanan Lingkungan</t>
  </si>
  <si>
    <t>5.2. Program Pengembangan Wawasan Kebangsaan</t>
  </si>
  <si>
    <t>5.2.1. Peningkatan Toleransi dan Kerukunan Dalam Kehidupan Beragama</t>
  </si>
  <si>
    <t>5.2.2. Peningkatan Kesadaran Masyarakat akan Nilai-Nilai Luhur Budaya Bangsa</t>
  </si>
  <si>
    <t>5.3. Program Peningkatan Pemberantasan Penyakit Masyarakat (Pekat)</t>
  </si>
  <si>
    <t>5.3.1. Penyuluhan Pencegahan Peredaran / Penggunaan Minuman Keras dan Narkoba</t>
  </si>
  <si>
    <t>5.4. Program Pendidikan Politik Masyarakat</t>
  </si>
  <si>
    <t>5.4.1. Penyuluhan Kepada Masyarakat</t>
  </si>
  <si>
    <t>6. SATUAN POLISI PAMONG PRAJA</t>
  </si>
  <si>
    <t>6.1. Program Pemberdayaan Masyarakat Untuk Menjaga Ketertiban dan Keamanan</t>
  </si>
  <si>
    <t>6.1.1. Pembentukan Satuan Keamanan Lingkungan di Masyarakat</t>
  </si>
  <si>
    <t>7.1. Program Upaya Kesehatan Masyarakat</t>
  </si>
  <si>
    <t>7.1.1. Pemeliharaan dan Pemulihan Kesehatan</t>
  </si>
  <si>
    <t>7.2. Program Pengembangan Perumahan</t>
  </si>
  <si>
    <t>7.2.1. Pembangunan Sarana dan Prasarana Rumah Sederhana Sehat</t>
  </si>
  <si>
    <t>7.3. Program Pemberdayaan Fakir Miskin, Komunitas Adat Terpencil (KAT) &amp; Penyandang Masalah Kesejahteraan Sosial (PMKS) Lainnya</t>
  </si>
  <si>
    <t>7.3.1. Peningkatan Kemampuan (Capacity Building) Petugas dan Pendamping Sosial Pemberdayaan Fakir Miskin , KAT dan PMKS Lainnya</t>
  </si>
  <si>
    <t>7.3.2. Pelatihan Keterampilan Bagi Penyandang Masalah Kesejahteraan Sosial</t>
  </si>
  <si>
    <t>7.4. Program Pelayanan Dan Rehabilitasi Kesejahteraan Sosial</t>
  </si>
  <si>
    <t>7.4.1. Pelayanan &amp; Perlindungan Sosial,Hukum bagi Korban Eksploitasi,Perdagangan Perempuan &amp; Anak</t>
  </si>
  <si>
    <t>7.4.2. Peningkatan Kualitas Pelayanan, Sarana, dan Prasarana Rehabilitasi Kesejahteraan Sosial Bagi PMKS</t>
  </si>
  <si>
    <t>7.5. Program Pembinaan Para Penyandang Cacat dan Trauma</t>
  </si>
  <si>
    <t>7.5.1. Pendidikan dan Pelatihan Bagi Penyandang Cacat dan Eks Trauma</t>
  </si>
  <si>
    <t>7.6. Program Pembinaan Panti Asuhan / Panti Jompo</t>
  </si>
  <si>
    <t>7.6.1. Monitoring, Evaluasi dan Pelaporan</t>
  </si>
  <si>
    <t>7.7. Program Pembinaan Eks Penyandang Penyakit Sosial (Eks Narapidana, PSK, Narkoba dan Penyakit Sosial Lainnya)</t>
  </si>
  <si>
    <t>7.7.1. Pemantauan Kemajuan Perubahan Sikap Mental Eks Penyandang Penyakit Sosial</t>
  </si>
  <si>
    <t>8. BADAN PENANGGULANGAN BENCANA DAERAH</t>
  </si>
  <si>
    <t>8.1. Program Pembangunan Turap/Talud/Bronjol</t>
  </si>
  <si>
    <t>8.1.1. Pembangunan Turap/Talud/Bronjol</t>
  </si>
  <si>
    <t>8.2. Program Pencegahan Dini dan Penanggulangan Korban Bencana Alam</t>
  </si>
  <si>
    <t>8.2.1. Pemantauan dan Penyebarluasan Informasi Potensi Bencana Alam</t>
  </si>
  <si>
    <t>8.3. Program Pelayanan Administrasi Perkantoran</t>
  </si>
  <si>
    <t>8.4. Program Peningkatan Kapasitas Sumber Daya Aparatur</t>
  </si>
  <si>
    <t>8.4.1. Sosialisasi Peraturan Perundang-undangan</t>
  </si>
  <si>
    <t>8.5. Program Perencanaan Pembangunan Daerah Rawan Bencana</t>
  </si>
  <si>
    <t>8.5.1. Pembangunan Daerah Rawan Bencana</t>
  </si>
  <si>
    <t>9. DINAS PEMBERDAYAAN PEREMPUAN, PERLINDUNGAN ANAK, PENGENDALIAN PENDUDUK DAN KELUARGA BERENCANA</t>
  </si>
  <si>
    <t>9.1. Program Keserasian Kebijakan Peningkatan Kualitas Anak dan Perempuan</t>
  </si>
  <si>
    <t>9.1.1. Perumusan Kebijakan Peningkatan Kualitas Hidup Perempuan Di Bidang Ilmu Pengetahuan &amp; Teknologi</t>
  </si>
  <si>
    <t xml:space="preserve">9.1.2. Pelaksanaan sosialisasi yang terkait dengan kesetaraan gender, pemberdayaan perempuan dan perlindungan anak  </t>
  </si>
  <si>
    <t xml:space="preserve">9.1.3. Pengembangan Forum Anak Daerah  </t>
  </si>
  <si>
    <t>9.1.4. Penguatan Kelembagaan Forum Anak Daerah</t>
  </si>
  <si>
    <t xml:space="preserve">9.1.5. Tata Cara Penanganan Kekerasan Terhadap Perempuan dan Anak  </t>
  </si>
  <si>
    <t>9.1.6. Pelaksanaan Sosialisasi Perlindungan &amp; Pemenuhan Hak Anak</t>
  </si>
  <si>
    <t>9.1.7. Pembinaan Usaha Kelompok Perempuan</t>
  </si>
  <si>
    <t>9.2.1. Pengembangan materi dan pelaksanaan KIE tentang kesetaraan dan keadilan gender (KKG)</t>
  </si>
  <si>
    <t>9.3.1. Sosialisasi dan Advokasi Kebijakan Penghapusan Buta Aksara Perempuan (PBAP)</t>
  </si>
  <si>
    <t>9.4. Program Peningkatan Peran Serta dan Kesetaraan Jender Dalam Pembangunan</t>
  </si>
  <si>
    <t>9.4.1. Kegiatan Pembinaan Organisasi Perempuan</t>
  </si>
  <si>
    <t>9.4.2. Kegiatan Penyuluhan Bagi Ibu Rumah Tangga Dalam Membangun Keluarga Sejahtera</t>
  </si>
  <si>
    <t>9.4.3. Kegiatan bimbingan manajemen usah abagi perempuan dalam mengelola usaha</t>
  </si>
  <si>
    <t>9.5. Program Keluarga Berencana</t>
  </si>
  <si>
    <t>9.5.1. Pelayanan KIE</t>
  </si>
  <si>
    <t>9.6. Program Kesehatan Reproduksi Remaja</t>
  </si>
  <si>
    <t>9.6.1. Advokasi dan KIE tentang Kesehatan Reproduksi Remaja (KRR)</t>
  </si>
  <si>
    <t>9.7. Program Pelayanan Kontrasepsi</t>
  </si>
  <si>
    <t>9.7.1. Pelayanan Konseling KB</t>
  </si>
  <si>
    <t>9.8. Program Pembinaan Peran Serta Masyarakat Dalam Pelayanan KB / KR Yang Mandiri</t>
  </si>
  <si>
    <t>9.8.1. Fasilitasi Pembentukan Kelompok Masyarakat Peduli KB</t>
  </si>
  <si>
    <t>9.9. Program Promosi Kesehatan Ibu, Bayi dan Anak Melalui Kelompok Kegiatan di Masyarakat</t>
  </si>
  <si>
    <t>9.9.1. Penyuluhan Kesehatan Ibu, Bayi dan Anak melalui Kelompok di Masyarakat</t>
  </si>
  <si>
    <t xml:space="preserve"> </t>
  </si>
  <si>
    <t>9.10. Program Peningkatan Penanggulangan Narkoba, PMS termasuk HIV/AIDS</t>
  </si>
  <si>
    <t>9.10.1. Penyuluhan penanggulangan narkoba dan PMS di sekolah</t>
  </si>
  <si>
    <t>9.11. Program Pengembangan Bahan Informasi Tentang Pengasuhan dan Pembinaan Tumbuh Kembang Anak</t>
  </si>
  <si>
    <t>9.11.1. Pengumpulan Bahan Informasi Tentang Pengasuhan dan Pembinaan Tumbuh Kembang Anak</t>
  </si>
  <si>
    <t>9.12. Program Penyiapan Tenaga Pedamping Kelompok Bina Keluarga</t>
  </si>
  <si>
    <t>9.12.1. Pelatihan tenaga pedamping kelompok bina keluarga di kecamatan</t>
  </si>
  <si>
    <t xml:space="preserve">10. DINAS LINGKUNGAN HIDUP DAN PERTANAHAN </t>
  </si>
  <si>
    <t>10.1. Program Pengembangan Kinerja Pengelolaan Persampahan</t>
  </si>
  <si>
    <t>10.1.1. Penyediaan Prasarana dan Sarana Pengelolaan Persampahan</t>
  </si>
  <si>
    <t>10.2. Program Pengendalian Pencemaran dan Perusakan Lingkungan Hidup</t>
  </si>
  <si>
    <t>10.2.2. Penyusunan Kebijakan Pengendalian Pencemaran dan Perusakan Lingkungan Hidup</t>
  </si>
  <si>
    <t>10.3. Program Perlindungan dan Konservasi Sumber Daya Alam</t>
  </si>
  <si>
    <t>10.3.1. Pengendalian Kerusakan Hutan dan Lahan</t>
  </si>
  <si>
    <t>10.4. Program Peningkatan Kualitas dan Akses Informasi Sumber Daya Alam dan Lingkungan Hidup</t>
  </si>
  <si>
    <t>10.4.1. Peningkatan Edukasi dan Komunikasi Masyarakat Di Bidang Lingkungan</t>
  </si>
  <si>
    <t>10.5. Program pengelolaan dan rehabilitasi ekosistem pesisir dan laut</t>
  </si>
  <si>
    <t xml:space="preserve">10.5.1. Pengelolaan dan rehabilitasi ekosistem pesisir dan laut </t>
  </si>
  <si>
    <t>11. DINAS KEPENDUDUKAN DAN PENCATATAN SIPIL</t>
  </si>
  <si>
    <t>11.1. Penataan Administrasi Kependudukan</t>
  </si>
  <si>
    <t>11.1.1. Peningkatan Pelayanan Publik dalam Bidang Kependudukan</t>
  </si>
  <si>
    <t>11.1.2. Sosialisasi Kebijakan Kependudukan</t>
  </si>
  <si>
    <t>12. DINAS PEMBERDAYAAN MASYARAKAT DAN KAMPUNG</t>
  </si>
  <si>
    <t>12.1. Program Peningkatan Keberdayaan Masyarakat Perdesaan</t>
  </si>
  <si>
    <t>12.1.1. Penyelenggaraan Pendidikan dan Pelatihan Tenaga Teknis dan Masyarakat</t>
  </si>
  <si>
    <t>12.1.2. Pelaksanaan Lomba Kampung / Keluarahan</t>
  </si>
  <si>
    <t>12.2. Program Pengembangan Lembaga Ekonomi Pedesaan</t>
  </si>
  <si>
    <t>12.2.1. Pelatihan Ketrampilan Manajemen Badan Usaha Milik Desa</t>
  </si>
  <si>
    <t>12.2.2. Monitoring, Evaluasi dan Pelaporan</t>
  </si>
  <si>
    <t>12.3. Program Peningkatan Partisipasi Masyarakat dalam Membangun Desa</t>
  </si>
  <si>
    <t>12.3.1. Pembinaan Kelompok Masyarakat Pembangunan Desa</t>
  </si>
  <si>
    <t>12.3.2. Pencanangan Bulan Bahkti Gotong Royong</t>
  </si>
  <si>
    <t>12.4. Program Peningkatan Kapasitas Aparatur Pemerintah Desa</t>
  </si>
  <si>
    <t>12.4.1. Pelatihan Aparatur Pemerintah Desa Dalam Bidang Manajemen Pemerintahan Desa</t>
  </si>
  <si>
    <t>12.4.2. Monitoring, Evaluasi dan Pelaporan</t>
  </si>
  <si>
    <t>12.5. Program Pembinaan Dan Fasilitasi Pengelolaan Keuangan Desa</t>
  </si>
  <si>
    <t>12.5.1. Pelatihan Aparatur Pemerintah Desa dalam bidang Pengelolaan Keuangan Kampung</t>
  </si>
  <si>
    <t>13. DINAS PERHUBUNGAN</t>
  </si>
  <si>
    <t>13.1. Program Peningkatan Sarana dan Prasarana Aparatur</t>
  </si>
  <si>
    <t>13.1.1. Rehabilitasi Sedang / Berat Gedung Kantor</t>
  </si>
  <si>
    <t>13.2. Program Pembangunan Prasarana dan Fasilitas Perhubungan</t>
  </si>
  <si>
    <t>13.2.1. Perencanaan Pembangunan Prasarana dan Fasilitas Perhubungan</t>
  </si>
  <si>
    <t>13.3. Program Pengendalian dan Pengamanan Lalu Lintas</t>
  </si>
  <si>
    <t>13.3.1. Pengadaan Rambu - Rambu Lalu Lintas</t>
  </si>
  <si>
    <t xml:space="preserve">13.3.2. Pengadaan Pagar Pengaman Jalan  </t>
  </si>
  <si>
    <t>14. DINAS KOPERASI, USAHA KECIL DAN MENENGAH</t>
  </si>
  <si>
    <t>14.1. Program Penciptaan Iklim Usaha Usaha Kecil Menengah Yang Konduksif</t>
  </si>
  <si>
    <t>14.1.1. Fasilitasi Pengembangan Usaha Kecil Menengah</t>
  </si>
  <si>
    <t>14.2. Program Pengembangan Kewirausahaan dan Keunggulan Kompetatif Usaha Kecil dan Menengah</t>
  </si>
  <si>
    <t>14.2.1. Memfasilitasi Peningkatan Kemitraan Usaha Bagi Usaha Mikro Kecil Menengah</t>
  </si>
  <si>
    <t>14.2.2. Penyelenggaraan Pelatihan Kewirausahaan</t>
  </si>
  <si>
    <t>14.2.3. Pelatihan Manajemen Pengelolaan Koperasi/KUD</t>
  </si>
  <si>
    <t>14.3. Program Pengembangan Sistem Pendukung Usaha Bagi Usaha Mikro Kecil Menengah</t>
  </si>
  <si>
    <t>14.3.1. Penyelenggaraan Promosi Produk Usaha Mikro Kecil Menengah</t>
  </si>
  <si>
    <t>14.4. Program Peningkatan Kualitas Kelembagaan Koperasi</t>
  </si>
  <si>
    <t>14.4.1. Pembinaan, Pengawasan dan Penghargaan Koperasi Berprestasi</t>
  </si>
  <si>
    <t>15. DINAS KEARSIPAN DAN PERPUSTAKAAN</t>
  </si>
  <si>
    <t>15.1. Program Pengembangan Budaya Baca dan Pembinaan Perpustakaan</t>
  </si>
  <si>
    <t>15.1.1. Pemasyarakatan Minat dan Kebiasaan Membaca Untuk Mendorang Terwujudnya Masyarakat Pembelajar</t>
  </si>
  <si>
    <t>15.1.2. Penyedian Bantuan Pengembangan Perpustakaan dan Minat Baca di Daerah</t>
  </si>
  <si>
    <t>15.1.3. Publikasi dan Sosialisasi Minat dan Budaya Baca</t>
  </si>
  <si>
    <t>15.2. Program Kemitraan Pengembangan Wawasan Kebangsaan</t>
  </si>
  <si>
    <t>15.2.1. Pentas Seni dan Budaya, Festifal, Lomba Cipta Dalam Upaya Peningkatan Wawasan Kebangsaan</t>
  </si>
  <si>
    <t>15.3. Program Peningkatan Kualitas Pelayanan Informasi</t>
  </si>
  <si>
    <t>15.3.1. Penyediaan Sarana Layanan Informasi Arsip</t>
  </si>
  <si>
    <t>16. DINAS PERIKANAN DAN KELAUTAN</t>
  </si>
  <si>
    <t>16.1. Program Peningkatan Sarana dan Prasarana Aparatur</t>
  </si>
  <si>
    <t>16.1.1. Pembangunan Rumah Dinas</t>
  </si>
  <si>
    <t>16.2. Program Pemberdayaan Ekonomi Masyarakat Pesisir</t>
  </si>
  <si>
    <t>16.2.1. Pendampingan Program Pengembangan Usaha Mina Pedesaan (PUMP)</t>
  </si>
  <si>
    <t>16.3. Program Pemberdayaan Masyarakat Dalam Pengawasan dan Pengendalian Sumber Daya Kelautan</t>
  </si>
  <si>
    <t>16.3.1. Patroli Laut</t>
  </si>
  <si>
    <t>16.4. Program Peningkatan Kesadaran dan Penegakan Hukum Dalam Pendayagunaan Sumber Daya Laut</t>
  </si>
  <si>
    <t>16.4.1. Promosi dan Informasi Pendayagunaan Potensi Sumber Daya Laut</t>
  </si>
  <si>
    <t>16.5. Program Pengembangan Budi Daya Perikanan</t>
  </si>
  <si>
    <t>16.5.1. Pendampingan Pada Kelompokani Pembudiya Ikan</t>
  </si>
  <si>
    <t>16.5.2. Pembinaan dan Pengembangan Perikanan</t>
  </si>
  <si>
    <t>16.5.3. Pengembangan Budi Daya Rumput Laut di Kawasan Minapolitan</t>
  </si>
  <si>
    <t>16.5.4. Monitoring, Evaluasi Pelaporan</t>
  </si>
  <si>
    <t>16.5.5. Identifikasi dan Sosialisasi Program Budi Daya Perikanan</t>
  </si>
  <si>
    <t>16.5.6. Workshop Penguatan Sektor Swasta Usaha Rumput Laut Berkelanjutan</t>
  </si>
  <si>
    <t>16.6. Program Pengembangan Perikanan Tangkap</t>
  </si>
  <si>
    <t>16.6.1. Pemetaan Daerah Konservasi Ekowisata Pesisir dan Laut</t>
  </si>
  <si>
    <t>16.7. Program Optimalisasi Pengelolaan dan Pemasaran Produksi Perikanan</t>
  </si>
  <si>
    <t>16.7.1. Kajian Optimalisasi Pengelolaan dan Pemasaran Produksi Perikanan</t>
  </si>
  <si>
    <t>16.8. Program Pengembangan Kawasan Budi Daya Laut, Air Payau dan Air Tawar</t>
  </si>
  <si>
    <t>16.8.1. Kajian Kawasan Budidaya Laut, Air Payau dan Air Tawar</t>
  </si>
  <si>
    <t>16.8.2. Optimalisasi Sarana dan Prasarana Budi Daya Perikanan Laut, Payau dan Air Tawar</t>
  </si>
  <si>
    <t>17. DINAS PARIWISATA DAN KEBUDAYAAN</t>
  </si>
  <si>
    <t>17.1. Program Pengelolaan Kekayaan Budaya</t>
  </si>
  <si>
    <t>17.1.1. Fasilitasi Partisipasi Masyarakat Dalam Pengelolaan Kekayaan Budaya</t>
  </si>
  <si>
    <t>17.1.2. Penyusunan Kebijakan Pengelolaan Kekayaan Budaya Lokal Daerah</t>
  </si>
  <si>
    <t>17.1.3. Sosialisasi Pengelolaan Kekayaan Budaya Lokal Daerah</t>
  </si>
  <si>
    <t>17.2. Program Pengelolaan Keragaman Budaya</t>
  </si>
  <si>
    <t>17.2.1. Pengembangan Kesenian dan Kebudayaan Daerah</t>
  </si>
  <si>
    <t>17.2.2. Fasilitasi Penyelenggaraan Festifal Budaya Daerah</t>
  </si>
  <si>
    <t>17.3. Program Pengembangan Pemasaran Pariwisata</t>
  </si>
  <si>
    <t>17.3.1.  Peningkatan Pemanfaatan Teknologi Informasi Dalam Pemasaran Pariwisata</t>
  </si>
  <si>
    <t>17.4. Program Pengembangan Destinasi Pariwisata</t>
  </si>
  <si>
    <t>17.4.1. Pengembangan Objek Pariwisata Unggulan</t>
  </si>
  <si>
    <t>17.4.2. Pengembangan Daerah Tujuan Wisata</t>
  </si>
  <si>
    <t>17.5. Program Pengembangan Kemitraan</t>
  </si>
  <si>
    <t>17.5.1. Fasilitasi Pembentukan Forum Komunikasi Antar Pelaku Industri Pariwisata dan Budaya</t>
  </si>
  <si>
    <t>17.5.2. Pelaksanaan Koordinasi Pembangunan Kemitraan Pariwisata</t>
  </si>
  <si>
    <t>17.5.3. Pengembangan Sumber Daya Manusia dan Profesionalisme Kemitraan Pariwisata</t>
  </si>
  <si>
    <t>17.5.4. Peningkatan Peran Serta Masyarakat Dalam Pengembangan Kemitraan Pariwisata</t>
  </si>
  <si>
    <t>18. DINAS PERTANIAN DAN KETAHANAN PANGAN</t>
  </si>
  <si>
    <t>18.1. Program Peningkatan Kesejahteraan Petani</t>
  </si>
  <si>
    <t>18.1.1. Penyuluhan dan Pendampingan Petani dan Pelaku Agribisnis</t>
  </si>
  <si>
    <t>18.1.2. Peningkatan Kemampuan Lembaga Petani</t>
  </si>
  <si>
    <t>18.1.3. Pelatihan Pengolahan dan Promosi Hasil Produksi Pertanian</t>
  </si>
  <si>
    <t>18.2. Program Peningkatan Ketahanan Pangan (Pertanian/Perkebunan)</t>
  </si>
  <si>
    <t>18.2.1. Pemanfaatan Pekarangan Untuk Pengembangan Pangan</t>
  </si>
  <si>
    <t>18.2.2. Pemantauan dan Analisis Akses Pangan Masyarakat</t>
  </si>
  <si>
    <t>18.2.3. Pengembangan Desa Mandiri Pangan</t>
  </si>
  <si>
    <t>18.2.4. Pengembangan Diversifikasi Tanaman</t>
  </si>
  <si>
    <t>18.2.5. Peningkatan Mutu dan Keamanan Pangan</t>
  </si>
  <si>
    <t>18.2.6. Penyuluhan Sumber Pangan Alternatif</t>
  </si>
  <si>
    <t>18.2.7. Pengembangan Pertanian di Lahan Kering</t>
  </si>
  <si>
    <t>18.2.8. Pengembangan Tanaman Pangan Lokal</t>
  </si>
  <si>
    <t>18.2.9. Pengembangan Tanaman Sayur - sayuran</t>
  </si>
  <si>
    <t>18.2.10.Pengembangan Tanaman Buah - Buahan</t>
  </si>
  <si>
    <t>18.3. Program Peningkatan Penerapan Teknologi Pertanian/Perkebunan</t>
  </si>
  <si>
    <t>18.3.1. Kegiatan penyuluhan penerapan teknologi pertanian/perkebunan tepat guna</t>
  </si>
  <si>
    <t>18.3.2. Pelatihan dan Bimbingan Pengoperasian Teknologi Pertanian / Perkebunan Tepat Guna</t>
  </si>
  <si>
    <t>18.4. Program Peningkatan Produksi Pertanian / Perkebunan</t>
  </si>
  <si>
    <t>18.4.1. Penyuluhan dan Pendampingan Bagi Pertanian / Perkebunan</t>
  </si>
  <si>
    <t>18.5. Program Pencegahan dan Penanggulangan Penyakit Ternak</t>
  </si>
  <si>
    <t>18.5.1. Pemeliharaan Kesehatan dan Pencegahan Penyakit Menular Ternak</t>
  </si>
  <si>
    <t>18.6. Program Peningkatan Produksi Hasil Peternakan</t>
  </si>
  <si>
    <t>18.6.1. Pengembangan Agribisnis Peternakan</t>
  </si>
  <si>
    <t>19. DINAS PERKEBUNAN</t>
  </si>
  <si>
    <t>19.1. Program Peningkatan Kesejahteraan Petani</t>
  </si>
  <si>
    <t>19.1.1. Penyuluhan dan Pendampingan Petani dan Pelaku Agribisnis</t>
  </si>
  <si>
    <t>19.2. Program Peningkatan Ketahan Pangan (pertanian/perkebunan)</t>
  </si>
  <si>
    <t>19.2.1. Penanganan Pasca Panen dan Pengolahan Hasil Pertanian</t>
  </si>
  <si>
    <t>19.2.2. Pengembangan Perbenihan / Perbibitan</t>
  </si>
  <si>
    <t>19.3. Program Peningkatan Produksi Pertanian/Perkebunan</t>
  </si>
  <si>
    <t>19.3.1. Pemeliharaan Tanaman Pertanian dan Perkebunan</t>
  </si>
  <si>
    <t xml:space="preserve">19.3.2. Peningkatan usaha ekstensifikasi, rehabilitasi, intensifikasi dan diversifikasi komoditi perkebunan </t>
  </si>
  <si>
    <t xml:space="preserve">20. DINAS PERDAGANGAN DAN PERINDUSTRIAN </t>
  </si>
  <si>
    <t>20.1. Program Peningkatan Efisiensi Perdagangan Dalam Negeri</t>
  </si>
  <si>
    <t>20.1.1. Pengembangan Pasar dan Distribusi Barang / Produk</t>
  </si>
  <si>
    <t>20.2. Program Pengembangan Industri Kecil dan Menengah</t>
  </si>
  <si>
    <t>20.2.1. Fasilitasi bagi industri kecil dan menengah terhadap pemanfaatan sumber daya</t>
  </si>
  <si>
    <t>21.1. Program Peningkatan Kesempatan Kerja</t>
  </si>
  <si>
    <t>21.1.1. Penyiapan tenaga kerja siap pakai</t>
  </si>
  <si>
    <t>21.1.2. Pemberian fasilitasi dan mendorong sistem pendanaan pelatihan berbasis masyarakat</t>
  </si>
  <si>
    <t>21.2. Program Perlindungan dan Pengembangan Lembaga Ketenagakerjaan</t>
  </si>
  <si>
    <t>21.2.1. Sosialisasi Berbagai Peraturan Pelaksanaan Tentang Ketenagakerjaan</t>
  </si>
  <si>
    <t>21.3. Program Transmigrasi Lokal</t>
  </si>
  <si>
    <t>21.3.1. Pelatihan Transmigrasi Lokal</t>
  </si>
  <si>
    <t>22. DISTRIK ARGUNI</t>
  </si>
  <si>
    <t>22.1. Program Peningkatan Partisipasi Masyarakat Dalam Membangun Desa</t>
  </si>
  <si>
    <t>22.1.1. Monitoring, Evaluasi dan Pelaporan</t>
  </si>
  <si>
    <t>23. DISTRIK BOMBERAY</t>
  </si>
  <si>
    <t>23.1. Program Peningkatan Partisipasi Masyarakat Dalam Membangun Desa</t>
  </si>
  <si>
    <t>23.1.1. Monitoring, Evaluasi dan Pelaporan</t>
  </si>
  <si>
    <t>24. DISTRIK FAKFAK</t>
  </si>
  <si>
    <t>24.1. Program Peningkatan Keberdayaan Masyarakat Perdesaan</t>
  </si>
  <si>
    <t>24.1.1. Monitoring, Evaluasi dan Pelaporan</t>
  </si>
  <si>
    <t>25. DISTRIK FAKFAK BARAT</t>
  </si>
  <si>
    <t>25.1. Program Peningkatan Partisipasi Masyarakat Dalam Membangun Desa</t>
  </si>
  <si>
    <t>25.1.1. Monitoring, Evaluasi dan Pelaporan</t>
  </si>
  <si>
    <t>26. DISTRIK FAKFAK TENGAH</t>
  </si>
  <si>
    <t>26.1. Program Peningkatan Partisipasi Masyarakat Dalam Membangun Desa</t>
  </si>
  <si>
    <t>26.1.1. Monitoring, Evaluasi dan Pelaporan</t>
  </si>
  <si>
    <t>27. DISTRIK FAKFAK TIMUR</t>
  </si>
  <si>
    <t>27.1. Program Penataan Admnistrasi Kependudukan</t>
  </si>
  <si>
    <t>27.1.1. Pengembangan Data Base Kependudukan</t>
  </si>
  <si>
    <t>28. DISTRIK FAKFAK TIMUR TENGAH</t>
  </si>
  <si>
    <t>28.1. Program Peningkatan Keberdayaan Masyarakat Perdesaan</t>
  </si>
  <si>
    <t>28.1.1. Penyelenggaraan Diseminasi Informasi bagi Masyarakat Desa</t>
  </si>
  <si>
    <t>29. DISTRIK FURWAGI</t>
  </si>
  <si>
    <t>29.1. Program Peningkatan Partisipasi Masyarakat Dalam Membangun Desa</t>
  </si>
  <si>
    <t>29.1.1. Monitoring, Evaluasi dan Pelaporan</t>
  </si>
  <si>
    <t>30. DISTRIK KAYAUNI</t>
  </si>
  <si>
    <t>30.1. Program Peningkatan Partisipasi Masyarakat Dalam Membangun Desa</t>
  </si>
  <si>
    <t>30.1.1. Monitoring, Evaluasi dan Pelaporan</t>
  </si>
  <si>
    <t>31. DISTRIK KARAS</t>
  </si>
  <si>
    <t>31.1. Program Pengembangan Lembaga Ekonomi Pedesaan</t>
  </si>
  <si>
    <t>31.1.1. Monitoring, Evaluasi dan Pelaporan</t>
  </si>
  <si>
    <t>32. DISTRIK KOKAS</t>
  </si>
  <si>
    <t>32.1. Program Peningkatan Keberdayaan Masyarakat Perdesaan</t>
  </si>
  <si>
    <t>32.1.1. Pemberdayaan Lembaga dan Organisasi Masyarakat Pedesaan</t>
  </si>
  <si>
    <t>33. DISTRIK KRAMONGMONGGA</t>
  </si>
  <si>
    <t>33.1. Program Peningkatan Partisipasi Masyarakat Dalam Membangun Desa</t>
  </si>
  <si>
    <t>33.1.1. Monitoring, Evaluasi dan Pelaporan</t>
  </si>
  <si>
    <t>34. DISTRIK MBAHAMDANDARA</t>
  </si>
  <si>
    <t>34.1. Program Peningkatan Keberdayaan Masyarakat Perdesaan</t>
  </si>
  <si>
    <t>34.1.1. Monitoring, Evaluasi dan Pelaporan</t>
  </si>
  <si>
    <t>35. DISTRIK PARIWARI</t>
  </si>
  <si>
    <t>35.1. Program Penataan Admnistrasi Kependudukan</t>
  </si>
  <si>
    <t>35.1.1. Pengembangan Data Base Kependudukan</t>
  </si>
  <si>
    <t>36. DISTRIK TELUK PATIPI</t>
  </si>
  <si>
    <t>36.1. Program Peningkatan Partisipasi Masyarakat Dalam Membangun Desa</t>
  </si>
  <si>
    <t>36.1.1. Monitoring, Evaluasi dan Pelaporan</t>
  </si>
  <si>
    <t>37. DISTRIK TOMAGE</t>
  </si>
  <si>
    <t>37.1. Program Peningkatan Keberdayaan Masyarakat Perdesaan</t>
  </si>
  <si>
    <t>37.1.1. Monitoring, Evaluasi dan Pelaporan</t>
  </si>
  <si>
    <t>38. DISTRIK WARTUTIN</t>
  </si>
  <si>
    <t>38.1. Program Peningkatan Partisipasi Masyarakat Dalam Membangun Desa</t>
  </si>
  <si>
    <t>38.1.1. Monitoring, Evaluasi dan Pelaporan</t>
  </si>
  <si>
    <t>39. INSPEKTORAT</t>
  </si>
  <si>
    <t>39.1. Program peningkatan sistem pengawasan internal dan pengendalian pelaksanaan kebijakan KDH</t>
  </si>
  <si>
    <t>39.1.1. Pengendalian manajemen pelaksanaan kebijakan KDH</t>
  </si>
  <si>
    <t>40. BADAN PERENCANAAN PEMBANGUNAN, PENELITIAN DAN PENGEMBANGAN DAERAH (BAPPEDA)</t>
  </si>
  <si>
    <t>40.1. Program Perencanaan Pembangunan Daerah</t>
  </si>
  <si>
    <t>40.1.1. Pengembangan Partisipasi Masyarakat Dalam Perumusan Program dan Kebijakan Layanan Publik</t>
  </si>
  <si>
    <t>40.1.2. Monitoring, Evaluasi dan Pelaporan</t>
  </si>
  <si>
    <t>40.1.3. Pameran OTSUS</t>
  </si>
  <si>
    <t>40.2. Program Perencanaan Pembangunan Ekonomi</t>
  </si>
  <si>
    <t>40.2.1. Pameran Ekonomi Kreatif Daerah</t>
  </si>
  <si>
    <t>41. BPPKAD (PPKD)</t>
  </si>
  <si>
    <t>41.1. BELANJA HIBAH</t>
  </si>
  <si>
    <t>41.1.1. Belanja Hibah Kepada Badan/Lembaga/Organisasi (OTSUS)</t>
  </si>
  <si>
    <t>41.1.1.1. Hibah Kepada BPJS Kesehatan</t>
  </si>
  <si>
    <t xml:space="preserve">41.1.2.1. Belanja Hibah Pendidikan </t>
  </si>
  <si>
    <t>41.2. BELANJA BANTUAN SOSIAL</t>
  </si>
  <si>
    <t>41.2.1. Belanja Bantuan Sosial Kepada Anggota Masyarakat</t>
  </si>
  <si>
    <t>41.2.1.1. Belanja Bantuan Berobat Kepada Masyarakat</t>
  </si>
  <si>
    <t>41.2.2. Belanja Bantuan Pendidikan Kepada Anggota Masyarakat</t>
  </si>
  <si>
    <t xml:space="preserve">41.2.2.1. Bantuan Pendidikan </t>
  </si>
  <si>
    <t>IV. KOTA SORONG</t>
  </si>
  <si>
    <t>1.1. Program Wajib Belajar Pendidikan Dasar Sembilan Tahun</t>
  </si>
  <si>
    <t>1.1.1. Penyelenggaraan Paket A Setara SD</t>
  </si>
  <si>
    <t>1.1.2. Penyelenggaraan Paket B Setara SMP</t>
  </si>
  <si>
    <t>1.1.3. Penyelenggaraan Paket C Setara SMA</t>
  </si>
  <si>
    <t>1.1.4. Penyelenggaraan Ujian Sekolah dan Ujian Nasional Jenjang SD/SMP</t>
  </si>
  <si>
    <t>1.1.5. Pembangunan / Peningkatan Sarana dan Prasarana Pendidikan SD.</t>
  </si>
  <si>
    <t>1.2. Program Manajemen Pelayanan Pendidikan</t>
  </si>
  <si>
    <t xml:space="preserve">1.2.1. Monitoring dan Evaluasi SDM di Sekolah </t>
  </si>
  <si>
    <t>1.3. Program Pengembangan Potensi Belajar</t>
  </si>
  <si>
    <t>1.3.1. Fasilitas Pengiriman Peserta  O2SN, FLSN, LKS</t>
  </si>
  <si>
    <t>1.3.2. Penyelenggaraan Lomba Cerdas Cermat SD Tingkat Kota</t>
  </si>
  <si>
    <t>1.4. Program Peningkatan Sarana, Prasarana an Mutu Pendidikan</t>
  </si>
  <si>
    <t>1.4.1. Pengadaan Pakaian Seragam dan Peralatan Sekolah Siswa/I Asli Papua</t>
  </si>
  <si>
    <t>1.4.2. Peningkatan Sarana dan Prasarana dan Mutu Pendidikan TK, SD/MI, SMP/MTs</t>
  </si>
  <si>
    <t>1.5. Program Pengembangan Nilai Budaya</t>
  </si>
  <si>
    <t>1.5.2. Pengembangan Sarana Kebudayaan</t>
  </si>
  <si>
    <t>1.6. Program Pengelolaan Kekayaan Budaya</t>
  </si>
  <si>
    <t>1.6.1. Pengelolaan, Pengembangan dan Pelestarian Peninggalan Sejarah</t>
  </si>
  <si>
    <t>1.7. Program Pengelolaan Keragaman Budaya</t>
  </si>
  <si>
    <t>1.7.1. Pengembangan Kesenian dan Budaya Daerah</t>
  </si>
  <si>
    <t>2.1. Belanja Tidak Langsung</t>
  </si>
  <si>
    <t>2.1.1. Tambahan Penghasilan Berdasarkan Kelangkaan Profesi</t>
  </si>
  <si>
    <t>2.1.2. Tambahan Penghasilan Berdasarkan Kelangkaan Profesi</t>
  </si>
  <si>
    <t>2.2. Program Promosi Kesehatan dan Pemberdayaan Masyarakat</t>
  </si>
  <si>
    <t>2.2.1. Peningkatan Kapasitas Kader Pos Yandu</t>
  </si>
  <si>
    <t>2.2.2. Rapat Kerja Kesehatan Daerah Kota Sorong</t>
  </si>
  <si>
    <t>2.3.1. Peningkatan Penangggulangan Gizi Masyarakat</t>
  </si>
  <si>
    <t>2.4.1. Peningkatan Pelayanan Program IMS-HIV/AIDS</t>
  </si>
  <si>
    <t>2.4.2. Pengobatan Masal Filarisais</t>
  </si>
  <si>
    <t>2.5. Program Standarisasi Pelayanan Kesehatan</t>
  </si>
  <si>
    <t>2.5.1. Kalibrasi Alat Kesehatan Puskesmas</t>
  </si>
  <si>
    <t>2.6. Program Pengadaan, Peningkatan dan Perbaikan Sarana dan Prasarana Puskesmas/Pustu dan Jaringannya</t>
  </si>
  <si>
    <t>2.6.1. Pembangunan Gudang Farmasi Kota Sorong</t>
  </si>
  <si>
    <t>2.6.2. Pembangunan Instalasi IPAL Puskesmas</t>
  </si>
  <si>
    <t>2.6.3. Pembangunan Puskesmas Dom (Lanjutan Tahap 3)</t>
  </si>
  <si>
    <t xml:space="preserve">2.5.4. Pengadaan Alat Kesehatan </t>
  </si>
  <si>
    <t>2.7. Program Pemeliharaan Sarana dan Prasarana Rumah Sakit/Rumah Sakit Jiwa/Rumah</t>
  </si>
  <si>
    <t>2.7.1. Pembangunan Gedung Public Safety Center (PCS)</t>
  </si>
  <si>
    <t>2.8. Program Kemitraan Peningkatan Pelayanan Keseahatan</t>
  </si>
  <si>
    <t>2.8.1. Jaminan Kesehatan Bagi Orang Asli Papua</t>
  </si>
  <si>
    <t>2.9. Program Peningkatan Sumber Daya Kesehatan</t>
  </si>
  <si>
    <t>2.9.1. Peningkatan Kapasitas Tenaga Kesehatan Puskesmas dan Pustu</t>
  </si>
  <si>
    <t>2.9.2. Pelatihan Aplikasi Sarana Prasarana dan Alat Kesehatan (ASPAK) dan Sistem Informasi kesehatan Puskesmas</t>
  </si>
  <si>
    <t>3. RSUD Sele Be Solu</t>
  </si>
  <si>
    <t>3.1. Program Pengadaan, Peningkatan Sarana dan Prasarana Rumah Sakit/Rumah Sakit Jiwa/Rumah Sakit Paru-paru/Rumah Sakit Mata</t>
  </si>
  <si>
    <t>3.1.1. Pembangunan Gedung Perinatologi</t>
  </si>
  <si>
    <t>3.1.2. Pengadaan Peralatan Kantor</t>
  </si>
  <si>
    <t>3.1.3. Pengadaan Perlengkapan Kantor</t>
  </si>
  <si>
    <t>3.1.4. Pembangunan Lanjutan Tahapan V Gedung Poli Rawat Jalan dan Kantor Administrasi</t>
  </si>
  <si>
    <t>3.1.5. Pembangunan Lanjutan Poli Rawat Jalan Khusus</t>
  </si>
  <si>
    <t>3.1.6. Pengadaan Obat-obatan Rumah Sakit</t>
  </si>
  <si>
    <t>4. DINAS PEKERJAAN UMUM</t>
  </si>
  <si>
    <t>4.1. Program Pembangunan Jalan dan Jembatan</t>
  </si>
  <si>
    <t>4.1.1. Peningkatan Jalan Dalam Kota Sorong Dengan Rigid</t>
  </si>
  <si>
    <t>4.1.2. Pembangunan Jalan Dalam Kota Sorong</t>
  </si>
  <si>
    <t>4.2. Program Pembangunan Saluran Drainase/Gorong-Gorong</t>
  </si>
  <si>
    <t>4.2.1. Pembangunan Drainase Lingkungan</t>
  </si>
  <si>
    <t>4.2.2. Pembangunan Saluran Drainase/Gorong-gorong</t>
  </si>
  <si>
    <t>4.3. Program Pembangunan Infrastruktur Pedesaan</t>
  </si>
  <si>
    <t>4.3.1. Pembuatan Kanopi dan Rolling Door</t>
  </si>
  <si>
    <t xml:space="preserve">4.4. Program Penyiapan Potensi Sumber Daya, Sarana dan Prasarana Daerah </t>
  </si>
  <si>
    <t xml:space="preserve">4.4.1. Pembangunan Gedung VIP Kantor Walikota </t>
  </si>
  <si>
    <t>4.4.2. Pembangunan Lansekep Pasar Modern Rufei dan Terminal Tipe C</t>
  </si>
  <si>
    <t>4.5. Program Peningkatan Sarana dan Prasarana Pemerintahan</t>
  </si>
  <si>
    <t>4.5.1. Pembangunan Kantor Dinas DPUPR Kota Sorong</t>
  </si>
  <si>
    <t>4.6. Program Pembangunan Prasarana dan Fasilitas</t>
  </si>
  <si>
    <t>4.6.1. Pembangunan Gedung VIP Bandara DEO Sorong</t>
  </si>
  <si>
    <t>5. DINAS PERUMAHAN DAN KAWASAN PERMUKIMAN</t>
  </si>
  <si>
    <t>5.1. Program Pengembangan Perumahan</t>
  </si>
  <si>
    <t>51.1. Pembangunan Sarana dan Prasarana Rumah Sederhana Sehat</t>
  </si>
  <si>
    <t>5.1.2. Pembangunan Lanjutan Rumah Layak Huni</t>
  </si>
  <si>
    <t>6. BADAN KESATUAN BANGSA, POLITIK DAN PERLINDUNGAN MASYARAKAT</t>
  </si>
  <si>
    <t>6.1. Program Kemitraan  Pengembangan Wawasan Kebangsaan</t>
  </si>
  <si>
    <t>6.1.1. Pemberdayaan Forum Lintas Suku Asli Papua (FLSAPR)</t>
  </si>
  <si>
    <t>7.1. Program Pelayanan dan Rehabilitasi Kesejahteraan Sosial</t>
  </si>
  <si>
    <t>7.1.1. Rehabilitasi Panti</t>
  </si>
  <si>
    <t>8. BADAN PENANGGULANGAN BENCANA</t>
  </si>
  <si>
    <t>8.1. Program Pencegahan Dini dan Penanggulangan Bencana</t>
  </si>
  <si>
    <t>8.1.1. Pemberdayaan Ekonomi Masyarakat Terdampak Bencana</t>
  </si>
  <si>
    <t>9. DINAS TENAGA KERJA</t>
  </si>
  <si>
    <t>9.1. Program Peningkatan Kualitas dan Produktivitas Tenaga Kerja</t>
  </si>
  <si>
    <t>9.1.1. Peningkatan Keterampilan Kerja Melalui Pelatihan Perbekalan</t>
  </si>
  <si>
    <t>9.1.2. Penyusunan Data Base Tenaga Kerja</t>
  </si>
  <si>
    <t xml:space="preserve">9.2. Program Perlindungan dan Pengembangan Lembaga Ketenagakerjaan </t>
  </si>
  <si>
    <t>9.2.1. Fasilitasi Penyelesaian Prosedur dan Penyelesaian Perselisihan Hubungan Industrial</t>
  </si>
  <si>
    <t>9.3. Program Peningkatan Kesempatan Tenaga Kerja</t>
  </si>
  <si>
    <t xml:space="preserve">9.3.1. Perluasan Kesempatan Kerja dan Pengurangan Pengangguran </t>
  </si>
  <si>
    <t xml:space="preserve">10.1. Program Keserasian Kebijakan Peningkatan Kualitas Anak dan Perempuan </t>
  </si>
  <si>
    <t>10.1.1. Pemetaan Potensi Organisasi dan Lembaga Masyarakat yang Berperan dalam Pemberdayaan Perempuan dan Anak</t>
  </si>
  <si>
    <t>10.2. Program Peningkatan Kualitas Hidup dan Perlindungan Perempuan</t>
  </si>
  <si>
    <t>10.2.1. Pelatihan Bagi Pelatih (TOT) SDM Pelayanan dan Pendampingan Korban KDRT</t>
  </si>
  <si>
    <t>10.2.2. Penyusunan Sistem Perlindungan Bagi Perempuan</t>
  </si>
  <si>
    <t>10.2.3. Pernikahan Massal</t>
  </si>
  <si>
    <t>10.3. Program Peningkatan Peran Serta dan Kesetaraan Gender Dalam Pembangunan</t>
  </si>
  <si>
    <t>10.3.1. Pelaksanaan Sosialisasi yang Terkait dengan Kesetaraan Gender</t>
  </si>
  <si>
    <t>10.4. Program Perlindungan Anak dan Korban Kekerasan</t>
  </si>
  <si>
    <t>10.4.1. Pengembangan Sistem Informasi Gender dan TPP</t>
  </si>
  <si>
    <t>10.4.2. Kampanye Bersama-sama Lindungi Anak</t>
  </si>
  <si>
    <t>10.5. Program Pengembangan Kewirausahaan dan Keunggulan Kompetitif Usaha Kecil Menengah</t>
  </si>
  <si>
    <t>10.5.1. Bimbingan Manajemen Usaha Bagi Perempuan Dalam Mengelola Usaha</t>
  </si>
  <si>
    <t>10.5.1. Pengadaan Meubelair Kantor Baru Dinas Pemberdayaan Perempuan dan Perlindungan Anak</t>
  </si>
  <si>
    <t>11. DINAS PERLINDUNGAN DAN PENGELOLAAN LINGKUNGAN HIDUP</t>
  </si>
  <si>
    <t>11.1. Program Pengendalian Pencemaran dan Perusakan Lingkungan Hidup</t>
  </si>
  <si>
    <t>11.1.1. Pengawasan Pelaksanaan Kebijakan Bidang Lingkungan Hidup</t>
  </si>
  <si>
    <t>11.1.2. Pengelolaan B3 dan Limbah B3</t>
  </si>
  <si>
    <t>11.1.3. Peningkatan Peringkat Kinerja Perusahaan  (Proper)</t>
  </si>
  <si>
    <t>11.1.4. Pendataan Perusahaan Wajib AMDAL, UKL, IPL, SPPL</t>
  </si>
  <si>
    <t>11.1.5. Penilaian Lingkungan Hidup Sekolah</t>
  </si>
  <si>
    <t>11.1.6. Pengendalian Kerusakan Hutan dan Lahan</t>
  </si>
  <si>
    <t>11.1.7. Peningkatan Peran Serta Masyarakat dalam Pengendalian Lahan dan Konservasi SDA</t>
  </si>
  <si>
    <t>11.2. Program Perlindungan dan Konservasi Sumber Daya Alam</t>
  </si>
  <si>
    <t>11.2.1. Konservasi Sumber Daya Air dan Pengendalian Kerusakan Sumber-sumber Air</t>
  </si>
  <si>
    <t>11.2.2. Penanaman Mogrove dan Tanaman Hias</t>
  </si>
  <si>
    <t>11.3. Program Pengelolaan Ruang Terbuka Hijau</t>
  </si>
  <si>
    <t>1.3.1. Pemeliharaan RTH</t>
  </si>
  <si>
    <t>12.  DINAS PEMBERDAYAAN MASYARAKAT</t>
  </si>
  <si>
    <t xml:space="preserve">12.1. Program Peningkatan Partisipasi Masyarakat Dalam Membangun Desa </t>
  </si>
  <si>
    <t>12.1.1. Pemberdayaan Masyarakat</t>
  </si>
  <si>
    <t>12.1.2. Pelatihan Keterampilan Bagi Mama-Mama Papua</t>
  </si>
  <si>
    <t>12.1.3. Bintek Penyusunan Profil Kampung dan Kelurahan</t>
  </si>
  <si>
    <t>13.1. Program Pembangunan Sarana dan Prasarana Perhubungan</t>
  </si>
  <si>
    <t>13.1.1. Pengecatan Marka Jalan</t>
  </si>
  <si>
    <t>14. DINAS KOPERASI, USAHA MIKRO, KECIL DAN MENENGAH</t>
  </si>
  <si>
    <t>14.1. Program Pengembangan Kewirausahaan dan Keunggulan Kompetitif Usaha Kecil Menengah</t>
  </si>
  <si>
    <t>14.1.1. Pelatihan Manajemen Pengelolaan Koperasi/UMKM</t>
  </si>
  <si>
    <t>14.1.2. Sosialisasi Peraturan Perundang-undangan Koperasi</t>
  </si>
  <si>
    <t xml:space="preserve">14.1.3. Monitoring Evaluasi dan Pelaporan </t>
  </si>
  <si>
    <t>14.1.4. Penilaian Kesehatan Koperasi</t>
  </si>
  <si>
    <t>14.1.5. Pendampingan Rapat Anggota Tahunan Koperasi</t>
  </si>
  <si>
    <t>14.1.6. Bimbingan Teknis Komputer dan Akuntansi bagi UMKM</t>
  </si>
  <si>
    <t xml:space="preserve">14.2. Program Pembinaan Pedagang Kaki Lima dan Asongan </t>
  </si>
  <si>
    <t>14.2.1. Bantuan Modal Usaha Bagi Pengusaha OAP Mikro, Kecil dan Menengah</t>
  </si>
  <si>
    <t>15. DINAS PERIKANAN</t>
  </si>
  <si>
    <t>15.1. Program Pemberdayaan Ekonomi Masyarakat Pesisir</t>
  </si>
  <si>
    <t>15.1.1. Pengadaan Sarana dan Prasarana Alat Penangkapan Ikan</t>
  </si>
  <si>
    <t>15.2. Program Optimalisasi Pengelolaan dan Pemasaran Produksi Hasil Perikanan</t>
  </si>
  <si>
    <t>15.2.1. Sekolah Lapang Nelayan Pelatihan Pembuatan Rumpun dan Pelatihan Kewirausahaan</t>
  </si>
  <si>
    <t>16. DINAS PARIWISATA</t>
  </si>
  <si>
    <t>16.1. Program Pengembangan Destinasi Pariwisata</t>
  </si>
  <si>
    <t>16.1.1. Pembangunan Fasilitas Pendukung Pariwisata</t>
  </si>
  <si>
    <t>16.1.2. Penataan Kawasan Hutan Manggrov Klawalu Sorong KM.12</t>
  </si>
  <si>
    <t>16.1.3. Pelatihan dan Bantuan Sanggar Seni</t>
  </si>
  <si>
    <t>17. DINAS PERTANIAN</t>
  </si>
  <si>
    <t>17.1. Program Peningkatan Produksi Pertanian / Perkebunan</t>
  </si>
  <si>
    <t>17.1.1. Pengembangan Bibit Unggul Pertanian / Perkebunan</t>
  </si>
  <si>
    <t>18. DINAS PERDAGANGAN</t>
  </si>
  <si>
    <t>18.1. Program Peningkatan Efisiensi Perdagangan Dalam Negeri</t>
  </si>
  <si>
    <t>18.1.1. Penyelenggaraan Pasar Murah</t>
  </si>
  <si>
    <t>18.1.2. Pengawasan Pada Distributor/Sub Distributor Bahan Pokok dan Barang</t>
  </si>
  <si>
    <t xml:space="preserve">18.2. Program Pembinaan Pedagang Kaki Lima dan Asongan </t>
  </si>
  <si>
    <t>18.2.1. Bantuan Modal Usaha Bagi Usaha Masyarakat Papua</t>
  </si>
  <si>
    <t>18.2.2. Bantuan Modal Usaha Bagi Usaha Kecil</t>
  </si>
  <si>
    <t>18.2.3. Pembinaan Organisasi Pedagang Kaki Lima dan Asongan</t>
  </si>
  <si>
    <t>19. DINAS PERINDUSTRIAN</t>
  </si>
  <si>
    <t>19.1. Program Pengembangan Industri Kecil dan Menengah</t>
  </si>
  <si>
    <t>19.1.1. Pembinaan IKM Dalam Memperkuat Jaringan Klaster Industri</t>
  </si>
  <si>
    <t>19.1.2. Magang Pengrajin Asli Papua</t>
  </si>
  <si>
    <t>19.1.3. Pelatihan Ukiran dan Cinderamata Khas Papua</t>
  </si>
  <si>
    <t>19.1.4. Pameran Produksi Industri Nasional</t>
  </si>
  <si>
    <t>20. DISTRIK SORONG TIMUR</t>
  </si>
  <si>
    <t>20.1. Program Peningkatan Partisipasi Masyarakat dalam Membangun Desa</t>
  </si>
  <si>
    <t>20.1.1.Pemberdayaan Masyarakat di Lingkungan Distrik dan Kelurahan</t>
  </si>
  <si>
    <t>21. DISTRIK SORONG BARAT</t>
  </si>
  <si>
    <t>21.1. Program Peningkatan Partisipasi Masyarakat dalam Membangun Desa</t>
  </si>
  <si>
    <t>21.1.1. Pemberdayaan Masyarakat di Lingkungan Distrik dan Kelurahan</t>
  </si>
  <si>
    <t>22. DISTRIK SORONG KEPULAUAN</t>
  </si>
  <si>
    <t>22.1. Program Peningkatan Partisipasi Masyarakat dalam Membangun Desa</t>
  </si>
  <si>
    <t>22.1.1. Pemberdayaan Masyarakat di Lingkungan Distrik dan Kelurahan</t>
  </si>
  <si>
    <t>23. DISTRIK SORONG</t>
  </si>
  <si>
    <t>23.1. Program Peningkatan Partisipasi Masyarakat dalam Membangun Desa</t>
  </si>
  <si>
    <t>23.1.1. Pemberdayaan Masyarakat di Lingkungan Distrik dan Kelurahan</t>
  </si>
  <si>
    <t>24. DISRIK SORONG UTARA</t>
  </si>
  <si>
    <t>24.1. Program Pemberdayaan Masyarakat Kota Sorong</t>
  </si>
  <si>
    <t>24.1.1. Pemberdayaan Masyarakat Lingkungan Distrik dan Kelurahan</t>
  </si>
  <si>
    <t>25. DISTRIK MANOI</t>
  </si>
  <si>
    <t>25.1. Program Peningkatan Partisipasi Masyarakat dalam Membangun Desa</t>
  </si>
  <si>
    <t>25.1.1. Pemberdayaan Masyarakat Lingkungan Distrik dan Kelurahan</t>
  </si>
  <si>
    <t>26. DISTRIK MALADOM MES</t>
  </si>
  <si>
    <t>26.1. Program Peningkatan Partisipasi Masyarakat dalam Membangun Desa</t>
  </si>
  <si>
    <t>26.1.1.  Pemberdayaan Masyarakat Lingkungan Distrik dan Kelurahan</t>
  </si>
  <si>
    <t>27. DISTRIK SORONG KOTA</t>
  </si>
  <si>
    <t>27.1. Program Peningkatan Partisipasi Masyarakat dalam Membangun Desa</t>
  </si>
  <si>
    <t>27.1.1. Pemberdayaan Masyarakat Lingkungan Distrik dan Kelurahan</t>
  </si>
  <si>
    <t>28. DISTRIK KLAURUNG</t>
  </si>
  <si>
    <t>28.1. Program Peningkatan Partisipasi Masyarakat dalam Membangun Desa</t>
  </si>
  <si>
    <t>28.1.1. Pemberdayaan Masyarakat Lingkungan Distrik dan Kelurahan</t>
  </si>
  <si>
    <t>29. DISTRIK MALAIMSIMSA</t>
  </si>
  <si>
    <t>29.1. Program Peningkatan Partisipasi Masyarakat dalam Membangun Desa</t>
  </si>
  <si>
    <t>29.1.1. Pemberdayaan Masyarakat Lingkungan Distrik dan Kelurahan</t>
  </si>
  <si>
    <t>30. INSPEKTORAT DAERAH</t>
  </si>
  <si>
    <t>30.1. Program Peningkatan Profesionalisme Tenaga Pemeriksa dan Aparatur Pengawasan</t>
  </si>
  <si>
    <t>30.1.1. Pelatihan Pengembangan Tenaga Pemeriksa dan Aparatur Pengawasan</t>
  </si>
  <si>
    <t>31. BADAN PERENCANAAN DAN PEMBANGUNAN DAERAH</t>
  </si>
  <si>
    <t>31.1. Program Perencanaan Pembangunan Daerah</t>
  </si>
  <si>
    <t>31.1.1. Monitoring, Evaluasi, Pengendalian dan Pelaporan Pelaksanaan Rencana  Pembangunan Daerah</t>
  </si>
  <si>
    <t>31.1.2. Pameran Otsus Kota Sorong</t>
  </si>
  <si>
    <t>31.1.3. Penyusunan URD/RD Otsus Kota Sorong</t>
  </si>
  <si>
    <t>31.2. Program Perencanaan Pembangunan Ekonomi</t>
  </si>
  <si>
    <t>31.2.1. Penyusunan Dokumen Perencanaan Bidang Ekonomi</t>
  </si>
  <si>
    <t>31.3. Program Pengendalian Pemanfaatan Ruang</t>
  </si>
  <si>
    <t>31.3.1. Penyusunan Dokumen Rencana Detail Tata Ruang (RDTR) Kota Sorong</t>
  </si>
  <si>
    <t>31.3.2. Penyusunan Dokumen KLHS Kota Sorong</t>
  </si>
  <si>
    <t>31.3.3. Review Dokumen RT/RW Kota Sorong</t>
  </si>
  <si>
    <t>31.3.4. Koordinasi Perencanaan, Pemanfaatan, Pengendalian dan Pengawasan Tata Ruang di Kota Sorong (Pojok BKPRD)</t>
  </si>
  <si>
    <t>32. BADAN PENGELOLA KEUANGAN DAN ASET DAERAH  (PPKD)</t>
  </si>
  <si>
    <t>32.1. Belanja Hibah kepada Badan/Lembaga/Organisasi</t>
  </si>
  <si>
    <t>32.2. Belanja Bantuan Sosial Organisasi Kemasyarakatan</t>
  </si>
  <si>
    <t xml:space="preserve">32.3. Belanja Bantuan Sosial kepada Anggota Masyarakat Perorangan </t>
  </si>
  <si>
    <t>32.4. Belanja Bantuan Pendidikan</t>
  </si>
  <si>
    <t xml:space="preserve">V. KABUPATEN KAIMANA </t>
  </si>
  <si>
    <t>1. Dinas Pendidikan Pemuda dan Olah Raga</t>
  </si>
  <si>
    <t>1.1.1. Penyelenggaraan Pendidikan Anak Usia Dini</t>
  </si>
  <si>
    <t>1.1.2. Diklat Berjenjang Pendidik PAUD/TK Tingkat Lanjutan</t>
  </si>
  <si>
    <t>1.1.3. Penyetaraan Bidang Ilmu Pendidik TK dari PGSD ke PGPAUD</t>
  </si>
  <si>
    <t>1.2. Program Wajib Belajar Pendidikan Dasar Sembilan Tahun</t>
  </si>
  <si>
    <t>1.2.2. Pengadaan mebeluer sekolah</t>
  </si>
  <si>
    <t>1.2.3. Pengadaan perlengkapan sekolah</t>
  </si>
  <si>
    <t>1.2.4. Pengadaan sarana mobilitas sekolah</t>
  </si>
  <si>
    <t>1.2.5. Cerdas Cermat MIPA Siswa Matrikulasi Tk. SD</t>
  </si>
  <si>
    <t>1.2.6. Cerdas Cermat MIPA Siswa Matrikulasi Tk. SMP</t>
  </si>
  <si>
    <t>1.2.7. Pelaksanan UASBN SD</t>
  </si>
  <si>
    <t>1.2.8. Bantuan Operasional Sekolah Daerah (BOSDA)</t>
  </si>
  <si>
    <t>1.2.9. Operasional Penampungan Siswa Tingkat SMP di 7 Distrik</t>
  </si>
  <si>
    <t>1.2.10.Matrikulasi Matematika Siswa SD di Wilayah Teluk Arguni Atas</t>
  </si>
  <si>
    <t>1.2.11.Matrikulasi Matematika Siswa SD di Wilayah Mairasi</t>
  </si>
  <si>
    <t>1.2.12.Matrikulasi MIPA SMPN 4 Kaimana dan SMPN 1 Teluk Etna</t>
  </si>
  <si>
    <t>1.2.13.Matrikulasi MIPA SMPN 3 Teluk Arguni dan SMPN 1 Kambrauw</t>
  </si>
  <si>
    <t>1.3. Program Pendidikan Non Formal dan Informal</t>
  </si>
  <si>
    <t>1.3.1. Akreditasi Lembaga PKBM/PAUD/TK/TPA</t>
  </si>
  <si>
    <t>1.3.2. Konfrensi Nasional IGTK</t>
  </si>
  <si>
    <t>1.3.3. Sosialisasi Ujian Paket A, B, C</t>
  </si>
  <si>
    <t>1.4. Program Peningkatan Mutu Pendidik dan Tenaga Kependidikan</t>
  </si>
  <si>
    <t>1.4.1. Pendidikan lanjutan bagi pendidik untuk memenuhi standar kualifikasi</t>
  </si>
  <si>
    <t>1.4.2. Pelatihan Penyusunan Rencana Pembelajaran Bagi Guru SD di Kampung</t>
  </si>
  <si>
    <t>1.5. Program Manajemen Pelayanan Pendidikan</t>
  </si>
  <si>
    <t>1.5.1. Biaya Pendidikan Mahasiswa Seni dan Bahasa Kerjasama Pemda Kaimana dengan UNJ</t>
  </si>
  <si>
    <t>1.5.2. Revitalisasi Manajemen Asrama Sekolah</t>
  </si>
  <si>
    <t>1.5.3. Afirmasi Pendidikan Menengah (ADEM) Bagi Putra/i Asli Papua</t>
  </si>
  <si>
    <t>1.5.4. Afirmasi Pendidikan Tinggi (ADIK) bagi Putra/putri Asli Papua</t>
  </si>
  <si>
    <t>1.5.5. Biaya Pendidikan Mahasiswa Guru Penjas Kerjasama PEMDA Kaimana dengan UNJ</t>
  </si>
  <si>
    <t>1.5.6. Fasilitasi dan Operasional UPTD Distrik Teluk Arguni</t>
  </si>
  <si>
    <t>1.5.7. Fasilitasi dan Operasional UPTD Distrik Arguni Bawah</t>
  </si>
  <si>
    <t>1.5.8. Fasilitasi dan Operasional UPTD Distrik Kambrau</t>
  </si>
  <si>
    <t>1.5.9. Fasilitasi dan Operasional UPTD Distrik Buruway</t>
  </si>
  <si>
    <t>1.5.10.Fasilitasi dan Operasional UPTD Distrik Teluk Etna</t>
  </si>
  <si>
    <t>1.5.11.Fasilitasi dan Operasional UPTD Distrik Yamor</t>
  </si>
  <si>
    <t>1.6. Program peningkatan sarana dan Prasarana Olah Raga</t>
  </si>
  <si>
    <t>1.6.1. Pembangunan Sarana Olah Raga</t>
  </si>
  <si>
    <t>2.1.  Program pelayanan Administrasi Perkantoran</t>
  </si>
  <si>
    <t>2.1.1. Penyediaan makanan dan minuman</t>
  </si>
  <si>
    <t>2.2. Program Peningkatan Sarana dan Prasarana Aparatur</t>
  </si>
  <si>
    <t>2.2.1. Pembangunan gedung Dinas</t>
  </si>
  <si>
    <t>2.2.2. Pembangunan gedung kantor</t>
  </si>
  <si>
    <t>2.2.3. Pengadaan Kendaraan dinas/operasional</t>
  </si>
  <si>
    <t>2.2.4. Pengadaan perlengkapan gedung kantor</t>
  </si>
  <si>
    <t>2.2.5. Pengadaan peralatan gedung kantor</t>
  </si>
  <si>
    <t>2.2.6. Pengadaan mebeleur</t>
  </si>
  <si>
    <t>2.2.7. Pengadaan Motor Tempel</t>
  </si>
  <si>
    <t>2.2.8. Rehabilitasi sedang/berat rumah dinas</t>
  </si>
  <si>
    <t>2.2.9. Rehabilitasi sedang/berat gedung kantor</t>
  </si>
  <si>
    <t>2.3.1. Pengadaaan Obat dan Perbekalan Kesehatan</t>
  </si>
  <si>
    <t>2.3.2. Penyediaan Bahan Laboraturium</t>
  </si>
  <si>
    <t>2.3.3. Penunjang Kegiatan gudang farmasi</t>
  </si>
  <si>
    <t>2.4. Program Perbaikan Gizi Masyarakat</t>
  </si>
  <si>
    <t>2.4.1. Pemberian Tambahan Makanan dan Vitamin</t>
  </si>
  <si>
    <t>2.4.2. Monitoring, evaluasi dan pelaporan Bidang Kesga</t>
  </si>
  <si>
    <t>2.4.3. Penanganan Perawatan Penderita Gizi Buruk</t>
  </si>
  <si>
    <t>2.5. Program pengembangan lingkungan sehat</t>
  </si>
  <si>
    <t>2.5.1. Pengawasan Kwalitas bahan makanan yg dicurigai mengadung bahan kimia berbahaya</t>
  </si>
  <si>
    <t>2.6. Program Pencegahaan dan Penanggulangan Penyakit Menular</t>
  </si>
  <si>
    <t>2.6.1. Penyemprotan/fogging sarang nyamuk</t>
  </si>
  <si>
    <t>2.6.2. Pemberian obat cacing pada anak SD kelas 1 s.d 6 tahap I</t>
  </si>
  <si>
    <t xml:space="preserve">2.6.3. Pengobatan Massal Filariasis </t>
  </si>
  <si>
    <t>2.6.4. Case Finding Neglected Disease ( TB,Kusta,Filariasis,HIV )</t>
  </si>
  <si>
    <t>2.6.5. Kawasan Tanpa Rokok ( KTR )</t>
  </si>
  <si>
    <t>2.6.6. Penanggulangan Wabah dan Bencana</t>
  </si>
  <si>
    <t>2.6.7. Revitalisasi Juru Pemantau Jentik (JUMANTIK)</t>
  </si>
  <si>
    <t>2.7. Program Revitalisasi Penyuluhan dan Promosi Kesehatan</t>
  </si>
  <si>
    <t>2.7.1. Penyuluhan Kesehatan Terpadu NAPZA/HIV-AIDS dan Remaja Reproduktif</t>
  </si>
  <si>
    <t>2.8. Program Peningkatan Kesehatan Ibu dan Anak</t>
  </si>
  <si>
    <t>2.8.1. Audit Maternal Perinatal (AMP)</t>
  </si>
  <si>
    <t>2.8.2. Pelaksanaan kelas ibu Hamil</t>
  </si>
  <si>
    <t>2. 9. Program pengembangan manajemen Kesehatan</t>
  </si>
  <si>
    <t>2.9.1. Sosialisasi dan Pendampingan Perencanaan Tingkat Puskesmas (PTP) Terpadu</t>
  </si>
  <si>
    <t>2.10. Program Pencegahan dan Pengobatan Ibu Hamil Khusus HIV dan Malaria bagi orang Papua</t>
  </si>
  <si>
    <t>2.10.1. Pengadaan Obat dan Perbekalan IMS dan HIV</t>
  </si>
  <si>
    <t>2.11. Program Pelayanan Kesehatan</t>
  </si>
  <si>
    <t>2.11.1. Jaminan Kesehatan Masyarakat Umum (BPJS Kesehatan)</t>
  </si>
  <si>
    <t>2.11.2. Penunjang Kegiatan Puskesmas</t>
  </si>
  <si>
    <t>2.11.3. Penyediaan biaya rujukan pasien gawat darurat (dari PKM ke RSUD)</t>
  </si>
  <si>
    <t>2.11.4. Puskesmas Jalan Kaki (Pusjaki)</t>
  </si>
  <si>
    <t>2.11.5. Pelayanan THT</t>
  </si>
  <si>
    <t>2.11.6. Pendataan dan Sosialisasi BATRA</t>
  </si>
  <si>
    <t>2.11.7. Jaminan Kesehatan Bagi Orang Asli Papua  (BPJS Kesehatan)</t>
  </si>
  <si>
    <t>2.11.8. Pelayanan Kesehatan Kulit</t>
  </si>
  <si>
    <t>3. RSUD</t>
  </si>
  <si>
    <t>3.1.1. Rehabilitasi sedang/berat gedung kantor</t>
  </si>
  <si>
    <t>3.2. Program Pengadaan,  Peningkatan Sarana dan Prasarana Rumah Sakit</t>
  </si>
  <si>
    <t>3.2.1. Pengadaan bahan - bahan Logistik Rumah Sakit</t>
  </si>
  <si>
    <t>4.1. Program pembangunan turap/talud/bronjong</t>
  </si>
  <si>
    <t>4.1.1. Pembangunan turap/talud/bronjong</t>
  </si>
  <si>
    <t>4.2. Program rehabilitasi/pemeliharaan jalan dan jembatan</t>
  </si>
  <si>
    <t>4.2.1. Rehabilitasi / pemeliharaan jalan</t>
  </si>
  <si>
    <t>4.3. Program pembangunan infrastruktur perdesaan</t>
  </si>
  <si>
    <t>4.3.1. Pembangunan jalan dan jembatan perdesaan</t>
  </si>
  <si>
    <t>4.3.2. Pembangunan Sarana Perdesaan</t>
  </si>
  <si>
    <t>4.4. Penyediaan dan Pengelolaan Air Bersih</t>
  </si>
  <si>
    <t>4.4.1. Penyediaan Sarana dan Prasarana Ketersediaan air bersih</t>
  </si>
  <si>
    <t>4.5. Program Pengembangan, Pemeliharaan Jaringan Listrik dan Telpon</t>
  </si>
  <si>
    <t>4.5.1. Pengembangan pemeliharaan jaringan Listrik dan telepon</t>
  </si>
  <si>
    <t>5.1. Program pengembangan perumahan</t>
  </si>
  <si>
    <t>5.1.1. Bantuan Perumahan Swadaya</t>
  </si>
  <si>
    <t>6. Dinas Perhubungan</t>
  </si>
  <si>
    <t>6.1. Program Peningkatan Pelayanan Angkutan</t>
  </si>
  <si>
    <t>6.1.1. Kegiatan Penciptaan Pelayanan Cepat, Tepat, Murah dan Mudah</t>
  </si>
  <si>
    <t>6.2. Program pembangunan sarana dan prasarana perhubungan</t>
  </si>
  <si>
    <t>6.2.1. Pembangunan Dan Rehabilitasi Dermaga Lokal</t>
  </si>
  <si>
    <t>6.3. Program pengendalian dan pengamanan lalu lintas</t>
  </si>
  <si>
    <t>6.3.1. Pengadaan pagar pengaman jalan</t>
  </si>
  <si>
    <t>6.3.2. Pengadaan Prasarana Lalu Lintas</t>
  </si>
  <si>
    <t>7.1. Program Peningkatan dan pengembangan ketahanan pangan</t>
  </si>
  <si>
    <t>7.1.1. Lomba Cipta Menu Beragam, Bergisi Seimbang dan Aman (B2SA) berbasis Pangan Lokal Tk. Kabupaten</t>
  </si>
  <si>
    <t>7.1.2. Lomba Cipta Menu Beragam, Bergizi, Seimbang dan Aman (B2SA) Berbasis Pangan Lokal Tingkat Provinsi</t>
  </si>
  <si>
    <t>7.1.3. Pemanfaatan Pekarangan</t>
  </si>
  <si>
    <t>8.1. Program Peningkatan Sarana dan Prasarana Aparatur</t>
  </si>
  <si>
    <t>8.1.1. Pembangunan gedung kantor</t>
  </si>
  <si>
    <t>8.2. Pemberdayaan Penyuluh Pertanian Lapangan (PPL)</t>
  </si>
  <si>
    <t>8.2.1. Penunjang Bagi Kantor Balai Penyuluhan Pertanian</t>
  </si>
  <si>
    <t>8.3. Program peningkatan  produksi pertanian/ perkebunan</t>
  </si>
  <si>
    <t>8.3.1. Mobilisasi Peralatan Pertanian</t>
  </si>
  <si>
    <t xml:space="preserve">8.3.2. Penyediaan Bibit tanaman Buah-Buahan bagi Masyarakat Tani  </t>
  </si>
  <si>
    <t xml:space="preserve">8.3.3. Pengadaan Bibit/benih Sayuran Untuk Petani di 7 Distrik  </t>
  </si>
  <si>
    <t xml:space="preserve">8.3.4. Pengadaan Obat-Obatan dan Peralatan Pertanian </t>
  </si>
  <si>
    <t>8.3.5. Penanaman Sejuta Pala</t>
  </si>
  <si>
    <t>8.3.6. Pengembangan Tanaman Pisang</t>
  </si>
  <si>
    <t>8.3.7. Pengembangan Tanaman Keladi</t>
  </si>
  <si>
    <t>8.4. Program pencegahan dan penanggulangan penyakit ternak</t>
  </si>
  <si>
    <t>8.4.1. Pemeliharaan kesehatan dan pencegahan penyakit menular ternak</t>
  </si>
  <si>
    <t>8.4.2. Pengadaan Alat dan Obat-Obatan Keswan</t>
  </si>
  <si>
    <t>8.4.3. Pengambilan Sampel Darah Unggas di Distrik Kaimana dan Pemeriksaan Sampel Darah di BBV Maros Makassar</t>
  </si>
  <si>
    <t>8.5. Program peningkatan produksi peternakan</t>
  </si>
  <si>
    <t>8.5.1. Pengembangan Ternak Sapi</t>
  </si>
  <si>
    <t>8.5.2. Pengembangan Ayam Buras 800 ekor di Dist. Arguni Bawah (Kamp.Seraran, Waromi, Mandiwa)</t>
  </si>
  <si>
    <t>8.6. Program Produksi Perkebunan</t>
  </si>
  <si>
    <t>8.6.1. Budidaya Tanaman Perkebunan</t>
  </si>
  <si>
    <t>9.1. Program Peningkatan Kapasitas Sumber Daya Aparatur</t>
  </si>
  <si>
    <t>9.1.2. Validasi Data Nelayan Bagi Operator Sistem Kartu Kusuka dan Asuransi Nelayan</t>
  </si>
  <si>
    <t>9.1.3. Pendampingan dan Pembinaan Budidaya Perikanan dan Paska Panen</t>
  </si>
  <si>
    <t>9.2. Program pengembangan budidaya perikanan</t>
  </si>
  <si>
    <t>9.2.1. Pelatihan Penangkaran kepiting Bakau</t>
  </si>
  <si>
    <t>9.2.2. Tempat penjemuran rumput laut</t>
  </si>
  <si>
    <t>9.2.3. Kebun Produksi Rumput Laut</t>
  </si>
  <si>
    <t>9.2.4. Sarana Prasarana budidaya Perikanan</t>
  </si>
  <si>
    <t>9.2.5. Pembuatan Penangkaran Kepiting Bakau</t>
  </si>
  <si>
    <t>9.3. Program pengembangan perikanan tangkap</t>
  </si>
  <si>
    <t>9.3.1. Demonstrasi cara Pembuatan dan Perawatan Alat Tangkap Gilnet dan Tramel net</t>
  </si>
  <si>
    <t>9.3.2. Demonstrasi cara Pembuatan Sero Tancap</t>
  </si>
  <si>
    <t>9.3.3. Penyediaan peralatan Perikanan Tangkap</t>
  </si>
  <si>
    <t>9.3.4. forum KUB Perikanan Tangkap</t>
  </si>
  <si>
    <t>9.3.5. Operasional Petugas Pendamping Pemberdayaan Usaha Skala Masyarakat KP</t>
  </si>
  <si>
    <t>9.4. Program Pengembangan Simpul Pemasaran Dan Pengembangan Usaha</t>
  </si>
  <si>
    <t>9.4.1. Pelatihan Pengolahan Hasil tangkapan untuk meningkatkan Nilai Jual</t>
  </si>
  <si>
    <t>9.4.2. Peningkatan Pelayanan Usaha dan Inventarisasi kapal Perikanan</t>
  </si>
  <si>
    <t>10. Dinas Perindustrian, Perdagangan dan Koperasi Usaha Kecil dan Menengah</t>
  </si>
  <si>
    <t>10.1. Program peningkatan kualitas kelembagaan koperasi</t>
  </si>
  <si>
    <t>10.1.1. Pendampingan Koperasi Aktif dan UKM</t>
  </si>
  <si>
    <t>10.1.2. Assasment Kondisi Koperasi</t>
  </si>
  <si>
    <t>10.2. Program pengembangan industri kecil dan menengah</t>
  </si>
  <si>
    <t>10.2.1. Fasilitasi Pemasaran dan Promosi Produk</t>
  </si>
  <si>
    <t>10.2.2. Pameran Hasil Produk IKM dan UKM di Kabupaten Kaimana</t>
  </si>
  <si>
    <t>10.3. Program perlindungan konsumen dan pengamanan perdagangan</t>
  </si>
  <si>
    <t>10.3.1. Pelayanan Tera atau Tera Ulang UTTP</t>
  </si>
  <si>
    <t>10.3.2. Kalibrasi Alat Laboraturium UTTP</t>
  </si>
  <si>
    <t>10.3.3. Pemeriksaan Terhadap Ukuran Takaran Timbangan dan Perlengkapannya (UTTP)</t>
  </si>
  <si>
    <t>10.4. Program Pengembangan Sarana dan Prasarana Perdagangan</t>
  </si>
  <si>
    <t>10.4.1. Pengadaan Tenda dan Meja Jualan Bagi Pedagang Orang Asli Papua</t>
  </si>
  <si>
    <t>11.1.1. Pembinaan dan Fasilitasi Pembangungan Kawasan Pedesaan</t>
  </si>
  <si>
    <t>11.2. Program peningkatan partisipasi masyarakat dalam membangun desa</t>
  </si>
  <si>
    <t>11.2.1. Kegiatan Lomba Kampung Tingkat Kabupaten Tahun 2019</t>
  </si>
  <si>
    <t>11.3. Program Pemberdayaan Masyarakat Pedesaan</t>
  </si>
  <si>
    <t>11.3.1. Pembinaan dan Fasilitasi Pengelolaan Keuangan dan Pembinaan Kampung</t>
  </si>
  <si>
    <t>11.4. Program Peningkatan Kapasitas Aparat Pemberdayaan Masyarakat dan Pemerintahan Kampung</t>
  </si>
  <si>
    <t>11.4.1. Pelatihan Penguatan Kapasitas Aparat Bina Pemerintahan, Pemberdayaan, Pembangunan dan Keuangan Kampung</t>
  </si>
  <si>
    <t>11.4.2. Pembinaan penyelenggaraan pemerintahan kampung</t>
  </si>
  <si>
    <t>11.4.3. fasilitasi pemilihan dan pelantikan kepala kampung</t>
  </si>
  <si>
    <t>12.1. Program pelayanan dan rehabilitasi kesejhateraan sosial</t>
  </si>
  <si>
    <t>12.1.1. Rehabilitasi Kesejahteraan Sosial untuk Penyandang Cacat Mental</t>
  </si>
  <si>
    <t>12.2. Program komunitas adat terpencil</t>
  </si>
  <si>
    <t>12.2.1. Pemetaan Sosial Kampung Jarati</t>
  </si>
  <si>
    <t>12.2.2. Penjajakan Awal Kampung Kategori KAT (Kpg. Jarati)</t>
  </si>
  <si>
    <t>12.2.3. Semiloka Daerah</t>
  </si>
  <si>
    <t>12.2.4. Pelayanan Sosial Bagi Lansia,Veteran, Asrama/Pesantren dan Orang Terlantar</t>
  </si>
  <si>
    <t>14. Dinas Pemberdayaan Perempuan dan Perlindungan Anak</t>
  </si>
  <si>
    <t>14.1. Program Peningkatan Kualitas Hidup dan Perlindungan Perempuan</t>
  </si>
  <si>
    <t>14.1.1. Fasilitasi Perlindungan Perempuan dan Anak Korban kekerasan Melalui P2TP24</t>
  </si>
  <si>
    <t>14.2. Program Peningkatan Kesejahteraan Perlindungan Anak</t>
  </si>
  <si>
    <t>14.2.1. Pelatihan Bagi Pelatih (TOT) Perlindungan Anak Berbasis Masyarakat (PABM)</t>
  </si>
  <si>
    <t>14.2.2. Sosialisasi Konvensi Hak Anak (KHA) dan UU No 35 Tahun 2014 tentang Perlindungan anak bagi guru, siswa dan orang tua</t>
  </si>
  <si>
    <t>15.1. Program Pengembangan, Pelestarian Nilai Budaya Dan Etika</t>
  </si>
  <si>
    <t>15.1.1. Pesta Seni Nggama</t>
  </si>
  <si>
    <t>15.1.2. Fasilitasi Pembentukan Dewan Kesenian Kaimana</t>
  </si>
  <si>
    <t>15.2. Program pengembangan pemasaran pariwisata</t>
  </si>
  <si>
    <t>15.2.1. Pemutakhiran Data Pariwisata Kaimana</t>
  </si>
  <si>
    <t>16.1. Program perencanaan pembangunan daerah</t>
  </si>
  <si>
    <t>16.1.1. Monitoring, evaluasi dan pelaporan</t>
  </si>
  <si>
    <t>16.1.2. Fasilitasi TKPKD Kabupaten Kaimana</t>
  </si>
  <si>
    <t>16.1.3. Pameran Otsus dan Promosi Potensi Daerah</t>
  </si>
  <si>
    <t>16.2. Program perencanaan sosial dan budaya</t>
  </si>
  <si>
    <t>16.2.1. Pendataan dan Penyusunan Data Base Penduduk Miskin dan OAP Kabupaten Kaimana</t>
  </si>
  <si>
    <t>16.3. Program Data dan Informasi</t>
  </si>
  <si>
    <t>16.3.1. Penyusunan Database Perikanan</t>
  </si>
  <si>
    <t>17. Badan Pengelola Keuangan dan Aset Daerah</t>
  </si>
  <si>
    <t>17.1. Belanja Hibah</t>
  </si>
  <si>
    <t>17.2. Belanja Hibah Dana BOSDA ke TK, SD dan SMP</t>
  </si>
  <si>
    <t>17.3. Bantuan sosial Organisasi Keagamaan</t>
  </si>
  <si>
    <t>17.4. Bantuan Sosial Sorganisasi Seni, budaya, dan Olahraga</t>
  </si>
  <si>
    <t xml:space="preserve">17.5. Bantuan yang tidak dapat direncanakan </t>
  </si>
  <si>
    <t>17.6. Bantuan Masyarakat</t>
  </si>
  <si>
    <t>17.7. Bantuan untuk Pendidikan</t>
  </si>
  <si>
    <t>VI. KABUPATEN RAJA AMPAT</t>
  </si>
  <si>
    <t>1. DINAS PENDIDIKAN DAN KEBUDAYAAN</t>
  </si>
  <si>
    <t>1.1. Program Pelayanan Administrasi Perkantoran</t>
  </si>
  <si>
    <t xml:space="preserve">1.1.1. Penyediaan Jasa Tenaga Non PNS  </t>
  </si>
  <si>
    <t xml:space="preserve">1.2.1. Pembangunan Gedung Sekolah Persiapan Napirboi  </t>
  </si>
  <si>
    <t xml:space="preserve">1.2.2. Pembangunan Rumah Guru SMP Persiapan Wayom </t>
  </si>
  <si>
    <t xml:space="preserve">1.2.3. Pembangunan Rumah Guru SD YPK BETHEL Deer (Kopel)  </t>
  </si>
  <si>
    <t xml:space="preserve">1.2.4. Pembangunan Rumah Guru SD Persiapan Warisapo  </t>
  </si>
  <si>
    <t xml:space="preserve">1.2.5. Rehabilitasi Asrama Mahasiswa di Manokwari  </t>
  </si>
  <si>
    <t xml:space="preserve">1.2.6. Rehabilitasi 4 Kopel Rumah Guru SMP Negeri 8 Raja Ampat </t>
  </si>
  <si>
    <t xml:space="preserve">1.2.8. Rehabilitasi Gedung Sekolah SD Inpres 24 Folley </t>
  </si>
  <si>
    <t xml:space="preserve">1.2.9. Pembangunan Rumah Guru SMP Negeri 19 Gag  </t>
  </si>
  <si>
    <t xml:space="preserve">1.2.10.Pembangunan Rumah Guru SD Negeri 18 Gamta  </t>
  </si>
  <si>
    <t xml:space="preserve">1.2.11.Pembangunan Rumah Guru SMP Negeri 2 Raja Ampat  </t>
  </si>
  <si>
    <t xml:space="preserve">1.2.12.Pembangunan Rumah Guru SD YPK Betfage Kabare  </t>
  </si>
  <si>
    <t xml:space="preserve">1.2.13.Pengadaan Meubelair SMP Negeri 2 Raja Ampat  </t>
  </si>
  <si>
    <t xml:space="preserve">1.2.14.Rehabilitasi Gedung Laboratorium Kalobo </t>
  </si>
  <si>
    <t xml:space="preserve">1.2.15.Pembangunan RKB SMP YPK Limalas  </t>
  </si>
  <si>
    <t xml:space="preserve">1.2.16.Pengadaan Meubelair SMP YPK Limalas  </t>
  </si>
  <si>
    <t xml:space="preserve">1.2.17.Pembangunan RKB MTs Darusalam Lilinta  </t>
  </si>
  <si>
    <t xml:space="preserve">1.2.18.Penataan Halaman SMP Negeri 14 Raja Ampat </t>
  </si>
  <si>
    <t xml:space="preserve">1.2.19.Pembangunan 3 Ruang dan Meubelair Kelas SD Negeri 1 Kurano  </t>
  </si>
  <si>
    <t xml:space="preserve">1.2.20.Pembangunan Lanjutan 2 RKB SD Perum 100  </t>
  </si>
  <si>
    <t xml:space="preserve">1.2.21.Rehabilitasi Gedung Kantor Dinas Pendidikan dan Kebudayaan  </t>
  </si>
  <si>
    <t>1.3. Program peningkatan dan pengembangan pengelolaan keuangan daerah</t>
  </si>
  <si>
    <t xml:space="preserve">1.3.1. Bimtek Penyusunan LAKIP, RENJA dan RENSTRA </t>
  </si>
  <si>
    <t xml:space="preserve">1.3.2. Bimtek Penyusunan dan Pertanggungjawaban Laporan Keuangan  </t>
  </si>
  <si>
    <t xml:space="preserve">1.3.3. Penyusunan Profil Dinas Pendidikan </t>
  </si>
  <si>
    <t xml:space="preserve">1.3.4. Monitoring dan Pendataan Serta Evaluasi Hasil Kegiatan Fisik dan Non Fisik  </t>
  </si>
  <si>
    <t xml:space="preserve">1.4.1. Penyelenggaraan Pendidikan Anak Usia Dini  </t>
  </si>
  <si>
    <t xml:space="preserve">1.4.2. Diklat Mahir Tutor PAUD  </t>
  </si>
  <si>
    <t xml:space="preserve">1.4.3. Peningkatan PKBM  </t>
  </si>
  <si>
    <t xml:space="preserve">1.4.4. Gebyar PAUD/TK  </t>
  </si>
  <si>
    <t xml:space="preserve">1.4.5. Pengadaan Seragam Peserta Didik PAUD dan TK </t>
  </si>
  <si>
    <t xml:space="preserve">1.4.6. Monitoring PAUD, TK dan PKBM Tingkat Distrik  </t>
  </si>
  <si>
    <t xml:space="preserve">1.4.7. Pemetaan Mutu dan Akreditasi PAUD dan TK  </t>
  </si>
  <si>
    <t xml:space="preserve">1.4.8. Pematangan Lokasi PAUD (Lanjutan)  </t>
  </si>
  <si>
    <t xml:space="preserve">1.4.9. Renovasi Gedung Paud  </t>
  </si>
  <si>
    <t>1.5. Program wajib belajar pendidikan 9 tahun</t>
  </si>
  <si>
    <t xml:space="preserve">1.5.1. Penyelenggaraan UAS/UAN SD/MI  </t>
  </si>
  <si>
    <t xml:space="preserve">1.5.2. Penyelenggaraan UAS/UAN SMP/MTs </t>
  </si>
  <si>
    <t xml:space="preserve">1.5.3. Penyelenggaraan Paket A dan B  </t>
  </si>
  <si>
    <t xml:space="preserve">1.5.4. Penyelenggaraan Paket C  </t>
  </si>
  <si>
    <t xml:space="preserve">1.5.5. Ujian Nasional Berbasis Komputer (UNBK Online) di SMPN 14, SMPN 21, SMPN 5, SMP YPK Alfa Omega dan MTs  </t>
  </si>
  <si>
    <t xml:space="preserve">1.5.6. Lomba Olimpiade Sains Tingkat SD dan SMP  </t>
  </si>
  <si>
    <t xml:space="preserve">1.5.7. Perlombaan Menyongsong HARDIKNAS </t>
  </si>
  <si>
    <t xml:space="preserve">1.5.8. Pembangunan SD Persiapan Napriboy  </t>
  </si>
  <si>
    <t>1.6. Program Pendidikan Non Formal</t>
  </si>
  <si>
    <t xml:space="preserve">1.6.1. Kejar Paket A, B dan C  </t>
  </si>
  <si>
    <t xml:space="preserve">1.6.2. Diklat Berjenjang Tingkat Mahir  </t>
  </si>
  <si>
    <t xml:space="preserve">1.7.1. Peningkatan Pengawas SD dan SMP  </t>
  </si>
  <si>
    <t xml:space="preserve">1.7.2. Sistem Pengawasan Pendidikan di Daerah 3T  </t>
  </si>
  <si>
    <t xml:space="preserve">1.7.3. Pembayaran Sewa Asrama Mahasiswa Raja Ampat  </t>
  </si>
  <si>
    <t xml:space="preserve">1.7.4. Pembangunan Asrama Mahasiswa di Jayapura  </t>
  </si>
  <si>
    <t xml:space="preserve">1.7.5. Pembangunan Asrama Mahasiswa di Sorong </t>
  </si>
  <si>
    <t xml:space="preserve">1.7.6. Pelaksanaan Affirmasi ADEM dan ANDIK </t>
  </si>
  <si>
    <t>1.8. Program Pengelolaan Kekayaan Budaya</t>
  </si>
  <si>
    <t xml:space="preserve">1.8.1. Pencetakan Buku Warisan Seni Budaya dan Sejarah Kepurbakalan  </t>
  </si>
  <si>
    <t xml:space="preserve">1.8.2. Festival Suling Tambur </t>
  </si>
  <si>
    <t xml:space="preserve">1.8.3. Pembinaan Lembaga Kesenian/Sanggar Seni </t>
  </si>
  <si>
    <t>1.8.4. Pengenalan Seni Budaya Raja Ampat Dalam Negeri dan Luar Negeri</t>
  </si>
  <si>
    <t xml:space="preserve">1.8.5. Pemberian Bantuan Penunjang Alat Kesenian Tradisional  </t>
  </si>
  <si>
    <t>1.8.6. Seminar Budaya Lokal Raja Ampat</t>
  </si>
  <si>
    <t>1.8.7. Monitoring Ke Tempat Bersejarah di Raja Ampat</t>
  </si>
  <si>
    <t>1.8.8. Pengadaan Alat Kesenian dan Budaya</t>
  </si>
  <si>
    <t>1.9. Program Peningkatan Disiplin Aparatur</t>
  </si>
  <si>
    <t xml:space="preserve">1.9.1. Pengadaan Pakaian Dinas Guru Honorer </t>
  </si>
  <si>
    <t>1.10. Program Peningkatan Kapasitas Sumber Daya Aparatur</t>
  </si>
  <si>
    <t xml:space="preserve">1.10.1. Kegiatan MGMP (Musyawarah Guru Mata Pelajaran) SMP </t>
  </si>
  <si>
    <t xml:space="preserve">1.10.2. Kegiatan KKG (Kelompok Kerja Guru) SD  </t>
  </si>
  <si>
    <t xml:space="preserve">1.10.3. Pelatihan Kurikulum 13 Tingkat SD  </t>
  </si>
  <si>
    <t xml:space="preserve">1.10.4. Pelatihan Kurikulum 13 Tingkat SMP </t>
  </si>
  <si>
    <t xml:space="preserve">1.10.5. Pelaksanaan Akreditasi Sekolah </t>
  </si>
  <si>
    <t xml:space="preserve">1.10.6. Kompetisi Gala Siswa Indonesia  </t>
  </si>
  <si>
    <t xml:space="preserve">1.10.7. Diklat Penyusunan SKP dan PAK Bagi Kepala Sekolah SD dan SMP  </t>
  </si>
  <si>
    <t xml:space="preserve">1.10.8. Konfrensi PGRI  </t>
  </si>
  <si>
    <t xml:space="preserve">1.10.9. Pengembangan Dharma Wanita Persatuan  </t>
  </si>
  <si>
    <t>2.1. Program Peningkatan Kapasitas Sumberdaya Aparatur</t>
  </si>
  <si>
    <t xml:space="preserve">2.1.1. Pelatihan ATCLS  </t>
  </si>
  <si>
    <t xml:space="preserve">2.1.2. Workshop Petugas Puskesmas tentang Tatalaksana Bayi/Balita Pneumonia  </t>
  </si>
  <si>
    <t xml:space="preserve">2.1.3. Pelatihan dan Magang Bagi Pengelola VCT HIV/AIDS Puskesmas  </t>
  </si>
  <si>
    <t xml:space="preserve">2.1.4. Honor kader posyandu dan dukun bersalin </t>
  </si>
  <si>
    <t xml:space="preserve">2.1.5. Sertifikasi dan kopetensi tenaga kesehatan  </t>
  </si>
  <si>
    <t xml:space="preserve">2.1.6. Pendidikan D-IV kebidanan </t>
  </si>
  <si>
    <t xml:space="preserve">2.1.7. Workshop Pengelolaan Program Kusta dan Malaria  </t>
  </si>
  <si>
    <t xml:space="preserve">2.1.8. Pelatihan managemen puskesmas terpadu  </t>
  </si>
  <si>
    <t>3. RUMAH SAKIT UMUM  DAERAH</t>
  </si>
  <si>
    <t>3.1. Program Upaya Kesehatan Masyarakat</t>
  </si>
  <si>
    <t xml:space="preserve">3.1.1. Pelayanan Pemberian Makan dan Minum Pasien Rawat Inap  </t>
  </si>
  <si>
    <t>3.2. Progaram Peningkatan Disiplin Aparatur</t>
  </si>
  <si>
    <t>3.3. Program Kemitraan Peningkatan Layanan Kesehatan</t>
  </si>
  <si>
    <t xml:space="preserve">3.3.1. Kerjasama Penugasan Dokter Spesialis Tetap  </t>
  </si>
  <si>
    <t xml:space="preserve">3.3.2. Peningkatan Pelayanan Tenaga Ahli Mitra Dokter Spesialis (Penata Anastesi)  </t>
  </si>
  <si>
    <t xml:space="preserve">3.3.3. Peningkatan Pelayanan Dokter Jaga UGD  </t>
  </si>
  <si>
    <t xml:space="preserve">3.3.4. Kerjasama Penugasan Dokter Gigi RS  </t>
  </si>
  <si>
    <t xml:space="preserve">3.3.5. Peningkatan Pelayanan Tenaga Dokter Umum/ Insentif  </t>
  </si>
  <si>
    <t>3.4. Program Peningkatan Kapasitas Sumber Daya Aparatur</t>
  </si>
  <si>
    <t xml:space="preserve">3.4.1. Pendidikan dan Pelatihan SDM Dokter  </t>
  </si>
  <si>
    <t>4. DINAS PEKERJAAN UMUM DAN PERUMAHAN</t>
  </si>
  <si>
    <t>4.1. Program Pemeliharaan dan Pengadaan Sarana dan Prasarana Umum</t>
  </si>
  <si>
    <t xml:space="preserve">4.1.1. Operasional UPTD SPAM  </t>
  </si>
  <si>
    <t>4.2. Program Rehabilitasi/Pemeliharaan Jalan dan Jembatan</t>
  </si>
  <si>
    <t xml:space="preserve">4.2.1. Semenisasi Jalan di dalam cotage Folley  </t>
  </si>
  <si>
    <t>4.3. Program Pematangan Jaringan Air Bersih</t>
  </si>
  <si>
    <t xml:space="preserve">4.3.1. Pembangunan JP Sumur Bor di Waidin  </t>
  </si>
  <si>
    <t xml:space="preserve">4.3.2. Pembangunan JP Sumur Bor di Sakabu  </t>
  </si>
  <si>
    <t xml:space="preserve">4.3.3. Pembangunan JP Sumur Bor di Kalobo  </t>
  </si>
  <si>
    <t>4.4. Program Pengembangan dan Pengelolaan Jaringan Irigasi, Rawa dan Jaringan Pengairan</t>
  </si>
  <si>
    <t xml:space="preserve">4.4.1. Pemetaan dan Inventarisasi Potensi Sumberdaya Air  </t>
  </si>
  <si>
    <t>4.5. Program Pembangunan Sarana dan Prasarana Pemerintahan</t>
  </si>
  <si>
    <t xml:space="preserve">4.5.1. Pembangunan Kantor Klasis Raja Ampat Utara  </t>
  </si>
  <si>
    <t xml:space="preserve">4.5.2. Pembangunan Gedung Gereja Tabernekel </t>
  </si>
  <si>
    <t xml:space="preserve">4.5.3. Pembangunan Gedung Gereja Saporkren (lanjutan)  </t>
  </si>
  <si>
    <t xml:space="preserve">4.5.4. Pembangunan Masjid Al-Mujib Kelurahan sapordanko (lanjutan)  </t>
  </si>
  <si>
    <t xml:space="preserve">4.5.5. Rehabilitasi Masjid di Jefman  </t>
  </si>
  <si>
    <t xml:space="preserve">4.5.6. Rehabilitasi Masjid di Waibu dan Pagar  </t>
  </si>
  <si>
    <t xml:space="preserve">4.5.7. Pembangunan Mesjid di perumahan 100  </t>
  </si>
  <si>
    <t>5. DINAS KEBERSIHAN DAN PERTAMANAN</t>
  </si>
  <si>
    <t>5.1. Program Pembangunan dan Sarana Pendukung Kebersihan dan Pertamanan</t>
  </si>
  <si>
    <t xml:space="preserve">5.1.1. Pengadaan Truk Sampah/Ambrol dan Mobil Khusus pengawasan sampah daerah wisata (skala prioritas)  </t>
  </si>
  <si>
    <t xml:space="preserve">5.1.2. Akses menuju TPS (Permanen)  </t>
  </si>
  <si>
    <t xml:space="preserve">5.1.3. Pengadaan Rangka Pengaman Tempat Sampah  </t>
  </si>
  <si>
    <t>5.2. Program Pengelolaan Ruang Terbuka Hijau (RTH)</t>
  </si>
  <si>
    <t>5.2.1. Pembangunan Taman Pintar Kofarkor (Lanjutan)</t>
  </si>
  <si>
    <t>5.3. Program Peningkatan Cakupan Pelayanan Kebersihan dan Peningkatan sarana prasarana pengelolaan Sampah</t>
  </si>
  <si>
    <t xml:space="preserve">5.3.1. Kebersihan Taman dan Lingkungan Kota  </t>
  </si>
  <si>
    <t xml:space="preserve">5.3.2. Pengangkutan Sampah dari Rumah-TPS-TPA  </t>
  </si>
  <si>
    <t>5.4. Program Peningkatan Cakupan Pelayanan Kebersihan dan Peningkatan sarana prasarana pengelolaan Sampah</t>
  </si>
  <si>
    <t xml:space="preserve">5.4.1. Lanjutan Penataan Taman Kota  </t>
  </si>
  <si>
    <t xml:space="preserve">5.4.2. Pengadaan Peralatan Pendukung Kebersihan dan Pertamanan  </t>
  </si>
  <si>
    <t xml:space="preserve">5.4.3. Pembelian Obatan dan Pupuk  </t>
  </si>
  <si>
    <t xml:space="preserve">5.4.4. Pengecetan Pot dan Median Jalan  </t>
  </si>
  <si>
    <t xml:space="preserve">5.4.5. Pengadaan Polybag dan Pot Bunga </t>
  </si>
  <si>
    <t>5.5. Program Peningkatan Fasilitas Penerangan Jalan Umum</t>
  </si>
  <si>
    <t xml:space="preserve">5.5.1. Pemeliharaan dan Operasional Penerangan jalan umum  </t>
  </si>
  <si>
    <t>5.6. Program Peningkatan Kualitas, Kuantitas dan Ketersediaan Sarana Prasarana TPU</t>
  </si>
  <si>
    <t xml:space="preserve">5.6.1. Penataan TPU Kota Waisai  </t>
  </si>
  <si>
    <t>6. DINAS PERUMAHAN, KAWASAN PEMUKIMAN, TATA RUANG DAN PERTANAHAN</t>
  </si>
  <si>
    <t>6.1. Program Pengembangan dan Pembangunan Perumahan</t>
  </si>
  <si>
    <t xml:space="preserve">6.1.1. Pembangunan Homestay di Yenbeser </t>
  </si>
  <si>
    <t>6.2. Program Pengembangan dan Pembangunan Infrastruktur Kawasan Permukiman</t>
  </si>
  <si>
    <t xml:space="preserve">6.2.1. Peningkatan Jalan Lingkungan di Kampung Folley  </t>
  </si>
  <si>
    <t>6.3. Program Pembangunan Saranan dan Prasrana Umum</t>
  </si>
  <si>
    <t xml:space="preserve">6.3.1. Pembangunan Pastori di Yenbuba  </t>
  </si>
  <si>
    <t xml:space="preserve">6.3.2. Pembangunan Rumah Kesenian di Meosbekwan </t>
  </si>
  <si>
    <t xml:space="preserve">6.3.3. Pembangunan Pastori di Meosmanggara  </t>
  </si>
  <si>
    <t xml:space="preserve">6.3.4. Pembangunan Rumah Imam Mesjid  </t>
  </si>
  <si>
    <t xml:space="preserve">6.3.5. Pembangunan Tugu Injil di PAM  </t>
  </si>
  <si>
    <t>6.3.6. Pembangunan Kantor Gereja di Atkari</t>
  </si>
  <si>
    <t>7.1. Program Peningkatan Sarana dan Prasarana Aparatur</t>
  </si>
  <si>
    <t xml:space="preserve">7.1.1. Penataan Halaman Kantor Dinas Sosial (lanjutan)  </t>
  </si>
  <si>
    <t xml:space="preserve">7.1.2. Penataan halaman masjid polres Raja Ampat  </t>
  </si>
  <si>
    <t xml:space="preserve">7.1.3. Pengadaan Teralis Kantor Dinas Sosial  </t>
  </si>
  <si>
    <t>7.2. Program Pemberdayaan Penyandang Masalah Kesejahteraan Sosial (PMKS) dan Potensi Sumber Daya Kesejahteraan Sosial (PSKS)</t>
  </si>
  <si>
    <t xml:space="preserve">7.2.1. Operasional TKSK  </t>
  </si>
  <si>
    <t xml:space="preserve">7.2.2. Operasional Pendampingan PKH  </t>
  </si>
  <si>
    <t xml:space="preserve">7.2.3. Kegiatan Wisata Rohani Keagamaan (Yerusalem dan Mekkah)  </t>
  </si>
  <si>
    <t>7.3. Program Informasi Sistem Kesejahteraan Sosial</t>
  </si>
  <si>
    <t xml:space="preserve">7.3.1. Penyusunan Renja, RKA, SIRUP, dan Lakip Dinas Sosial  </t>
  </si>
  <si>
    <t xml:space="preserve">7.3.2. Monitoring dan evaluasi kegiatan </t>
  </si>
  <si>
    <t>8.1. Program Peningkatan SDM dan Petugas</t>
  </si>
  <si>
    <t xml:space="preserve">8.1.1. Peningkatan Kreatifitas Menu Pangan (Lomba Cipta Menu)  </t>
  </si>
  <si>
    <t xml:space="preserve">8.1.3. Hari Ekspo Pangan Sedunia  </t>
  </si>
  <si>
    <t xml:space="preserve">8.1.3. Bimtek Penangkaran Benih Padi Sawah dan Padi Gogo </t>
  </si>
  <si>
    <t xml:space="preserve">8.1.4. Pelatihan Pemetaan Lahan &amp; Irigasi Pertanian Menggunakan Drone dan GPS  </t>
  </si>
  <si>
    <t xml:space="preserve">8.1.5. Pekan Daerah (PEDA) 2019 Kabupaten Bintuni Prov. Papua Barat  </t>
  </si>
  <si>
    <t>8.2. Program Peningkatan Produksi Pertanian</t>
  </si>
  <si>
    <t xml:space="preserve">8.2.1. Pelatihan Budidaya Ternak </t>
  </si>
  <si>
    <t xml:space="preserve">8.2.2. Pengembangan Produksi Ayam Petelur dan Ayam Pedaging  </t>
  </si>
  <si>
    <t xml:space="preserve">8.2.3. Pengamatan, Pencegahan dan Pemberatasan Penyakit Hewan Menular  </t>
  </si>
  <si>
    <t xml:space="preserve">8.2.4. Penyusunan Neraca Bahan Makanan (NDM)  </t>
  </si>
  <si>
    <t>8.3. Program Peningkatan Sarana dan Prasarana</t>
  </si>
  <si>
    <t xml:space="preserve">8.3.1. Pengembangan UPJA  </t>
  </si>
  <si>
    <t xml:space="preserve">8.3.2. Pembangunan Gudang ALSINTAN  </t>
  </si>
  <si>
    <t xml:space="preserve">8.3.3. Pengadaan Sarana dan Prasarana Pos Kesehatan Hewan, Bonkawir </t>
  </si>
  <si>
    <t>9. DINAS PENGENDALIAN PENDUDUK DAN PENCATATAN SIPIL</t>
  </si>
  <si>
    <t xml:space="preserve">9.1.1. Pengadaan dan Pemeliharaan Peralatan Elektronik  </t>
  </si>
  <si>
    <t xml:space="preserve">9.1.2. Pengadaan Peralatan E KTP  </t>
  </si>
  <si>
    <t>9.2. Program Peningkatan Sumber Daya Aparatur</t>
  </si>
  <si>
    <t xml:space="preserve">9.2.1. Pelatihan tenaga operator SIAK dan Pelyn adm.kependudukan dan capil  </t>
  </si>
  <si>
    <t xml:space="preserve">9.2.2. Pelatihan penerbit Sistem Teknologi Informasi Sarana Prasarana  </t>
  </si>
  <si>
    <t>9.3. Program Implementasi Sistem Administrasi Kependudukan</t>
  </si>
  <si>
    <t xml:space="preserve">9.3.1. Pelayanan Nikah Catatan Sipil (Nikah Massal)  </t>
  </si>
  <si>
    <t>9.4. Program Peningkatan Kualitas Pelayanan Publik</t>
  </si>
  <si>
    <t xml:space="preserve">9.4.1. Pelayanan Kependudukan Secara Mobile dan Pendataan Penduduk </t>
  </si>
  <si>
    <t>10. DINAS PEMBERDAYAAN MASYARAKAT DAN KAMPUNG</t>
  </si>
  <si>
    <t>10.1. Program peningkatan Pengembangan Sistem Pelaporan Capaian Kinerja dan Keuangan</t>
  </si>
  <si>
    <t xml:space="preserve">10.1.1. Penyusunan Renja, Lakip dan Laporan Keuangan  </t>
  </si>
  <si>
    <t>10.2. Program Pengembangan dan Pengelolaan Keuangan Desa</t>
  </si>
  <si>
    <t xml:space="preserve">10.2.1. Penyusunan RKP dan APBK Desa/Kampung  </t>
  </si>
  <si>
    <t>11. DINAS PEHUBUNGAN</t>
  </si>
  <si>
    <t>11.1. Program Pembangunan Dan Peningkatan Sarana Prasarana Perhubungan Laut</t>
  </si>
  <si>
    <t xml:space="preserve">11.1.1. Pembangunan Gedung Terminal Pelabuhan Wisata Waisai (Lanjutan)  </t>
  </si>
  <si>
    <t>12. DINAS KOPERASI DAN UKM</t>
  </si>
  <si>
    <t>12.1. Program Pengembangan Sistem Pendukung Usaha Bagi Usaha Mikro Kecil Menegah</t>
  </si>
  <si>
    <t xml:space="preserve">12.1.1. Pameran Hasil UKM Kabupaten Raja Ampat </t>
  </si>
  <si>
    <t>13. DINAS KEPEMUDAAN DAN OLAHRAGA</t>
  </si>
  <si>
    <t>14. DINAS PERPUSTAKAAN DAN KEARSIPAN</t>
  </si>
  <si>
    <t>14.1. Program Peningkatan Sarana dan Prasarana Aparatur</t>
  </si>
  <si>
    <t xml:space="preserve">14.1.1. Pengadaan Meubelair Kantor, Perpustakaan Daerah dan Perpustakaan Kampung  </t>
  </si>
  <si>
    <t>14.2. Program Pengembangan Budaya Baca Serta Pengembangan Minat Gemar Membaca</t>
  </si>
  <si>
    <t xml:space="preserve">14.2.1. Lomba Cerita Rakyat Tingkat SD/MI Tingkat Distrik  </t>
  </si>
  <si>
    <t xml:space="preserve">14.2.2. Lomba Cerita Rakyat Tingkat SD/MI Tingkat Kabupaten dan Propinsi </t>
  </si>
  <si>
    <t xml:space="preserve">14.2.3. Peningkatan Layanan Perpustakaan Kampung dan Rumah Pintar  </t>
  </si>
  <si>
    <t>15. DINAS KELAUTAN DAN PERIKANAN</t>
  </si>
  <si>
    <t>15.1. Program Peningkatan Sarana dan Prasarana Aparatur</t>
  </si>
  <si>
    <t xml:space="preserve">15.1.1. Pembangunan gedung kantor  </t>
  </si>
  <si>
    <t>15.2. Program Pengembangan Perikanan Tangkap</t>
  </si>
  <si>
    <t xml:space="preserve">15.2.1. Pengembangan Tempat Pelelangan Ikan (TPI) Di Waigama  </t>
  </si>
  <si>
    <t xml:space="preserve">15.2.2. Pengembangan Tempat Pelelangan Ikan (TPI) Di Yefman </t>
  </si>
  <si>
    <t xml:space="preserve">15.2.3. Pengembangan Tempat Pelelangan Ikan (TPI) Di Supnin  </t>
  </si>
  <si>
    <t xml:space="preserve">15.2.4. Pengadaan Rumpong Di Supnin </t>
  </si>
  <si>
    <t xml:space="preserve">15.2.5. Pengadaan Rumpong Di Misool </t>
  </si>
  <si>
    <t>15.2.6. Pengadaan Rumpong Di Kofiau</t>
  </si>
  <si>
    <t xml:space="preserve">15.2.7. Pembangunan Dermaga TPI (Jefman dan Waigama)  </t>
  </si>
  <si>
    <t xml:space="preserve">15.2.8. Pengadaan Rumpong Di Ayau  </t>
  </si>
  <si>
    <t xml:space="preserve">15.2.9. Pengadaan Rumpong Di Wawarbomi </t>
  </si>
  <si>
    <t>16. DINAS PERINDUSTRIAN DAN PERDAGANGAN</t>
  </si>
  <si>
    <t>16.1. Program Pelayanan Administrasi Perkantoran</t>
  </si>
  <si>
    <t xml:space="preserve">16.1.1. Monitoring, Evaluasi dan Pelaporan </t>
  </si>
  <si>
    <t>16.2. Program Peningkatan Sarana dan Prasarana Aparatur</t>
  </si>
  <si>
    <t xml:space="preserve">16.2.1. Pengadaan Peralatan Kantor </t>
  </si>
  <si>
    <t xml:space="preserve">16.2.2. Pemeliharaan Rutin/Berkala Gedung Kantor  </t>
  </si>
  <si>
    <t>17. BADAN PENANGGULANGAN BENCANA</t>
  </si>
  <si>
    <t>17.1. Program Peningkatan Kapasitas Kemandirian Masyarakat dalam Menghadapi Resiko</t>
  </si>
  <si>
    <t xml:space="preserve">17.1.1. Pelatihan Pengurangan Resiko Bencana (PRB)  </t>
  </si>
  <si>
    <t xml:space="preserve">17.1.2. Simulasi dan Sosialisasi Penanggulangan Bencana  </t>
  </si>
  <si>
    <t>17.1. Program Peningkatan Sarana dan Prasarana Pencegahan</t>
  </si>
  <si>
    <t xml:space="preserve">17.1.1. Pembangunan Talud Penahan Tanah di Komplek POLRES Raja Ampat  </t>
  </si>
  <si>
    <t>18. BADAN PENGELOLA KEUANGAN DAN ASET DAERAH</t>
  </si>
  <si>
    <t>18.1. Belanja Bantuan Keuangan Fungsi Pendidikan</t>
  </si>
  <si>
    <t xml:space="preserve">18.1.1. Belanja Bantuan Operasional Sekolah Daerah (BOSDA)  </t>
  </si>
  <si>
    <t>18.1.2. Bantuan Perkuliahan Mahasiswa Perikanan,Kelautan dan Pariwisata UNIPA-Raja Ampat  (DINAS P&amp;P)</t>
  </si>
  <si>
    <t xml:space="preserve">18.1.3. Bantuan Perkuliahan Mahasiswa PGSD - STKIP (Dinas Pendidikan)  </t>
  </si>
  <si>
    <t xml:space="preserve">18.1.4. Belanja Bantuan Study Akhir Mahasiswa (Dinas Pendidikan)  </t>
  </si>
  <si>
    <t xml:space="preserve">18.1.5. Belanja Biaya Study S1 STPMD  (Dinas Pendidikan)  </t>
  </si>
  <si>
    <t xml:space="preserve">18.1.6. Belanja Biaya Study S1 Universitas De La Salle Manado  (Dinas Pendidikan) </t>
  </si>
  <si>
    <t xml:space="preserve">18.1.7. Belanja Bantuan Study Mahasiswa (Dinas Pendidikan)  </t>
  </si>
  <si>
    <t>18.1.8. Belanja Bantuan Studi Lanjutan S1 Bagi Guru Yang Berijazah D2, D3, D4  (Dinas Pendidikan)</t>
  </si>
  <si>
    <t>18.2. Belanja Bantuan Keuangan Fungsi Kesehatan</t>
  </si>
  <si>
    <t>18.2.1. Belanja Bantuan Jaminan Persalinan (JAMPERSAL)  (Dinas Kesehatan)</t>
  </si>
  <si>
    <t>18.3. Belanja Bantuan Keuangan</t>
  </si>
  <si>
    <t xml:space="preserve">18.3.1. Belanja Bantuan Wisata Rohani Keagamaan kepada Masyarakat (Dinas Sosial) </t>
  </si>
  <si>
    <t xml:space="preserve">18.3.2. Belanja Bantuan Modal Usaha Bagi IKM (DINAS KOPERASI &amp; UKM)  </t>
  </si>
  <si>
    <t>VII. KABUPATEN MAYBRAT</t>
  </si>
  <si>
    <t>1.1 Program Peningkatan Kapasitas Sumber Daya Apratur</t>
  </si>
  <si>
    <t>1.2.   Program Peningkatan Pengembangan Sistem Pelaporan Capaian Kinerja dan Keuangan</t>
  </si>
  <si>
    <t>1.2.1. Penyusunan Laporan Capaian Kinerja dan Ikhtisar Realisasi Kinerja SKPD</t>
  </si>
  <si>
    <t>1.2.2. Penyusunan Laporan Keuangan Akhir Tahun</t>
  </si>
  <si>
    <t>1.3.    Program Pendidikan Anak Usia Dini</t>
  </si>
  <si>
    <t>1.3.1. Pengadaan Guru Kontrak PAUD</t>
  </si>
  <si>
    <t>1.3.2. Studi Banding Bunda-Bunda PAUD</t>
  </si>
  <si>
    <t>1.3.3. Pembangunan PAUD PKK Maybrat</t>
  </si>
  <si>
    <t>1.4.  Program Wajib Belajar Pendidikan Dasar Sembilan Tahun</t>
  </si>
  <si>
    <t xml:space="preserve">1.4.1. Pembangunan Sarana dan Prasarana Pendidikan Dasar  </t>
  </si>
  <si>
    <t xml:space="preserve">1.4.2. Pengadaan Peralatan dan Perlengkapan Sekolah  </t>
  </si>
  <si>
    <t xml:space="preserve">1.4.3. Rehabilitasi Sarana dan Prasarana Pendidikan Dasar  </t>
  </si>
  <si>
    <t xml:space="preserve">1.4.4. Perencanaan dan Pengawasan Teknis  </t>
  </si>
  <si>
    <t xml:space="preserve">1.4.5. Biaya Operasional Siswa Kabupaten (BOSKAP) SD, SMP  </t>
  </si>
  <si>
    <t xml:space="preserve">1.4.6. Biaya Operasional Pengawas TK, SD, SMP  </t>
  </si>
  <si>
    <t xml:space="preserve">1.4.7. Biaya Operasional Pengawas PSW YPK dan YPPK  </t>
  </si>
  <si>
    <t xml:space="preserve">1.4.8. Ujian Nasional SD  </t>
  </si>
  <si>
    <t xml:space="preserve">1.4.9. Ujian Nasional SMP  </t>
  </si>
  <si>
    <t xml:space="preserve">1.4.10. Pembayaran Guru Kontrak SD </t>
  </si>
  <si>
    <t xml:space="preserve">1.4.11. Pembayaran Guru Kontrak SMP  </t>
  </si>
  <si>
    <t xml:space="preserve">1.4.12. Evaluasi dan Monitoring Program  </t>
  </si>
  <si>
    <t>1.5.  Program Pendidikan Menengah</t>
  </si>
  <si>
    <t xml:space="preserve">1.5.1. Pendidikan Siswa Berbakat  </t>
  </si>
  <si>
    <t>1.6.  Program Peningkatan Mutu Pendidik dan Tenaga Kependidikan</t>
  </si>
  <si>
    <t>1.6.1. Pelaksanaan uji kompetensi pendidik dan tenaga Kependidikan</t>
  </si>
  <si>
    <t>1.6.2. Pelaksanaan Sertifikasi Guru SD, SMP dan SMA/SMK</t>
  </si>
  <si>
    <t xml:space="preserve">1.6.3. Sosialisasi Pelatihan dan Penilaian Kinerja Guru  </t>
  </si>
  <si>
    <t xml:space="preserve">1.6.4. Biaya Pendidikan Penyelenggaraan Jarak Jauh (PJSS S1-PGSJ) </t>
  </si>
  <si>
    <t>1.6.5. Sosialisasi Uji Penpentensi Guru KG</t>
  </si>
  <si>
    <t>1.6.6. Biaya Pembebasan Lahan Bangunan Asrama Mahasiswa</t>
  </si>
  <si>
    <t>1.6.7. Monitoring Asrama Mahasiswa</t>
  </si>
  <si>
    <t>1.7 Program Bidang Pemuda dan Olahraga</t>
  </si>
  <si>
    <t>1.7.1. Peningkatan Sarana dan Prasarana Olah Raga</t>
  </si>
  <si>
    <t>2.1.  Program Peningkatan Kapasitas Sumber Daya Aparatur</t>
  </si>
  <si>
    <t xml:space="preserve">2.1.1. Rapat Kerja Kesehatan  </t>
  </si>
  <si>
    <t>2.1.2. Pengadaan Tenaga Medis dan Paramedis</t>
  </si>
  <si>
    <t xml:space="preserve">2.1.3. Bimtek Penyusunan Profil Kesehatan  </t>
  </si>
  <si>
    <t xml:space="preserve">2.1.4. Pelatihan Administrasi Kesehatan  </t>
  </si>
  <si>
    <t xml:space="preserve">2.1.5. Bimtek dan Validasi Data ASPAK Puskesmas  </t>
  </si>
  <si>
    <t xml:space="preserve">2.1.6. Bimtek Perencanaan Bidang Kesehatan  </t>
  </si>
  <si>
    <t xml:space="preserve">2.1.7. Pendataan Ulang Data Nominatif Pegawai Dinas Kesehatan </t>
  </si>
  <si>
    <t xml:space="preserve">2.1.8. Pelatihan Tenaga Para Medis Bagi PPDG ON  </t>
  </si>
  <si>
    <t xml:space="preserve">2.1.9. Pelatihan Kader Posyandu  </t>
  </si>
  <si>
    <t xml:space="preserve">2.1.10 Pelatihan Penanganan Kasus THT  </t>
  </si>
  <si>
    <t xml:space="preserve">2.1.11 Studi Banding Puskesmas Akreditasi  </t>
  </si>
  <si>
    <t>2.1.12 Studi Banding Manajemen Pengolahan Data Kesehatan Ke Dinas Kesehatan Surabaya</t>
  </si>
  <si>
    <t xml:space="preserve">2.1.13 Pelatihan PPDG/BTCLS Para Medis  </t>
  </si>
  <si>
    <t xml:space="preserve">2.1.14 Pelatihan Trauma ATCLS dan ACLS (Tenaga Medis)  </t>
  </si>
  <si>
    <t xml:space="preserve">2.1.15 Workshop Pelaksanaan Audit Internal dan Tinjauan Manajemen  </t>
  </si>
  <si>
    <t>2.2.  Program Obat dan Perbekalan Kesehatan</t>
  </si>
  <si>
    <t xml:space="preserve">2.2.1. Pengadaaan Obat dan Perbekalan Kesehatan  </t>
  </si>
  <si>
    <t>2.2.2. Monitoring, Evaluasi dan Pelaporan</t>
  </si>
  <si>
    <t xml:space="preserve">2.2.3. Distribusi Obat Ke Instansi Farmasi/Puskesmas/Pustu  </t>
  </si>
  <si>
    <t xml:space="preserve">2.2.4. Pelatihan Manajemen Obat </t>
  </si>
  <si>
    <t>2.3.  Program Promosi Kesehatan dan Pemberdayaan Masyarakat</t>
  </si>
  <si>
    <t xml:space="preserve">2.3.1. Pelatihan Manajemen Puskesmas  </t>
  </si>
  <si>
    <t xml:space="preserve">2.3.2 Sosialisasi JKN/BPJS  </t>
  </si>
  <si>
    <t>2.3.3 Monev Masyarakat Pengguna JAMKESMAS</t>
  </si>
  <si>
    <t>2.4.  Program Perbaikan Gizi Masyarakat</t>
  </si>
  <si>
    <t xml:space="preserve">2.4.1. Monitoring, Evaluasi dan Pelaporan KIA  </t>
  </si>
  <si>
    <t xml:space="preserve">2.4.2. Pemantauan Status Gizi Balita  </t>
  </si>
  <si>
    <t xml:space="preserve">2.4.3. Insentif Kader Posyandu  </t>
  </si>
  <si>
    <t xml:space="preserve">2.4.4. Penyuluhan Masyarakat Ber-PHS  </t>
  </si>
  <si>
    <t xml:space="preserve">2.4.5. Study Banding Kader Posyandu  </t>
  </si>
  <si>
    <t>2.5.  Program Pencegahan dan Penanggulangan  Penyakit Menular</t>
  </si>
  <si>
    <t xml:space="preserve">2.5.1. Survelans Penyakit Menular  </t>
  </si>
  <si>
    <t xml:space="preserve">2.5.2. Distribusi dan Pelayanan Imunisasi Rutin ke Puskesmas dan Kampung  </t>
  </si>
  <si>
    <t xml:space="preserve">2.5.3. Pengadaan RDT (Malaria)  </t>
  </si>
  <si>
    <t xml:space="preserve">2.5.4. Pendataan dan Pengawasan Rumah-Rumah Makan  </t>
  </si>
  <si>
    <t xml:space="preserve">2.5.5. Imunisasi Anak Sekolah (BIAS)  </t>
  </si>
  <si>
    <t>2.6.  Program Pengadaan, Peningkatan dan Perbaikan Sarana dan Prasarana Puskesmas/Puskesmas Pembantu dan Jaringannya</t>
  </si>
  <si>
    <t xml:space="preserve">2.6.1. Pengadaan Pemasangan Teralis Besi Kantor Dinas Kesehatan  </t>
  </si>
  <si>
    <t xml:space="preserve">2.6.2. Pembangunan Puskesmas Aifat Utara  </t>
  </si>
  <si>
    <t xml:space="preserve">2.6.3. Pematangan Lahan Puskesmas  </t>
  </si>
  <si>
    <t xml:space="preserve">2.6.4. Pembangunan Pagar Puskesmas Ayamaru Selatan (Persiapan Akreditasi)  </t>
  </si>
  <si>
    <t xml:space="preserve">2.6.5. Pengadaan Meubelair Puskesmas  </t>
  </si>
  <si>
    <t xml:space="preserve">2.6.6. Pengadaan Pakaian Kader Posyandu  </t>
  </si>
  <si>
    <t xml:space="preserve">2.6.7. Perencanaan Teknis Kegiatan  </t>
  </si>
  <si>
    <t xml:space="preserve">2.6.8. Pengawasan Teknis Kegiatan  </t>
  </si>
  <si>
    <t xml:space="preserve">2.6.9. Administrasi Proyek  </t>
  </si>
  <si>
    <t>2.7.  Program Peningkatan Pelayanan Puskesmas</t>
  </si>
  <si>
    <t xml:space="preserve">2.7.1. Sewa Rumah Tunggu Kelahiran (RTK)  </t>
  </si>
  <si>
    <t xml:space="preserve">2.7.2. Akreditasi Puskesmas  </t>
  </si>
  <si>
    <t xml:space="preserve">2.7.3. Operasional Puskesmas </t>
  </si>
  <si>
    <t xml:space="preserve">2.7.4. Operasional Puskesmas Pembantu  </t>
  </si>
  <si>
    <t xml:space="preserve">2.7.5. Operasional IGD Puskesmas Ayamaru  </t>
  </si>
  <si>
    <t xml:space="preserve">2.7.6. Operasional IGD Puskesmas Ayamaru Timur  </t>
  </si>
  <si>
    <t xml:space="preserve">2.7.7. Operasional IGD Puskesmas Aifat  </t>
  </si>
  <si>
    <t xml:space="preserve">2.7.8. Operasional IGD Puskesmas Aitinyo </t>
  </si>
  <si>
    <t xml:space="preserve">2.7.9. Pelayanan Dokter Mobile  </t>
  </si>
  <si>
    <t xml:space="preserve">2.7.10. Operasional Rujukan Pasien Kurang Mampu  </t>
  </si>
  <si>
    <t xml:space="preserve">2.7.11. Operasional Incenerator Puskesmas Ayamaru  </t>
  </si>
  <si>
    <t>3. DINAS PEKERJAAN UMUM DAN PENATAAN RUANG</t>
  </si>
  <si>
    <t>3.1.  Program Peningkatan Sarana dan Prasarana Aparatur</t>
  </si>
  <si>
    <t xml:space="preserve">3.1.1. Pembangunan Gedung Kantor  </t>
  </si>
  <si>
    <t>3.2.  Program Pembangunan Jalan dan Jembatan</t>
  </si>
  <si>
    <t xml:space="preserve">3.2.1. Pembangunan Jalan  </t>
  </si>
  <si>
    <t>3.3.  Program Pembangunan Saluran Drainase/Gorong-gorong</t>
  </si>
  <si>
    <t xml:space="preserve">3.3.1. Pembangunan Saluran Drainase/Gorong-gorong  </t>
  </si>
  <si>
    <t>3.4.  Program Pengembangan Kinerja Pengelolaan Air Minum dan Air Limbah</t>
  </si>
  <si>
    <t>3.4.1. Penyediaan Air Minum dan Sanitasi Berbasis Masyarakat (PAMSIMAS)</t>
  </si>
  <si>
    <t>3.5.  Program Pembangunan Infrastruktur Perdesaan</t>
  </si>
  <si>
    <t>3.5.1. Pembangunan Jalan dan Jembatan Perdesaan</t>
  </si>
  <si>
    <t>7.3.2. Perencanaan Strategis Bidang Kesehatan</t>
  </si>
  <si>
    <t>VIII. KABUPATEN SORONG SELATAN</t>
  </si>
  <si>
    <t>1. 1. Program Pendidikan Anak Usia Dini</t>
  </si>
  <si>
    <t>1.1.1. Pembangunan Gedung Paud Arabae Inanwatan</t>
  </si>
  <si>
    <t>1.1.2. Pembangunan Gedung Paud ISSA Kampung Kais</t>
  </si>
  <si>
    <t>1.1.3. Pembangunan Gedung Paud Sayal</t>
  </si>
  <si>
    <t>1.1.4. Pengadaan Meubelair  TK/PAUD  Kowe  Wernas</t>
  </si>
  <si>
    <t xml:space="preserve">1.2. Program Wajib Belajar Pendidikan Dasar Sembilan Tahun </t>
  </si>
  <si>
    <t>1.2.1. Pengadaan Buku Bacaan dan Perangkat Pembelajaran Guru SD</t>
  </si>
  <si>
    <t>1.2.2. Pengadaan Buku Bacaan dan Perangkat Pembelajaran Guru SMP</t>
  </si>
  <si>
    <t>1.2.3. Sosialisasi dan Pendampingan BOP, BOS, PIP dan Ujian Nasional</t>
  </si>
  <si>
    <t>1.2.4. Akreditasi Sekolah Dasar Sembilan Tahun</t>
  </si>
  <si>
    <t>1.2.5. Pelatihan Peningkatan Kapasitas Pengawas TK/PAUD, SD dan SMP</t>
  </si>
  <si>
    <t>1.2.6. Penyelenggaraan UAN / UAS SD dan SMP</t>
  </si>
  <si>
    <t>1.2.7. Monitoring UAN / UAS SD dan SMP</t>
  </si>
  <si>
    <t>1.2.8. Penyediaan Dana BOP SD dan SMP</t>
  </si>
  <si>
    <t>1.2.9. Biaya Operasional Pengawas SD dan SMP</t>
  </si>
  <si>
    <t>1.2.10. Operasional UPTD Imekko</t>
  </si>
  <si>
    <t>1.2.11. Pendidikan Lanjutan Guru MIPA Kerjasama Surya Institut</t>
  </si>
  <si>
    <t>1.2.12. Pembiayaan Honor Guru Kontrak</t>
  </si>
  <si>
    <t>1.2.13. Pendidikan Provesi Guru (PPG)</t>
  </si>
  <si>
    <t>1.2.14. Fasilitasi Program Afirmasi Pendidikan Tinggi</t>
  </si>
  <si>
    <t>1.2.15. Fasilitasi Program Afirmasi Pendidikan Menengah</t>
  </si>
  <si>
    <t>1.2.16. Biaya Pendidikan Mahasiswa Kedokteran yang tersebar</t>
  </si>
  <si>
    <t>1.2.17. Pembangunan 3 RKB SM Negeri Mukamat Kais Darat</t>
  </si>
  <si>
    <t>1.2.18. Pembangunan 3 RKB SD YPK Mogibi</t>
  </si>
  <si>
    <t>1.2.19. Pembangunan UPTD IMEKKO</t>
  </si>
  <si>
    <t>1.2.20. Pembangunan 3 RKB SD Persiapan Gamaro</t>
  </si>
  <si>
    <t>1.2.21. Pembangunan Lanjutan 3 RKB SMP Negeri Kais (2016)</t>
  </si>
  <si>
    <t>1.2.22 Pembangunan Lanjutan Laboratorium Komputer SMA YPK Teminabuan (2016)</t>
  </si>
  <si>
    <t>1.2.23. Pembangunan Lanjutan 3 RKB SMP Negeri Haha (2016)</t>
  </si>
  <si>
    <t>1.2.24 Pembangunan Kopel Guru SD Donbol Balek beserta kelengkapannya</t>
  </si>
  <si>
    <t>1.2.25 Pembangunan Kopel Guru SD Persiapan Mugim beserta kelengkapannya</t>
  </si>
  <si>
    <t>1.2.26. Pembangunan Pagar SMP Negeri 2 Teminabuan</t>
  </si>
  <si>
    <t>1.2.27. Pengadaan mubelair 3 RKB SMP Negeri 2 Teminabuan</t>
  </si>
  <si>
    <t>1.2.28. Pengadaan teralis Gudang Arsip Dinas Pendidikan</t>
  </si>
  <si>
    <t>1.2.29. Pembangunan MCK SD YPK Sion Sungguer</t>
  </si>
  <si>
    <t>1.2.30. Pembangunan MCK SMP Negeri Pasir Putih</t>
  </si>
  <si>
    <t>1.2.31. Pematangan halaman SD Persiapan Kampung Ani</t>
  </si>
  <si>
    <t>1.2.32. Penataan Halaman SMP Negeri Sawiat</t>
  </si>
  <si>
    <t>1.2.33. Penataan Halaman SMP Negeri Moswaren</t>
  </si>
  <si>
    <t>1.2.34. Penataan Halaman SD YPK Srer</t>
  </si>
  <si>
    <t>1.2.35 Pengadaan Mubelair 3 RKB SMP AN-NUR</t>
  </si>
  <si>
    <t>1.2.36. Pengadaan Mubelair SD Kampung Ani</t>
  </si>
  <si>
    <t>1.2.37. Pengadaan Mubelair Kantor SMP Negeri Haha</t>
  </si>
  <si>
    <t>1.2.38. Rehabilitasi 3 RKB SD YPK Laharoi Sasnek</t>
  </si>
  <si>
    <t xml:space="preserve">1. 3. Program Pendidikan Non Formal </t>
  </si>
  <si>
    <t>1.3.1. Ujian Paket A,B dan C</t>
  </si>
  <si>
    <t>1.3.2. Pelatihan Tutor Paket A, B , C</t>
  </si>
  <si>
    <t>1.3.3. Pendataan buta aksara dan anak berkebutuhan khusus</t>
  </si>
  <si>
    <t>1.3.4. Diklat Dasar berjenjang Guru PAUD dan DIKMAS</t>
  </si>
  <si>
    <t>1.4. Program Peningkatan Mutu Pendidik dan Tenaga  Kependidikan</t>
  </si>
  <si>
    <t>1.4.1. Pelatihan Angka Kredit Poin (aturan ASN SKP)</t>
  </si>
  <si>
    <t>1.4.2. Pelatihan Penguatan Kurikulum K. 13 SD Semua Mata Pelajaran</t>
  </si>
  <si>
    <t>1.4.3. Pelatihan Penguatan Kurikulum K. 13. SMP Semua Mata Pelajaran</t>
  </si>
  <si>
    <t>1.4.4. Piloting Calon Kepala - Kepala Sekolah SD, SMP</t>
  </si>
  <si>
    <t>1.4.5. Seleksi dan Diklat Pengawas Sekolah</t>
  </si>
  <si>
    <t>1.4.6. Pendampingan Kelompok Kerja Guru SD (KKG)</t>
  </si>
  <si>
    <t>1.4.7. Pelatihan Kompetensi Tenaga Pendidik SD dan SMP</t>
  </si>
  <si>
    <t>1.4.8. Pelatihan Literasi bagi Guru dan Kepala Sekolah</t>
  </si>
  <si>
    <t>1.4.9. Diklat pengembangan Keprofesian Berkelanjutan (PKB Guru SD)</t>
  </si>
  <si>
    <t>1.4.10. Diklat pengembangan Keprofesian Berkelanjutan (PKB Guru SMP)</t>
  </si>
  <si>
    <t>1.4.11. Diklat Pengembangan Pembelajaran Berbasis ICT</t>
  </si>
  <si>
    <t>1.4.12. Workshop Pengembangan Soal USBN</t>
  </si>
  <si>
    <t>1.4.13. Diklat Penguatan Kapasitas Tenaga Kependidikan</t>
  </si>
  <si>
    <t>1.4.14. Pembinaan Musyawarah Guru Mata Pelajaran (MGMP) SMP</t>
  </si>
  <si>
    <t>1.4.15. Workshop Kurikulum K.13 TK/PAUD dan DIKMAS</t>
  </si>
  <si>
    <t>1.4.16. Diklat Pengembangan Keprofesian Guru SD Tahap 2</t>
  </si>
  <si>
    <t>1.5.1. Penetapan Angka Kredit dan Kenaikan Pangkat</t>
  </si>
  <si>
    <t>1.5.2. Pelatihan Kurikulum Muatan Lokal</t>
  </si>
  <si>
    <t>1.5.3. Penyetaraan kwalifikasi Guru D2 ke S1 PGSD</t>
  </si>
  <si>
    <t>1.6. Program Peningkatan Pengembangan Minat dan Bakat Siswa</t>
  </si>
  <si>
    <t>1.6.1. Lomba Cerdas Cermat  SD Tingkat Kabupaten dan Provinsi</t>
  </si>
  <si>
    <t>1.6.2. Lomba Cerdas Cermat  SMP  Tingkat Kabupaten dan Provinsi</t>
  </si>
  <si>
    <t>1.6.3. Olimpiade Matematika Tingkat SD Kabupaten dan Provinsi</t>
  </si>
  <si>
    <t>1.6.4. Olimpiade Matematika Tingkat SMP  Kabupaten dan Provinsi</t>
  </si>
  <si>
    <t>1.6.5. Olimpiade SAINS IPA Tingkat SD dan SMP Kabupaten dan Provinsi</t>
  </si>
  <si>
    <t>1.6.6. Festival dan Lomba Seni Siswa Nasional Tingkat SD, SMP Tingkat Kabupaten dan Provinsi</t>
  </si>
  <si>
    <t>1.6.7. Bimbingan Belajar Metode Gasing</t>
  </si>
  <si>
    <t>1.6.8. AKPOL kerja sama Pemda Sorong Selatan dan SMTN</t>
  </si>
  <si>
    <t>1.6.9. Operasional Mahasiswa PPL Surya Institut</t>
  </si>
  <si>
    <t>1.6.10. Olimpiade IPS SMP Tingkat Kabupaten dan Provinsi</t>
  </si>
  <si>
    <t>1.7. Program Pengembangan Nilai Budaya</t>
  </si>
  <si>
    <t>1.7.1. Penyediaan Dana Penunjang Rekaman Lagu  Daerah</t>
  </si>
  <si>
    <t>1.7.2. Pelatihan Tim Juri Kesenian Daerah</t>
  </si>
  <si>
    <t>1.7.3. Festifal Seni Budaya Tingkat Kabupaten, Provinsi dan Pusat</t>
  </si>
  <si>
    <t>1.7.4. Lomba Cipta lagu-lagu Sorong Selatan</t>
  </si>
  <si>
    <t>1.7.5. Diklat Pengelolaan Sanggar Budaya</t>
  </si>
  <si>
    <t>1.7.6. Operasional Sanggar Budaya</t>
  </si>
  <si>
    <t xml:space="preserve">2. DINAS KESEHATAN </t>
  </si>
  <si>
    <t>2.1. Program Upaya Kesehatan Masyarakat</t>
  </si>
  <si>
    <t>2.1.1. Penyediaan Biaya Operasional Puskesmas Pembantu/poskesdes/polindes</t>
  </si>
  <si>
    <t>2.1.3. Pengobatan dan Sunatan Massal</t>
  </si>
  <si>
    <t>2.1.4. Penilaian Akreditasi Puskesmas Kais darat dan Seremuk</t>
  </si>
  <si>
    <t>2.2. Program Pengawasan Obat dan Makanan</t>
  </si>
  <si>
    <t>2.2.1. Peningkatan pengawasan keamanan pangan dan bahan berbahaya</t>
  </si>
  <si>
    <t xml:space="preserve"> 2.3. Program Promosi Kesehatan dan Pemberdayaan Masyarakat</t>
  </si>
  <si>
    <t>2.3.1. Usaha Kesehatan Sekolah (UKS) dan Usaha Kesehatan Gigi Sekolah (UKGS)</t>
  </si>
  <si>
    <t>2.5. Program Pengembangan Lingkungan Sehat</t>
  </si>
  <si>
    <t>2.5.1. Pengawasan dan Pemeriksaan Kualitas air bersih dan air minum</t>
  </si>
  <si>
    <t>2.5.2. Replika Desa Open Denicationm Free (ODF)</t>
  </si>
  <si>
    <t>2.6. Program Pencegahan dan Penanggulangan Penyakit Menular</t>
  </si>
  <si>
    <t>2.6.1. Peningkatan Kapasitas Pengelolaan ISPA dan Diare</t>
  </si>
  <si>
    <t>2.6.2. Survey Kusta dan Frambusia</t>
  </si>
  <si>
    <t>2.6.3. Peningkatan imunisasi</t>
  </si>
  <si>
    <t>2.6.4 Pelayanan Pencegahan dan Penanggulangan Penyakit Menular (HIV AIDS)</t>
  </si>
  <si>
    <t>2.6.5 Pengendalian Penyakit dan Pemberi Obat Pencegahan Massal (POPM) Filariasi Tahap 5</t>
  </si>
  <si>
    <t>2.6.6 Pencegahan Penularan Penyakit Endemik / Epidemik Tuberclosis (TB)</t>
  </si>
  <si>
    <t>2.6.7 Eliminasi Penyakit Malaria</t>
  </si>
  <si>
    <t>2.7. Program Standarisasi Pelayanan Kesehatan</t>
  </si>
  <si>
    <t>2.7.1. Pemeliharaan dan Kalibrasi Alat Kesehatan</t>
  </si>
  <si>
    <t>2.8. Program Pengadaan, Peningkatan dan Perbaikan sarana dan Prasarana puskesmas Puskesmas pembantu dan Jaringannya</t>
  </si>
  <si>
    <t>2.8.1. Lanjutan Pembangunan Pustu Bolbalek</t>
  </si>
  <si>
    <t>2.8.3. Pembangunan Puskesmas Pembantu (Pustu) Tapas</t>
  </si>
  <si>
    <t>2.8.4. Rehabilitasi Sedang Puskesmas Pembantu (Pustu) Sisir</t>
  </si>
  <si>
    <t>2.8.5. Rehabilitasi Sedang Puskesmas Pembantu (Pustu) Kakas</t>
  </si>
  <si>
    <t>2.8.6. Pengadaan Meubelair Pustu Konda</t>
  </si>
  <si>
    <t>2.8.7. Penataan Halaman Pustu Moswaren</t>
  </si>
  <si>
    <t>2.8.8. Penunjang Lanjutan Pembangunan Pustu Bolbalek</t>
  </si>
  <si>
    <t>2.8.9. Penunjang Pembangunan Pustu Kminslolo</t>
  </si>
  <si>
    <t>2.8.10. Penunjang Pembangunan Pustu Tapas</t>
  </si>
  <si>
    <t>2.8.11. Penunjang Rehabilitasi Sedang Pustu Sisir</t>
  </si>
  <si>
    <t>2.8.12. Penunjang Rehabilitasi Sedang Pustu Kakas</t>
  </si>
  <si>
    <t>2.9. Program kemitraan peningkatan pelayanan kesehatan</t>
  </si>
  <si>
    <t>2.9.1. Monitoring dan Evaluasi Tenaga Kesehatan</t>
  </si>
  <si>
    <t>2.9.2. Rapat Kerja Kesehatan Tk.Propinsi</t>
  </si>
  <si>
    <t>2.10. Program peningkatan pelayanan kesehatan anak balita</t>
  </si>
  <si>
    <t>2.10.1. Penyediaan Dana Insentif Kader Posyandu</t>
  </si>
  <si>
    <t>2.11. Program peningkatan keselamatan ibu melahirkan dan anak</t>
  </si>
  <si>
    <t>2.11.1. Pelatihan Kelas Ibu Hamil</t>
  </si>
  <si>
    <t>2.11.2. Survey Bumil Resiko Tinggi</t>
  </si>
  <si>
    <t>2.13.3. Pelatihan ANC Integrasi</t>
  </si>
  <si>
    <t xml:space="preserve"> 2.14.4. Rujukan Komlikasi Orang Asli Papua</t>
  </si>
  <si>
    <t>2.12. Program Peningkatan Sumber Daya Kesehatan</t>
  </si>
  <si>
    <t>2.12.1. Penyediaan Biaya Operasional Puskesmas Pembantu/poskesdes/polindes</t>
  </si>
  <si>
    <t>2.12.2. Bimtek Penyusunan Lakip dan Profil Puskesmas</t>
  </si>
  <si>
    <t>2.13. Program Peningkatan Obat Asli Indonesia</t>
  </si>
  <si>
    <t>2.13.1 Penyediaan Biaya Operasional Puskesmas Pembantu/poskesdes/polindes</t>
  </si>
  <si>
    <t>3.1. Program Peningkatan Pelayanan Kesehatan Masyarakat</t>
  </si>
  <si>
    <t>3.1.1 Penyediaan Biaya Operasional Puskesmas Pembantu/poskesdes/polindes</t>
  </si>
  <si>
    <t xml:space="preserve">4. DINAS PEKERJAAN UMUM DAN PENATAAN RUANG </t>
  </si>
  <si>
    <t>4.1. Program Peningkatan Sarana dan Prasarana Aparatur</t>
  </si>
  <si>
    <t>4.1.1 Pengadaan Drone</t>
  </si>
  <si>
    <t>4.2. Program Peningkatan Jalan dan Jembatan</t>
  </si>
  <si>
    <t xml:space="preserve">4.2.1. Peningkatan jalan Tokas - Kasar </t>
  </si>
  <si>
    <t xml:space="preserve">4.2.2. Peningkatan Jalan Elles  </t>
  </si>
  <si>
    <t xml:space="preserve">4.2.3. Peningkatan Jalan Kampung Aibobor </t>
  </si>
  <si>
    <t xml:space="preserve">4.2.4. Peningkatan Jalan Kampung Kaliat - Mande  </t>
  </si>
  <si>
    <t xml:space="preserve">4.2.5. Pembangunan Jalan Kampung Sucari  </t>
  </si>
  <si>
    <t xml:space="preserve">4.2.6. Peningkatan Jalan Sengget - Wermit </t>
  </si>
  <si>
    <t xml:space="preserve">4.2.7. Peningkatan Jalan Kamisabe  </t>
  </si>
  <si>
    <t xml:space="preserve">4.2.8. Peningkatan Jalan Kampung Kali Koa  </t>
  </si>
  <si>
    <t>4.3. Program Pembangunan Jalan dan Jembatan</t>
  </si>
  <si>
    <t xml:space="preserve">4.3.1. Rekonstruksi Jalan Haimaran - Komara  </t>
  </si>
  <si>
    <t xml:space="preserve">4.3.3. Pembangunan Box Culver Hasik Jaya  </t>
  </si>
  <si>
    <t xml:space="preserve">4.3.4. Pembangunan Box Culver Jalur 1 - 7   </t>
  </si>
  <si>
    <t xml:space="preserve">4.3.5. Pembangunan Plat Decker Seribau  </t>
  </si>
  <si>
    <t xml:space="preserve">4.3.6. Pembangunan Plat Decker Kampung Kasar </t>
  </si>
  <si>
    <t xml:space="preserve">4.3.7. Pembangunan Jalan Siwen Ogin Distrik Teminabuan  </t>
  </si>
  <si>
    <t xml:space="preserve">4.3.8. Pembangunan Jalan Berbentuk Jembatan Kampung Kayubiro  </t>
  </si>
  <si>
    <t xml:space="preserve">4.3.9. Pembangunan Jembatan Lemekolo Tahap II  </t>
  </si>
  <si>
    <t xml:space="preserve">4.3.10. Pembangunan Jalan Kampung Haha  </t>
  </si>
  <si>
    <t>4.4. Program pembangunan saluran drainase/gorong-gorong</t>
  </si>
  <si>
    <t>4.5. Program peningkatan sarana dan prasarana kebinamargaan</t>
  </si>
  <si>
    <t>4.6. Program Pengembangan dan Pengelolaan Jaringan Irigasi, Rawa dan Jaringan Pengairan lainnya</t>
  </si>
  <si>
    <t>4.7. Program Pengembangan Kinerja Pengelolaan Air Minum dan Air Limbah</t>
  </si>
  <si>
    <t xml:space="preserve">4.7.1.  Pembangunan MCK Kompleks Komolin  </t>
  </si>
  <si>
    <t xml:space="preserve">4.7.2.  Pembangunan MCK Kampung Aibobor </t>
  </si>
  <si>
    <t xml:space="preserve">4.7.3  Pembangunan MCK Kampung Tegirolo  </t>
  </si>
  <si>
    <t>4.8. Program Pembangunan Jalan Lingkungan</t>
  </si>
  <si>
    <t xml:space="preserve">4.8.1. Pembangunan Jalan Lingkungan Kampung Wayer </t>
  </si>
  <si>
    <t xml:space="preserve">4.8.2. Pembangunan Jalan Lingkungan Dusun Rabinte </t>
  </si>
  <si>
    <t xml:space="preserve">4.8.3. Pembangunan Jalan Lingkungan Kampung Dusun Hasu </t>
  </si>
  <si>
    <t xml:space="preserve">4.8.4 Pembangunan Jalan Lingkungan Kampung Sayolo </t>
  </si>
  <si>
    <t xml:space="preserve">4.8.5. Pembangunan Jalan Lingkungan kamisabe </t>
  </si>
  <si>
    <t xml:space="preserve">4.8.6. Pembangunan Jalan Lingkungan Kampung Sira  </t>
  </si>
  <si>
    <t xml:space="preserve">4.8.7. Pembangunan Jalan Lingkungan Kampung Sungguer Jati  </t>
  </si>
  <si>
    <t xml:space="preserve">4.8.8. Pembangunan Jalan Lingkungan Kampung Sefotamin  </t>
  </si>
  <si>
    <t xml:space="preserve">4.8.9. Pembangunan Jalan Lingkungan Kediaman Wakil bupati  </t>
  </si>
  <si>
    <t xml:space="preserve">4.8.10. Pembangunan Jalan Lingkungan Tersebar  </t>
  </si>
  <si>
    <t xml:space="preserve">4.8.11. Pembangunan Drainase Tersebar  </t>
  </si>
  <si>
    <t xml:space="preserve">4.8.12. Pembangunan Jalan Lingkungan Kompleks Minahasa Belakan RSUD Schoolo Keyen  </t>
  </si>
  <si>
    <t xml:space="preserve">4.8.13. Peningkatan Jalan Kompleks Satin Kel. Kohoin Distrik Teminabuan  </t>
  </si>
  <si>
    <t xml:space="preserve">4.8.14 Pembangunan Jalan Lingkungan Tersebar Di Distrik Teminabuan   </t>
  </si>
  <si>
    <t xml:space="preserve">5. DINAS SOSIAL </t>
  </si>
  <si>
    <t xml:space="preserve">5.1.1. Pendataan Mahasiswa Study Akhir   </t>
  </si>
  <si>
    <t xml:space="preserve">5.1.2. Pembangunan Rumah Layak Huni KAT Kampung Sfakyo 1  </t>
  </si>
  <si>
    <t xml:space="preserve">5.1.3 Pembangunan Rumah Layak Huni KAT Kampung Sfakyo 2  </t>
  </si>
  <si>
    <t xml:space="preserve">5.1.4. Pembangunan Rumah Layak Huni KAT Kampung Sfakyo 3 </t>
  </si>
  <si>
    <t xml:space="preserve">5.1.5 Pembangunan Rumah Layak Huni KAT Kampung Srer 1  </t>
  </si>
  <si>
    <t xml:space="preserve">5.1.6. Pembangunan Rumah Layak Huni KAT Kampung Srer 2  </t>
  </si>
  <si>
    <t xml:space="preserve">5.1.7. Pelatihan Ketrampilan berusaha bagi Keluarga  miskin  </t>
  </si>
  <si>
    <t>5.1.8. Pembangunan Pagar Gedung Gereja Maranatha Teminabuan</t>
  </si>
  <si>
    <t>5.1.9 Pengadaan Bahan Stimulan (Bahan Bangunan) Distrik Teminabuan (Tersebar)</t>
  </si>
  <si>
    <t>5.1.10. Bedah Rumah Dusun Persiapan Slik</t>
  </si>
  <si>
    <t>5.1.11. Pengadaan Bahan Stimulan Kampung Tegirolo</t>
  </si>
  <si>
    <t>5.1.12. Pengadaan Bahan Stimulan Kampung Namro</t>
  </si>
  <si>
    <t>5.1.13. Bantuan Rumah Layak Huni KAT Kampng Kayubiro</t>
  </si>
  <si>
    <t>5.1.14. Pembangunan Rumah Layak Huni Kampung Tegirolo</t>
  </si>
  <si>
    <t>5.1.15. Pengadaan Bahan Stimulan Distrik Inanwatan</t>
  </si>
  <si>
    <t>5.1.16. Pembangunan Rumah Layak Huni Kampung Yahadian</t>
  </si>
  <si>
    <t>5.1.17. Pembangunan Rumah Layak Huni Kampung Tegirolo (Tahap 2)</t>
  </si>
  <si>
    <t>5.1.18. Pembangunan Rumah Layak Huni Kampung Wermith</t>
  </si>
  <si>
    <t>5.1.19. Bantuan Stimulan Distrik Kokoda</t>
  </si>
  <si>
    <t xml:space="preserve">5.1.20. Pengadaan Bahan Stimulan Kampung Yahadian  </t>
  </si>
  <si>
    <t xml:space="preserve">5.1.21. Pengadaan Bahan Stimulan Kampung Mugim dan Nusa  </t>
  </si>
  <si>
    <t xml:space="preserve">5.1.22. Bedah Rumah Kompeks Ban </t>
  </si>
  <si>
    <t xml:space="preserve">6. DINAS PEMBERDAYAAN PEREMPUAN DAN PERLINDUNGAN ANAK </t>
  </si>
  <si>
    <t>6.1 Program keserasian Kebijakan Peningkatan Kualitas Anak dan Perempuan</t>
  </si>
  <si>
    <t>6.1.1. Penyusunan Profil Anak Sorong Selatan Tahun 2019</t>
  </si>
  <si>
    <t>6.1.2. Penguatan Pendidikan Karakter dan Penumbuhan Budi Pekerti Anak</t>
  </si>
  <si>
    <t>6.1.3. Penyusunan KIE untuk Pemenuhan Akta Kelahiran Anak</t>
  </si>
  <si>
    <t>6.1.4. Pelatihan Membatik Bagi Perempuan Papua</t>
  </si>
  <si>
    <t>6.1.5. Pelatihan Perilaku Hidup Bersih dan Sehat ( PHBS )</t>
  </si>
  <si>
    <t>6.1.6. Sosialisasi Pola Asuh Anak dan Remaja dalam Keluarga</t>
  </si>
  <si>
    <t>6.1.7. Pelatihan Manajemen Keuangan bagi Pedagang Perempuan</t>
  </si>
  <si>
    <t>6.1.8. Pelatihan PPRG (Perencanaan dan Penganggaran yang Responsif Gender)</t>
  </si>
  <si>
    <t>6.1.9. Pelatihan Pembuatan Kue dari Bahan Lokal</t>
  </si>
  <si>
    <t>6.2.1. Sosialisasi Undang -Undang KDRT</t>
  </si>
  <si>
    <t>6.2.2. Bimtek Aparatur Bidang PP dan PA</t>
  </si>
  <si>
    <t>6.2.3. Seminar Peningkatan Metalitas Anak Melalui Pembinaan Rohani</t>
  </si>
  <si>
    <t>6.2.4. Sosialisasi UU  Perlindungan Anak</t>
  </si>
  <si>
    <t>6.2.5. Bimtek Tentang Kota Layak Anak (KLA)</t>
  </si>
  <si>
    <t>6.3. Program peningkatan peran serta dan kesetaraan jender dalam pembangunan</t>
  </si>
  <si>
    <t>6.3.1 Pendataan Terkait Data Sumber Daya Perempuan dan Anak</t>
  </si>
  <si>
    <t>6.3.2 Rehab Gedung P2TP2A</t>
  </si>
  <si>
    <t>6.3.3 Pematangan Halaman Gedung P2TP2A</t>
  </si>
  <si>
    <t>6.3.4 Pengadaan Meubelair Lembaga P2TP2A</t>
  </si>
  <si>
    <t>6.4. Program penguatan kelembagaan pengarusutamaan gender dan anak</t>
  </si>
  <si>
    <t>6.4.1. Pengembangan Forum Anak Daerah (FAD)</t>
  </si>
  <si>
    <t>6.4.2. Sosialisasi Undang- Undang Kota Layak Anak (KLA)</t>
  </si>
  <si>
    <t>6.4.3. Perumusan Perda tentang Perlindungan Perempuan dan Anak</t>
  </si>
  <si>
    <t>6.4.4. Fasilitasi korban KDRT</t>
  </si>
  <si>
    <t>6.4.5. Operasional Pengurus P2TP2A</t>
  </si>
  <si>
    <t>6.4.6. Kursus "Speak English" bagi Anak TK dan SD</t>
  </si>
  <si>
    <t>7. DINAS KETAHANAN PANGAN</t>
  </si>
  <si>
    <t>7.1. Program Peningkatan Ketersediaan dan Kerawanan Pangan</t>
  </si>
  <si>
    <t xml:space="preserve">7.1.1. Pembuatan demplot pertanian  </t>
  </si>
  <si>
    <t xml:space="preserve">7.1.2. pengembangan desa mandiri pangan   </t>
  </si>
  <si>
    <t>7.2. Program Peningkatan Distribusi dan Cadangan Pangan</t>
  </si>
  <si>
    <t xml:space="preserve">7.2.1. Pengembangan Model Distribusi Pangan yang Efisien  </t>
  </si>
  <si>
    <t xml:space="preserve">7.2.2. Panel Harga Pangan Pokok  </t>
  </si>
  <si>
    <t xml:space="preserve">7.2.3. Pengembangan Cadangan Pangan Pemerintah Daerah </t>
  </si>
  <si>
    <t xml:space="preserve">7.2.4. Penyaluran Bantuan Stimulan Kepada Kelompok Masyarakat Berakses Pangan rendah  </t>
  </si>
  <si>
    <t xml:space="preserve">7.2.5 Publikasi Buku Panel Harga Pangan Kabupaten Sorong selatan </t>
  </si>
  <si>
    <t>7.3. Program Peningkatan Penganekaragaman Konsumsi dan Keamanan Pangan</t>
  </si>
  <si>
    <t xml:space="preserve">7.3.1. Dempot budidaya jamur merang ( media limbah sagu )  </t>
  </si>
  <si>
    <t xml:space="preserve">7.3.2. Demplot budidaya ikan air tawar dalam kerambah  </t>
  </si>
  <si>
    <t xml:space="preserve">7.3.3. pengembangan tanaman pangan dan gizi lahan pekarangan  </t>
  </si>
  <si>
    <t xml:space="preserve">7.3.4. Hari pangan se dunia  </t>
  </si>
  <si>
    <t xml:space="preserve">7.3.5. Lomba cipta menu  </t>
  </si>
  <si>
    <t>7.4. Program penguatan kelembagaan pengarusutamaan gender dan anak</t>
  </si>
  <si>
    <t xml:space="preserve">7.4.1. Pekan daerah kontak tani, Se papua barat </t>
  </si>
  <si>
    <t xml:space="preserve">7.4.2. Pelatihan penyuluh pertanian  </t>
  </si>
  <si>
    <t xml:space="preserve">7.4.3. Rekrutmen penyuluh pertanian  </t>
  </si>
  <si>
    <t xml:space="preserve">7.4.4. Rembuk tani bagi petani dan nelayan  </t>
  </si>
  <si>
    <t xml:space="preserve">7.4.5. Operasional penyuluh   </t>
  </si>
  <si>
    <t>8.1. Program Peningkatan Ketersediaan dan Kerawanan Pangan</t>
  </si>
  <si>
    <t xml:space="preserve">8.1.1. Pelayanan Pencatatan Sipil Massal  </t>
  </si>
  <si>
    <t xml:space="preserve">8.1.2. Pendataan Penduduk Non Permanen </t>
  </si>
  <si>
    <t xml:space="preserve">8.1.3. Pengadaan Perangkat KTP el Mobile  </t>
  </si>
  <si>
    <t xml:space="preserve">8.1.4. Pemutakhiran Data Keluarga Tahap II  </t>
  </si>
  <si>
    <t xml:space="preserve">8.1.5. Pemutakhiran OAP Tahap II  </t>
  </si>
  <si>
    <t xml:space="preserve">8.1.6. Penerbitan Kartu Identitas Anak bagi anak-anak papua  </t>
  </si>
  <si>
    <t>9. BADAN PEMBERDAYAAN MASYARAKAT DAN KAMPUNG</t>
  </si>
  <si>
    <t>9.1. Program Peningkatan Ketersediaan dan Kerawanan Pangan</t>
  </si>
  <si>
    <t xml:space="preserve">9.1.1. Pembangunan Rumah Layak Huni Kampung Migirito  </t>
  </si>
  <si>
    <t xml:space="preserve">9.1.2. Pengadaan Motor Tempel 15 PK  </t>
  </si>
  <si>
    <t xml:space="preserve">9.1.3. Pembangunan Rumah Layak Huni Kampung Bersama Distrik Sawiat </t>
  </si>
  <si>
    <t>9.2. Program Peningkatan Distribusi dan Cadangan Pangan</t>
  </si>
  <si>
    <t xml:space="preserve">9.2.1.  Lomba Kampung  </t>
  </si>
  <si>
    <t>9.3 Program Peningkatan Penganekaragaman Konsumsi dan Keamanan Pangan</t>
  </si>
  <si>
    <t xml:space="preserve">9.3.1. Magang Tenun Kain di Kabupaten Wajo  </t>
  </si>
  <si>
    <t xml:space="preserve">9.3.2. Operasional bagi kelompok tenun kain  </t>
  </si>
  <si>
    <t>10. DINAS PERIKANAN DAN KELAUTAN</t>
  </si>
  <si>
    <t>10.1. Program Peningkatan Ketersediaan dan Kerawanan Pangan</t>
  </si>
  <si>
    <t xml:space="preserve">10.1.1. Bantuan Modal Usaha Nelayan OAP </t>
  </si>
  <si>
    <t xml:space="preserve">10.1.2. Bantuan Modal Usaha Pemasaran Hasil Perikana OAP  </t>
  </si>
  <si>
    <t xml:space="preserve">10.1.3. Studi Banding Pengelola Koperasi Perikanan  </t>
  </si>
  <si>
    <t>10.2. Program Peningkatan Ketersediaan dan Kerawanan Pangan</t>
  </si>
  <si>
    <t xml:space="preserve">10.2.1. Operasional BBI Sawiat  </t>
  </si>
  <si>
    <t xml:space="preserve">10.2.2. Pengadaan Benih Ikan Mas, Nila,Lele  </t>
  </si>
  <si>
    <t xml:space="preserve">10.2.3. Pengadaan Peralatan Pembuatan Pakan Ikan   </t>
  </si>
  <si>
    <t xml:space="preserve">10.2.4. Distribusi Leaflet dan Buku Budi Daya untuk Pembudidaya </t>
  </si>
  <si>
    <t xml:space="preserve">10.2.5. Pengadaan Keramba Kepiting  </t>
  </si>
  <si>
    <t xml:space="preserve">10.2.6. Pelatihan Budidaya Sistem Keramba Kepiting  </t>
  </si>
  <si>
    <t>10.3. Program Peningkatan Ketersediaan dan Kerawanan Pangan</t>
  </si>
  <si>
    <t xml:space="preserve">10.3.1. Pelatihan Pengolahan dan Perbaikan Mesin Alat Tangkap  Hasil Perikanan  </t>
  </si>
  <si>
    <t xml:space="preserve">10.3.2. Pelatihan Manajemen Hasil Perikanan  </t>
  </si>
  <si>
    <t xml:space="preserve">10.3.3. Pameran Produk Perikanan Kabupaten Sorong Selatan   </t>
  </si>
  <si>
    <t xml:space="preserve">10.3.4. Pengadaan Mesin Motor Tempel 15 PK Distrik Saifi  </t>
  </si>
  <si>
    <t xml:space="preserve">10.3.5. Pengadaan Jaring Trammel Net Distrik Metemani </t>
  </si>
  <si>
    <t xml:space="preserve">10.3.6. Pengadaan Jaring Trammel Net Distrik Saifi  </t>
  </si>
  <si>
    <t xml:space="preserve">10.3.7. Pengadaan Jaring Trammel Net Distrik Kokoda  </t>
  </si>
  <si>
    <t xml:space="preserve">10.3.8. Pengadaan Jaring Trammel Net Distrik Kais </t>
  </si>
  <si>
    <t xml:space="preserve">10.3.9. Pengadaan Jaring Trammel Net Distrik Konda  </t>
  </si>
  <si>
    <t xml:space="preserve">10.3.10 .Pengadaan Casco Motor Tempel 15 PK Untuk Penampung Orang Asli Papua </t>
  </si>
  <si>
    <t>10.3.15. Pengadaan Mesin Ketinting Distrik Teminabuan ( Tersebar )</t>
  </si>
  <si>
    <t>10.3.16. Pengadaan Jaring Tramel Net</t>
  </si>
  <si>
    <t xml:space="preserve">11.1.4 Pembangunan Tempat Pelayanan Koperasi (TKP)  </t>
  </si>
  <si>
    <t xml:space="preserve">11.3.4. Pembangunan pasar obor kampung siwatori/totona </t>
  </si>
  <si>
    <t>12. BADAN PENGELOLA KEUANGAN DAN ASET DAERAH</t>
  </si>
  <si>
    <t>12.3. Belanja Bantuan Sosial Kepada Kelompok Masyarakat</t>
  </si>
  <si>
    <t xml:space="preserve"> - Jamkesda</t>
  </si>
  <si>
    <t xml:space="preserve"> - Bantuan Sosial Pendidikan</t>
  </si>
  <si>
    <t xml:space="preserve"> - Bantuan Pemondokan/Asrama</t>
  </si>
  <si>
    <t>IX. KABUPATEN PEGUNUNGAN ARFAK</t>
  </si>
  <si>
    <t>1.1. Program peningkatan disiplin aparatur</t>
  </si>
  <si>
    <t>1.1.1. Pengadaan pakaian olahraga</t>
  </si>
  <si>
    <t>1.2. Program Peningkatan Kapasitas Sumber Daya Aparatur</t>
  </si>
  <si>
    <t>1.2.1. Penyusunan Profil PNS dan Operasional Tenaga Administrasi Kantor Bidang Kepegawaian</t>
  </si>
  <si>
    <t xml:space="preserve">1.3.1. Pembangunan gedung sekolah  </t>
  </si>
  <si>
    <t>1.3.3. Penyelenggaraan akreditasi sekolah dasar</t>
  </si>
  <si>
    <t>1.3.4. Monitoring, evaluasi dan pelaporan</t>
  </si>
  <si>
    <t xml:space="preserve">1.3.5. Penyediaan Guru Kontrak dan Honor Daerah (HONDA) Jenjang SD dan SMP  </t>
  </si>
  <si>
    <t>1.3.6. Pelaksanaan Ujian SD dan SMP</t>
  </si>
  <si>
    <t>1.4. Program Pendidikan Non Formal</t>
  </si>
  <si>
    <t>1.4.1. Pemberdayaan tenaga pendidik non formal</t>
  </si>
  <si>
    <t>1.5. Program Peningkatan Mutu Pendidik dan Tenaga Kependidikan</t>
  </si>
  <si>
    <t>1.5.1. Pelaksanaan Sertifikasi pendidik</t>
  </si>
  <si>
    <t>1.5.2. Monitoring, evaluasi dan pelaporan</t>
  </si>
  <si>
    <t>1.6. Program Manajemen Pelayanan Pendidikan</t>
  </si>
  <si>
    <t>1.6.1. Penerapan sistem dan informasi manajemen pendidikan</t>
  </si>
  <si>
    <t>1.6.2. Penyediaan Data Valid Kegiatan Monitoring, evaluasi dan pelaporan</t>
  </si>
  <si>
    <t>1.6.3. Pelaksanaan Kegiatan Pelatihan Operator Sekolah</t>
  </si>
  <si>
    <t>2. Dinas Kesehatan</t>
  </si>
  <si>
    <t>2.1. Program Pelayanan Administrasi Perkantoran</t>
  </si>
  <si>
    <t>2.1.1. Penyediaan jasa administrasi keuangan</t>
  </si>
  <si>
    <t>2.2.1. Peningkatan Kapasitas Tenaga Bidan Dan Gizi</t>
  </si>
  <si>
    <t>2.2.2. Terlaksananya Kegiatan Seksi Promkes</t>
  </si>
  <si>
    <t>2.2.3. Kegiatan Monitoring dan Evaluasi Tenaga Kesehatan</t>
  </si>
  <si>
    <t>2.3. Program Penataan dan Pengembangan Aparatur dan Organisasi</t>
  </si>
  <si>
    <t>2.3.1. Registrasi dan Manajemen Aset Daerah</t>
  </si>
  <si>
    <t>2.3.2. Pelayanan Manajemen Aparatur Sipil (ASN)</t>
  </si>
  <si>
    <t>2.4. Program Pembinaan Kesehatan Masyarakat</t>
  </si>
  <si>
    <t>2.4.1. Administrasi Manajeman Pembinaan Kesehatan masyarakat</t>
  </si>
  <si>
    <t>2.5. Program Obat dan Perbekalan Kesehatan</t>
  </si>
  <si>
    <t>2.5.1. Monitoring, evaluasi dan pelaporan</t>
  </si>
  <si>
    <t>2.6. Program Upaya Kesehatan Masyarakat</t>
  </si>
  <si>
    <t xml:space="preserve">2.6.1. Pelayanan kesehatan dasar luar gedung puskesmas  </t>
  </si>
  <si>
    <t>2.7. Program Perbaikan Gizi Masyarakat</t>
  </si>
  <si>
    <t>2.7.1. Penanggulangan KEP, Anemia Gizi Besi, GAKY, Kekurangan Vitamin dan Gizi</t>
  </si>
  <si>
    <t>2.7.2. Monitoring, evaluasi dan pelaporan</t>
  </si>
  <si>
    <t>2.8. Program Pencegahan dan Penanggulangan Penyakit Menular</t>
  </si>
  <si>
    <t>2.8.1. Pelayanan pencegahan dan penanggulangan penyakit menular</t>
  </si>
  <si>
    <t>2.8.2. Sosialisasi kader Posbindu</t>
  </si>
  <si>
    <t>2.8.3. Pelaksanaan sweeping imunisasi, Bulan Imunisasi Anak Sekolah (BIAS)</t>
  </si>
  <si>
    <t>2.9. Program Standarisasi Pelayanan Kesehatan</t>
  </si>
  <si>
    <t>2.9.1. Monitoring, evaluasi dan pelaporan</t>
  </si>
  <si>
    <t>2.9.2. Kegiatan Monitoring Standarisasi Pelayanan Puskesmas dan Nomor Registrasi Puskesmas</t>
  </si>
  <si>
    <t>2.10. Program peningkatan pelayanan kesehatan lansia</t>
  </si>
  <si>
    <t>1.10.1. Pelayanan pemeliharaan kesehatan</t>
  </si>
  <si>
    <t>2.11. Program penjaringan anak sekolah</t>
  </si>
  <si>
    <t>2.11.1. Mendeteksi dini siswa yang memiliki masalah kesehatan</t>
  </si>
  <si>
    <t xml:space="preserve">3.1. Program Peningkatan Sarana dan Prasarana Aparatur </t>
  </si>
  <si>
    <t>3.1.1. Peningkatan Sarana dan prasarana</t>
  </si>
  <si>
    <t>3.2. Program pembangunan jalan dan jembatan</t>
  </si>
  <si>
    <t>3.2.1. Pembangunan jalan</t>
  </si>
  <si>
    <t>3.2. Program pembangunan turap/talud/bronjong</t>
  </si>
  <si>
    <t>3.2.1. Pembangunan turap/talud/bronjong</t>
  </si>
  <si>
    <t>3.3. Program Pengembangan Kinerja Pengelolaan Air Minum dan Air Limbah</t>
  </si>
  <si>
    <t>3.4. Program Perencanaan Tata Ruang</t>
  </si>
  <si>
    <t>3.4.1. Studi dan Inventarisasi Perencanaan Tata Ruang</t>
  </si>
  <si>
    <t>4. Dinas Perumahan Rakyat, Kawasan Pemukiman dan Lingkungan Hidup</t>
  </si>
  <si>
    <t>4.1.1. Monitoring, evaluasi dan pelaporan</t>
  </si>
  <si>
    <t>4.1.2. Pembangunan perumahan rakyat</t>
  </si>
  <si>
    <t>4.1.3. Penyusunan RP3KP dan Pokja</t>
  </si>
  <si>
    <t>4.1.4. Pembangunan rumah tokoh agama</t>
  </si>
  <si>
    <t>4.1.5. Penyusunan Renstra SKPD</t>
  </si>
  <si>
    <t>4.1.6. BSPS Rumah Swadaya Dana Sharing</t>
  </si>
  <si>
    <t>4.1.7. Pembangunan Rumah Layak Huni (Rumah Sehat)  Yang Diserahkan Kepada Masyarakat Kampung</t>
  </si>
  <si>
    <t>4.2. Program pengelolaan ruang terbuka hijau</t>
  </si>
  <si>
    <t>4.2.1. Pemeliharaan Taman Bunga</t>
  </si>
  <si>
    <t>5.1. Program Peningkatan Sarana dan Prasarana Aparatur</t>
  </si>
  <si>
    <t>5.1.1. Pengadaan meubelair</t>
  </si>
  <si>
    <t>5.2. Program Pemberdayaan Fakir Miskin, Komunitas Adat Terpencil (KAT) dan Penyandang Masalah Kesejahteraan Sosial (PMKS) Lainnya</t>
  </si>
  <si>
    <t>5.2.1. Distribusi Beras dari Distrik ke Kampung</t>
  </si>
  <si>
    <t xml:space="preserve">5.2.2. Pembangunan perumahan rakyat </t>
  </si>
  <si>
    <t xml:space="preserve">5.2.3. Pembangunan Perumahan Rakyat  </t>
  </si>
  <si>
    <t>5.3. Program Pelayanan dan Rehabilitasi Kesejahteraan Sosial</t>
  </si>
  <si>
    <t>5.3.1. Peningkatan kualitas pelayanan, sarana, dan prasarana rehabilitasi kesejahteraan sosial bagi PMKS</t>
  </si>
  <si>
    <t>5.3.2. Validasi Data Keluarga PKH</t>
  </si>
  <si>
    <t>5.4. Program pembinaan anak terlantar</t>
  </si>
  <si>
    <t>5.4.1. Peningkatan keterampilan tenaga pembinaan anak terlantar</t>
  </si>
  <si>
    <t>5.4.2. Pemberian Hibah Barang Kepada Anak Terlantar</t>
  </si>
  <si>
    <t>5.5. Program pembinaan para penyandang cacat dan trauma</t>
  </si>
  <si>
    <t>5.5.1. Pemberian Bantuan Hibah Barang Kepada Penyandang Cacat</t>
  </si>
  <si>
    <t>5.6. Program pembinaan panti asuhan /panti jompo</t>
  </si>
  <si>
    <t>5.6.1. Pemberian Bantuan Hibah Barang Untuk Lansia</t>
  </si>
  <si>
    <t>5.7. Program pembinaan panti asuhan /panti jompo</t>
  </si>
  <si>
    <t>5.7.1. Pembangunan pusat bimbingan/konseling bagi eks penyandang penyakit sosial</t>
  </si>
  <si>
    <t>5.8. Program pembinaan panti asuhan /panti jompo</t>
  </si>
  <si>
    <t>5.8.1. Peningkatan peran aktif masyarakat dan dunia usaha</t>
  </si>
  <si>
    <t>5.8.2. Kelembagaan Masyarakat Dalam Membangun Profil Desa</t>
  </si>
  <si>
    <t>5.8.3. Pembangunan Balai Pertemuan Kampung</t>
  </si>
  <si>
    <t>6.1. Program Peningkatan Sarana dan Prasarana Aparatur</t>
  </si>
  <si>
    <t>6.1.1. Pengadaan perlengkapan gedung kantor</t>
  </si>
  <si>
    <t>6.1.2. Pengadaan meubelair</t>
  </si>
  <si>
    <t>6.1.3. Pembangunan Perumahan Rakyat</t>
  </si>
  <si>
    <t>6.2. Program Peningkatan Sarana dan Prasarana Aparatur</t>
  </si>
  <si>
    <t>6.2.1. Pendidikan dan pelatihan formal</t>
  </si>
  <si>
    <t>6.3. Program Rehabilitasi dan Rekonstruksi Pasca Bencana</t>
  </si>
  <si>
    <t>6.3.1. Sosialisasi manajemen dan teknikal rehabilitasi dan rekonstruksi di tingkat distrik</t>
  </si>
  <si>
    <t>6.3.2. Pengadaan sarana dan prasarana pasca bencana</t>
  </si>
  <si>
    <t>6.4. Program Kesiapsiagaan dan Pencegahan</t>
  </si>
  <si>
    <t>6.4.1. Bimbingan teknis dan sosialisasi bidang pencegaan dan kesiapsiagaan tingkat distrik</t>
  </si>
  <si>
    <t>6.5. Program Data dan Informasi</t>
  </si>
  <si>
    <t>6.5.1. Koordinasi dan konsultasi pembuatan peta wilayah rawan bencana</t>
  </si>
  <si>
    <t>7.1.1. Pembangunan gedung kantor</t>
  </si>
  <si>
    <t>7.2. Program keserasian Kebijakan Peningkatan Kualitas Anak dan Perempuan</t>
  </si>
  <si>
    <t>7.2.1. Sosialisasi Pengaruh Globalisasi Bagi Anak</t>
  </si>
  <si>
    <t>7.2.2. Sosialisasi PUG</t>
  </si>
  <si>
    <t>7.3. Program Peningkatan Kualitas Hidup dan Perlindungan Perempuan</t>
  </si>
  <si>
    <t>7.3.1. Sosialisasi Pencegahan Kekerasan Terhadap Perempuan</t>
  </si>
  <si>
    <t>8.1.1. Penyediaan Sarana dan Prasarana Pemasaran</t>
  </si>
  <si>
    <t>9.1. Program peningkatan produksi pertanian/perkebunan</t>
  </si>
  <si>
    <t>9.1.1. Penyediaan sarana produksi pertanian/perkebunan</t>
  </si>
  <si>
    <t>9.1.2. Pengembangan Tanaman Sayuran Dataran Tinggi</t>
  </si>
  <si>
    <t>9.1.3. Pengembangan Tanaman Hias</t>
  </si>
  <si>
    <t>9.1.4. Pengembangan Komoditas Perkebunan</t>
  </si>
  <si>
    <t>10.1. Bagian Hubungan Masyarakat dan Protokoler</t>
  </si>
  <si>
    <t>10.1.1. Program Pembinaan Dan Pengembangan Bidang Ketenagalistrikan</t>
  </si>
  <si>
    <t>10.1.1.1.Pembangunan Jaringan Listrik</t>
  </si>
  <si>
    <t>10.1.1.2.Penyediaan Instalasi listrik dan penyambungan meter prabayar</t>
  </si>
  <si>
    <t>10.1.1.3.Top overhoul mesin PLTD</t>
  </si>
  <si>
    <t xml:space="preserve">10.2.1. Program Peningkatan Sarana dan Prasarana Aparatur </t>
  </si>
  <si>
    <t xml:space="preserve">11.1. Program Peningkatan Kapasitas Sumber Daya Aparatur </t>
  </si>
  <si>
    <t>11.1.2. Pemberian Bantuan Bagi Tugas Belajar (S1)</t>
  </si>
  <si>
    <t>12. BPKAD</t>
  </si>
  <si>
    <t>12.1. Belanja Bantuan Sosial Kepada Anggota Masyarakat</t>
  </si>
  <si>
    <t>12.2.1. Belanja Bantuan Sosial Kepada Kelompok Masyarakat</t>
  </si>
  <si>
    <t>X. KABUPATEN SORONG</t>
  </si>
  <si>
    <t>1. Dinas Pendidikan Nasional</t>
  </si>
  <si>
    <t>1.1.1. Pembangunan Gedung PAUD</t>
  </si>
  <si>
    <t>1.1.2. Pengadaan Meubelair Gedung PAUD</t>
  </si>
  <si>
    <t>1.1.4. Pembangunan Gedung TK Pembina Kab.Sorong</t>
  </si>
  <si>
    <t>1.1.5. Pengadaan Meubaleir dan Alat Bermain TK Pembina Kab.Sorong</t>
  </si>
  <si>
    <t xml:space="preserve">1.1.6. Rehabilitasi Gedung dan Alat Permainan TK YPK Syalom Klamalu </t>
  </si>
  <si>
    <t>1.1.7. Bantuan Dana BOSDA Untuk PAUD</t>
  </si>
  <si>
    <t xml:space="preserve">1.2.1. Pembangunan Rumah Dinas Guru SD </t>
  </si>
  <si>
    <t xml:space="preserve">1.2.2. Bantuan Opersional Sekolah Daerah (BOSDA) SD/MI Tahun 2019 </t>
  </si>
  <si>
    <t xml:space="preserve">1.2.3. Bantuan Opersional Sekolah Daerah (BOSDA) SMP/MTs </t>
  </si>
  <si>
    <t xml:space="preserve">1.2.4. Pengadaan Seragam SMP/MTs </t>
  </si>
  <si>
    <t xml:space="preserve">1.2.5. Pembangunan Asrama SMP Malagubtuk </t>
  </si>
  <si>
    <t>1.2.6. Pembangunan Rumah Dinas Guru dan kepala Sekolah SMP Maudus</t>
  </si>
  <si>
    <t xml:space="preserve">1.2.7. Pembangunan RKB dan Kantor SMP N.21 Klawak </t>
  </si>
  <si>
    <t>1.2.8. Penyediaan Sarana Belajar (Komputer) SMP N 25 Kab.Sorong</t>
  </si>
  <si>
    <t xml:space="preserve">1.2.9. Pembangunan RKB SMP Klaso </t>
  </si>
  <si>
    <t xml:space="preserve">1.2.10. Pembangunan Pagar SMP N 3 Kab.Sorong </t>
  </si>
  <si>
    <t xml:space="preserve">1.2.11. Pengadaan Meubelair Asrama SMP Malagubtuk </t>
  </si>
  <si>
    <t xml:space="preserve">1.2.12. Pembangunan Asrama dan Pengadaan Meubelair SMP Klaso </t>
  </si>
  <si>
    <t xml:space="preserve">1.2.13. Rehabilitasi Gedung SD YPPK St.Petrus (Jl.Belibis Kel.Klamalu) </t>
  </si>
  <si>
    <t xml:space="preserve">1.2.14. Pengadaan Mini Bus Sekolah 3 Unit </t>
  </si>
  <si>
    <t xml:space="preserve">1.2.15. Operasional Bus Sekolah 28 unit </t>
  </si>
  <si>
    <t xml:space="preserve">1.2.16. Pengadaan Komputer untuk UNBK SMP </t>
  </si>
  <si>
    <t xml:space="preserve">1.2.17. Pengadaan Pakaian Seragam Siswa Baru SD/MI Tahun 2019 </t>
  </si>
  <si>
    <t xml:space="preserve">1.2.18. Penjaringan Bakat dan Prestasi Siswa Tingkat SMP Tahun 2019 </t>
  </si>
  <si>
    <t>1.3. Program Pendidikan Menengah</t>
  </si>
  <si>
    <t>1.3.1. Pengadaan Pakian Seragam SMA</t>
  </si>
  <si>
    <t>1.3.2. Pengadaan Pakian Seragam SMK</t>
  </si>
  <si>
    <t>1.4.1.UAN dan UAS Paket A setara SD</t>
  </si>
  <si>
    <t>1.4.2. UAN dan UAS Paket B setara SMP</t>
  </si>
  <si>
    <t>1.4.3. UAN dan UAS Paket C setara SMA</t>
  </si>
  <si>
    <t>1.4.4. Olimpiade Kesiswaan Sekolah Dasar Tahun 2018</t>
  </si>
  <si>
    <t>1.4.5. Penguatan Baca Tulis (literasi) Kelas Awal Sekolah Dasar</t>
  </si>
  <si>
    <t>1.4.6. Kurikulum PAUD Kesetaraan</t>
  </si>
  <si>
    <t>1.5. Program Pendidikan Luar Biasa</t>
  </si>
  <si>
    <t>1.5.1. Pengadaan Meubelair SLB</t>
  </si>
  <si>
    <t>1.5.2. Pengadaan Kelengkapan Gedung SLB</t>
  </si>
  <si>
    <t>1.6. Program Peningkatan Mutu Pendidik &amp; Tenaga Kependidikan</t>
  </si>
  <si>
    <t>1.6.1. Pengembangan Keprofesian Berkelanjutan (PKB)</t>
  </si>
  <si>
    <t>1.6.2. Pendidik Profesi Guru (PPG) Tahun 2019</t>
  </si>
  <si>
    <t>1.7. Program Pendidikan dan Pelatihan</t>
  </si>
  <si>
    <t>1.7.1. Pendidik ADIK dan ADEM</t>
  </si>
  <si>
    <t>1.8. Program Pengembangan Adat dan Budaya</t>
  </si>
  <si>
    <t>1.8.1. Festival Seni Budaya Malamoi II Tahun 2019</t>
  </si>
  <si>
    <t>1.8.2. Dialog Budaya Nasional Tahun 2019</t>
  </si>
  <si>
    <t>1.8.3. Seleksi Guru Bahasa Nusantara Tahun 2019</t>
  </si>
  <si>
    <t xml:space="preserve">2.1. Program Obat &amp; Perbekalan Kesehatan </t>
  </si>
  <si>
    <t>2.1.1. Pengadaaan Obat-obatan Puskesmas</t>
  </si>
  <si>
    <t>2.1.2. Pengadaan Alat -Alat Kesehatan &amp; Bahan Medis Habis Pakai Esensial Kebidanan</t>
  </si>
  <si>
    <t>2.2. Program Perbaikan Gizi Masyarakat</t>
  </si>
  <si>
    <t xml:space="preserve">2.2.1. Penguatan Rumah Pemulihan Gizi (TFC) </t>
  </si>
  <si>
    <t>2.2.2. Singkronisasi Data Status Gizi, Buruk, Kurus Dan Stunting</t>
  </si>
  <si>
    <t xml:space="preserve">2.2.3. Penguatan Proses Asuhan Gizi Puskesmas </t>
  </si>
  <si>
    <t xml:space="preserve">2.2.4. Sosialisasi Program Rama Lansia </t>
  </si>
  <si>
    <t xml:space="preserve">2.2.5. Pemberian Tablet Tambah Darah Bagi Remaja Putri </t>
  </si>
  <si>
    <t xml:space="preserve">2.2.6.Penyuluhan Gizi Lansia Di Posbindu </t>
  </si>
  <si>
    <t xml:space="preserve">2.2.7. Pemantauan Balita Kurus Yang Mendapat PMT Di Posbindu </t>
  </si>
  <si>
    <t xml:space="preserve">2.2.8. Evaluasi Aplikasi Elektronik Pencatatan Dan Pelaporan Gizi Berbasis Masyarakat </t>
  </si>
  <si>
    <t xml:space="preserve">2.2.9.Penjaringan Dan Perawatan Balita Gizi Buruk Di Posyandu </t>
  </si>
  <si>
    <t xml:space="preserve">2.2.10. Pemantauan Ibu Hamil Kekurangan Energi Kronis Kek </t>
  </si>
  <si>
    <t xml:space="preserve">2.2.11. Pelayanan Gizi Buruk </t>
  </si>
  <si>
    <t xml:space="preserve">2.2.12. Pemantauan Distribusi Makanan Tambahan Di Posyandu </t>
  </si>
  <si>
    <t>2.2.13. Pembinaan Kader Posyandu</t>
  </si>
  <si>
    <t>2.3. Program Pengembangan Lingkungan Sehat</t>
  </si>
  <si>
    <t xml:space="preserve">2.3.1. Penguatan Kapasitas Pengelola Depot Air Minum Isi Ulang </t>
  </si>
  <si>
    <t xml:space="preserve">2.3.2. Kursus Hygiene Sanitasi Penjamah Makanan Tempat Pengolahan Makanan </t>
  </si>
  <si>
    <t xml:space="preserve">2.3.3. Pengambilan Dan Pemeriksaan Sampel Air Damiu </t>
  </si>
  <si>
    <t xml:space="preserve">2.4.1. Pencegahan Dan Pengedalian Penyakit Malaria </t>
  </si>
  <si>
    <t xml:space="preserve">2.4.2. Pencegahan Dan Pengedalian Penyakit Filariasis </t>
  </si>
  <si>
    <t xml:space="preserve">2.4.3. Pencegahan Dan Pengedalian Penyakit TB Paru </t>
  </si>
  <si>
    <t xml:space="preserve">2.4.4. Pencegahan Dan Pengedalian Penyakit HIV/AIDS </t>
  </si>
  <si>
    <t xml:space="preserve">2.4.5. Pencegahan Dan Pengedalian Penyakit Kusta </t>
  </si>
  <si>
    <t xml:space="preserve">2.4.6. Pencegahan Dan Pengedalian Penyakit Frambusia </t>
  </si>
  <si>
    <t xml:space="preserve">2.4.7. Pencegahan Dan Pengedalian Penyakit Diare </t>
  </si>
  <si>
    <t>2.4.8. Pencegahan Dan Pengedalian Penyakit ISPA</t>
  </si>
  <si>
    <t>2.4.9. Pencegahan Dan Pengedalian Penyakit Tidak Menular</t>
  </si>
  <si>
    <t>2.5. Program Pelayanan Kesehatan Dasar</t>
  </si>
  <si>
    <t xml:space="preserve">2.5.1. Peningkatan Sarana Dan Prasarana Pustu Malaumkarta </t>
  </si>
  <si>
    <t xml:space="preserve">2.5.2. Pembangunan Baru Puskesmas Klalinmos </t>
  </si>
  <si>
    <t xml:space="preserve">2.5.3. Pembangunan Rumah Dinas Petugas Kesehatan Di Pustu Klalinmos </t>
  </si>
  <si>
    <t xml:space="preserve">2.5.4. Peningkatan Sarana Dan Prasarana Pustu Malaukarta </t>
  </si>
  <si>
    <t xml:space="preserve">2.5.5. Pembangunan Rumah Dinas Petugas Kesehatan Di Pustu Malaumkarta </t>
  </si>
  <si>
    <t xml:space="preserve">2.5.6. Pelayanan Kesehatan Bergerak Daerah Terpencil </t>
  </si>
  <si>
    <t>2.6. Program Kesehatan Ibu dan Anak</t>
  </si>
  <si>
    <t xml:space="preserve">2.6.1. Pertemuan Manajemen Terpadu Balita Sakit </t>
  </si>
  <si>
    <t xml:space="preserve">2.6.2.Penjaringan Ibu Hamil Resiko Tinggi </t>
  </si>
  <si>
    <t xml:space="preserve">2.6.3. Monev Audit Maternal Perinatal </t>
  </si>
  <si>
    <t xml:space="preserve">2.6.4. Pertemuan Evaluasi Audit Maternal Perinatal </t>
  </si>
  <si>
    <t xml:space="preserve">2.6.5. Deseminasi Hasil Program Kesehatan Ibu Dan Anak </t>
  </si>
  <si>
    <t xml:space="preserve">2.6.6. Penguatan Tenaga Bidan Program Asuhan Persalinan Normal </t>
  </si>
  <si>
    <t xml:space="preserve">2.6.7. Magang Bidan Di RSUD Sorong </t>
  </si>
  <si>
    <t>2.6.8. Peningkatan Kapasitas Bidan Pelaksana Program Pencegahan Penularan IMS HIV/AIDS dari Ibu ke Anak</t>
  </si>
  <si>
    <t>2.6.9. Advokasi Dan Sosialisasi Imunisasi Anak Sekolah Bagi Guru Dan Orang Tua Murid</t>
  </si>
  <si>
    <t xml:space="preserve">2.6.10. Advokasi Dan Sosialisasi Imunisasi Bagi Masyarakat Tingkat Distrik </t>
  </si>
  <si>
    <t xml:space="preserve">2.6.11. Pengadaan Kelambu Berinsektisida Bagi Ibu Hamil </t>
  </si>
  <si>
    <t xml:space="preserve">2.6.12. Penemuan Dini Kasus Malaria HIV IMS Dan Hepatitis Pada Ibu Hamil </t>
  </si>
  <si>
    <t xml:space="preserve">2.6.13. Evaluasi Program Desa Siaga </t>
  </si>
  <si>
    <t xml:space="preserve">2.6.14. Pelatihan Program Gerakan Masyarakat Hidup Sehat (GERMAS) </t>
  </si>
  <si>
    <t xml:space="preserve">2.6.15. Monitoring Dan Evaluasi Audit Maternal Perinatal </t>
  </si>
  <si>
    <t xml:space="preserve">2.6.16. Pemantauan Stiker P4K </t>
  </si>
  <si>
    <t xml:space="preserve">2.6.17. Pelayanan Ibu Hamil K1 Dan K4 </t>
  </si>
  <si>
    <t xml:space="preserve">2.6.18. Pelayanan Ibu Hamil Resiko Tinggi </t>
  </si>
  <si>
    <t>3. RUMAH SAKIT UMUM DAERAH KABUPATEN SORONG SEBAGAI SKPD</t>
  </si>
  <si>
    <t>3.1. Program Peningkatan Kapasitas Sumber Daya Aparatur</t>
  </si>
  <si>
    <t>3.1.1. Workshop Kompetensi Pegawai RSUD</t>
  </si>
  <si>
    <t xml:space="preserve">3.2. Program Obat dan Pembekalan Kesehatan </t>
  </si>
  <si>
    <t>3.2.1. Pengadaan Bahan Medis Habis Pakai</t>
  </si>
  <si>
    <t>3.2.2. Pengadaan Obat-Obatan</t>
  </si>
  <si>
    <t>4. DINAS PU</t>
  </si>
  <si>
    <t>4.1. Program Pendidikan Tinggi</t>
  </si>
  <si>
    <t>4.1.1. Lanjutan Pembangunan Gedung Perkuliahan Fakultas Kedokteran UNIPA</t>
  </si>
  <si>
    <t>4.2. Program Pengembangan Wilayah Strategis dan Cepat Tumbuh</t>
  </si>
  <si>
    <t>5. KANTOR PEMBERDAYAAN PEREMPUAN DAN KB</t>
  </si>
  <si>
    <t>5.1. Program Keserasian Kebijakan Peningkatan Kualitas Anak dan Perempuan</t>
  </si>
  <si>
    <t>5.1.1. Sosialisasi Tentang Kekerasan Terhadap Anak</t>
  </si>
  <si>
    <t>5.1.2. Pemberian Makanan Bergizi dan Pemeriksaan Kesehatan Bagi Balita</t>
  </si>
  <si>
    <t>5.1.3. Loka Karya Mini Tentang Tumbuh Kembang Anak Bagi Kader-Kader Posyandu</t>
  </si>
  <si>
    <t>5.2.1. Pelatihan Pengolahan Sagu Menjadi Tepung Sagu Dan Aneka Kue Sagu  Serta Kue Modern</t>
  </si>
  <si>
    <t xml:space="preserve">5.2.2. Pembangunan Rumah Aman Bagi Korban KDRT Dan Meubelair </t>
  </si>
  <si>
    <t xml:space="preserve">5.2.3. Pelatihan Tata Boga, Tata Rias Dan Pembuatan Aksesoris </t>
  </si>
  <si>
    <t xml:space="preserve">5.2.4. Pelatihan Tenun Ikat </t>
  </si>
  <si>
    <t>5.3. Program Analisis Gender</t>
  </si>
  <si>
    <t>5.3.1. Penyusunan dan Pembuatan Analisis Gender</t>
  </si>
  <si>
    <t>6. DINAS TENAGA KERJA DAN TRANSMIGRASI</t>
  </si>
  <si>
    <t>6.1. Program Peningkatan Kualitas dan Produkfitas Tenaga Kerja</t>
  </si>
  <si>
    <t xml:space="preserve">6.1.1. Pelatihan Keterampilan Alat Berat Orang Asli Papua </t>
  </si>
  <si>
    <t xml:space="preserve">6.1.2. Pelatihan Welding Inspector / Pengawas Las </t>
  </si>
  <si>
    <t>7.1. Program Peningkatan Ketahanan Pangan (Pertanian/Peternakan)</t>
  </si>
  <si>
    <t xml:space="preserve">7.1.1. Pengembangan Pemanfaatan Lahan Pekarangan </t>
  </si>
  <si>
    <t xml:space="preserve">7.1.2. Lomba Cipta Menu </t>
  </si>
  <si>
    <t xml:space="preserve">7.1.3. Pengembangan Pangan Lokal </t>
  </si>
  <si>
    <t>7.2. Program Pengembangan Kelembangaan Distribusi dan Cadangan Pangan</t>
  </si>
  <si>
    <t>7.2.1. Peningkatan Fungsi Lumbung Pangan</t>
  </si>
  <si>
    <t>7.2.2. Pasar Murah OTSUS</t>
  </si>
  <si>
    <t>7.3. Program Pengawasan Keamanan Pangan dan Rawan Pangan</t>
  </si>
  <si>
    <t>7.3.1. Pengawasan Keamanan Pangan Segar</t>
  </si>
  <si>
    <t>7.3.2. Pembuatan Peta Karawanan Pangan</t>
  </si>
  <si>
    <t>7.4. Program Pengembangan Usaha Pangan Masyarakat</t>
  </si>
  <si>
    <t>7.4.1. Survey Pola Konsumsi</t>
  </si>
  <si>
    <t>7.4.2. Promosi Pangan Segar</t>
  </si>
  <si>
    <t>7.5. Program Pengembangan Kawasan Mandiri Pangan</t>
  </si>
  <si>
    <t xml:space="preserve">7.5.1. Pembangunan dan Pembinaan Desa Mandiri Pangan </t>
  </si>
  <si>
    <t>8. KOPERASI DAN UKM</t>
  </si>
  <si>
    <t>8.1. Program Pengembangan Kewirausahaan &amp; Unggulan  Kompetitif UKM</t>
  </si>
  <si>
    <t xml:space="preserve">8.1.1. Sosialisasi Dan Pembentukan Koperasi Bagi Orang Asli Papua </t>
  </si>
  <si>
    <t>9.1. Program Peningkatan Produksi, Produktivitas dan Mutu Tanaman Pertanian/Perkebunan</t>
  </si>
  <si>
    <t xml:space="preserve">9.1.1. Pengembangan Tanaman Kakao </t>
  </si>
  <si>
    <t xml:space="preserve">9.1.2. Rehabilitasi Tanaman Kakao </t>
  </si>
  <si>
    <t>9.1.3. Rehabilitasi Tanaman Kelapa Dalam</t>
  </si>
  <si>
    <t xml:space="preserve">9.1.4. Penataan Tanaman Sagu </t>
  </si>
  <si>
    <t xml:space="preserve">9.1.5. Pengembangan Tanaman Lada </t>
  </si>
  <si>
    <t>9.1.6. Pengembangan Kawasan Jagung</t>
  </si>
  <si>
    <t xml:space="preserve">9.1.7. Pengembangan Dan Peningkatan Produksi Ubi Jalar </t>
  </si>
  <si>
    <t xml:space="preserve">9.1.8. Pengembangan UPTD Balai Produksi Benih </t>
  </si>
  <si>
    <t xml:space="preserve">9.1.9. Penyediaan Sarana Pendukung UPTD Balai Produksi Benih </t>
  </si>
  <si>
    <t>9.2. Program Peningkatan Produksi, Produktivitas dan Mutu Tanaman Holtikultura</t>
  </si>
  <si>
    <t xml:space="preserve">9.2.1. Pengembangan Kawasan Buah Lainnya </t>
  </si>
  <si>
    <t xml:space="preserve">9.2.2. Pengembangan Tanaman Hortikultura </t>
  </si>
  <si>
    <t>9.3. Program Sarana Dan Prasarana Balai Penyuluhan Pertanian</t>
  </si>
  <si>
    <t xml:space="preserve">9.3.1. Lanjutan Pembangunan Balai Penyuluh Pertanian </t>
  </si>
  <si>
    <t>10. DINAS PERIKANAN</t>
  </si>
  <si>
    <t>10.1. Program Peningkatan Produksi Perikanan</t>
  </si>
  <si>
    <t xml:space="preserve">10.1.1. Pengadaan Sarana Prasarana Produksi Penangkapan Ikan </t>
  </si>
  <si>
    <t>10.2. Pengembangan Kapasitas Usaha Perikanan Masyarakat Pesisir</t>
  </si>
  <si>
    <t xml:space="preserve">10.2.1. Bimbingan Teknis Pengolahan Hasil Perikanan Bagi Masyarakat Pesisir </t>
  </si>
  <si>
    <t xml:space="preserve">10.2.2. Pelatihan Teknis ANKAPIN dan ATKAPIN </t>
  </si>
  <si>
    <t xml:space="preserve">10.2.3. Magang Budidaya Ikan Air Tawar Bagi Pembudidaya Orang Asli Papua </t>
  </si>
  <si>
    <t>.</t>
  </si>
  <si>
    <t>11. BADAN PERENCANAAN PEMBANGUNAN DAERAH</t>
  </si>
  <si>
    <t>11.1. Program Pengembangan Data/Informasi</t>
  </si>
  <si>
    <t xml:space="preserve">11.1.1. Kajian Dan Pemetaan Hak Ulayat Suku Moi </t>
  </si>
  <si>
    <t xml:space="preserve">11.1.2. Rencana Detail Pemanfaatan Gedung Rumah Sakit Rujukan Km. 23 Aimas </t>
  </si>
  <si>
    <t xml:space="preserve">11.1.3. Penyusunan Master Plan Kawasan Wisata Muara Canal (Mariat Pantai) </t>
  </si>
  <si>
    <t xml:space="preserve">11.1.4. Pendataan Pengusaha Kecil Asli Papua Kabupaten Sorong </t>
  </si>
  <si>
    <t>11.1.5. Penyusunan Rencana Aksi Daerah (RAD) Air Minum Dan Penyehatan Lingkungan (AMPL)</t>
  </si>
  <si>
    <t xml:space="preserve">11.1.6. Bimtek E-Planing Dan Simda Perencanaan </t>
  </si>
  <si>
    <t>11.2. Program Perencanaan Pembangunan Daerah</t>
  </si>
  <si>
    <t xml:space="preserve">11.2.1. Perencanaan Dan Pengembangan Kurikulum Muatan Lokal </t>
  </si>
  <si>
    <t xml:space="preserve">11.2.2. Penguatan Kapasitas Perencanaan Pembangunan Bagi Aparat Kampung </t>
  </si>
  <si>
    <t xml:space="preserve">11.2.3. Perencanaan Desain Kampung Wisata Malagufuk </t>
  </si>
  <si>
    <t>11.2.4. Penyusunan RDTR (Distrik Mayamuk, Salawati, Dan Makbon) Kabupaten Sorong</t>
  </si>
  <si>
    <t xml:space="preserve">11.2.5. Fasilitasi Pokja Percepatan Pembangunan Nasional Sanitasi Pemukiman (PPSP) </t>
  </si>
  <si>
    <t>11.3. Program Monitoring Evaluasi Pembangunan</t>
  </si>
  <si>
    <t xml:space="preserve">11.3.1. Raker Dan Pameran Otsus 2019 </t>
  </si>
  <si>
    <t xml:space="preserve">11.3.2. Pendamping Pamsimas </t>
  </si>
  <si>
    <t xml:space="preserve">11.3.3. Pendamping KOMPAK </t>
  </si>
  <si>
    <t xml:space="preserve">11.3.4. Monitoring Dan Evaluasi Kegiatan Pembangunan </t>
  </si>
  <si>
    <t xml:space="preserve">12.1.1. Pemberian Bantuan Pengolahan Minyak Lawang Di Kampung Dasri Distrik Sunook </t>
  </si>
  <si>
    <t xml:space="preserve">12.2. Program Peningkatan Peran Perempuan Di Perdesaan </t>
  </si>
  <si>
    <t xml:space="preserve">12.1.1. Pembinaan Dan Pemberdayaan Kelompok PKK </t>
  </si>
  <si>
    <t>13. DINAS SOSIAL</t>
  </si>
  <si>
    <t>13.1. Program Peningkatan Kapasitas Sumber Daya Aparatur</t>
  </si>
  <si>
    <t xml:space="preserve">13.1.1. Pendataan Dan Pelatihan Kesejahteraan Sosial (SIKS-NG) </t>
  </si>
  <si>
    <t>13.2. Program Pembinaan Panti Asuhan/ Panti Jompo</t>
  </si>
  <si>
    <t>13.2.1. Pengadaan Bahan Makanan Untuk Anak anak dalam Panti Asuhan</t>
  </si>
  <si>
    <t>14. INSPEKTORAT</t>
  </si>
  <si>
    <t>14.1. Program Sistem Pengendalian Internal Pemerintah (SPIP)</t>
  </si>
  <si>
    <t xml:space="preserve">14.1.1. Monitoring Dan Pengawasan Kegiatan Yang Bersumber Dari Dana Otsus </t>
  </si>
  <si>
    <t>15. DINAS PERUMAHAN DAN KAWASAN PEMUKIMAN</t>
  </si>
  <si>
    <t>15.1. Program Penyediaan Rumah Layak Huni</t>
  </si>
  <si>
    <t xml:space="preserve">15.1.1. Pembangunan Rumah Penduduk di Distrik Botain </t>
  </si>
  <si>
    <t xml:space="preserve">15.1.2. Pembangunan Rumah Penduduk di Distrik Salawati Selatan </t>
  </si>
  <si>
    <t xml:space="preserve">15.1.3. Pembangunan Rumah Penduduk di Distrik Salawati Tengah </t>
  </si>
  <si>
    <t xml:space="preserve">15.1.4. Pembangunan Rumah Penduduk di Distrik Mega </t>
  </si>
  <si>
    <t xml:space="preserve">15.1.5. Pembangunan Rumah Penduduk dI Distrik Selemkay </t>
  </si>
  <si>
    <t xml:space="preserve">15.1.6. Pembangunan Rumah Penduduk di Km. 28 Pesantren </t>
  </si>
  <si>
    <t>15.2. Program Pembangunan Sarana Dan Prasana Air Bersih Permukiman</t>
  </si>
  <si>
    <t xml:space="preserve">15.2.1. Lanjutan Pembangunan Sarana  Prasarana Air Bersih di Kelurahan Makbon </t>
  </si>
  <si>
    <t xml:space="preserve">15.2.2. Pembangunan Sarana Prasarana Air Bersih di Kampung Malaumkarta </t>
  </si>
  <si>
    <t xml:space="preserve">15.2.3. Lanjutan Pembangunan Sarana  Prasarana Air Bersih di Klalin Mos </t>
  </si>
  <si>
    <t xml:space="preserve">15.2.4. Pembangunan Sarana  Prasarana Air Bersih Kampung Kamlin </t>
  </si>
  <si>
    <t xml:space="preserve">15.2.5. Pembangunan Sarana Prasarana Air Bersih Kampung Kwari </t>
  </si>
  <si>
    <t xml:space="preserve">15.2.6. Pembangunan Sarana Prasarana Air Bersih Kampung Mariat Gunung </t>
  </si>
  <si>
    <t xml:space="preserve">15.2.7. Pembangunan Sarana MCK di Kampung Malaumkarta </t>
  </si>
  <si>
    <t xml:space="preserve">15.2.8. Studi Potensi Sumber Air Minum Dan Layanan di Permukiman Aimas </t>
  </si>
  <si>
    <t xml:space="preserve">15.2.9. Pembangunan Sarana Prasarana Air Bersih Kampung Warbo Distrik Moudus </t>
  </si>
  <si>
    <t>15.3. Program Pengelolaan Persampahan</t>
  </si>
  <si>
    <t xml:space="preserve">15.3.1. Operasional Persampahan </t>
  </si>
  <si>
    <t xml:space="preserve">15.3.2. Pengadaan Kontainer sampah </t>
  </si>
  <si>
    <t xml:space="preserve">15.3.3. Pengadaan Penyangga Tempat Sampah Rumah Tangga </t>
  </si>
  <si>
    <t xml:space="preserve">15.3.4. Pengadaan Tempat Sampah Rumah Tangga </t>
  </si>
  <si>
    <t>15.4. Program Pengelolaan Air Limbah Permukiman</t>
  </si>
  <si>
    <t xml:space="preserve">15.4.1. Studi EHRA dan Penyusunan SSK Sanitasi </t>
  </si>
  <si>
    <t>15.5. Program Pengelolaan Lampu Jalan Permukiman</t>
  </si>
  <si>
    <t xml:space="preserve">15.5.1. Pembangunan Penerang Lampu Jalan di Distrik Sayosa </t>
  </si>
  <si>
    <t xml:space="preserve">15.5.2. Pembangunan Penerang Lampu Jalan di Distrik Moisegen </t>
  </si>
  <si>
    <t>15.5.3. Pembangunan Penerang Lampu Jalan di Distrik Salawati Selatan</t>
  </si>
  <si>
    <t xml:space="preserve">15.5.4. Pembangunan Penerang Lampu Jalan di Distrik Seget </t>
  </si>
  <si>
    <t>15.5.5. Pembangunan Penerang Lampu Jalan di Distrik Mega</t>
  </si>
  <si>
    <t xml:space="preserve">15.5.6. Pembangunan Penerang Lanpu Jalan di Distrik Makbon </t>
  </si>
  <si>
    <t xml:space="preserve">15.5.7. Pemasangan Lampu PJU di Jalan Aimas Klamono </t>
  </si>
  <si>
    <t xml:space="preserve">15.5.8. Pemasangan Lampu PJU di Jalan Osok </t>
  </si>
  <si>
    <t>16. DINAS PETERNAKAN</t>
  </si>
  <si>
    <t>16.1. Program Pemberdayaan Ekonomi Rakyat</t>
  </si>
  <si>
    <t xml:space="preserve">16.1.1. Pemberdayaan Masyarakat Peternak Papua </t>
  </si>
  <si>
    <t>16.1.2. Penyediaan Bahan dan Peralatan Pengobatan Ternak OAP</t>
  </si>
  <si>
    <t xml:space="preserve">16.1.3. Penanaman Hijauan Makanan Ternak </t>
  </si>
  <si>
    <t xml:space="preserve">16.1.4. Pembangunan UPTD Balai Kesehatan Hewan dan Kesehatan Masyarakat </t>
  </si>
  <si>
    <t xml:space="preserve">16.1.5. Penyediaan Sarana UPTD Balai Kesehatan Hewan </t>
  </si>
  <si>
    <t xml:space="preserve">16.1.6. Pembibitan Ternak Berpola Ranch </t>
  </si>
  <si>
    <t>17. BADAN PENGELOLA KEUANGAN DAN ASET DAERAH</t>
  </si>
  <si>
    <t>17.1. Program Peningkatan Dan Pengembangan Pengelolaan Keuangan Daerah</t>
  </si>
  <si>
    <t xml:space="preserve">17.1.1. Penyusunan Laporan Realisasi Dana Otonomi Khusus </t>
  </si>
  <si>
    <t>17.2. Belanja Hibah kepada Badan/Lembaga/Organisasi</t>
  </si>
  <si>
    <t xml:space="preserve">17.2.1. Belanja Hibah Jaminan Kesehatan Daerah Bagi Penduduk OAP </t>
  </si>
  <si>
    <t>17.3. Belanja Hibah kepada Kelompok/Anggota Masyarakat</t>
  </si>
  <si>
    <t>17.3.1. Belanja Hibah Dana Beasiswa Kepada Putra Dan Putri Papua</t>
  </si>
  <si>
    <t xml:space="preserve">17.3.2. Belanja Hibah Pemberian Modal Usaha Bagi OAP </t>
  </si>
  <si>
    <t xml:space="preserve">17.3.3. Belanja Hibah Biaya Perbaikan Dan Pembangunan Sarana Peribadatan </t>
  </si>
  <si>
    <t>XI. KABUPATEN TAMBRAUW</t>
  </si>
  <si>
    <t>1. DINAS PENDIDIKAN PEMUDA DAN OLAH RAGA</t>
  </si>
  <si>
    <t>1.1.1. Pelatihan Computer Bagi PNS dan Non PNS</t>
  </si>
  <si>
    <t>1.1.2. Pelatihan Pengawas Sekolah</t>
  </si>
  <si>
    <t>1.2. Program Pendidikan Anak Usia Dini</t>
  </si>
  <si>
    <t xml:space="preserve">1.2.1. Penyediaan Bantuan Operasional PAUD  </t>
  </si>
  <si>
    <t xml:space="preserve">1.2.2. Cerdas Cermat Pengenalan huruf dan Penyusunan Alat Peraga </t>
  </si>
  <si>
    <t>1.2.3. Penyelenggaraan Ujian PAUD</t>
  </si>
  <si>
    <t>1.2.4. Diklat dan Magang Profesi Guru PAUD</t>
  </si>
  <si>
    <t>1.2.5.  Pendidikah (Kuliah) Bagi Guru PAUD</t>
  </si>
  <si>
    <t xml:space="preserve">1.3.2. Penyelenggaraan Olimpiade Sains Kuark  </t>
  </si>
  <si>
    <t>1.3.3. Penyelenggaraan Lomba Olimpiade Sains Nasional (OSN) SD</t>
  </si>
  <si>
    <t xml:space="preserve">1.3.4. Penyelenggaraan Penguatan Kelompok Kerja Guru dan Kelompok Kerja Kepala Sekolah  </t>
  </si>
  <si>
    <t xml:space="preserve">1.3.5. Penyelenggaraan Olimpiade Literassi Siswa Nasional </t>
  </si>
  <si>
    <t xml:space="preserve">1.3.6. Penyelenggaraan Olimpiade Olahraga Siswa Nasional (O2SN) SMP  </t>
  </si>
  <si>
    <t>1.3.7. Penyelenggaraan Lomba Olimpiade Sains Nasional (OSN) SMP</t>
  </si>
  <si>
    <t xml:space="preserve">1.3.8. Penyelenggaraan Pengembangan Sekolah Model dan Rujukan Tingkat SMP </t>
  </si>
  <si>
    <t xml:space="preserve">1.3.9. Penyelenggaraan Diklat Pendidikan Profesi Guru Tingkat SMP  </t>
  </si>
  <si>
    <t xml:space="preserve">1.3.10. Penyelenggaraan Olimpiade Literasi Siswa Nasional (OLSN) SMP </t>
  </si>
  <si>
    <t xml:space="preserve">1.3.11. Penyelenggaraan UAN dan UAS SD </t>
  </si>
  <si>
    <t xml:space="preserve">1.3.12. Penyusunan Laporan Dana BOS </t>
  </si>
  <si>
    <t xml:space="preserve">1.3.13. Monitoring dan Pengarahan Siswa Affirmasi ADEM dan ADIK (O2SN) SMP </t>
  </si>
  <si>
    <t xml:space="preserve">1.3.14. Penyelenggaraan Diklat Pendidikan Profesi Guru Tingkat SD  </t>
  </si>
  <si>
    <t xml:space="preserve">1.3.15. Penyelenggaraan Olimpiade Olahraga Siswa Nasional (O2SN)  </t>
  </si>
  <si>
    <t xml:space="preserve">1.4. Program Pendidikan Menengah </t>
  </si>
  <si>
    <t xml:space="preserve">1.4.1. Penyelenggaraan Siswa Affirmasi Pendidikan Menengah dan Pendidikan Tinggi  </t>
  </si>
  <si>
    <t>1.5.1. Penyediaan Bantuan Operasional Paket A Setara SD</t>
  </si>
  <si>
    <t>1.5.2. Penyediaan Bantuan Operasional Paket B Setara SMP</t>
  </si>
  <si>
    <t>1.5.3. Penyediaan Bantuan Operasional Paket C Setara SMA</t>
  </si>
  <si>
    <t xml:space="preserve">1.5.4. Penyediaan Bantuan Operasional Bantuan Pendidikan Keaksaraan </t>
  </si>
  <si>
    <t xml:space="preserve">1.5.6. Penyelenggaraan Pendidikan Anak Usia Dini  </t>
  </si>
  <si>
    <t xml:space="preserve">1.5.7. Penyelenggaraan Pendidikan Keluarga Anak Sekolah Dasar  </t>
  </si>
  <si>
    <t xml:space="preserve">1.5.8. Penyelenggaraan Pendidikan Keluarga Anak Sekolah Menengah Pertama </t>
  </si>
  <si>
    <t xml:space="preserve">1.5.9. Penyelenggaraan Pendidikan Keluarga Anak SMA/SMK </t>
  </si>
  <si>
    <t xml:space="preserve">1.5.10.Penyediaan Bantuan Operasional Pembinaan Pendidikan Keluarga </t>
  </si>
  <si>
    <t xml:space="preserve">1.5.11.Penyediaan Bantuan Operasional Kecakapan Hidup </t>
  </si>
  <si>
    <t xml:space="preserve">1.5.12.Rakor Tingkat Satuan Pendidikan Non Formal Masyarakat Dalam dan Luar Daerah </t>
  </si>
  <si>
    <t xml:space="preserve">1.5.13.Penyelenggaraan Pembinaan Pendidikan Orang Tua terhadap Pendidikan PAUD dan TK  </t>
  </si>
  <si>
    <t xml:space="preserve">1.5.14.Pelatihan Penyusunan K13 Bagi Tutor Kesetaraan </t>
  </si>
  <si>
    <t>1.6. Program Pembinaan dan Pemasyarakatan Olah Raga</t>
  </si>
  <si>
    <t xml:space="preserve">1.7. Program Peningkatan Mutu Pendidik dan Tenaga Kependidikan </t>
  </si>
  <si>
    <t xml:space="preserve">1.7.1. Penyelenggaraan Pelatihan Kurikulum 2013 Bagi guru Sekolah Dasar </t>
  </si>
  <si>
    <t xml:space="preserve">1.7.2. Penyelenggaraan Pelatihan Kepala Sekolah Dasar </t>
  </si>
  <si>
    <t xml:space="preserve">1.7.3. Penyediaan Tenaga Guru Bantu </t>
  </si>
  <si>
    <t xml:space="preserve">1.7.4. Penyediaan Tenaga Guru Kontrak </t>
  </si>
  <si>
    <t xml:space="preserve">1.7.5. Penyelenggaraan Pelatihan Penyusunan PTK bagi Guru  </t>
  </si>
  <si>
    <t xml:space="preserve">1.7.6. Penyelenggaraan Penguatan Musyawarah Guru Mata Pelajaran </t>
  </si>
  <si>
    <t xml:space="preserve">1.7.7. Penyelenggaraan Bimtek Peningkatan Literasi bagi Guru  </t>
  </si>
  <si>
    <t xml:space="preserve">1.7.8. Penyelenggaraan Magang Guru MIPA dan Bahasa Inggris  </t>
  </si>
  <si>
    <t xml:space="preserve">1.7.9. Pembekalan dan Mobilisasi Guru Kontrak dan Guru Bantu </t>
  </si>
  <si>
    <t xml:space="preserve">1.7.10.Studi Banding Guru Sekolah Model dan Sekolah Rujukan </t>
  </si>
  <si>
    <t>1.8. Program Pengembangan Budaya Baca dan Pembinaan Perpustakaan</t>
  </si>
  <si>
    <t xml:space="preserve">1.8.1. Pengadaan Buku Pengayaan Perpustakaan SMP  </t>
  </si>
  <si>
    <t>1.9. Program Manajemen Pelayanan Pendidikan</t>
  </si>
  <si>
    <t xml:space="preserve">1.9.1. Monitoring, Evaluasi dan Pelapora  </t>
  </si>
  <si>
    <t xml:space="preserve">1.9.2  Sinkronisasi dan Koordinasi DAPODIK  </t>
  </si>
  <si>
    <t>1.9.3. Pelatihan Penyusunan PTK Bagi Guru</t>
  </si>
  <si>
    <t>1.9.4. Pelatihan Mode APeL Bagi Guru SD dan SMP</t>
  </si>
  <si>
    <t xml:space="preserve">1.9.5. Penyelenggaraan Monitoring, Perencanaan dan Pelaporan Bidang Pendidikan  </t>
  </si>
  <si>
    <t xml:space="preserve">1.9.6. Evaluasi dan Monitoring Dana BOS SD </t>
  </si>
  <si>
    <t>1.9.7. Penyelenggaraan Program Besasiswa S-1 Pada Universitas Gorontalo (UNG)</t>
  </si>
  <si>
    <t>1.9.8. Penyelenggaraan Program Besasiswa S-1 Pada STKIP Muhammadiyah Sorong</t>
  </si>
  <si>
    <t>1.9.9. Rapat Kerja Kepala-kepala Sekolah</t>
  </si>
  <si>
    <t xml:space="preserve">1.9.10.Penyelenggaraan Pelatihan Kepala Sekolah dan Pengawas </t>
  </si>
  <si>
    <t>1.10. Program Pengembangan Kepemudaan</t>
  </si>
  <si>
    <t>1.10.1.  Liga Pelajar Sepak Bola</t>
  </si>
  <si>
    <t xml:space="preserve">2.1.1. Pendistribusian Obat ke Puskesmas </t>
  </si>
  <si>
    <t xml:space="preserve">2.1.2. Pengawasan Obat dan BMHP </t>
  </si>
  <si>
    <t xml:space="preserve">2.1.3. Pengawasan Alat Kesehatan Puskesmas </t>
  </si>
  <si>
    <t xml:space="preserve">2.1.4. Operasional Instalasi Farmasi Kesehatan </t>
  </si>
  <si>
    <t xml:space="preserve">2.2.1. Pelayanan Kesehatan Rawat Inap Sausapor  </t>
  </si>
  <si>
    <t xml:space="preserve">2.2.2. Pelayanan Kesehatan Rawat Inap Fef  </t>
  </si>
  <si>
    <t xml:space="preserve">2.2.3. Pelayanan Kesehatan Rawat Inap Kwoor  </t>
  </si>
  <si>
    <t xml:space="preserve">2.2.4. Pelayanan Kesehatan Rawat Inap Miyah </t>
  </si>
  <si>
    <t xml:space="preserve">2.2.5. Penyediaan Bantuan Operasional Puskesmas  </t>
  </si>
  <si>
    <t xml:space="preserve">2.2.6. Penyediaan Bantuan Operasional Puskesmas Pembant </t>
  </si>
  <si>
    <t xml:space="preserve">2.2.7. Monitoring, Evaluasi dan Pembinaan PUSTU dan POLINDES  </t>
  </si>
  <si>
    <t xml:space="preserve">2.2.8. Lokakarya Mini </t>
  </si>
  <si>
    <t xml:space="preserve">2.2.9. Monitoring, Evaluasi dan Pembinaan PISPK di PKM Lokus PISPK  </t>
  </si>
  <si>
    <t xml:space="preserve">2.2.10.Pelatihan Manajemen Pengelolaan SP2TP (Pelaporan PKM dalam Gedung)   </t>
  </si>
  <si>
    <t xml:space="preserve">2.2.11.Koordinasi Pelayanan Kesehatan Tingkat Provinsi dan Tingkat Pusat   </t>
  </si>
  <si>
    <t xml:space="preserve">2.2.12.Penyusunan dan Pengusulan Proses Registrasi Puskesmas  </t>
  </si>
  <si>
    <t xml:space="preserve">2.2.13.Pengawasan Pelayanan Puskesmas   </t>
  </si>
  <si>
    <t xml:space="preserve">2.2.14.Pendapingan Manajemen Rumah Sakit   </t>
  </si>
  <si>
    <t>2.3. Program Promosi Kesehatan dan Pemberdayaan Masyarakat</t>
  </si>
  <si>
    <t xml:space="preserve">2.3.1. Pengawasan Gizi Buruk  </t>
  </si>
  <si>
    <t xml:space="preserve">2.3.2. Pembinaan Desa Siaga Aktif </t>
  </si>
  <si>
    <t xml:space="preserve">2.3.3. Pembinaan Program Pelayanan Kesehatan Lingkungan </t>
  </si>
  <si>
    <t xml:space="preserve">2.3.4. Pembinaan Percontohan Sekolah Sehat </t>
  </si>
  <si>
    <t xml:space="preserve">2.3.6. Penyuluhan Perilaku Hidup Bersih dan Sehat </t>
  </si>
  <si>
    <t xml:space="preserve">2.3.7. Penyuluhan Penyakit Menular dan Tidak Menular  </t>
  </si>
  <si>
    <t xml:space="preserve">2.3.8. Penyuluhan Program Pelayanan Kesehatan Kerja dan Olahraga  </t>
  </si>
  <si>
    <t xml:space="preserve">2.3.9. Pengadaan dan Distribusi Media KIE  </t>
  </si>
  <si>
    <t xml:space="preserve">2.3.10.Pelayanan Mobile Clinic  </t>
  </si>
  <si>
    <t xml:space="preserve">2.3.11.Monitoring dan Evaluasi Bidang Kesehatan Masyarakat  </t>
  </si>
  <si>
    <t xml:space="preserve">2.3.12.Akreditas Puskesmas Fef </t>
  </si>
  <si>
    <t xml:space="preserve">2.4.1. Pengadaan Makanan Tambahan (MT)  </t>
  </si>
  <si>
    <t xml:space="preserve">2.4.2. Peningkatan Aplikasi Sistem Pelaporan Menggunakan EPGBM </t>
  </si>
  <si>
    <t xml:space="preserve">2.4.3. Magang Penanganan Kasus BBLR Sistem Kanguru di RSCM Surabaya   </t>
  </si>
  <si>
    <t xml:space="preserve">2.4.4. Asuhan Tatalaksana Gizi Buruk   </t>
  </si>
  <si>
    <t xml:space="preserve">2.4.5. Peningkatan Kapasitas Manajemen Terpadu Bayi Muda  </t>
  </si>
  <si>
    <t xml:space="preserve">2.4.6. Orientasi Manajemen Terpadu (MTBS) Bagi 15 Bidang Desa  </t>
  </si>
  <si>
    <t>2.5.  Program Pencegahan dan Penanggulangan Penyakit Menular</t>
  </si>
  <si>
    <t xml:space="preserve">2.5.1. Pelayanan WUS </t>
  </si>
  <si>
    <t xml:space="preserve">2.5.2. Pencegahan Malaria </t>
  </si>
  <si>
    <t xml:space="preserve">2.5.3. Pelayanan Bulan Imunisasi Anak Sekolah </t>
  </si>
  <si>
    <t>2.5.4. Pelayanan Campak Missel Rubella</t>
  </si>
  <si>
    <t xml:space="preserve">2.5.5. Pelayanan Penyakit Kusta </t>
  </si>
  <si>
    <t xml:space="preserve">2.5.6. Pencegahan Penyakit Diare  </t>
  </si>
  <si>
    <t xml:space="preserve">2.5.7. Pencegahan Penyakit TB </t>
  </si>
  <si>
    <t xml:space="preserve">2.5.8. Pencegahan Penyakit DBD </t>
  </si>
  <si>
    <t xml:space="preserve">2.5.9. Pencegahan Penyakit STUNTING </t>
  </si>
  <si>
    <t xml:space="preserve">2.5.10.Pencegahan Penyakit ISPA </t>
  </si>
  <si>
    <t xml:space="preserve">2.5.11.Survei Kegiatan Imunisasi dan Supervisi </t>
  </si>
  <si>
    <t xml:space="preserve">2.5.12.Monitoring, Evaluasi danPembinaan Laporan Program Puskesmas </t>
  </si>
  <si>
    <t xml:space="preserve">2.5.13.Pelatihan Tenaga Teknis Cold Cjain  </t>
  </si>
  <si>
    <t xml:space="preserve">2.5.14.Pelatihan Pencegahan Penyakit Kusta  </t>
  </si>
  <si>
    <t xml:space="preserve">2.5.15.Pelatihan Pencegahan Penyakit TB </t>
  </si>
  <si>
    <t xml:space="preserve">2.5.16. Penyelidikan Epidemologi dan KLB  </t>
  </si>
  <si>
    <t xml:space="preserve">2.5.17.Pencegahan Penyakit Filariasis  </t>
  </si>
  <si>
    <t xml:space="preserve">2.5.18.Pelatihan Penyakti Filariasis  </t>
  </si>
  <si>
    <t>2.6. Program pengadaan, peningkatan dan perbaikan sarana dan prasarana puskesmas/ puskemas pembantu dan jaringannya</t>
  </si>
  <si>
    <t xml:space="preserve">2.6.1. Pembangunan Puskesmas Yembun (Tahap II) </t>
  </si>
  <si>
    <t xml:space="preserve">2.6.2. Pengadaan Alkes Puskesmas Pembantu Arupi  </t>
  </si>
  <si>
    <t xml:space="preserve">2.6.3. Pengadaan Meubelair Puskesmas Pembantu Arupi  </t>
  </si>
  <si>
    <t xml:space="preserve">2.6.4. Pembangunan Sarana dan Prasarana Puskesmas Yembun  </t>
  </si>
  <si>
    <t xml:space="preserve">2.6.5. Pembangunan Puskesmas Pembantu Tobouw  </t>
  </si>
  <si>
    <t xml:space="preserve">2.6.6. Pembangunan Rumah Dinas Tenaga Medis Kopel RS Pratama Fe </t>
  </si>
  <si>
    <t>2.7. Program Peningkatan Pelayanan Kesehatan</t>
  </si>
  <si>
    <t xml:space="preserve">2.7.1. Penyediaan Tenaga Medis  </t>
  </si>
  <si>
    <t xml:space="preserve">2.7.2. Pengadaan Tenaga Kesehatan SMK / Sederajat </t>
  </si>
  <si>
    <t>2.8. Program Peningkatan Kualitas SDM Kader Kesehatan Desa</t>
  </si>
  <si>
    <t xml:space="preserve">2.8.1. Pelatihan Kader Posyandu  </t>
  </si>
  <si>
    <t xml:space="preserve">2.8.2. Pelatihan Pencatatan dan Pelaporan Program </t>
  </si>
  <si>
    <t>2.9. Program Pencegahan dan Pengendalian Penyakit Tidak Menular dan Kesehatan Jiwa</t>
  </si>
  <si>
    <t>2.9.1. Pelacakan Orang dengan Gangguan Jiwa</t>
  </si>
  <si>
    <t>2.9.2. Pelayanan Penyakit Tidak Menular</t>
  </si>
  <si>
    <t>3. DINAS PEKERJAAN UMUM</t>
  </si>
  <si>
    <t>3.1. Program Peningkatan Jalan &amp; Jembatan</t>
  </si>
  <si>
    <t>3.1.1. Pembangunan Jembatan Kayu Miyah Selatan</t>
  </si>
  <si>
    <t xml:space="preserve">3.1.2. Pembangunan Box Culvert Pada Ruas Jalan Sausapor - Mega </t>
  </si>
  <si>
    <t xml:space="preserve">3.1.3. Pembangunan Jalan Kasi Indah </t>
  </si>
  <si>
    <t xml:space="preserve">3.1.4. Pembangunan Jembatan Sujau  </t>
  </si>
  <si>
    <t xml:space="preserve">3.1.5. Pembangunan Jembatan Dalam Kota Fef (Isako) Tahap II (2x25M) </t>
  </si>
  <si>
    <t>3.2. Program rehabilitasi/pemeliharaan jalan dan jembatan</t>
  </si>
  <si>
    <t xml:space="preserve">3.2.1. Rehabilitasi/Pemeliharaan Jalan dan Jembatan (Kontrak)  </t>
  </si>
  <si>
    <t>3.3. Program Pengembangan dan Pengelolaan Jaringan Irigasi, Rawa dan Jaringan Pengairan Lainnya</t>
  </si>
  <si>
    <t xml:space="preserve">3.3.1. Normalisasi Pemasangan Bronjong/Talud pada Aliran Sungai Warway  </t>
  </si>
  <si>
    <t>3.4. Program Pengembangan Kinerja Pengelolaan Air Minum dan Air Limbah</t>
  </si>
  <si>
    <t xml:space="preserve">3.4.1. Rehabilitasi Intake Air Minum Sausapor  </t>
  </si>
  <si>
    <t xml:space="preserve">3.4.2. Peningkatan SPAM Jaringan Perpipaan Distrik Sausapor  </t>
  </si>
  <si>
    <t xml:space="preserve">4.1.1. Pembangunan Sarana dan Prasarana Rumah Sederhana Sehat- Distrik Sausapor  </t>
  </si>
  <si>
    <t xml:space="preserve">4.1.2. Pembangunan Sarana dan Prasarana Rumah Sederhana Sehat- Distrik Abun  </t>
  </si>
  <si>
    <t xml:space="preserve">4.1.3. Pembangunan Sarana dan Prasarana Rumah Sederhana Sehat- Distrik Kebar  </t>
  </si>
  <si>
    <t xml:space="preserve">4.1.4.Pembangunan Sarana dan Prasarana Rumah Sederhana Sehat- Distrik Fef  </t>
  </si>
  <si>
    <t xml:space="preserve">5.2.1. Pengembangan Bibit Unggul Pertanian/Perkebunan  </t>
  </si>
  <si>
    <t>7.2. Program Peningkatan Profesionalisme Tangga Pemeriksa dan Aparatur Pengawasan</t>
  </si>
  <si>
    <t>7.2.1. Pelatihan Pengembangan Tenaga Pemeriksa dan Aparatur Pengawasan</t>
  </si>
  <si>
    <t>XII. KABUPATEN MANOKWARI SELATAN</t>
  </si>
  <si>
    <t>1. DINAS PENDIDIKAN, PEMUDA DAN OLAHRAGA</t>
  </si>
  <si>
    <t>1.1.1. Penyediaan Jasa Pelayanan Administrasi Perkantoran</t>
  </si>
  <si>
    <t xml:space="preserve">1.2.1 Pemberian Bantuan Tenaga Pendidik PAUD </t>
  </si>
  <si>
    <t>1.2.2 Pemberian Bantuan Operasional TK dan PAUD</t>
  </si>
  <si>
    <t>1.2.3 Pembangunan gedung sekolah TK</t>
  </si>
  <si>
    <t>1.3 Program Wajib Belajar Pendidikan Dasar Sembilan Tahun</t>
  </si>
  <si>
    <t>1.3.1 Pengadaan pakaian seragam sekolah SMP</t>
  </si>
  <si>
    <t>1.3.2 Pengadaan pakaian olahraga SMP</t>
  </si>
  <si>
    <t>1.3.3 Penyediaan beasiswa SD</t>
  </si>
  <si>
    <t>1.3.4 Penyediaan beasiswa SMP</t>
  </si>
  <si>
    <t>1.3.5 Penyediaan biaya registrasi siswa SD</t>
  </si>
  <si>
    <t>1.3.6 Manado International School</t>
  </si>
  <si>
    <t xml:space="preserve">1.3.7 Beasiswa SMP Program Yayasan Pendidikan Lokon </t>
  </si>
  <si>
    <t>1.3.8 Beasiswa SMA Program Yayasan Pendidikan Lokon</t>
  </si>
  <si>
    <t xml:space="preserve">1.3.9 Pengadaan pakaian seragam sekolah SD  </t>
  </si>
  <si>
    <t>1.3.10 Pengadaan pakaian olahraga SD</t>
  </si>
  <si>
    <t xml:space="preserve">1.3.11 Pengadaan meubelair sekolah  </t>
  </si>
  <si>
    <t>1.3.12 Monitoring, evaluasi dan pelaporan</t>
  </si>
  <si>
    <t>1.3.13 Penyediaan Biaya MOS Siswa SMP</t>
  </si>
  <si>
    <t xml:space="preserve">1.3.14 Pengadaan Buku Raport SD </t>
  </si>
  <si>
    <t xml:space="preserve">1.3.15 Pengadaan Buku Raport SMP  </t>
  </si>
  <si>
    <t xml:space="preserve">1.3.16 Penyelenggaraan Ujian Nasional SD/MI  </t>
  </si>
  <si>
    <t xml:space="preserve">1.3.17 Penyelenggaraan Ujian Nasional SMP/MTs  </t>
  </si>
  <si>
    <t>1.3.18 Pembangunan Gedung Sekolah SD</t>
  </si>
  <si>
    <t>1.4.1 Pemberian Bantuan MGMP. MKKS dan Kegiatan Hari Besar</t>
  </si>
  <si>
    <t>2.1 Program Pelayanan Administrasi Perkantoran</t>
  </si>
  <si>
    <t>2.1.1 Penyediaan Jasa Pelayanan Administrasi Perkantoran</t>
  </si>
  <si>
    <t>2.2. Program Obat dan Perbekalan Kesehatan</t>
  </si>
  <si>
    <t xml:space="preserve">2.2.1 Pengadaaan Obat dan Perbekalan Kesehatan  </t>
  </si>
  <si>
    <t>2.3 Program Upaya Kesehatan Masyarakat</t>
  </si>
  <si>
    <t>2.3.1 Penyelenggaraan penyehatan lingkungan</t>
  </si>
  <si>
    <t>2.3.2 Pelningkatan Pelayanan dan Penanggulangan Masalah Kesehatan</t>
  </si>
  <si>
    <t>2.3.2 Pelayanan Kesehatan (Makan Minum Pasien)</t>
  </si>
  <si>
    <t>2.4 Program Promosi Kesehatan Dan Pemberdayaan Masyarakat</t>
  </si>
  <si>
    <t>2.4.1 Penyuluhan masyarakat pola hidup sehat</t>
  </si>
  <si>
    <t>2.5 Program Pencegahan dan Penanggulangan Penyakit Menular</t>
  </si>
  <si>
    <t>2.5.1 Pencegahan Penangulangan Penyakit TIDAK Menular</t>
  </si>
  <si>
    <t>2.5.2 Pelayanan pencegahan dan penanggulangan penyakit menular</t>
  </si>
  <si>
    <t>2.6 Program Kemitraan Peningkatan Pelayanan Kesehatan</t>
  </si>
  <si>
    <t xml:space="preserve">2.6.1 Kemitraan pengobatan lanjutan bagi pasien rujukan </t>
  </si>
  <si>
    <t>2.7 Program Peningkatan Pelayanan Kesehatan Anak Balita</t>
  </si>
  <si>
    <t>2.7.1 Immunisasi bagi anak balita</t>
  </si>
  <si>
    <t>2.7.2 Pemberian Makanan Tambahan Bayi Balita</t>
  </si>
  <si>
    <t>2.8 Program Peningkatan Keselamatan Ibu Melahirkan Dan Anak</t>
  </si>
  <si>
    <t>2.8.1 Penyuluhan kesehatan bagi ibu hamil dari keluarga kurang mampu</t>
  </si>
  <si>
    <t>2.9 PIS - DPK ( Program Indonesia Sehat Dengan Pendekatan Keluarga)</t>
  </si>
  <si>
    <t>2.9.1 Kunjungan Rumah Ke Rumah Penduduk, Mendata, Mengkaji Masalah Kesehatan Setiap Warga Masyarakat dan Menentukan Indeks Keluarga Sehat (IKS)</t>
  </si>
  <si>
    <t>3.1 Program Lingkungan Sehat Perumahan</t>
  </si>
  <si>
    <t>3.1.1 Penyediaan sarana air bersih dan sanitasi dasar terutama bagi masyarakat miskin</t>
  </si>
  <si>
    <t>3.2 Program Pengembangan Kinerja Pengelolaan Air Minum dan Air Limbah</t>
  </si>
  <si>
    <t>3.2.1 Penyediaan prasarana dan sarana air minum bagi masyarakat berpenghasilan rendah</t>
  </si>
  <si>
    <t>3.3. Program Pengendalian Banjir</t>
  </si>
  <si>
    <t>3.3.1. Pembangunan Turap/Talud/Bronjong</t>
  </si>
  <si>
    <t>3.4 Program pembangunan infrastruktur perdesaan</t>
  </si>
  <si>
    <t>3.4.1 Pembangunan Drainase Kawasan Pedesaan</t>
  </si>
  <si>
    <t>3.4.2 Pembangunan jalan dan Jembatan Pedesaan</t>
  </si>
  <si>
    <t>3.5 Program Pengembangan Perumahan</t>
  </si>
  <si>
    <t>3.5.1 Pembangunan Sarana dan Prasarana Rumah Sederhana Sehat</t>
  </si>
  <si>
    <t>4. DINAS SOSIAL, TENAGA KERJA DAN TRANSMIGRASI</t>
  </si>
  <si>
    <t>4.1 Program Pemberdayaan Fakir Miskin, Komunitas Adat Terpencil (KAT) dan Penyandang Masalah Kesejahteraan Sosial (PMKS) Lainnya</t>
  </si>
  <si>
    <t>4.1.1 Pembangunan Rumah Layak Huni Bagi Masyarakat Asli Papua (Rumah Sehat)</t>
  </si>
  <si>
    <t>4.2 Program Pelayanan dan Rehabilitasi Kesejahteraan Sosial</t>
  </si>
  <si>
    <t>4.2.1 Pelayanan Kaum Disabilitas Dan Penanganan Masalah Kesejahteraan Sosial (PMKS)</t>
  </si>
  <si>
    <t>5. BADAN PENANGGULANGAN BENCANA DAERAH</t>
  </si>
  <si>
    <t>5.1 Program Pencegahan Dini dan Penanggulangan Korban Bencana Alam</t>
  </si>
  <si>
    <t>5.1.1 Rehabilitasi dan Rekonstruksi Rumah dan Bronjong</t>
  </si>
  <si>
    <t>6. DINAS PEMBERDAYAAN MASYARAKAT PEREMPUAN DAN PERLINDUNGAN ANAK</t>
  </si>
  <si>
    <t>6.1 Program peningkatan peran serta dan kesetaraan jender dalam pembangunan</t>
  </si>
  <si>
    <t>6.1.1 Kegiatan bimbingan manajemen usah abagi perempuan dalam mengelola usaha</t>
  </si>
  <si>
    <t>7. BADAN LINGKUNGAN HIDUP, KEHUTANAN DAN PERTAMBANGAN</t>
  </si>
  <si>
    <t>7.1 Pembinaan Dan Pengembangan Energi Ketenagalistrikan</t>
  </si>
  <si>
    <t>7.1.2 Pengadaan Jaringan Ketenagalistrikan Pasar</t>
  </si>
  <si>
    <t>8. DINAS KEPENDUDUKAN DAN CATATAN SIPIL</t>
  </si>
  <si>
    <t>8.1 Program Penataan Administrasi Kependudukan</t>
  </si>
  <si>
    <t>8.1.1 Pelayanan Pencatatan Perkawinan Massal</t>
  </si>
  <si>
    <t>9. DINAS PERIKANAN</t>
  </si>
  <si>
    <t>9.1 Program pengembangan budidaya perikanan</t>
  </si>
  <si>
    <t>9.1.1 Pengembangan bibit ikan unggul</t>
  </si>
  <si>
    <t>9.1.2 Pembinaan dan pengembangan perikanan</t>
  </si>
  <si>
    <t>9.1.3  Pengembangan UPR Muari</t>
  </si>
  <si>
    <t>9.2 Program pengembangan perikanan tangkap</t>
  </si>
  <si>
    <t>9.2.1 Pengadaan Sarana dan Prasarana Pemberdayaan Usaha Skala Kecil Masyarakat KP</t>
  </si>
  <si>
    <t xml:space="preserve">9.2.2 Pendampingan pada kelompok nelayan perikanan tangkap  </t>
  </si>
  <si>
    <t>10. DINAS KETAHANAN PANGAN DAN PERTANIAN</t>
  </si>
  <si>
    <t>10.1 Program peningkatan penerapan teknologi pertanian/perkebunan</t>
  </si>
  <si>
    <t>10.1.1 Pengadaan sarana dan prasarana teknologi pertanian/perkebunan tepat guna</t>
  </si>
  <si>
    <t>10.1.2 Pelatihan dan bimbingan pengoperasian teknologi pertanian/perkebunan tepat guna</t>
  </si>
  <si>
    <t>10.2 Program peningkatan produksi pertanian/perkebunan</t>
  </si>
  <si>
    <t>10.2.1 Pengembangan Kebun Kakao</t>
  </si>
  <si>
    <t xml:space="preserve">10.2.2 Pemeliharaan Kebun Kakao </t>
  </si>
  <si>
    <t>10.2.3 Pembuatan Kebun Entres Kakao</t>
  </si>
  <si>
    <t xml:space="preserve">10.2.4 Pengembangan bibit unggul pertanian/perkebunan </t>
  </si>
  <si>
    <t>10.2.5 Pengembangan bibit unggul pertanian/perkebunan</t>
  </si>
  <si>
    <t>10.3 Program pencegahan dan penanggulangan penyakit ternak</t>
  </si>
  <si>
    <t>10.3.1 Pemeliharaan kesehatan dan pencegahan penyakit menular ternak</t>
  </si>
  <si>
    <t>10.4 Program peningkatan produksi hasil peternakan</t>
  </si>
  <si>
    <t>10.4.1 Penyediaan Sarana Rumah Potong Hewan</t>
  </si>
  <si>
    <t xml:space="preserve">10.4.2 Pendistribusian bibit ternak  kepada masyarakat </t>
  </si>
  <si>
    <t>10.5 Program Peningkatan/Pembinaan Mutu dan Pemasaran Hasil Prosuksi Perkebunan</t>
  </si>
  <si>
    <t>10.5.1 Pelatihan Peningkatan Mutu Hasil Produksi Perkebunan</t>
  </si>
  <si>
    <t>11. DINAS PERINDUSTRIAN, PERDAGANGAN DAN KOPERASI, USAHA KECIL DAN MENENGAH</t>
  </si>
  <si>
    <t>11.1 Program perlindungan konsumen dan pengamanan perdagangan</t>
  </si>
  <si>
    <t>11.1.1 Operasi Pasar Sembako Dalam Rangka Hari Raya Keagamaan</t>
  </si>
  <si>
    <t>12. DISTRIK ORANSBARI</t>
  </si>
  <si>
    <t>12.1 Program Peningkatan Partisipasi Masyarakat</t>
  </si>
  <si>
    <t>12.1.1 Fasilitasi Kegiatan Keagamaan &amp; Pokmas</t>
  </si>
  <si>
    <t>12.2 Program Pencarian Data dan Informasi</t>
  </si>
  <si>
    <t>12.2.1 Pengadaan Profile - Sejarah Pemerintahan Distrik Oransbari</t>
  </si>
  <si>
    <t>12.3 Program Layanan Pendidikan Dasar (KBM) "Maxima"</t>
  </si>
  <si>
    <t>12.3.1 Pengadaan Sarana Komputer</t>
  </si>
  <si>
    <t>12.4 Program Monitoring &amp; Evaluasi Otsus</t>
  </si>
  <si>
    <t>12.4.1 Monitoring dan Evaluasi Program Otsus</t>
  </si>
  <si>
    <t>13. DISTRIK RANSIKI</t>
  </si>
  <si>
    <t>13.1 Program Pemberdayaan Kelembagaan Kesejahteraan Sosial</t>
  </si>
  <si>
    <t xml:space="preserve">13.1.1 Bantuan Sosial Lembaga Keagamaan  </t>
  </si>
  <si>
    <t>13.2 Program peningkatan partisipasi masyarakat membangun kampung</t>
  </si>
  <si>
    <t xml:space="preserve">13.2.1 Pemberian Stimulan Pembangunan Desa </t>
  </si>
  <si>
    <t>14. DISTRIK MOMIWAREN</t>
  </si>
  <si>
    <t>14.1 Program Pemberdayaan Kelembagaan Kesejahteraan Sosial</t>
  </si>
  <si>
    <t xml:space="preserve">14.1.1 Bantuan Sosial Lembaga Keagamaan </t>
  </si>
  <si>
    <t>14.2 Program peningkatan partisipasi masyarakat membangun kampung</t>
  </si>
  <si>
    <t>14.2.1 Pengadaan Wi-fi</t>
  </si>
  <si>
    <t>14.3 Program Pembinaan dan Pemasyarakatan Olah Raga</t>
  </si>
  <si>
    <t>14.3.1 Menyongsong HUT RI</t>
  </si>
  <si>
    <t>15. DISTRIK NENEY</t>
  </si>
  <si>
    <t>15.1 Program Pemberdayaan Kelembagaan Kesejahteraan Sosial</t>
  </si>
  <si>
    <t xml:space="preserve">15.1.1 Bantuan Sosial Lembaga Keagamaan  </t>
  </si>
  <si>
    <t>15.2 Program peningkatan partisipasi masyarakat membangun kampung</t>
  </si>
  <si>
    <t>15.2.1 Pembinaan Kelompok Masyarakat Pembangunan Desa</t>
  </si>
  <si>
    <t xml:space="preserve">15.2.2 Pemberian Stimulan Pembangunan Desa </t>
  </si>
  <si>
    <t>15.2.3 Pelaksanaan Musyawara Rencana Pembangunan Kampung</t>
  </si>
  <si>
    <t>16. DISTRIK TAHOTA</t>
  </si>
  <si>
    <t>16.1 Program Pemberdayaan Kelembagaan Kesejahteraan Sosial</t>
  </si>
  <si>
    <t xml:space="preserve">16.1.1 Bantuan Sosial Lembaga Keagamaan  </t>
  </si>
  <si>
    <t>16.2 Program peningkatan partisipasi masyarakat membangun kampung</t>
  </si>
  <si>
    <t xml:space="preserve">16.2.1 Pemberian Stimulan Pembangunan Desa  </t>
  </si>
  <si>
    <t>17. DISTRIK ISIM</t>
  </si>
  <si>
    <t>17.1 Program Peningkatan Peran sarta dan Kesetaraan Gender dalm Pembangunan</t>
  </si>
  <si>
    <t>17.1.1 Kegiatan Pembinaan Organisasi Perempuan</t>
  </si>
  <si>
    <t>17.2 Fasilitasi Bantuan Lembaga Keagamaan</t>
  </si>
  <si>
    <t>17.2.1 Fasilitas Bantuan Sosial Lembaga Keagamaan</t>
  </si>
  <si>
    <t>17.3 Program Pelaksanaan Bantuan Pedesaan</t>
  </si>
  <si>
    <t>17.3.1 Distribusi Rastra</t>
  </si>
  <si>
    <t>17.4 Program Air Bersih kepada Masyarakat</t>
  </si>
  <si>
    <t>17.4.1 Pengadaan Air Bersih pada Masyakarat</t>
  </si>
  <si>
    <t>18. SEKRETARIAT DAERAH</t>
  </si>
  <si>
    <t>18.1 Program penataan penguasaan, pemilikan, penggunaan dan pemanfaatan tanah</t>
  </si>
  <si>
    <t>18.1.1 Penataan penguasaan, pemilikan, penggunaan dan pemanfaatan tanah</t>
  </si>
  <si>
    <t>18.1.2 Operasional Mahasiswa Asal Manokwari Selatan</t>
  </si>
  <si>
    <t>18.2 Fasilitasi Bantuan Lembaga Keagamaan</t>
  </si>
  <si>
    <t>18.2.1 Fasilitasi Ibadah Keagamaan Tokoh Agama</t>
  </si>
  <si>
    <t xml:space="preserve">19. DINAS PENDAPATAN, PENGELOLAAN KEUANGAN DAN ASET DAERAH selaku PPKD </t>
  </si>
  <si>
    <t>19.1 Non Program</t>
  </si>
  <si>
    <t>19.1.1 Non Kegiatan (Hibah)</t>
  </si>
  <si>
    <t xml:space="preserve">19.1.2 Badan/Lembaga/Organisasi Swasta .....  </t>
  </si>
  <si>
    <t>19.1.3 Badan/Lembaga/Organisasi Swasta ..... (Dana OTSUS Pendidikan)</t>
  </si>
  <si>
    <t>19.1.4 Hibah Kepada Kelompok Masyarakat/Perorangan</t>
  </si>
  <si>
    <t xml:space="preserve">19.1.5 Belanja Hibah Keagamaan  </t>
  </si>
  <si>
    <t>20.1 Non Program</t>
  </si>
  <si>
    <t>20.1.1 Non Kegiatan (Bantuan)</t>
  </si>
  <si>
    <t xml:space="preserve">20.1.2 Belanja Bantuan Sosial Kepada ...... </t>
  </si>
  <si>
    <t xml:space="preserve">20.1.3 Belanja Bantuan Pendidikan </t>
  </si>
  <si>
    <t xml:space="preserve">20.1.4 Belanja Bantuan Keuangan Kepada Desa ......  </t>
  </si>
  <si>
    <t>20.2.1 Monitoring, Evaluasi dan Pelaporan Penyerapan Anggaran Dana Otonomi Khusus</t>
  </si>
  <si>
    <t>XIII.  KABUPATEN TELUK WONDAMA</t>
  </si>
  <si>
    <t>1.  DINAS PENDIDIKAN PEMUDA DAN OLAH RAGA</t>
  </si>
  <si>
    <t>1.1.2. Pembangunan sarana air bersih dan sanitary</t>
  </si>
  <si>
    <t>1.1.3. Pengadaan buku-buku dan alat tulis siswa</t>
  </si>
  <si>
    <t>1.1.4. Pengadan pakaian seragam sekolah</t>
  </si>
  <si>
    <t>1.1.5. Pengadaan alat praktik dan peraga siswa</t>
  </si>
  <si>
    <t>1.1.6. Peningkatan kesejahteraan tenaga pendidik honorer TK/PAUD</t>
  </si>
  <si>
    <t>1.1.7. Penyediaan Bantuan Operasional Sekolah (BOSDA)</t>
  </si>
  <si>
    <t>1.2.2. Pengadan pakaian seragam sekolah</t>
  </si>
  <si>
    <t>1.2.3. Penambahan ruang kelas baru SMP/MTS/SMPLB</t>
  </si>
  <si>
    <t>1.2.4. Peningkatan kesejahteraan tenaga pendidik honorer SD dan SMP</t>
  </si>
  <si>
    <t>1.3 Program Pendidikan Menengah</t>
  </si>
  <si>
    <t>1.3.1 Pengadan pakaian seragam sekolah SMA/SMK</t>
  </si>
  <si>
    <t>1.3.2 Pengembangan alternatif layanan pendidikan menengah untuk daerah-daerah perdesaan, terpencil dan kepulauan</t>
  </si>
  <si>
    <t>1.3.3 Penyelenggaraan Seleksi Lomba Olimpiade Sains SMA/SMK</t>
  </si>
  <si>
    <t>1.3.4 Pelatihan Kompetensi Siswa Berprestasi</t>
  </si>
  <si>
    <t>1.3.5 Pendampingan Bantuan Operasional Manajemen Mutu (BOMM)</t>
  </si>
  <si>
    <t>1.4 Program Pendidikan Non Formal</t>
  </si>
  <si>
    <t>1.4.1 Pengembangan pendidikan keaksaraan dasar dan keaksaraan usaha mandiri</t>
  </si>
  <si>
    <t>1.4.2 Pengembangan pendidikan kecakapan hidup</t>
  </si>
  <si>
    <t>1.5 Program Peningkatan Mutu Pendidik dan Tenaga Kependidikan</t>
  </si>
  <si>
    <t>1.5.1 Pendidikan lanjutan bagi pendidik untuk memenuhi standar kualifikasi</t>
  </si>
  <si>
    <t>1.5.2 Pelaksanaan Olimpiade Guru</t>
  </si>
  <si>
    <t>1.6 Program Manajemen Pelayanan Pendidikan</t>
  </si>
  <si>
    <t>1.6.1 Peningkatan Kapasitas Pengelola Pendidikan di Tingkat Kabupaten/Kota</t>
  </si>
  <si>
    <t>1.6.2 Pengembangan Data Center Pendidikan</t>
  </si>
  <si>
    <t>1.7 Program Afirmasi Pendidikan Bagi Putra/putri asli Papua dan papua barat</t>
  </si>
  <si>
    <t xml:space="preserve">1.7.1 Afirmasi pendidikan bagi putra/putri asli papua dan papua barat </t>
  </si>
  <si>
    <t>1.7.2 Yohanes Surya Institute</t>
  </si>
  <si>
    <t>1.7.3 Afirmasi Pendidikan bagi putra /putri asli Papua dan Papua Barat Khusus bidang-bidang tertentu</t>
  </si>
  <si>
    <t>1.8 Program Pembinaan dan Pemasyarakatan Olahraga</t>
  </si>
  <si>
    <t>1.8.1 Penyelenggaraan Kompetisi Olahraga Se- Kabupaten Teluk Wondama</t>
  </si>
  <si>
    <t>1.8.2 Penyelenggaraan Kompetisi Olahraga Liga Pelajar Indonesia (LPI)</t>
  </si>
  <si>
    <t>1.8.3 Penyelenggaraan Lomba O2SN</t>
  </si>
  <si>
    <t>1.8.4 Kejuaraan Pelajar</t>
  </si>
  <si>
    <t>1.8.5 Popnas</t>
  </si>
  <si>
    <t>1.8.6 Pekan PPLP</t>
  </si>
  <si>
    <t>1.8.7 Pembinaan Atlit</t>
  </si>
  <si>
    <t>1.8.8 Kejuaraan Popwil Tingkat Pelajar</t>
  </si>
  <si>
    <t>1.8.9 Penyelenggaraan Kompetisi Olahraga Pra Liga Pelajar Indonesia</t>
  </si>
  <si>
    <t xml:space="preserve">2.1.1 Penyediaan jasa pendukung teknis dan administrasi perkantoran  </t>
  </si>
  <si>
    <t>2.2 Program Upaya Kesehatan Masyarakat</t>
  </si>
  <si>
    <t>2.3 Program Pengawasan Obat dan Makanan</t>
  </si>
  <si>
    <t>2.3.1 Peningkatan pemberdayaan konsumen/masyarakat di bidang obat dan makanan</t>
  </si>
  <si>
    <t>2.4 Program Promosi Kesehatan dan Pemberdayaan Masyarakat</t>
  </si>
  <si>
    <t>2.4.1 Pengembangan media promosi dan informasi sadar hidup sehat</t>
  </si>
  <si>
    <t>2.4.2 Penyuluhan masyarakat pola hidup sehat</t>
  </si>
  <si>
    <t>2.4.3 Sarana Penunjang Promosi Kesehatan</t>
  </si>
  <si>
    <t>2.5 Program Perbaikan Gizi Masyarakat</t>
  </si>
  <si>
    <t>2.5.1 Penyusunan peta informasi masyarakat kurang gizi</t>
  </si>
  <si>
    <t>2.5.2 Pemberian tambahan makanan dan vitamin</t>
  </si>
  <si>
    <t>2.5.3 Penanggulangan Kurang Energi Protein (KEP), Anemia Gizi Besi, Gangguan Akibat kurang Yodium (GAKY), Kurang Vitamin A, dan Kekurangan Zat Gizi Mikro Lainnya</t>
  </si>
  <si>
    <t>2.5.4 Pemberdayaan masyarakat untuk pencapaian keluarga sadar gizi</t>
  </si>
  <si>
    <t>2.6 Program Pencegahan dan Pemberantasan Penyakit Tidak Menular</t>
  </si>
  <si>
    <t>2.6.1 Penyemprotan /Fogging Sarang Nyamuk</t>
  </si>
  <si>
    <t>2.6.2 Pencegahan Penyakit Tidak Menular (PTM)</t>
  </si>
  <si>
    <t>2.6.3 Penanggulangan Krisis Kesehatan</t>
  </si>
  <si>
    <t>2.6.4 Kesehatan Jiwa</t>
  </si>
  <si>
    <t>2.7 Program Pengadaan, Peningkatan dan Perbaikan Sarana dan Prasarana Rumah Dokter dan Tenaga Medis</t>
  </si>
  <si>
    <t>2.7.1 Pembangunan Rumah Medis dan Paramedis</t>
  </si>
  <si>
    <t>2.8 Program Pencegahan dan Penanggulangan Penyakit Menular</t>
  </si>
  <si>
    <t>2.8.1 Pelayanan vaksinasi bagi balita dan anak sekolah</t>
  </si>
  <si>
    <t>2.8.2 Peningkatan imuniasasi</t>
  </si>
  <si>
    <t>2.8.3 Peningkatan survellance Epidemiologi dan penanggulangan wabah</t>
  </si>
  <si>
    <t>2.8.4 Pemberantasan Filariasis</t>
  </si>
  <si>
    <t>2.8.5 Pemberantasan penyakit kusta</t>
  </si>
  <si>
    <t>2.8.6 Pemberantasan Penyakit TBC</t>
  </si>
  <si>
    <t>2.8.7 Pemberantasan Malaria</t>
  </si>
  <si>
    <t>2.8.8 Surveilans Terpadu</t>
  </si>
  <si>
    <t>2.9 Program pengadaan, peningkatan dan perbaikan sarana dan prasarana puskesmas/ puskemas pembantu dan jaringannya</t>
  </si>
  <si>
    <t xml:space="preserve">2.9.1 Pengadaan Meubelair Puskesmas  </t>
  </si>
  <si>
    <t>2.10 Program peningkatan pelayanan kesehatan anak balita</t>
  </si>
  <si>
    <t>2.10.1 Penyuluhan kesehatan anak balita</t>
  </si>
  <si>
    <t>3.  PUSKESMAS YEMBEKIRI</t>
  </si>
  <si>
    <t>3.1 Program Upaya Kesehatan Masyarakat</t>
  </si>
  <si>
    <t>3.1.1 Penyediaan Biaya Operasional  dan pemeliharaan Puskesmas Yembekiri</t>
  </si>
  <si>
    <t>4.  PUSKESMAS AISANDAMI</t>
  </si>
  <si>
    <t>4.1 Program Upaya Kesehatan Masyarakat</t>
  </si>
  <si>
    <t>4.1.1 Penyediaan Biaya Operasional  dan pemeliharaan Puskesmas Aisandami</t>
  </si>
  <si>
    <t>5 PUSKESMAS WONDIBOI</t>
  </si>
  <si>
    <t>5.1 Program Upaya Kesehatan Masyarakat</t>
  </si>
  <si>
    <t>6.  PUSKESMAS SABUBAR</t>
  </si>
  <si>
    <t>6.1 Program Upaya Kesehatan Masyarakat</t>
  </si>
  <si>
    <t>6.1.1 Penyediaan Biaya Operasional  dan pemeliharaan Puskesmas Sabubar</t>
  </si>
  <si>
    <t>7.  PUSKESMAS WINDESI</t>
  </si>
  <si>
    <t>7.1 Program Upaya Kesehatan Masyarakat</t>
  </si>
  <si>
    <t>7.1.1 Penyediaan Biaya Operasional  dan pemeliharaan Puskesmas Windesi</t>
  </si>
  <si>
    <t>8.  PUSKESMAS WASIOR</t>
  </si>
  <si>
    <t>8.1 Program Upaya Kesehatan Masyarakat</t>
  </si>
  <si>
    <t>8.1.1 Penyediaan Biaya Operasional  dan pemeliharaan Puskesmas Wasior</t>
  </si>
  <si>
    <t>9.  PUSKESMAS WERABUR</t>
  </si>
  <si>
    <t>9.1 Program Upaya Kesehatan Masyarakat</t>
  </si>
  <si>
    <t>9.1.1 Penyediaan Biaya Operasional  dan pemeliharaan Puskesmas Werabur</t>
  </si>
  <si>
    <t>10.  PUSKESMAS NAIKERE</t>
  </si>
  <si>
    <t>10.1 Program Upaya Kesehatan Masyarakat</t>
  </si>
  <si>
    <t>10.1.1 Penyediaan Biaya Operasional  dan pemeliharaan Puskesmas Naikere</t>
  </si>
  <si>
    <t>11.  PUSKESMAS SOBEY</t>
  </si>
  <si>
    <t>11.1 Program Upaya Kesehatan Masyarakat</t>
  </si>
  <si>
    <t>11.1.1 Penyediaan Bantuan Operasional dan pemeliharaan Puskesmas Sobey</t>
  </si>
  <si>
    <t>12.  PUSKESMAS ROSWAR</t>
  </si>
  <si>
    <t>12.1 Program Upaya Kesehatan Masyarakat</t>
  </si>
  <si>
    <t>12.1.1 Penyediaan Biaya Operasional  dan pemeliharaan Puskesmas Roswar</t>
  </si>
  <si>
    <t>13.  PUSKESMAS NIAP</t>
  </si>
  <si>
    <t>13.1 Program Upaya Kesehatan Masyarakat</t>
  </si>
  <si>
    <t>13.1.1 Penyediaan Biaya Operasional  dan pemeliharaan Puskesmas Niap</t>
  </si>
  <si>
    <t>14.  PUSKESMAS SOUGH WEPU</t>
  </si>
  <si>
    <t>14.1 Program Upaya Kesehatan Masyarakat</t>
  </si>
  <si>
    <t>14.1.1 Penyediaan Biaya Operasional  dan pemeliharaan Puskesmas Sough Wepu</t>
  </si>
  <si>
    <t>15.  PUSKESMAS KURI WAMESA</t>
  </si>
  <si>
    <t>15.1 Program Upaya Kesehatan Masyarakat</t>
  </si>
  <si>
    <t>15.1.1 Penyediaan Biaya Operasional  dan pemeliharaan Puskesmas Kuri Wamesa</t>
  </si>
  <si>
    <t>16.  RUMAH SAKIT UMUM DAERAH</t>
  </si>
  <si>
    <t>16.1 Program Obat dan Perbekalan Kesehatan</t>
  </si>
  <si>
    <t>16.1.1 Pengadaan obat-obatan rumah sakit</t>
  </si>
  <si>
    <t xml:space="preserve">16.2 Program pengadaan, peningkatan sarana dan prasarana rumah sakit/ rumah sakit jiwa/  rumah sakit paru-paru/  rumah sakit mata </t>
  </si>
  <si>
    <t xml:space="preserve">16.2.1 Pengadaan alat-alat kesehatan Rumah Sakit </t>
  </si>
  <si>
    <t>17.  DINAS PEKERJAAN UMUM PENATAAN RUANG PERUMAHAN RAKYAT DAN KAWASAN PERMUKIMAN</t>
  </si>
  <si>
    <t>17.1 Program pembangunan jalan dan jembatan</t>
  </si>
  <si>
    <t>17.2 Program pembangunan turap/talud/bronjong</t>
  </si>
  <si>
    <t>17.2.1 Pembangunan Talud Pantai Kampung Yomakan</t>
  </si>
  <si>
    <t>17.2.2 Perencanaan Pembangunan Talud Pantai Kampung Yomakan</t>
  </si>
  <si>
    <t>17.2.3 Pengawasan Pembangunan Talud Pantai Kampung Yomakan</t>
  </si>
  <si>
    <t>17.3 Program Pengembangan Perumahan</t>
  </si>
  <si>
    <t>17.3.1 Pembangunan rumah sehat sederhana tipe 36</t>
  </si>
  <si>
    <t>18. BADAN KESATUAN BANGSA, POLITIK DAN LINMAS</t>
  </si>
  <si>
    <t>18.1 Program kemitraan pengembangan wawasan kebangsaan</t>
  </si>
  <si>
    <t>18.1.1 Fasilitasi Lembaga Adat</t>
  </si>
  <si>
    <t xml:space="preserve">19.  DINAS SOSIAL  </t>
  </si>
  <si>
    <t>19.1 Program Pemberdayaan Fakir Miskin, Komunitas Adat Terpencil (KAT) dan Penyandang Masalah Kesejahteraan Sosial (PMKS) Lainnya</t>
  </si>
  <si>
    <t>19.2 Program Pelayanan dan Rehabilitasi Kesejahteraan Sosial</t>
  </si>
  <si>
    <t>19.3 Program pembinaan para penyandang cacat dan trauma</t>
  </si>
  <si>
    <t>19.3.1 Pendidikan dan pelatihan bagi penyandang cacat dan eks trauma</t>
  </si>
  <si>
    <t>19.3.2 Pembangunan rumah usaha bagi penyandang disabilitas dan anak yatim (PMKS)</t>
  </si>
  <si>
    <t>19.4 Program Pengembangan Perumahan</t>
  </si>
  <si>
    <t>19.4.1 Pembangunan Rumah Bagi Janda/Duda/Lansia/Jompo/fakir miskin dan anak terlantar</t>
  </si>
  <si>
    <t>20. DINAS PEMBERDAYAAN PEREMPUAN PERLINDUNGAN ANAK PENGENDALIAN PENDUDUK DAN KELUARGA BERENCANA</t>
  </si>
  <si>
    <t>20.1 Program Peningkatan Kualitas Hidup dan Perlindungan Perempuan</t>
  </si>
  <si>
    <t>20.1.1 Pelatihan dan Penyegaran Kader P2TP2A ttg Pencatatan dan Pelaporan Data Kekerasan Terhadap Perempuan dan Anak di 13 Distrik</t>
  </si>
  <si>
    <t>20.2 Program peningkatan peran serta dan kesetaraan jender dalam pembangunan</t>
  </si>
  <si>
    <t>20.2.1 Kegiatan Pelatihan Peningkatan Akses dan Partisipasi Perempuan Dalam Pembangunan Ekonomi</t>
  </si>
  <si>
    <t>20.2.2 Kegiatan Pendampingan dan Monitoring Kelompok Binaan (Binaan DP3AP2KB)</t>
  </si>
  <si>
    <t>20.2.3 Kegiatan Pelatihan Dan Pendampingan Kelompok Untuk Pembuatan Aneka Makanan Berbahan Pangan Lokal</t>
  </si>
  <si>
    <t>20.2.4 Kegiatan Pelatihan managemen Usaha Bagi Kelompok</t>
  </si>
  <si>
    <t>20.3 Program penguatan kelembagaan pengarusutamaan gender dan anak</t>
  </si>
  <si>
    <t>20.3.1 Fasilitasi Penyusunan Data Pusat Layanan Terpadu (P2TP2A) Pemberdayaan Perempuan dan Anak</t>
  </si>
  <si>
    <t>20.3.2 Fasilitasi Forum Anak Daerah</t>
  </si>
  <si>
    <t>20.3.3 Parade Anak Nusantara</t>
  </si>
  <si>
    <t>20.3.4 Pengumpulan dan Pengolahan Data Gender dan Anak</t>
  </si>
  <si>
    <t>20.3.5 Kegiatan Advokasi, Fasilitasi Dan Evaluasi Pokja PUG</t>
  </si>
  <si>
    <t>20.3.6 Penyusunan Profil Perlindungan Perempuan Lansia, Tenaga Kerja Perempuan, Anak Putus Sekolah dan KDRT</t>
  </si>
  <si>
    <t>20.4 Program Promosi Kesehatan Ibu, Bayi dan Anak Melalui Kelompok Kegiatan Masyarakat</t>
  </si>
  <si>
    <t>20.4.1 Pemberian Makanan Bagi Lansia</t>
  </si>
  <si>
    <t>21.  DINAS KEPENDUDUKAN DAN CATATAN SIPIL</t>
  </si>
  <si>
    <t>21.1 Program Penataan Administrasi Kependudukan</t>
  </si>
  <si>
    <t>21.1.1 Pelaksanaan Nikah Massal</t>
  </si>
  <si>
    <t>21.1.2 Verifikasi data OAP dan penyusunan laporan OAP</t>
  </si>
  <si>
    <t>21.1.3 Penyusunan Administrasi data kearsipan dan inovasi OAP</t>
  </si>
  <si>
    <t>22. DINAS PEMBERDAYAAN MASYARAKAT DAN KAMPUNG</t>
  </si>
  <si>
    <t>22.1 Program Peningkatan Keberdayaan Masyarakat Perdesaan</t>
  </si>
  <si>
    <t>22.1.1 Pembentukan Kampung adat dan pemekaran kampung</t>
  </si>
  <si>
    <t>22.2 Program pengembangan lembaga ekonomi pedesaan</t>
  </si>
  <si>
    <t xml:space="preserve">22.2.1 Pendampingan, Peningkatan Kapasitas Manajemen dan Pembentukan Badan Usaha Milik Desa (BUMDES) di setiap Kampung  </t>
  </si>
  <si>
    <t>22.2.2 Pendampingan dan Peningkatan Kapasitas Usaha Ekonomi Produktif di Desa</t>
  </si>
  <si>
    <t>22.3 Program peningkatan peran perempuan di perdesaan</t>
  </si>
  <si>
    <t>22.3.1 Penguatan kelompok usaha kelompok ibu-ibu di kampung</t>
  </si>
  <si>
    <t>22.4 Program peningkatan kemampuan teknologi industri</t>
  </si>
  <si>
    <t>22.4.1 Fasilitasi Bagi Industri Kecil dan Menengah Terhadap Pemanfaatan TTG dan SDA</t>
  </si>
  <si>
    <t>22.4.2 Pembinaan kemampuan teknologi bagi industri kecil dan menengah</t>
  </si>
  <si>
    <t>23.  DINAS PERHUBUNGAN</t>
  </si>
  <si>
    <t>23.1 Program Pembangunan Prasarana dan Fasilitas Perhubungan</t>
  </si>
  <si>
    <t>23.1.1 Pembangunan Tambatan Perahu di Kampung Menarbu</t>
  </si>
  <si>
    <t>23.1.2 Pembangunan Terminal C Tahap III</t>
  </si>
  <si>
    <t xml:space="preserve">23.1.3 Peningkatan Fasilitas Areal Pelabuhan  </t>
  </si>
  <si>
    <t xml:space="preserve">23.1.4 Pembngunan Kamar Mekanik Pool Bus  </t>
  </si>
  <si>
    <t>23.2 Pogram peningkatan pelayanan angkutan</t>
  </si>
  <si>
    <t xml:space="preserve">23.2.1 Peningkatan Pelayanan Angkutan Darat  </t>
  </si>
  <si>
    <t xml:space="preserve">23.2.2 Peningkatan Pelayanan Kapal Pelra  </t>
  </si>
  <si>
    <t xml:space="preserve">23.2.3 Penataan halaman depan Halte Bus  </t>
  </si>
  <si>
    <t>24. DINAS PARIWISATA DAN KEBUDAYAAN</t>
  </si>
  <si>
    <t>24.1 Program Pengelolaan Kekayaan Budaya</t>
  </si>
  <si>
    <t>24.1.1 Pengelolaan dan pengembangan pelestarian peninggalan sejarah purbakala, museum dan peninggalan bawah air</t>
  </si>
  <si>
    <t>24.1.2 Pengawasan, Monitoring, evaluasi dan pelaporan pelaksanaan program pengelolaan kekayaan budaya</t>
  </si>
  <si>
    <t>24.2 Program Pengembangan Nilai Budaya</t>
  </si>
  <si>
    <t>24.2.1 Keikutsertaan Kab. Teluk Wondama pada Festival Budaya Propinsi Papua Barat dan HUT Propinsi Papua Barat</t>
  </si>
  <si>
    <t>24.2.2 Penyelenggaraan Festival Budaya Daerah Kab. Teluk Wondama</t>
  </si>
  <si>
    <t>24.3 Program Pengembangan Kemitraan Budaya</t>
  </si>
  <si>
    <t>24.4 Program Pengembangan Destinasi Pariwisata</t>
  </si>
  <si>
    <t>24.4.1 Pengembangan Obyek Pariwisata Unggulan/Pembuatan Master Plan Kali Panas waprak</t>
  </si>
  <si>
    <t>25.  DINAS PERPUSTAKAAN</t>
  </si>
  <si>
    <t>25.1 Program Pengembangan Budaya Baca dan Pembinaan Perpustakaan</t>
  </si>
  <si>
    <t>25.1.1 Stimulasi dan Pembinaan Taman  Baca</t>
  </si>
  <si>
    <t>26. DINAS PERIKANAN</t>
  </si>
  <si>
    <t>26.1 Program pemberdayaan ekonomi masyarakat pesisir</t>
  </si>
  <si>
    <t>26.1.1 Pelatihan pengolahan hasil rumput laut</t>
  </si>
  <si>
    <t>26.1.2 Pengadaan Freezer pembuat es batu (30 buah)</t>
  </si>
  <si>
    <t>26.1.3 Pengadaan Collbox 600 Liter ( 30 Buah)</t>
  </si>
  <si>
    <t>26.2 Program pengembangan budidaya perikanan</t>
  </si>
  <si>
    <t>26.2.1 Pelatihan budidaya ikan air tawar</t>
  </si>
  <si>
    <t>26.2.2 Pengadaan Pakan Ikan Masyarakat Nelayan Pembudidaya Ikan</t>
  </si>
  <si>
    <t>26.3 Program pengembangan sistem penyuluhan perikanan</t>
  </si>
  <si>
    <t>26.3.1 Pembinaan/Pendampingan Kelompok Nelayan, pembudidaya ikan dan pengolah hasil perikanan</t>
  </si>
  <si>
    <t>26.3.2 Penyusunan Profil Kelembagaan Kelompok Nelayan, Pembudidaya Ikan dan Pengolah Hasil Perikanan</t>
  </si>
  <si>
    <t>26.4 Program Optimalisasi pengelolaan dan pemasaran produksi perikanan</t>
  </si>
  <si>
    <t>26.4.1 Akses Pasar Dan Promosi Hasil Perikanan</t>
  </si>
  <si>
    <t>27.  DINAS PARIWISATA DAN KEBUDAYAAN</t>
  </si>
  <si>
    <t>27.1 Program Pengelolaan Keragaman Budaya</t>
  </si>
  <si>
    <t>27.1.1 Penyelenggaraan dialog kebudayaan</t>
  </si>
  <si>
    <t>27.1.2 Pembangunan Gedung Sanggar Budaya</t>
  </si>
  <si>
    <t>28.  DINAS PERTANIAN DAN PANGAN</t>
  </si>
  <si>
    <t>28.1. Program Peningkatan Kesejahteraan Petani</t>
  </si>
  <si>
    <t>28.1.1 Magang Petani</t>
  </si>
  <si>
    <t>28.1.2 Pengembangan model distribusi pangan yang efisien</t>
  </si>
  <si>
    <t>28.1.3 Penanganan panen dan pasca panen komoditi holtikultura</t>
  </si>
  <si>
    <t>28.2 Program peningkatan produksi pertanian/perkebunan</t>
  </si>
  <si>
    <t>28.2.1 Pelatihan Teknis Pengendalian OPT</t>
  </si>
  <si>
    <t>28.2.2 Pengembangan Intensifikasi Tanaman Pala Wija</t>
  </si>
  <si>
    <t>28.2.3 Pengembangan bibit unggulan tanaman pangan</t>
  </si>
  <si>
    <t>28.2.6 Penyediaan Sarana Produksi Holtikultura</t>
  </si>
  <si>
    <t>28.3 Program pencegahan dan penanggulangan penyakit ternak</t>
  </si>
  <si>
    <t>28.3.1 Pemeliharaan kesehatan dan pencegahan penyakit menular ternak</t>
  </si>
  <si>
    <t>28.3.2 Program peningkatan produksi hasil peternakan</t>
  </si>
  <si>
    <t>29. DINAS PERINDUSTRIAN PERDAGANGAN KOPERASI DAN USAHA KECIL DAN MENENGAH</t>
  </si>
  <si>
    <t>29.1 Program perlindungan konsumen dan pengamanan perdagangan</t>
  </si>
  <si>
    <t>29.1.1 Pembangunan Kios</t>
  </si>
  <si>
    <t>29.2 Program pengembangan kewirausahaan dan keunggulan kompetitif UKM</t>
  </si>
  <si>
    <t>29.2.1 Pelatihan Kewirausahawan Bagi Usaha Kecil Menengah</t>
  </si>
  <si>
    <t>29.2.2 Pengawasan dan Pembinaan UKM</t>
  </si>
  <si>
    <t>29.2.3 Pelatihan Pengemasan Produk</t>
  </si>
  <si>
    <t>29.2.4 Bantuan sembilan bahan pokok dan peralatan untuk UKM</t>
  </si>
  <si>
    <t>29.3 Program peningkatan kwalitas kelembagaan koperasi</t>
  </si>
  <si>
    <t>29.3.1 Pelatihan Manajemen Usaha Bagi Pengelolaan Koperasi/ KUD</t>
  </si>
  <si>
    <t>29.3.2 Pembinaan dan pendampingan koperasi</t>
  </si>
  <si>
    <t>29.4 Program pembinaan dan pengembangan bidang ketenagalistrikan</t>
  </si>
  <si>
    <t>29.4.1 Pemasangan Meteran Prabayar</t>
  </si>
  <si>
    <t>29.5 Program Peningkatan dan Pengembangan SDM</t>
  </si>
  <si>
    <t>29.5.1 Pelatihan Pembuatan Tepung Sagu</t>
  </si>
  <si>
    <t>29.6 Program Perdagangan Efisiensi Perdagangan Dalam Negeri</t>
  </si>
  <si>
    <t>29.6.1 Penyelenggaraan Pasar Murah Menjelang Hari Raya Keagamaan</t>
  </si>
  <si>
    <t>30.  DINAS PERINDUSTRIAN PERDAGANGAN KOPERASI DAN USAHA KECIL DAN MENENGAH</t>
  </si>
  <si>
    <t>30.1 Program pengembangan industri kecil dan menengah</t>
  </si>
  <si>
    <t>30.1.1 Pelatihan Batu Alam</t>
  </si>
  <si>
    <t>30.1.2 Pengadaan Peralatan Cetak Batu Tela</t>
  </si>
  <si>
    <t>30.1.3 Pelatihan Pembuatan Kerupuk Sagu</t>
  </si>
  <si>
    <t>30.1.4 Pelatihan Es Krim dari Sagu</t>
  </si>
  <si>
    <t>31. DINAS TRANSMIGRASI</t>
  </si>
  <si>
    <t>31.1 Program Peningkatan Kualitas dan Produktivitas Tenaga Kerja</t>
  </si>
  <si>
    <t>31.1.1 Sosialisasi AK. I ketenagakerjaan</t>
  </si>
  <si>
    <t>31.1.2 Sosialisasi undang-undang ketenagakerjaan</t>
  </si>
  <si>
    <t>31.2 Program Pengembangan Hubungan Industrial dan Peningkatan Jaminan Sosial Tenaga Kerja</t>
  </si>
  <si>
    <t>31.2.1 Sosialisasi upah minimum Provinsi Papua Barat</t>
  </si>
  <si>
    <t>31.3 Program Pengembangan Kawasan Transmigrasi (PKT)</t>
  </si>
  <si>
    <t>31.3.1 Sosialisasi Prosedur sertifikasi lahan transmigrasi</t>
  </si>
  <si>
    <t>31.3.2 Pelatihan pembuatan aneka makanan dari bahan pangan lokal</t>
  </si>
  <si>
    <t>31.3.3 Pelatihan Tehnik Budidaya Ikan Air Tawar Unit Pemukiman Transmigrasi</t>
  </si>
  <si>
    <t>35. BADAN KEUANGAN DAN ASET DAERAH (PPKD)</t>
  </si>
  <si>
    <t>32.2 Belanja Bantuan Sosial</t>
  </si>
  <si>
    <t>BANTUAN KEAGAMAAN</t>
  </si>
  <si>
    <t>JUMLAH</t>
  </si>
  <si>
    <t>KEPALA BADAN PENGELOLA KEUANGAN</t>
  </si>
  <si>
    <t>DAN ASET DAERAH</t>
  </si>
  <si>
    <t>ABIA ULLU, S.Sos</t>
  </si>
  <si>
    <t>NIP. 19600209 198803 1 011</t>
  </si>
  <si>
    <t>REKAPITULASI ALOKASI DAN REALISASI PENGGUNAAN DANA OTONOMI KHUSUS UNTUK PENDIDIKAN</t>
  </si>
  <si>
    <t xml:space="preserve"> DIURAIKAN BERDASARKAN, ORGANISASI, PROGRAM/KEGIATAN PROVINSI DAN KABUPATEN/KOTA </t>
  </si>
  <si>
    <t>PROSENTASE ALOKASI ANGGARAN (%)</t>
  </si>
  <si>
    <t>IV.  KOTA SORONG</t>
  </si>
  <si>
    <t>32. Badan Pengelolaan Keuangan dan Asset Daerah Kota Sorong (PPKD)</t>
  </si>
  <si>
    <t>V. KABUPATEN KAIMANA</t>
  </si>
  <si>
    <t>20. DINAS PENDAPATAN, PENGELOLAAN KEUANGAN DAN ASET DAERAH (PPKD)</t>
  </si>
  <si>
    <t>20.1. Non Program</t>
  </si>
  <si>
    <t>20.1.1.2. Hibah Kepada Badan/Lembaga/Organisasi Swasta (Pendidikan)</t>
  </si>
  <si>
    <t>21.1.1.1. Bantuan Sosial Bidang Pendidikan</t>
  </si>
  <si>
    <t>35.1. Bantuan Sosial Pendidikan</t>
  </si>
  <si>
    <t>35.1.1. Belanja Bantuan Sosial Pendidikan</t>
  </si>
  <si>
    <t xml:space="preserve"> KEPALA BADAN PENGELOLA KEUANGAN</t>
  </si>
  <si>
    <t>REKAPITULASI ALOKASI DAN REALISASI PENGGUNAAN DANA OTONOMI KHUSUS UNTUK KESEHATAN</t>
  </si>
  <si>
    <t xml:space="preserve">DIURAIKAN BERDASARKAN, ORGANISASI, PROGRAM/KEGIATAN PROVINSI DAN KABUPATEN/KOTA </t>
  </si>
  <si>
    <t>REALISASI PENYERAPAN  (Rp.)</t>
  </si>
  <si>
    <t>PROSENTASE REALISASI PENYERAPAN (%)</t>
  </si>
  <si>
    <t>REALISASI PENYERAPAN (Rp.)</t>
  </si>
  <si>
    <t>VIII.  KABUPATEN SORONG SELATAN</t>
  </si>
  <si>
    <t>2.8.2. Pembangunan Puskesmas Pembantu (Pustu) Kminslolo</t>
  </si>
  <si>
    <t>5.1.1 Penyediaan Biaya Operasional  dan pemeliharaan Puskesmas Wondiboy</t>
  </si>
  <si>
    <t xml:space="preserve">6.1.3. Pembangunan Homestay di Pantai Saleo Distrik Waigeo Selatan </t>
  </si>
  <si>
    <t>5. DINAS PEMBERDAYAAN PEREMPUAN, PERLINDUNGAN ANAK DAN KB</t>
  </si>
  <si>
    <t>6. DINAS KETAHANAN PANGAN</t>
  </si>
  <si>
    <t>14. BADAN PENGELOLA KEUANGAN DAN ASET DAERAH</t>
  </si>
  <si>
    <t>14.2.1  Belanja Bantuan Sosial kepada organisasi kemasyarakatan</t>
  </si>
  <si>
    <t>14.2 Belanjan Bantuan Sosial</t>
  </si>
  <si>
    <t>14.2.2  Belanja Bantuan Sosial Kepada Kelompok Masyarakat</t>
  </si>
  <si>
    <t>14.2.3. Belanja Bantuan Sosial Kepada Anggota Masyarakat</t>
  </si>
  <si>
    <t>14.1 Belanja Hibah</t>
  </si>
  <si>
    <t xml:space="preserve">13. DINAS PERINDUSTRIAN, PERDAGANGAN, KOPERASI DAN UKM </t>
  </si>
  <si>
    <t>13.1. Program Peningkatan Kualitas Kelembagaan Koperasi dan UKM</t>
  </si>
  <si>
    <t xml:space="preserve">13.1.1. Pelatihan Manajemen Usaha Bagi Kelompok UMKM Bagi Orang Asli Papua  </t>
  </si>
  <si>
    <t xml:space="preserve">13.1.2. Pelatihan Penyusunan Anggaran Dasar (AD) Anggaran Rumah Tangga (ART) dan Rapat Anggota Tahunan Bagi Koperasi Khusus Orang Asli Papua  (OAP) </t>
  </si>
  <si>
    <t xml:space="preserve">13.1.3. Pelatihan Penyusunan Laporan Keuangan bagi Pengurus Koperasi Khusus Orang Asli Papua  </t>
  </si>
  <si>
    <t xml:space="preserve">13.1.5. Pendampingan RAT Koperasi Bagi Orang Asli Papua </t>
  </si>
  <si>
    <t xml:space="preserve">13.1.6. Sosialisasi gerakan masyarakat koperasi </t>
  </si>
  <si>
    <t xml:space="preserve">13.1.7. Diklat pengawas koperasi  </t>
  </si>
  <si>
    <t>13.2. Program Perlindungan Konsumen dan Pengamanan Perdagangan</t>
  </si>
  <si>
    <t xml:space="preserve">13.2.1. Pengawasan Tera Ulang </t>
  </si>
  <si>
    <t>13.2.2. Pengawasan Distribusi Bahan Bakar Minyak</t>
  </si>
  <si>
    <t>13.2.3. Pengawasan Barang Kadalwarsa</t>
  </si>
  <si>
    <t>13.2.4. Pengawasan Bahan Pokok</t>
  </si>
  <si>
    <t>13.3. Program Peningkatan Efisiensi Perdagangan Dalam Negeri</t>
  </si>
  <si>
    <t xml:space="preserve">13.3.1. Pembangunan pasar obor kampung Ani Sesna </t>
  </si>
  <si>
    <t xml:space="preserve">13.3.2. Pembangunan pasar obor kampung Serkos, Mogibi dan Odeari </t>
  </si>
  <si>
    <t xml:space="preserve">13.3.3. Pembangunan pasar obor kampung Tapiri  </t>
  </si>
  <si>
    <t xml:space="preserve">13.3.5. Pembangunan rumah dapur tempat bakaran di kampung Klamit </t>
  </si>
  <si>
    <t xml:space="preserve">13.3.6. Pengadaan Timbangan pegas  </t>
  </si>
  <si>
    <t xml:space="preserve">13.3.7. Pembangunan Los Pasar Kajase Tahap II  </t>
  </si>
  <si>
    <t>13.4 Program Pengembangan Kewirausahaan dan Keunggulan Kompetitif Usaha Kecil Menengah</t>
  </si>
  <si>
    <t xml:space="preserve">13.4.2. Pelatihan pembuatan pakan ternak berbahan dasar limbah sagu  </t>
  </si>
  <si>
    <t xml:space="preserve">13.4.3. Pelatihan Pembuatan Keripik Keladi dan Pisang  </t>
  </si>
  <si>
    <t xml:space="preserve">13.4.4. Pelatihan anyam-anyaman bagi pelaku IKM khusus OAP berbahan dasar kulit kayu  </t>
  </si>
  <si>
    <t xml:space="preserve">13.4.6. Bantuan Modal Usaha (IKM, UKM, UMKM)  </t>
  </si>
  <si>
    <t xml:space="preserve">13.4.5. Pelatihan pembuatan ikan asin  </t>
  </si>
  <si>
    <t xml:space="preserve">13.4.1. Pelatihan Pembuatan Tepung Sagu dan Berbahan Dasar Sagu </t>
  </si>
  <si>
    <t>13.5. Program Peningkatan Kapasitas Iptek Produksi</t>
  </si>
  <si>
    <t xml:space="preserve">13.5.1. Pengadaan alat pembuatan keripik keladi </t>
  </si>
  <si>
    <t xml:space="preserve">13.5.2. Pengadaan peralatan pembuatan kue sagu </t>
  </si>
  <si>
    <t xml:space="preserve">13.5.3. Pengadaan peralatan terasi dan kerupuk udang  </t>
  </si>
  <si>
    <t xml:space="preserve">13.5.4. Pengadaan pelatan mesin press / pengahalus  </t>
  </si>
  <si>
    <t xml:space="preserve">13.5.5. Pelatihan dan pengadaan alat pengolahan sampah rumah tangga  </t>
  </si>
  <si>
    <t xml:space="preserve">13.5.6. Pembangunan MCK 2 Unit sentra IKM </t>
  </si>
  <si>
    <t xml:space="preserve">13.5.7. Pembangunan instalasi listrik dan pengadaan genset  </t>
  </si>
  <si>
    <t>13.6 Program Pembinaan Pedagang Kaki Lima dan Asongan</t>
  </si>
  <si>
    <t xml:space="preserve">13.6.1. Pengadaan payung dan tempat jualan bagu mama-mama papua           </t>
  </si>
  <si>
    <t>20.2.6 Fasilitasi Upaya Perlindungan Perempuan Terhadap Tindak Kekerasan (Sosialisasi UU 23 Tahun 2004 ttg Penghapusan Kekerasan dalam Rumah Tangga)</t>
  </si>
  <si>
    <t>2.11.1 Penyuluhan pemeliharaan kesehatan lansia</t>
  </si>
  <si>
    <t>2.2.2 Peningkatan kesehatan masyarakat</t>
  </si>
  <si>
    <t>2.2.3 Manajemen Puskesmas</t>
  </si>
  <si>
    <t>2.2.4 Pelatihan CTU</t>
  </si>
  <si>
    <t>2.2.5 Penyediaan biaya operasional dan pemeliharaan puskesmas Terapung</t>
  </si>
  <si>
    <t>2.2.6 Basic Trauma Life Support (BTLS)</t>
  </si>
  <si>
    <t>2.2.7 Pelatihan APN</t>
  </si>
  <si>
    <t xml:space="preserve">2.2.8 Biaya pendidikan program percepatan pendidikan tenaga kesehatan </t>
  </si>
  <si>
    <t>2.2.9 Ujian sertifikat kompetensi</t>
  </si>
  <si>
    <t>2.11 Program peningkatan pelayanan kesehatan lansia</t>
  </si>
  <si>
    <t>2.12 Program peningkatan keselamatan ibu melahirkan dan anak</t>
  </si>
  <si>
    <t>2.12.1 Penyuluhan kesehatan bagi ibu hamil dari keluarga kurang mampu</t>
  </si>
  <si>
    <t>2.12.2 Perawatan secara berkala bagi ibu hamil bagi keluarga kurang mampu</t>
  </si>
  <si>
    <t>2.12.3 Pemeriksaan IFA</t>
  </si>
  <si>
    <t>2.12.4 Penyediaan Buku Kesahatan Ibu dan anak dan Stiker Ibu Hamil</t>
  </si>
  <si>
    <t>2.12.5 Evaluasi Program Ibu</t>
  </si>
  <si>
    <t>22.5 Program Pengembangan Perumahan</t>
  </si>
  <si>
    <t>23.1.5 Peningkatan Fasilitas Areal Pelabuhan (otsus)</t>
  </si>
  <si>
    <t>23.1.6 Pembngunan Kamar Mekanik Pool Bus (otsus)</t>
  </si>
  <si>
    <t>24.3.4 Pelatihan SDM pengelolaan Ekowisata berbasis Masyarakat</t>
  </si>
  <si>
    <t>24.4.2 Pembangunan homestay dan kelengkapannya (tahap I) di Roon</t>
  </si>
  <si>
    <t xml:space="preserve"> 11. DINAS PEMUDA, OLAHRAGA DAN PARIWISATA</t>
  </si>
  <si>
    <t>11.1.  Program Pengembangan Destinasi Wisata</t>
  </si>
  <si>
    <t>11.1.1. Pembuatan Jalan Cor Kampung Unggi Distrik Wayer</t>
  </si>
  <si>
    <t>11.1.2. Pembuatan Jalan Cor Kampung Srer Distrik Seremuk</t>
  </si>
  <si>
    <t>11.1.3. Pembuatan Drainase Kampung Srer Distrik Seremuk</t>
  </si>
  <si>
    <t xml:space="preserve"> 12. DINAS PERTANIAN</t>
  </si>
  <si>
    <t>12.1. Program Peningkatan Produksi, Produktifitas dan Mutu Hasil Tanaman Pangan dan Holtikutura</t>
  </si>
  <si>
    <t>12.2. Program Peningkatan Produksi Komoditi Perkebunan Berkelanjutan</t>
  </si>
  <si>
    <t>12.2.1. Pengembangan Sagu</t>
  </si>
  <si>
    <t>12.2.2. Penataan Sagu</t>
  </si>
  <si>
    <t>12.2.3. Pengembangan Siri</t>
  </si>
  <si>
    <t>12.2.4. Pengembangan Pinang</t>
  </si>
  <si>
    <t>12.2.3. Penataan Kakao</t>
  </si>
  <si>
    <t>12.2.4. Pengembangan Kelapa Dalam</t>
  </si>
  <si>
    <t>12.1.1. Pengembangan Padi</t>
  </si>
  <si>
    <t>12.1.2. Pengembangan Alpukat</t>
  </si>
  <si>
    <t>12.1.3. Pengembangan Sayur - sayuran</t>
  </si>
  <si>
    <t>12.1.4. Pengembangan Nangka</t>
  </si>
  <si>
    <t>12.1.5. Pengembangan Kedelai</t>
  </si>
  <si>
    <t>12.1.6. Pengembangan Florikultura</t>
  </si>
  <si>
    <t>12.1.7. Pengembangan Jeruk Asam</t>
  </si>
  <si>
    <t>12.1.8. Pengembangan Mangga</t>
  </si>
  <si>
    <t>12.1.9. Pengembangan OPT Pangan</t>
  </si>
  <si>
    <t>14.1.1 Belanja Hibah kepada Badan/Lembaga/Organisasi</t>
  </si>
  <si>
    <t>5.2. Program Peningkatan Kualitas Hidup dan Perlindungan Perempuan</t>
  </si>
  <si>
    <t xml:space="preserve">22.5.1 Bedah Kampung </t>
  </si>
  <si>
    <t>31.1.3 Kursus Pelatihan Membatik Papua</t>
  </si>
  <si>
    <t>32.3 Belanja Bantuan Keuangan kepada  Pemerintahan Desa</t>
  </si>
  <si>
    <t>32. BADAN KEUANGAN DAN ASET DAERAH (PPKD)</t>
  </si>
  <si>
    <t>32.1. Belanja Hibah dan Bantuan Sosial</t>
  </si>
  <si>
    <t>32.1. Belanja Hibah</t>
  </si>
  <si>
    <t xml:space="preserve">ALOKASI PEMBAGIAN DAN PENYALURAN DANA OTONOMI KHUSUS </t>
  </si>
  <si>
    <t xml:space="preserve">ANTARA PROVINSI DAN KABUPATEN/KOTA </t>
  </si>
  <si>
    <t xml:space="preserve"> PROVINSI              : PAPUA BARAT   </t>
  </si>
  <si>
    <t>Tabel A.2</t>
  </si>
  <si>
    <t>*) hanya diisi oleh Provinsi</t>
  </si>
  <si>
    <t>ALOKASI ANGGARAN                (Rp. )</t>
  </si>
  <si>
    <t>PROSENTASE ALOKASI  ANGGARAN                        ( % )</t>
  </si>
  <si>
    <t>REALISASI  PENYALURAN       (Rp.)</t>
  </si>
  <si>
    <t>PROSENTASE REALISASI PENYALURAN (%)</t>
  </si>
  <si>
    <t>A.</t>
  </si>
  <si>
    <t xml:space="preserve">PROVINSI PAPUA BARAT </t>
  </si>
  <si>
    <t>B.</t>
  </si>
  <si>
    <t>1. Kabupaten Teluk Bintuni</t>
  </si>
  <si>
    <t>2. Kabupaten Manokwari</t>
  </si>
  <si>
    <t>3. Kabupaten Fakfak</t>
  </si>
  <si>
    <t>4. Kota Sorong</t>
  </si>
  <si>
    <t>5. Kabupaten Kaimana</t>
  </si>
  <si>
    <t>6. Kabupaten Raja Ampat</t>
  </si>
  <si>
    <t>7. Kabupaten Maybrat</t>
  </si>
  <si>
    <t xml:space="preserve">  8. Kabupaten Sorong Selatan</t>
  </si>
  <si>
    <t xml:space="preserve">  9. Kabupaten  Pegunungan Arfak</t>
  </si>
  <si>
    <t>10. Kabupaten Sorong</t>
  </si>
  <si>
    <t>11. Kabupaten Tambrauw</t>
  </si>
  <si>
    <t>12. Kabupaten Manokwari Selatan</t>
  </si>
  <si>
    <t>13. Kabupaten Teluk Wondama</t>
  </si>
  <si>
    <t>10.2.1.1. Pendataan dan Survei Lokasi BTS</t>
  </si>
  <si>
    <t xml:space="preserve">10.3.1. Program Peningkatan Sarana dan Prasarana Aparatur </t>
  </si>
  <si>
    <t>10.3.1.1.Pengadaan perlengkapan gedung kantor</t>
  </si>
  <si>
    <t>10.3.1.2.Pengadaan Tanah Pemerintah Daerah</t>
  </si>
  <si>
    <t>10.3.2.3.Penegasan  Batas Wilayah Kab. Pegunungan Arfak</t>
  </si>
  <si>
    <t>10.3.2. Program Peningkatan Kapasitas Sumber Daya Aparatur</t>
  </si>
  <si>
    <t>10.3.2.1.Sosialisasi peraturan perundang-undangan</t>
  </si>
  <si>
    <t>10.3.2.2.Bimbingan teknis tentang prosedur kerja administrasi perkantoran</t>
  </si>
  <si>
    <t xml:space="preserve">10.3.3.1.Pengadaan Peta Wilayah </t>
  </si>
  <si>
    <t>1.3.2. Pengadaan meubelair sekolah</t>
  </si>
  <si>
    <r>
      <t>10. DINAS PEMBERDAYAAN PEREMPUAN DAN PERLINDUNGAN ANAK</t>
    </r>
    <r>
      <rPr>
        <b/>
        <sz val="12"/>
        <color rgb="FFFF0000"/>
        <rFont val="Calibri"/>
        <family val="2"/>
        <scheme val="minor"/>
      </rPr>
      <t xml:space="preserve">  </t>
    </r>
  </si>
  <si>
    <t>3.6. Program Peningkatan Jalan dan Jembatan</t>
  </si>
  <si>
    <t>3.6.1. Peningkatan Jalan</t>
  </si>
  <si>
    <t>4. SATUAN POLISI PAMONG PRAJA</t>
  </si>
  <si>
    <t>4.1. Program Peningkatan keamanan dan kenyamanan lingkungan</t>
  </si>
  <si>
    <t xml:space="preserve">4.1.1. Penyiapan tenaga pengendali keamanan dan kenyamanan lingkungan </t>
  </si>
  <si>
    <t>4.1.2. Penyelenggaraan kegiatan Pemuda Penggerak Pembangunan Maybrat (P3M)</t>
  </si>
  <si>
    <t>5. DINAS PEMBERDAYAAN PEREMPUAN DAN PERLINDUNGAN ANAK</t>
  </si>
  <si>
    <t>5.1. Program Peningkatan Kualitas Hidup Perempuan Sebagai Pelaku Ekonomi Keluarga</t>
  </si>
  <si>
    <t xml:space="preserve">5.1.2. Pelatihan Pembuatan Kue dan Makanan dari Bahan Lokal </t>
  </si>
  <si>
    <t xml:space="preserve">5.1.1. Pelatihan Pembuatan Bunga dari Bahan Limbah  </t>
  </si>
  <si>
    <t xml:space="preserve">5.1.3. Pelatihan Pembuatan Tas, Topi, Noken dan Piring Rotan dan Bahan Lokal </t>
  </si>
  <si>
    <t>6. DINAS PERDAGANGAN DAN TENAGA KERJA</t>
  </si>
  <si>
    <t>6.1. Program Peningkatan efesiensi perdagangan dalam negeri</t>
  </si>
  <si>
    <t>6.1.1. Pembangunan Pasar</t>
  </si>
  <si>
    <t>6.2. Program Peningkatan Kesempatan Kerja</t>
  </si>
  <si>
    <t>6.2.1. Pelatihan Pelaku Usaha OAP</t>
  </si>
  <si>
    <t>7.1. Program Peningkatan Ketahanan Pangan Pertanian, Perikanan dan Perkebunan</t>
  </si>
  <si>
    <t>7.1.1. Pengembangan tanaman sagu lokal seluas 40 Ha Kab. Maybrat</t>
  </si>
  <si>
    <t>7.1.2. Perluasan dan pengembangan budidaya tanaman kacang hijau 30 Ha</t>
  </si>
  <si>
    <t>7.1.3. Perluasan dan pengembangan budidaya tanaman sayur-sayuran 35 Ha</t>
  </si>
  <si>
    <t>7.1.4. Perluasan dan pengembangan budidaya tanaman ubi-ubian 50 Ha</t>
  </si>
  <si>
    <t>7.1.5. Perluasan dan pengembangan budidaya tanaman kacang tanah 100 Ha</t>
  </si>
  <si>
    <t>7.1.6. Perluasan dan pengembangan budidaya tanaman nanas dan buah naga tanah 35 Ha</t>
  </si>
  <si>
    <t>7.2. Program Penelitian dan pengembangan sumberdaya pertanian</t>
  </si>
  <si>
    <t>7.2.1. Survei potensi pengembangan komoditas pertanian berbasis kawasan (MOU) UNHAS Makasar</t>
  </si>
  <si>
    <t>7.3. Program Peningkatan Teknologi Kerawanan Pangan</t>
  </si>
  <si>
    <t>7.3.1. Pembangunan Gedung penyimpanan alat mesin pertanian (ALSINTAN)</t>
  </si>
  <si>
    <t>8. DINAS PEMBERDAYAAN MASYARAKAT DAN  PEMERINTAH KAMPUNG</t>
  </si>
  <si>
    <t>8.1. Program bidang ketahanan mayarakat kampung</t>
  </si>
  <si>
    <t xml:space="preserve">8.1.1. Sosialisasi peran dan fungsi kelembagaan masyarakat kampung </t>
  </si>
  <si>
    <t>8.2. Program peningkatan kapasitas ekonomi masyarakat</t>
  </si>
  <si>
    <t>8.2.1. Pelatihan pembuatan kue bagi ibu-ibu Maybrat</t>
  </si>
  <si>
    <t>9. DINAS PERPUSTAKAAN DAN ARSIP DAERAH</t>
  </si>
  <si>
    <t>9.1. Program Peningkatan sarana dan prasarana aparatur</t>
  </si>
  <si>
    <t>9.1.1. Pembangunan Gedung Kantor</t>
  </si>
  <si>
    <t>9.1.2. Pengadaan kendaraan dinas/ operasional</t>
  </si>
  <si>
    <t>9.2. Program Peningkatan kapasitas sumber daya aparatur</t>
  </si>
  <si>
    <t>9.2.1. Pendidikan dan pelatihan formal</t>
  </si>
  <si>
    <t>9.3. Program perbaikan sistim administrasi kearsipan</t>
  </si>
  <si>
    <t>9.3.1. Pembangunan / Penyajian data base informasi kearsipan</t>
  </si>
  <si>
    <t xml:space="preserve">9.4. Program pengembangan informasi perpustakaan </t>
  </si>
  <si>
    <t>10. INSPEKTORAT</t>
  </si>
  <si>
    <t>10.1. Program Peningkatan Kapasitas Sumber Daya Aparatur</t>
  </si>
  <si>
    <t>10.1.1. Pelatihan di Kantor Sendiri (PKS)</t>
  </si>
  <si>
    <t>10.2. Program Peningkatan Sistem Pengawasan Internal dan Pengendalian Pelaksanaan Kebijakan KDH</t>
  </si>
  <si>
    <t>10.2.2. Penguatan dan Penanganan Saber Pungli Kabupaen Maybrat</t>
  </si>
  <si>
    <t xml:space="preserve">10.2.1. Reviu Laporan Keuangan Pemerintah Daerah </t>
  </si>
  <si>
    <t>10.2.3. Monitoring dan Evaluasi Kegiatan yang Bersumber Dana OTSUS</t>
  </si>
  <si>
    <t>11.1.1. Pengadaan Buku Publikasi Maybrat (IPM, MDA, PDRB)</t>
  </si>
  <si>
    <t>11.2.1. Musyawarah Rencana pembangunan Daerah Tahun 2018 (MUSRENBANG)</t>
  </si>
  <si>
    <t>11.2.2. Penyusunan Basic Price Kabupaten Maybrat</t>
  </si>
  <si>
    <t>11.3. Program Perencanaan Sosial dan Budaya</t>
  </si>
  <si>
    <t>11.3.1. Perencanaan Strategis Bidang Pendidikan</t>
  </si>
  <si>
    <t>11.3.2. Perencanaan Strategis Bidang Kesehatan</t>
  </si>
  <si>
    <t>12. BADAN PENGELOLA KEUANGAN DAN ASET DAERAH SELAKU PPKD</t>
  </si>
  <si>
    <t>12.1. Belanja Bantuan Sosial Masyarakat</t>
  </si>
  <si>
    <t>12.1.1. Bantuan Bidang Pendidikan</t>
  </si>
  <si>
    <t>12.1.2. Bantuan Bidang Kesehatan</t>
  </si>
  <si>
    <t>12.1.3. Bantuan Pemberdayaan ekonomi</t>
  </si>
  <si>
    <t>12.1.4. Bantuan Sosial Kemasyarakatan/Perorangan</t>
  </si>
  <si>
    <t>12.1.5. Bantuan Beasiswa</t>
  </si>
  <si>
    <t>12.1.6. Bantuan Pelatihan Pemuda Penggerak Pembangunan Maybrat</t>
  </si>
  <si>
    <t>12.2. Belanja Bantuan Sosial Organisasi Keagamaan</t>
  </si>
  <si>
    <t>12.2.1. Bantuan organisasi keagamaan</t>
  </si>
  <si>
    <t>12.3. Belanja Bantuan Partai Politik</t>
  </si>
  <si>
    <t>12.3.1. Bantuan ke Partai Politik</t>
  </si>
  <si>
    <t>12.4. Belanja Tidak Terduga</t>
  </si>
  <si>
    <t>12.4.1. Bantuan  tidak terduga</t>
  </si>
  <si>
    <t>13. BADAN KEPEGAWAIAN DAN DIKLAT DAERAH</t>
  </si>
  <si>
    <t>13.1. Program Peningkatan kapasitas sumber daya aparatur</t>
  </si>
  <si>
    <t>13.2. Program Pembinaan dan Pengembangan Aparatur</t>
  </si>
  <si>
    <t>12.5. Program Peningkatan dan pengembangan pengelolaan keuangan daerah</t>
  </si>
  <si>
    <t xml:space="preserve">12.5.1. Bimbingan teknis penerapan simda keuangan </t>
  </si>
  <si>
    <t>12.5.2. Monitoring dan evaluasi pengelolaan keuangan daerah</t>
  </si>
  <si>
    <t>12.5.3. Penyusunan neraca awal berbasis akrual</t>
  </si>
  <si>
    <t>12.5.4. Penyusunan laporan aset tetap barang milik daerah</t>
  </si>
  <si>
    <t>9.4.1. Pengolahan data koleksi bahan perpustakaan</t>
  </si>
  <si>
    <t>9.4.2. Bimtek pengelolaan arsip aktif dan inaktif</t>
  </si>
  <si>
    <t>9.4.3. Pelatihan kearsipan pola baru</t>
  </si>
  <si>
    <t>8.1. Program Optimalisasi Pengelolaan dan Pemasaran Produksi Perikanan</t>
  </si>
  <si>
    <t>1. DINAS PENDIDIKAN, PEMUDA dan OLAHRAGA</t>
  </si>
  <si>
    <t>3.3.1. Pendampingan Operasional PAMSIMAS</t>
  </si>
  <si>
    <t>5. DINAS SOSIAL DAN PEMBERDAYAAN MASYARAKAT KAMPUNG</t>
  </si>
  <si>
    <t>6. BADAN PENANGGULANGAN BENCANA DAERAH</t>
  </si>
  <si>
    <t>7. DINAS PEMBERDAYAAN PEREMPUAN DAN PERLINDUNGAN ANAK</t>
  </si>
  <si>
    <t>8. DINAS PERHUBUNGAN, PERIKANAN DAN PERTANAHAN</t>
  </si>
  <si>
    <t>9. DINAS PERTANIAN DAN KETAHANAN PANGAN</t>
  </si>
  <si>
    <t>10. SEKRETARIAT DAERAH</t>
  </si>
  <si>
    <t>10.2. BAGIAN PEREKONOMIAN DAERAH</t>
  </si>
  <si>
    <t>10.3. BAGIAN PEMERINTAHAN DAN OTONOMI DAERAH</t>
  </si>
  <si>
    <t>10.3.3. Program Peningkatam Sarana dan Komunikasi Serta Media Masa</t>
  </si>
  <si>
    <t>11. BADAN KEPEGAWAIAN DAN PENGEMBANGAN SUMBER DAYA MANUSIA</t>
  </si>
  <si>
    <t>1. DINAS PENDIDIKAN NASIONAL</t>
  </si>
  <si>
    <t xml:space="preserve">1.3.1. Penyelenggaraan Beasiswa Pada Sekolah Anak Indonesia (SAI) </t>
  </si>
  <si>
    <t xml:space="preserve">1.6.1. Pelatihan Guru Pendidikan Jasmani dan Olahraga </t>
  </si>
  <si>
    <t>-</t>
  </si>
  <si>
    <t>5.1. Program Peningkatan Kualitas Hidup dan Perlindungan Perempuan</t>
  </si>
  <si>
    <t>5.2. Program peningkatan kelembagaan Organisasi Perempuan</t>
  </si>
  <si>
    <t xml:space="preserve">5.2.1. Pelatihan Kepemimpinan Bagi Organisasi Perempuan  </t>
  </si>
  <si>
    <t xml:space="preserve">5.2.2. Sosialisasi Manajemen Usaha Bagi Perempuan Papua </t>
  </si>
  <si>
    <t>5.1.1. Monitoring, evaluasi dan pelaporan</t>
  </si>
  <si>
    <t xml:space="preserve">5.1.2. Fasilitasi dan Pengelolaan Makanan Lokal Menjadi Keripik  </t>
  </si>
  <si>
    <t xml:space="preserve">5.1.3. Pelatihan Kerajinan Tangan dari Bahan Baku lokal  </t>
  </si>
  <si>
    <t xml:space="preserve">5.1.4. Fasilitasi dan Pelatihan Jahit Menjahit </t>
  </si>
  <si>
    <t xml:space="preserve">5.1.5. Fasilitasi Kelompok Kerja Pelatihan Membatik  </t>
  </si>
  <si>
    <t xml:space="preserve">5.1.6. Fasilitasi dan Pelatihan Tenun Motif Papua  </t>
  </si>
  <si>
    <t xml:space="preserve">5.1.7. Sosialisasi UU No.23 Tahun 2014 Tentang KDRT di Distrik </t>
  </si>
  <si>
    <t>5.3. Program Kebijakan Tentang Keserasian Peningkatan Kualitas Anak dan Perempuan</t>
  </si>
  <si>
    <t xml:space="preserve">5.3.1. Sosialisasi Korban Tindak Kekerasan terhadap anak  </t>
  </si>
  <si>
    <t xml:space="preserve">5.3.3. Pemberian Makanan Tambahan untuk Anak Sekolah (Tumbuh Kembang Anak)  </t>
  </si>
  <si>
    <t xml:space="preserve">5.3.4. Pembentukan forum anak daerah tingkat kabupaten dan distrik (anak SLTP dan SMU/SMK)  </t>
  </si>
  <si>
    <t xml:space="preserve">5.3.5. Fasilitas Bahan Ajar (mainan, buku cerita dan buku-buku lainnya)  </t>
  </si>
  <si>
    <t xml:space="preserve">5.3.6. Revitalisasi dan pembinaan pengurus P2TP2A  </t>
  </si>
  <si>
    <t>5.4. Program keserasian Kebijakan Peningkatan Kualitas Anak dan Perempuan</t>
  </si>
  <si>
    <t xml:space="preserve">5.4.1. Pekan Jambore anak dan remaja tingkat kabupaten dan distrik  </t>
  </si>
  <si>
    <t xml:space="preserve">5.4.2. Magang kota layak anak  </t>
  </si>
  <si>
    <t xml:space="preserve">5.4.3. Pendataan dan pengelola data kelompok anak </t>
  </si>
  <si>
    <t>6.1. Program Peningkatan Produksi Pangan</t>
  </si>
  <si>
    <t xml:space="preserve">6.1.1. Pemanfaatan Pekarangan Untuk Budidaya Sayuran di Kampung Warokon  </t>
  </si>
  <si>
    <t xml:space="preserve">6.1.2. Pemanfaatan Pekarangan Untuk Budidaya Sayuran di Kampung Bijanfouw  </t>
  </si>
  <si>
    <t xml:space="preserve">6.1.3. Pemanfaatan Pekarangan Untuk Budidaya Sayuran di Kampung Tobouw  </t>
  </si>
  <si>
    <t xml:space="preserve">6.1.4. Pemanfaatan Pekarangan Untuk Budidaya Sayuran di Kampung Krisnos </t>
  </si>
  <si>
    <t xml:space="preserve">6.1.5. Pemanfaatan Pekarangan Untuk Budidaya Sayuran di Kampung Syukwes   </t>
  </si>
  <si>
    <t xml:space="preserve">6.1.6. Pemanfaatan Pekarangan Untuk Budidaya Sayuran di Kampung Ruvewes  </t>
  </si>
  <si>
    <t xml:space="preserve">6.1.7. Pemanfaatan Pekarangan Untuk Budidaya Sayuran di Kampung Aibogiar   </t>
  </si>
  <si>
    <t xml:space="preserve">6.1.8. Pemanfaatan Pekarangan Untuk Budidaya Sayuran di Kampung Ayae   </t>
  </si>
  <si>
    <t xml:space="preserve">6.1.9. Pemanfaatan Pekarangan Untuk Budidaya Sayuran di Kampung Siakwa  </t>
  </si>
  <si>
    <t xml:space="preserve">6.1.10.Pemanfaatan Pekarangan Untuk Budidaya Sayuran di Kampung Klasei  </t>
  </si>
  <si>
    <t xml:space="preserve">6.1.11.Pemanfaatan Pekarangan Untuk Budidaya Sayuran di Kampung Thomas  </t>
  </si>
  <si>
    <t xml:space="preserve">6.1.12.Pemanfaatan Pekarangan Untuk Budidaya Sayuran di Kampung Apoki  </t>
  </si>
  <si>
    <t>7. DINAS KEPENDUDUKAN DAN CATATAN SIPIL</t>
  </si>
  <si>
    <t>7.1. Program Penataan Administrasi Kependudukan</t>
  </si>
  <si>
    <t xml:space="preserve">7.1.1. Kegiatan Pernikahan Masal </t>
  </si>
  <si>
    <t xml:space="preserve">7.1.2. Pemutakhiran Data Kependudukan </t>
  </si>
  <si>
    <t xml:space="preserve">7.1.3. Pendistribusian Kartu Keluarga dan Akta Keahiran Gartis  </t>
  </si>
  <si>
    <t>8. DINAS PERIKANAN</t>
  </si>
  <si>
    <t>8.1. Program pengembangan perikanan tangkap</t>
  </si>
  <si>
    <t xml:space="preserve">8.1.1. Pengadaan Jaring Apung  </t>
  </si>
  <si>
    <t xml:space="preserve">8.1.2. Pengadaan Motor Tempel 15PK dan Perahu Fiber Glass  </t>
  </si>
  <si>
    <t xml:space="preserve">8.1.3. Pengadaan Pakan Ikan  </t>
  </si>
  <si>
    <t>9.1. Program Peningkatan Kesejahteraan Petani</t>
  </si>
  <si>
    <t>9.1.1. Pengembangan Tanaman Rambutan</t>
  </si>
  <si>
    <t>9.1.2. Pengembangan Tanaman Kacang Tanah</t>
  </si>
  <si>
    <t xml:space="preserve">9.1.3. Pengembangan Tanaman Padi Ladang  </t>
  </si>
  <si>
    <t xml:space="preserve">9.1.4. Pengembangan Tanaman Durian </t>
  </si>
  <si>
    <t>9.1.5. Pengembangan Tanaman Sirih</t>
  </si>
  <si>
    <t xml:space="preserve">9.1.6. Pengembangan Tanaman Pala  </t>
  </si>
  <si>
    <t xml:space="preserve">9.1.7. Pengembangan Tanaman Pekarangan Pinang Seluas 30 Ha  </t>
  </si>
  <si>
    <t xml:space="preserve">9.1.8. Pengadaan Bibit Tanaman Kelapa  </t>
  </si>
  <si>
    <t>9.2. Program Peningkatan Produksi Pertanian/Perkebunan</t>
  </si>
  <si>
    <t>9.3.  Program Peningkatan Kapasitas Sumber Daya Petani</t>
  </si>
  <si>
    <t xml:space="preserve">9.3.1. Pelatihan Petani Pembuatan Sabun dari Minyak Nilam  </t>
  </si>
  <si>
    <t>9.4.  Program Peningkatan Sarana dan Prasarana Pertanian/perkebunan</t>
  </si>
  <si>
    <t xml:space="preserve">9.4.1. Sosialisasi Kegiatan Alat Penyulingan Minyak Kelapa  </t>
  </si>
  <si>
    <t>10. DINAS PETERNAKAN DAN KESEHATAN HEWAN</t>
  </si>
  <si>
    <t>10.1.  Program Peningkatan Produksi Hasil Peternakan</t>
  </si>
  <si>
    <t xml:space="preserve">10.1.1. Pelatihan Manajemen Usaha Terbak Babi </t>
  </si>
  <si>
    <t xml:space="preserve">10.1.2. Pengembangan Terbak Babi  </t>
  </si>
  <si>
    <t>10.2. Program Peningkatan Produksi  Peternakan</t>
  </si>
  <si>
    <t>10.2.1. Pengembangan Ternak Ayam Kampung</t>
  </si>
  <si>
    <t>11. DINAS KOPERASI,  PERINDUSTRIAN DAN PERDAGANGAN</t>
  </si>
  <si>
    <t>11.1. Program Pengembangan Kewirausahaan dan Keunggulan Kompetitif Usaha Kecil Menengah</t>
  </si>
  <si>
    <t xml:space="preserve">11.1.1. Pelatihan Kewirausahaan Bagi Orang Asli Papua (OAP)  </t>
  </si>
  <si>
    <t>11.2. Program peningkatan efisiensi perdagangan dalam negeri</t>
  </si>
  <si>
    <t xml:space="preserve">11.2.1. Pelatihan Kelembagaan dan Manajemen Usaha Koperasi Bagi Orang Asli Papua (OAP)  </t>
  </si>
  <si>
    <t xml:space="preserve">11.2.2. Penyelenggaraan Sosialisasi Pembentukan Koperasi Baru Bagi Orang Asli Papua (OAP) </t>
  </si>
  <si>
    <t xml:space="preserve">11.2.3. Pembangunan Kantor Koperasi  </t>
  </si>
  <si>
    <t>11.3. Program pembinaan pedagang kakilima dan asongan</t>
  </si>
  <si>
    <t>11.3.1. Bantuan Barang Dagangan Bagi Usaha Kecil OAP (Orang Asli Papua ) 12 Distrik</t>
  </si>
  <si>
    <t>11.3.2. Bantuan Barang Dagangan Gerobak Jualan Bagi Usaha Kecil OAP (Orang Asli Papua )</t>
  </si>
  <si>
    <t>11.3.3. Bantuan Payung Jualan Bagi Usaha Kecil OAP (Orang Asli Papua)</t>
  </si>
  <si>
    <t>11.3.4. Kegiatan Operasi Pasar Murah Desember Distrik Sausapor</t>
  </si>
  <si>
    <t>11.4. Program pengembangan industri kecil dan menengah</t>
  </si>
  <si>
    <t xml:space="preserve">11.4.1. Pelatihan dan Peningkatan Industri Kecil Pembuatan Kue Berbahan Dasar Lokal Distrik Miyah  </t>
  </si>
  <si>
    <t xml:space="preserve">11.4.2. Pelatihan dan Peningkatan Industri  Kecil Pergelasan Distrik Kebar  </t>
  </si>
  <si>
    <t xml:space="preserve">11.4.3. Pelatihan dan Peningkatan Industri Kecil Jahit Menjahit Distrik Mubrani  </t>
  </si>
  <si>
    <t xml:space="preserve">11.4.4. Pelatihan dan Peningkatan Industri Kecil Pembuatan Kue Berbahan Dasar Lokal Distrik Yembun  </t>
  </si>
  <si>
    <t xml:space="preserve">11.4.5. Pelatihan dan Peningkatan Industri Kecil Pembuatan Kue Berbahan Dasar Lokal Distrik Syujak </t>
  </si>
  <si>
    <t xml:space="preserve">11.4.6. Pelatihan dan Peningkatan Industri Kecil Pembuatan Kue Berbahan Dasar Lokal Distrik Amberbaken  </t>
  </si>
  <si>
    <t xml:space="preserve">11.4.7. Pelatihan dan Peningkatan Industri Kecil Jahit Menjahit Distrik Moraid  </t>
  </si>
  <si>
    <t xml:space="preserve">11.4.8. Pelatihan dan Peningkatan Industri Kecil Meubelair Distrik Bamusbama  </t>
  </si>
  <si>
    <t xml:space="preserve">11.4.9. Pelatihan dan Peningkatan Industri Kecil Jahit Menjahit Distrik Kebar  </t>
  </si>
  <si>
    <t>12. INSPEKTORAT</t>
  </si>
  <si>
    <t>12.1. Program Peningkatan Sistem Pengawasan Internal dan Pengendalian Pelaksanaan Kebijakan Kepala Daerah</t>
  </si>
  <si>
    <t>12.1.1. Penanganan Kasus Pengaduan di Lingkungan Pemerintah Daerah</t>
  </si>
  <si>
    <t>12.1.2. Monitoring dan Evaluasi Dana BOS (2 kali/1 tahun)</t>
  </si>
  <si>
    <t>12.1.3. Monitoring dan Evaluasi Dana JKN</t>
  </si>
  <si>
    <t>12.1.4. Monitoring dan Evaluasi Dana Desa (108 kampung di 14 Distrik)</t>
  </si>
  <si>
    <t xml:space="preserve">2.3.5. Penyusunan dan Perumusan Produk Hukum Kesehatan </t>
  </si>
  <si>
    <t>13. BAPPEDA</t>
  </si>
  <si>
    <t>13.1. Program Perencanaan Sosial dan Budaya</t>
  </si>
  <si>
    <t xml:space="preserve">13.1.1. Monitoring dan Evaluasi Penggunaan Dana Otonomi Khusus </t>
  </si>
  <si>
    <t>14. BPKD selaku SKPD</t>
  </si>
  <si>
    <t>14.1. Program Peningkatan Kapasitas Sumebr daya Aparatur</t>
  </si>
  <si>
    <t>14.1.1. Sosialisasi Pelaporan Penyerapan Dana OTSUS</t>
  </si>
  <si>
    <t>14.2.  Program Peningkatan Pengembangan SistemPelaporan Capaian Kinerja dan Keuangan</t>
  </si>
  <si>
    <t>14.15.2.1. Evaluasi dan Pelaporan Dana OTSUS</t>
  </si>
  <si>
    <t>15.  BPKD selaku PPKD</t>
  </si>
  <si>
    <t>15.1. Belanja Bantuan Sosial Kepala Anggota Masyarakat</t>
  </si>
  <si>
    <t>15.1.1. Belanja Bantuan Sosial Kepada Sekolah Anak Indonesia (fungsi pendidikan)</t>
  </si>
  <si>
    <t>15.2. Belanja Bantuan Sosial Kepada Anggota Masyarakat</t>
  </si>
  <si>
    <t>15.2.1. Belanja Bantuan Sosial Kepada Kelompok Masyarakat</t>
  </si>
  <si>
    <t xml:space="preserve">5.3.2. Sosialisasi Pengaruh Dunia Luar terhadap Anak Pribumi (seks bebas dan NAPZA)  </t>
  </si>
  <si>
    <t xml:space="preserve">11.1.2. Penyelenggaraan Pelatihan Pemasaran Bagi Orang Asli Papua (OAP)  </t>
  </si>
  <si>
    <t>7.4.3. Pembinaan dan Pelayanan Anggota Veteran</t>
  </si>
  <si>
    <t>7.4.4. Keluarga Harapan (PKH)</t>
  </si>
  <si>
    <t>21. DINAS  TRANSMIGRASI  DAN  TENAGA  KERJA</t>
  </si>
  <si>
    <t xml:space="preserve">41.1.2. Belanja Hibah Kepada Badan/Lembaga/Organisasi Keagamaan </t>
  </si>
  <si>
    <t>10.2.1. Pengkajian Dampak Lingkungan</t>
  </si>
  <si>
    <t xml:space="preserve">3.2.1. Pelayanan Kesehatan Masyarakat </t>
  </si>
  <si>
    <t>7.  DINAS SOSIAL</t>
  </si>
  <si>
    <t>41.1.3. Hibah Belanja BPJS Kesehatan</t>
  </si>
  <si>
    <t>41.2.1. Belanja Bantuan Berobat Kepada Masyarakat</t>
  </si>
  <si>
    <t xml:space="preserve">1.1.4  Pembanguanan Gedung Kantor Guru TK Pembina Bintuni </t>
  </si>
  <si>
    <t>1.1.5  Pembagunan MCK Siswa beserta sanitari TK Pembina Bintuni</t>
  </si>
  <si>
    <t>1.1.6  Pembagunan pagar Pengaman sekolah TK Pembina Bintuni</t>
  </si>
  <si>
    <t>1.1.8. Pembangunan 2 RKB PAUD Sara Distrik Kaitaro</t>
  </si>
  <si>
    <t>1.1.9. Rehabilitasi Berat TK Cenderawasih Stenkol 3</t>
  </si>
  <si>
    <t>1.1.10. Pembangunan Rumah Guru TK Negeri Jagiro</t>
  </si>
  <si>
    <t>1.1.11. Pengadaan Permainan Edukatif untuk Murid PAUD</t>
  </si>
  <si>
    <t>1.1.12. Pengadan Meubelair TK Pembina Bintuni</t>
  </si>
  <si>
    <t>1.1.14.Pengadaan Meubelair PAUD Sara Distrik Kaitaro</t>
  </si>
  <si>
    <t>1.1.13  Pengadaan Meubelair 2 ruang PAUD Sara</t>
  </si>
  <si>
    <t xml:space="preserve">1.3.4  Pembangunan (Relokasi) 3 Ruang Kelas SMP Muhammadiyah Bintuni </t>
  </si>
  <si>
    <t>1.4.1  Pendidikan SMK Migas Cepu</t>
  </si>
  <si>
    <t>1.4.2  Pendidikan Seminari Sorong</t>
  </si>
  <si>
    <t>1.5. Program Pendidikan Tinggi</t>
  </si>
  <si>
    <t>1.5.2. Penyediaan Biaya Pendidikan ADIK dan ADEM</t>
  </si>
  <si>
    <t>1.5.4. Penyelenggaran Operasional Lembaga Taman Baca</t>
  </si>
  <si>
    <t>1.5.5. Penyelenggaran Operasional Lembaga PKBM</t>
  </si>
  <si>
    <t>1.5.7. Penyelenggaran Operasional Lembaga Kursus</t>
  </si>
  <si>
    <t>1.5.6. Penyelenggaran Operasional Kelompok Belajar Keaksaraan Dasar dan KUM</t>
  </si>
  <si>
    <t>6. DINAS PEMBERDAYAAN PEREMPUAN, PERLINDUNGAN ANAK DAN KB</t>
  </si>
  <si>
    <t>8.1.2. Belanja Bantuan BOP Sekolah Swasta (PAUD, TK, SD, SMP)</t>
  </si>
  <si>
    <t>1.1.7. Pembangunan (relokasi) 3 RKB TK Pembina Bintuni</t>
  </si>
  <si>
    <t>2.2.10. Peningkatan Pelayanan Puskesmas/Puskesmas Pembantu Tofoi</t>
  </si>
  <si>
    <t>2.1.2. Penyediaan jasa Pegawai Non PNS (Perawat, Dokter, Bidan, Dll)</t>
  </si>
  <si>
    <t>1.4. Program Pendidikan Usia Dini dan DIKMAS</t>
  </si>
  <si>
    <t xml:space="preserve">1.4.10. Penyelenggaraan Ujian Nasional Kesetaraan Paket A dan B </t>
  </si>
  <si>
    <t xml:space="preserve">1.4.11. penyelenggaraan Ujian Nasional Kesetraan Paket C </t>
  </si>
  <si>
    <t xml:space="preserve">1.7.7. Diklat Pengawas SD dan SMP  </t>
  </si>
  <si>
    <t xml:space="preserve">1.7.8. Diklat Kepala Sekolah SD  </t>
  </si>
  <si>
    <t xml:space="preserve">1.7.9.Diklat Kepala Sekolah SMP </t>
  </si>
  <si>
    <t xml:space="preserve">1.7.10.Penataan Kearsipan Tenaga Pendidik  </t>
  </si>
  <si>
    <t>1.7.11. pembangunan Pagar dan Penataan  Halaman Asrama Mahasiswa di Jayapura</t>
  </si>
  <si>
    <t xml:space="preserve">1.10.10.Diklat Pengembangan SOP Dinas Pendidikan  </t>
  </si>
  <si>
    <t>5.3.3. Pengadaan Tanah TPA Ayom</t>
  </si>
  <si>
    <t>5.3.4. Perencanaan Pembangunan TPA Ayom</t>
  </si>
  <si>
    <t xml:space="preserve">6.3.1. Pembangunan Mesjid Raya Waisai </t>
  </si>
  <si>
    <t xml:space="preserve">1.10.11. Peningkatan Kompentensi Tenaga Administrasi Dinas Pendidikan dan Kebudayaan   </t>
  </si>
  <si>
    <t>19. DINAS TENAGA KERJA DAN TRANSMIGRASI</t>
  </si>
  <si>
    <t>19.1.1.Pengadaan Blanko/Kartu Pencari Kerja</t>
  </si>
  <si>
    <t>19.2. Program Peningkatan Pengembangan Sistem Pelaporan Capaian Kinerja dan Keuangan</t>
  </si>
  <si>
    <t>19.2.1.Penyusunan Renja dan Lakip</t>
  </si>
  <si>
    <t>19.3. Program Pelatihan Tenaga Kerja Mandiri</t>
  </si>
  <si>
    <t>19.3.1.Pelatihan Dasar Operator Perkantoran</t>
  </si>
  <si>
    <t>20. DINAS PENANAMAN MODAL DAN PELAYANAN TERPADU SATU PINTU</t>
  </si>
  <si>
    <t>20.1. Program Peningkatan Kapasitas Sumber Daya Aparatur</t>
  </si>
  <si>
    <t>20.1.1. Penyusunan Profil Investasi Daerah</t>
  </si>
  <si>
    <t>20.1.2. Penyusunan PERDA / PERBUP Izin Tertentu</t>
  </si>
  <si>
    <t>21. SEKRETARIAT DAERAH</t>
  </si>
  <si>
    <t>21.1. Program Peningkatan Sarana dan Prasarana Aparatur</t>
  </si>
  <si>
    <t>21.1.1. Rehab Kantor Kepala Kampung Lilinta</t>
  </si>
  <si>
    <t>21.2. Program Penunjang Roda Pemerintahan</t>
  </si>
  <si>
    <t>21.2.1. Sosialisasi UU 23 tahun 2014</t>
  </si>
  <si>
    <t>21.2.2. Kunker Bupati pada Distrik dan Kampung</t>
  </si>
  <si>
    <t>21.2.3. Perbaikan Balai Desa Kampung Atkari</t>
  </si>
  <si>
    <t>21.3. Program Peningkatan Kapasitas Sumber Daya Aparatur</t>
  </si>
  <si>
    <t>21.3.1. Rapat Kerja Bupati</t>
  </si>
  <si>
    <t>21.4. Program Peningkatan Kapasitas Kelembagaan Pemerintahan Daerah</t>
  </si>
  <si>
    <t>21.4.1. Penyelesian Konflik Pemerintahan Kampung</t>
  </si>
  <si>
    <t>21.5. Program Penegasan dan Pemasangan Batas Wilayah</t>
  </si>
  <si>
    <t>21.5.1. Penamaan Rupa Bumi (Lanjutan)</t>
  </si>
  <si>
    <t>21.5.2. Penataan Tapal Batas Administrasi Kampung</t>
  </si>
  <si>
    <t>21.5.3. Penataan Tapal Batas Administrasi Kabupaten</t>
  </si>
  <si>
    <t>1. DINAS PENDIDIKAN, PEMUDA DAN OLAH RAGA</t>
  </si>
  <si>
    <t>4. DINAS PEKERJAAN UMUM DAN PENATAAN RUANG</t>
  </si>
  <si>
    <t>5. DINAS PERTANAHAN, PERUMAHAN DAN KAWASAN PEMUKIMAN</t>
  </si>
  <si>
    <t>7. DINAS PERTANIAN DAN KETAHANAN PANGAN</t>
  </si>
  <si>
    <t>8. DINAS PERTANIAN DAN KETAHANAN PANGAN</t>
  </si>
  <si>
    <t>11. DNAS PEMBERDAYAAN MASYARAKAT DESA</t>
  </si>
  <si>
    <t>12. DINAS SOSIAL, PENGENDALIAN PENDUDUK DAN KELUARGA BERENCANA</t>
  </si>
  <si>
    <t>13. DINAS KEPENDUDUKAN DAN PENCATATAN SIPIL</t>
  </si>
  <si>
    <t>13.1. Program Penataan Administrasi Kependudukan</t>
  </si>
  <si>
    <t>13.1.1. Pelayanan Perekaman Mobile e-KTP Bagi Masyarakt 7 Distrik</t>
  </si>
  <si>
    <t>16. BAPPEDA, PENELITIAN DAN PENGEMBANGAN</t>
  </si>
  <si>
    <t>2.2.  Program Obat Pembekalan Masyarakat</t>
  </si>
  <si>
    <t xml:space="preserve">2.2.1. Pengawasan Obat, Makanan dan Minuman  </t>
  </si>
  <si>
    <t xml:space="preserve">2.2.2. Pengadaan Susu Ibu Hamil dan Menyusui  </t>
  </si>
  <si>
    <t xml:space="preserve">2.2.3. Pengawasan dan Pemeriksaan Air Isi Ulang Depot  </t>
  </si>
  <si>
    <t xml:space="preserve">2.2.4. Biaya Distribusi Obat  </t>
  </si>
  <si>
    <t>2.3. Program Peningkatan Pengembangan Sistem Pelaporan capaian Kinerja dan Keuangan</t>
  </si>
  <si>
    <t xml:space="preserve">2.3.1. Penyusunan Renja dan Lakip  </t>
  </si>
  <si>
    <t xml:space="preserve">2.3.2. Dukungan Operasional Tim Nusantara Sehat Kemenkes  </t>
  </si>
  <si>
    <t xml:space="preserve">2.3.3. Pembuatan Website Dinas Kesehatan </t>
  </si>
  <si>
    <t xml:space="preserve">2.3.4. Penyusunan Profil Kesehatan Tahunan </t>
  </si>
  <si>
    <t>2.4. Program Pengadaan Peningkatan dan Perbaikan sarana dan Prasarana beserta jaringannya</t>
  </si>
  <si>
    <t xml:space="preserve">2.4.1. Rehabilitasi Puskesmas di Distrik Wawarbomi  </t>
  </si>
  <si>
    <t xml:space="preserve">2.4.2. Rehabilitasi Puskesmas di Distrik Waibar Daratan  </t>
  </si>
  <si>
    <t xml:space="preserve">2.4.3. Rehabilitasi Puskesmas di Distrik Waigeo Utara </t>
  </si>
  <si>
    <t xml:space="preserve">2.4.4. Rehabilitasi Puskesmas di Distrik Teluk Manyalibit  </t>
  </si>
  <si>
    <t xml:space="preserve">2.4.5. Rehabilitasi Pustu di Mutus  </t>
  </si>
  <si>
    <t xml:space="preserve">2.4.6. Rehabilitasi Pustu di Yenbeser  </t>
  </si>
  <si>
    <t xml:space="preserve">2.4.7. Rehabilitasi Pustu di Beo  </t>
  </si>
  <si>
    <t xml:space="preserve">2.4.8. Rehabilitasi Pustu di Mnier  </t>
  </si>
  <si>
    <t xml:space="preserve">2.4.9. Rehabilitasi Pustu di Aduwei  </t>
  </si>
  <si>
    <t xml:space="preserve">2.4.10.Pembangunan Polindes di Wauyai  </t>
  </si>
  <si>
    <t xml:space="preserve">2.4.11.Pembangunan Polindes di Kabilol  </t>
  </si>
  <si>
    <t xml:space="preserve">2.4.12.Pembangunan Puskesmas di Go  </t>
  </si>
  <si>
    <t xml:space="preserve">2.4.13.Pembangunan Perumahan Tenaga Medis di Go </t>
  </si>
  <si>
    <t xml:space="preserve">2.4.14.Pembangunan Puskesmas di Yensawai  </t>
  </si>
  <si>
    <t xml:space="preserve">2.4.15.Pembangunan Perumahan Tenaga Medis di Yensawai  </t>
  </si>
  <si>
    <t xml:space="preserve">2.4.16.Pengadaan Meubelair Puskesmas  </t>
  </si>
  <si>
    <t xml:space="preserve">2.4.17.Pematangan Rumah Dokter  </t>
  </si>
  <si>
    <t xml:space="preserve">2.4.18.Pengadaan Solar Cell (RSUD)  </t>
  </si>
  <si>
    <t xml:space="preserve">2.4.19.Pembangunan Gedung Serba Guna (AULA)  </t>
  </si>
  <si>
    <t xml:space="preserve">2.4.20.Pengadaan Sarana Media KIE  </t>
  </si>
  <si>
    <t xml:space="preserve">2.4.21.Pengadaan Alat Penghancur Jarum Suntik (WELDER)  </t>
  </si>
  <si>
    <t xml:space="preserve">2.4.22.Riagent Ripitest One Step HIV 1/2 Tes Bio Line SDHIV - 1/2 3.0 (Multi)  </t>
  </si>
  <si>
    <t xml:space="preserve">2.4.23.Pembangunan Polindes  </t>
  </si>
  <si>
    <t xml:space="preserve">2.4.24.Pembangunan Rumah Tenaga Kesehatan (RSUD)  </t>
  </si>
  <si>
    <t xml:space="preserve">2.4.25.Rehabilitasi Puskesmas di Distrik Supnin  </t>
  </si>
  <si>
    <t xml:space="preserve">2.4.26.Pembangunan Polindes Saporkren  </t>
  </si>
  <si>
    <t xml:space="preserve">2.4.27.Rehabilitasi pustu di meosbekwan  </t>
  </si>
  <si>
    <t xml:space="preserve">2.4.28.Optimalisasi Sarana dan Prasarana Puskesmas Persiapan Akreditasi  </t>
  </si>
  <si>
    <t>2.5. Program Peningkatan Pelayanan Kesehatan Anak Balita</t>
  </si>
  <si>
    <t xml:space="preserve">2.5.1. Pengadaan Susu Formula Bayi dan Lanjutan  </t>
  </si>
  <si>
    <t xml:space="preserve">2.5.2. Pengadaan Makanan Pengganti ASI Bagi Bayi dan Balita  </t>
  </si>
  <si>
    <t xml:space="preserve">2.5.4. Pendampingan Bayi/ balita Bermasalah Gizi dan bumil KEK  </t>
  </si>
  <si>
    <t xml:space="preserve">2.5.3. Pengadaan Makanan Tambahan Balita Kurus dan Bumil KEK </t>
  </si>
  <si>
    <t>2.6. Program Pencegahan dan Penanggulangan Penyakit (Menular)</t>
  </si>
  <si>
    <t xml:space="preserve">2.6.1. Pemeliharaan rantai dingin vaksin dan operasional gudang vaksin Dinkes  </t>
  </si>
  <si>
    <t xml:space="preserve">2.6.2. Pelaksanaan Bulan Imunisasi Anak Sekolah (BIAS)  </t>
  </si>
  <si>
    <t xml:space="preserve">2.6.3. Skrinning Maternal Neonatal Tetanus Eliminasi (MNTE)  </t>
  </si>
  <si>
    <t xml:space="preserve">2.6.4. Pelacakan Penderita, Pengambilan dan pengiriman Sampel AFP </t>
  </si>
  <si>
    <t xml:space="preserve">2.6.5. Pelaksanaan Kampanye Germas tentang perilaku hidup bersih dan sehat (PHBS)  </t>
  </si>
  <si>
    <t xml:space="preserve">2.6.6. Wrkshop Koordinator Imunisasi (Korim) Dalam Pencapaian Desa UCI  </t>
  </si>
  <si>
    <t xml:space="preserve">2.6.7. Pelaksanaan DOFU (Drop Up Follow Up) atau ORI (Out Break Response) Dalam Menangani Kejadian Luar Biasa  </t>
  </si>
  <si>
    <t xml:space="preserve">2.6.8. Skrining HIV dengan Pendekatan Sindrome </t>
  </si>
  <si>
    <t xml:space="preserve">2.6.10.Penyemprotan Rumah Penduduk </t>
  </si>
  <si>
    <t>1.1.1. Penyediaan Operasional Lembaga PAUD (Satuan PAUD sejenis)</t>
  </si>
  <si>
    <t>pagu</t>
  </si>
  <si>
    <t>alokasi pendidikan</t>
  </si>
  <si>
    <t>HIBAH FAK KEDOKTERAN UNIPA</t>
  </si>
  <si>
    <t>alokasi kesehatan</t>
  </si>
  <si>
    <t>PERMINTAAN PENYALURAN THP II</t>
  </si>
  <si>
    <t>PERMINTAAN PENYALURAN THP I</t>
  </si>
  <si>
    <t>11.1.2. Pelatihan Akuntansi Dasar Satgas Koperasi bagi OAP</t>
  </si>
  <si>
    <t>%</t>
  </si>
  <si>
    <t>REKAPITULASI ALOKASI DAN REALISASI PENGGUNAAN DANA TAMBAHAN INFRASTRUKTUR</t>
  </si>
  <si>
    <t xml:space="preserve"> DIURAIKAN BERDASARKAN, ORGANISASI, PROGRAM/KEGIATAN  </t>
  </si>
  <si>
    <t xml:space="preserve"> TAHUN ANGGARAN 2019</t>
  </si>
  <si>
    <t xml:space="preserve">PROVINSI            : PAPUA BARAT  </t>
  </si>
  <si>
    <t>PENERIMAAN      : Rp.1.440.553.463.000,00.</t>
  </si>
  <si>
    <t>Tabel A.10</t>
  </si>
  <si>
    <t>CAPAIAN OUTPUT                     (%)</t>
  </si>
  <si>
    <t>CAPAIAN OUTPUT                   (%)</t>
  </si>
  <si>
    <t>Dinas Pekerjaan Umum dan Penataan Ruang</t>
  </si>
  <si>
    <t>1.1. Program Peningkatan Jalan &amp; Jembatan</t>
  </si>
  <si>
    <t>1.1.1. Peningkatan Jalan Arfai - Pami (Kab. Manokwari)</t>
  </si>
  <si>
    <t>1.1.2. Peningkatan Jalan Batas Kota Pegaf - Menyambouw (Kab. Pegaf)</t>
  </si>
  <si>
    <t>1.1.3. Peningkatan Jalan Drs. Dominggus Mandacan (Kab. Pegunungan Arfak)</t>
  </si>
  <si>
    <t>1.1.4. Peningkatan Jalan SP2-SP1 - Tomage (Kab. Fakfak)</t>
  </si>
  <si>
    <t>1.1.5. Peningkatan Jalan Kayuni - Teluk  Patipi (Kab. Fakfak)</t>
  </si>
  <si>
    <t>1.1.6. Peningkatan Jalan Weri - Sangram (Kab. Fakfak)</t>
  </si>
  <si>
    <t>1.1.7. Penigkatan Ruas Jalan Teluk Patipi - Sipatnanam (Kab. Fakfak)</t>
  </si>
  <si>
    <t>1.1.8. Peningkatan Jalan Ayamaru-Sauf- Wehali - Batas Kab. Sorsel (Kab. Maybrat)</t>
  </si>
  <si>
    <t>1.1.9. Peningkatan Jalan Ruas Selewok - Baun (Kab. Tambrauw)</t>
  </si>
  <si>
    <t>1.1.10.Peningkatan Jalan Batas Kota Pegaf-Batas Kab. Mansel (Kab. Pegaf)</t>
  </si>
  <si>
    <t>1.1.11.Peningkatan Jalan Mega - Sausafor Kab. Tambrauw</t>
  </si>
  <si>
    <t>1.1.12.Peningkatan Jalan Sogun -  Soribo (Kab. Manokwari)</t>
  </si>
  <si>
    <t>1.1.13.Peningkatan Jalan Perkantoran Mapolda Papua Barat</t>
  </si>
  <si>
    <t>1.1.14.Peningkatan Jalan Batas Kabupaten Pegaf-Manyambouw (Kab. Pegaf)</t>
  </si>
  <si>
    <t>1.1.15.Peningkatan Jalan Batas Kab. Masel -Batas Kota Pegaf (Kab. Pegaf)</t>
  </si>
  <si>
    <t>1.1.16.Peningkatan Jalan Maripi-SP1 (Kab. Manokwari)</t>
  </si>
  <si>
    <t xml:space="preserve">1.1.17.Peningkatan Jalan Soribo Manokwari </t>
  </si>
  <si>
    <t>1.1.18.Peningkatan Jalan SP5 - Sibuni (Kab. Manokwari)</t>
  </si>
  <si>
    <t>1.1.19.Peningkatan Jalan Masni- Sibuni (Kab. Manokwari)</t>
  </si>
  <si>
    <t>1.1.20.Peningkatan Jalan Batas Kota Manokwari - Sibuni (Kab. Manokwari)</t>
  </si>
  <si>
    <t>1.1.21.Peningkatan Jalan Yopenggar - Batas Kota Rasiei (Kab. Tel. Wondama)</t>
  </si>
  <si>
    <t xml:space="preserve">1.1.22.Peningkatan Jalan Baun - Selewok </t>
  </si>
  <si>
    <t>1.1.23.Peningkatan Jalan SP5 - Masni (Kab. Manokwari)</t>
  </si>
  <si>
    <t>1.1.25.Peningkatan Jalan Konja Seya (Maybrat) - Ases Fef (Tambrauw)</t>
  </si>
  <si>
    <t>1.1.26.Peningkatan Jalan Meyah - Feef (Kab. Tambrauw)</t>
  </si>
  <si>
    <t>1.1.27.Peningkatan Jalan Wasior - Rasiei (Kab. Tel. Wondama)</t>
  </si>
  <si>
    <t>1.1.28.Peningkatan Jalan dalam Kota di Kabupaten Manokwari Selatan</t>
  </si>
  <si>
    <t>1.1.29.Peningkatan Jalan Tofot - Haha (Kakas - Klabot) (Kab. Sorong Selatan)</t>
  </si>
  <si>
    <t>1.1.30.Peningkatan Jalan Kampung Andai (Kab. Manokwari)</t>
  </si>
  <si>
    <t>1.1.31.Peningkatan Jalan Kodam XVIII Kasuari (Kab. Manokwari)</t>
  </si>
  <si>
    <t>1.1.32.Peningkatan Jalan  Mogoy - Mardey (Kab. Tel. Bintuni)</t>
  </si>
  <si>
    <t>1.1.34.Peningkatan Jalan Keyen - Boldon - Sesor (Sorong Selatan)</t>
  </si>
  <si>
    <t>1.1.35.Peningkatan Jalan Aimas - Klamalu (Kab.Sorong)</t>
  </si>
  <si>
    <t>1.1.36.Peningkatan Jalan Keyen - Boldon - Batas Kab. Sorong Selatan (Kab. Sorong Selatan)</t>
  </si>
  <si>
    <t>1.2. Program pembangunan jalan dan jembatan</t>
  </si>
  <si>
    <t>1.2.1. Pembangunan Jalan Dataran Bemes - Pegaf (Kab. Pegaf)</t>
  </si>
  <si>
    <t>1.2.2. Pembangunan Jalan Wombu -Undurara (Kab. Tel. Wondama)</t>
  </si>
  <si>
    <t>1.2.4. Pembangunan Jalan Kampung Buk - Batu Panyung (Kab. Sorong)</t>
  </si>
  <si>
    <t>1.2.5. Pembangunan Jalan Katapop Pantai - Pelabuhan Seget (KEK) (Kota Sorong)</t>
  </si>
  <si>
    <t>1.2.6. Pembangunan Jalan Ayamaru - Fatigome (Kab. Maybrat)</t>
  </si>
  <si>
    <t>1.2.7. Pembangunan Jalan Windesi - Werianggi - Idor (Idor - Leunsy - Bintuni) (Kab. Tel. Wondama)</t>
  </si>
  <si>
    <t>1.2.8. Pembangunan Jalan Drs. Dominggus Mandacan (Sowi Gunung) (Kab. Manokwari)</t>
  </si>
  <si>
    <t>1.2.9. Pembangunan Jembatan Sumber Boga CS Distrik Masni (Kab. Manokwari)</t>
  </si>
  <si>
    <t>1.3. Program pembangunan turap/talud/bronjong</t>
  </si>
  <si>
    <t xml:space="preserve">1.3.1. Pengaman Abrasi Pantai Kolam Sisir, Kampung Marsi </t>
  </si>
  <si>
    <t>1.3.2. Pengaman Abrasi Pantai Tanjung Kasuari (Kota Sorong)</t>
  </si>
  <si>
    <t>1.3.4. Pembangunan Pengamanan Abrasi Pantai Werabuan Distrik Wartutin (Kab. Fakfak)</t>
  </si>
  <si>
    <t>1.3.5. Pembangunan Abrasi Pantai Oransbari (Kab. Mansel)</t>
  </si>
  <si>
    <t>1.3.6. Pembangunan Pengaman Abrasi Pantai Andair (Kab. Kaimana)</t>
  </si>
  <si>
    <t>1.3.7. Pembangunan Pengaman Abrasi Pantai Pasir Panjang (Kab. Kaimana)</t>
  </si>
  <si>
    <t>1.3.8. Pembangunan Pengaman Abrasi Pantai Kampung Namatota (Kab. Kaimana)</t>
  </si>
  <si>
    <t>1.4. Program rehabilitasi/pemeliharaan jalan dan jembatan</t>
  </si>
  <si>
    <t>1.4.1. Pemeliharaan Jalan Provinsi Kab. Pegunungan Arfak</t>
  </si>
  <si>
    <t>1.4.2. Pemeliharaan Jalan Provinsi Kab. Manokwari Selatan</t>
  </si>
  <si>
    <t>1.4.3. Pemeliharaan Jalan Provinsi Kab. Kaimana</t>
  </si>
  <si>
    <t>1.4.4. Pemeliharaan Jalan Provinsi Kab. Manokwari</t>
  </si>
  <si>
    <t>1.4.5. Pemeliharaan Jalan Provinsi Kab. Sorong dan Kota Sorong</t>
  </si>
  <si>
    <t>1.4.6. Pemeliharaan Jalan Provinsi Kab. Sorong Selatan</t>
  </si>
  <si>
    <t>1.4.7. Pemeliharaan Jalan Provinsi Kab. Raja Ampat</t>
  </si>
  <si>
    <t>1.4.8. Pemeliharaan Jalan Provinsi Kab. Fakfak</t>
  </si>
  <si>
    <t>1.4.9. Pemeliharaan Jalan Provinsi Kab. Teluk Wondama</t>
  </si>
  <si>
    <t>1.4.10.Pemeliharaan Jalan Provinsi Kab. Teluk Bintuni</t>
  </si>
  <si>
    <t>1.4.11.Pemeliharaan Jalan Provinsi Kab. Maybrat</t>
  </si>
  <si>
    <t>1.4.12.Pemeliharaan Jalan Provinsi Kab.Tambrauw</t>
  </si>
  <si>
    <t>1.5. Program Pengembangan dan Pengelolaan Jaringan Irigasi, Rawa dan Jaringan Pengairan lainnya</t>
  </si>
  <si>
    <t>1.5.1. Rehabilitasi Jaringan Irigasi D.I Prafi (Distrik Masni) (Kab. Manokwari)</t>
  </si>
  <si>
    <t>1.5.2. Rehabilitasi Jaringan Irigasi D.I Muturi (kab. Tel. Bintuni)</t>
  </si>
  <si>
    <t>1.5.3. Rehabilitasi Jaringan Irigasi D.I Moswaren (Kab. Sorsel)</t>
  </si>
  <si>
    <t>1.6.  Program Pengembangan Kinerja Pengelolaan Air Minum dan Air Limbah</t>
  </si>
  <si>
    <t>1.6.1. Pembangunan SPAM Kabupaten Manokwari Selatan</t>
  </si>
  <si>
    <t>1.6.2. Pembangunan SPAM Kabupaten Pegunungan Arfak</t>
  </si>
  <si>
    <t>1.6.3. Pembangunan SPAM Kabupaten Tambrauw</t>
  </si>
  <si>
    <t>1.6.4. Pembangunan SPAM Kabupaten Fakfak</t>
  </si>
  <si>
    <t>1.6.5. Pembangunan SPAM Kabupaten Teluk Wondama</t>
  </si>
  <si>
    <t>1.6.6. Pembangunan SPAM Kabupaten Sorong Selatan</t>
  </si>
  <si>
    <t>1.6.7. Pembangunan SPAM Kabupaten Maybrat (Kmurkek)</t>
  </si>
  <si>
    <t>1.6.8. Pembangunan SPAM Kabupaten Sorong</t>
  </si>
  <si>
    <t>1.6.9. Pembangunan SPAM IKK Distrik Aifat Selatan (Kampung Sorry) Kabupaten Mabyrat</t>
  </si>
  <si>
    <t>1.6.10.Pembangunan SPAM SR Sowi Gunung Kab. Manokwari</t>
  </si>
  <si>
    <t>1.7. Program Pengendalian Banjir</t>
  </si>
  <si>
    <t>1.7.1. Normalisasi Sungai Macuan SP V Masni (Kab. Manokwari)</t>
  </si>
  <si>
    <t>1.7.2. Normalisasi Sungai Sinifagu (Kab. Sorong)</t>
  </si>
  <si>
    <t>1.7.3. Normalisasi Sungai Sakartemen (Kab.Fakfak)</t>
  </si>
  <si>
    <t>1.7.4. Normalisasi Kali Mati Ransiki (Kab. Mansel)</t>
  </si>
  <si>
    <t>1.7.5. Normalisasi Sungai Isait Kampung Kokas Distrik Aifat Kabupaten Maybrat</t>
  </si>
  <si>
    <t>1.7.6. Normalisasi Kali Waimop Suapen Perkebunan Kelurahan Manokwari Barat Kab. Manokwari</t>
  </si>
  <si>
    <t>1.7.7. Normalisasi Sungai Doros (Kab. Sorsel)</t>
  </si>
  <si>
    <t>1.7.8. Normalisasi Sungai Wemair (Kab.Maybrat)</t>
  </si>
  <si>
    <t>1.7.9. Normalisasi Sungai Komawlin (Sorong Selatan)</t>
  </si>
  <si>
    <t>1.7.10.Normalisasi Sungai Andai Kampung Buton (Kab. Manokwari)</t>
  </si>
  <si>
    <t>1.7.11.Normalisasi Sungai Bomberai Tahap II (Kab. Fakfak)</t>
  </si>
  <si>
    <t>1.7.12.Normalisasi Sungai Wosi Tahap 6 (Kab. Manowari)</t>
  </si>
  <si>
    <t>1.7.13.Normalisasi Kali Marampa (Kab. Manokwari)</t>
  </si>
  <si>
    <t>1.8. Program Perencanaan dan Pengawasan Teknis Pengembangan dan Pengelolaan Jaringan Irigasi, Rawa dan Jaringan Pengairan lainnya</t>
  </si>
  <si>
    <t>1.9. Program Penataan Bangunan Gedung</t>
  </si>
  <si>
    <t>1.9.1. Pembangunan Gedung Darma Wanita Provinsi Papua Barat Tahap IV</t>
  </si>
  <si>
    <t xml:space="preserve"> 1.9.2. Pembangunan Tower BTS Rumah Jabatan Polda Papua Barat</t>
  </si>
  <si>
    <t>1.9.3.  Pembangunan Perumahan Sogun Permai Manokwari (Subsidi FLPP)</t>
  </si>
  <si>
    <t>1.9.4. Pembangunan Sumur Bor Moswaren (Kab. Manokwari)</t>
  </si>
  <si>
    <t>1.10. Program Penyehatan Lingkungan Permukiman</t>
  </si>
  <si>
    <t>1.10.1. Pembangunan Jalan Lingkungan Kabupaten Manokwari</t>
  </si>
  <si>
    <t>1.10.2. Pembangunan Jalan Lingkungan Kabupaten Manokwari Selatan</t>
  </si>
  <si>
    <t>1.10.3. Pembangunan Jalan Lingkungan  Kabupaten Pegunungan Arfak</t>
  </si>
  <si>
    <t>1.10.4. Pembangunan Jalan Lingkungan  Kabupaten Raja Ampat</t>
  </si>
  <si>
    <t>1.10.5. Pembangunan Jalan Lingkungan  Kabupaten Tambrauw</t>
  </si>
  <si>
    <t>1.10.6. Pembangunan Jalan Lingkungan  Kabupaten Fakfak</t>
  </si>
  <si>
    <t>1.10.7. Pembangunan Jalan Lingkungan  Kabupaten Kaimana</t>
  </si>
  <si>
    <t>1.10.8. Pembangunan Jalan Lingkungan  Kabupaten Teluk Wondama</t>
  </si>
  <si>
    <t>1.10.9. Pembangunan Jalan Lingkungan  Kabupaten Teluk Bintuni</t>
  </si>
  <si>
    <t>1.10.10.Pembangunan Jalan Lingkungan  Kabupaten Sorong Selatan</t>
  </si>
  <si>
    <t>1.10.11.Pembangunan Jalan Lingkungan  Kabupaten Maybrat</t>
  </si>
  <si>
    <t>1.10.12.Pembangunan Jalan Lingkungan  Kabupaten Sorong</t>
  </si>
  <si>
    <t>1.10.13.Pembangunan Jalan Lingkungan  Kota Sorong</t>
  </si>
  <si>
    <t>1.10.14.Pembangunan Jalan Lingkungan  Marampa Manokwari</t>
  </si>
  <si>
    <t>1.10.15.Pembangunan Rumah Layak Huni Bagi Orang Asli Papua (OAP)</t>
  </si>
  <si>
    <t>1.10.16.Pembangunan Drainase RT.02/RW.02 Kalurahan Amban (Kab. Manokwari)</t>
  </si>
  <si>
    <t>1.10.17.Pembangunan Drainase Reremi Puncak (Kab. Manokwari)</t>
  </si>
  <si>
    <t>1.10.18.Pembangunan Drainase Jalan Poros Teminabuan (Kab. Sorsel)</t>
  </si>
  <si>
    <t>1.10.19.Peningkatan Jalan Poros Desa Bariat - Konda Kab. Sorong Selatan</t>
  </si>
  <si>
    <t>1.10.20.Pembangunan Jalan Kampung Eles - Fsi Kab. Sorong Selatan</t>
  </si>
  <si>
    <t>1.10.21.Pembangunan Jalan Lingkungan Kampung Wersar Kab. Sorong Selatan</t>
  </si>
  <si>
    <t>1.10.22.Pembangunan Jalan Lingkungan Kampung Eles Kab. Sorong Selatan</t>
  </si>
  <si>
    <t>1.10.23.Normalisasi Saluran  Drainase Kelurahan Malengkedi Kota Sorong</t>
  </si>
  <si>
    <t>1.10.24.Pembangunan Drainase KM.10 Masuk Kampung Bugis Kelurahan Matamalagi Kota Sorong</t>
  </si>
  <si>
    <t>1.11. Program Perencanaan dan Pengawasan Jalan</t>
  </si>
  <si>
    <t>1.11.1. Core Team Pengawasan</t>
  </si>
  <si>
    <t>1.11.2. Perencanaan Teknik Jalan dan Jembatan</t>
  </si>
  <si>
    <t>Dinas Perhubungan</t>
  </si>
  <si>
    <t>2.1.1. Pengadaan peralatan gedung kantor</t>
  </si>
  <si>
    <t>2.2. Program Peningkatan Pelayanan Angkutan Jalan</t>
  </si>
  <si>
    <t>2.2.1. Pembangunan Pool Bus Perintis (Kota Sorong)</t>
  </si>
  <si>
    <t>2.2.2. Pembangunan Pool Bus BRT Tahap IV (Kota Sorong)</t>
  </si>
  <si>
    <t>2.2.3. Pengadaan dan Pembangunan Shelter Bus BRT Portable (Kota Sorong)</t>
  </si>
  <si>
    <t>2.3. Program Peningkatan Prasarana Perhubungan Laut (Pelayaran)</t>
  </si>
  <si>
    <t>2.3.1. DED Pelabuhan (Kab. Tel. Bintuni, Kab. Raja Ampat)</t>
  </si>
  <si>
    <t>2.3.2. Pengembangan Pelabuhan Oransbari</t>
  </si>
  <si>
    <t>2.3.3. Study Kepelabuhan Papua Barat</t>
  </si>
  <si>
    <t>2.3.4. RIP Pelabuhan (Kab. Manokwari)</t>
  </si>
  <si>
    <t>2.3.5. Study Lingkungan Hidup Pelabuhan</t>
  </si>
  <si>
    <t>2.3.6. Pembangunan Prasarana Kantor TKBM Kab. Manokwari</t>
  </si>
  <si>
    <t>2.3.7. Study FS Pelabuhan (Pelabuhan Moraid, Yende, Manokwari)</t>
  </si>
  <si>
    <t>2.3.9. Pembangunan Pelabuhan Roswar Tahap I (Kab. Tel. Wondama)</t>
  </si>
  <si>
    <t>2.3.10.Pembangunan Pelabuhan Kapadiri Tahap VI</t>
  </si>
  <si>
    <t>2.3.11.Perencanaan Dermaga Apung Kampung Tanggaromi (Kab. Kaimana)</t>
  </si>
  <si>
    <t>2.3.12.Pengadaan Speedboad</t>
  </si>
  <si>
    <t>2.4. Program Peningkatan  Keselamatan LLAJ</t>
  </si>
  <si>
    <t>2.4.1. Pembangunan Fasilitas Pengamanan Lalu Lintas Jalan</t>
  </si>
  <si>
    <t>2.4.2. Forum LLAJ</t>
  </si>
  <si>
    <t>2.4.3. Pengadaan Rambu-rambu Lalu Lintas Jalan (Kab. Sorong, Kota Sorong, Tel. Bintuni)</t>
  </si>
  <si>
    <t>2.4.4. Pengadaan Deliniator (Kab. Manokwari)</t>
  </si>
  <si>
    <t>2.4.5. Pengecatan Marka Jalan (Kota Sorong, Kab. Manokwari)</t>
  </si>
  <si>
    <t>2.4.6. Pemeliharaan Fasilitas Keselamatan Jalan</t>
  </si>
  <si>
    <t>2.4.7. Operasional Pegawalan Gubernur, Tamu VIP, Pengawasan dan Pengendalian Lalu Lintas Jalan</t>
  </si>
  <si>
    <t>2.4.8. Pengadaan Alat Uji Kendaraan</t>
  </si>
  <si>
    <t>2.4.9. Pengadaan Lampu Peringatan (Warning Light) (Kota Sorong, Kab. Sorong)</t>
  </si>
  <si>
    <t>2.4.10.Pengecetan Median Jalan Kompleks Kantor Gubernur Papua Barat</t>
  </si>
  <si>
    <t>2.4.11.Study Kebutuhan Fasilitas Lalu Lintas Jalan</t>
  </si>
  <si>
    <t>2.4.12.Pembangunan Sarana Penguji Kendaraan Bermotor (Kota Sorong)</t>
  </si>
  <si>
    <t>2.5. Program Perkeretaapian</t>
  </si>
  <si>
    <t>2.5.1. Study Amdal Lintas Sorong-Manokwari Tahap III</t>
  </si>
  <si>
    <t>2.5.2. Study LARAP Lintas Sorong-Manokwari Tahap III</t>
  </si>
  <si>
    <t>2.6. Program Pembangunan Sarana dan Prasarana Perhubungan Darat</t>
  </si>
  <si>
    <t>2.6.1. Pembangunan Terminal Type B Kota Sorong Tahap III</t>
  </si>
  <si>
    <t>2.6.2. Pembangunan Terminal Type B Wosi Tahap II</t>
  </si>
  <si>
    <t>2.6.3. Pembangunan Terminal Type B Bintuni</t>
  </si>
  <si>
    <t>2.6.4. Perencanaan  Pembangunan Terminal Type B Kab. Sorong Selatan Klamid</t>
  </si>
  <si>
    <t>2.6.5. Perencanaan  Pembangunan Terminal Type B Kab. Pegunungan Arfak</t>
  </si>
  <si>
    <t>2.6.6. Perencanaan  Pembangunan Terminal Type B Kab. Teluk Wondama</t>
  </si>
  <si>
    <t xml:space="preserve">                        </t>
  </si>
  <si>
    <t>1.1.38.Peningkatan Jalan Tandia - Batas Kota Rasiei (Tel. Wondama)</t>
  </si>
  <si>
    <t>1.1.37.Peningkatan Jalan Bomberay -  Nusalasi (Kaimana)</t>
  </si>
  <si>
    <t>1.2.37.Pembangunan Jalan Suksiar - Seya</t>
  </si>
  <si>
    <t>1.2.10.Pembangunan Jalan Tembus Kaiamana Menuju Kampung Bitsyari Distrik Kaimana</t>
  </si>
  <si>
    <t>1.2.11.Pembangunan Jalan Kaimana - Kiruru</t>
  </si>
  <si>
    <t>1.2.12.Pembangunan Jalan Tembus Teluk Triton - Kaimana</t>
  </si>
  <si>
    <t>1.2.13.Pembangunan Jalan Umoisi-Batas Kabupaten Manokwari Selatan - Sururey (Kab. Mansel)</t>
  </si>
  <si>
    <t>1.2.14.Pembangunan Jalan Batas  Kabupaten Teluk Bintuni-Merdey (Kab. Tel. Bintuni)</t>
  </si>
  <si>
    <t>1.2.16.Pembangunan Jalan Klasari - Seget (Kab. Sorong)</t>
  </si>
  <si>
    <t>1.2.17.Pembangunan Jembatan Pami Tahap  III (Kab. Tel. Wondama)</t>
  </si>
  <si>
    <t>1.2.18.Pembangunan Jembatan Sibuni Tahap II (Kab. Tambrauw)</t>
  </si>
  <si>
    <t>1.2.19.Pembangunan Jembatan Kali Sayam Tahap III (Kab. Sorong)</t>
  </si>
  <si>
    <t>1.2.20.Pembangunan Jalan Sayosa - Sailala  - Klaili (Kab. Sorong)</t>
  </si>
  <si>
    <t>1.2.21.Pembangunan Jembatan Iray Tahap 2 (Kab. Pegaf)</t>
  </si>
  <si>
    <t>1.2.22.Pembangunan Jalan Sowi 4 - Perkantoran Gubernur</t>
  </si>
  <si>
    <t>1.2.23.Pembangunan Jembatan Pami 2 (Kab. Manokwari)</t>
  </si>
  <si>
    <t>1.2.24.Pembangunan Jembatan Pami 3 (Kab. Manokwari)</t>
  </si>
  <si>
    <t>1.2.25.Pembangunan Jembatan Kali Uriyem Kmp. Sogun (Kab. Manokwari)</t>
  </si>
  <si>
    <t>1.2.26.Pembangunan Jalan Usaha Perikanan Darat Kampung Suwiyam Maybrat</t>
  </si>
  <si>
    <t>1.2.27.Pembangunan Jalan Lingkar Danau Uter Tahap I (Kab. Maybrat)</t>
  </si>
  <si>
    <t>1.2.28.Pembangunan Jalan Kiruru - Kaimana</t>
  </si>
  <si>
    <t>1.2.29.Pembangunan Jembatan Yabi (Kab. Sorong Selatan)</t>
  </si>
  <si>
    <t>1.2.30.Pembangunan Jembatan Sibuni III (Kab. Manokwari)</t>
  </si>
  <si>
    <t>1.2.31.Pembangunan Jalan Taige - Pegaf - Gunung Botak (Kab. Pegaf)</t>
  </si>
  <si>
    <t>1.2.32.Pembangunan Jalan Testega - Moskona Timur (Kab. Tel. Bintuni)</t>
  </si>
  <si>
    <t>1.2.34.Pembangunan Jembatan Manuhama (Kab. Pegaf)</t>
  </si>
  <si>
    <t>1.2.35.Pembangunan Jalan Meyof - Testega (Kab. Pegaf)</t>
  </si>
  <si>
    <t>1.2.36.Pembangunan Jalan Pegaf - Dataran Bermes (Kab. Pegaf)</t>
  </si>
  <si>
    <t>PEMBINA UTAMA MADYA</t>
  </si>
  <si>
    <t>C.</t>
  </si>
  <si>
    <t>HIBAH KEAGAMAAN</t>
  </si>
  <si>
    <t>D.</t>
  </si>
  <si>
    <t>HIBAH FAKULTAS KEDOKTERAN UNIPA</t>
  </si>
  <si>
    <t>Pembangunan gedung sekolah SMP</t>
  </si>
  <si>
    <t>1.2.5. Pembangunan gedung sekolah SMP</t>
  </si>
  <si>
    <t>1.2.6. Pengembangan alternatif layanan pendidikan dasar untuk daerah-daerah perdesaan, terpencil dan kepulauan</t>
  </si>
  <si>
    <t xml:space="preserve">1.2.7. Pembangunan rumah rumah dinas Kepala Sekolah, Guru dan Penjaga Sekolah SMP </t>
  </si>
  <si>
    <t>1.2.8. Pembangunan asrama pelajar</t>
  </si>
  <si>
    <t xml:space="preserve">1.2.9. Rehabilitasi Toilet (Jamban Siswa)dengan tingkat kerusakan sedang atau berat , beserta sanitasinya  </t>
  </si>
  <si>
    <t>1.2.10. Pembangunan Pagar SD YPPK Santa Laurensia Wasior Tahap III</t>
  </si>
  <si>
    <t>1.2.11. Pengawasan Pembangunan Pagar SD YPPK Santa Laurensia Wasior Tahap III</t>
  </si>
  <si>
    <t>1.8.11 Lomba Kreasi dan Karya Tulis di Kalangan Pemuda</t>
  </si>
  <si>
    <t>1.8.12 Seleksi dan Pemilihan Paskibra</t>
  </si>
  <si>
    <t>1.8.13 Seleksi dan Pemilihan Pemuda/Pelopor Jambore Nasional</t>
  </si>
  <si>
    <t>1.8.10 Pembangunan sarana dan prasarana olahraga</t>
  </si>
  <si>
    <t>16.2.3 Pengadaan AHU (Air Handing Unit)</t>
  </si>
  <si>
    <t xml:space="preserve">16.2.2 Rehabilitas Instalasi Listrik dan Tambah Daya PLN </t>
  </si>
  <si>
    <t>17.1.1. Pembangunan jembatan</t>
  </si>
  <si>
    <t>17.1.2 Pembangunan Jembatan kali Maria Pare kampung Isui</t>
  </si>
  <si>
    <t>17.1.3 Pembangunan Rabat Jalan Masuk Huntap Isui</t>
  </si>
  <si>
    <t>17.1.4 Perencanaan Pembangunan Jembatan kali Maria Pare kampung Isui</t>
  </si>
  <si>
    <t>17.1.5 Pengawasan Pembangunan Jembatan kali Maria Pare kampung Isui</t>
  </si>
  <si>
    <t>17.1.6 Perencanaan Pembangunan Rabat Jalan Masuk Huntap Isui</t>
  </si>
  <si>
    <t>17.1.7 Pengawasan Pembangunan Rabat Jalan Masuk Huntap Isui</t>
  </si>
  <si>
    <t>19.1.1 Sharing Kegiatan Pemberdayaan Komunitas Adat Terpencil (KAT)</t>
  </si>
  <si>
    <t>19.1.2 Pemetaan,Penjajakan Awal, Study Kelayakan dan Seminar daerah</t>
  </si>
  <si>
    <t>19.1.3 Bantuan peralatan sekolah bagi siswa siswi komunitas adat terpencil (KAT)</t>
  </si>
  <si>
    <t xml:space="preserve">19.1.4 Fasilitasi penyaluran bantuan sosial pangan </t>
  </si>
  <si>
    <t>19.2.1 Pemberian Makanan tambahan bagi Lanjut Usia</t>
  </si>
  <si>
    <t>19.2.2 Bantuan Bahan Bangunan Rumah untuk masyarakat kurang mampu</t>
  </si>
  <si>
    <t>19.2.3 Pemberian Sembako Bagi Masyarakat Tidak Mampu</t>
  </si>
  <si>
    <t>19.2.4 Buffer Stock/Bahan Pangan Penyangga/Cadangan</t>
  </si>
  <si>
    <t xml:space="preserve">19.2.5 Sosialisasi dan kampanye dampak negatif narkoba, miras dan HIV AIDS  </t>
  </si>
  <si>
    <t>20.2.5 Kegiatan Pelatihan Merajut</t>
  </si>
  <si>
    <t>24.5 Program Pengelolaan Keragaman Budaya</t>
  </si>
  <si>
    <t>24.5.1 Penyelenggaraan dialog kebudayaan</t>
  </si>
  <si>
    <t>24.5.2 Pembangunan Gedung Sanggar Budaya</t>
  </si>
  <si>
    <t>24.5.3 Pembangunan Tugu Pendaratan Injil</t>
  </si>
  <si>
    <t>24.3.2 Penyusunan Master Plan Pengembangan Pariwisata Kampung Aisandami</t>
  </si>
  <si>
    <t>24.3.3 Pelatihan SDM Pemandu Wisata</t>
  </si>
  <si>
    <t>24.4.3 Pengembangan obyek wisata unggulan (renovasi bangunan bersejarah Aitumieri) tahap I</t>
  </si>
  <si>
    <t>26.2.3 Pendampingan Budidaya Alternatif bersifat konservasi / sasi</t>
  </si>
  <si>
    <t>26.2.4 Pengembangan Perkolaman Rakyat</t>
  </si>
  <si>
    <t>26.2.5 Pengembangan Sarana budidaya Rumput Laut</t>
  </si>
  <si>
    <t>26.2.6 Penggadaan Keramba Jaring Apung (KJA) (Pakai Rumah 1 Unit)</t>
  </si>
  <si>
    <t>26.2.7 Program pengembangan perikanan tangkap</t>
  </si>
  <si>
    <t>26.2.8 Pengadaan Paket Peralatan Tangkap Ikan Nelayan</t>
  </si>
  <si>
    <t>26.4.2 Pengadaan Peralatan Pengolahan</t>
  </si>
  <si>
    <t>28.1.4 Pelatihan Penyusunan RDK / RDKK</t>
  </si>
  <si>
    <t>28.3.4 Pengembangan bibit unggul perkebunan</t>
  </si>
  <si>
    <t>28.3.5 Pengadaan bibit tanaman perkebunan</t>
  </si>
  <si>
    <t>28.3.7 Peningkatan Produksi, Produktivitas dan Mutu Sayuran, dan Bio Farmaka</t>
  </si>
  <si>
    <t>28.3.8 Penyediaan Sarana Produksi Holtikultura</t>
  </si>
  <si>
    <t>28.3.9 Pengadaan Bibit Pupuk dan Obat-obatan</t>
  </si>
  <si>
    <t>28.4 Program peningkatan produksi hasil peternakan</t>
  </si>
  <si>
    <t>28.4.1 Penyuluhan pengelolaan bibit ternak yang didistribusikan kepada masyarakat</t>
  </si>
  <si>
    <t>28.4.2 Pengadaan Ternak</t>
  </si>
  <si>
    <t>28.6.2 Pelatihan pembuatan pestisida Nabati</t>
  </si>
  <si>
    <t>28.5 Program Pemberdayaan Penyuluhan Pertanian</t>
  </si>
  <si>
    <t>28.5.1 Penyusunan Materi Penyuluhan Pertanian (Media Radio)</t>
  </si>
  <si>
    <r>
      <t>28.6 Program Peningkatan pemasaran hasil pertanian</t>
    </r>
    <r>
      <rPr>
        <b/>
        <sz val="12"/>
        <color rgb="FFFF0000"/>
        <rFont val="Calibri"/>
        <family val="2"/>
        <scheme val="minor"/>
      </rPr>
      <t xml:space="preserve">  </t>
    </r>
  </si>
  <si>
    <t>28.6.1 Pelatihan pengemasan hasil komoditi perkebunan</t>
  </si>
  <si>
    <t>28.7 Program Peningkatan Penerapan Teknologi Pertanian Tepat Guna</t>
  </si>
  <si>
    <t>28.7.1 Bimbingan dan pelatihan pengoperasian teknologi pertanian tepat guna</t>
  </si>
  <si>
    <t>28.7.2 Pelatihan pembuatan pestisida Nabati</t>
  </si>
  <si>
    <t>28.7.3 Pengembangan dan bimbingan penerapan pengoperasian pertanian tepat guna</t>
  </si>
  <si>
    <t>28.8 Program Peningkatan Ketahanan Pangan (pertanian/Perkebunan)</t>
  </si>
  <si>
    <t>28.8.1 Pemanfaatan pekarangan untuk pengembangan pangan</t>
  </si>
  <si>
    <t>28.8.2 Penanganan pasca panen dan pengolahan hasil pertanian</t>
  </si>
  <si>
    <t>28.8.3 Pengembangan model distribusi pangan yang efisien</t>
  </si>
  <si>
    <t>28.8.4 Penanganan panen dan pasca panen komoditi holtikultura</t>
  </si>
  <si>
    <t>31.1.4 Pelatihan Service Motor Tempel/Egine</t>
  </si>
  <si>
    <t>31.1.5 Kursus Peningkatan Ketrampilan Tenaga Kerja (pelatihan komputer bagi anak2 remaja)</t>
  </si>
  <si>
    <t>31.1.6 Monitoring, Evaluasi dan Pelaporan Pengawasan dan Penempatan Tenaga Kerja</t>
  </si>
  <si>
    <t>1.3.5. Pengadaan Meubelair Sekolah</t>
  </si>
  <si>
    <t>1.3.9. Pembinaan Kelembagaandan Manajemen Sekolah dengan Penerapan Manajemen Berbasis Sekolah (MBS) di Satuan Pendidikan Dasar</t>
  </si>
  <si>
    <t>1.3.10.Pembinaan Minat, Bakat dan Kreativitas Siswa</t>
  </si>
  <si>
    <t>1.3.11.Pengembangan Comprehensive Teaching And Learning (CTL)</t>
  </si>
  <si>
    <t>1.3.12.Penyelenggaraan UAS / UAN SD / MI</t>
  </si>
  <si>
    <t>1.3.13.Penyelenggaraan UAS / UAN SMP / MTs</t>
  </si>
  <si>
    <t>1.3.14.Monitoring, Evaluasi dan Pelaporan (Dana BOS)</t>
  </si>
  <si>
    <t>1.3.18.Pendataan Bidang Pra Sekolah dan Pendidikan Dasar</t>
  </si>
  <si>
    <t>1.3.19.Sosialisasi BSM</t>
  </si>
  <si>
    <t>1.3.20.Sosialisasi Dana BOS</t>
  </si>
  <si>
    <t>1.3.21.Pembinaan Karakter Bagi Siswa SMP / MTs</t>
  </si>
  <si>
    <t>1.3.22.Pembinaan Sains Eksakta SD</t>
  </si>
  <si>
    <t xml:space="preserve">1.3.23.Penyelenggaraan Akselerasi Eksakta Bagi Siswa SMP Putra / I Asli Papua </t>
  </si>
  <si>
    <t>1.7.1. Pelaksanaan Evaluasi Hasil Kinerja Bidang Pendidikan</t>
  </si>
  <si>
    <t>1.7.2. Pelaksanaan Kerjasama Secara Kelembagaan Di Bidang Pendidikan</t>
  </si>
  <si>
    <t>1.7.3. Sosialisasi dan Advokasi Berbagai Peraturan Pemerintah Di Bidang Pendidikan</t>
  </si>
  <si>
    <t>1.7.4. Monitoring, Evaluasi dan Pelaporan</t>
  </si>
  <si>
    <t xml:space="preserve">1.7.5. Seleksi Afirmasi Perguruan Tinggi UP4B </t>
  </si>
  <si>
    <t>1.3.5. Pembangunan 3 Ruang Kelas SMP YPK Tanah Merah</t>
  </si>
  <si>
    <t>1.3.6. Rehabilitasi Berat 3 ruang kelas SMP Negeri Aranday</t>
  </si>
  <si>
    <t>1.3.7. Rehabilitasi Berat 3 ruang kelas SMP YPPK Sta. Monica  Bintuni</t>
  </si>
  <si>
    <t>1.3.8. Rehabilitasi Berat 3 ruang kelas SD YPK Idoor</t>
  </si>
  <si>
    <t>1.3.9. Rehabilitasi Berat 3 ruang kelas SD Negeri Suga</t>
  </si>
  <si>
    <t>1.3.10. Rehabilitasi Berat 3 ruang kelas SD Negeri Taroy</t>
  </si>
  <si>
    <t>1.3.11.Rehabilitasi Ringan Ruang Kelas SD Negeri Taroy</t>
  </si>
  <si>
    <t>1.3.12. Rehabilitasi Berat 3 ruang kelas SD Inpres Kecap</t>
  </si>
  <si>
    <t>1.3.13.Pembangunan Kantor dan Ruang Guru SMP Perintis Awegro</t>
  </si>
  <si>
    <t>1.3.14.Rehabilitasi Berat Kantor dan Ruang GuruSD Inpres SP-4 Manimeri</t>
  </si>
  <si>
    <t>1.3.15.Pebangunan Kantor dan Ruang Guru SD Inpres SP-4 Manimeri</t>
  </si>
  <si>
    <t>1.3.16.Rehabilitasi Berat 4 Ruang Kelas SD Negeri Kampung Baru Irira</t>
  </si>
  <si>
    <t>1.3.17.Pembangunan Kopel Guru SMP Negeri Jagiro</t>
  </si>
  <si>
    <t>1.3.18.Pembangunan Kopel Guru SD Negeri Botay</t>
  </si>
  <si>
    <t>1.3.19.Pembangunan Kopel Guru SD YPK Onar</t>
  </si>
  <si>
    <t>1.3.20.Pembangunan Pagar Pengaman SMP Negeri Terpadu Bintuni</t>
  </si>
  <si>
    <t>1.3.21.Pembangunan MCK Siswa SD Inpres SD V Manimeri</t>
  </si>
  <si>
    <t>1.3.22.Pengadaan Meubelair 6 Ruang Kelas SMP Negeri Terpadu Bintuni</t>
  </si>
  <si>
    <t>1.3.23.Pengadaan Meubelair 3 Ruang Kelas SMP Negeri Jagiro</t>
  </si>
  <si>
    <t>1.3.24.Pengadaan Meubelair 3 Ruang Kelas SD Negeri Suga</t>
  </si>
  <si>
    <t>1.3.25.Pengadaan Meubelair 3 Ruang Kelas SD YPPK Bintuni</t>
  </si>
  <si>
    <t>1.3.26.Pengadaan Meubelair 3 Ruang Kelas SD YPPK Bintuni</t>
  </si>
  <si>
    <t>1.3.27. Pembanguanan 1 Unit Kopel Guru SMP Negeri Jagiro</t>
  </si>
  <si>
    <t xml:space="preserve">1.3.28. Pembangunan 1 Unit Kopel Guru SD Negeri Botay </t>
  </si>
  <si>
    <t>1.3.29.Pembangunan 1 unit kopel Guru SD YPK Botay</t>
  </si>
  <si>
    <t>1.3.30. Pembangunan 1 unit Kopel Guru SD YPK Onar</t>
  </si>
  <si>
    <t>1.3.31. Pembangunan 1 unit Kopel Guru SMP Negeri Taroy</t>
  </si>
  <si>
    <t>1.3.32.  Pengadaan Meubelair SMP Negeri Terpadu Bintuni</t>
  </si>
  <si>
    <t>1.3.33. Pengadaan Meubelair SMP Negeri Jagiro</t>
  </si>
  <si>
    <t>1.3.34. Pengadaan Meubelair SD Inpres Barma</t>
  </si>
  <si>
    <t>1.3.35. Pengadaan Meubelair SD Negeri Suga</t>
  </si>
  <si>
    <t>1.3.36. Pengadaan Meubelair SD Muhammadiyah Bintuni</t>
  </si>
  <si>
    <t>1.3.37. Pengadaan Meubelair SD YPK Bintuni</t>
  </si>
  <si>
    <t>4.2.2.Pembangunan Fasilitas Penerangan Kawasan Pemukiman</t>
  </si>
  <si>
    <t>5.2.7. Pengadaan Mesin Pembuat Pakan Ikan dari Pengelolaan Limbah</t>
  </si>
  <si>
    <t>6.1.4. Jambore Remaja Tingkat Kabupaten dalam rangka Penanggulangan Narkoba, PMS, HIV/AIDS dan Pernikahan Dini</t>
  </si>
  <si>
    <t>6.1.5. Sosialiasi dang Pembentukan Perlindungan Anak Terpadu Berbasis Masyarakat</t>
  </si>
  <si>
    <t>6.4.4. Peran Serta Organisasi Perempuan dalam Mewujudkan Kesetaraan dan Keadilan Gender</t>
  </si>
  <si>
    <t>5.1.8. Pengadaan Sarana dan Prasarana Penangkapan Ikan (Udang dan Kepting)</t>
  </si>
  <si>
    <t>5.1.9. Pengadaan Sarana dan Prasarana Penangkapan Ikan (Trammel Net)</t>
  </si>
  <si>
    <t>5.1.10. Pengadaan Sarana dan Prasarana Penangkapan Ikan (Gill Net)</t>
  </si>
  <si>
    <t>12. BADAN PERENCANAAN, PENELITIAN DAN PEMBANGUNAN DAERAH</t>
  </si>
  <si>
    <t>12.1. Program Perencanaan Pembangunan Daerah</t>
  </si>
  <si>
    <t>12.1.1. Penyusunan Rencana Definitif Otsus</t>
  </si>
  <si>
    <t>12.1.2. Monitoring dan Evaluasi Otsus</t>
  </si>
  <si>
    <t>12.2. Program Perencanaan Sosial Budaya</t>
  </si>
  <si>
    <t>12.2.1. Pendataan Orang Asli Papua Kabupaten Teluk Bintuni</t>
  </si>
  <si>
    <t>12.3. Program Kajian dan Penelitian Pengembangan Daerah</t>
  </si>
  <si>
    <t>12.3.1. Kajian Pelaksanaan Kebijakan Otsus</t>
  </si>
  <si>
    <t xml:space="preserve">1.1.6. Afirmasi Pendidikan Menengah/ Adem </t>
  </si>
  <si>
    <t>1.1.7. Monitoring dan Pelaporan TIM dana PIP</t>
  </si>
  <si>
    <t xml:space="preserve">1.2.2. Penilaian Kinerja Guru </t>
  </si>
  <si>
    <t xml:space="preserve">1.2.3. Bimbingan Teknis Pendidikan </t>
  </si>
  <si>
    <t xml:space="preserve">1.2.4. PKP/SPM Pendidikan Dasar </t>
  </si>
  <si>
    <t xml:space="preserve">1.2.5. Seleksi Guru, Kepala Sekolah dan Pengawas Berprestasi </t>
  </si>
  <si>
    <t xml:space="preserve">1.2.6. Monitoring dan Pelaporan TIM Dana BOS </t>
  </si>
  <si>
    <t>1.2.7. Monitoring dan Pelaporan TIM BOP PAUD</t>
  </si>
  <si>
    <t xml:space="preserve">1.2.8. Bimtek Kurikulum 2013 Untuk Guru TK Sekota Sorong </t>
  </si>
  <si>
    <t xml:space="preserve">1.2.9. Diklat Berjenjang Guru Paud/TK Sekota Sorong </t>
  </si>
  <si>
    <t>1.2.10.Bimtek Kurikulum 2013 bagi Guru dan Kepala Sekolah SD</t>
  </si>
  <si>
    <t xml:space="preserve">1.2.11.Sosialisasi Penggunaan Dana BOS dan PIP bagi Kepala Sekolah, Bendahara dan Operator SD </t>
  </si>
  <si>
    <t xml:space="preserve">1.2.12.Bimtek Kurikulum 2013 bagi Guru dan Kepala Sekolah SMP </t>
  </si>
  <si>
    <t>1.2.13.Sosialisasi Penggunaan Dana BOS dan PIP bagi Kepala Sekolah, Bendahara dan Operator SMP</t>
  </si>
  <si>
    <t xml:space="preserve">1.2.14.Bimtek Perhitungan Angka Kredit Jabatan Fungsional Guru Bagi Guru/ Kepala Sekolah SD dan Paud </t>
  </si>
  <si>
    <t xml:space="preserve">1.2.16.Sosialisasi Program Penjaminan Mutu Pendidikan Dasar </t>
  </si>
  <si>
    <t xml:space="preserve">1.2.15.Bimtek UPDATING Data Pokok Pendidikan </t>
  </si>
  <si>
    <t xml:space="preserve">1.2.17.Bimtek Pengelolaan Administrasi dan Keuangan Bagi ASN </t>
  </si>
  <si>
    <t xml:space="preserve">1.3.3. Penyelenggaraan Pertandingan Olahraga dan Seni antar Guru dan Pelajar </t>
  </si>
  <si>
    <t xml:space="preserve">1.3.4. Penyelenggaraan Gala Sisawa </t>
  </si>
  <si>
    <t xml:space="preserve">1.4.3. Penyediaan Administrasi Pengelolaan Kegiatan </t>
  </si>
  <si>
    <t>1.8. Belanja tidak langsung</t>
  </si>
  <si>
    <t>1.8.1. Tambahan berdasarkan kelangkaan profesi/jasa penunjang pendidikan</t>
  </si>
  <si>
    <t>32.4. Belanja Bantuan Pendiidkan</t>
  </si>
  <si>
    <t>15. DINAS KEBUDAYAAN DAN PARIWISATA</t>
  </si>
  <si>
    <t>9.1.1. Lomba cipta menu serba ikan</t>
  </si>
  <si>
    <t>10.3.4. Pemantauan dan Monitoring Barang Kadaluarsa dan Berstandar SNI</t>
  </si>
  <si>
    <t>1.9. Program Peningatan Kapasitas Sumber Daya Aparatur</t>
  </si>
  <si>
    <t>1.9.1. Pengembangan Aplikasi Dapodik Mandiri</t>
  </si>
  <si>
    <t>1.1.3. Pengadaan Alat Bermain dan Kelengkapan PAUD</t>
  </si>
  <si>
    <t xml:space="preserve">1.2.19.Pembangunan Pagar SD Inpres 19 Kab.Sorong </t>
  </si>
  <si>
    <t>1.2.20.Pengadaan Meubelair MI Al Maarif 3 Majener</t>
  </si>
  <si>
    <t>1.2.21.Pengadaan Meubelair SD Al Maarif Maibo di Klalin</t>
  </si>
  <si>
    <t>1.2.22.Pengadaan Meubelair SD Inpres 26 di Klamono</t>
  </si>
  <si>
    <t>1.2.23.Rehabilitasi SD YPK Inamo di Inamo</t>
  </si>
  <si>
    <t xml:space="preserve">1.2.24.Pembangunan Pagar SMP Negeri Makbon  </t>
  </si>
  <si>
    <t>2.1.3. Pengadaan Obat-obatan Fornas dan Non Fornas di Puskesmas</t>
  </si>
  <si>
    <t>2.7. Program Upaya Kesehatan Masyarakat</t>
  </si>
  <si>
    <t xml:space="preserve">2.7.1. Kegiatan Peningkatan Pelayanan Kader Kesehatan Indra </t>
  </si>
  <si>
    <t xml:space="preserve">2.7.2. Survei Kepuasan Masyarakat Terhadap Pelayanan Kesehatan </t>
  </si>
  <si>
    <t xml:space="preserve">2.7.3. Pembinaan Pemberi Layanan Kesehatan Tradisional Dan Akupresur </t>
  </si>
  <si>
    <t>2.7.4. Dukungan Makan Minum Dan Operasional Rawat Inap Puskesmas Mariat</t>
  </si>
  <si>
    <t>2.7.5. Konfirmasi Pelaksanaan Program Indonesia Sehat Dengan Pendekatan Keluarga (PIS - PK) di Masyarakat</t>
  </si>
  <si>
    <t>2.8. Program Pengadaan, Peningkatan Dan Perbaikan Sarana Dan Prasarana Kesehatan</t>
  </si>
  <si>
    <t>2.8.1. Rehabilitasi Pustu Asbaken</t>
  </si>
  <si>
    <t>2.9. Program Jaminan Kesehatan Masyarakat</t>
  </si>
  <si>
    <t>2.9.1. Jaminan Kesehatan Masyarakat Tidak Mampu</t>
  </si>
  <si>
    <t>2.10. Program Peningkatan Sumber Daya Manusia Kesehatan</t>
  </si>
  <si>
    <t>2.10.1.Peningkatan Pengelolaan Alat Kesehatan Puskesmas Melalui ASPAK</t>
  </si>
  <si>
    <t>2.11. Program Pengawasan Obat Dan Makanan</t>
  </si>
  <si>
    <t>2.11.1. Pengawasan Makanan Dan Minuman Kadaluarsa dan Makanan &amp; Minuman Ilegal</t>
  </si>
  <si>
    <t>2.11.2. Pengawasan Peredaran Obat Keras, Obat Bebas Terbatas dan Kosmetik</t>
  </si>
  <si>
    <t>3.3. Program Pengadaan, Peningkatan Sarana dan Prasarana Rumah Sakit/Rumah Sakit Jiwa</t>
  </si>
  <si>
    <t>3.3.1. Pengadaan Lampu Kamar Operasi Tanpa Kamera</t>
  </si>
  <si>
    <t>3.3.2. Pemasangan Timbal Ruang Operasi</t>
  </si>
  <si>
    <t>12.1.2. Pembinaan Dan Pelatihan Ibu - Ibu PKK Kampung</t>
  </si>
  <si>
    <t>13.1.2. Pendampingan Bantuan Stimulan Perumahan Swadaya</t>
  </si>
  <si>
    <t>15.6. Program Peningkatan Jalan Lingkungan Permukiman</t>
  </si>
  <si>
    <t>15.6.1. Peningkatan Jalan Lingkungan Kampung Aimo</t>
  </si>
  <si>
    <t>15.6.2. Peningkatan Jalan Lingkungan Jalan Kamuru Kelurahan Klamalu</t>
  </si>
  <si>
    <t>18. DINAS PERHUBUNGAN</t>
  </si>
  <si>
    <t>18.1. Program Pembangunan Sarana Dan Prasarana Perhubungan</t>
  </si>
  <si>
    <t>18.1.1. Pembangunan Tambatan Perahu / Kampung Klayastani</t>
  </si>
  <si>
    <t>19. DINAS PERINDUSTRIAN DAN PERDAGANGAN</t>
  </si>
  <si>
    <t>19.1. Belanja Langsung</t>
  </si>
  <si>
    <t>19.1.1. Pelatihan Pengolahan Ikan Asin Di Distrik Makbon</t>
  </si>
  <si>
    <t>4.2.1. Pembangunan Kantor Dewan Adat Malamoi</t>
  </si>
  <si>
    <t xml:space="preserve">1.3.16. Pembangunan 3 RKB, Meubelair,dan MCK SD YPPK ASES Fef </t>
  </si>
  <si>
    <t xml:space="preserve">1.5.15.Penyelenggaraan Ujian Paket C Setara SMA  </t>
  </si>
  <si>
    <t xml:space="preserve">1.5.16.Penyelenggaraan Ujian Paket B Setara SMP  </t>
  </si>
  <si>
    <t xml:space="preserve">1.5.17.Penyelenggaraan Ujian Paket A Setara SD </t>
  </si>
  <si>
    <t xml:space="preserve">1.7.11.Penyelenggaraan Pendidikan Strata-1 bagi Guru PNS  </t>
  </si>
  <si>
    <t xml:space="preserve">2.3.13.Pembinaan Kesjaor  </t>
  </si>
  <si>
    <t xml:space="preserve">2.3.14.Dukungan Pelayanan JAMPERSAL  </t>
  </si>
  <si>
    <t xml:space="preserve">2.3.15.Monitoring dan Evaluasi Upaya Promkes dan Pemberdayaan Masyarakat  </t>
  </si>
  <si>
    <t xml:space="preserve">2.3.16.Pengawasan Stanting  </t>
  </si>
  <si>
    <t xml:space="preserve">2.3.17.Monitoring dan Evaluasi Kesehatan Kerja dan Olahraga (KESJAOR)  </t>
  </si>
  <si>
    <t xml:space="preserve">3.1.6. Pembangunan Jembatan Gantung Kali Iri di Miyah Selatan  </t>
  </si>
  <si>
    <t>9.5. Program peningkatan Penerapan Teknologi Pertanian/Perkebunan</t>
  </si>
  <si>
    <t xml:space="preserve">9.5.1. Optimalisasi Lahan Komoditi Padi Ladang  </t>
  </si>
  <si>
    <t>12.1.5. Evaluasi Monitoring Proyek Yang Sedang Berjalan 2 Kali Dalam 1 Tahun</t>
  </si>
  <si>
    <t>1.3.19 Pengembangan Comprehensive Teaching and Learning (CTL)</t>
  </si>
  <si>
    <t xml:space="preserve">13.1.2. Kegiatan Desa Wisma </t>
  </si>
  <si>
    <t>20. DINAS PENDAPATAN, PENGELOLAAN KEUANGAN DAN ASET DAERAH selaku SKPD</t>
  </si>
  <si>
    <t>201 Program Peningkatan dan Pengembangan Pengelolaan Keuangan Daerah</t>
  </si>
  <si>
    <t>1.2.23.Pembangunan Rumah Guru SD Negeri 36 Wayom</t>
  </si>
  <si>
    <t>1.2.22.Pembangunan Rumah Guru Persiapan Waiman</t>
  </si>
  <si>
    <t>1.2.24.Pembangunan Rumah Guru di Atkari</t>
  </si>
  <si>
    <t>1.2.25.Pengadaan Meubelair 6 ruang kelas SD Negeri 2 Raja Ampat</t>
  </si>
  <si>
    <t xml:space="preserve">1.2.26.Perngadaan Rumah Guru SD YPK Elim Mnier (Kopel) </t>
  </si>
  <si>
    <t>1.2.27.Rehabilitasi Ruang Kelas SD 02 Yenbuba</t>
  </si>
  <si>
    <t>1.2.28.Pengadaan Meubelair 6 SD N.2 Waisai dan SD N.25 Moko Raja Ampat</t>
  </si>
  <si>
    <t>1.7.12.Monitoring Pengawasan SD dan SMP</t>
  </si>
  <si>
    <t>4.3.4.Perencanaan Pembangunan Sarana dan Prasarana Air Bersih di Kampung Yenkawir</t>
  </si>
  <si>
    <t>4.5.8. Pengadaan Meubelair Gedung Gereja Tabernakel Yenbekwan</t>
  </si>
  <si>
    <t xml:space="preserve">6.1.4. Pembangunan Homestay Famem di Yefna Distrik Misool Selatan </t>
  </si>
  <si>
    <t>13.1. Program Pelayanan Administrasi Perkantoran</t>
  </si>
  <si>
    <t xml:space="preserve">13.1.1. Peningkatan Kompetensi Tenaga Administratur Dinas Pemuda dan Olah Raga  </t>
  </si>
  <si>
    <t>13.2. Program Peningkatan Peran Serta Pemuda</t>
  </si>
  <si>
    <t xml:space="preserve">13.2.1. PASKIBRA Tingkat Kabupaten </t>
  </si>
  <si>
    <t xml:space="preserve">13.2.2. PASKIBRA Tingkat Provinsi </t>
  </si>
  <si>
    <t xml:space="preserve">13.2.3. Kegiatan PRAMUKA Tingkat Kabupaten  </t>
  </si>
  <si>
    <t xml:space="preserve">13.2.4. JAMBORE Nasional </t>
  </si>
  <si>
    <t xml:space="preserve">13.2.5. Pelaksanaan Upacara Hari Sumpah Pemuda </t>
  </si>
  <si>
    <t xml:space="preserve">13.2.6. HUT dan Pelantikan Pramuka </t>
  </si>
  <si>
    <t xml:space="preserve">13.2.7. Kegiatan PRAMUKA Tingkat Provinsi  </t>
  </si>
  <si>
    <t xml:space="preserve">13.2.8. Pengadaan Alat Musik Untuk Pemuda Kampung Waifoi  </t>
  </si>
  <si>
    <t xml:space="preserve">13.2.9. Studi Pemuda GEMPAR EMAS  </t>
  </si>
  <si>
    <t xml:space="preserve">13.2.10.Bantuan Pakaian Olah Raga Pemuda Ke Kampung </t>
  </si>
  <si>
    <t>13.3. Program Pembinaan dan Pemasyarakatan Olahraga Bahari</t>
  </si>
  <si>
    <t xml:space="preserve">13.3.1. LPI Usia Dini (U-12)  </t>
  </si>
  <si>
    <t xml:space="preserve">13.3.2. Galanita Tingkat Kabupaten  </t>
  </si>
  <si>
    <t xml:space="preserve">13.3.3. Turnamen Piala Raja </t>
  </si>
  <si>
    <t xml:space="preserve">13.3.4. Kejuaraan Bola Volley Raja Ampat </t>
  </si>
  <si>
    <t xml:space="preserve">13.3.5. Gala Des </t>
  </si>
  <si>
    <t xml:space="preserve">13.3.6. Hari Olah Raga Nasional </t>
  </si>
  <si>
    <t xml:space="preserve">13.3.7. Festival Perahu Layar Nasional  </t>
  </si>
  <si>
    <t xml:space="preserve">13.3.8. Monitoring dan Pendampingan Pada Kejuaraan di Tingkat Kabupaten/Provinsi/Nasional  </t>
  </si>
  <si>
    <t xml:space="preserve">13.3.9. LSP Tingkat Kabupaten  </t>
  </si>
  <si>
    <t xml:space="preserve">13.3.10.LSP Tingkat Provinsi  </t>
  </si>
  <si>
    <t xml:space="preserve">13.3.11.Penyiapan Tim Bola Volley Dinas Kepemudaan dan Olah Raga Raja Ampat </t>
  </si>
  <si>
    <t>13.4. Program Peningkatan Sarana dan Prasarana Olahraga</t>
  </si>
  <si>
    <t xml:space="preserve">13.4.1. Rehab Lapangan Bola Kaki  </t>
  </si>
  <si>
    <t xml:space="preserve">13.4.2. Pengadaan Matras Olah Raga  </t>
  </si>
  <si>
    <t xml:space="preserve">13.4.3. Pemeliharaan Lapangan Stadion Klanafat </t>
  </si>
  <si>
    <t xml:space="preserve">13.4.4. Pembangunan Kantor KON </t>
  </si>
  <si>
    <t xml:space="preserve">13.4.5. Pengadaan Matras Lapangan Bola Polly  </t>
  </si>
  <si>
    <t>13.5. Program Peningkatan Pengembangan Sistem Pelaporan Capaian Kinerja</t>
  </si>
  <si>
    <t xml:space="preserve">13.5.1. Pengelolaan Sistem Pengarsipan Kepegawaian  </t>
  </si>
  <si>
    <t>13.6. Program Olah Raga dan Wasit</t>
  </si>
  <si>
    <t xml:space="preserve">13.6.1. Pelatihan Pelatih dan Wasit Bola Volley dan Volley Pantai  </t>
  </si>
  <si>
    <t xml:space="preserve">13.6.2. Pelatihan Pelatih dan Wasit Karate </t>
  </si>
  <si>
    <t xml:space="preserve">13.6.3. Pelatihan Pelatih dan Wasit PABBSI  </t>
  </si>
  <si>
    <t xml:space="preserve">13.6.4. Pelatihan Pelatih dan Wasit Pencak Silat  </t>
  </si>
  <si>
    <t xml:space="preserve">13.6.5. Pelatihan Wasit Sepak Bola  </t>
  </si>
  <si>
    <t xml:space="preserve">13.6.6. Pelatihan Pelatih Dayung  </t>
  </si>
  <si>
    <t xml:space="preserve">13.6.7. Pendampingan Atlit Berprestasi  </t>
  </si>
  <si>
    <t xml:space="preserve">1.6.11. Kerja sama Pemda Sorong Selatan dan SMTN </t>
  </si>
  <si>
    <t xml:space="preserve">4.8.15 Pembangunan Jalan Lingkungan Depan RS Scholo Kampung keyen </t>
  </si>
  <si>
    <t>5.1.23 Pembangunan Talud TPU Kampung Sungguer</t>
  </si>
  <si>
    <t>12.3 Program Peningkatan Produksi dan Produktifitas Serta Agribisnis Peternakan Rakyat</t>
  </si>
  <si>
    <t>12.3.1. Monitoring Lalu Lintas Ternak Antar Daerah</t>
  </si>
  <si>
    <t>12.5.5. Bimbingan teknis pengelolaan data dan Perpajakan berbasis online</t>
  </si>
  <si>
    <t>12.5.6. Monitoring Hibah Bansos</t>
  </si>
  <si>
    <t>12.1.7. Bantuan Stabilitas Keamanan</t>
  </si>
  <si>
    <t>13.1.1.Pendidikan dan pelatihan Kepemimpinan IV</t>
  </si>
  <si>
    <t>13.1.3. Pendidikan dan pelatihan Kepemimpinan III</t>
  </si>
  <si>
    <t>13.1.2. Pendidikan dan pelatihan Kepemimpinan II</t>
  </si>
  <si>
    <t>13.1.4. Rapat-rapat koordinasi Bidang Diklat Tahun 2019</t>
  </si>
  <si>
    <t>13.1.5. Pelaksanaan Penilaian Kompetensi (job Fit) Pratama</t>
  </si>
  <si>
    <t>13.1.6.Pelaksanaan Jabatan Es.2b Pratama</t>
  </si>
  <si>
    <t>3.1.2. Pengadaan Prasarana Pemerintahan/Umum</t>
  </si>
  <si>
    <t>1.4.2.Workshop Persiapan Akreditasi Lembaga PAUD dan PKBM bagi Kepala PAUD dan PKBM</t>
  </si>
  <si>
    <t>4.3. Program Penanganan Kawasan Pemukiman</t>
  </si>
  <si>
    <t>4.3.1. Penyuluhan dan Pengawasan Kwalitas Hidup Sehat Perumahan</t>
  </si>
  <si>
    <t>10.2.2. Program Pembinaan dan Pengembangan Bidang Ketenagalistrikan</t>
  </si>
  <si>
    <t>10.2.2.2.Top Overhoul Mesin PLTD</t>
  </si>
  <si>
    <t>1.5.3. Insentif bagi Tenaga Pendidik/Guru Tidak Tetap (GTT) PAUD</t>
  </si>
  <si>
    <t>5.7.2. Penyusunan Peraturan Desa/Kampung</t>
  </si>
  <si>
    <t>13.2.1.Sosialisasi PP No.46 dan berkala BKN Nomor 1 Tahun 2013</t>
  </si>
  <si>
    <t>13.2.2.Penyediaan pendidikan ujian dinas</t>
  </si>
  <si>
    <t>14. DINAS PENGENDALIAN PENDUDUK  DAN KELUARGA BERENCANA</t>
  </si>
  <si>
    <t>14.1. Program Keluarga Berencana</t>
  </si>
  <si>
    <t>14.1.1. Penyelenggaraan HUT Keluarga Nasional</t>
  </si>
  <si>
    <t>14.1.2. Penyelenggaraan Jambore Kader</t>
  </si>
  <si>
    <t>1.2.35.Kajian Pembangunan SPG/KPG/SMA Keguruan</t>
  </si>
  <si>
    <t>1.4.  Program Manajemen Pelayanan Pendidikan</t>
  </si>
  <si>
    <t>1.4.2.Pembuatan Website Dinas Pendidikan</t>
  </si>
  <si>
    <t>2.2.2.Pelayanan Kesehatan Berbasis Masyarakat</t>
  </si>
  <si>
    <t>2.6. Program Bimdal Kesehatan</t>
  </si>
  <si>
    <t>2.6.1.Pelatihan Manajemen Puskesmas</t>
  </si>
  <si>
    <t>12.2. Program Optimalisasi pengelolaan dan pemasaran produksi perikanan</t>
  </si>
  <si>
    <t xml:space="preserve">12.2.1.Pengadaan Paket Sarana Mutu dan Pengolahan Hasil Perikanan  </t>
  </si>
  <si>
    <t>19.5.1. Peningkatan Koordinasi dan Kerjasama Pengembangan Sumber Daya Manusia Putra-Putri Asli Papua pada Pendidikan Kedinasan  pada Kementerian Lembaga Non Kementerian</t>
  </si>
  <si>
    <t xml:space="preserve"> SEKRETARIAT DAERAH</t>
  </si>
  <si>
    <t>24.3.1 Pengembangan Obyek Pariwisata Unggulan/Penyusunan DED Kali Panas Roswar</t>
  </si>
  <si>
    <t>PERMINTAAN PENYALURAN THP III</t>
  </si>
  <si>
    <t>1.8.1. perencanaan Tehnik Bidang Pengairan</t>
  </si>
  <si>
    <t xml:space="preserve">14.1.2.Penyuluhan Narkoba dan HIV-AIDS bagi Pemuda Luar Sekolah  </t>
  </si>
  <si>
    <t>2.2.1 Pelayananan Kesehatan Penduduk Miskin di Puskesmas Jaringannya</t>
  </si>
  <si>
    <t>1.2.33.Pembangunan Jalan Testega - Assai - Meidodga (Kab. Pegaf)</t>
  </si>
  <si>
    <t>1.2.15.Pembangunan Jalan Isim - Tuhugesa - Neney (Kab. Mansel)</t>
  </si>
  <si>
    <t>1.1.24.Peningkatan Jalan Kompleks Kantor Badan Diklat Provinsi Papua Barat (HRS)</t>
  </si>
  <si>
    <t>2.3.8. Pembangunan Pelabuhan Wisata Sorong-Marina-Waisai Raja Ampat</t>
  </si>
  <si>
    <t>1.1.33.Peningkatan Jalan Irbos - Tomasera (Kab. Pegaf)</t>
  </si>
  <si>
    <t>1.2.3. Pembangunan Jalan Waryori - Wasirawi Distrik Masni (Kab. Manokwari)</t>
  </si>
  <si>
    <t>TAHUN ANGGARAN 2020</t>
  </si>
  <si>
    <t>PENERIMAAN        : Rp. 2.512.247.400.000,00</t>
  </si>
  <si>
    <t>Tabel A.3</t>
  </si>
  <si>
    <t>20.1.2.Hibah kepada yayasan pendidikan</t>
  </si>
  <si>
    <t>sdh input</t>
  </si>
  <si>
    <t>Tabel. A.5</t>
  </si>
  <si>
    <t xml:space="preserve">  Hibah kepada Fakultas Kedokteran UNIPA</t>
  </si>
  <si>
    <t>D</t>
  </si>
  <si>
    <t>Tabel A.7</t>
  </si>
  <si>
    <t>PENERIMAAN        : Rp.2.507.241.496.000,00</t>
  </si>
  <si>
    <t xml:space="preserve">ALOKASI DAN REALISASI PENYALURAN DANA OTONOMI KHUSUS                                    </t>
  </si>
  <si>
    <t xml:space="preserve"> DARI PROVINSI KE KABUPATEN/KOTA ATAU NAMA LAIN   </t>
  </si>
  <si>
    <t>PROVINSI         : PAPUA BARAT</t>
  </si>
  <si>
    <t xml:space="preserve">Tabel A.1  </t>
  </si>
  <si>
    <t>KETERANGAN</t>
  </si>
  <si>
    <t>REALISASI PENYALURAN (Rp.)</t>
  </si>
  <si>
    <t>(5)=(4)/(3)*100</t>
  </si>
  <si>
    <t>1.</t>
  </si>
  <si>
    <t>2.</t>
  </si>
  <si>
    <t xml:space="preserve">JUMLAH  </t>
  </si>
  <si>
    <t>Keterangan:</t>
  </si>
  <si>
    <t>1) Diisi dengan  tahun anggaran sebelumnya (n-1)</t>
  </si>
  <si>
    <t>2) Diisi dengan nama provinsi</t>
  </si>
  <si>
    <t>3) Diisi dengan total penerimaan dana otsus</t>
  </si>
  <si>
    <t xml:space="preserve">Kolom (1) Diisi dengan nomor urut                                      </t>
  </si>
  <si>
    <t>Kolom (2) Diisi dengan nama provinsi dan/atau nama kabupaten/kota atau nama lain</t>
  </si>
  <si>
    <t xml:space="preserve">Kolom (3) Diisi dengan alokasi anggaran </t>
  </si>
  <si>
    <t xml:space="preserve">Kolom (4) Diisi dengan realisasi penyaluran </t>
  </si>
  <si>
    <t xml:space="preserve">Kolom (5) Diisi dengan prosentase perbandingan antara realisasi penyaluran  dengan alokasi anggaran </t>
  </si>
  <si>
    <t>Kolom (6) Diisi dengan keterangan yang dianggap perlu</t>
  </si>
  <si>
    <t>Tabel A.4</t>
  </si>
  <si>
    <t>PROSENTASE (%)</t>
  </si>
  <si>
    <t>6. DINAS PEMBERDAYAAN MASYARAKAT DAN KAMPUNG</t>
  </si>
  <si>
    <t>2.  Dinas Kesehatan</t>
  </si>
  <si>
    <t xml:space="preserve"> 
</t>
  </si>
  <si>
    <t>Raja Ampat:</t>
  </si>
  <si>
    <t>OPD delete:</t>
  </si>
  <si>
    <t>14. DINAS PENANAMAN MODAL DAN PELAYANAN TERPADU SATU PINTU</t>
  </si>
  <si>
    <t>19. SEKRETARIAT DAERAH</t>
  </si>
  <si>
    <t xml:space="preserve">6.3.1. Pembangunan Mesjid Raya Waisai  </t>
  </si>
  <si>
    <t xml:space="preserve">6.1.2. Pembangunan Homestay Raja Ampat  </t>
  </si>
  <si>
    <t>sorsel delete:</t>
  </si>
  <si>
    <t>12.1. Belanja Hibah kepada Badan/Lembaga/Organisasi</t>
  </si>
  <si>
    <t>12.2. Belanja Bantuan Sosial kepada organisasi kemasyarakatan</t>
  </si>
  <si>
    <t>1. Dinas Pendidikan, Pemuda dan Olahraga</t>
  </si>
  <si>
    <t>tambrauw delete:</t>
  </si>
  <si>
    <t>7. DINAS KEPENDUDUKAN DAN PENCATATAN SIPIL</t>
  </si>
  <si>
    <t>8. DINAS KOPERASI, PERINDUSTRIAN DAN PERDAGANGAN</t>
  </si>
  <si>
    <t>9. DINAS PARIWISATA DAN KEBUDAYAAN</t>
  </si>
  <si>
    <t>11. DINAS PERTANIAN</t>
  </si>
  <si>
    <t xml:space="preserve">11.1.1. Pengembangan Tanaman Rambutan  </t>
  </si>
  <si>
    <t xml:space="preserve">11.1.2. Pengembangan Tanaman Kacang Tanah </t>
  </si>
  <si>
    <t xml:space="preserve">11.1.4. Pengembangan Tanaman Durian </t>
  </si>
  <si>
    <t xml:space="preserve">11.1.5. Pengembangan Tanaman Siri </t>
  </si>
  <si>
    <t>7. INSPEKTORAT</t>
  </si>
  <si>
    <t>19.2.2 Pemberian Sembako Bagi Masyarakat Tidak Mampu</t>
  </si>
  <si>
    <t>19.2.3 Buffer Stock/Bahan Pangan Penyangga/Cadangan</t>
  </si>
  <si>
    <t>C</t>
  </si>
  <si>
    <t>PEMBINA UTAMA MUDA</t>
  </si>
  <si>
    <t>catatan :</t>
  </si>
  <si>
    <t>pada kolom 4 baris Provinsi pembagi adalah 721.842.675.274 (total jumlah alokasi papua barat)</t>
  </si>
  <si>
    <t>2.8. Program Pengembangan Lingkungan Sehat</t>
  </si>
  <si>
    <t>2.9. Program Pencegahan dan Penanggulangan Penyakit Menular</t>
  </si>
  <si>
    <t>3.1. Program Pelayanan Kesehatan Penduduk Miskin</t>
  </si>
  <si>
    <t xml:space="preserve">3.1.1. Pelayanan Kesehatan Masyarakat </t>
  </si>
  <si>
    <t>Tabel A.9</t>
  </si>
  <si>
    <t>30.89</t>
  </si>
  <si>
    <t>NIP.19600209 198803 1 011</t>
  </si>
  <si>
    <t xml:space="preserve">  TAHUN ANGGARAN 2019</t>
  </si>
  <si>
    <t>PENERIMAAN   : Rp.2.507.241.496.000,00</t>
  </si>
  <si>
    <t>PENERIMAAN      : Rp.2.512.247.400.000,00</t>
  </si>
  <si>
    <t xml:space="preserve"> Manokwari,         Januari 2020</t>
  </si>
  <si>
    <t>1.1. PROGRAM PENDIDIKAN ANAK USIA DINI</t>
  </si>
  <si>
    <t>1.1.1. Pengadaan Alat Praktik dan Peraga Siswa</t>
  </si>
  <si>
    <t>1.2.  Program Wajib Belajar Pendidikan Dasar Sembilan Tahun</t>
  </si>
  <si>
    <t xml:space="preserve">1.2.1. Pembangunan Sarana dan Prasarana Pendidikan Dasar </t>
  </si>
  <si>
    <t xml:space="preserve">1.2.2. Rehabilitasi Sarana dan Prasarana Pendidikan Dasar </t>
  </si>
  <si>
    <t xml:space="preserve">1.2.3. Pengadaan Meubelair Sekolah </t>
  </si>
  <si>
    <t xml:space="preserve">1.3.4. Pembangunan Sekolah Satu Atap </t>
  </si>
  <si>
    <t xml:space="preserve">1.3.5. Pembanguan Ruang Kelas Baru </t>
  </si>
  <si>
    <t xml:space="preserve">1.3.6. Pembangunan Rumah Kopel Guru </t>
  </si>
  <si>
    <t xml:space="preserve">1.3. Peningkatan Mutu Pendidikan dan Tenaga Keopendidikan </t>
  </si>
  <si>
    <t>1.3.1. Peringatan Hari  PGRI</t>
  </si>
  <si>
    <t>2.2.1. Penyusunan Laporan Capaian Kinerja dan Ikhtisar Kinerja SKPD</t>
  </si>
  <si>
    <t>2.2.2. Penyusunan Pelaporan Keuangan Akhir Tahun</t>
  </si>
  <si>
    <t>2.2.3. Penyusunan Profil Dinas Kesehatan</t>
  </si>
  <si>
    <t>2.2.4. Penyusunan  RENSTRA Dinas Kesehatan Tahun 2017-2022</t>
  </si>
  <si>
    <t>2.3.1. Pengadaan Obat dan Bahan Habis Pakai</t>
  </si>
  <si>
    <t xml:space="preserve">2.4.1. Pelayanan Dokter Mobile </t>
  </si>
  <si>
    <t xml:space="preserve">2.5. Program Perbaikan Gizi Masyarakat </t>
  </si>
  <si>
    <t>2.4. Program Promosi Kesehatan dan Pemberdayaan Masyarakat</t>
  </si>
  <si>
    <t>2.3. Program Pengadaan Obat dan Bahan Habis Pakai</t>
  </si>
  <si>
    <t>2.2. Program Peningkatan Pengembangan Sistem Pelaporan Capaian Kinerja</t>
  </si>
  <si>
    <t>2.5.1. Monitoring, Evaluasi dan Pelaporan  KIA</t>
  </si>
  <si>
    <t>2.5.2. Pemantauan Status Gizi Balita</t>
  </si>
  <si>
    <t xml:space="preserve">2.6. Program Pencegahan dan Penanggulangan Penyakit Menular </t>
  </si>
  <si>
    <t>2.6.1. Suverlans Penyakit Menular</t>
  </si>
  <si>
    <t xml:space="preserve">2.6.2. Pelayanan Imunisasi </t>
  </si>
  <si>
    <t>2.6.3. Distribusi dan Pelayanan Imunisasi Rutin Kepuskesmasan dan Kampung</t>
  </si>
  <si>
    <t>2.6.4. Screening  Frambosia</t>
  </si>
  <si>
    <t xml:space="preserve">2.6.5. Pengawasan Rumah-rumah Makan </t>
  </si>
  <si>
    <t>2.7. Pengadaan Peningkatan dan Perbaikan Sarana dan Prasasarana Puskesmas/Puskesmas Pembantu dan Jaringannya</t>
  </si>
  <si>
    <t>2.7.2. Pengurusan Ijin Operasional RS PRATAMA Kabupaten Maybrat</t>
  </si>
  <si>
    <t>2.7.3. Pembangunan Rumah Genset RS PRATAMA</t>
  </si>
  <si>
    <t>2.7.1. Redisain  RS PRATAMA Kerjasama dengan  ARSADA</t>
  </si>
  <si>
    <t>2.7.4. Pematangan  Lahan PUSKESMAS Aifat</t>
  </si>
  <si>
    <t>2.7.5. Pematangan  Lahan PUSKESMAS Mare</t>
  </si>
  <si>
    <t>2.7.6. Pematangan  Lahan PUSKESMAS Ayamaru Timur</t>
  </si>
  <si>
    <t>2.7.7. Pematangan  Lahan PUSKESMAS Ayamaru Utara</t>
  </si>
  <si>
    <t>2.7.8. Pembangunan PUSTU Bori</t>
  </si>
  <si>
    <t>2.7.9. Peningkatan PUSTU Kambuwifa</t>
  </si>
  <si>
    <t>2.7.10. Pembangunan PUSTU Sire</t>
  </si>
  <si>
    <t>2.7.11. Perencanaan Teknis 2020</t>
  </si>
  <si>
    <t>2.7.12. Perencanaan Teknis 2020</t>
  </si>
  <si>
    <t>2.7.13. Administrsi Proyek  2020</t>
  </si>
  <si>
    <t>2.7.14. Pengadaan Meubelair  RS PRATAMA</t>
  </si>
  <si>
    <t>2.7.15. Peningkatan PUSTU Susumuk</t>
  </si>
  <si>
    <t>2.8.1. Operasional PUSKESMAS</t>
  </si>
  <si>
    <t>2.8.2. Operasional PUSKESMAS PEMBANTU</t>
  </si>
  <si>
    <t>2.8.3. Operasional  IGD PUSKESMAS Ayamaru</t>
  </si>
  <si>
    <t>2.8.4. Operasional  IGD PUSKESMAS Ayamaru Timur</t>
  </si>
  <si>
    <t>2.8.5. Operasional  IGD PUSKESMAS Aifat</t>
  </si>
  <si>
    <t>2.8.6. Operasional  IGD PUSKESMAS Aitinyo</t>
  </si>
  <si>
    <t>2.8.7. Operasional   IGD PUSKESMAS Ayamaru Utara</t>
  </si>
  <si>
    <t>2.8.8. Monitoring dan Evaluasi Program YANKES</t>
  </si>
  <si>
    <t>2.8.9. Pelatihan Pelayanan Kesehatan Tradisional</t>
  </si>
  <si>
    <t>2.8.10. Pelatihan Penyusunan RUK/POA PUSKESMAS</t>
  </si>
  <si>
    <t>2.8. Program Peningkatan Pelayanan PUSKESMAS</t>
  </si>
  <si>
    <t xml:space="preserve">2.8. Program Pengembangan Sumber daya Manusia </t>
  </si>
  <si>
    <t>2.8.1. Dukungan Manajemen  SDM Kesehatan</t>
  </si>
  <si>
    <t>2.8.2. Penagadaan Tenaga Paramedis</t>
  </si>
  <si>
    <t>2.8.4. Insentif Nusantara Sehat</t>
  </si>
  <si>
    <t>2.8.5. Akreditasi  PUSKESMAS</t>
  </si>
  <si>
    <t xml:space="preserve">2.8.3. Insentif Dokter Umum </t>
  </si>
  <si>
    <t>2.8.6. Insentif Dokter Spesialis</t>
  </si>
  <si>
    <t>2.9. BELANJA TIDAK LANGSUNG</t>
  </si>
  <si>
    <t>2.9.1. Iuran JAMKESDA</t>
  </si>
  <si>
    <t>3.2. Program Peningkatan Jalan</t>
  </si>
  <si>
    <t>4.  SATUAN POLISI PAMONG PRAJA</t>
  </si>
  <si>
    <t>4.1. Peningkatan Keamanan dan Kenyamanan Lingkungan</t>
  </si>
  <si>
    <t>4.1.2. Penyelenggaraan Kegiatan Pemuda Penggerak Pembangunan Masyarakat</t>
  </si>
  <si>
    <t>5. DINAS KETAHANAN PANGAN</t>
  </si>
  <si>
    <t>5.1. Program Peningkatan Kapasitas Sumber Daya Aparatur</t>
  </si>
  <si>
    <t>5.1.1. Pendidikan dan Pelatihan  Teknik Budaya Tenak dan Produk Pertanian</t>
  </si>
  <si>
    <t>5.2. Peningkatan Ketahanan Pangan, Pertanian,  Perikanan dan Perkebunan</t>
  </si>
  <si>
    <t>5.2.1. Pengembangan Budidaya Komoditas Kacang Tanah Varietas Batik</t>
  </si>
  <si>
    <t xml:space="preserve">5.2.2. Pengembangan Peternakan </t>
  </si>
  <si>
    <t>6. SEKERTARIAT DAERAH</t>
  </si>
  <si>
    <t>6.1.1. Pengadaan Peralatan Gedung Kantor</t>
  </si>
  <si>
    <t>7.1. Program Peningkatan Sistem Pengawasan Internal dan Pengendalian Pelaksanaan Kebijakan KDH</t>
  </si>
  <si>
    <t>7.1.1. Tuntutan Perbendaharaan dan Tuntutan Ganti Rugi</t>
  </si>
  <si>
    <t>7.1.2. Penyusunan Angka Kredit Auditor</t>
  </si>
  <si>
    <t>7.1.3. Sosialisasi Peraturan Perundang-undangan</t>
  </si>
  <si>
    <t>7.2. Penataan  dan  Penyempurnaan Kebijakan Sistem dan Prosedur Pengawasan</t>
  </si>
  <si>
    <t>7.2.1. Monitoring dan Evaluasi Kegiatan yang bersumber dana  OTSUS</t>
  </si>
  <si>
    <t>8. BADAN PERENCANAAN PEMBANGUNAN DAERAH</t>
  </si>
  <si>
    <t>8.1. Program Pengembangan Data/Informasi</t>
  </si>
  <si>
    <t>8.1.1. Penyusunan Musyawarah Rencana Pembangunan Daerah  (MUSRENBANG)</t>
  </si>
  <si>
    <t>8.2. Program Perencanaan Pembangunan Daerah</t>
  </si>
  <si>
    <t>8.1.1. Desain Enggneri Dokumen  (DED) Air Bersih Kab. Maybrat</t>
  </si>
  <si>
    <t>9. BADAN PENGELOLA KEUANGAN DAN ASET DAERAH SELAKU PPKD</t>
  </si>
  <si>
    <t>9. Belanja Bantuan kepada Kelompok Masyarakat/Perorangan</t>
  </si>
  <si>
    <t>9.1.1. Belanja Bantuan Sosial Masyarakat</t>
  </si>
  <si>
    <t>9.1.1.1. Belanja Bantuan Pendidikan</t>
  </si>
  <si>
    <t>9.1.1.2. Belanja Bantuan Pendidikan Pilot a.n SHRISTOVEL HOWAY</t>
  </si>
  <si>
    <t>9.1.1.3. Belanja Bantuan Bidang Kesehatan</t>
  </si>
  <si>
    <t>7.1.1 Pengadaan Sarana dan Prasarana Ketenagalistrikan</t>
  </si>
  <si>
    <t>1.1.2. Penyetaraan Bidang Ilmu Pendidik TK dari PGSD ke PGPAUD</t>
  </si>
  <si>
    <t>1.1.3. Bantuan Operasional Sekolah Daerah (BOSDA) untuk PAUD (TK dan KB)</t>
  </si>
  <si>
    <t>1.1.4. Renwas DAK</t>
  </si>
  <si>
    <t>1.2.2. Pembangunan rumah dinas kepala sekolah, guru, penjaga sekolah</t>
  </si>
  <si>
    <t>1.2.3. Pembangunan asrama sekolah</t>
  </si>
  <si>
    <t>1.2.5. Pelaksanaan Ujian Nasional  (Berbasis Komputer) Tingkat SMP</t>
  </si>
  <si>
    <t>1.2.6. Pelaksanaan Ujian Sekolah Berstandar Nasional (Berbasis Komputer) Tingkat SMP</t>
  </si>
  <si>
    <t>1.2.7. Penyusunan Soal Ujian Sekolah Berstandar Nasional SMP</t>
  </si>
  <si>
    <t>1.2.8. Penyusunan Soal USBN SD</t>
  </si>
  <si>
    <t>1.2.9. Sosialisasi Ujian Nasional SMP</t>
  </si>
  <si>
    <t>1.2.10.Pelaksanan USBN Tingkat SD</t>
  </si>
  <si>
    <t>1.2.11.Operasional Penampungan Siswa Tingkat SMP di 7 Distrik</t>
  </si>
  <si>
    <t>1.2.12.Pelatihan Aplikasi E-RKAS dan Pelaporan BOS</t>
  </si>
  <si>
    <t>1.2.13.Biaya Pendamping Kegiatan Peningkatan Kompetensi Pembelajaran (PKP)</t>
  </si>
  <si>
    <t>1.2.14.Pelaksanaan OSN (Olympiade Sains Nasional) SMP Tingkat Kabupaten</t>
  </si>
  <si>
    <t>1.2.15.Pelatihan Teknisi dan Proktor UNBK</t>
  </si>
  <si>
    <t>1.2.16.Bimtek Peningkatan Kapasitas Managerial Kepala Sekolah Tingkat SMP</t>
  </si>
  <si>
    <t>1.2.17.Matrikulasi MIPA Sekolah Dasar Wilayah Kambrauw</t>
  </si>
  <si>
    <t>1.2.18.Matrikulasi MIPA Sekolah Dasar Wilayah Teluk Etna</t>
  </si>
  <si>
    <t>1.2.19.Sosialisasi USBN SD</t>
  </si>
  <si>
    <t>1.2.20.Renwas DAK</t>
  </si>
  <si>
    <t>1.3.1. Diklat Kepala PAUD (TK dan KB)</t>
  </si>
  <si>
    <t>1.4.1. Pelatihan Penyusunan Rencana Pembelajaran K-13 Bagi 139 Guru SD</t>
  </si>
  <si>
    <t>1.5.1. Afirmasi Pendidikan Menengah (ADEM) Bagi Putra/i Asli Papua</t>
  </si>
  <si>
    <t>1.5.2. Afirmasi Pendidikan Tinggi (ADIK) bagi Putra/putri Asli Papua</t>
  </si>
  <si>
    <t>1.5.3. Biaya Pendidikan Mahasiswa Guru Penjas Kerjasama PEMDA Kaimana dengan UNJ</t>
  </si>
  <si>
    <t>1.5.4. Fasilitasi dan Operasional UPTD Distrik Teluk Arguni</t>
  </si>
  <si>
    <t>1.5.5. Fasilitasi dan Operasional UPTD Distrik Arguni Bawah</t>
  </si>
  <si>
    <t>1.5.6. Fasilitasi dan Operasional UPTD Distrik Kambrau</t>
  </si>
  <si>
    <t>1.5.7. Fasilitasi dan Operasional UPTD Distrik Buruway</t>
  </si>
  <si>
    <t>1.5.8. Fasilitasi dan Operasional UPTD Distrik Teluk Etna</t>
  </si>
  <si>
    <t>1.5.9. Fasilitasi dan Operasional UPTD Distrik Yamor</t>
  </si>
  <si>
    <t>1.5.10.Bantuan Operasional Sekolah (BOSDA)</t>
  </si>
  <si>
    <t>1.5.11.Biaya pendidikan mahasiswa seni dan bahasa kerjasama Pemda kaimana dengan UNJ</t>
  </si>
  <si>
    <t>1.5.12.Monitoring dan Evaluasi Pendidikan</t>
  </si>
  <si>
    <t>1.6. Program Pengembangan Pemuda dan Penyelenggaraan Hari Besar Nasional</t>
  </si>
  <si>
    <t>1.6.1. Pengiriman Peserta Jambore  Pemuda Indonesia</t>
  </si>
  <si>
    <t>1.7.1. Pembinaan BAPOPSI</t>
  </si>
  <si>
    <t>1.7. Program peningkatan sarana dan Prasarana Olah Raga</t>
  </si>
  <si>
    <t>1.7.2. Olimpiade Olahraga Siswa Nasional (O2SN) tingkat Kabupaten</t>
  </si>
  <si>
    <t>1.7.3. Liga Sepak Bola Pelajar (LSP)</t>
  </si>
  <si>
    <t>2.1.2. Penyediaan bahan logistik kantor</t>
  </si>
  <si>
    <t>2.2.1. Pembangunan rumah dinas</t>
  </si>
  <si>
    <t>2.4.1. Penanganan Perawatan Penderita Gizi Buruk</t>
  </si>
  <si>
    <t>2.5.1. Pemeriksaan Mutu Baku Air di BTKL AMBON</t>
  </si>
  <si>
    <t>2.6.2. Case Finding Neglected Disease ( TB,Kusta,Filariasis,HIV )</t>
  </si>
  <si>
    <t>2.6.3. Penanggulangan Wabah dan Bencana</t>
  </si>
  <si>
    <t>2.6.4. Pembinaan Kesehatan Haji</t>
  </si>
  <si>
    <t>2.6.5. Pemeriksaan Khusus Populasi Kunci</t>
  </si>
  <si>
    <t>2.6.6. Pelatihan PTM bagi Petugas</t>
  </si>
  <si>
    <t>2.7.2. Dialog Interaktif Tentang Kesehatan Masyarakat</t>
  </si>
  <si>
    <t>2.8. Program Pengembangan Manajemen Kesehatan</t>
  </si>
  <si>
    <t>2.8.1. Fasilitasi Penyusunan Profil Kesehatan</t>
  </si>
  <si>
    <t>2.8.2. Sosialisasi dan Pendampingan Perencanaan Tingkat Puskesmas (PTP) Terpadu</t>
  </si>
  <si>
    <t>2.11.1. Penunjang Kegiatan Puskesmas</t>
  </si>
  <si>
    <t>2.11.2. Penyediaan biaya rujukan pasien gawat darurat (dari PKM ke RSUD)</t>
  </si>
  <si>
    <t>2.11.3. Puskesmas Jalan Kaki (Pusjaki)</t>
  </si>
  <si>
    <t>2.11.4. Jaminan Kesehatan Bagi Orang Asli Papua  (BPJS Kesehatan)</t>
  </si>
  <si>
    <t>2.11.5. Koordiasi Teknis Pelaksanaan JKN</t>
  </si>
  <si>
    <t>3.2.1. Pengadaan alat-alat kesehatan rumah sakit</t>
  </si>
  <si>
    <t>3.2.2. Pengadaan bahan-bahan logistik rumah sakit</t>
  </si>
  <si>
    <t>4.1. Program pembangunan Jalan dan Jembatan</t>
  </si>
  <si>
    <t xml:space="preserve">4.1.1. Pembangunan Jalan  </t>
  </si>
  <si>
    <t>5.1.2. Penyusunan database perumahan</t>
  </si>
  <si>
    <t>6.1.1. Rehabilitasi Kesejahteraan Sosial untuk Penyandang Cacat Mental</t>
  </si>
  <si>
    <t>6.1.2. Rehabilitasi Kesejahteraan Sosial bagi Penyandang Cacat Fisik,  Anak dan Dewasa</t>
  </si>
  <si>
    <t>6.1.3. Pelatihan Ketrampilan Bagi Penyandang Masalah Kesejahteraan Sosial</t>
  </si>
  <si>
    <t>6.2. Program Komunitas Adat Terpencil</t>
  </si>
  <si>
    <t>6.2.1. Pelayanan Sosial Bagi Lansia,Veteran, Asrama/Pesantren dan Orang Terlantar</t>
  </si>
  <si>
    <t>6.2.2. Penjajakan Awal Kampung Kategori KAT</t>
  </si>
  <si>
    <t>6.2.3. Semiloka Daerah dan Pusat</t>
  </si>
  <si>
    <t>6.2.4. Pemberdayaan Ketrampilan bagi PMKS Wilayah KAT</t>
  </si>
  <si>
    <t>6.2.5. Pemetaan Sosial</t>
  </si>
  <si>
    <t>6.2.6. Pelatihan Ketrampilan Bagi Penyandang Masalah Kesejahteraan Sosial (PMKS)</t>
  </si>
  <si>
    <t>7.1. Program Penguatan Kelembagaan Pengarusutamaan Gender dan Anak</t>
  </si>
  <si>
    <t>7.1.1. Pembentukan POKJA PUG Kabupaten Kaimana</t>
  </si>
  <si>
    <t>7.1.2. Pelatihan Gender bagi Aparat Kampung dan tokoh Agama</t>
  </si>
  <si>
    <t>7.1.3. Pembinaan Organisasi Wanita</t>
  </si>
  <si>
    <t>7.1.4. Fasilitasi peningkatan produktifitas ekonomi perempuan (PPEP) asli papua</t>
  </si>
  <si>
    <t>7.2. Program Peningkatan Kualitas Hidup dan Perlindungan Perempuan</t>
  </si>
  <si>
    <t>7.2.1. Penyusunan profil perlindungan perempuan terhadap tindak kekerasan</t>
  </si>
  <si>
    <t>7.2.2. Fasilitasi Perlindungan Perempuan dan Anak Korban kekerasan Melalui P2TP24</t>
  </si>
  <si>
    <t>7.2.3. Monitoring dan evaluasi kasus KDRT</t>
  </si>
  <si>
    <t>7.3. Program Peningkatan Kesejahteraan Perlindungan Anak</t>
  </si>
  <si>
    <t xml:space="preserve">7.3.1. Sosialisasi Konvensi Hak Anak (KHA) dan UU No 35 Tahun 2014 </t>
  </si>
  <si>
    <t>7.3.2. Sosialisasi dan Edukasi bahaya perkawinan dini</t>
  </si>
  <si>
    <t>7.3.3. Hari anak nasional</t>
  </si>
  <si>
    <t>7.4. Program Peningkatan Kesejahteraan Perlindungan Perempuan</t>
  </si>
  <si>
    <t>7.4.1. Sosialisasi UU No 23 Tahun 2004 tentang penghapusan kekerasan dalam rumah tangga</t>
  </si>
  <si>
    <t>7.5. Program Partisiasi masyarakat</t>
  </si>
  <si>
    <t xml:space="preserve">7.5.1. Sosialisasi pentingnya peningkatan kapasitas masyarakat kampung </t>
  </si>
  <si>
    <t>7.5.2. Dialog anak dengan Bupati dalam rangka inisasi menuju kota layak anak</t>
  </si>
  <si>
    <t>7.6. Program Partisipasi media</t>
  </si>
  <si>
    <t>7.6.1. Pengembangan KIE tentang perlindungan perempuan dan anak</t>
  </si>
  <si>
    <t>7.7. Program Partisipasi Organisasi</t>
  </si>
  <si>
    <t>7.7.1. Pembentukan Forum PUSPA kabupaten Kaimana</t>
  </si>
  <si>
    <t>7.8. Program partisipasi lembaga profesi dan dunia usaha</t>
  </si>
  <si>
    <t>7.8.1. Workshop tantangan dan permasalahan perempuan dan anak di era globalisasi</t>
  </si>
  <si>
    <t>5.2. Program lingkungan Sehat Perumahan</t>
  </si>
  <si>
    <t>5.2.1. Penyedia Sarana Air Bersih dan Sanitasi Dasar Bagi Masyarakat</t>
  </si>
  <si>
    <t>8.1. Pogram peningkatan pelayanan angkutan</t>
  </si>
  <si>
    <t>8.1.1. Kegiatan penciptaan pelayanan cepat, tepat, murah dan mudah</t>
  </si>
  <si>
    <t>8.2. Program pembangunan sarana dan prasarana perhubungan</t>
  </si>
  <si>
    <t>8.2.1. Pembangunan Dan Rehabilitasi Dermaga Lokal</t>
  </si>
  <si>
    <t>9.1. Program Peningkatan, Pembinaan, Pengawasan dan Pengendalian Perdagangan</t>
  </si>
  <si>
    <t>9.1.1 Fasiltasi Bantuan Peralatan bagi Pedagang orang asli Papua</t>
  </si>
  <si>
    <t>9.1.2. Pengambilan data Stok dan Harga Bahan Kebutuhan Pokok dan Barang Strategis</t>
  </si>
  <si>
    <t>9.1.3. Sosialisasi pedagang pasar orang asli Papua (OAP)</t>
  </si>
  <si>
    <t>9.2. Program Perlindungan Konsumen dan Pengamanan Perdagangan</t>
  </si>
  <si>
    <t>9.2.1. Pelayanan Tera atau Tera Ulang UTTP</t>
  </si>
  <si>
    <t>9.2.2. Kalibrasi Alat Laboraturium UTTP</t>
  </si>
  <si>
    <t>9.2.3. Pemeriksaan Terhadap Ukuran Takaran Timbangan dan Perlengkapannya (UTTP)</t>
  </si>
  <si>
    <t>10.1.1. Lomba cipta menu serbah Ikan</t>
  </si>
  <si>
    <t>10.2. Program pengembangan budidaya perikanan</t>
  </si>
  <si>
    <t>10.2.1. Pendampingan dan Pembinaan Kegiatan Budidaya Perikanan</t>
  </si>
  <si>
    <t>10.2.2. Pelatihan Penangkaran kepiting Bakau</t>
  </si>
  <si>
    <t>10.2.3. Sarana Prasarana budidaya Perikanan</t>
  </si>
  <si>
    <t>10.2.4. Revitalisasi Kolam air Payau</t>
  </si>
  <si>
    <t>10.2.5. Pengambilan Sampel perairan Budidaya Perikanan</t>
  </si>
  <si>
    <t>10.3. Program pengembangan perikanan tangkap</t>
  </si>
  <si>
    <t>10.3.1. Demonstrasi cara Pembuatan dan Perawatan Alat Tangkap Gilnet dan Tramel net</t>
  </si>
  <si>
    <t>10.3.2. Penyediaan peralatan Perikanan Tangkap</t>
  </si>
  <si>
    <t>10.3.3. Operasional Petugas Pendamping Pemberdayaan Usaha Skala Masyarakat KP</t>
  </si>
  <si>
    <t>10.3.4. Operasional Kelompok Nelayan Perikanan Tangkap</t>
  </si>
  <si>
    <t>10.4. Program Pengembangan Simpul Pemasaran Dan Pengembangan Usaha</t>
  </si>
  <si>
    <t>10.4.1. Pelatihan Pengembngan Produk Hasil Perikanan Non Konsumsi (OAP)</t>
  </si>
  <si>
    <t>11.1. Program pengembangan pemasaran pariwisata</t>
  </si>
  <si>
    <t>11.1.2. Pengumpulan dan Pembuatan Bahan Promosi</t>
  </si>
  <si>
    <t>11.2. Program pengembangan destinasi pariwisata</t>
  </si>
  <si>
    <t>11.2.1. Penyusunan RIPOW dan DED Objek Wisata Siamarawas</t>
  </si>
  <si>
    <t>11.2.2. Pembangunan Ruang Ganti dan Toilet</t>
  </si>
  <si>
    <t>11.2.3. Fasilitas Pembentukan Organisasi Kemitraan Pariwisata</t>
  </si>
  <si>
    <t>11.2.4. Pengembangan KSP Unggulan</t>
  </si>
  <si>
    <t>11.2.5. Pendampingan Sanggar Seni</t>
  </si>
  <si>
    <t>11.2.6. Pengembangan Wisata Kuliner Khas Kaimana</t>
  </si>
  <si>
    <t>11.3. Program pengembangan Kemitraan Pariwisata</t>
  </si>
  <si>
    <t>11.3.1. Pelatihan dan Penyediaan Tenaga Pedamping Desa Wisata</t>
  </si>
  <si>
    <t>11.3.2. Rapat Koordinasi Bidang Pariwisata</t>
  </si>
  <si>
    <t>11.3.3. Sosialisasi Penerapan Standarisasi Angkutan Wisata</t>
  </si>
  <si>
    <t>11.3.4. Pendampingan dan Penyuluhan Berkelanjutan Sapta Pesona di KSP II</t>
  </si>
  <si>
    <t>12.1. Program Pemberdayaan Penyuluh Pertanian Lapangan (PPL)</t>
  </si>
  <si>
    <t>12.1.1. Penunjang Bagi Kantor Balai Penyuluhan Pertanian</t>
  </si>
  <si>
    <t>12.2. Program pencegahan dan penanggulangan penyakit ternak</t>
  </si>
  <si>
    <t>12.2.1. Pengadaan Alat dan Obat-Obatan Keswan</t>
  </si>
  <si>
    <t>12.2.2. Pengambilan Sampel Darah Unggas di Distrik Kaimana dan Pemeriksaan Sampel Darah</t>
  </si>
  <si>
    <t>12.3. Program Produksi Perkebunan</t>
  </si>
  <si>
    <t>12.3.1. Penanaman Tanaman Pala</t>
  </si>
  <si>
    <t>12.3.2. Penanaman Tanaman Kopi Robusta</t>
  </si>
  <si>
    <t>12.4. Program Peningkatan Produksi Pertanian</t>
  </si>
  <si>
    <t>12.4.1. Budidaya Tanaman Pisang</t>
  </si>
  <si>
    <t>13.1. Program Perencanaan Tata Ruang</t>
  </si>
  <si>
    <t>13.1.1. Honorarium TIM BKPRD Kabupaten Kaimana</t>
  </si>
  <si>
    <t>13.1.2. Persetujuan Izin Substansi RTRW di BKPRD Pusat, Provinsi</t>
  </si>
  <si>
    <t>13.1.3. ASISTENSI DAN SUPERVISI PETA RTRW DI BIG</t>
  </si>
  <si>
    <t>13.1.4. Konsultasi Publik RTRW</t>
  </si>
  <si>
    <t>13.2. Program perencanaan pembangunan daerah</t>
  </si>
  <si>
    <t>13.2.1. Monitoring, evaluasi dan pelaporan</t>
  </si>
  <si>
    <t>13.2.2. Penyelenggaraan Musrenbang Distrik, Kabupaten, Provinsi dan Nasional</t>
  </si>
  <si>
    <t>13.2.3. Pameran Otsus dan Promosi Potensi Daerah</t>
  </si>
  <si>
    <t>13.3. Program perencanaan sosial dan budaya</t>
  </si>
  <si>
    <t>13.3.1. Penyusunan Profil Daerah (SIPDA)</t>
  </si>
  <si>
    <t>13.4. Program Kajian, Penelitian dan Pengembangan Daerah</t>
  </si>
  <si>
    <t>13.4.1. Pendampingan, Sosialisasi dan Pengawasan Program ESDM Kabupaten Kaimana</t>
  </si>
  <si>
    <t>14.1. Belanja Hibah kepada Organisasi Seni, Budaya dan Olahraga</t>
  </si>
  <si>
    <t>14.2. Belanja Hibah Kepada Rumah Ibadah</t>
  </si>
  <si>
    <t>14.3. Belanja Hibah Dana BOSDA ke TK, SD dan SMP</t>
  </si>
  <si>
    <t xml:space="preserve">14.7. Belanja Bantuan Untuk Pendidikan  </t>
  </si>
  <si>
    <t xml:space="preserve">14.6. Belanja Bantuan Masyarakat  </t>
  </si>
  <si>
    <t xml:space="preserve">14.5. Belanja Bantuan Sosial Yang Tidak Dapat Direncanakan  </t>
  </si>
  <si>
    <t xml:space="preserve">14.4. Belanja Bantuan Sosial Organisasi Keagamaan </t>
  </si>
  <si>
    <t>1.2.4. Pengadaan meubelair sekolah</t>
  </si>
  <si>
    <t xml:space="preserve">1.1. Program Peningkatan Pengembangan Sistem Pelaporan Capaian Kinerja dan Keuangan </t>
  </si>
  <si>
    <t xml:space="preserve">1.1.1. Coreteam Perencenaan </t>
  </si>
  <si>
    <t xml:space="preserve">1.2. Program pembangunan jalan dan jembatan </t>
  </si>
  <si>
    <t>1.2.1. Pembangunan Jalan Moskona - Maybrat (Kab. Teluk Bintuni)</t>
  </si>
  <si>
    <t>1.2.2. Pembangunan Jalan Wombu -Undurara (Kab. Teluk wondama)</t>
  </si>
  <si>
    <t>1.2.4. Pembangunan jalan Aimas - Klamono - Klabra (Kab. Sorong)</t>
  </si>
  <si>
    <t>1.2.5. Pembangunan Jalan Katapop Pantai - Pelabuhan Seget (KEK) (Kab. Sorong)</t>
  </si>
  <si>
    <t>1.2.7. Pembangunan Jalan Drs. Dominggus Mandacan (Sowi Gunung) (Kab. Manokwari)</t>
  </si>
  <si>
    <t>1.2.8. Pembangunan Jalan Tembus Kaiamana Menuju Kampung Bitsyari Distrik Kaimana (Kab. Kaimana)</t>
  </si>
  <si>
    <t>1.2.9. Pembangunan Jalan Kaimana - Kiruru (Kab.Kaimana)</t>
  </si>
  <si>
    <t>1.2.10.Pembangunan Jalan Tembus Teluk Triton - Kaimana (Kab. Kaimana)</t>
  </si>
  <si>
    <t>1.2.1.11.Pembangunan Jalan Umoisi-Batas Kabupaten Manokwari Selatan - Sururey  (Kab.Manokwari Selatan)</t>
  </si>
  <si>
    <t>1.2.12.Pembangunan Jalan Batas  Kabupaten Teluk Bintuni-Merdey (Kab. Teluk Bintuni)</t>
  </si>
  <si>
    <t>1.2.13.Pembangunan Jalan Isim - Tuhugesa - Neney (Kab. Manokwari Selatan)</t>
  </si>
  <si>
    <t>1.2.14.Pembangunan Jalan Klasari - Seget (Kab.Sorong)</t>
  </si>
  <si>
    <t>1.2.15.Pembangunan Jembatan Sibuni Tahap II (Kab. Manokwari)</t>
  </si>
  <si>
    <t>1.2.16.Pembangunan Jalan Sayosa - Sailala  - Klaili (Kab.Sorong)</t>
  </si>
  <si>
    <t>1.2.17.Pembangunan Jembatan Kali Merah (Kab.Manokwari)</t>
  </si>
  <si>
    <t>1.2.18.Pembangunan Jembatan Kali Uriyem Kmp. Sogun (Kab. Manokwari)</t>
  </si>
  <si>
    <t>1.2.19.Pembangunan Jalan Lingkar Danau Uter Tahap I (Kab. Maybrat)</t>
  </si>
  <si>
    <t>1.2.20.Pembangunan Jembatan Sibuni III  (Kab. Manokwari)</t>
  </si>
  <si>
    <t>1.2.21.Pembangunan Jalan Taige - Pegaf - Gunung Botak (Kab. Pegunungan Arfak)</t>
  </si>
  <si>
    <t>1.2.22.Pembangunan Jalan Testega - Moskona Timur (Kab. Pegunungan Arfak)</t>
  </si>
  <si>
    <t>1.2.23.Pembangunan Jalan Testega - Assai - Meidodga (Kab. Pegunungan Arfak)</t>
  </si>
  <si>
    <t>1.2.24.Pembangunan Jalan Meyof - Testega (Kab. Pegunungan Arfak)</t>
  </si>
  <si>
    <t>1.2.25.Pembangunan Jalan Pegaf - Dataran Bermes (Kab.Pegunungan Arfak)</t>
  </si>
  <si>
    <t>1.2.26.Pembangunan Jalan Suksiar - Seya (Kab. Maybrat)</t>
  </si>
  <si>
    <t>1.2.27.Pembangunan Jalan  Sururey -Batas Kabupaten Manokwari Selatan - Umoisi (Manokwari Selatan)</t>
  </si>
  <si>
    <t>1.2.28.Pembangunan Jalan Wermura - Sisir (Kab. Kaimana)</t>
  </si>
  <si>
    <t>1.2.29.Pembangunan Jembatan Deraroga Kab. Fakfak)</t>
  </si>
  <si>
    <t>1.2.30.Pembangunan Jembatan Kali Masni (Kab. Manokwari)</t>
  </si>
  <si>
    <t>1.2.31.Pembangunan Jembatan Kali Isim (Kab. Manokwari Selatan)</t>
  </si>
  <si>
    <t>1.2.32.Pembangunan Jembatan Gosames (Kab. Maybrat)</t>
  </si>
  <si>
    <t>1.2.33.Pembangunan Jembatan Kali Asiak (Kab. Tambrauw)</t>
  </si>
  <si>
    <t>1.2.34.Pembangunan Jembatan Bowi Bubur Cs (SP.6) (Kab. Manokwari)</t>
  </si>
  <si>
    <t>1.2.35.Pembangunan Jembatan Ahmad Yani (Kab. Raja Ampat)</t>
  </si>
  <si>
    <t>1.2.36.Pembangunan Jalan Pami - Arfai (Kab. Manokwari)</t>
  </si>
  <si>
    <t>1.2.37.Pembangunan Box Culvert Kampung Assai (Kab. Manokwari)</t>
  </si>
  <si>
    <t>1.2.38.Pembangunan Jalan Testega - Meyof (Kab. Pegunungan Arfak)</t>
  </si>
  <si>
    <t>1.2.39.Pembangunan Jalan Menyambouw - Catubouw (Kab. Pegunungan Arfak)</t>
  </si>
  <si>
    <t>1.2.40.Pembangunan Jembatan Penimbut 2  (Kab. Pegunungan Arfak)</t>
  </si>
  <si>
    <t>1.2.41.Pembangunan Jembatan Demasi II (Kab. Pegunungan Arfak)</t>
  </si>
  <si>
    <t>1.2.42.Pembangunan Jalan Biscop - Homa (Kab. Teluk Bintuni)</t>
  </si>
  <si>
    <t>1.2.43.Pembangunan Jalan Mameh - Kaprus - Yarmalum (Kab. Manokwari Selatan)</t>
  </si>
  <si>
    <t>1.2.44.Pembangunan Jalan Karuan - Sabubar - Ambuar - Distrik Sough Wepu - Yarmalum (Kab. Teluk Wondama)</t>
  </si>
  <si>
    <t>1.2.45.Pembangunan Jembatan Klabra (Kab.Sorong Selatan)</t>
  </si>
  <si>
    <t>1.2.46.Pembangunan Jalan Warmadi - Saukorem - Arfu - (gunung biori - kampung sanfarmondistrik Amberbaken Barat) (Kab. Tambrauw)</t>
  </si>
  <si>
    <t>1.2.47.Pembangunan Jalan Aifat Timur Selatan - Moskona Utara (kab. Maybrat)</t>
  </si>
  <si>
    <t>1.2.48.Pembangunan Jalan Aifat Timur Jauh - Moskona Utara (Kab. Maybrat)</t>
  </si>
  <si>
    <t>1.2.49.Pembangunan Jalan Demaisi - Hing (Kab. Pegunungan Arfak)</t>
  </si>
  <si>
    <t>1.2.50.Pembangunan Jembatan Kamisabe (Kab. Sorong Selatan)</t>
  </si>
  <si>
    <t>1.2.51.Pembangunan Jalan Werua - Orai (Kab. Kaimana)</t>
  </si>
  <si>
    <t>1.2.52.Pembangunan Jalan Ruas Merdey - Meyom (Kab. Teluk Bintuni)</t>
  </si>
  <si>
    <t>1.2.53.Pembangunan Jalan Ruas Cempedak - Meyejga ( Kab. Teluk Bintuni)</t>
  </si>
  <si>
    <t>1.2.54.Pembangunan Jalan Mogoi Baru - Stengkol I - Mayado (Kab. Teluk Bintuni)</t>
  </si>
  <si>
    <t>1.2.55.Pembangunan Jembatan Gantung di Distrik Fafurwar (Kab. Teluk Bintuni)</t>
  </si>
  <si>
    <t>1.2.56.Pembangunan Jalan D. Tempe Saoka  (Kota Sorong)</t>
  </si>
  <si>
    <t>1.2.57.Pembangunan Jalan Tanjung Dofior  (Kota Sorong)</t>
  </si>
  <si>
    <t>1.2.58.Pembangunan Jalan Bambu Kuning - Warsamson (Kota Sorong)</t>
  </si>
  <si>
    <t>1.2.59.Pembangunan Jalan Aniwefo - Jalan Saoka (Kota Sorong)</t>
  </si>
  <si>
    <t>1.2.60.Pembangunan Jalan D. Anggi - Jalan Saoka (Kota Sorong)</t>
  </si>
  <si>
    <t>1.2.61.Pembangunan Jalan D I Panjaitan - Jalan Saoka (Kota Sorong)</t>
  </si>
  <si>
    <t>1.2.62.Pembangunan Jembatan Bremi I Tahap 2- Upper Strukur (Kab. Manokwari)</t>
  </si>
  <si>
    <t>1.2.63.Pembangunan Jembatan Carmoho (DTI Kab. Mansel</t>
  </si>
  <si>
    <t>1.2. Program pembangunan turap/talud/bronjong</t>
  </si>
  <si>
    <t>1.2.1. Pengaman Abrasi Pantai Kolam Sisir, Kampung Marsi (Kab. Kaimana)</t>
  </si>
  <si>
    <t>1.2.2. Pengaman Abrasi Pantai Tanjung Kasuari (Kota Sorong)</t>
  </si>
  <si>
    <t>1.2.3. Pembangunan Pengamanan Abrasi Pantai Werabuan Distrik Wartutin (Kab. Fakfak)</t>
  </si>
  <si>
    <t>1.2.4. Pembangunan Abrasi Pantai Oransbari (Kab. Manokwari Selatan)</t>
  </si>
  <si>
    <t>1.2.5. Pembangunan Pengaman Abrasi Pantai Andair (Kab. Kaimana)</t>
  </si>
  <si>
    <t>1.2.6. Pembangunan Pengaman Abrasi Pantai Pasir Panjang (kab.Kaimana)</t>
  </si>
  <si>
    <t>1.2.7. Pembangunan Pengaman Abrasi Pantai Kampung Namatota (Kab. Kaimana)</t>
  </si>
  <si>
    <t>1.2.8. Pembangunan Turap/Talud/Buronjong di Kampung-Kampung (Kab. Kaimana)</t>
  </si>
  <si>
    <t>1.2.9. Pembangunan Pengaman Abrasi Pantai (DTI Kab. Kaimana)</t>
  </si>
  <si>
    <t>1.3. Program rehabilitasi/pemeliharaan jalan dan jembatan</t>
  </si>
  <si>
    <t xml:space="preserve">1.3.1. Pemeliharaan Jalan Provinsi Kab. Pegunungan Arfak </t>
  </si>
  <si>
    <t xml:space="preserve">1.3.2. Pemeliharaan Jalan Provinsi Kab. Manokwari Selatan </t>
  </si>
  <si>
    <t xml:space="preserve">1.3.3. Pemeliharaan Jalan Provinsi Kab. Kaimana </t>
  </si>
  <si>
    <t xml:space="preserve">1.3.4. Pemeliharaan Jalan Provinsi Kab. Manokwari </t>
  </si>
  <si>
    <t xml:space="preserve">1.3.5. Pemeliharaan Jalan Provinsi Kab. Sorong </t>
  </si>
  <si>
    <t xml:space="preserve">1.3.6. Pemeliharaan Jalan Provinsi Kab. Sorong Selatan </t>
  </si>
  <si>
    <t xml:space="preserve">1.3.7. Pemeliharaan Jalan Provinsi Kab. Raja Ampat </t>
  </si>
  <si>
    <t xml:space="preserve">1.3.8. Pemeliharaan Jalan Provinsi Kab. Fakfak </t>
  </si>
  <si>
    <t xml:space="preserve">1.3.9. Pemeliharaan Jalan Provinsi Kab. Teluk Wondama </t>
  </si>
  <si>
    <t xml:space="preserve">1.3.10.Pemeliharaan Jalan Provinsi Kab. Teluk Bintuni </t>
  </si>
  <si>
    <t xml:space="preserve">1.3.11.Pemeliharaan Jalan Provinsi Kab. Maybrat </t>
  </si>
  <si>
    <t xml:space="preserve">1.3.12.Pemeliharaan Jalan Provinsi Kab.Tambrauw </t>
  </si>
  <si>
    <t xml:space="preserve">1.3.13.Pemeliharaan Jalan Provinsi  Kota Sorong </t>
  </si>
  <si>
    <t>1.4. Program Pengembangan dan Pengelolaan Jaringan Irigasi, Rawa dan Jaringan Pengairan lainnya</t>
  </si>
  <si>
    <t>1.4.1. Rehabilitasi Jaringan Irigasi D.I Prafi (Distrik Masni) (Kab. Manokwari)</t>
  </si>
  <si>
    <t>1.4.2. Rehabilitasi Jaringan Irigasi D.I Muturi (Kab. Teluk Bintni)</t>
  </si>
  <si>
    <t xml:space="preserve">1.4.3. Rehabilitasi Jaringan Irigasi D.I Moswaren (Kab.Sorong Selatan) </t>
  </si>
  <si>
    <t xml:space="preserve">1.4.4. Pemeliharaan Daerah Irigasi Provinsi Papua Barat </t>
  </si>
  <si>
    <t>1.4.5. Pemeliharaan Rutin D.I Masni (Kab. Manokwari)</t>
  </si>
  <si>
    <t xml:space="preserve">1.4.6. Rehabilitasi Jaringan D.I Mbima Jaya (STA P4.5/STA P.7.0)   (Kab. Fak-fak) </t>
  </si>
  <si>
    <t>1.4.7. Pembangunan D.I Oransbari (Kab. Mansel)</t>
  </si>
  <si>
    <t>1.4.8. Peningakatan Jaringan Irigasi D.I Makbalin (Kab. Sorong)</t>
  </si>
  <si>
    <t>1.4.10.Pembangunan Saluran Tersier Irigasi D.I Sobey ( Kab. Teluk Wondama)</t>
  </si>
  <si>
    <t>1.4.9. Rehabilitasi Jaringan Sekunder / Primer Jaringan Irigasi D.I Sobey (Kab. Teluk Wondama)</t>
  </si>
  <si>
    <t>1.5.  Program Pengembangan Kinerja Pengelolaan Air Minum dan Air Limbah</t>
  </si>
  <si>
    <t xml:space="preserve">1.5.1. Pembangunan Sistem Pengelolaan Air Limbah(SPAL)  Kota Sorong </t>
  </si>
  <si>
    <t>1.5.2. Pembangunan Sarana dan Prasarana Air Bersih (Kab. Sorong)</t>
  </si>
  <si>
    <t>1.5.3. Rehabilitasi Jaringan Air Bersih Irai (Kab. Pegaf)</t>
  </si>
  <si>
    <t>1.5.4. Pembangunan Jaringan Air Bersih (Kab. Mansel)</t>
  </si>
  <si>
    <t>1.5.5. Pembangunan Jaringan Air Bersih  Di Kampung Sakartemen  (Kab. Fak-Fak)</t>
  </si>
  <si>
    <t>1.5.6. Pembangunan Jaringan Air BErsih Di Kampung Saharey  ( Kab. FAk-fak)</t>
  </si>
  <si>
    <t>1.5.7. Optimalisasi Jaringan Air Bersih Di Kampung Malakuli (Kab. Fak-fak)</t>
  </si>
  <si>
    <t>1.5.8. Pembuatan Sumur Gali Kedalaman 15meter (Kab. Manokwari)</t>
  </si>
  <si>
    <t>1.5.9. Pembangunan Air Bersih (Kab. Maybrat)</t>
  </si>
  <si>
    <t xml:space="preserve">1.5.10.Pembangunan Sumor Bor Di Kabupaten Sorong Selatan </t>
  </si>
  <si>
    <t xml:space="preserve">1.5.11.Pembangunan Jaringan Air Bersih Di Kabupaten Sorong Selatan </t>
  </si>
  <si>
    <t>1.6. Program Pengendalian Banjir</t>
  </si>
  <si>
    <t>1.7. Program Perencanaan dan Pengawasan Jalan dan Jembatan</t>
  </si>
  <si>
    <t xml:space="preserve">1.7.1. Core Team Pengawasan Jalan dan Jembatan </t>
  </si>
  <si>
    <t xml:space="preserve">1.7.2. Perencanaan Teknik Jalan dan Jembatan </t>
  </si>
  <si>
    <t>1.6.1. Normalisasi Sungai Macuan SP V Masni (Kab. Manokwari)</t>
  </si>
  <si>
    <t>1.6.2. Normalisasi Sungai Sakartemen (Kab. Fakfak)</t>
  </si>
  <si>
    <t>1.6.3. Normalisasi Kali Mati Ransiki (Kab. Mansel)</t>
  </si>
  <si>
    <t>1.6.4. Normalisasi Sungai Wemair (Kab. Maybrat)</t>
  </si>
  <si>
    <t>1.6.5. Normalisasi Sungai Komawlin (Sorong Selatan)</t>
  </si>
  <si>
    <t>1.6.6. Normalisasi Sungai Andai Kampung Buton (Kab. Manokwari)</t>
  </si>
  <si>
    <t>1.6.7. Normalisasi Sungai Bomberai Tahap II (Kab. Fakfak)</t>
  </si>
  <si>
    <t>1.6.8. Normalisasi Sungai Iray (Kab.Pegaf)</t>
  </si>
  <si>
    <t>1.6.9. Normalisasi Sungai Wosi Tahap 7 (Kab. Manokwari)</t>
  </si>
  <si>
    <t>1.6.10.Normalisasi Sungai Ibrarine Swapen Perkebunan (Kab.Manokwari)</t>
  </si>
  <si>
    <t>1.6.11.Normalisasi Kali Mangguapi / Marina (Kab.Manokwari)</t>
  </si>
  <si>
    <t>1.6.12.Normalisasi Kali KM 10 (Kota Sorong)</t>
  </si>
  <si>
    <t xml:space="preserve">1.8.1. Core Team Supervisi Bidang SDA </t>
  </si>
  <si>
    <t xml:space="preserve">1.8.2. Core Team Perencanaan Bidang SDA </t>
  </si>
  <si>
    <t>1.8.3. Perencanaan Tenik Bidang Pengairan</t>
  </si>
  <si>
    <t>1.9. Program Peningkatan Jalan dan Jembatan</t>
  </si>
  <si>
    <t>1.9.1. Peningkatan Jalan Arfai - Pami (Kab. Manokwari)</t>
  </si>
  <si>
    <t>1.9.2. Peningkatan Jalan Batas Kota Pegaf - Menyambouw (Kab. Pegaf)</t>
  </si>
  <si>
    <t>1.9.3. Peningkatan Jalan Drs. Dominggus Mandacan (Kab. Pegaf)</t>
  </si>
  <si>
    <t>1.9.4. Peningkatan Jalan SP2-SP1 - Tomage (Kab. Fakfak)</t>
  </si>
  <si>
    <t>1.9.5. Peningkatan Jalan Kayuni - Teluk  Patipi (Kab. Fakfak)</t>
  </si>
  <si>
    <t>1.9.6. Peningkatan Jalan Weri - Sangram (Kab. Fakfak)</t>
  </si>
  <si>
    <t>1.9.7. Penigkatan Ruas Jalan Teluk Patipi - Sipatnanam (Kab. Fakfak)</t>
  </si>
  <si>
    <t>1.9.8. Peningkatan Jalan Ayamaru-Sauf- Wehali - Batas Kab. Sorsel (Kab. Maybrat)</t>
  </si>
  <si>
    <t>1.9.9. Peningkatan Jalan Batas Kota Pegaf-Batas Kab. Mansel (Kab. Pegaf)</t>
  </si>
  <si>
    <t>1.9.10.Peningkatan Jalan Batas Kab. Mansel - Batas Kota Pegaf  (Kab. Pegaf)</t>
  </si>
  <si>
    <t>1.9.11.Peningkatan Jalan Kompleks Perkantoran Mapolda Papua Barat Dan Perumahan Mapolda Soribo (Kab. Manokwari)</t>
  </si>
  <si>
    <t xml:space="preserve">1.9.12.Peningkatan Jalan Batas Kabupaten Pegaf-Manyambouw (Kab. Pegaf) </t>
  </si>
  <si>
    <t>1.9.13.Peningkatan Jalan Maripi-SP1 (Lanjutan)  (Kab. Manokwari)</t>
  </si>
  <si>
    <t>1.9.14.Peningkatan Jalan SP5 - Sibuni  (Kab. Manokwari)</t>
  </si>
  <si>
    <t>1.9.15.Peningkatan Jalan Masni- Sibuni (Kab. Manokwari)</t>
  </si>
  <si>
    <t>1.9.16.Peningkatan Jalan Batas Kota Manokwari - Sibuni (Kab. Manokwari)</t>
  </si>
  <si>
    <t>1.9.17.Peningkatan Jalan Batas Kota Rasiei - Yopenggar (Kab. Teluk Wondama)</t>
  </si>
  <si>
    <t>1.9.18.Peningkatan Jalan Yopenggar - Batas Kota Rasiei (Kab. Teluk Wondama)</t>
  </si>
  <si>
    <t>1.9.19.Peningkatan Jalan SP5 - Masni (Kab. Manokwari)</t>
  </si>
  <si>
    <t>1.9.20.Peningkatan Jalan Klamit - Teminabuan (Kab. Sorsel)</t>
  </si>
  <si>
    <t>1.9.21.Peningkatan Jalan Klamalu - Majener (Kab. Sorong)</t>
  </si>
  <si>
    <t>1.9.22.Peningkatan Jalan Meyah - Fef (Kab. Tambrauw)</t>
  </si>
  <si>
    <t xml:space="preserve">1.9.23.Peningkatan Jalan dalam Kota di Kabupaten Manokwari Selatan </t>
  </si>
  <si>
    <t>1.9.24.Peningkatan Jalan Tofot - Haha (Kakas - Klabot) (Kab. Sorong Selatan)</t>
  </si>
  <si>
    <t>1.9.25.Peningkatan Jalan Majener - Klasari (Kab. Sorong)</t>
  </si>
  <si>
    <t>1.9.26.Peningkatan Jalan Kampung Andai (Kab. Manokwari)</t>
  </si>
  <si>
    <t>1.9.25.Peningkatan Jalan Kodam XVIII Kasuari (Kab. Manokwari)</t>
  </si>
  <si>
    <t>1.9.26.Peningkatan Jalan Keyen - Boldon - Sesor (Kab. Sorong Selatan)</t>
  </si>
  <si>
    <t>1.9.27.Peningkatan Jalan Aimas - Klamalu (Kab. Sorong)</t>
  </si>
  <si>
    <t>1.9.28.Peningkatan Jalan  Fef  - Siakwa (Kab. Tambrauw)</t>
  </si>
  <si>
    <t>1.9.29.Peningkatan Jalan Keyen - Boldon - Batas Kab. Sorong Selatan</t>
  </si>
  <si>
    <t>1.9.30.Peningkatan Jalan Masni - Wariori (Kab. Manokwari)</t>
  </si>
  <si>
    <t>1.9.31.Peningkatan Jalan Windesi - Werianggi - Idor (Kab. Teluk Wondama)</t>
  </si>
  <si>
    <t>1.9.32.Peningkatan Jalan Konja - Seya (Maybrat) - Ases Fef (Tambrauw)</t>
  </si>
  <si>
    <t>1.9.33.Peningkatan Jalan Sowi 4 - Perkantoran Gubernur (Kab. Manokwari)</t>
  </si>
  <si>
    <t xml:space="preserve">1.9.34.Peningkatan Jalan Arteri Kota Sorong </t>
  </si>
  <si>
    <t xml:space="preserve">1.9.35.Peningkatan Jalan Irbos - Tomstera (Kab. Pegaf) </t>
  </si>
  <si>
    <t>1.9.36.Peningkatan Jalan Bomberai - Nusalasi (Kab. Fakfak)</t>
  </si>
  <si>
    <t>1.9.37.Peningkatan Jalan Tandia - Batas Kota Raisei  (Kab. Teluk Wondama)</t>
  </si>
  <si>
    <t>1.9.38.Peningkatan Jalan Mogoy -Merdey (Kab. Teluk Bintuni)</t>
  </si>
  <si>
    <t>1.9.39.Peningkatan Jalan Syer - Manggroholo - Sayal (Kab. Sorong Selatan)</t>
  </si>
  <si>
    <t>1.9.40.Peningkatan Jalan Ruas Selewok - Baun (Tambrauw)</t>
  </si>
  <si>
    <t>1.9.41.Peningkatan Jalan Kampung Dindey &amp; SMA Warmare Dindey (Kab. Manokwari)</t>
  </si>
  <si>
    <t>1.9.42.Pelebaran Jalan Yonas D. Mambrasar (Kab. Raja Ampat)</t>
  </si>
  <si>
    <t>1.9.43.Peningkatan Jalan Perumahan 100 (Kab. Raja Ampat)</t>
  </si>
  <si>
    <t>1.9.44.Peningkatan Jalan Perumahan 200 (Kab. Raja Ampat)</t>
  </si>
  <si>
    <t>1.9.45.Peningkatan Jalan Perumahan Khusus PUPR di Moko (Kab. Raja Ampat)</t>
  </si>
  <si>
    <t>1.9.46.Peningkatan Jalan Perumahan Sosial Swaembon (Kab. Raja Ampat)</t>
  </si>
  <si>
    <t>1.9.47.Peningkatan Jalan Kinam - Furir - Goras (Kab. Fak-Fak)</t>
  </si>
  <si>
    <t>1.9.48.Peningkatan Jalan Kokas - Batufiafas - Patimburak (Kab. Fak-Fak)</t>
  </si>
  <si>
    <t>1.9.49.Peningkatan Jalan Otoweri - Tomage (Kab. Fak-Fak)</t>
  </si>
  <si>
    <t>1.9.50.Alih Trase Jalan Mumre - Siboru (Kab. Fak-Fak)</t>
  </si>
  <si>
    <t>1.9.51.Peningkatan Jalan Dalam Kota Ransiki dan Oransbari (Kab. Mansel)</t>
  </si>
  <si>
    <t>1.9.51.Peningkatan Jalan Sribau - Dermaga (Kab. Sorsel)</t>
  </si>
  <si>
    <t>1.9.52.Peningkatan Jalan Konda - Demem (Kab. Sorsel)</t>
  </si>
  <si>
    <t>1.9.53.Peningkatan Jalan Unggi - Hajir (Kab. Sorsel)</t>
  </si>
  <si>
    <t>1.9.54.Peningkatan Jalan Sesor - Hajir (Kab. Sorsel)</t>
  </si>
  <si>
    <t>1.9.55.Peningkatan Jalan Dalam Kota Fef (Kab. Tambrauw)</t>
  </si>
  <si>
    <t>1.9.56.Peningkatan Jalan Ayamaru - Komakoma - Sembaro (Kab. Maybrat)</t>
  </si>
  <si>
    <t>1.9.57.Peningkatan Jalan Sayosa Sailaia (Kab. Sorong)</t>
  </si>
  <si>
    <t>1.9.58.Peningkatan Jalan Klayili - Malasaum (Kab. Sorong)</t>
  </si>
  <si>
    <t>1.9.59.Peningkatan Jalan Klaforo Segun ( Kab. Sorong)</t>
  </si>
  <si>
    <t>1.9.60.Peniingkatan Jalan Lingkungan di Distrik Makbon  ( Kab. Sorong)</t>
  </si>
  <si>
    <t>1.9.61.Peningkatan Jalan Kompleks Perumahan Pemda Rasiei dan Kompleks Perkantoran Rasiei (Kab. Teluk Wondama)</t>
  </si>
  <si>
    <t>1.9.61.Peningkatan Jalan Dalam Kampung Miei (Kab. Teluk Wondama)</t>
  </si>
  <si>
    <t>1.9.62.Peningkatan Jalan Sungai Kamundan (Kota Sorong)</t>
  </si>
  <si>
    <t>1.9.63.Peningkatan Ruas Jalan Demaisi - Hing (Kab. Pegaf)</t>
  </si>
  <si>
    <t>1.9.64.Peningkatan Jalan Iray - Tombrok (Kab. Pegaf)</t>
  </si>
  <si>
    <t>1.9.65.Peningkatan Ruas Jalan Menyambouw - Catebouw (Kab. Pegaf)</t>
  </si>
  <si>
    <t>1.9.66.Peningkatan Jalan Aula Samu Bah (Kab. Maybrat)</t>
  </si>
  <si>
    <t xml:space="preserve">1.10.1. Pembangunan Jalan Lingkungan Kabupaten Manokwari </t>
  </si>
  <si>
    <t xml:space="preserve">1.10.2. Pembangunan Jalan Lingkungan Kabupaten Manokwari Selatan </t>
  </si>
  <si>
    <t xml:space="preserve">1.10.3. Pembangunan Jalan Lingkungan  Kabupaten Pegunungan Arfak </t>
  </si>
  <si>
    <t xml:space="preserve">1.10.6. Pembangunan Jalan Lingkungan  Kabupaten Fakfak </t>
  </si>
  <si>
    <t xml:space="preserve">1.10.7. Pembangunan Jalan Lingkungan  Kabupaten Kaimana </t>
  </si>
  <si>
    <t xml:space="preserve">1.10.8. Pembangunan Jalan Lingkungan  Kabupaten Teluk Wondama </t>
  </si>
  <si>
    <t xml:space="preserve">1.10.9. Pembangunan Jalan Lingkungan  Kabupaten Teluk Bintuni </t>
  </si>
  <si>
    <t xml:space="preserve">1.10.10.Pembangunan Jalan Lingkungan  Kabupaten Sorong Selatan </t>
  </si>
  <si>
    <t xml:space="preserve">1.10.11.Pembangunan Jalan Lingkungan  Kabupaten Maybrat </t>
  </si>
  <si>
    <t xml:space="preserve">1.10.12.Pembangunan Jalan Lingkungan  Kab Sorong </t>
  </si>
  <si>
    <t>1.10.14.Pembangunan Rumah Layak Huni OAP (Papua Barat)</t>
  </si>
  <si>
    <t>1.10.15.Pembangunan Drainase RT.02 / RW.02 Kelurahan Amban (Kab. Manokwari)</t>
  </si>
  <si>
    <t>1.10.16.Pembangunan Drainase Reremi Puncak (Kab. Manokwari)</t>
  </si>
  <si>
    <t xml:space="preserve">1.10.17.Peningkatan Jalan Lingungan Pangkalan Utama TNI AL XIV Fasharkan Manokwari </t>
  </si>
  <si>
    <t>1.10.18.Pembangunan Rumah Layak Huni Type 45 (Kab.Maybrat)</t>
  </si>
  <si>
    <t>1.10.19.Pembangunan Bahu Jalan Sangaji  (Kota Sorong)</t>
  </si>
  <si>
    <t>1.10.20.Pembangnan Jalan Bukit Baru - Worot (kota Sorong)</t>
  </si>
  <si>
    <t>1.10.21.Peningkatan Jalan Tanjung Doreri ( Kota Sorong)</t>
  </si>
  <si>
    <t>1.10.22.Pembangunan Drainase Jalan S.Mambramo (Kota Sorong)</t>
  </si>
  <si>
    <t>1.10.23.Pembangunan Drainase Jalan A.M Sangadji ( Kota Sorong)</t>
  </si>
  <si>
    <t>1.10.24.Pembangunan Drainase Lingkungan Huntap III Iriati (Kab. Teluk Wondama)</t>
  </si>
  <si>
    <t>1.10.25.Peningkatan Jalan Lingkungan Huntap Pemda III - Isei ( kab. Teluk Wondama)</t>
  </si>
  <si>
    <t>1.10.26.Revitalisasi Rumah Peninggalan Belanda ( Kab. Teluk Wondama)</t>
  </si>
  <si>
    <t>1.10.27.Peningkatan Jalan Lingkungan Kota Fef (Kab. Tambrauw)</t>
  </si>
  <si>
    <t>1.10.28.Peningkatan Jalan Rigid Pavment (Kab. Sorong Selatan)</t>
  </si>
  <si>
    <t>1.10.29.Pembangunan Rumah Rakyat Type 45 (Kab. Sorong Selatan)</t>
  </si>
  <si>
    <t>1.10.30.Pembangunan MCK dan Sumur Bor ( Kota Sorong)</t>
  </si>
  <si>
    <t>1.10.31.Pembangunan Sarana dan Prasarana Air Bersih di Di strik Tembuni (Kab. Teluk Bintuni)</t>
  </si>
  <si>
    <t>1.10.32.Pembangunan Sarana dan Prasarana Air Bersih di Distrik Dataran Bermes (Kab. Teluk Bintuni)</t>
  </si>
  <si>
    <t>1.10.33.Pembangunan Sarana dan Prasana Air  Bersih Di Distrik Wamesa (Kab. Teluk Bintuni)</t>
  </si>
  <si>
    <t>1.10.34.Pembangunan Rumah Layak Huni Type 45  (Kab.Teluk Bintuni)</t>
  </si>
  <si>
    <t>1.10.35.Pembangunan Jalan Lingkungan Km 4 ( Kab. Teluk Bintuni)</t>
  </si>
  <si>
    <t>1.10.36.Pembangunan Rumah Layak Huni di Kampung Klakak (Kab. Sorong)</t>
  </si>
  <si>
    <t>1.10.37.Pembangunan Rumah Layak Huni Di Kab. RAja Ampat (Kab. Raja Ampat)</t>
  </si>
  <si>
    <t>1.10.38.Pembangunan Drainase Dalam Kota Waisai (Kab. Raja Ampat)</t>
  </si>
  <si>
    <t>1.10.39.Pembangunan/ Peningkatan Jalan Lingkungan Di Kabupaten Raja Ampat (Raja Ampat)</t>
  </si>
  <si>
    <t>1.10.40.Pembangunan Drainase Kota Anggi (Kab. Pegaf)</t>
  </si>
  <si>
    <t>1.10.41.Pembangunan Toilet Umum (Kab. Pegunungan Arfak)</t>
  </si>
  <si>
    <t>1.10.42.Pembangunan Rumah Rakyat Type 45 (Kab. Mansel)</t>
  </si>
  <si>
    <t>1.10.43.Pembangunan Jalan Lingkungan Di Distrik Fak-fak Timur Tengah (Kab Fak-fak)</t>
  </si>
  <si>
    <t>1.10.44.Pembanguan Jalan Lingkunagan di distrik Wartutin (Kab. Fak-Fak)</t>
  </si>
  <si>
    <t>1.10.45.Pembangunan Jalan Lingkungan Di Distrik Fak-fak Barat (Kab. Fak-fak)</t>
  </si>
  <si>
    <t>1.10.46.Pembangunan Jalan Lingkungan Di Distrik Teluk Patipi (Kab. Fak-fak)</t>
  </si>
  <si>
    <t>1.10.47.Pembangunan Jalan Lingkungan Di Distrik Kramongmongga ( Kab Fak-fak)</t>
  </si>
  <si>
    <t>1.10.48.Pembangunan Jalan Lingkungan di distrik Fak-fak Tengah (Kab. Fak-fak)</t>
  </si>
  <si>
    <t>1.10.49.Pembangunan MCK (Kab. Fak-Fak)</t>
  </si>
  <si>
    <t>1.10.50.Pembangunan Rumah Tokoh Agama dan Tokoh Masyarakat Type 45 ( Kab. Fak-Fak)</t>
  </si>
  <si>
    <t>1.10.51.Pembangunan Rumah Rakyat Type 45 ( Kab. Manokwari)</t>
  </si>
  <si>
    <t>1.10.52.Peningkatan Jalan Rigid Pavment dalam Kota Manokwari (Kab. Manokwari)</t>
  </si>
  <si>
    <t>1.10.53.Pembangunan Jalan Lingkungan Perkotaan (Kab. Kaimana)</t>
  </si>
  <si>
    <t>1.10.54.Pembangunan Jalan Lingkungan Pedesaan (Kab. Kaimana)</t>
  </si>
  <si>
    <t>1.10.55.Pembangunan Jalan Lingkungan Kelurahan Klambesen/Jalan Cumi-cumi ( Kab. Sorong)</t>
  </si>
  <si>
    <t>1.10.56.Pembangunan Jalan Sapta Taruna (Kota Sorong)</t>
  </si>
  <si>
    <t xml:space="preserve">1.10.57.Pematangan Lahan Kantor Dinas PUPR Provinsi </t>
  </si>
  <si>
    <t>1.11. Program Perencanaan dan Pengawasan Teknis Cipta Karya</t>
  </si>
  <si>
    <t xml:space="preserve">1.11.1. Perencanaan Teknik Bidang Cipta Karya </t>
  </si>
  <si>
    <t>1.12. Program Perencanaan dan Pengawasan Bidang Perumahan</t>
  </si>
  <si>
    <t xml:space="preserve">1.12.1. Perencanaan Teknik Bidang Perumahan </t>
  </si>
  <si>
    <t>1.12.2. Study Pendataan Perumahan Orang Asli Papua (OAP</t>
  </si>
  <si>
    <t>2.1. Program Peningkatan Pelayanan Angkutan Jalan</t>
  </si>
  <si>
    <t>2.1.2. Pembangunan Pool Bus Perintis Tahap II (Kota Sorong)</t>
  </si>
  <si>
    <t>2.1.1. Pengadaan halte bus (Papua Barat)</t>
  </si>
  <si>
    <t xml:space="preserve"> Pemilihan Awak Kendaraan Umum Teladan (AKUT) Tingkat Provinsi </t>
  </si>
  <si>
    <t xml:space="preserve">2.2. Program  Pembangunan Sarana Dan Prasarana Perhubungan Darat </t>
  </si>
  <si>
    <t>2.2.1.  Pembangunan Terminal Type B Kota Sorong Tahap IV (Kota Sorong)</t>
  </si>
  <si>
    <t>2.2.2.  Pembangunan Terminal Type B Wosi Tahap III (Kab. Manokwari)</t>
  </si>
  <si>
    <t>2.2.3.  Pembangunan Terminal Type B Bintuni Tahap III (Kab. Teluk Bintuni)</t>
  </si>
  <si>
    <t xml:space="preserve">2.2.4. Pembangunan Terminal Type B Kab. Maybrat </t>
  </si>
  <si>
    <t xml:space="preserve">2.2.5. Pembangunan Terminal Type B Sorong Selatan </t>
  </si>
  <si>
    <t xml:space="preserve"> 2.3. Program  Pengembangan Dan Perkeretapian </t>
  </si>
  <si>
    <t>2.3.1. Sosialisai Pembangunan Kereta Api (Lintasaan Perkeretaapian) (Kab. Maybrat, Kota Sorong, Kab. Sorong)</t>
  </si>
  <si>
    <t>2.3.2. Pencanangan (Ground Bracking) Jalur Kereta Api (Kota Sorong)</t>
  </si>
  <si>
    <t xml:space="preserve">2.4. Program  Peningkatan Prasarana Perhubungan Udara </t>
  </si>
  <si>
    <t>2.4.1.  Pengembangan Bandar Udara Rendani Manokwari (Kab. Manokwari)</t>
  </si>
  <si>
    <t>2.4.2. Pembangunan Pengembangan Bandara Anggi (Kab. Pegaf)</t>
  </si>
  <si>
    <t xml:space="preserve">2.4.3. Pembangunan Pengembangan Bandar Udara Utarum, Kaimana </t>
  </si>
  <si>
    <t>2.4.4.  Pembangunan Bandar Udara Baru Abreso Ransiki (Kab. Mansel)</t>
  </si>
  <si>
    <t xml:space="preserve">2.5. Program Peningkatan Prasarana Pelayaran </t>
  </si>
  <si>
    <t>2.5.1. Pengembangan Pelabuhan Oransbari tahap II (Kab. Mansel)</t>
  </si>
  <si>
    <t>2.5.2. Pembangunan Pelabuhan Roswar Tahap II (Kab. Teluk Wondama)</t>
  </si>
  <si>
    <t>2.5.3. Pengadaan Speedboat 3 unit (Kab Fakfak, Sorsel, Tambrauw)</t>
  </si>
  <si>
    <t>2.5.4. Pembangunan Dermaga Apung Tanggaromi (Kab. Kaimana)</t>
  </si>
  <si>
    <t>2.5.5. Pembangunan  Pelabuhan Masni (Kab. Manokwari)</t>
  </si>
  <si>
    <t>2.5.6. DED Pelabuhan (Kab. Raja Ampat, Kab. Sorong)</t>
  </si>
  <si>
    <t>2.5.7. Pembangunan Dermaga Mutus (Kab. Raja Ampat)</t>
  </si>
  <si>
    <t>2.5.8. PPembangunan Dermaga Myosmanggara (Kab. Raja Ampat)</t>
  </si>
  <si>
    <t>2.5.9. Pembangunan Dermaga Apung Makbon (Kab. Sorong)</t>
  </si>
  <si>
    <t>2.5.10.Pembangunan Dermaga Kamp. Yelu (Kab. Raja Ampat)</t>
  </si>
  <si>
    <t>2.6.2. PPengadaan dan Pemasangan Fasilitas Pengendalian Lalu Lintas Jalan  (Kab. Manokwari, Pegaf, Raja Ampat, Kab. Sorong,Tambrauw, Teluk Bintuni)</t>
  </si>
  <si>
    <t xml:space="preserve">2.6.3. Pembangunan Gedung Pengujian Kendaraan Bermotor (PKB) Kota Sorong Tahap II </t>
  </si>
  <si>
    <t xml:space="preserve">2.6. Program  Peningkatan  Keselamatan LLAJ </t>
  </si>
  <si>
    <t>2.6.1. Pemeliharaan Fasilitas Keselamatan LLAJ (Papua Barat)</t>
  </si>
  <si>
    <t xml:space="preserve">        Manokwari,          Januari 2020</t>
  </si>
  <si>
    <t>1.5.1. Pelestarian Adat Budaya Daerah</t>
  </si>
  <si>
    <t>1.1.1.Ppendidikan dan Pelatihan Formal</t>
  </si>
  <si>
    <t>1.1. Program Peningkatan Sarana dan Prasarana Perkantoran</t>
  </si>
  <si>
    <t xml:space="preserve">1.1.1. Penyediaan Visat dan Generator UNBK  </t>
  </si>
  <si>
    <t xml:space="preserve">1.1.2. Distribusi Gaji/Beras bagi PNS Daerah Terpencil  </t>
  </si>
  <si>
    <t>1. 2. Program Peningkatan Kapasitas Sumber Daya Aparatur</t>
  </si>
  <si>
    <t xml:space="preserve">1.2.1. Penyelenggaraan Penguatan Kelompok Kerja Guru &amp; Kelompok Kerja Kepala Sekolah  </t>
  </si>
  <si>
    <t xml:space="preserve">1.2.2. Pelatihan Penyusunan Angka Kredit Guru PNS (PAK)  </t>
  </si>
  <si>
    <t xml:space="preserve">1.2.3. Penyelenggaraan Diklat Pengawas </t>
  </si>
  <si>
    <t xml:space="preserve">1.2.4. Penyelenggaraan Diklat Penguatan Kepala Sekolah </t>
  </si>
  <si>
    <t xml:space="preserve">1.2.5. Pengurusan Kenaikan Pangkat dan Pensiunan Pegawai Negeri Sipil (PNS)  </t>
  </si>
  <si>
    <t>1.3. Program Pendidikan Anak Usia Dini</t>
  </si>
  <si>
    <t xml:space="preserve">1.3.1. Penyelenggaraan Pendidikan (Kuliah) Bagi Guru PAUD  </t>
  </si>
  <si>
    <t xml:space="preserve">1.3.2. Penyediaan Operasional PAUD </t>
  </si>
  <si>
    <t xml:space="preserve">1.3.3. Pengadaan Pakaian Seragam PAUD  </t>
  </si>
  <si>
    <t xml:space="preserve">1.3.4. Penyediaan Blanko Ijazah PAUD  </t>
  </si>
  <si>
    <t xml:space="preserve">1.3.5. Pembangunan Gedung PAUD St. Anjela Sausapor  </t>
  </si>
  <si>
    <t xml:space="preserve">1.3.6. Pengadan Meubelair PAUD Syakwa dan Syujak </t>
  </si>
  <si>
    <t xml:space="preserve">1.3.7. Rakor Guru PAUD dan PKBM / Kesetaraan  </t>
  </si>
  <si>
    <t xml:space="preserve">1.3.8. Pengadaan Meubelair PAUD Mega Dela dan Klabili  </t>
  </si>
  <si>
    <t xml:space="preserve">1.3.9. Pembangunan Gedung PAUD St. Rufina Kebar  </t>
  </si>
  <si>
    <t xml:space="preserve">1.3.10. Pengadaan Meubelair PAUD Asiti dan Tubebi  </t>
  </si>
  <si>
    <t>1.4. Program Wajib Belajar Pendidikan Dasar Sembilan Tahun</t>
  </si>
  <si>
    <t xml:space="preserve">1.4.1. Pengadaan Buku K 13 Tingkat SD  </t>
  </si>
  <si>
    <t xml:space="preserve">1.4.2. Pembangunan SMP Berpola Asrama Paket 2  </t>
  </si>
  <si>
    <t xml:space="preserve">1.4.3. Festival Lomba Seni Siswa Nasional Tingkat SMP  </t>
  </si>
  <si>
    <t xml:space="preserve">1.4.4. Penyelenggaraan Olimpiade Sains Kuark (OSK)  </t>
  </si>
  <si>
    <t xml:space="preserve">1.4.5. Penyelenggaraan UAS dan UAN Tingkat SMP  </t>
  </si>
  <si>
    <t xml:space="preserve">1.5.1. Penyediaan Bantuan Operasional Paket A Setara SD  </t>
  </si>
  <si>
    <t xml:space="preserve">1.5.2. Penyediaan Bantuan Operasional Paket B Setara SMP  </t>
  </si>
  <si>
    <t xml:space="preserve">1.5.3. Penyediaan Bantuan Operasional Paket C Setara SMA </t>
  </si>
  <si>
    <t xml:space="preserve">1.5.4. Penyediaan Bantuan Operasional Pendidikan Buta AKsara  </t>
  </si>
  <si>
    <t xml:space="preserve">1.5.5. Penyelenggaraan UAN Paket C  </t>
  </si>
  <si>
    <t xml:space="preserve">1.5.6. Penyelenggaraan Ujian Nasional Kesetaraan Paket A  </t>
  </si>
  <si>
    <t xml:space="preserve">1.5.7. Penyelenggaraan Ujian Nasional Kesetaraan Paket B  </t>
  </si>
  <si>
    <t xml:space="preserve">1.5.8. Pendataan Buta Aksara dan Angka Putus Sekolah  </t>
  </si>
  <si>
    <t xml:space="preserve">1.6. Program Peningkatan Mutu Pendidik dan Tenaga Kependidikan </t>
  </si>
  <si>
    <t xml:space="preserve">1.6.1. Peningkatan Kompetensi Guru Matematika dan IPA Tingkat Sekolah Dasar  </t>
  </si>
  <si>
    <t xml:space="preserve">1.6.3. Pelatihan Peningkatan Kompetensi Guru MIPA Tingkat SMP  </t>
  </si>
  <si>
    <t xml:space="preserve">1.6.2. Pelatihan Peningkatan Kompetensi Guru Bahasa Indonesia  </t>
  </si>
  <si>
    <t xml:space="preserve">1.6.4. Pelatihan Kurikulum K 13 Tingkat SMP  </t>
  </si>
  <si>
    <t xml:space="preserve">1.7.1. Penyediaan Tenaga Guru Kontrak dan Guru Bantu  </t>
  </si>
  <si>
    <t xml:space="preserve">1.7.2. Sinkronisasi Dan Validasi DAPODIK  </t>
  </si>
  <si>
    <t xml:space="preserve">1.7.3. Penyelenggaraan Uji Kompetensi Guru </t>
  </si>
  <si>
    <t xml:space="preserve">1.7.4. Pelatihan Penelitian Tindakan Kelas PTK Bagi Guru </t>
  </si>
  <si>
    <t xml:space="preserve">1.7.5. Pendataan dan Pemetaan Sarana dan Prasarana Sekolah SMP  </t>
  </si>
  <si>
    <t xml:space="preserve">1.7.7. Monitoring Pengawasa Sekolah  </t>
  </si>
  <si>
    <t xml:space="preserve">1.7.6. Penyelenggaraan Seleksi Adem dan Adik  </t>
  </si>
  <si>
    <t xml:space="preserve">1.7.8. Beasiswa Sekolah Anak Indonesia  </t>
  </si>
  <si>
    <t>1.8. Program Pengembangan Kepemudaan</t>
  </si>
  <si>
    <t xml:space="preserve">1.8.1. Penyelenggaraan Pembinaan Kwarcab Pramuka  </t>
  </si>
  <si>
    <t xml:space="preserve">2.1.1. Pendistribusian Obat ke Puskesmas  </t>
  </si>
  <si>
    <t xml:space="preserve">2.1.2. Pengawasan Obat dan BMHP  </t>
  </si>
  <si>
    <t xml:space="preserve">2.2.1. Pengawasan Puskesmas untuk Pelayanan dalam Gedung dan Luar Gedung  </t>
  </si>
  <si>
    <t xml:space="preserve">2.2.2. Bimbingan Manajemen Kepala Puskesmas  </t>
  </si>
  <si>
    <t xml:space="preserve">2.2.3. Koordinasi Pelayanan Kesehatan Tradisional  </t>
  </si>
  <si>
    <t xml:space="preserve">2.2.4. Koordinasi Monitoring dan Evaluasi Program Indonesia Sehat dengan Pendekatan Keluarga (PIS-PK)  </t>
  </si>
  <si>
    <t xml:space="preserve">2.3.1. Monitoring dan Evaluasi Kesehatan Lingkungan  </t>
  </si>
  <si>
    <t xml:space="preserve">2.3.2. Monitoring dan Evaluasi Promosi Kesehatan Masyarakat </t>
  </si>
  <si>
    <t xml:space="preserve">2.3.3. Pembinaan Desa Siaga Aktif  </t>
  </si>
  <si>
    <t xml:space="preserve">2.3.4. Pengawasan Gizi Buruk  </t>
  </si>
  <si>
    <t xml:space="preserve">2.3.5. Tatalaksana Pembinaan Gizi Masyarakat  </t>
  </si>
  <si>
    <t xml:space="preserve">2.3.6. Monitoring, Evaluasi dan Pembinaan Ke Puskesmas PUSTU dan POLINDES </t>
  </si>
  <si>
    <t xml:space="preserve">2.3.7. Orientasi Program Promosi Kesehatan dan Pemberdayaan Masyarakat  </t>
  </si>
  <si>
    <t xml:space="preserve">2.4.1. Pertemuan Lintas Program dan Pemantauan Status Gizi </t>
  </si>
  <si>
    <t xml:space="preserve">2.5.1. Pelayanan Wanita Usia Subur (WUS) </t>
  </si>
  <si>
    <t xml:space="preserve">2.5.2. Pencegahan Penyakit Menular Malaria </t>
  </si>
  <si>
    <t xml:space="preserve">2.5.3. Pencegahan dan Pengendalian Penyakit Menular Kusta </t>
  </si>
  <si>
    <t xml:space="preserve">2.5.4. Pelayanan Bulan Imunisasi Anak Sekolah (BIAS)  </t>
  </si>
  <si>
    <t xml:space="preserve">2.5.5. Pelayanan Imunisasi </t>
  </si>
  <si>
    <t xml:space="preserve">2.5.6. Monitoring dan Evaluasi Pelaksanaan Kewaspadaan Dini dan Respon (Surveilans PD3I)  </t>
  </si>
  <si>
    <t xml:space="preserve">2.5.7. Pemberian Imunisasi Difteri </t>
  </si>
  <si>
    <t xml:space="preserve">2.5.8. Pencegahan dan Penanggulangan Penyakit TB  </t>
  </si>
  <si>
    <t xml:space="preserve">2.5.9. Pencegahan dan Pengendalian Penyakit ISPA  </t>
  </si>
  <si>
    <t xml:space="preserve">2.5.10.Monitoring, Evaluasi dan Pembinaan Laporan Program Puskesmas  </t>
  </si>
  <si>
    <t xml:space="preserve">2.5.11.Pencegahan dan Pengendalian Penyakit Menular Filariasis </t>
  </si>
  <si>
    <t xml:space="preserve">2.5.12.Pencegahan dan Pengendalian Penyakit Menular Frambuasia  </t>
  </si>
  <si>
    <t xml:space="preserve">2.6.1. Penyusunan Dokumen Studi Kelayakan RS Pratama Fef  </t>
  </si>
  <si>
    <t xml:space="preserve">2.6.2. Pekerjaan Penataan Halaman Rumah Sakit Pratama Fef  </t>
  </si>
  <si>
    <t xml:space="preserve">2.8.1. Pertemuan Workshop Perhitungan Kebutuhan SDM Kesehatan Tingkat Puskesmas se- Kabupaten Tambrauw  </t>
  </si>
  <si>
    <t xml:space="preserve">2.8.2. Pelatihan Kader Posyandu </t>
  </si>
  <si>
    <t xml:space="preserve">2.9.1. Pelacakan Orang Dengan Gangguan Jiwa  </t>
  </si>
  <si>
    <t xml:space="preserve">2.9.2. Pencegahan dan Pengendalian Penyakit Tidak Menular (Hypertensi, Reumatik, Jantung dan Gastritis)  </t>
  </si>
  <si>
    <t>3.1. Program Pengembangan Perumahan</t>
  </si>
  <si>
    <t xml:space="preserve">3.1.1. Pembangunan Sarana dan prasarana rumah sederhana sehat TYPE 42 Distrik Syujak   </t>
  </si>
  <si>
    <t xml:space="preserve">3.1.2. Pembangunan Sarana dan prasarana rumah sederhana sehat TYPE 42 Distrik Miyah   </t>
  </si>
  <si>
    <t xml:space="preserve">3.1.3. Pembangunan Sarana dan prasarana rumah sederhana sehat TYPE 42 Distrik Bamusbama  </t>
  </si>
  <si>
    <t xml:space="preserve">3.1.4. Pembangunan Sarana dan prasarana rumah sederhana sehat TYPE 42 Distrik Moraid   </t>
  </si>
  <si>
    <t xml:space="preserve">3.1.5. Pembangunan Sarana dan prasarana rumah sederhana sehat TYPE 42 Distrik Kebar Timur   </t>
  </si>
  <si>
    <t xml:space="preserve">3.1.6. Pembangunan Sarana dan prasarana rumah sederhana sehat TYPE 42 Distrik Mawabuan   </t>
  </si>
  <si>
    <t xml:space="preserve">3.1.7. Pembangunan Sarana dan prasarana rumah sederhana sehat TYPE 42 Distrik Senopi   </t>
  </si>
  <si>
    <t xml:space="preserve">3.1.8. Bantuan Pembangunan Rehabilitasi Sarana dan Prasarana Rumah Masyarakat Berpenghasilan Rendah Distrik Fef  </t>
  </si>
  <si>
    <t xml:space="preserve">3.1.9. Biaya Penunjang Pekerjaan Bantuan Stimulan Perumahan Swadaya (BSPS) Rumah Masyarakat Berpenghasilan Rendah  </t>
  </si>
  <si>
    <t>3.2. Program  Prasarana, Sarana Dan Utilitas Umum</t>
  </si>
  <si>
    <t xml:space="preserve">3.2.1. Bantuan Pengadaan Sarana Penerangan Solar Cell untuk Masyarakat Berpenghasilan Rendah (MBR) </t>
  </si>
  <si>
    <t xml:space="preserve">3.2.2. Bantuan Pembangunan MCK dan Air Bersih untuk Masyarakat Berpenghasilan Rendah (MBR) Distrik Fef  </t>
  </si>
  <si>
    <t>4. Dinas Pemberdayaan Perempuan, Perlindungan Anak dan Keluarga Berencana</t>
  </si>
  <si>
    <t>4.1. Program Peningkatan Kualitas Hidup dan Perlindungan Perempuan</t>
  </si>
  <si>
    <t xml:space="preserve">4.1.1. Sosialisasi Tindakan Kekerasan Dalam Rumah Tangga  </t>
  </si>
  <si>
    <t xml:space="preserve">4.1.2. Fasilitasi dan Pembentukan Kelompok Pemberantasan Buta Aksara Perempuan dan Anak  </t>
  </si>
  <si>
    <t xml:space="preserve">4.1.3. Fasilitasi dan Pelatihan Jahit Menjahit di Distrik Salemkai  </t>
  </si>
  <si>
    <t xml:space="preserve">4.1.4. Pelatihan Membatik Motif Papua Bagi Perempuan Tingkat Lanjut  </t>
  </si>
  <si>
    <t xml:space="preserve">4.1.5. Pelatihan Merangkai Bunga dari Bahan Daur Ulang  </t>
  </si>
  <si>
    <t xml:space="preserve">4.1.6. Fasilitasi dan Pelatihan Tenun Tingkat Lanjut  </t>
  </si>
  <si>
    <t xml:space="preserve">4.1.7. Peningkatan Pemberdayaan Manajemen Usaha Ekonomi Perempuan </t>
  </si>
  <si>
    <t>4.2. Program Kebijakan Tentang Keserasian Peningkatan Kualitas Anak dan Perempuan</t>
  </si>
  <si>
    <t xml:space="preserve">4.2.1.  Korban Tindak Kekerasan terhadap anak </t>
  </si>
  <si>
    <t xml:space="preserve">4.2.2. Fasilitasi Pembentukan dan Pengembangan Kota Layak Anak  </t>
  </si>
  <si>
    <t xml:space="preserve">4.2.3. Fasilitasi Pembentukan Jejaring Perlindungan Anak  </t>
  </si>
  <si>
    <t xml:space="preserve">4.2.4. Pelatihan Peningkatan Kapasitas SDM Pencatatan dan Pelaporan Pengurus P2TP2A  </t>
  </si>
  <si>
    <t xml:space="preserve">4.2.5. Sosialisasi Pengaruh Budaya Luar Terhadap Anak-anak Pribumi Lewat Media Advokasi  </t>
  </si>
  <si>
    <t xml:space="preserve">4.2.6. Sosialisasi Hak Partisipasi Anak Dalam Pembangunan  </t>
  </si>
  <si>
    <t xml:space="preserve">4.2.7. Peningkatan Kapasitas SDM Tutor Buta Aksara  </t>
  </si>
  <si>
    <t xml:space="preserve">4.2.8. Sosialisasi Kekerasan Terhadap Anak dan Remaja di Lingkungan Sekolah dan Keluarga </t>
  </si>
  <si>
    <t xml:space="preserve">4.2.9. Pekan Jambore Anak dan Remaja Tingkat Kabupaten  </t>
  </si>
  <si>
    <t xml:space="preserve">4.2.10.Penyediaan Regulasi Tentang Penyalahgunaan Lem AIBON dan MIRAS  </t>
  </si>
  <si>
    <t xml:space="preserve">4.2.11.Pelatihan Sistem Informasi Korban Kekerasan Berbasis Aplikasi (SIMFONI) Bagi Pengelola Data  </t>
  </si>
  <si>
    <t>5.1. Program Penataan Administrasi Kependudukan</t>
  </si>
  <si>
    <t xml:space="preserve">5.1.1. Kegiatan Pernikahan Masal  </t>
  </si>
  <si>
    <t xml:space="preserve">5.1.2. Pendistribusian Dokumen Kependudukan dan Pencatatan Sipil  </t>
  </si>
  <si>
    <t xml:space="preserve">5.1.3. Pendataan Orang Asli Papua (OAP)  </t>
  </si>
  <si>
    <t>6.1. Program Pengembangan Industri Kecil dan Menengah</t>
  </si>
  <si>
    <t xml:space="preserve">6.1.1. Pelatihan Jahit Menjahit di Distrik Bamusbama  </t>
  </si>
  <si>
    <t xml:space="preserve">6.1.2. Pelatihan Meubelair di Distrik Yembun </t>
  </si>
  <si>
    <t xml:space="preserve">6.1.3. Pelatihan Meubelair di Distrik Fef  </t>
  </si>
  <si>
    <t xml:space="preserve">6.1.4. Pelatihan Pembuatan Kue dan Makanan Berbahan Dasar Lokal di Distrik Wilhelm Roumbouts </t>
  </si>
  <si>
    <t xml:space="preserve">6.1.5. Pelatihan Pembuatan Kue dan Makanan Berbahan Dasar Lokal di Distrik Senopi  </t>
  </si>
  <si>
    <t xml:space="preserve">6.1.6. Pelatihan Pembuatan Kue dan Makanan Berbahan Dasar Lokal di Distrik Ireres   </t>
  </si>
  <si>
    <t xml:space="preserve">6.1.7. Pelatihan Pembuatan Kue dan Makanan Berbahan Dasar Lokal di Distrik Miyah Selatan  </t>
  </si>
  <si>
    <t xml:space="preserve">6.1.8. Pelatihan Pembuatan Kue dan Makanan Berbahan Dasar Lokal di Distrik Kebar Timur   </t>
  </si>
  <si>
    <t xml:space="preserve">6.1.9. Pelatihan Pembuatan Kue dan Makanan Berbahan Dasar Lokal di Distrik Mpur   </t>
  </si>
  <si>
    <t xml:space="preserve">6.1.10.Pelatihan Pembuatan Kue dan Makanan Berbahan Dasar Lokal di Distrik Mubrani   </t>
  </si>
  <si>
    <t xml:space="preserve">6.1.11.Pelatihan Pembuatan Kue dan Makanan Berbahan Dasar Lokal di Distrik Kasi    </t>
  </si>
  <si>
    <t xml:space="preserve">6.1.12.Pelatihan Pembuatan Kue dan Makanan Berbahan Dasar Lokal di Distrik Tobouw    </t>
  </si>
  <si>
    <t xml:space="preserve">6.1.13.Pelatihan Industri Pengelasan di Distrik Amberbaken  </t>
  </si>
  <si>
    <t xml:space="preserve">6.1.14.Pelatihan Kerajinan Tangan Batok Kelapa (JOGJA)  </t>
  </si>
  <si>
    <t xml:space="preserve">6.1.15.Pelatihan Pengolahan Minyak Pengawetan Ikan (Manado)  </t>
  </si>
  <si>
    <t xml:space="preserve">6.1.16.Pelatihan Kerajinan Tangan Seni Ukir Toraja </t>
  </si>
  <si>
    <t xml:space="preserve">6.1.17.Pelatihan Jahit Menjahit di Distrik Fef </t>
  </si>
  <si>
    <t xml:space="preserve">6.1.18.Pelatihan Industri Pengelasan di Distrik Amberbaken Barat  </t>
  </si>
  <si>
    <t>6.2.  Program Pengembangan Kewirausahaan dan Keunggulan Kompetitif Usaha Kecil Menengah</t>
  </si>
  <si>
    <t xml:space="preserve">6.2.1. Bantuan Modal bagi Usaha Kecil Mikro Distrik Sausapor   </t>
  </si>
  <si>
    <t xml:space="preserve">6.2.2. Pelatihan Gula Semut dan Gula Merah bagi Pengelola Koperasi Orang Papua di Jogya </t>
  </si>
  <si>
    <t xml:space="preserve">6.2.3. Sosialisasi Kewirausahaan dan Pemasaran di Distrik Kebar </t>
  </si>
  <si>
    <t xml:space="preserve">6.3.1. Pembangunan Bak Pendingin dan Rumah Pengolahan Minyak Nilam di Distrik Bikar </t>
  </si>
  <si>
    <t xml:space="preserve">6.3.2. Pembangunan Rumah Kreasi dan Seni </t>
  </si>
  <si>
    <t xml:space="preserve">6.3.3. Pembangunan Home Industri Pengolahan Minyak Coconut Oil di Distrik Abun </t>
  </si>
  <si>
    <t>6.4. Program Peningkatan Efisiensi Perdagangan Dalam Negeri</t>
  </si>
  <si>
    <t xml:space="preserve">6.4.1. Pembangunan Pasar Mama-mama Papua  </t>
  </si>
  <si>
    <t>6.5. Program Pembinaan Pedagang Kakilima dan Asongan</t>
  </si>
  <si>
    <t xml:space="preserve">6.5.1. Bantuan Barang Dagangan Bagi Usaha Kecil OAP (Orang Asli Papua ) 12 Distrik  </t>
  </si>
  <si>
    <t>6.3. Program Pengembangan Sistem Pendukung Usaha Bagi Usaha Mikro Kecil Menengah</t>
  </si>
  <si>
    <t xml:space="preserve">7.1. Program Pengembangan Wilayah Strategis dan Cepat Tumbuh </t>
  </si>
  <si>
    <t xml:space="preserve">7.1.1. Pembangunan Gedung Pertunjukan Budaya Tambrauw  </t>
  </si>
  <si>
    <t>8.1. Program Pengembangan Budidaya Perikanan</t>
  </si>
  <si>
    <t xml:space="preserve">8.1.1. Pengadaan Kolam Budidaya Air Tawar  </t>
  </si>
  <si>
    <t xml:space="preserve">8.1.2. Pengadaan Benih Ikan Nila  </t>
  </si>
  <si>
    <t xml:space="preserve">8.1.3. Pengadaan Pakan Ikan Nila  </t>
  </si>
  <si>
    <t xml:space="preserve">8.1.4. Peningkatan Pembuatan Pakan Ikan Buatan Bagi Pembudidaya Ikan untuk Orang Papua Asli (OAP) </t>
  </si>
  <si>
    <t>8.2. Program Pengembangan Perikanan Tangkap</t>
  </si>
  <si>
    <t xml:space="preserve">8.2.1. Sosialisasi Kartu Pelaku Usaha Perikanan (KUSUKA) dan Asuransi Nelayan (ASNEL) Tahun 2020  </t>
  </si>
  <si>
    <t xml:space="preserve">8.2.2. Sosialisasi Penggunaan Mesin Kapal Ikan </t>
  </si>
  <si>
    <t>8.3. Program Kelestarian Sumberdaya Perairan Tambrauw</t>
  </si>
  <si>
    <t xml:space="preserve">8.3.1. Sosialisasi Bahaya Ikan Introduksi Bagi Ikan Endemik Tambrauw  </t>
  </si>
  <si>
    <t>8.4. Program Pengembangan Alat Tangkap Ramah Lingkungan</t>
  </si>
  <si>
    <t xml:space="preserve">8.4.1. Pengadaan Jaring Apung </t>
  </si>
  <si>
    <t xml:space="preserve">9.1.1. Pengembangan Tanaman Rambutan </t>
  </si>
  <si>
    <t xml:space="preserve">9.1.2. Pengembangan Tanaman Durian </t>
  </si>
  <si>
    <t xml:space="preserve">9.1.3. Pengembangan Tanaman Siri  </t>
  </si>
  <si>
    <t xml:space="preserve">9.1.4. Pembudidayaan dan Desain Tapak Pengembangan Rumput Kebar sebagai Tanaman Obat Alternatif Keluarga  dan Zona Ekonowisata </t>
  </si>
  <si>
    <t xml:space="preserve">9.1.5. Pengembangan Rumah Produksi Penyulingan Tanaman Nila  </t>
  </si>
  <si>
    <t xml:space="preserve">9.2. Program Peningkatan Pemasaran Hasil Produksi Pertanian/Perkebunan </t>
  </si>
  <si>
    <t xml:space="preserve">9.2.1. Penampungan dan Pemasaran Hasil Panen Petani  </t>
  </si>
  <si>
    <t>9.3. Program peningkatan produksi pertanian/perkebunan</t>
  </si>
  <si>
    <t xml:space="preserve">9.3.1. Bantuan Operasional Penyuluh Pertanian/Peternakan </t>
  </si>
  <si>
    <t>10.1. Program peningkatan produksi hasil peternakan</t>
  </si>
  <si>
    <t xml:space="preserve">10.1.1. Pelatihan Manajemen Usaha Ternak Babi  </t>
  </si>
  <si>
    <t xml:space="preserve">10.1.2. Pengembangan Ternak Babi  </t>
  </si>
  <si>
    <t xml:space="preserve">10.1.3. Pembuatan Kandang Ternak </t>
  </si>
  <si>
    <t>10.2. Program peningkatan produksi peternakan</t>
  </si>
  <si>
    <t xml:space="preserve">10.2.1. Pengembangan Ternak Itik  </t>
  </si>
  <si>
    <t>11. Inspektorat</t>
  </si>
  <si>
    <t>11.1. Program Peningkatan Sistem Pengawasan Internal dan Pengendalian Pelaksanaan Kebijakan Kepala Daerah</t>
  </si>
  <si>
    <t xml:space="preserve">11.1.1. Pendidikan dan Pelatihan (Diklat) Review Dana Otsus </t>
  </si>
  <si>
    <t>11.2. Program Peningkatan Sistem Pengawasan Internal dan Pengendalian Pelaksanaan Kebijakan Kepala Daerah</t>
  </si>
  <si>
    <t xml:space="preserve">11.2.1. Probity Audit Dana Otsus (3 kali dalam setahun)  </t>
  </si>
  <si>
    <t xml:space="preserve">11.2.2. Probity Audit  (2 kali dalam setahun) </t>
  </si>
  <si>
    <t xml:space="preserve">11.2.3. Evaluasi Monitoring Proyek yang Sedang Berjalan </t>
  </si>
  <si>
    <t>12. Badan Perencanaan Pembangunan Daerah, Penelitian dan Pengembangan</t>
  </si>
  <si>
    <t>12.1. Program Peningkatan Kapasitas Sumber Daya Aparatur</t>
  </si>
  <si>
    <t xml:space="preserve">12.1.1. Pelatihan/Bimtek/Sosialisasi/Seminar ULP LPSE  </t>
  </si>
  <si>
    <t>12.2. Program Peningkatan Pengembangan Sistem Pelaporan Capaian Kinerja dan Keuangan</t>
  </si>
  <si>
    <t xml:space="preserve">12.2.1. Penyusunan Laporan Akuntabilitas Kinerja Instansi Pemerintah (LAKIP)  </t>
  </si>
  <si>
    <t xml:space="preserve">12.2.3. Penyusunan Laporan Akhir Tahun </t>
  </si>
  <si>
    <t xml:space="preserve">12.2.2. Penyusunan Laporan Keuangan Semesteran  </t>
  </si>
  <si>
    <t xml:space="preserve">12.2.4. Penyusunan Rencana Kerja dan Anggaran </t>
  </si>
  <si>
    <t>12.3. Program Perencanaan Pembangunan Daerah</t>
  </si>
  <si>
    <t>12.3.1. Penyelenggaraan pra-Musrembang Kabupaten Tambrauw, E-Musrembang dan Musrembang Kabupaten tambrauw Tahun 2020 dan Penyertaan pada Musrembang Provinsi dan Nasional (Otsus)</t>
  </si>
  <si>
    <t xml:space="preserve">12.3.2. Fasilitasi dan Koordinasi ULP-LPSE Kabupaten Tambrauw  </t>
  </si>
  <si>
    <t xml:space="preserve">12.3.3. Pameran Kabupaten Tambrauw tahun 2020  </t>
  </si>
  <si>
    <t xml:space="preserve">12.3.4. Sosialisasi dan Implementasi SIMDA Perencanaan Kab. Tambrauw </t>
  </si>
  <si>
    <t>12.4. Program perencanaan sosial dan budaya</t>
  </si>
  <si>
    <t xml:space="preserve">12.4.1. Monitoring dan Evaluasi Penggunaan Dana Otonomi Khusus  </t>
  </si>
  <si>
    <t>13.2.  Program Peningkatan Pengembangan SistemPelaporan Capaian Kinerja dan Keuangan</t>
  </si>
  <si>
    <t>13.1. BPKD selaku SKPD</t>
  </si>
  <si>
    <t>13.1.1.  Program Peningkatan Kapasitas Sumber daya Aparatur</t>
  </si>
  <si>
    <t>13.1.1.1. Bimbingan Teknis Penyusunan Laporan Penggunaan Dana Otsus</t>
  </si>
  <si>
    <t>13.2.1.1. Evaluasi dan Pelaporan Dana OTSUS</t>
  </si>
  <si>
    <t>13.2.  BPKD selaku PPKD</t>
  </si>
  <si>
    <t>13.2.1. Belanja Bantuan Sosial Kepada Kelompok Masyarakat</t>
  </si>
  <si>
    <t xml:space="preserve">13.2.1.1. Belanja Bantuan Sosial Kepada Kelompok Masyarakat </t>
  </si>
  <si>
    <t>13.2.2. Belanja Bantuan Sosial Kepada Anggota Masyarakat</t>
  </si>
  <si>
    <t xml:space="preserve">13.2.2.1. Belanja Bantuan Sosial Pendidikan  </t>
  </si>
  <si>
    <t xml:space="preserve">6.2.4. Pelatihan Sumbedaya Pengelola Koperasi di Distrik Kebar  </t>
  </si>
  <si>
    <t>13.  BPKD selaku PPKD</t>
  </si>
  <si>
    <t xml:space="preserve">1.1.5. Afirmasi Pendidikan Menengah/ Adem </t>
  </si>
  <si>
    <t>1.1.6. Monitoring dan Pelaporan TIM dana PIP</t>
  </si>
  <si>
    <t xml:space="preserve">1.2.1. Penilaian Kinerja Guru </t>
  </si>
  <si>
    <t xml:space="preserve">1.2.2. Monitoring dan Evaluasi SDM di Sekolah </t>
  </si>
  <si>
    <t xml:space="preserve">1.8.1. Tambahan Penghasilan Berdasarkan Kelangkaan Profesi/ Jasa Penunjang Pendidikan </t>
  </si>
  <si>
    <t>1.4. Program Peningkatan Sarana, Prasarana dan Mutu Pendidikan</t>
  </si>
  <si>
    <t xml:space="preserve">1.8. Belanja Tidak Langsung </t>
  </si>
  <si>
    <t>7. BADAN PENANGGULANGAN BENCANA</t>
  </si>
  <si>
    <t>7.1. Program Pencegahan Dini dan Penanggulangan Bencana</t>
  </si>
  <si>
    <t>7.1.1. Pemberdayaan Ekonomi Masyarakat Terdampak Bencana</t>
  </si>
  <si>
    <t>8. DINAS TENAGA KERJA</t>
  </si>
  <si>
    <t>8.1.1. Peningkatan Keterampilan Kerja Melalui Pelatihan Perbekalan</t>
  </si>
  <si>
    <t>8.1.2. Penyusunan Data Base Tenaga Kerja</t>
  </si>
  <si>
    <t xml:space="preserve">8.2. Program Perlindungan dan Pengembangan Lembaga Ketenagakerjaan </t>
  </si>
  <si>
    <t>8.2.1. Fasilitasi Penyelesaian Prosedur dan Penyelesaian Perselisihan Hubungan Industrial</t>
  </si>
  <si>
    <t>8.3. Program Peningkatan Kesempatan Tenaga Kerja</t>
  </si>
  <si>
    <t xml:space="preserve">8.3.1. Perluasan Kesempatan Kerja dan Pengurangan Pengangguran </t>
  </si>
  <si>
    <t>9.1. Program Peningkatan Kualitas Hidup dan Perlindungan Perempuan</t>
  </si>
  <si>
    <t>9.1.1. Pelatihan Bagi Pelatih (TOT) SDM Pelayanan dan Pendampingan Korban KDRT</t>
  </si>
  <si>
    <t>9.1.2. Penyusunan Sistem Perlindungan Bagi Perempuan</t>
  </si>
  <si>
    <t>9.2. Program Peningkatan Peran Serta dan Kesetaraan Gender Dalam Pembangunan</t>
  </si>
  <si>
    <t>9.2.1. Pelaksanaan Sosialisasi yang Terkait dengan Kesetaraan Gender</t>
  </si>
  <si>
    <t>9.3. Program Perlindungan Anak dan Korban Kekerasan</t>
  </si>
  <si>
    <t>9.3.1. Kampanye Bersama-sama Lindungi Anak</t>
  </si>
  <si>
    <t>9.4. Program Pengembangan Kewirausahaan dan Keunggulan Kompetitif Usaha Kecil Menengah</t>
  </si>
  <si>
    <t>9.4.1. Bimbingan Manajemen Usaha Bagi Perempuan Dalam Mengelola Usaha</t>
  </si>
  <si>
    <t>10. DINAS PERLINDUNGAN DAN PENGELOLAAN LINGKUNGAN HIDUP</t>
  </si>
  <si>
    <t>10.1. Program Pengendalian Pencemaran dan Perusakan Lingkungan Hidup</t>
  </si>
  <si>
    <t>10.1.1. Pengawasan Pelaksanaan Kebijakan Bidang Lingkungan Hidup</t>
  </si>
  <si>
    <t>10.1.2. Pengelolaan B3 dan Limbah B3</t>
  </si>
  <si>
    <t>10.1.3. Peningkatan Peringkat Kinerja Perusahaan  (Proper)</t>
  </si>
  <si>
    <t>10.1.4. Pendataan Perusahaan Wajib AMDAL, UKL, IPL, SPPL</t>
  </si>
  <si>
    <t>10.1.5. Penilaian Lingkungan Hidup Sekolah</t>
  </si>
  <si>
    <t>10.1.6. Pengendalian Kerusakan Hutan dan Lahan</t>
  </si>
  <si>
    <t>10.1.7. Peningkatan Peran Serta Masyarakat dalam Pengendalian Lahan dan Konservasi SDA</t>
  </si>
  <si>
    <t>10.2. Program Perlindungan dan Konservasi Sumber Daya Alam</t>
  </si>
  <si>
    <t>10.2.1. Konservasi Sumber Daya Air dan Pengendalian Kerusakan Sumber-sumber Air</t>
  </si>
  <si>
    <t>10.2.2. Penanaman Mogrove dan Tanaman Hias</t>
  </si>
  <si>
    <t>10.3. Program Pengelolaan Ruang Terbuka Hijau</t>
  </si>
  <si>
    <t>10.3.1. Pemeliharaan RTH</t>
  </si>
  <si>
    <t>11.  DINAS PEMBERDAYAAN MASYARAKAT</t>
  </si>
  <si>
    <t xml:space="preserve">11.1. Program Peningkatan Partisipasi Masyarakat Dalam Membangun Desa </t>
  </si>
  <si>
    <t>11.1.3. Bintek Penyusunan Profil Kampung dan Kelurahan</t>
  </si>
  <si>
    <t>12. DINAS PERHUBUNGAN</t>
  </si>
  <si>
    <t>12.1. Program Pembangunan Sarana dan Prasarana Perhubungan</t>
  </si>
  <si>
    <t>12.1.1. Pengecatan Marka Jalan</t>
  </si>
  <si>
    <t>13. DINAS KOPERASI, USAHA MIKRO, KECIL DAN MENENGAH</t>
  </si>
  <si>
    <t>13.1. Program Pengembangan Kewirausahaan dan Keunggulan Kompetitif Usaha Kecil Menengah</t>
  </si>
  <si>
    <t>13.1.1. Pelatihan Manajemen Pengelolaan Koperasi/UMKM</t>
  </si>
  <si>
    <t>13.1.2. Sosialisasi Peraturan Perundang-undangan Koperasi</t>
  </si>
  <si>
    <t xml:space="preserve">13.1.3. Monitoring Evaluasi dan Pelaporan </t>
  </si>
  <si>
    <t>13.1.5. Pendampingan Rapat Anggota Tahunan Koperasi</t>
  </si>
  <si>
    <t>13.1.4. Penilaian Kesehatan Koperasi</t>
  </si>
  <si>
    <t>13.1.6. Bimbingan Teknis Komputer dan Akuntansi bagi UMKM</t>
  </si>
  <si>
    <t xml:space="preserve">13.2. Program Pembinaan Pedagang Kaki Lima dan Asongan </t>
  </si>
  <si>
    <t>13.2.1. Bantuan Modal Usaha Bagi Pengusaha OAP Mikro, Kecil dan Menengah</t>
  </si>
  <si>
    <t>14. DINAS PERIKANAN</t>
  </si>
  <si>
    <t>14.1. Program Pemberdayaan Ekonomi Masyarakat Pesisir</t>
  </si>
  <si>
    <t>14.1.1. Pengadaan Sarana dan Prasarana Alat Penangkapan Ikan</t>
  </si>
  <si>
    <t>14.2. Program Optimalisasi Pengelolaan dan Pemasaran Produksi Hasil Perikanan</t>
  </si>
  <si>
    <t>14.2.1. Sekolah Lapang Nelayan Pelatihan Pembuatan Rumpun dan Pelatihan Kewirausahaan</t>
  </si>
  <si>
    <t>15. DINAS PARIWISATA</t>
  </si>
  <si>
    <t>15.1. Program Pengembangan Destinasi Pariwisata</t>
  </si>
  <si>
    <t>15.1.1. Pembangunan Fasilitas Pendukung Pariwisata</t>
  </si>
  <si>
    <t>15.1.2. Penataan Kawasan Hutan Manggrov Klawalu Sorong KM.12</t>
  </si>
  <si>
    <t>15.1.3. Pelatihan dan Bantuan Sanggar Seni</t>
  </si>
  <si>
    <t>16. DINAS PERTANIAN</t>
  </si>
  <si>
    <t>16.1. Program Peningkatan Produksi Pertanian / Perkebunan</t>
  </si>
  <si>
    <t>16.1.1. Pengembangan Bibit Unggul Pertanian / Perkebunan</t>
  </si>
  <si>
    <t>17. DINAS PERDAGANGAN</t>
  </si>
  <si>
    <t>17.1. Program Peningkatan Efisiensi Perdagangan Dalam Negeri</t>
  </si>
  <si>
    <t>17.1.1. Penyelenggaraan Pasar Murah</t>
  </si>
  <si>
    <t>17.1.2. Pengawasan Pada Distributor/Sub Distributor Bahan Pokok dan Barang</t>
  </si>
  <si>
    <t xml:space="preserve">17.2. Program Pembinaan Pedagang Kaki Lima dan Asongan </t>
  </si>
  <si>
    <t>17.2.1. Bantuan Modal Usaha Bagi Usaha Masyarakat Papua</t>
  </si>
  <si>
    <t>17.2.2. Bantuan Modal Usaha Bagi Usaha Kecil</t>
  </si>
  <si>
    <t>17.2.3. Pembinaan Organisasi Pedagang Kaki Lima dan Asongan</t>
  </si>
  <si>
    <t>18. DINAS PERINDUSTRIAN</t>
  </si>
  <si>
    <t>18.1. Program Pengembangan Industri Kecil dan Menengah</t>
  </si>
  <si>
    <t>18.1.1. Pembinaan IKM Dalam Memperkuat Jaringan Klaster Industri</t>
  </si>
  <si>
    <t>18.1.2. Magang Pengrajin Asli Papua</t>
  </si>
  <si>
    <t>18.1.3. Pelatihan Ukiran dan Cinderamata Khas Papua</t>
  </si>
  <si>
    <t>18.1.4. Pameran Produksi Industri Nasional</t>
  </si>
  <si>
    <t>19. DISTRIK SORONG TIMUR</t>
  </si>
  <si>
    <t>19.1. Program Peningkatan Partisipasi Masyarakat dalam Membangun Desa</t>
  </si>
  <si>
    <t>19.1.1.Pemberdayaan Masyarakat di Lingkungan Distrik dan Kelurahan</t>
  </si>
  <si>
    <t>20. DISTRIK SORONG BARAT</t>
  </si>
  <si>
    <t>20.1.1. Pemberdayaan Masyarakat di Lingkungan Distrik dan Kelurahan</t>
  </si>
  <si>
    <t>21. DISTRIK SORONG KEPULAUAN</t>
  </si>
  <si>
    <t>22. DISTRIK SORONG</t>
  </si>
  <si>
    <t>221.1. Pemberdayaan Masyarakat di Lingkungan Distrik dan Kelurahan</t>
  </si>
  <si>
    <t>23. DISRIK SORONG UTARA</t>
  </si>
  <si>
    <t>23.1. Program Pemberdayaan Masyarakat Kota Sorong</t>
  </si>
  <si>
    <t>23.1.1. Pemberdayaan Masyarakat Lingkungan Distrik dan Kelurahan</t>
  </si>
  <si>
    <t>24. DISTRIK MANOI</t>
  </si>
  <si>
    <t>9.4.2. Pengadaan Meubelair Kantor Baru Dinas Pemberdayaan Perempuan dan Perlindungan Anak</t>
  </si>
  <si>
    <t>24.1. Program Peningkatan Partisipasi Masyarakat dalam Membangun Desa</t>
  </si>
  <si>
    <t>25. DISTRIK MALADOM MES</t>
  </si>
  <si>
    <t>25.1.1.  Pemberdayaan Masyarakat Lingkungan Distrik dan Kelurahan</t>
  </si>
  <si>
    <t>26. DISTRIK SORONG KOTA</t>
  </si>
  <si>
    <t>26.1.1. Pemberdayaan Masyarakat Lingkungan Distrik dan Kelurahan</t>
  </si>
  <si>
    <t>27. DISTRIK KLAURUNG</t>
  </si>
  <si>
    <t>28. DISTRIK MALAIMSIMSA</t>
  </si>
  <si>
    <t>29. INSPEKTORAT DAERAH</t>
  </si>
  <si>
    <t>29.1. Program Peningkatan Profesionalisme Tenaga Pemeriksa dan Aparatur Pengawasan</t>
  </si>
  <si>
    <t>29.1.1. Pelatihan Pengembangan Tenaga Pemeriksa dan Aparatur Pengawasan</t>
  </si>
  <si>
    <t>30. BADAN PERENCANAAN DAN PEMBANGUNAN DAERAH</t>
  </si>
  <si>
    <t>30.1. Program Perencanaan Pembangunan Daerah</t>
  </si>
  <si>
    <t>30.1.1. Monitoring, Evaluasi, Pengendalian dan Pelaporan Pelaksanaan Rencana  Pembangunan Daerah</t>
  </si>
  <si>
    <t>30.1.2. Pameran Otsus Kota Sorong</t>
  </si>
  <si>
    <t>30.1.3. Penyusunan URD/RD Otsus Kota Sorong</t>
  </si>
  <si>
    <t>30.2. Program Perencanaan Pembangunan Ekonomi</t>
  </si>
  <si>
    <t>30.2.1. Penyusunan Dokumen Perencanaan Bidang Ekonomi</t>
  </si>
  <si>
    <t>30.3. Program Pengendalian Pemanfaatan Ruang</t>
  </si>
  <si>
    <t>30.3.1. Penyusunan Dokumen Rencana Detail Tata Ruang (RDTR) Kota Sorong</t>
  </si>
  <si>
    <t>30.3.3. Review Dokumen RT/RW Kota Sorong</t>
  </si>
  <si>
    <t>30.3.2. Penyusunan Dokumen KLHS Kota Sorong</t>
  </si>
  <si>
    <t>30.3.4. Koordinasi Perencanaan, Pemanfaatan, Pengendalian dan Pengawasan Tata Ruang di Kota Sorong (Pojok BKPRD)</t>
  </si>
  <si>
    <t>31. BADAN PENGELOLA KEUANGAN DAN ASET DAERAH  (PPKD)</t>
  </si>
  <si>
    <t>31.1. Belanja Hibah kepada Badan/Lembaga/Organisasi</t>
  </si>
  <si>
    <t>31.2. Belanja Bantuan Sosial Organisasi Kemasyarakatan</t>
  </si>
  <si>
    <t xml:space="preserve">31.3. Belanja Bantuan Sosial kepada Anggota Masyarakat Perorangan </t>
  </si>
  <si>
    <t>31.4. Belanja Bantuan Pendidikan</t>
  </si>
  <si>
    <t>31.1. Belanja Bantuan Pendiidkan</t>
  </si>
  <si>
    <t>4.2.9. Peningkatan Jalan Perumahan Polres Sunggue</t>
  </si>
  <si>
    <t xml:space="preserve"> 5.1 Program Pemberdayaan Fakir Miskin, Komunitas Adat Terpencil (KAT) dan Penyandang Masalah Kesejahteraan Sosial (PMKS) Lainnya</t>
  </si>
  <si>
    <t xml:space="preserve">- Belanja Hibah </t>
  </si>
  <si>
    <t>sdh input, blm sesuai</t>
  </si>
  <si>
    <t xml:space="preserve">4.7.1. Pembangunan MCK Kompleks Komolin  </t>
  </si>
  <si>
    <t xml:space="preserve">4.7.2. Pembangunan MCK Kampung Aibobor </t>
  </si>
  <si>
    <t xml:space="preserve">4.7.3. Pembangunan MCK Kampung Tegirolo  </t>
  </si>
  <si>
    <t xml:space="preserve">4.6.1. Rehabilitasi jaringan irigasi primer  </t>
  </si>
  <si>
    <t xml:space="preserve">4.6.2. Normalisasi Kali Tarof - Nebes  </t>
  </si>
  <si>
    <t xml:space="preserve">4.6.3. Normalisasi Kali Migori-Korewatara - Kasueri Tahap II  </t>
  </si>
  <si>
    <t xml:space="preserve">4.6.4. Pembuatan Sumur Bor Kampung Aibobor  </t>
  </si>
  <si>
    <t xml:space="preserve">4.6.5. Normalisasi Sungai Heh Distrik Moswaren ( Lanjutan )  </t>
  </si>
  <si>
    <t xml:space="preserve">4.6.6. Pembuatan Sumur Bor Hasik Jaya dan Bumi Ajo </t>
  </si>
  <si>
    <t>4.5.1. Pengadaan Lampu Jalan Tenaga Surya (Solar Cell) Distrik Teminabuan (Tersebar)</t>
  </si>
  <si>
    <t xml:space="preserve">4.5.2. Pengadaan Lampu Solar Cell Kampung Saga  </t>
  </si>
  <si>
    <t xml:space="preserve">4.4.1. Pembangunan Talud Tersebar  </t>
  </si>
  <si>
    <t xml:space="preserve">4.4.2. Pembangunan Talud Gereja AGAPE Waigo </t>
  </si>
  <si>
    <t xml:space="preserve">4.4.3. Pembangunan Bronjong/pengaman jalan </t>
  </si>
  <si>
    <t xml:space="preserve">4.4.4. Pembangunan Drainase Kampung Wen   </t>
  </si>
  <si>
    <t xml:space="preserve">4.4.5. Pembangunan Drainase Kampung A  </t>
  </si>
  <si>
    <t xml:space="preserve">4.3.2. Pembangunan Jalan Kampung Persiapan Foldolo  </t>
  </si>
  <si>
    <t>1.2.10.Operasional UPTD Imekko</t>
  </si>
  <si>
    <t>1.2.11.Pendidikan Lanjutan Guru MIPA Kerjasama Surya Institut</t>
  </si>
  <si>
    <t>1.2.12.Pembiayaan Honor Guru Kontrak</t>
  </si>
  <si>
    <t>1.2.13.Pendidikan Provesi Guru (PPG)</t>
  </si>
  <si>
    <t>1.2.14.Fasilitasi Program Afirmasi Pendidikan Tinggi</t>
  </si>
  <si>
    <t>1.2.15.Fasilitasi Program Afirmasi Pendidikan Menengah</t>
  </si>
  <si>
    <t>1.2.16.Biaya Pendidikan Mahasiswa Kedokteran yang tersebar</t>
  </si>
  <si>
    <t>1.2.17.Pembangunan 3 RKB SM Negeri Mukamat Kais Darat</t>
  </si>
  <si>
    <t>1.2.18.Pembangunan 3 RKB SD YPK Mogibi</t>
  </si>
  <si>
    <t>1.2.19.Pembangunan UPTD IMEKKO</t>
  </si>
  <si>
    <t>1.2.20.Pembangunan 3 RKB SD Persiapan Gamaro</t>
  </si>
  <si>
    <t>1.2.21.Pembangunan Lanjutan 3 RKB SMP Negeri Kais (2016)</t>
  </si>
  <si>
    <t>1.2.22.Pembangunan Lanjutan Laboratorium Komputer SMA YPK Teminabuan (2016)</t>
  </si>
  <si>
    <t>1.2.23.Pembangunan Lanjutan 3 RKB SMP Negeri Haha (2016)</t>
  </si>
  <si>
    <t>1.2.24.Pembangunan Kopel Guru SD Donbol Balek beserta kelengkapannya</t>
  </si>
  <si>
    <t>1.2.25.Pembangunan Kopel Guru SD Persiapan Mugim beserta kelengkapannya</t>
  </si>
  <si>
    <t>1.2.26.Pembangunan Pagar SMP Negeri 2 Teminabuan</t>
  </si>
  <si>
    <t>1.2.27.Pengadaan mubelair 3 RKB SMP Negeri 2 Teminabuan</t>
  </si>
  <si>
    <t>1.2.28.Pengadaan teralis Gudang Arsip Dinas Pendidikan</t>
  </si>
  <si>
    <t>1.2.29.Pembangunan MCK SD YPK Sion Sungguer</t>
  </si>
  <si>
    <t>1.2.30.Pembangunan MCK SMP Negeri Pasir Putih</t>
  </si>
  <si>
    <t>1.2.31.Pematangan halaman SD Persiapan Kampung Ani</t>
  </si>
  <si>
    <t>1.2.32.Penataan Halaman SMP Negeri Sawiat</t>
  </si>
  <si>
    <t>1.2.33.Penataan Halaman SMP Negeri Moswaren</t>
  </si>
  <si>
    <t>1.2.34.Penataan Halaman SD YPK Srer</t>
  </si>
  <si>
    <t>1.2.35.Pengadaan Mubelair 3 RKB SMP AN-NUR</t>
  </si>
  <si>
    <t>1.2.36.Pengadaan Mubelair SD Kampung Ani</t>
  </si>
  <si>
    <t>1.2.37.Pengadaan Mubelair Kantor SMP Negeri Haha</t>
  </si>
  <si>
    <t>1.2.38.Rehabilitasi 3 RKB SD YPK Laharoi Sasnek</t>
  </si>
  <si>
    <t>1.4.10.Diklat pengembangan Keprofesian Berkelanjutan (PKB Guru SMP)</t>
  </si>
  <si>
    <t>1.4.11.Diklat Pengembangan Pembelajaran Berbasis ICT</t>
  </si>
  <si>
    <t>1.4.12.Workshop Pengembangan Soal USBN</t>
  </si>
  <si>
    <t>1.4.13.Diklat Penguatan Kapasitas Tenaga Kependidikan</t>
  </si>
  <si>
    <t>1.4.14.Pembinaan Musyawarah Guru Mata Pelajaran (MGMP) SMP</t>
  </si>
  <si>
    <t>1.4.15.Workshop Kurikulum K.13 TK/PAUD dan DIKMAS</t>
  </si>
  <si>
    <t>1.4.16.Diklat Pengembangan Keprofesian Guru SD Tahap 2</t>
  </si>
  <si>
    <t>1.6.10.Olimpiade IPS SMP Tingkat Kabupaten dan Provinsi</t>
  </si>
  <si>
    <t xml:space="preserve">1.6.11.Kerja sama Pemda Sorong Selatan dan SMTN </t>
  </si>
  <si>
    <t xml:space="preserve">8.1.7. Pengadaan Blanko Akta Pencatatan Sipil  </t>
  </si>
  <si>
    <t xml:space="preserve">8.1.8. Penataan Gedung Kantor  </t>
  </si>
  <si>
    <t>10.3.17.Pengadaan Pakan Ikan</t>
  </si>
  <si>
    <t>10.3.18.Pengadaan Mesin Tempel (Jhonson) 15 PK + Body</t>
  </si>
  <si>
    <t xml:space="preserve">10.3.14.Pembangunan Tambatan Perahu Kampung Nelayan Demen  </t>
  </si>
  <si>
    <t xml:space="preserve">10.3.13.Registrasi Kapal dan Alat Penangkap Ikan Nelayan OAP  </t>
  </si>
  <si>
    <t xml:space="preserve">10.3.12.Pengadaan Alat Penangkap Kepiting  </t>
  </si>
  <si>
    <t xml:space="preserve">10.3.11.Pengadaan Mesin Ketinting  </t>
  </si>
  <si>
    <t>14.4. Belanja Bantuan Sosial Kepada Anggota Masyarakat</t>
  </si>
  <si>
    <t>1.1.1.  Pembangunan TK /PAUD Elsaf Elles</t>
  </si>
  <si>
    <t>1.1.2. Pembangunan Gedung TK/PAUD Bedaru Wadoy</t>
  </si>
  <si>
    <t xml:space="preserve">1.1.3. Pelatihan Kepala Sekolah TK/PAUD </t>
  </si>
  <si>
    <t xml:space="preserve">1.1.5. Diklat Berjenjang Tingkat lanjutan Guru PAUD dan Dikmas   </t>
  </si>
  <si>
    <t>1.1.4. Pembangunan TK/PAUD Dharma Wanita Kabupaten Sorong Selatan</t>
  </si>
  <si>
    <t>1.2.1. Pengadaan Jaringan Internet 6 titik Wilayah IMEKKO</t>
  </si>
  <si>
    <t>1.2.2. Pengadaan Komputer SMP Negeri 1 Teminabuan</t>
  </si>
  <si>
    <t>1.2.3. Pengadaan Jaringan Internet SMP Negeri 1 Teminabuan</t>
  </si>
  <si>
    <t>1.2.4. Penataan Halaman SD YPK Maranatha Teminabuan</t>
  </si>
  <si>
    <t>1.2.5. Penataan Halaman SD YPK Alfa Wersar</t>
  </si>
  <si>
    <t>1.2.6. Penyelenggaran UAN dan UASBN SD dan SMP</t>
  </si>
  <si>
    <t>1.2.7. Sosialisasi UAN / UN SD dan SMP</t>
  </si>
  <si>
    <t>1.2.8. Monitoring UAN dan UASBN SD dan SMP</t>
  </si>
  <si>
    <t>1.2.9. Peyediaan Dana BOP SD dan SMP</t>
  </si>
  <si>
    <t>1.2.10.Biaya Operasional Pengawas SD dan SMP</t>
  </si>
  <si>
    <t>1.2.11.Operasional UPTD Imekko</t>
  </si>
  <si>
    <t>1.2.12.Pendidikan Lanjutan Guru MIPA Kerjasama Surya Institut</t>
  </si>
  <si>
    <t>1.2.13.Pembiayaan Honor Guru Kontrak</t>
  </si>
  <si>
    <t>1.2.14.Pendidikan Profesi Guru (PPG)</t>
  </si>
  <si>
    <t>1.2.15.Fasilitasi Program Afirmasi Pendidikan Tinggi</t>
  </si>
  <si>
    <t>1.2.16.Fasilitasi Program Afirmasi Pendidikan Menengah</t>
  </si>
  <si>
    <t>1.2.17.Biaya pendidikan  Mahasiswa Kedokteran yang tersebar</t>
  </si>
  <si>
    <t>1.2.18.Sosialisasi Akreditasi SD dan SMP</t>
  </si>
  <si>
    <t>1.2.19.Pengadaan Meubelair SMP Negeri 2 Teminabuan</t>
  </si>
  <si>
    <t>1.3.1. Pendataan buta aksara dan anak berkebutuhan khusus</t>
  </si>
  <si>
    <t>1.3.2. Pelatihan Tutor Paket A, B, C</t>
  </si>
  <si>
    <t>1.3.3. Ujian paket A, B, C</t>
  </si>
  <si>
    <t>1.3.4. Pendampingan Pemetaan Mutu dan Akreditasi Lembaga PAUD dan Pendidikan Non Formal</t>
  </si>
  <si>
    <t>1.3.5. Pelatihan dan inventarisasi Aset SD dan SMP kabupaten Sorong Selatan</t>
  </si>
  <si>
    <t>1.4.1. Seleksi dan Diklat Calon Kepala Sekolah SD</t>
  </si>
  <si>
    <t>1.4.2. Seleksi dan Diklat Calon Kepala Sekolah  SMP</t>
  </si>
  <si>
    <t>1.4.3. Seleksi dan Diklat Calon Pengawas Sekolah Tk, SD dan SMP</t>
  </si>
  <si>
    <t>1.4.4. Pendampingan Lanjutan Kelompok Kerja Guru SD (KKG)</t>
  </si>
  <si>
    <t>1.4.5. Pelatihan Angka Kredit Poin (aturan ASN/SKP)</t>
  </si>
  <si>
    <t>1.4.6. Peningkatan Kompetensi Pembelajaran (PKP) SD Berbasis Zonasi</t>
  </si>
  <si>
    <t>1.4.7. Peningkatan Kompetensi Pembelajaran (PKP) SMP Berbasis Zonasi untuk PKN dan IPS</t>
  </si>
  <si>
    <t>1.4.8. Diklat Pengembangan Pembelajaran Berbasis ICT</t>
  </si>
  <si>
    <t>1.4.9. Workhsop Pengembangan Soal USBN</t>
  </si>
  <si>
    <t>1.4.10.Pelatihan Guru Pembina Olimpiade IPA dan Matematika SD</t>
  </si>
  <si>
    <t>1.4.11.Pelatihan Guru Pembina Olimpiade IPA, Matematika dan IPS SMP</t>
  </si>
  <si>
    <t>1.4.12.Pembinaan Lanjutan Musyawarah Guru Mata Pelajaran (MGMP) SMP</t>
  </si>
  <si>
    <t>1.4.13.Workhsop Lanjutan  Kurikulum K. 13. TK/PAUD dan DIKMAS</t>
  </si>
  <si>
    <t>1.4.14.Diklat Pengembangan Keprofesian Guru SD Tahap 2</t>
  </si>
  <si>
    <t>1.4.15.Pelatihan PTK dengan Penilaian Kinerja Guru dan Pengembangan diri</t>
  </si>
  <si>
    <t>1.4.16.Pelatihan Literasi bagi Guru dan Kepala Sekolah</t>
  </si>
  <si>
    <t>1.5.1. Pelatihan Penyusunan Muatan Lokal Jenjang SD</t>
  </si>
  <si>
    <t>1.5.2. Pelatihan Penyusunan Muatan Lokal Jenjang SMP</t>
  </si>
  <si>
    <t>1.5.3. Penetapan Angka Kredit Point dan Kenaikan Pangkat</t>
  </si>
  <si>
    <t>1.6.1. Bimbingan Lanjutan Belajar menggunakan metode GASING</t>
  </si>
  <si>
    <t>1.6.2. Seleksi dan Biaya Pendidikan SMA Taruna Negara</t>
  </si>
  <si>
    <t>1.6.4. Seleksi Olimpiade Sains IPA dan Matematika SD Tingkat Kabupaten</t>
  </si>
  <si>
    <t>1.6.3. Opersional Mahasiswa PPL Surya Institut</t>
  </si>
  <si>
    <t>1.6.5. Seleksi Olimpiade Sains IPA dan Matematika SD Tingkat Provinsi</t>
  </si>
  <si>
    <t>1.6.6. Seleksi Olimpiade Sains IPA, Matematika dan IPS SMP Tingkat Kabupaten</t>
  </si>
  <si>
    <t>1.6.7. Seleksi Olimpiade Sains IPA, Matematika dan IPS SMP Tingkat Provinsi</t>
  </si>
  <si>
    <t>1.6.8. Seleksi Olimpiade Olah Raga Siswa Nasional (O?SN) SD Tingkat Kabupaten</t>
  </si>
  <si>
    <t>1.6.9. Seleksi Olimpiade Olah Raga Siswa Nasional (O?SN) SD Tingkat Provinsi</t>
  </si>
  <si>
    <t>1.6.10.Festival dan Lomba Seni Siswa Nasional (FLS?N) SD Tingkat Kabupaten</t>
  </si>
  <si>
    <t>1.6.11.Festival dan Lomba Seni Siswa Nasional (FLS?N) SD Tingkat Provinsi</t>
  </si>
  <si>
    <t>1.7.1. Sosialisasi tentang Pelestarian Cagar  Budaya Tradisional untuk SD dan SMP</t>
  </si>
  <si>
    <t>1.7.2. Pengadaan Alat musik Tradisional dan Modern SD dan SMP</t>
  </si>
  <si>
    <t>1.7.3. Koordinasi Pendaftaran Tugu Trikora sebagai situs Nasional</t>
  </si>
  <si>
    <t xml:space="preserve">1.7. Program Pengembangan Nilai Budaya </t>
  </si>
  <si>
    <t>1.7.4. Bimbingan Teknis dan Penulisan Cerita Rakyat Sorong Selatan</t>
  </si>
  <si>
    <t>1.7.5. Sosialisasi Peraturan Bupati Sorong Selatan tentang Pemberian Nomor Induk Kesenian bagi Sannggar Seni</t>
  </si>
  <si>
    <t>1.7.6. Kursus  Pelaku Seni sorong selatan</t>
  </si>
  <si>
    <t>2.1.1. Monev Pelayanan Puskesmas</t>
  </si>
  <si>
    <t>2.1.2. Workshop Pemahaman Standart Akreditasi Puskesmas</t>
  </si>
  <si>
    <t>2.1.3. Pembuatan Tanaman Toga</t>
  </si>
  <si>
    <t>2.2 Program Perbaikan Gizi Masyarakat</t>
  </si>
  <si>
    <t>2.2.1. Penangan Kasus Gizi Buruk</t>
  </si>
  <si>
    <t>2.3.1. Supervisi dan Monev Penyakit survallens dan Hepatitis</t>
  </si>
  <si>
    <t>2.3. Program Pencegahan dan Penanggulangan Penyakit Menular</t>
  </si>
  <si>
    <t>2.3.2. Supervisi dan monev Penyakit PTM</t>
  </si>
  <si>
    <t>2.3.3. Supervisi dan monev HIV AIDS DAN IMS</t>
  </si>
  <si>
    <t>2.3.4. Supervisi dan Monev Penyakit TB</t>
  </si>
  <si>
    <t>2.3.5. Supervisi dan Monev POPM TAHAP 5</t>
  </si>
  <si>
    <t>2.3.6. Supervisi dan monev Penyakit Kusta dan prambusia</t>
  </si>
  <si>
    <t>2.3.7. Supervisi dan monev malaria</t>
  </si>
  <si>
    <t>2.3.8. Supervisi dan monev penyakit ispa Diare</t>
  </si>
  <si>
    <t>2.3.9. Supervisi dan monev imunisasi</t>
  </si>
  <si>
    <t>2.3.10.Rujukan OAP</t>
  </si>
  <si>
    <t>2.4. Program Standarisasi Pelayanan Kesehatan</t>
  </si>
  <si>
    <t>2.4.1.  Gaji honor Perawat dan IT</t>
  </si>
  <si>
    <t>2.5. Program kemitraan peningkatan pelayanan kesehatan</t>
  </si>
  <si>
    <t>2.5.1.   Insentif Kader Posyandu</t>
  </si>
  <si>
    <t>3.1.1 Pembangunan Ruang Tunggu Pasien</t>
  </si>
  <si>
    <t>3.2 Program pengadaan, peningkatan sarana dan prasarana rumah sakit/ rumah sakit jiwa/  rumah sakit paru-paru/  rumah sakit mata</t>
  </si>
  <si>
    <t xml:space="preserve">3.2.1. Pengadaan Bahan Logistik RSUD  </t>
  </si>
  <si>
    <t>3.3 Program kemitraan peningkatan pelayanan kesehatan</t>
  </si>
  <si>
    <t xml:space="preserve">3.3.1. Peningkatan pelayanan kesehatan rujukan (gaji, insentif, tunjangan resiko, tunjangan lainnya)  </t>
  </si>
  <si>
    <t xml:space="preserve">3.3.2. Penyediaan gaji tenga kontrak  </t>
  </si>
  <si>
    <t xml:space="preserve">3.3.3. Pengadaan makanan dan minuman pasien dan petugas  </t>
  </si>
  <si>
    <t xml:space="preserve">3.3.4. Pelayanan kesehatan masyarakat pinggiran dan terpencil orang asli papua  </t>
  </si>
  <si>
    <t xml:space="preserve">3.3.5. Pelayanan terpadu sistem jaminan kesehatan nasional  </t>
  </si>
  <si>
    <t>4.1.  Program Peningkatan Jalan dan Jembatan</t>
  </si>
  <si>
    <t>4.1.1. Peningkatan Jalan Bariat - Konda</t>
  </si>
  <si>
    <t>4.1.2. Peningkatan jalan Konda - Demen</t>
  </si>
  <si>
    <t>4.1.3. Peningkatan Jalan Tokas - Kasar</t>
  </si>
  <si>
    <t>4.2. Program pembangunan jalan dan jembatan</t>
  </si>
  <si>
    <t>4.2.1. Pembangunan Jembatan Kamisabe Tahap II</t>
  </si>
  <si>
    <t>4.2.2. Pembangunan Jalan Rigit Pavement Kais</t>
  </si>
  <si>
    <t>4.3.Program pembangunan saluran drainase/gorong-gorong</t>
  </si>
  <si>
    <t>4.3.1.  Pembangunan Drainase Kampung Bumi Ajo</t>
  </si>
  <si>
    <t xml:space="preserve">4.3.2. Pembangunan Drainase Wermit  </t>
  </si>
  <si>
    <t xml:space="preserve">4.3.3. Pembangunan Drainase Kampung Sira </t>
  </si>
  <si>
    <t xml:space="preserve">4.3.4. Pembangunan Drainase Satin  </t>
  </si>
  <si>
    <t xml:space="preserve">4.3.5. Pembangunan Drainase Kampung Waigo  </t>
  </si>
  <si>
    <t xml:space="preserve">4.3.6. Pembangunan Drainase kampung Hasik Jaya  </t>
  </si>
  <si>
    <t>4.4. Program Penyediaan dan Pengelolaan Air Baku</t>
  </si>
  <si>
    <t xml:space="preserve">4.4.1. Pembuatan Sumur Bor SP2 </t>
  </si>
  <si>
    <t xml:space="preserve">4.4.2. Pembuatan Sumur Bor Kampung Tokas  </t>
  </si>
  <si>
    <t xml:space="preserve">4.4.3. Pembangunan Sumur Bor Kokoda Tengah  </t>
  </si>
  <si>
    <t xml:space="preserve">4.4.4. Pembangunan Sumur Bor  </t>
  </si>
  <si>
    <t xml:space="preserve">4.4.5. Pembangunan Sumur Bor Kelurahan Kohoin dan Kampung Kikiso  </t>
  </si>
  <si>
    <t xml:space="preserve">4.4.6. Pembangunan Sumur Bor Kelurahan Persiapan Mariar </t>
  </si>
  <si>
    <t xml:space="preserve">4.4.7. Pembangunan Sumur Bor Kampung Tigirolo  </t>
  </si>
  <si>
    <t>4.5. Program Pengembangan Kinerja Pengelolaan Air Minum dan Air Limbah</t>
  </si>
  <si>
    <t xml:space="preserve">4.5.1. Pembangunan MCK Kompleks Tengki </t>
  </si>
  <si>
    <t xml:space="preserve">4.5.2. Pembangunan Bak Air Bersih di Kompleks Satin dan Jaringannya  </t>
  </si>
  <si>
    <t xml:space="preserve">4.5.3. Pembangunan MCK Kampung Persiapan Gersik  </t>
  </si>
  <si>
    <t xml:space="preserve">4.5.4. Pembangunan MCK Kampung Seyolo  </t>
  </si>
  <si>
    <t xml:space="preserve">4.5.6. Pembangunan MCK Kampung Persiapan Gorolo </t>
  </si>
  <si>
    <t xml:space="preserve">4.5.7. Pembangunan MCK Dusun Kaliat Mande </t>
  </si>
  <si>
    <t xml:space="preserve">4.5.8. Pembangunan MCK Kampung Moswaren  </t>
  </si>
  <si>
    <t xml:space="preserve">4.5.9. Pembangunan MCK Plus Kampung johsiro </t>
  </si>
  <si>
    <t xml:space="preserve">4.5.10.Pembangunan MCK Kampung Wersar </t>
  </si>
  <si>
    <t xml:space="preserve">4.5.11.Pembangunan MCK Kampung Tegirolo </t>
  </si>
  <si>
    <t xml:space="preserve">4.5.12.Pembangunan MCK Kampung Satin </t>
  </si>
  <si>
    <t xml:space="preserve">4.5.13.Pembangunan MCK Kampung Kampung Seyolo  </t>
  </si>
  <si>
    <t xml:space="preserve">4.5.14.Pembangunan MCK Kampung Kampung Nombro  </t>
  </si>
  <si>
    <t xml:space="preserve">4.5.15.Pembangunan MCK Kampung Kampung Wermith  </t>
  </si>
  <si>
    <t xml:space="preserve">4.5.16.Pembangunan MCK Distrik Konda </t>
  </si>
  <si>
    <t xml:space="preserve">4.5.17.Pembangunan MCK Kampung Wernas </t>
  </si>
  <si>
    <t xml:space="preserve">4.5.18.Pembangunan MCK Kampung Mariar  </t>
  </si>
  <si>
    <t xml:space="preserve">4.5.19.Pembangunan MCK Kampung Tolak  </t>
  </si>
  <si>
    <t xml:space="preserve">4.5.20.Pembangunan MCK Kampung Srer  </t>
  </si>
  <si>
    <t xml:space="preserve">4.5.21.Pembangunan MCK Kampung Sodrofoyo  </t>
  </si>
  <si>
    <t xml:space="preserve">4.5.22.Pembangunan MCK Kampung Kemislolo  </t>
  </si>
  <si>
    <t xml:space="preserve">4.5.23.Pembangunan MCK Kampung Persiapan Yorbes  </t>
  </si>
  <si>
    <t xml:space="preserve">4.5.24.Pembangunan MCK Kikiso  </t>
  </si>
  <si>
    <t xml:space="preserve">4.5.25.Pembangunan MCK Kampung Gorolo  </t>
  </si>
  <si>
    <t>4.6. Program Pembangunan Infrastruktur Perdesaan</t>
  </si>
  <si>
    <t xml:space="preserve">4.6.1.  Pengadaan Lampu jalan Solar Cell </t>
  </si>
  <si>
    <t>4.6.2.  Pemeliharaan/Perawatan Lampu Jalan Solar Cell</t>
  </si>
  <si>
    <t>4.7. Program Pembangunan Jalan Lingkungan</t>
  </si>
  <si>
    <t>4.7.1. Pembangunan Jalan Lingkungan Kampung Persiapan Sehais-Namro</t>
  </si>
  <si>
    <t xml:space="preserve">4.7.2. Pembangunan Jalan Lingkungan Safolo  </t>
  </si>
  <si>
    <t xml:space="preserve">4.7.3. Pembangunan Jalan Lingkungan  </t>
  </si>
  <si>
    <t xml:space="preserve">4.7.4. Pembangunan Jalan Lingkungan Perubahan Polres Sengguer </t>
  </si>
  <si>
    <t xml:space="preserve">4.7.5. Pembangunan Jalan Lingkungan SP Kampung Hasik Jaya  </t>
  </si>
  <si>
    <t xml:space="preserve">4.7.6. Pembangunan Jalan Lingkungan SP1 Bumi Ajo  </t>
  </si>
  <si>
    <t xml:space="preserve">4.7.7. Pembangunan Jalan Lingkungan SP2 Kampung Johsiro  </t>
  </si>
  <si>
    <t xml:space="preserve">4.7.8. Pembangunan Jalan Lingkungan Kompleks Kikiso  </t>
  </si>
  <si>
    <t xml:space="preserve">4.7.9. Pembangunan Jalan Lingkungan Kompleks Kampung Siribau  </t>
  </si>
  <si>
    <t xml:space="preserve">4.7.10.Pembangunan Jalan Lingkungan Kompleks Kampung Wermith  </t>
  </si>
  <si>
    <t xml:space="preserve">4.7.11.Pembangunan Jalan Lingkungan Kompleks Kampung Tapiri  </t>
  </si>
  <si>
    <t xml:space="preserve">4.7.12.Pembangunan Jalan Lingkungan Kompleks Kampung Bariat  </t>
  </si>
  <si>
    <t xml:space="preserve">4.7.13.Pembangunan Jalan Lingkungan Kampung Kikiso </t>
  </si>
  <si>
    <t xml:space="preserve">4.7.14.Pembangunan Jalan Lingkungan Kompleks YPK  </t>
  </si>
  <si>
    <t xml:space="preserve">4.7.16.Pembangunan Jalan Lingkungan Kampung Eles dan Segi  </t>
  </si>
  <si>
    <t xml:space="preserve">4.7.15.Pembangunan Jalan Lingkungan Kampung Wersar </t>
  </si>
  <si>
    <t xml:space="preserve">4.7.17.Pembangunan Jalan Lingkungan Kampung Sfakyo  </t>
  </si>
  <si>
    <t xml:space="preserve">4.7.18.Pembangunan Jalan Lingkungan Kampung Haha  </t>
  </si>
  <si>
    <t xml:space="preserve">4.7.19.Pembangunan Jalan Lingkungan Kampung Pasir Putih  </t>
  </si>
  <si>
    <t xml:space="preserve">4.7.20.Pembangunan Jalan Lingkungan Kampung Eles  </t>
  </si>
  <si>
    <t xml:space="preserve">4.7.21.Pembangunan Jalan Lingkungan Kampung Bariat  </t>
  </si>
  <si>
    <t xml:space="preserve">4.7.22.Pembangunan Jalan Lingkungan Kampung Sungguer </t>
  </si>
  <si>
    <t xml:space="preserve">4.7.23.Pembangunan Jalan Lingkungan Kampung Bagaraga  </t>
  </si>
  <si>
    <t xml:space="preserve">4.7.24.Pembangunan Jalan Lingkungan Kampung Waigo  </t>
  </si>
  <si>
    <t xml:space="preserve">4.7.25.Pembangunan Jalan Lingkungan Kampung Hore Hore  </t>
  </si>
  <si>
    <t xml:space="preserve">4.7.26.Pembangunan Jalan Lingkungan Kampung Persiapan Rerate  </t>
  </si>
  <si>
    <t xml:space="preserve">4.7.27.Pembangunan Jalan Lingkungan Kampung Persiapan Sawta  </t>
  </si>
  <si>
    <t xml:space="preserve">4.7.28.Pembangunan Jalan Lingkungan Kampung  Srer  </t>
  </si>
  <si>
    <t xml:space="preserve">4.7.29.Pembangunan Jalan Lingkungan Kampung Persiapan Wanoyoko </t>
  </si>
  <si>
    <t xml:space="preserve">4.7.30.Pembangunan Jalan Lingkungan Kampung Kohok </t>
  </si>
  <si>
    <t xml:space="preserve"> 5.1 Program Pemberdayaan Fakir Miskin, Komunitas Adat Terpencil (KAT) dan Penyandang MasalahKesejahteraan Sosial (PMKS) Lainnya</t>
  </si>
  <si>
    <t xml:space="preserve">5.1.2. Pemberdayaan Fakir Miskin, KAT daerah Pebatasan  </t>
  </si>
  <si>
    <t xml:space="preserve">5.1.3. Pelatihan Keterampilan berusaha bagi Keluarga Miskin </t>
  </si>
  <si>
    <t xml:space="preserve">5.1.4. Pengadaan Sarana dan Prasarana Pendukung bagi Usaha Ekonomi Produktif  </t>
  </si>
  <si>
    <t xml:space="preserve">5.1.5. Pembangunan Rumah Layak Huni Kompleks Satin  </t>
  </si>
  <si>
    <t xml:space="preserve">5.1.6. Pembangunan Rumah Layak Huni SP2 </t>
  </si>
  <si>
    <t xml:space="preserve">5.1.7. Bedah Rumah Kampung Gorolo  </t>
  </si>
  <si>
    <t xml:space="preserve">5.1.8. Bedah Rumah Belakang Bandara  </t>
  </si>
  <si>
    <t xml:space="preserve">5.1.9. Pengadaan Bahan Stimulan Kampung Gorolo  </t>
  </si>
  <si>
    <t>5.1.10.Rehab Rumah Masyarakat Kampung Moswaren</t>
  </si>
  <si>
    <t>5.1.11.Pengadaan Mesin Engkol Yanmar Kokoda Tengah</t>
  </si>
  <si>
    <t xml:space="preserve">5.1.12.Pembangunan Rumah Layak Huni  Type 42 Kampung kaliat </t>
  </si>
  <si>
    <t xml:space="preserve">5.1.13.Bedah Rumah Kampung Wensough </t>
  </si>
  <si>
    <t xml:space="preserve">5.1.15.Pembangunan Rumah Layak Huni Kampung Sasnek </t>
  </si>
  <si>
    <t xml:space="preserve">5.1.14.Pembangunan Rumah Layak Huni Kampung Persiapan Bersama </t>
  </si>
  <si>
    <t xml:space="preserve">5.1.16.Pembangunan Rumah Layak Huni Kampung Kwowok  </t>
  </si>
  <si>
    <t xml:space="preserve">5.1.17.Pembangunan Rumah Transit Imeko </t>
  </si>
  <si>
    <t>5.2 Program Pelayanan dan Rehabilitasi Kesejahteraan Sosial</t>
  </si>
  <si>
    <t xml:space="preserve">5.2.1. Sosialisasi Bahaya Narkoba bagi Para pelajar SMP/SMU sederajat  </t>
  </si>
  <si>
    <t xml:space="preserve">5.2.2. Pelatihan Pertukangan bagi anak-anak Terlantar dan Kurang Mampu  </t>
  </si>
  <si>
    <t>5.3.  Program pembinaan panti asuhan /panti jompo</t>
  </si>
  <si>
    <t>5.3.1. Pengadaan Sembako Bagi Lansia dan Jaminan Sosial</t>
  </si>
  <si>
    <t xml:space="preserve">5.3.2. Pengadaan Sembako Bagi  Asrama P3w dan Muhammadiyah  </t>
  </si>
  <si>
    <t>5.4 Program Kelembagaan Kesejahteraan Keluarga dan Pelestarian Nilai nilai</t>
  </si>
  <si>
    <t xml:space="preserve">5.4.1. Pemeliharaan TMP Tricakrabuana Teminabuan &amp; Tugu  Trikora Wersar </t>
  </si>
  <si>
    <t>5.5  Program Kelembagaan Kesejahteraan Sosial</t>
  </si>
  <si>
    <t xml:space="preserve">5.5.1. Program Bakti Sosial </t>
  </si>
  <si>
    <t xml:space="preserve">5.5.2. Pengadaan Peralatan dan Perlengkapan Kantor  </t>
  </si>
  <si>
    <t>6.1 Program Peningkatan Kualitas dan Produktivitas Tenaga Kerja</t>
  </si>
  <si>
    <t xml:space="preserve">6.1.1. Pelatihan Operator Alat Berat (Kerjasama BLK Sorong) </t>
  </si>
  <si>
    <t xml:space="preserve">6.1.2. Pelatihan Instalasi Listrik  </t>
  </si>
  <si>
    <t>7.1.  Program keserasian Kebijakan Peningkatan Kualitas Anak dan Perempuan</t>
  </si>
  <si>
    <t xml:space="preserve">7.1.1. Sarasehan Pemberdayaan Perempuan </t>
  </si>
  <si>
    <t xml:space="preserve">7.1.2. Penyuluhan dan Pemberian Makanan bergizi bagi Bumil dan Balita  </t>
  </si>
  <si>
    <t xml:space="preserve">7.1.3. Pembentukan Kelompok Kerja (PUG)  </t>
  </si>
  <si>
    <t>7.2.1. Sosialisasi Perilaku Hidup Bersih dan Sehat  ( PHBS )</t>
  </si>
  <si>
    <t xml:space="preserve">7.2.2. Fasilitasi Pengembangan Sekolah Ramah Anak (SRA) dan Puskesmas Ramah Anak (PRA)  </t>
  </si>
  <si>
    <t xml:space="preserve">7.2.3. Pelatihan dan Pengadaan Alat dan Bahan Pembuatan Batik   </t>
  </si>
  <si>
    <t>7.3. Program peningkatan peran serta dan kesetaraan jender dalam pembangunan</t>
  </si>
  <si>
    <t xml:space="preserve">7.3.1. Pengadaan Pakaian Seragam Tim Penggerak PKK Tingkat Kampung  </t>
  </si>
  <si>
    <t xml:space="preserve">7.4.1. Pembentukan dan Pengembangan Forum Anak Daerah (FAD)  </t>
  </si>
  <si>
    <t>7.4.2. Fasilitasi korban KDRT</t>
  </si>
  <si>
    <t>7.4.3. Operasional Pengurus P2TP2A</t>
  </si>
  <si>
    <t xml:space="preserve">7.4.4. Pemulihan dan Fasilitasi Pasca Kekerasan Perempuan dan Anak   </t>
  </si>
  <si>
    <t>8. DINAS KETAHANAN PANGAN</t>
  </si>
  <si>
    <t>8.1.1. Neraca Ketersediaan dan Komsumsi Pangan</t>
  </si>
  <si>
    <t>8.1.2. Pembuatan Demplot Pertanian</t>
  </si>
  <si>
    <t xml:space="preserve">8.1.3. Pengembangan desa mandiri pangan  </t>
  </si>
  <si>
    <t xml:space="preserve">8.1.4. Pemantapan Kelembagaan Sistem Kewaspadaan Pengan dan Gizi (SKPG) sampai ke tingkat Desa </t>
  </si>
  <si>
    <t>8.2 Program Peningkatan Distribusi dan Cadangan Pangan</t>
  </si>
  <si>
    <t xml:space="preserve">8.2.2. Penyaluran Bantuan Stimulan Kepada Kelompok Masyarakat Berakses Pangan rendah  </t>
  </si>
  <si>
    <t xml:space="preserve">8.2.1. Panel Harga Pangan Pokok </t>
  </si>
  <si>
    <t xml:space="preserve">8.2.3. Pasar Murah  </t>
  </si>
  <si>
    <t xml:space="preserve">8.2.4. Pelatihan Petugas Panel Harga Pangan Pokok </t>
  </si>
  <si>
    <t xml:space="preserve">8.2.5. Analisis Data Harga Pangan Tahun 2019  </t>
  </si>
  <si>
    <t>8.3  Program Peningkatan Penganekaragaman Konsumsi dan Keamanan Pangan</t>
  </si>
  <si>
    <t xml:space="preserve">8.3.1. Pengembangan Tanaman Pangan dan Gizi di lahan Pekarangan </t>
  </si>
  <si>
    <t xml:space="preserve">8.3.2. Pembuatan Demplot Jamur  </t>
  </si>
  <si>
    <t xml:space="preserve">8.3.3. Pembuatan Demplot Ikan Air Tawar  </t>
  </si>
  <si>
    <t xml:space="preserve">8.3.4. Hari pangan se dunia  </t>
  </si>
  <si>
    <t xml:space="preserve">8.3.5. Lomba cipta menu Tingkat Kabupaten dan Provinsi  </t>
  </si>
  <si>
    <t xml:space="preserve">8.3.6. Penyaluran Bantuan Stimulan kepada Kelompok Masyarakat Berakses pagan Rendah  </t>
  </si>
  <si>
    <t>8.4 Program Peningkatan SDM dan Kelembagaan Pangan</t>
  </si>
  <si>
    <t xml:space="preserve">8.4.1. Opersional Penyuluh </t>
  </si>
  <si>
    <t xml:space="preserve">8.4.2. Pelatihan Bagi Penyuluh  </t>
  </si>
  <si>
    <t xml:space="preserve">8.4.3. Rekrutmen penyuluh pertanian </t>
  </si>
  <si>
    <t xml:space="preserve">8.4.4. Penyediaan Sarana Penunjang Penyuluh  </t>
  </si>
  <si>
    <t xml:space="preserve">8.4.5. Pekan Nasional KTNA </t>
  </si>
  <si>
    <t xml:space="preserve">8.4.6. Pelatihan Pembuatan Pupuk Organik </t>
  </si>
  <si>
    <t>9. DINAS LINGKUNGAN HIDUP</t>
  </si>
  <si>
    <t>9.1 Program Pengembangan Kinerja Pengelolaan Persampahan</t>
  </si>
  <si>
    <t xml:space="preserve">9.1.1. Pembangunan Bak Sampah  </t>
  </si>
  <si>
    <t>10. BADAN PENGANGGULANGAN BENCANA DAERAH</t>
  </si>
  <si>
    <t>10.1 Program Pencegahan Dini dan  Penangulangan korban Bencana alam</t>
  </si>
  <si>
    <t xml:space="preserve">10.1.1. Pembangunan Talud Thesia Mgian </t>
  </si>
  <si>
    <t xml:space="preserve">10.1.2. Pembangunan Talud Kampung B </t>
  </si>
  <si>
    <t xml:space="preserve">10.1.3. Pembangunan Talud Pertigaan Wernas Kuburan  </t>
  </si>
  <si>
    <t xml:space="preserve">10.1.4. Pembangunan Talud Pengendali Banjir Sengget </t>
  </si>
  <si>
    <t>10.2 Program Pengadaan Sarana dan Prasarana Penanggulangan Bencana</t>
  </si>
  <si>
    <t xml:space="preserve">10.2.1. Pengadaan Tong Fiber Air (100 Liter) Kampung Saga  </t>
  </si>
  <si>
    <t xml:space="preserve">10.2.2. Pengadaan Mesin Yamaha 15 %  </t>
  </si>
  <si>
    <t xml:space="preserve">10.2.3. Pengadaan Perahu Fiber </t>
  </si>
  <si>
    <t xml:space="preserve">10.2.4. Pengadaan Jaring Tramell Net </t>
  </si>
  <si>
    <t xml:space="preserve">10.2.5. Penggandaan Mesin Tempel 15 Pk  </t>
  </si>
  <si>
    <t xml:space="preserve">10.2.6. Pengadaan Body Perahu Fiber </t>
  </si>
  <si>
    <t xml:space="preserve">11. DINAS KEPENDUDUKAN DAN PENCATATAN SIPIL </t>
  </si>
  <si>
    <t>11.1 Program Penataan Administrasi Kependudukan</t>
  </si>
  <si>
    <t>11.1.1. Peningkatan Pelayanan Publik Bidang Kependudukan, Pencatatan Sipil dan Validasi Data Kependudukan</t>
  </si>
  <si>
    <t>12.1 Program Peningkatan Keberdayaan Masyarakat Perdesaan</t>
  </si>
  <si>
    <t xml:space="preserve">12.1.1. Pelatihan SISKEUDES bagi Para Kepala Kampung dan Bendahara Kampung  </t>
  </si>
  <si>
    <t xml:space="preserve">12.1.2. Monitoring dan Evaluasi Dana Desa Tahun 2020 </t>
  </si>
  <si>
    <t xml:space="preserve">12.1.3. Pembangunan Rumah Layak Huni Kampung Negeri Besar  </t>
  </si>
  <si>
    <t>12.2 Program peningkatan partisipasi masyarakat dalam membangun desa</t>
  </si>
  <si>
    <t>12.3 Program Peningkatan Teknologi Tepat Guna</t>
  </si>
  <si>
    <t xml:space="preserve">12.2.1. Peningkatan Rumah Layak Huni  </t>
  </si>
  <si>
    <t xml:space="preserve">12.3.1. Pembangunan Coldstrorage Tahap II Distrik Konda </t>
  </si>
  <si>
    <t>13.1 Program peningkatan pelayanan angkutan</t>
  </si>
  <si>
    <t xml:space="preserve">13.1.1. Pengadaan Mesin Tempel 15 PK  </t>
  </si>
  <si>
    <t>13.2 Program pembangunan sarana dan prasarana perhubungan</t>
  </si>
  <si>
    <t xml:space="preserve">13.2.1. Pembangunan Tambatan Perahu Kampung Yamuety  </t>
  </si>
  <si>
    <t>14. DINAS KOMUNIKASI DAN INFORMATIKA</t>
  </si>
  <si>
    <t>14.1 Program Pengembangan Komunikasi, Informasi dan Media Massa</t>
  </si>
  <si>
    <t>14.1.1. Penguatan jaringan internet</t>
  </si>
  <si>
    <t>14.2 Program fasilitasi Peningkatan SDM bidang komunikasi dan informasi</t>
  </si>
  <si>
    <t>14.2.1. Pembinaan Kelompok Informasi Tingkat Kampung</t>
  </si>
  <si>
    <t>15. DINAS PEMUDA, OLAHRAGA DAN PARIWISATA</t>
  </si>
  <si>
    <t>15.1 Program peningkatan peran serta kepemudaan</t>
  </si>
  <si>
    <t>15.1.1. Kegiatan Paskibra  TK. Kabupaten &amp; Provinsi</t>
  </si>
  <si>
    <t>15.1.2. Kegiatan Marchind band</t>
  </si>
  <si>
    <t>15.2 Program Pembinaan dan Pemasyarakatan Olah Raga</t>
  </si>
  <si>
    <t>15.2.1. Liga Sepak Bola Pelajar U 14 dan Liga Pelajar U 16</t>
  </si>
  <si>
    <t>15.2.2. Kompetisi Futsal</t>
  </si>
  <si>
    <t>15.2.3. Pendidikan Pelatihan Tenaga Wasit</t>
  </si>
  <si>
    <t>15.3 Program Pengembangan Kemitraan</t>
  </si>
  <si>
    <t xml:space="preserve">15.3.1. Kegiatan Pameran / Promosi Seni Budaya  Kab. Sorsel  </t>
  </si>
  <si>
    <t xml:space="preserve">15.3.2. kegiatan  Festival Seni Budaya Tk. Provinsi Papua Barat  </t>
  </si>
  <si>
    <t>16.1 Program pemberdayaan ekonomi masyarakat pesisir</t>
  </si>
  <si>
    <t>16.1.1. Pelatihan Budidaya Sistem Keramba Kepiting</t>
  </si>
  <si>
    <t xml:space="preserve">16.1.2. Pelatihan Manajemen Usaha Bagi Nelayan Asli Papua  </t>
  </si>
  <si>
    <t xml:space="preserve">16.1.3. Sosialisasi Gerakan Gemar Makan Ikan untuk Pencegahan Stunting </t>
  </si>
  <si>
    <t>16.2 Program Pengembangan Budidaya Perikanan</t>
  </si>
  <si>
    <t>16.2.1. Pengadaan Benih Ikan Mas, Nila,Lele kepada Pembudidaya Asli Papua</t>
  </si>
  <si>
    <t xml:space="preserve">16.2.2. Pengadaan Pakan Ikan  </t>
  </si>
  <si>
    <t xml:space="preserve">16.2.2. Pelatihan Teknik Pemijahan Ikan  </t>
  </si>
  <si>
    <t xml:space="preserve">16.2.3. Pelatihan Pembuatan Pakan Ikan </t>
  </si>
  <si>
    <t>16.3 Program pengembangan perikanan tangkap</t>
  </si>
  <si>
    <t xml:space="preserve">16.3.1. Pengadaan Mesin Ketinting  Distrik Konda  </t>
  </si>
  <si>
    <t xml:space="preserve">16.3.2. Pengadaan Mesin Ketinting Distrik Kais dan Kais Daerat </t>
  </si>
  <si>
    <t xml:space="preserve">16.3.3. Pelatihan Perbaikan Alat TAngkap Nelayan OAP </t>
  </si>
  <si>
    <t xml:space="preserve">16.3.4. Pelatihan Pengolahan Hasil Perikanan  </t>
  </si>
  <si>
    <t xml:space="preserve">16.3.5. Pembuatan Keramba Kepiting </t>
  </si>
  <si>
    <t xml:space="preserve">16.3.6. Pengadaan Alat Tangkap Kepiting </t>
  </si>
  <si>
    <t xml:space="preserve">16.3.7. Pengadaan Motor Tempel 15 PK  </t>
  </si>
  <si>
    <t xml:space="preserve">16.3.7. Pengadaan cosco Perahu Fiber Glas 15 PK  </t>
  </si>
  <si>
    <t xml:space="preserve">16.3.8. Pengadaan Mesin Ketinting  </t>
  </si>
  <si>
    <t xml:space="preserve">16.3.9. Pengadaan Jaring Tramel Net Konda Wayer  </t>
  </si>
  <si>
    <t xml:space="preserve">16.3.10.Pengadaan Jaring Tramel Net Kampung Klabra dan Botain  </t>
  </si>
  <si>
    <t xml:space="preserve">16.3.11.Pengadaan Jaring Tramel Net Metemani Kais </t>
  </si>
  <si>
    <t xml:space="preserve">16.3.12.Pengadaan Jaring Tramel Net Kokoda Raya </t>
  </si>
  <si>
    <t xml:space="preserve">16.3.13.Pengadaan Jaring Tramel Net Kampung Tambani  </t>
  </si>
  <si>
    <t xml:space="preserve">16.3.14.Pengadaan Mesin Ketinting Distrik Inanwatan  </t>
  </si>
  <si>
    <t xml:space="preserve">16.3.15.Pengadaan Mesin Motor Tempel 15 pk Distrik Kokoda </t>
  </si>
  <si>
    <t xml:space="preserve">16.3.16.Pengadaan Jaring Tramel Net Distrik Kokoda </t>
  </si>
  <si>
    <t xml:space="preserve">16.3.17.Pengadaan Jaring Tramel Net Distrik Metemani  </t>
  </si>
  <si>
    <t xml:space="preserve">16.3.18.Pengadaan Mesin Jolor Kapasitas 5 Ton  + Bodi  </t>
  </si>
  <si>
    <t xml:space="preserve">16.3.19.Pengadaan Mesin 15 Pk Komplesk Pasar Ampera  </t>
  </si>
  <si>
    <t xml:space="preserve">16.3.20.Pengadaan Mesin 15 Pk Yamaha Kokoda Tengah  </t>
  </si>
  <si>
    <t xml:space="preserve">16.3.21.Pengadaan Bodi Perahu Fiber Kokoda Tengah </t>
  </si>
  <si>
    <t xml:space="preserve">16.3.22.Pengadaan Jaring Gill Net Distrik Teminabuan  </t>
  </si>
  <si>
    <t xml:space="preserve">16.3.23.Pengadaan Jaring Tramell Net Distrik Teminabuan  </t>
  </si>
  <si>
    <t xml:space="preserve">16.3.24.Pengadaan Jaring Tramell Net  </t>
  </si>
  <si>
    <t xml:space="preserve">16.3.25.Pengadaan Mesin Tempel 15 Pk  </t>
  </si>
  <si>
    <t xml:space="preserve">16.3.26.Pengadaan Mesin Tempel 40 Pk  </t>
  </si>
  <si>
    <t xml:space="preserve">16.3.28.Pengadaan Perahu Fiber Kampung Kohoin,Siwenogindan Meriar  </t>
  </si>
  <si>
    <t xml:space="preserve">16.3.29.Pengadaan Bodi Perahu Fiber Kampung Konda  </t>
  </si>
  <si>
    <t xml:space="preserve">16.3.30.Pengadaan Mesin Motor Tempel 15 Pk  </t>
  </si>
  <si>
    <t>17.1 Program Peningkatan Produksi, Produktifitas dan Mutu Hasil Tanaman Pangan dan Holtikutura</t>
  </si>
  <si>
    <t>17.1.1. Pengembangan Jagung</t>
  </si>
  <si>
    <t>17.1.2. Pengembangan Ubi Jalar</t>
  </si>
  <si>
    <t>17.1.3. Pengembangan Keladi</t>
  </si>
  <si>
    <t>17.1.4. Pengembangan Padi</t>
  </si>
  <si>
    <t>17.1.5. Pengembangan Sayur - sayuran</t>
  </si>
  <si>
    <t xml:space="preserve">17.1.6. Pengembangan bibit rambutan dan Durian  </t>
  </si>
  <si>
    <t xml:space="preserve">17.1.7. Pengadaan Bibit Rambutan Kampung Tokas dan Bumi Ajo  </t>
  </si>
  <si>
    <t xml:space="preserve">17.1.8. Pengadaan Bibit Pohon Pinang  </t>
  </si>
  <si>
    <t xml:space="preserve">17.1.9. Pengadaan Bibit Pinang Kampung Namro </t>
  </si>
  <si>
    <t xml:space="preserve">17.1.10.Pertanian Sistem Grand House / Tanaman Holtikultura Kampung Eles dan Sfakyo  </t>
  </si>
  <si>
    <t xml:space="preserve">17.1.11.Pengadaan Bibit Manggis Super kampung Eles dan Sfakyo  </t>
  </si>
  <si>
    <t xml:space="preserve">17.1.12.Pengadaan Bibit Fanili Kampung Eles dan Sfakyo  </t>
  </si>
  <si>
    <t xml:space="preserve">17.1.13.Pengadaan Bibit Pinang Kampung Srer </t>
  </si>
  <si>
    <t xml:space="preserve">17.1.14.Pengadaan Bibit Pinang Kampung Moswaren </t>
  </si>
  <si>
    <t xml:space="preserve">17.1.15.Pengadaan Bibit Pinang, Jeruk Manis Kampung Persiapan Mariar  </t>
  </si>
  <si>
    <t xml:space="preserve">17.1.16.Pengadaan Bibit Pinang Kampung Wersar </t>
  </si>
  <si>
    <t>17.2 Program Peningkatan Produksi Komoditi Perkebunan Berkelanjutan</t>
  </si>
  <si>
    <t>17.2.1. Pengembangan Sagu</t>
  </si>
  <si>
    <t>17.2.2. Penataan Sagu</t>
  </si>
  <si>
    <t>17.2.3. Pengembangan Kelapa Dalam</t>
  </si>
  <si>
    <t xml:space="preserve">17.2.4. Pengadaan Bibit Gaharu Malaciens (kalimantan), Grinops (Papua) dan Filarial (Papua)  </t>
  </si>
  <si>
    <t>17.3 Program Peningkatan Produksi dan Produktifitas Serta Agribisnis Peternakan Rakyat</t>
  </si>
  <si>
    <t>17.3.1. Penyediaan Hijauan Pakan Ternak</t>
  </si>
  <si>
    <t>17.3.2. Penyediaan Pejantan Sapi</t>
  </si>
  <si>
    <t>17.3.3. Penyediaan Indukan Sapi</t>
  </si>
  <si>
    <t>17.3.4. Pengembangan Ternak Babi</t>
  </si>
  <si>
    <t>17.3.5. Monitoring dan Pengobatan seta Pendataan Ternak</t>
  </si>
  <si>
    <t>17.3.6. Pengembangan Rusa Totol</t>
  </si>
  <si>
    <t xml:space="preserve">17.3.7. Pengadaan Bibit Sapi  </t>
  </si>
  <si>
    <t>18. DINAS PERINDUSTRIAN, PERDAGANGAN, KOPERASI DAN UKM</t>
  </si>
  <si>
    <t>18.1 Program Peningkatan Sarana dan Prasarana Aparatur</t>
  </si>
  <si>
    <t xml:space="preserve">18.1.1. Pengadaan mebeleur Dinas Perindag dan UKM </t>
  </si>
  <si>
    <t>18.2 Program Peningkatan Kapasitas Sumber Daya Aparatur</t>
  </si>
  <si>
    <t>18.2.1. Diklat Pengawasan/Penyuluh Koperasi dan UKM</t>
  </si>
  <si>
    <t>18.3 Program peningkatan kapasitas iptek sistem produksi</t>
  </si>
  <si>
    <t xml:space="preserve">18.3.1. Pengadaan Mesin Parut Sagu  </t>
  </si>
  <si>
    <t>18.4 Program pengembangan industri kecil dan menengah</t>
  </si>
  <si>
    <t xml:space="preserve">18.4.1. Pemutahiran Datan Industri Kecil dan Menengah </t>
  </si>
  <si>
    <t xml:space="preserve">18.3.2. Pengadaan Peralatan Sagu Distrik Teminabuan </t>
  </si>
  <si>
    <t xml:space="preserve">18.4.3. Pendampingan dan Pengawasan bagi IKM  </t>
  </si>
  <si>
    <t xml:space="preserve">18.4.2. Bimbingan dan Penyuluhan bagi IKM  </t>
  </si>
  <si>
    <t>18.5 Program Peningkatan Kualitas Kelembagaan Koperasi dan UKM</t>
  </si>
  <si>
    <t xml:space="preserve">18.5.1. Pelatihan Manajemen Usaha Bagi Kelompok UMKM Bagi Orang Asli Papua   </t>
  </si>
  <si>
    <t xml:space="preserve">18.5.2. Pelatihan Penyusunan Anggaran Dasar (AD) Anggaran Rumah Tangga (ART) dan Rapat Anggota Tahunan Bagi Koperasi Khusus Orang Asli Papua  (OAP) </t>
  </si>
  <si>
    <t xml:space="preserve">18.5.3. Pendampingan Rapat Anggota Tahunan </t>
  </si>
  <si>
    <t>18.6 Program Perlindungan Konsumen dan Pengamanan Perdagangan</t>
  </si>
  <si>
    <t xml:space="preserve">18.6.1. Pengawasan dan Perlindungan Konsumen  </t>
  </si>
  <si>
    <t>18.6.3. Pemutahiran Data Pelaku Usaha (otsus)</t>
  </si>
  <si>
    <t xml:space="preserve">18.6.2. Pasar Murah </t>
  </si>
  <si>
    <t>18.6.4. Pendataan peralatan UTTP</t>
  </si>
  <si>
    <t xml:space="preserve">18.6.5. Sosialisasi Undang-undang perlindungan Konsumen  </t>
  </si>
  <si>
    <t>18.7 Program Pembinaan Pedagang Kaki Lima dan Asongan</t>
  </si>
  <si>
    <t xml:space="preserve">18.7.1. Penataan Tempat Usaha bagi Pedagang kaki lima dan asongan lokasi Pasar kajase  </t>
  </si>
  <si>
    <t xml:space="preserve">18.7.2. Pengadaan Etalase Jualan Makanan Bagi Pelaku Ekonomi Kecil (Jual Makanan Jadi)  </t>
  </si>
  <si>
    <t xml:space="preserve">18.7.3. Pengadaan Meja Jualan  </t>
  </si>
  <si>
    <t xml:space="preserve">18.7.4. Pembangunan Pasar Obor Kampung Tofot  </t>
  </si>
  <si>
    <t>19. BADAN PERENCANAAN PEMBANGUNAN DAERAH</t>
  </si>
  <si>
    <t>19.1 Program peningkatan pengembangan sistem pelaporan capaian kinerja dan keuangan</t>
  </si>
  <si>
    <t xml:space="preserve">19.1.1. Monitoring, Evaluasi, Pengendalian, Dan  Pelaporan Pelaksanaan Rencana Pembangunan Daerah Sumber Dana Otsus  </t>
  </si>
  <si>
    <t>20. BADAN PENGELOLA KEUANGAN DAN ASET DAERAH</t>
  </si>
  <si>
    <t>20.1 Belanja Subsidi</t>
  </si>
  <si>
    <t>20. Badan Pengelola Keuangan dan Aset Daerah (SKPKD)</t>
  </si>
  <si>
    <t>20.2 Belanja Hibah</t>
  </si>
  <si>
    <t>20.3 Belanja Bantuan Sosial</t>
  </si>
  <si>
    <t xml:space="preserve">18.5.4. Pelatihan Dasar-dasar Akuntansi bagi Pengurus Koperasi  </t>
  </si>
  <si>
    <t>20.3. Belanja Bantuan Sosial Masyarakat</t>
  </si>
  <si>
    <t>20.3. Belanja Bantuan Sosial Kepada Anggota Masyarakat</t>
  </si>
  <si>
    <t xml:space="preserve">4.3.7. Pembangunan Drainase kelurahan Kohoin </t>
  </si>
  <si>
    <t xml:space="preserve">7. DINAS PEMBERDAYAAN PEREMPUAN DAN PERLINDUNGAN ANAK </t>
  </si>
  <si>
    <t>20.2.1. Belanja Hibah kepada Badan/Lembaga/Organisasi</t>
  </si>
  <si>
    <t>20.2.1 Belanja Hibah kepada Badan/Lembaga/Organisasi</t>
  </si>
  <si>
    <t>1.2.25.Pembangunan Rumah Dinas Guru SMP Negeri Seget</t>
  </si>
  <si>
    <t>1.2.26.Pembangunan Rumah Dinas Guru SMP Negeri 3 Klawak</t>
  </si>
  <si>
    <r>
      <t>9.  DINAS PEMBERDAYAAN PEREMPUAN DAN PERLINDUNGAN ANAK</t>
    </r>
    <r>
      <rPr>
        <b/>
        <sz val="12"/>
        <color rgb="FFFF0000"/>
        <rFont val="Calibri"/>
        <family val="2"/>
      </rPr>
      <t xml:space="preserve">  </t>
    </r>
  </si>
  <si>
    <r>
      <t>8. DINAS PERTANIAN DAN KETAHANAN PANGAN</t>
    </r>
    <r>
      <rPr>
        <b/>
        <sz val="12"/>
        <color rgb="FFFF0000"/>
        <rFont val="Calibri"/>
        <family val="2"/>
      </rPr>
      <t xml:space="preserve"> </t>
    </r>
  </si>
  <si>
    <r>
      <t>10. DINAS PEMBERDAYAAN PEREMPUAN DAN PERLINDUNGAN ANAK</t>
    </r>
    <r>
      <rPr>
        <b/>
        <sz val="12"/>
        <color rgb="FFFF0000"/>
        <rFont val="Calibri"/>
        <family val="2"/>
      </rPr>
      <t xml:space="preserve">  </t>
    </r>
  </si>
  <si>
    <r>
      <t>2. DINAS KESEHATAN</t>
    </r>
    <r>
      <rPr>
        <b/>
        <sz val="12"/>
        <color rgb="FFFF0000"/>
        <rFont val="Calibri"/>
        <family val="2"/>
      </rPr>
      <t xml:space="preserve">  </t>
    </r>
  </si>
  <si>
    <r>
      <t xml:space="preserve">8. DINAS KEPENDUDUKAN DAN PENCATATAN SIPIL </t>
    </r>
    <r>
      <rPr>
        <b/>
        <sz val="12"/>
        <color rgb="FFFF0000"/>
        <rFont val="Calibri"/>
        <family val="2"/>
      </rPr>
      <t xml:space="preserve"> </t>
    </r>
  </si>
  <si>
    <r>
      <t>28.6 Program Peningkatan pemasaran hasil pertanian</t>
    </r>
    <r>
      <rPr>
        <b/>
        <sz val="12"/>
        <color rgb="FFFF0000"/>
        <rFont val="Calibri"/>
        <family val="2"/>
      </rPr>
      <t xml:space="preserve">  </t>
    </r>
  </si>
  <si>
    <t>1.1.1. Pengadaan Alat Peraga (APE) TK/PAUD di Kab.Sorong</t>
  </si>
  <si>
    <t xml:space="preserve">1.1.2. Pengadaan Meubelair TK/PAUD </t>
  </si>
  <si>
    <t xml:space="preserve">1.2.1. Pembangunan Pagar SMP N 10 Kab.Sorong </t>
  </si>
  <si>
    <t xml:space="preserve">1.2.2. Pengadaan Seragam SMP/MTs </t>
  </si>
  <si>
    <t>1.2.3. Ujian Akhir Nasional SD/MI</t>
  </si>
  <si>
    <t xml:space="preserve">1.2.4. Penguatan Baca Tulis (Literasi) Kelas Awal Sekolah Dasar </t>
  </si>
  <si>
    <t xml:space="preserve">1.2.5. Olimpiade Kesiswaan Sekolah Dasar </t>
  </si>
  <si>
    <t xml:space="preserve">1.2.6. Pendampingan Pelaksanaan Kurikulum 2013 SD </t>
  </si>
  <si>
    <t xml:space="preserve">1.2.7. Sosialisasi dan Monev BOS Pusat dan BOSDA </t>
  </si>
  <si>
    <t xml:space="preserve">1.2.8. Penyusunan Juknis dan Monev BOSDA SD/MI </t>
  </si>
  <si>
    <t xml:space="preserve">1.2.9. Kursus Pembinaan Mahir Tingkat Dasar SD </t>
  </si>
  <si>
    <t xml:space="preserve">1.2.12.Bantuan Operasional Daerah (BOSDA) SMP/MTs </t>
  </si>
  <si>
    <t xml:space="preserve">1.2.10.Bantuan Operasional Sekolah Daerah (BOSDA) SD/MI </t>
  </si>
  <si>
    <t xml:space="preserve">1.2.11.Pengadaan Pakaian Seragam Siswa Baru SD/MI </t>
  </si>
  <si>
    <t xml:space="preserve">1.2.13.Penjaringan Bakat dan Prestasi Siswa Tingkat SMP/ Olimpiade </t>
  </si>
  <si>
    <t>1.2.14.Sosialisasi dan Monev BOS Pusat dan BOSDA SMP</t>
  </si>
  <si>
    <t xml:space="preserve">1.2.15.Ujian Akhir Nasional SMP/MTs Tahun 2020 </t>
  </si>
  <si>
    <t xml:space="preserve">1.2.16.Afirmasi Pendidikan ADIK dan ADEM </t>
  </si>
  <si>
    <t xml:space="preserve">1.2.17.Afirmasi Pendidikan </t>
  </si>
  <si>
    <t xml:space="preserve">1.2.18.Pengadaan Mini Bus Sekolah 8 unit </t>
  </si>
  <si>
    <t xml:space="preserve">1.2.19.Pengadaan Meubelair SMP Negeri SATAP Ninjemor </t>
  </si>
  <si>
    <t xml:space="preserve">1.2.20.Rehabilitas 3 Ruang Kelas SD YPPK ST. Paulus </t>
  </si>
  <si>
    <t>1.3. Program Pendidikan Non Formal</t>
  </si>
  <si>
    <t>1.3.1. Biaya Operasional Daerah (BOPD) TK/PAUD</t>
  </si>
  <si>
    <t xml:space="preserve">1.3.2. Biaya Operasional Pembelajaran Paket A  </t>
  </si>
  <si>
    <t xml:space="preserve">1.3.3. Biaya Operasional  Pembelajaran Paket B  </t>
  </si>
  <si>
    <t xml:space="preserve">1.3.4. Biaya Operasional  Pembelajaran Paket C  </t>
  </si>
  <si>
    <t xml:space="preserve">1.3.5. Kurikulum PAUD </t>
  </si>
  <si>
    <t>1.3.6. Penyelenggaraan Ujian Kesetaraan Paket A</t>
  </si>
  <si>
    <t>1.3.7. Penyelenggaraan Ujian Kesetaraan Paket B</t>
  </si>
  <si>
    <t>1.3.8. Penyelenggaraan Ujian Kesetaraan Paket C</t>
  </si>
  <si>
    <t>1.4. Program Pengembangan Adat dan Budaya</t>
  </si>
  <si>
    <t>1.4.1. Dialog Budaya, Seni dan Budaya Moi</t>
  </si>
  <si>
    <t xml:space="preserve">1.4.2. Festival Seni Budaya Malamoi  IV </t>
  </si>
  <si>
    <t xml:space="preserve">1.4.3. Seleksi Gita Bahana Nusantara </t>
  </si>
  <si>
    <t xml:space="preserve">1.4.4. Penelitian dan Pengembangan Bahasa Moi </t>
  </si>
  <si>
    <t>1.5. Program Peningkatan Mutu Pendidik Dan Tenaga Kependidikan</t>
  </si>
  <si>
    <t xml:space="preserve">1.5.1. Guru Kontrak Daerah </t>
  </si>
  <si>
    <t xml:space="preserve">1.5.2. Fasilitasi Sertifikasi &amp; Pengelolaan Tunjangan Profesi Guru &amp; Tunjangan Khusus </t>
  </si>
  <si>
    <t xml:space="preserve">1.5.3. Diklat Calon Kepala Sekolah TK, SD dan SMP </t>
  </si>
  <si>
    <t xml:space="preserve">1.5.4. Seleksi Guru, Kepala Sekolah, Pengawas dan Penilik Berprestasi </t>
  </si>
  <si>
    <t xml:space="preserve">1.5.5. Diklat Calon Pengawas </t>
  </si>
  <si>
    <t>1.5.6. Operasional Pengawas Sekolah</t>
  </si>
  <si>
    <t xml:space="preserve">1.5.7. Pengembangan Keprofesian Berkelanjutan (PKB) </t>
  </si>
  <si>
    <t xml:space="preserve">1.5.8. Sosialisasi dan penghitungan Angka Kredit Guru </t>
  </si>
  <si>
    <t>2.1. Program Promosi Kesehatan Dan Pemberdayaan Masyarakat</t>
  </si>
  <si>
    <t xml:space="preserve">2.1.1. Penyegaran Kader Desa Siaga </t>
  </si>
  <si>
    <t>2.1.2. Musyawarah Masyarakat Desa</t>
  </si>
  <si>
    <t xml:space="preserve">2.1.3. Monitoring Evaluasi Program Layanan Kesehatan </t>
  </si>
  <si>
    <t xml:space="preserve">2.2.1. Screning Bayi Balita Menderita Gizi Buruk dan Kurang </t>
  </si>
  <si>
    <t xml:space="preserve">2.2.1. Screning Ibu Hamil Kekurangan Energi Kronis (KEK) </t>
  </si>
  <si>
    <t xml:space="preserve">2.2.3. Pengadaan Susu dan Suplemen Bayi dan Balita </t>
  </si>
  <si>
    <t xml:space="preserve">2.2.4. Pelayanan Pemberian Tablet Fe Remaja Putri </t>
  </si>
  <si>
    <t>2.2.5. Distribusi PMT dan Suplemen Kesehatan</t>
  </si>
  <si>
    <t xml:space="preserve">2.2.6. Pengadaan Vitamin dan Suplemen bagi Ibu Hamil (Prioritas Orang Asli Papua) </t>
  </si>
  <si>
    <t>2.3. Program Pencegahan dan Penanggulangan Penyakit menular</t>
  </si>
  <si>
    <t xml:space="preserve">2.3.1. Pelayanan Imunisasi Rutin </t>
  </si>
  <si>
    <t xml:space="preserve">2.3.2. Pelayanan Imunisasi Anak Sekolah </t>
  </si>
  <si>
    <t xml:space="preserve">2.3.3. Pencegahan dan Pengendalian Penyakit Kusta </t>
  </si>
  <si>
    <t xml:space="preserve">2.3.4. Pencegahan Dan Pengedalian Penyakit Frambusia </t>
  </si>
  <si>
    <t xml:space="preserve">2.3.5. Pengadaan Susu Bagi Penderita HIV dan TB Paru (Prioritas Orang Asli Papua) </t>
  </si>
  <si>
    <t xml:space="preserve">2.3.6. Pengadaan Vitamin dan Suplemen Bagi Penderita HIV &amp; TB Paru  (Prioritas OAP) </t>
  </si>
  <si>
    <t xml:space="preserve">2.3.7. Pencegahan dan Pengendalian Penyakit TB Paru </t>
  </si>
  <si>
    <t xml:space="preserve">2.3.8. Pencegahan Dan Pengedalian Penyakit HIV/AIDS </t>
  </si>
  <si>
    <t xml:space="preserve">2.3.9. Pencegahan dan Pengendalian Penyakit Malaria </t>
  </si>
  <si>
    <t xml:space="preserve">2.3.10.Pencegahan Dan Pengedalian Penyakit Diare </t>
  </si>
  <si>
    <t>2.3.11.Pencegahan Dan Pengedalian Penyakit ISPA</t>
  </si>
  <si>
    <t>2.3.12.Pencegahan Dan Pengedalian Penyakit Tidak Menular</t>
  </si>
  <si>
    <t>2.4.Program Pengawasan Dan Pengendalian Kesehatan Makanan</t>
  </si>
  <si>
    <t xml:space="preserve">2.4.1. Pembinaan Rumah Tangga Pangan Orang Asli Papua </t>
  </si>
  <si>
    <t xml:space="preserve">2.4.2. Pengambilan dan Pemeriksaan Sempel Pangan </t>
  </si>
  <si>
    <t>2.5. Program Peningkatan Sumber Daya Manusia Kesehatan</t>
  </si>
  <si>
    <t xml:space="preserve">2.5.1. Magang Bidan di RSUD </t>
  </si>
  <si>
    <t xml:space="preserve">2.5.2. Bimbingan Teknis Uji Kompetensi Bagi Tenaga Kesehatan </t>
  </si>
  <si>
    <t xml:space="preserve">2.5.3. Bimbingan Penyusunan SKP Dan Angka Kredit  Bagi JFT Tenaga Kesehatan </t>
  </si>
  <si>
    <t xml:space="preserve">2.5.4. Sosialisasi Pelaksanaan G-Kinerja </t>
  </si>
  <si>
    <t>2.6. Program Upaya Penyehatan Lingkungan Dan Sanitasi Dasar</t>
  </si>
  <si>
    <t xml:space="preserve">2.6.1. Pengambilan dan Pemeriksaan Sampel Air Depot Air Minum  </t>
  </si>
  <si>
    <t xml:space="preserve">2.6.2. Pemeriksaan Hygienisanitasi dan Penjamah Makanan </t>
  </si>
  <si>
    <t xml:space="preserve">2.6.3. Inspeksi Kesehatan Lingkungan Tempat-Tempat Umum </t>
  </si>
  <si>
    <t xml:space="preserve">2.6.4. Pemicuan STBM </t>
  </si>
  <si>
    <t xml:space="preserve">2.6.5. Pembinaan dan Pendampingan Masyarakat Tentang UKM Essensial dan Pengembangan </t>
  </si>
  <si>
    <t>2.7. Program Upaya Penyehatan Lingkungan Dan Sanitasi Dasar</t>
  </si>
  <si>
    <t>2.8. Program Kesehatan Ibu Dan Anak</t>
  </si>
  <si>
    <t xml:space="preserve">2.7.1. Pengadaan Ambulance Air </t>
  </si>
  <si>
    <t xml:space="preserve">2.7.2. Pelayanan Program Indonesia Sehat Dengan Pendekatan Keluarga (PIS-PK) </t>
  </si>
  <si>
    <t xml:space="preserve">2.7.3. Pelayanan Kesehatan Bergerak Terpadu </t>
  </si>
  <si>
    <t xml:space="preserve">2.7.4. Pengadaan Obat dan BMHP Puskesmas </t>
  </si>
  <si>
    <t xml:space="preserve">2.7.5. Persediaan Makanan Pasien Rawat Inap </t>
  </si>
  <si>
    <t xml:space="preserve">2.7.6. Bimbingan Teknis Tanaman Obat Keluarga (TOGA) </t>
  </si>
  <si>
    <t>2.8.1. Pelayanan Survei Dini Tumbuh Kembang SDIDTK (anak 1 bulan s.d 7 tahun)</t>
  </si>
  <si>
    <t xml:space="preserve">2.8.2. Penjaringan Ibu Hamil Resiko Tinggi </t>
  </si>
  <si>
    <t xml:space="preserve">2.8.3. Pelayanan Kunjungan Neonatal </t>
  </si>
  <si>
    <t xml:space="preserve">2.8.4. Pelayanan Manajemen Terpadu Balita Sakit (MTBS) </t>
  </si>
  <si>
    <t xml:space="preserve">2.8.5. Pelayanan Pencegahan Penularan HIV dari Ibu ke Anak (PPIA) </t>
  </si>
  <si>
    <t xml:space="preserve">2.8.6. Pelayanan Kesehatan Reproduksi Bagi Remaja </t>
  </si>
  <si>
    <t xml:space="preserve">2.8.7. Pemeriksaan Kesehatan Anak Sekolah </t>
  </si>
  <si>
    <t xml:space="preserve">2.8.8. Pelayanan KESPRO Catin </t>
  </si>
  <si>
    <t xml:space="preserve">2.8.9. Monitoring Audit Maternal Perinatal di Puskesmas </t>
  </si>
  <si>
    <t xml:space="preserve">2.8.10.Pembentukan Kelompok Ramah Lansia </t>
  </si>
  <si>
    <t xml:space="preserve">2.8.11.Pengadaan Obat-Obatan Essensial dan BMHP Kebidanan </t>
  </si>
  <si>
    <t>3.1. Program Standarisasi Pelayanan Kesehatan</t>
  </si>
  <si>
    <t xml:space="preserve">3.1.1. Akreditasi RSUD </t>
  </si>
  <si>
    <t xml:space="preserve">3.1.2. Pengadaan Kantong Darah UTD RS </t>
  </si>
  <si>
    <t xml:space="preserve">3.1.1. In House Training Petugas Kesehatan RSUD </t>
  </si>
  <si>
    <t>3.2. Program Pengadaan, Peningkatan Sarana dan Prasarana Rumah Sakit/Rumah Sakit Jiwa/Rumah Sakit Paru-paru/ Rumah Sakit Mata</t>
  </si>
  <si>
    <t xml:space="preserve">3.2.1. Pengadaan Obat Obatan RSUD Rujukan Km 22 </t>
  </si>
  <si>
    <t xml:space="preserve">3.2.2. Pengadaan BHP Medis RSUD Rujukan Km 22 </t>
  </si>
  <si>
    <t>3.2.3. Pemasangan AC gedung Rawat Inap Ponek</t>
  </si>
  <si>
    <t>4.1. Program Peningkatan Jalan &amp; Jembatan</t>
  </si>
  <si>
    <t>4.2. Program Pengembangan Destinasi Pariwisata</t>
  </si>
  <si>
    <t xml:space="preserve">4.2.1. Pengembangan Sarana Wisata Air Panas Klayli </t>
  </si>
  <si>
    <t xml:space="preserve">4.1.1. Peningkatan Jalan Kawasan Wisata Kampung Batu Lubang </t>
  </si>
  <si>
    <t xml:space="preserve">4.1.2. Peningkatan Jalan Setapak ke Lokasi Wisata Kampung Malagufuk </t>
  </si>
  <si>
    <t>4.3. Program Wajib Belajar Pendidikan Dasar Sembilan Tahun</t>
  </si>
  <si>
    <t>4.3.1. Pembangunan Gedung Sekolah Saint Papua</t>
  </si>
  <si>
    <t>4.4. Program Pembinaan Dan Pengembangan Bidang Ketenagalistrikan</t>
  </si>
  <si>
    <t xml:space="preserve">4.4.1. Peningkatan Jaringan Listrik PLN Kakas - Klarion </t>
  </si>
  <si>
    <t>4.5. Program Pendidikan Tinggi</t>
  </si>
  <si>
    <t xml:space="preserve">4.5.1. Penataan Halaman Gedung Fakultas Kedokteran UNIPA </t>
  </si>
  <si>
    <t>4.6. Program Pengadaan, Peningkatan Sarana dan Prasarana Rumah Sakit/Rumah Sakit Jiwa/Rumah Sakit Paru-paru/ Rumah Sakit Mata</t>
  </si>
  <si>
    <t>4.6.1. Rehabilitasi Gedung RSUDR Km. 22 (Lantai 2 dan Lantai 3)</t>
  </si>
  <si>
    <t xml:space="preserve">4.6.2. Pemeliharaan Lantai 1 dan Dinding Kaca RSUDR Km. 22 </t>
  </si>
  <si>
    <t>4.7. Program Pengembangan Wilayah Strategis Dan Cepat Tumbuh</t>
  </si>
  <si>
    <t>4.7.1. Lanjutan Pembangunan Kantor Dewan Adat Malamoi</t>
  </si>
  <si>
    <t>5.DINAS PERUMAHAN DAN KAWASAN PEMUKIMAN</t>
  </si>
  <si>
    <t>5.2. Program Lingkungan Sehat Perumahan</t>
  </si>
  <si>
    <t xml:space="preserve">5.1.1. Pembangunan Rumah Penduduk di Kampung Mibi dan Klasmigik Distrik Makbon </t>
  </si>
  <si>
    <t xml:space="preserve">5.1.2. Pembangunan Rumah Penduduk di Kampung Mega Distrik Mega </t>
  </si>
  <si>
    <t>5.1.3. Pembangunan Rumah Penduduk di Distrik Mayamuk</t>
  </si>
  <si>
    <t xml:space="preserve">5.1.4. Pembangunan Rumah Penduduk di Kampung Walio Distrik Seget </t>
  </si>
  <si>
    <t xml:space="preserve">5.1.5. Pembangunan Rumah Transit di Distrik Maudus </t>
  </si>
  <si>
    <t xml:space="preserve">5.2.1. Pembangunan Sarana dan Prasarana Air Bersih di Distrik Sunook </t>
  </si>
  <si>
    <t xml:space="preserve">5.2.2. Pembangunan Sarana dan Prasarana Air Bersih di Kampung Klaben </t>
  </si>
  <si>
    <t xml:space="preserve">5.2.3. Pembangunan Sarana dan Prasarana Air Bersih di Kampung Remko </t>
  </si>
  <si>
    <t xml:space="preserve">5.2.4. Pembangunan Sarana dan Prasarana Air Bersih di Kampung Inggris </t>
  </si>
  <si>
    <t xml:space="preserve">5.2.5. Lanjutan Pembangunan Sarana Air Bersih Distrik Makbon </t>
  </si>
  <si>
    <t xml:space="preserve">5.2.6. Peningkatan Sarana Permukiman di Kampung Walio Distrik Seget </t>
  </si>
  <si>
    <t>5.2.7. Pemb. Lampu Penerangan Solar Cell di Kampung Dasri Distrik Sunook</t>
  </si>
  <si>
    <t>6.1. Program Peningkatan Keamanan Dan Kenyamanan Lingkungan</t>
  </si>
  <si>
    <t xml:space="preserve">6.1.1. Sosialisasi Kerukunan Antar Umat Beragama (FKUB) </t>
  </si>
  <si>
    <t>7.1. Program Pengembangan Perumahan</t>
  </si>
  <si>
    <t xml:space="preserve">7.1.1. Pendampingan Bantuan Stimulan Perumahan Swadaya </t>
  </si>
  <si>
    <t>7.2. Program Pelayanan Dan Rehabilitasi Kesejahteraan Sosialn</t>
  </si>
  <si>
    <t>7.3.Program Pembinaan Panti Asuhan /Panti Jompo</t>
  </si>
  <si>
    <t>7.3.1. Pengadaan Bahan Makanan Untuk Anak Dalam Panti Asuhan</t>
  </si>
  <si>
    <t>7.4. Peningkatan Kesejahteraan Sosial</t>
  </si>
  <si>
    <t>7.4.1. Pendampingan Program Keluarga Harapan dan Verifikasi Data Keluarga Tidak Mampu Untuk Jamkesda</t>
  </si>
  <si>
    <t xml:space="preserve">7.4.2. Sosialisasi Bantuan Pangan Non Tunia (BPNT) </t>
  </si>
  <si>
    <t>8.1. Program Peningkatan Kualitas Dan Produktivitas Tenaga Kerja</t>
  </si>
  <si>
    <t>8.1.1. Padat Karya Produktif</t>
  </si>
  <si>
    <t xml:space="preserve">8.1.2. Pelatihan Rigger/Juru Ikat </t>
  </si>
  <si>
    <t>8.2. Program Peningkatan Kesempatam Kerja</t>
  </si>
  <si>
    <t>8.2.1. Terapan Teknologi Tepat Guna - Processing/Pengolahan Bahan Pangan Lokal</t>
  </si>
  <si>
    <t>9. DINAS KETAHANAN PANGAN</t>
  </si>
  <si>
    <t xml:space="preserve">9.1.1. Pengembangan Pemanfaatan Lahan Pekarangan </t>
  </si>
  <si>
    <t xml:space="preserve">9.1.2. Penyelenggaraan Lomba Cipta Menu </t>
  </si>
  <si>
    <t>9.2. Program Pengembangan Kelembagaan Distribusi dan Cadangan Pangan</t>
  </si>
  <si>
    <t xml:space="preserve">9.2.1. Penguatan Lembaga Usaha Pangan Masyarakat </t>
  </si>
  <si>
    <t>9.3. Program Pengembangan Usaha Pangan Masyarakat</t>
  </si>
  <si>
    <t>9.3.1. Promosi Pangan Sehat</t>
  </si>
  <si>
    <t xml:space="preserve">9.3.2. Survey Pola Konsumsi  </t>
  </si>
  <si>
    <t>9.4. Program Pengembangan Kawasan Mandiri Pangan</t>
  </si>
  <si>
    <t xml:space="preserve">9.4.1. Pembangunan dan Pembinaan Kampung Mandiri Pangan  </t>
  </si>
  <si>
    <t>9.5. Program Pengawasan Keamanan dan Rawan Pangan</t>
  </si>
  <si>
    <t xml:space="preserve">9.5.1. Pengawasan Keamanan Pangan Segar </t>
  </si>
  <si>
    <t>10. DINAS PENGENDALIAN PENDUDUK, KB, PEMBERDAYAAN PEREMPUAN &amp; PERLINDUNGAN ANAK</t>
  </si>
  <si>
    <t>10.1. Program Peningkatan Kualitas Hidup Dan Perlindungan Perempuan</t>
  </si>
  <si>
    <t xml:space="preserve">10.1.1. Pelayanan dan Pendampingan Korban KDRT </t>
  </si>
  <si>
    <t>10.2. Program peningkatan  Kualitas Hidup Perempuan</t>
  </si>
  <si>
    <t xml:space="preserve">10.2.1. Pelatihan Keterampilan Jahit Menjahit </t>
  </si>
  <si>
    <t>10.3. Program Perlindungan Anak</t>
  </si>
  <si>
    <t xml:space="preserve">10.3.1. Pelatihan Bagi Kader Pendamping Korban KDRT </t>
  </si>
  <si>
    <t xml:space="preserve">10.3.2. Sosialisasi Tumbuh Kembang Anak </t>
  </si>
  <si>
    <t>11. DINAS PERHUBUNGAN</t>
  </si>
  <si>
    <t>11.1 Program Pembangunan Sarana Dan Prasarana Pendidikan</t>
  </si>
  <si>
    <t>11.1.1. Pembangunan Halte/Shelter Bus Sekolah</t>
  </si>
  <si>
    <t>12. DINAS KOPERASI DAN UMKM</t>
  </si>
  <si>
    <t>12.1. Program Pengembangan Kewirausahaan &amp; Keunggulan  Kompetitif UKM</t>
  </si>
  <si>
    <t xml:space="preserve">12.1.1. Pelatihan Manajemen Usaha Kecil Angkatan I </t>
  </si>
  <si>
    <t>12.1.2. Pelatihan Manajemen Usaha Kecil Angkatan II</t>
  </si>
  <si>
    <t>12.2. Program Peningkatan Kualitas Kelembagaan Koperasi</t>
  </si>
  <si>
    <t xml:space="preserve">12.2.1. Pelatihan Manajemen Koperasi </t>
  </si>
  <si>
    <t xml:space="preserve">12.2.2. Pelatihan Akuntansi  Koperasi SP/USP </t>
  </si>
  <si>
    <t>13.1. Program Pemberdayaan Ekonomi Masyarakat Pesisir</t>
  </si>
  <si>
    <t>13. DINAS PERIKANAN</t>
  </si>
  <si>
    <t xml:space="preserve">13.1.1. Pengadaan Sarana Prasarana Produksi Penangkapan Ikan G) </t>
  </si>
  <si>
    <t>13.2.Program Pengembangan Budidaya Perikanan</t>
  </si>
  <si>
    <t xml:space="preserve">13.2.1. Pengadaan Kolam dan Sarana Produksi Budidaya bagi Masyarakat </t>
  </si>
  <si>
    <t xml:space="preserve">13.2.2. Penyediaan Biaya Operasional UPTD BBI di Majaran </t>
  </si>
  <si>
    <t>13.3. Program Pelatihan dan Pembinaan Perikanan</t>
  </si>
  <si>
    <t xml:space="preserve">13.3.1. Pelatihan Teknis Pembesaran Lobster di KJA </t>
  </si>
  <si>
    <t>14.1. Program Pengembangan Destinasi Pariwisata</t>
  </si>
  <si>
    <t xml:space="preserve">14.1.1. Pembangunan Gazebo </t>
  </si>
  <si>
    <t>15.1. Program Peningkatan Produksi Pertanian/Perkebunan</t>
  </si>
  <si>
    <t>15. DINAS PERTANIAN</t>
  </si>
  <si>
    <t>15.2. Program Pemberdayaan Penyuluh Pertanian/Perkebunan Lapanga</t>
  </si>
  <si>
    <t>15.3. Program Pelatihan dan Pembinaan Pertanian</t>
  </si>
  <si>
    <t>15.4. Program Pengembangan &amp; Peningkatan Produksi, Produktivitas Tanaman Holtikultura</t>
  </si>
  <si>
    <t xml:space="preserve">15.1.1. Pengelolaan Produksi Tanaman Serealia </t>
  </si>
  <si>
    <t xml:space="preserve">15.1.2. Pengembangan Tanaman Ubi-ubian </t>
  </si>
  <si>
    <t>15.1.3. Pengembangan dan Peningkatan Produksi Keladi</t>
  </si>
  <si>
    <t xml:space="preserve">15.1.4. Bantuan Mesin Panen dan Pasca Panen Sagu </t>
  </si>
  <si>
    <t>15.1.5. Penataan Tanaman Sagu</t>
  </si>
  <si>
    <t xml:space="preserve">15.2.1. Penyediaan Kelengkapan Dinas Lapangan Penyuluh Pertanian </t>
  </si>
  <si>
    <t xml:space="preserve">15.2.2. Penyusunan Programa Penyuluhan </t>
  </si>
  <si>
    <t xml:space="preserve">15.3.1. Penyediaan Unit Demplot/Demcar di BPP </t>
  </si>
  <si>
    <t xml:space="preserve">15.3.2. Pengiriman Peserta PENAS </t>
  </si>
  <si>
    <t xml:space="preserve">15.4.1. Pengembangan Kawasan Sayuran Daun </t>
  </si>
  <si>
    <t xml:space="preserve">15.4.2. Pengembangan Tanaman Bawang Merah </t>
  </si>
  <si>
    <t xml:space="preserve">15.4.3. Pengembangan Kawasan Buah Lainnya </t>
  </si>
  <si>
    <t>16.1.Program Pencegahan Dan Penanggulangan Penyakit Ternak</t>
  </si>
  <si>
    <t>17. DINAS PERINDUSTRIAN DAN PERDAGANGAN</t>
  </si>
  <si>
    <t>17.1. Program Perlindungan Konsumen Dan Pengamanan Perdagangan</t>
  </si>
  <si>
    <t xml:space="preserve">17.1.1. Pasar Murah Menjelang Hari Raya Keagamaan </t>
  </si>
  <si>
    <t>17.2. Program Pembangunan Sarana Perdagangan</t>
  </si>
  <si>
    <t xml:space="preserve">17.2.1. Pembangunan Pangkalan Minyak Bersih </t>
  </si>
  <si>
    <t xml:space="preserve">17.2.2. Rehabilitasi /Revitalisasi Pasar Rakyat </t>
  </si>
  <si>
    <t>18. INSPEKTORAT</t>
  </si>
  <si>
    <t>18.1. Program Sistem Pengendalian Internal Pemerintah (SPIP)</t>
  </si>
  <si>
    <t xml:space="preserve">18.1.1. Monitoring Dan Pengawasan Kegiatan Yang Bersumber Dari Dana Otsus </t>
  </si>
  <si>
    <t>19.1. Program Pengembangan Data/Informasi</t>
  </si>
  <si>
    <t xml:space="preserve">19.1.1. Studi Kelayakan Uji Bakar Incenerator Limbah Medik Dan Uji Fungsi IPAL RSUD KM 22 </t>
  </si>
  <si>
    <t>19.2. Program Monitoring Evaluasi Pembangunan</t>
  </si>
  <si>
    <t xml:space="preserve">19.2.1. Raker Dan Pameran Otsus </t>
  </si>
  <si>
    <t xml:space="preserve">19.2.2. Monitoring dan Evaluasi Dana OTSUS </t>
  </si>
  <si>
    <t>19.2.3. Monitoring dan Evaluasi Dana BOSDA</t>
  </si>
  <si>
    <t>19.2.5. Lanjutan Pemetaan Hak Ulayat Suku Moi Di Distrik Makbon,Salawati  dan Mayamuk</t>
  </si>
  <si>
    <t>19.2.6. Penyusunan Dokumen Rencana Induk Pengembangan Ekonomi Kab. Sorong</t>
  </si>
  <si>
    <t>19.2.7. Fasilitasi POKJA Percepatan Pembangunan Nasional Sanitasi Permukiman</t>
  </si>
  <si>
    <t>20.1. Program Peningkatan Dan Pengembangan Pengelolaan Keuangan Daerah</t>
  </si>
  <si>
    <t xml:space="preserve">20.1.1. Penyusunan Laporan Realisasi Dana Otonomi Khusus </t>
  </si>
  <si>
    <t>20.2. Belanja Hibah kepada Badan/Lembaga/Organisasi</t>
  </si>
  <si>
    <t xml:space="preserve">20.2.1. Belanja Hibah Kepada Organisasi Keagamaan </t>
  </si>
  <si>
    <t xml:space="preserve">20.2.2. Belanja Hibah Kepada Yayasan Pendidikan </t>
  </si>
  <si>
    <t>20.3. Belanja Hibah kepada Kelompok/Anggota Masyarakat</t>
  </si>
  <si>
    <t>20.3.1. Belanja Hibah Dana Beasiswa Kepada Putra Dan Putri Papua</t>
  </si>
  <si>
    <t xml:space="preserve">20.3.2. Belanja Hibah Pemberian Modal Usaha Bagi OAP </t>
  </si>
  <si>
    <t>20.4. Belanja Hibah BOP PAUD dan Pendidikan Kesetaraan</t>
  </si>
  <si>
    <t xml:space="preserve">20.4.1. Belanja Hibah Bantuan Operasional  Penyelenggaraan TK/PAUD </t>
  </si>
  <si>
    <t>14. DINAS PARIWISATA, PEMUDA DAN OLAHRAGA</t>
  </si>
  <si>
    <t>16.1.1. Penanganan Kesehatan Ternak OAP &amp; Peny. Vaksin, Obat-obatan Ternak</t>
  </si>
  <si>
    <t>16.2. Program Peningkatan Produksi Hasil Peternakan</t>
  </si>
  <si>
    <t xml:space="preserve">16.2.1. Pembibitan Ternak Berpola Ranch </t>
  </si>
  <si>
    <t xml:space="preserve">16.2.2. Pengadaan  Bibit Ternak Sapi Bali, Babi &amp; Ayam Kampung utk Masy. Peternak Papua </t>
  </si>
  <si>
    <t xml:space="preserve">7.2.1. Bantuan Bahan Makanan Untuk Lanjut Usia dan Penyandang Cacat </t>
  </si>
  <si>
    <t xml:space="preserve">9.1. Program Peningkatan Ketahanan Pangan </t>
  </si>
  <si>
    <t>19.2.4. Bimtek Perencanaan bagi Kepala Kampung</t>
  </si>
  <si>
    <t xml:space="preserve">18.3.3. Belanja Bantuan Usaha KUBE dan Ekonomi Kreatif  (DINAS KOPERASI &amp; UKM)  </t>
  </si>
  <si>
    <t>21. BAGIAN PEMERINTAHAN</t>
  </si>
  <si>
    <t>18.2. Belanja Bantuan Keuangan</t>
  </si>
  <si>
    <t>1.2. Program peningkatan Sarana dan Prasarana Aparatur</t>
  </si>
  <si>
    <t xml:space="preserve">1.2.7. Pembangunan Laboratorium IPA SMP Negeri 4 Raja Ampat </t>
  </si>
  <si>
    <t>1.2.1 Pengadaan Alat Praktik dan Peraga Siswa</t>
  </si>
  <si>
    <t>1.2.2 Pengadaan Mebeluer Sekolah</t>
  </si>
  <si>
    <t>1.2.4 Pemberian Bantuan Operasional TK dan PAUD</t>
  </si>
  <si>
    <t>1.2.5 Pelatihan Manajamen Kepala TK / PAUD</t>
  </si>
  <si>
    <t>1.2.6 Diklat Berjenjang</t>
  </si>
  <si>
    <t>1.2.7 Pembangunan Gedung Sekolah TK</t>
  </si>
  <si>
    <t xml:space="preserve">1.2.3 Pemberian Bantuan Tenaga Pendidik PAUD  </t>
  </si>
  <si>
    <t>1.3.1 Pengadaan Buku- buku dan Alat Tulis Siswa</t>
  </si>
  <si>
    <t>1.3.3 Pengadaan pakaian olahraga SD</t>
  </si>
  <si>
    <t>1.3.5 Monitoring Evaluasi dan Pelaporan</t>
  </si>
  <si>
    <t>1.3.6 Penyediaan Biaya MOS Siswa SMP</t>
  </si>
  <si>
    <t>1.3.11 Pengadaan Pakaian Seragam Sekolah SMP</t>
  </si>
  <si>
    <t>1.3.12 Pengadaan Pakaian Olahraga SMP</t>
  </si>
  <si>
    <t>1.3.13 Penyediaan Beasiswa SD</t>
  </si>
  <si>
    <t>1.3.14 Penyediaan Beasiswa SMP</t>
  </si>
  <si>
    <t>1.3.15 Penyediaan Biaya Registrasi Siswa SD</t>
  </si>
  <si>
    <t>1.4 Program Peningkatan Mutu Pendidik dan Tenaga Kependidikan</t>
  </si>
  <si>
    <t>1.4.1 Pelatihan Bagi Pendidik Untuk Memenuhi Standar Kompetensi</t>
  </si>
  <si>
    <t>1.4.2 Pembinaan Pusat Pendidikan dan Pelatihan Guru (PPPG)</t>
  </si>
  <si>
    <t>1.4.3 Pendidikan Lanjutan Bagi Pendidik Untuk Memenuhi Standar Kualifikasi</t>
  </si>
  <si>
    <t>1.4.4 Pelatihan Menejemen Kepala Sekolah</t>
  </si>
  <si>
    <t>1.4.5 Pelatihan Perhitungan Angka Kredit</t>
  </si>
  <si>
    <t>1.5 Program Upaya Pencegahan Penyalahgunaan Narkoba</t>
  </si>
  <si>
    <t>1.5.1 Pemberian Penyuluhan Tentang Bahaya Narkoba Bagi Pemuda</t>
  </si>
  <si>
    <t>1.5.2 Pemberian Penyuluhan Tentang Bahaya Nakotika Bagi Siswa SMP dan SMA/SMK</t>
  </si>
  <si>
    <t>1.6 Program Pembinaan dan Pemasyarakatan Olahraga</t>
  </si>
  <si>
    <t>1.6.1 Penyelenggaraan Kompetisi Olahraga</t>
  </si>
  <si>
    <t>1.6.2 Permasalahan Olahraga Bagi Pelajar, Mahasiswa dan Masyarakat</t>
  </si>
  <si>
    <t>1.6.3 Peningkatan Jumlah dan Kualitas Serta Kompetensi Pelatih, Peniliti, Praktisi dan Teknisi Olahraga</t>
  </si>
  <si>
    <t>1.6.4 Pembinaan Gala Siswa Indonesia ke - II Tkt. Kab. Manokwari Selatan</t>
  </si>
  <si>
    <t xml:space="preserve">1.7 Program Peningkatan Sarana dan Prasarana Olahraga </t>
  </si>
  <si>
    <t>1.7.1 Peningkatan Pembangunan Sarana dan Prasarana Olahraga</t>
  </si>
  <si>
    <t>1.7.2 Pemeliharaan rutin / berkala sarana dan prasarana olahraga</t>
  </si>
  <si>
    <t>1.8 Program Manajemen Pelayanan Pendidikan</t>
  </si>
  <si>
    <t>1.8.1 Operasional Pengawas</t>
  </si>
  <si>
    <t xml:space="preserve">1.3.2 Pengadaan pakaian seragam sekolah SD </t>
  </si>
  <si>
    <t xml:space="preserve">1.3.4 Pengadaan meubelair sekolah  </t>
  </si>
  <si>
    <t xml:space="preserve">1.3.7. Pengadaan Buku Raport SD  </t>
  </si>
  <si>
    <t xml:space="preserve">1.3.9 Penyelengaraan Ujian Nasional SD/MI  </t>
  </si>
  <si>
    <t xml:space="preserve">1.3.8 Pengadaan Buku Raport SMP  </t>
  </si>
  <si>
    <t xml:space="preserve">1.3.10 Penyelenggaraan Ujian Nasional SMP / MTS  </t>
  </si>
  <si>
    <t>2.3.1 Pelayanan Kesehatan (Makan Minum Pasien)</t>
  </si>
  <si>
    <t>2.3.2 Akreditasi Puskesmas (Reakreditasi Puskesmas Oransbari)</t>
  </si>
  <si>
    <t>2.4.1 Promosi Kesehatan dan Pemberdayaan Masyarakat</t>
  </si>
  <si>
    <t>2.5.1 Pencegahan Penanggulangan Penyakit TIDAK menular</t>
  </si>
  <si>
    <t>2.6 Program Pengadaan, Peningkatan dan Perbaikan Sarana dan Prasarana Puskesmas / Puskesmas Pembantu dan Jaringannya</t>
  </si>
  <si>
    <t>2.6.1 Pembangunan Baru Puskesmas Neney</t>
  </si>
  <si>
    <t>2.6.2 Pembangunan Puskesmas Isim</t>
  </si>
  <si>
    <t>2.7 Program Pengadaan, Peningkatan Sarana dan Prasarana Rumah Sakit / Rumah Sakit Jiwa / Rumah Sakit Paru-paru</t>
  </si>
  <si>
    <t>2.7.1 Pengadaan Mebeuleur Rumah Sakit</t>
  </si>
  <si>
    <t>2.7.2 Pembuatan Papan Nama RS - Pratama</t>
  </si>
  <si>
    <t>2.7.3 Pengadaan Instalasi LIstrik Rumah Sakit</t>
  </si>
  <si>
    <t>2.7.4 Pengadaan Peralatan dan Perlengkapan Rumah Sakit</t>
  </si>
  <si>
    <t>2.7.5 Pembangunan Rumah Direktur Rumah Sakit</t>
  </si>
  <si>
    <t>2.8 Program Kemitraan Peningkatan Pelayanan Kesehatan</t>
  </si>
  <si>
    <t xml:space="preserve">2.8.1 Kemitraan Pengobatan Bagi Petugas Pengantar Pasien  </t>
  </si>
  <si>
    <t>2.9  Program Peningkatan Pelayanan Kesehatan Anak Balita</t>
  </si>
  <si>
    <t>2.9.1 Pemberian Makanan Tambahan Bayi Balita</t>
  </si>
  <si>
    <t>2.10 Program Peningkatan Keselamatan Ibu Melahirkan dan Anak</t>
  </si>
  <si>
    <t>2.10.1 Penyuluhan Kesehatan bagi Ibu Hamil Dari Keluarga Kurang Mampu</t>
  </si>
  <si>
    <t>2.11 Program Peningkatan Kapasitas Sumber Daya Aparatur</t>
  </si>
  <si>
    <t>2.11.1 Peningkatan Kualitas Dokter dan Para Medis</t>
  </si>
  <si>
    <t>2.11.2 Sosialisasi Ujian Kompetensi Petugas Kesehatan</t>
  </si>
  <si>
    <t xml:space="preserve">3.1 Program Peningkatan Sarana dan Prasarana Aparatur </t>
  </si>
  <si>
    <t>3.1.1 Pembangunan gedung kantor</t>
  </si>
  <si>
    <t>3.2 Program Lingkungan Sehat Perumahan</t>
  </si>
  <si>
    <t>3.3 Program Pengembangan dan Pengelolaan Jaringan Irigasi, Rawa dan Jaringan Pengairan Lainnya</t>
  </si>
  <si>
    <t>3.3.1 Rehabilitasi / Pemeliharaan Jaringan Air Bersih / Air Minum</t>
  </si>
  <si>
    <t>3.4 Program Pengembangan Kinerja Pengelolaan Air Minum dan Air Limbah</t>
  </si>
  <si>
    <t>3.4.1 Penyediaan Prasarana dan Sarana Air Minum bagi Masyarakat Berpenghasilan Rendah</t>
  </si>
  <si>
    <t>3.4.2 Penyediaan Prasarana dan Sarana Air Minum Bagi Masyarakat Berpenghasilan Rendah (PAMSIMAS)</t>
  </si>
  <si>
    <t>3.5 Program Pengendalian Banjir</t>
  </si>
  <si>
    <t>3.5.1 Pembangunan Turap / Talud / Bronjong</t>
  </si>
  <si>
    <t>3.6 Program Pembangunan Infrastruktur Perdesaan</t>
  </si>
  <si>
    <t>3.6.1 Pembangunan Drainase Kawasan Pedesaan</t>
  </si>
  <si>
    <t>3.7. Program Pengembangan Perumahan</t>
  </si>
  <si>
    <t>3.7.1 Pembangunan Rumah Layak Huni Bagi Masyarakat Kurang Mampu Type 70 dan Type 36</t>
  </si>
  <si>
    <t>5.1 Program Perencanaan Pembangunan Daerah Rawan Bencana</t>
  </si>
  <si>
    <t>5.1.1 Penentuan Jalur dan Pemasaran Rambu Evakuasi Bencana</t>
  </si>
  <si>
    <t>5.2 Program Pencegahan Dini dan Penanggulangan Korban Bencana Alam</t>
  </si>
  <si>
    <t>5.2.1 Rehabilitasi dan Rekonstruksi Rumah dan Bronjong</t>
  </si>
  <si>
    <t>6.1 Program peningkatan Kawasan Transmigrasi</t>
  </si>
  <si>
    <t>6.1.1 Peningkatan Fasilitas Umum Kawasan Daerah Transmigrasi</t>
  </si>
  <si>
    <t>6.1.2 Pembinaan Kelompok Usaha Bersama Kawasan Transmigrasi (KUBE)</t>
  </si>
  <si>
    <t>7. DINAS KOMUNIKASI DAN INFORMATIKA, PERSANDIAN DAN STATISTIK</t>
  </si>
  <si>
    <t>7.1 Program Pengembangan Data/Informasi/Statistik Daerah</t>
  </si>
  <si>
    <t>7.1.1 Survei Pembangunan Tower/Refeater (Menara Telekomunikasi Bersama)</t>
  </si>
  <si>
    <t>8. DINAS PEMBERDAYAAN PEREMPUAN DAN PERLINDUNGAN ANAK</t>
  </si>
  <si>
    <t>8.1 Program Peningkatan Peran Serta dan Kesetaraan Jender Dalam Pembangunan</t>
  </si>
  <si>
    <t>8.1.1 Kegiatan Bimbingan Manajemen Usaha Bagi Perempuan dalam Mengelola Usaha</t>
  </si>
  <si>
    <t>9.1 Program Pembinaan dan Pengembangan Energi Ketenagalistrikan</t>
  </si>
  <si>
    <t>9.1.1 Pembangunan Lampu Penerangan Jalan Umum (PJU) Solar Cell</t>
  </si>
  <si>
    <t>10.  DINAS KEPENDUDUKAN DAN PENCATATAN SIPIL</t>
  </si>
  <si>
    <t xml:space="preserve">10.1. Program Penataan Administrasi Kependudukan dan </t>
  </si>
  <si>
    <t>10.1.1 Pelayanan Pencatatan  Perkawinan Massal</t>
  </si>
  <si>
    <t>10.1.2 Pelayanan Akta Kelahiran</t>
  </si>
  <si>
    <t>11.1 Program pengembangan lembaga ekonomi pedesaan</t>
  </si>
  <si>
    <t>11.1.1 Pelatihan ketrampilan manajemen badan usaha milik desa</t>
  </si>
  <si>
    <t>11.2 Program peningkatan partisipasi masyarakat dalam membangun desa</t>
  </si>
  <si>
    <t>11.2.1 Pembinaan kelompok masyarakat pembangunan desa</t>
  </si>
  <si>
    <t>11.2.2 Pelaksanaan Musyawarah Pembangunan Desa</t>
  </si>
  <si>
    <t>11.3 Program peningkatan kapasitas aparatur pemerintah desa</t>
  </si>
  <si>
    <t>11.3.2 Implementasi Penatausahaan Dana Desa melalui SISKEUDES</t>
  </si>
  <si>
    <t xml:space="preserve">11.3.3 Rapat Kerja Tugas-tugas Penyelenggaraan Pemerintahan Desa </t>
  </si>
  <si>
    <t>11.3.1 Pelatihan aparatur pemerintah desa dalam bidang pembangunan kawasan perdesaan (BBGRM)</t>
  </si>
  <si>
    <t>11.3.4 Monitoring, evaluasi dan pelaporan penyelenggaraan pemerintah desa</t>
  </si>
  <si>
    <t>12.1 Program Pembangunan Prasarana dan Fasilitas Perhubungan</t>
  </si>
  <si>
    <t>12.1.1 Pembangunan Talud di Pantai Saumiyen Oransbari</t>
  </si>
  <si>
    <t>12.1 Program Peningkatan Pelayanan Angkutan</t>
  </si>
  <si>
    <t>12.1.1 Peningkatan Pelayanan Angkutan Yang Aman, Tertib, Muda dan Cepat</t>
  </si>
  <si>
    <t>12. 2 Program Pembangunan Sarana dan Prasarana Perhubungan</t>
  </si>
  <si>
    <t>12.2.1 Pengadaan Kendaraan Angkutan Penumpang</t>
  </si>
  <si>
    <t xml:space="preserve">12.2.2 Pembangunan Terminal Oransbari (Sementara) </t>
  </si>
  <si>
    <t>12.2.3 Pembangunan Terminal Lapangan Garuda (Sementara)</t>
  </si>
  <si>
    <t>12.2.4 Rencana Teknis Terinci (RTT) Bandara Abreso - Ransiki</t>
  </si>
  <si>
    <t>12.3 Program Pengendalian dan Pengamanan Lalu Lintas</t>
  </si>
  <si>
    <t xml:space="preserve">12.3.1 Pengadaan Rambu-rambu Lalu Lintas </t>
  </si>
  <si>
    <t>12.3.2 Pengadaan dan Pemasangan Traffic Cone</t>
  </si>
  <si>
    <t>12.3.3 Pembangunan Zona Selamat Sekolah (ZOSS)</t>
  </si>
  <si>
    <t>12.3.4 Program Peningkatan Pelayanan Keselamatan Pengguna Jalan</t>
  </si>
  <si>
    <t>12.3.5 Sosialisasi Keselamatan Berlalu Lintas di Sekolah</t>
  </si>
  <si>
    <t>13.1 Program pengembangan budidaya perikanan</t>
  </si>
  <si>
    <t>13.2 Program pengembangan perikanan tangkap</t>
  </si>
  <si>
    <t>13.2.1 Penguatan Daya Saing Produk KP (PENGOLAHAN)</t>
  </si>
  <si>
    <t>13.3 Program Pengembangan Kawasan Budidaya Laut, Air Payau dan Air Tawar</t>
  </si>
  <si>
    <t>13.3.1 Pengembangan Perikanan Budidaya Rumput Laut</t>
  </si>
  <si>
    <t>13.1.1 Pengembangan Budidaya Perikanan</t>
  </si>
  <si>
    <t>14. DINAS KETAHANAN PANGAN DAN PERTANIAN</t>
  </si>
  <si>
    <t>14.1 Program Peningkatan Pemasaran Hasil Produksi Pertanian / Perkebunan</t>
  </si>
  <si>
    <t>14.2 Program peningkatan Penerapan Teknologi Pertanian / Perkebunan</t>
  </si>
  <si>
    <t>14.2.1 Pengadaan Sarana dan Prasarana Teknologi Pertanian / Perkebunan Tepat Guna</t>
  </si>
  <si>
    <t>14.2.2 Pelatihan dan bimbingan pengoperasian teknologi pertanian / perkebunan tepat guna</t>
  </si>
  <si>
    <t>14.3 Program Peningkatan Produksi Pertanian / Perkebunan</t>
  </si>
  <si>
    <t>14.3.1 Pengembangan Bibit Unggul Pertanian/Perkebunan</t>
  </si>
  <si>
    <t>14.3.2 Pengembangan Kebun Kakao</t>
  </si>
  <si>
    <t>14.3.3 Pemeliharaan Kebun Kakao</t>
  </si>
  <si>
    <t>14.3.4 Pembuatan Kebun Entres Kakao</t>
  </si>
  <si>
    <t>14.3.5 Pengembangan Bibit Unggul Perkebunan (Peremajaan Kebun KAKAO)</t>
  </si>
  <si>
    <t>14.3.6 Pekan Nasional (PENAS) Kontak Tani Nelayan Andalan</t>
  </si>
  <si>
    <t>14.4 Program pencegahan dan Penanggulangan Penyakit Ternak</t>
  </si>
  <si>
    <t>14.4.1 Pemeliharaan Kesehatan dan Pencegahan Penyakit Menular Ternak</t>
  </si>
  <si>
    <t>14.5 Program Peningkatan Produksi Hasil Peternakan</t>
  </si>
  <si>
    <t>14.5.1 Pendistribusian Bibit Ternak Kepada Masyarakat</t>
  </si>
  <si>
    <t>14.1.1 Penyuluhan distribusi pemasaran atas hasil produksi pertanian / perkebunan masyarakat</t>
  </si>
  <si>
    <t xml:space="preserve">14.5.2 Pendistribusian Bibit Ternak Kepada Masyarakat </t>
  </si>
  <si>
    <t>15. DINAS PERINDUSTRIAN, PERDAGANGAN DAN KOPERASI, USAHA KECIL DAN MENENGAH</t>
  </si>
  <si>
    <t>15.1 Program Pengembangan Industri Kecil dan Menengah</t>
  </si>
  <si>
    <t>15.1.1 Pemberian Fasilitas Kemudahan Akses Perbankan Bagi Industri Kecil dan Menengah</t>
  </si>
  <si>
    <t>15.2 Program Perlindungan Konsumen dan Pengamanan Perdagangan</t>
  </si>
  <si>
    <t>15.2.1 Operasi Pasar Kelangkaan Bapok (Pasar Murah)</t>
  </si>
  <si>
    <t>15.3 Program Pengembangan Sentra-sentra Industri Potensial</t>
  </si>
  <si>
    <t>15.3.1 Fasilitasi Pemahaman Dampak Lingkungan UMK dan IKM</t>
  </si>
  <si>
    <t>15.4 Program Pengembangan Sistem Pendukung Usaha UKM dan IKM</t>
  </si>
  <si>
    <t>15.4.1 Fasilitasi Industri Kecil Menengah Terhadap Pemanfaatan Sumber Daya</t>
  </si>
  <si>
    <t>15.4.2 Pengembangan Sarana Prasarana Produk UMK dan IKM</t>
  </si>
  <si>
    <t>15.5 Program Peningkatan Efisiensi Perdagangan Dalam Negeri</t>
  </si>
  <si>
    <t>15.5.1 Pemasangan Kanopi Pasar Waranggui</t>
  </si>
  <si>
    <t>16.1 Program Peningkatan Partisipasi Masyarakat Membangun Kampung</t>
  </si>
  <si>
    <t>16.1.1 Fasilitasi Pembinaan Kelompok Masyarakat Pembangunan Desa</t>
  </si>
  <si>
    <t>16. DISTRIK ORANSBARI</t>
  </si>
  <si>
    <t>16.2 Program Peningkatan Cinta Kebangsaan</t>
  </si>
  <si>
    <t>16.2.1 Perayaan Hari-Hari Besar Nasional dan Pembinaan</t>
  </si>
  <si>
    <t>16.3 Program Peningkatan Partisipasi Masyarakat</t>
  </si>
  <si>
    <t>16.3.1 Fasilitasi Kegiatan Keagamaan Pokmas</t>
  </si>
  <si>
    <t>16.4 Program Monitoring &amp; Evaluasi Otsus</t>
  </si>
  <si>
    <t>16.4.1 Monitoring dan Evaluasi Program Otsus</t>
  </si>
  <si>
    <t>17. DISTRIK RANSIKI</t>
  </si>
  <si>
    <t>17.1 Program Pemberdayaan Kelembagaan Kesejahteraan Sosial</t>
  </si>
  <si>
    <t xml:space="preserve">17.1.1 Bantuan Sosial Lembaga Keagamaan  </t>
  </si>
  <si>
    <t>17.2 Program peningkatan partisipasi masyarakat membangun kampung</t>
  </si>
  <si>
    <t>17.2.2 Pelaksanaan Musyawarah Rencana Pembangunan Kampung</t>
  </si>
  <si>
    <t>18. DISTRIK MOMIWAREN</t>
  </si>
  <si>
    <t>18.1 Program Pemberdayaan Kelembagaan Kesejahteraan Sosial</t>
  </si>
  <si>
    <t xml:space="preserve">17.2.1 Pemberian Stimulan Pembangunan Desa  </t>
  </si>
  <si>
    <t xml:space="preserve">18.1.1 Bantuan Sosial Lembaga Keagamaan </t>
  </si>
  <si>
    <t>18.2 Program peningkatan partisipasi masyarakat membangun kampung</t>
  </si>
  <si>
    <t>18.2.1 Pelaksanaan Musyawarah Rencana Pembangunan Kampung</t>
  </si>
  <si>
    <t>18.3 Program Peningkatan Cinta Kebangsaan</t>
  </si>
  <si>
    <t>18.3.1 Perayaan Hari-hari Besar Nasional dan Pembinaan</t>
  </si>
  <si>
    <t>18.4 Program Pembinaan dan Pemasyarakatan Olahraga</t>
  </si>
  <si>
    <t>18.4.1 Menyongsong HUT RI</t>
  </si>
  <si>
    <t>19. DISTRIK NENEY</t>
  </si>
  <si>
    <t>19.1 Program Pemberdayaan Kelembagaan Kesejahteraan Sosial</t>
  </si>
  <si>
    <t>19.2 Program peningkatan partisipasi masyarakat membangun kampung</t>
  </si>
  <si>
    <t>19.2.1 Pembinaan Kelompok Masyarakat Pembangunan Desa</t>
  </si>
  <si>
    <t>19.2.3 Pelaksanaan Musyawara Rencana Pembangunan Kampung</t>
  </si>
  <si>
    <t xml:space="preserve">19.2.2 Pemberian Stimulan Pembangunan Desa </t>
  </si>
  <si>
    <t xml:space="preserve">19.1.1 Bantuan Sosial Lembaga Keagamaan  </t>
  </si>
  <si>
    <t>19.3  Program Peningkatan Cinta Kebangsaan</t>
  </si>
  <si>
    <t>19.3.1 Perayaan Hari-hari Besar Nasional dan Pembinaan</t>
  </si>
  <si>
    <t>20. DISTRIK TAHOTA</t>
  </si>
  <si>
    <t>20.1 Program Pemberdayaan Kelembagaan Kesejahteraan Sosial</t>
  </si>
  <si>
    <t>20.2 Program peningkatan partisipasi masyarakat membangun kampung</t>
  </si>
  <si>
    <t>20.2.2 Pelaksanaan Musyawarah Rencana Pembangunan Kampung</t>
  </si>
  <si>
    <t>20.3  Program Peningkatan Cinta Kebangsaan</t>
  </si>
  <si>
    <t>20.3.1 Perayaan Hari-hari Besar Nasional dan Pembinaan</t>
  </si>
  <si>
    <t>21. DISTRIK ISIM</t>
  </si>
  <si>
    <t>21.1 Program Pengembangan Wawasan Kebangsaan</t>
  </si>
  <si>
    <t>21.1.1 Peningkatan Kesadaran Masyarakat Anak Nilai-nilai Luhur Budaya Bangsa</t>
  </si>
  <si>
    <t>21.2 Program Peningkatan Peran Serta dan Kesetaraan Gender dalam Pembangunan</t>
  </si>
  <si>
    <t>21.2.1 Kegiatan Pembinaan Organisasi Perempuan</t>
  </si>
  <si>
    <t>21.3 Program Peningkatan Partisipasi Masyarakat Membangun Kampung</t>
  </si>
  <si>
    <t>21.3.1 Pelaksanaan Musyawarah Rencana Pembangunan Kampung</t>
  </si>
  <si>
    <t>21.4 Program Fasilitasi Bantuan Lembaga Keagamaan</t>
  </si>
  <si>
    <t>21.4.1 Fasilitas Bantuan Sosial Lembaga Keagamaan</t>
  </si>
  <si>
    <t>21.5 Program Pelaksanaan Bantuan Pedesaan</t>
  </si>
  <si>
    <t>21.5.1 Distribusi Rastra</t>
  </si>
  <si>
    <t>22. SEKRETARIAT DAERAH</t>
  </si>
  <si>
    <t>22.1. Program Pelayanan dan Rehabilitasi Kesejahteraan Sosial</t>
  </si>
  <si>
    <t>22.1.1 Operasional Mahasiswa Asal Manokwari Selatan</t>
  </si>
  <si>
    <t>22.2 Fasilitasi Bantuan Lembaga Keagamaan</t>
  </si>
  <si>
    <t>22.2.1 Fasilitasi Ibadah Keagamaan Tokoh Agama</t>
  </si>
  <si>
    <t>22.3 Program Peningkatan Kapasitas Sumber Daya Manusia</t>
  </si>
  <si>
    <t>22.3.1 Penyusunan Surat Keputusan (SK) Peraturan Kepala Kampung</t>
  </si>
  <si>
    <t>23. SEKRETARIAT DEWAN PERWAKILAN RAKYAT DAERAH</t>
  </si>
  <si>
    <t>23.1 Program peningkatan kapasitas lembaga perwakilan rakyat daerah</t>
  </si>
  <si>
    <t>23.1.1 Kegiatan Reses</t>
  </si>
  <si>
    <t xml:space="preserve">24. BADAN PERENCANAAN PEMBANGUNAN DAERAH, PENELITIAN DAN PENGEMBANGAN </t>
  </si>
  <si>
    <t>24.1 Program Perencanaan Pembangunan Ekonomi</t>
  </si>
  <si>
    <t>24.1.1 Koordinasi, Evaluasi, Monitoring Dana OTSUS</t>
  </si>
  <si>
    <t xml:space="preserve">25. DINAS PENDAPATAN, PENGELOLAAN KEUANGAN DAN ASET DAERAH selaku PPKD </t>
  </si>
  <si>
    <t>25.1.1.2 Belanja Bantuan Pendidikan (OTSUS)</t>
  </si>
  <si>
    <t>25.1 Non Program</t>
  </si>
  <si>
    <t>25.1.1 Non Kegiatan</t>
  </si>
  <si>
    <t>25.1.1.1 Iuran Asuransi Kesehatan</t>
  </si>
  <si>
    <t>25.1.1.3 Badan/Lembaga/Organisasi Swasta ..... (Dana OTSUS Pendidikan)</t>
  </si>
  <si>
    <t>25.1.1.4 Hibah Kepada Kelompok Masyarakat/Perorangan</t>
  </si>
  <si>
    <t>4. DINAS SOSIAL, PENGENDALIAN PENDUDUK DAN KELUARGA BERENCANA</t>
  </si>
  <si>
    <t xml:space="preserve">4.1.1 Pembangunan Rumah Layak Huni Bagi Masyarakat Asli Papua </t>
  </si>
  <si>
    <t>3.2.1 Koordinasi Pengawasan dan Pengendalian Pelaksanaan Kebijakan Tentang Pembangunan Perumahan</t>
  </si>
  <si>
    <t xml:space="preserve">20.1.1 Bantuan Sosial Lembaga Keagamaan  </t>
  </si>
  <si>
    <t xml:space="preserve">20.2.1 Pemberian Stimulan Pembangunan Desa  </t>
  </si>
  <si>
    <t>1.1. Program Pendidikan Menengah</t>
  </si>
  <si>
    <t>1.1.1. Prakerin</t>
  </si>
  <si>
    <t xml:space="preserve">1.1.2. Monitoring, evaluasi dan pelaporan </t>
  </si>
  <si>
    <t xml:space="preserve">1.1.3. Penambahan Ruang Kelas Baru </t>
  </si>
  <si>
    <t xml:space="preserve">1.1.4. Pembinaan forum masyarakat peduli pendidikan </t>
  </si>
  <si>
    <t>1.2. Program Guru dan Tenaga Kependidikan</t>
  </si>
  <si>
    <t xml:space="preserve">1.2.1. Penyelenggaraan Ujian Nasional Papua Barat </t>
  </si>
  <si>
    <t xml:space="preserve">1.3. Program Afirmasi Pendidikan Bagi Putra/putri asli Papua dan papua barat </t>
  </si>
  <si>
    <t xml:space="preserve">1.3.1. Afirmasi bagi anak asli papua di Perguruan Tinggi dan ADEM </t>
  </si>
  <si>
    <t xml:space="preserve">2.1. Program Peningkatan Jumlah Rumah Sakit Rujukan </t>
  </si>
  <si>
    <t xml:space="preserve">2.1.1. Pembangunan Rumah Sakit </t>
  </si>
  <si>
    <t xml:space="preserve">3.1.1. Bantuan Bagi Korban Tindak Kekerasan </t>
  </si>
  <si>
    <t xml:space="preserve">3.1.2. Rehabilitasi sedang/berat bangunan panti asuhan </t>
  </si>
  <si>
    <t>3.1.3. Pembangunan asrama bagi penyandang Diabilitas tahap I</t>
  </si>
  <si>
    <t xml:space="preserve">3.1.4. Pembangunan balai latihan bagi penyandang disabilitas tahap II </t>
  </si>
  <si>
    <t>3.1.5. Sosialisasi bahaya narkoba lem fox dan penyakit sosial lainnya bagi siswa SLTP</t>
  </si>
  <si>
    <t xml:space="preserve">3.1.6. Pemetaan kondisi sosial ekonomi pengguna lem aibon </t>
  </si>
  <si>
    <t>3.2. Program  Pemberdayaan Sosial dan Penanggulangan Kemiskinan</t>
  </si>
  <si>
    <t>3.2.1. Pengadaan BBR bagi Komunitas Adat Terpencil (KAT)</t>
  </si>
  <si>
    <t xml:space="preserve">3.2.2. Pembangunan pondok pinang dan usaha lainnya bagi mama-mama asli Papua </t>
  </si>
  <si>
    <t xml:space="preserve">3.3.1. Pemberian bantuan BBR bagi rumah tangga tidak layak huni (RTLH) di pedesaan </t>
  </si>
  <si>
    <t>3.3.3. Bantuan pewarungan bagi mama papua dalam penanganan FM Pesisir</t>
  </si>
  <si>
    <t xml:space="preserve">3.3.4. UEP alat tangkap nelayan bagi FM pesisir </t>
  </si>
  <si>
    <t xml:space="preserve">3.3. Program Penanganan Fakir Miskin </t>
  </si>
  <si>
    <t>3.4. Program Perlindungan dan Jaminan Sosial</t>
  </si>
  <si>
    <t xml:space="preserve">3.4.1. Pemberian Bantuan BBR akibat  Bencana Alam </t>
  </si>
  <si>
    <t xml:space="preserve">3.4.2. Pengadaan Logistik Kesiapsiagaan Bencana Alam dan Bencana Sosial </t>
  </si>
  <si>
    <t xml:space="preserve">3.4.3. Pemberian Bantuan BBR Akibat Bencana Sosial </t>
  </si>
  <si>
    <t xml:space="preserve">3.4.4. Pelatihan Tenaga Pelopor Perdamaian </t>
  </si>
  <si>
    <t xml:space="preserve">4.1.1. Bimbingan teknis implementasi peraturan perundang-undangan </t>
  </si>
  <si>
    <t>4.1.2. Peningkatan Kapasitas Aparatur Sub Bagian Perencanaan, Pengendalian, Evaluasi dan Pelaporan</t>
  </si>
  <si>
    <t xml:space="preserve">4.1.3. Kegiatan Rakornis PP dan PA Se Provinsi Papua Barat </t>
  </si>
  <si>
    <t>4.1.4. Bimbingan Teknis Penilaian Kinerja ASN DP3A ( PP No. 46 Tahun 2011 ) dan Peningkatan Kapasitas Tentang Tugas Pokok dan Fungsi</t>
  </si>
  <si>
    <t xml:space="preserve">4.1.5. Pengawasan Pelaksanaan Rekomendasi PP dan PA di Kab/Kota </t>
  </si>
  <si>
    <t xml:space="preserve">4.1. Program Peningkatan Kapasitas Sumber Daya Aparatur </t>
  </si>
  <si>
    <t xml:space="preserve">4.2. Program Penguatan Kelembagaan Pengarusutamaan Gender dan Anak </t>
  </si>
  <si>
    <t xml:space="preserve">4.2.1. Rapat Koordinasi Penguatan Kelompok Kerja ( Pokja ) PUG Provinsi Papua Barat </t>
  </si>
  <si>
    <t xml:space="preserve">4.2.2. Penguatan Kelembagaan Pokja PUG di Kabupaten /Kota </t>
  </si>
  <si>
    <t xml:space="preserve">4.2.3. Penyusunan Profil Gender Provinsi Papua Barat Tahun 2020 </t>
  </si>
  <si>
    <t>4.2.4. Koordinasi Pengarusutamaan Gender antar Lembaga, Kementerian, Provinsi dan Kab/Kota</t>
  </si>
  <si>
    <t xml:space="preserve">4.2.5. Pelatihan PPRG Bagi komponen Perencana SKPD di Daerah </t>
  </si>
  <si>
    <t xml:space="preserve">4.2.6. Penguatan Kapasitas Tim Driver Pokja PUG Provinsi Papua Barat </t>
  </si>
  <si>
    <t>4.3. Program Peningkatan Kualitas Hidup dan Perlindungan Perempuan</t>
  </si>
  <si>
    <t xml:space="preserve">4.3.1. Fasilitasi terhadap Upaya Perlindungan Perempuan dan anak dari Tindak Kekerasan </t>
  </si>
  <si>
    <t>4.3.2. Fasilitasi  Prorgam Terpadu Peningkatan Peran Perempuan Papua menuju Keluarga Sehat Sejahtera ( P2WKSS ) dan Desa Prima</t>
  </si>
  <si>
    <t>4.3.3. Peningkatan Kapasitas  Tenaga Tutor Pemberantasan Buta Aksara Perempuan</t>
  </si>
  <si>
    <t>4.3.4. Pendidikan dalam Keluarga dan Legalitas Perkawinan dalam Percepatan Akta Nikah dan Akta Kelahiran Anak</t>
  </si>
  <si>
    <t xml:space="preserve">4.3.5. Pengembangan dan Pembentukan Pokja Layanan Perlindungan Perempuan dan Anak Korban Kekerasan </t>
  </si>
  <si>
    <t>4.3.6. Pelatihan Bagi Pelatih (TOT) SDM Pelayanan dan Pendampingan Korban KDRT</t>
  </si>
  <si>
    <t>4.3.7. Sosialisasi dan Advokasi kebijakan perlindungan tenaga kerja perempuan OAP</t>
  </si>
  <si>
    <t>4.3.8. Pembentukan dan penguatan Gugus Tugas PTPPO Kab/Kota</t>
  </si>
  <si>
    <t>4.3.9. Sosialisasi Peraturan Daerah ttg Perlindungan Perempuan dan Perlindungan Anak Korban Kekerasan &amp; PTPPO ( UU Nomor : 21 Tahun 2007 )</t>
  </si>
  <si>
    <t>4.3.10.Peningkatan Kapasitas Tenaga Pengelola Sistem Terpadu Data Kekerasan Perempuan dan Anak di Kab/Kota</t>
  </si>
  <si>
    <t>4.3.11.Rumah Aman  / Ruang Pelayanan Khusus bagi Korban Kekerasan Terhadap Perempuan dan Anak</t>
  </si>
  <si>
    <t>4.4. Program peningkatan peran serta dan kesetaraan gender dalam pembangunan</t>
  </si>
  <si>
    <t>4.4.1. Pembinaan Organisasi Perempuan</t>
  </si>
  <si>
    <t>4.4.2. Bimbingan Manajemen Usaha Bagi Perempuan Papua</t>
  </si>
  <si>
    <t>4.4.3.Raker BKOW Provinsi Papua Barat</t>
  </si>
  <si>
    <t>4.4.4. Pelayanan IVA dan Anjangsana dengan Penyandang  Disabilitas  dalam Rangka Peringatan Hari Kartini</t>
  </si>
  <si>
    <t>4.4.5. Peningkatan Kapasitas Tenaga Swadaya Masyarakat tentang Layanan Khusus Pendidikan, Kesehatan  Anak Daerah Terpencil atau Terkebelakang</t>
  </si>
  <si>
    <t>4.4.6. Sosialisasi dan Advokasi Sekolah Ramah Anak (SRA) dan PRA (Puskesmas Ramah Anak)</t>
  </si>
  <si>
    <t>4.4.8.Pameran Hasil Karya Perempuan di Bidang Pembanguna</t>
  </si>
  <si>
    <t xml:space="preserve">4.5. Program Peningkatan Kesejahteraan dan Perlindungan Anak </t>
  </si>
  <si>
    <t xml:space="preserve">4.5.1. Pegembangan Kabupaten/Kota Layak Anak (KLA) di Provinsi Papua Barat </t>
  </si>
  <si>
    <t>4.5.2. Sosialisasi Pelaksanaan Pengembangan Model Perlindungan Anak Terpadu Berbasis Masyarakat (PATBM)</t>
  </si>
  <si>
    <t>4.5.3. Seminar Sehari tentang Peran Pengasuhan Keluarga dalam Pemenuhan Gizi dan Tumbuh Kembang Anak</t>
  </si>
  <si>
    <t>4.5.4. Upaya Penanganan Pekerja Anak di bawah Umur secara terpadu</t>
  </si>
  <si>
    <t xml:space="preserve">4.5.5. Sosialisasi Undang-Undang Perlindungan Anak ( Nomor 35 tahun 2014 </t>
  </si>
  <si>
    <t>4.5.6. Peningkatan Kapasitas Forum Anak Sebagai Pelopor dan Partisipasi dalam Perencanaan dan Pembangunan Daerah ( Permen PPA RI No 12 Than 2015 )</t>
  </si>
  <si>
    <t>4.5.7. Pengembangan Ruang Publik  Ramah Anak dan Rute Aman bagi anak ke sekolah</t>
  </si>
  <si>
    <t>4.6. Program Penyelenggaraan Kepemimpinan Kenegaraan dan Kepemerintahan</t>
  </si>
  <si>
    <t>4.6.1. Pelatihan Kapasitas Politik bagi Perempuan bakal calon legislatif  dan Anggota Legislatif Serta Sosialisasi UU. No 2 Tahun 2008</t>
  </si>
  <si>
    <t xml:space="preserve">5.1. Program Peningkatan Keberdayaan Masyarakat Kampung </t>
  </si>
  <si>
    <t>5.1.1. Jambore PKK tingkat provinsi dan nasional</t>
  </si>
  <si>
    <t>5.1.2. Pelaksanaan Hari Kesatuan Gerak (HKG) PKK tingkat Provinsi</t>
  </si>
  <si>
    <t>5.1.3. Lokakarya penguatan posyandu dengan pemberdayaan masyarakat dalam pencegahan stunting</t>
  </si>
  <si>
    <t>5.1.4. Gelar TTG Nasional</t>
  </si>
  <si>
    <t xml:space="preserve">5.2.  Program peningkatan partisipasi masyarakat dalam Kampung </t>
  </si>
  <si>
    <t xml:space="preserve">5.2.1. Bulan Bakti Gotong Royong Masyarakat Kampung </t>
  </si>
  <si>
    <t xml:space="preserve">5.2.2. Bantuan Genset bagi masyarakat di kampung </t>
  </si>
  <si>
    <t xml:space="preserve">6.1. Program peningkatan sarana dan prasarana aparatur </t>
  </si>
  <si>
    <t xml:space="preserve">6.1.1. Pembangunan Gudang Koperasi </t>
  </si>
  <si>
    <t xml:space="preserve">6.1.2. Pembangunan Rumah Jaga Koperasi </t>
  </si>
  <si>
    <t>6.2. Program Penciptaan Iklim Usaha  yang Konduksi</t>
  </si>
  <si>
    <t xml:space="preserve">6.2.1. Peningkatan Fasilitas Tenda/Payung Jualan Mikro Kecil Kaki Lima </t>
  </si>
  <si>
    <t xml:space="preserve">6.3. Program Peningkatan Kualitas Kelembagaan Koperasi </t>
  </si>
  <si>
    <t xml:space="preserve">6.3.1. Penyusunan Database Koperasi dan UMKM Se-Provinsi Papua Barat </t>
  </si>
  <si>
    <t xml:space="preserve">6.3.2. Sosialisasi UU no 25 Tahun 1992 Tentang Perkoperasian </t>
  </si>
  <si>
    <t xml:space="preserve">6.3.3. Monitoring, Evaluasi dan Pelaporan Bidang Koperasi </t>
  </si>
  <si>
    <t>6.3.4. Bimbingan Teknis Pelaksanaan RAT bagi Gerakan Koperasi</t>
  </si>
  <si>
    <t xml:space="preserve">6.3.5. Pelatihan Manajemen Keuangan Bagi Pengelolaan Koperasi </t>
  </si>
  <si>
    <t xml:space="preserve">6.3.6. Monitoring dan Evaluasi, Penerima Bantuan UMKM </t>
  </si>
  <si>
    <t xml:space="preserve">6.3.7. Sosialisasi Undang-Undang Perkoperasian dan UKM </t>
  </si>
  <si>
    <t xml:space="preserve">6.3.8. Sosialisasi Kewirausahaan Bagi UMKM Tahap I </t>
  </si>
  <si>
    <t xml:space="preserve">6.3.9. Sosialisasi Kewirausahaan Bagi UMKM Tahap II </t>
  </si>
  <si>
    <t>6.3.10.Peningkatan dan pengawasan jaringan kerjasama usaha koperasi (Bimbingan Teknis Pengawasan Bagi Usaha Pemula)</t>
  </si>
  <si>
    <t xml:space="preserve">6.3.11.Pemberian Penghargaan Bagi Koperasi Berprestasi </t>
  </si>
  <si>
    <t xml:space="preserve">6.3.12.Sosialisasi Tentang KUR </t>
  </si>
  <si>
    <t xml:space="preserve">6.3.13.Bimbingan Teknis tentang Manajemen Usaha bagi Pedagang Kecil </t>
  </si>
  <si>
    <t>6.3.14.Bimbingan Teknis Penyusunan Laporan System Penilaian Kesehatan Koperasi</t>
  </si>
  <si>
    <t xml:space="preserve">6.3.15.Bantuan Peralatan Usaha Bagi KUKM </t>
  </si>
  <si>
    <t xml:space="preserve">6.4. Program Pengembangan Kewirausahaan dan Keunggulan Kompetitif UKM </t>
  </si>
  <si>
    <t xml:space="preserve">6.4.1. Pelatihan Manajemen Usaha Kecil </t>
  </si>
  <si>
    <t xml:space="preserve">6.4.2. Bimbingan Teknis Pengembangan Usaha Pemasaran Bagi UKM Binaan PLUT </t>
  </si>
  <si>
    <t>6.4.3. Bimbingan Teknis Pengembangan Usaha Produksi Pangan Berbasis Sumber Daya Lokal Bagi UKM Binaan PLUT</t>
  </si>
  <si>
    <t xml:space="preserve">6.4.4. Bimbingan Teknis Kemitraan dan Pengembangan Usaha bagi UKM Binaan PLUT </t>
  </si>
  <si>
    <t>6.4.5. Gerakan Kewirausahan Papua Barat</t>
  </si>
  <si>
    <t xml:space="preserve">6.5. Program Pengembangan Pendukung Usaha Bagi KUMKM </t>
  </si>
  <si>
    <t>6.5.1. Pameran Produk Unggulan Daerah 1</t>
  </si>
  <si>
    <t>7.1. Program Pelayanan Administrasi Perkantoran</t>
  </si>
  <si>
    <t>7.1.1. Optimalisasi Fungsi BBIS Masni</t>
  </si>
  <si>
    <t>7.1.2. Optimalisasi Fungsi BBL Mansinam</t>
  </si>
  <si>
    <t>7.1.3. Optimalisasi Fungsi PPP Sorong</t>
  </si>
  <si>
    <t>7.1.4. Optimalisasi Fungsi  PPI  Manokwari</t>
  </si>
  <si>
    <t>7.1.5. Optimalisasi Fungsi LPPMHP Manokwari</t>
  </si>
  <si>
    <t>7.1.6. Optimalisasi Fungsi LPPMHP Sorong</t>
  </si>
  <si>
    <t>7.1.7. Optimallisasi Fungsi  Taman Pesisir Jeen Womom Tambrauw</t>
  </si>
  <si>
    <t>7.1.8. Optimallisasi Fungsi Kawasan Konservasi Peisisir  Taman Wisata Perairan Raja Ampat</t>
  </si>
  <si>
    <t>7.1.9. Optimalisasi Fungsi Kawasan Konservasi Perairan Kaimana</t>
  </si>
  <si>
    <t>7.1.10.Persiapan UPTD</t>
  </si>
  <si>
    <t>7.2. Program peningkatan sarana dan prasarana aparatur</t>
  </si>
  <si>
    <t>7.2.1. Pemeliharaan rutin/berkala Gedung Kantor</t>
  </si>
  <si>
    <t>7.2.2. Pemeliharaan Rutin Kendaraan Operasional Patroli</t>
  </si>
  <si>
    <t>7.3. Program Peningkatan Kapasitas Sumber Daya Aparatur</t>
  </si>
  <si>
    <t>7.3.1. Rapat Kerja (RAKER) Kepala DKP se- Papua Barat</t>
  </si>
  <si>
    <t>7.3.2. Identifikasi Aset DKP Provinsi Papua Barat</t>
  </si>
  <si>
    <t>7.3.3. Pembinaan Manajemen Keuangan dan Aset Daerah</t>
  </si>
  <si>
    <t>7.4. Program Peningkatan Pengembangan Sistem Pelaporan Capaian Kinerja dan Keuangan</t>
  </si>
  <si>
    <t>7.4.1. Penyusunan laporan capaian kinerja dan ikhtisar realisasi kinerja SKPD</t>
  </si>
  <si>
    <t>7.4.2. Penyusunan pelaporan keuangan akhir tahun</t>
  </si>
  <si>
    <t>7.4.3. Penyusunan Rencana Kerja, RKA dan RKA Perubahan APBD</t>
  </si>
  <si>
    <t>7.4.4. Penyusunan Laporan Tahunan  Kegiatan SKPD</t>
  </si>
  <si>
    <t>7.4.5. Monitoring dan Evaluasi Program dan Kegiatan Kelautan dan Perikanan</t>
  </si>
  <si>
    <t>7.4.6. Penyusunan Data Potensi Kelautan dan Perikanan Papua Barat</t>
  </si>
  <si>
    <t>7.5. Program Pengembangan Budidaya Perikanan</t>
  </si>
  <si>
    <t>7.5.1. Peningkatan Tambak  Klalin</t>
  </si>
  <si>
    <t>7.5.2. Pengadaan Paket Perikanan Budidaya bagi Pembudidaya Ikan Payau dan Laut</t>
  </si>
  <si>
    <t>7.5.3. Pengadaan Paket Saprodi bagi Pembudidaya Air Payau dan Laut</t>
  </si>
  <si>
    <t>7.5.4. Pengadaan Paket Rumput Laut Bagi Pembudidaya</t>
  </si>
  <si>
    <t>7.5.5. Pengadaan Paket Kebun Bibit Rumput Laut</t>
  </si>
  <si>
    <t>7.5.6. Inventarisasi tambak dan keramba jaring apung (KJA)</t>
  </si>
  <si>
    <t>7.5.7. Workshop penguatan kelembagaan dan permodalan usaha perikanan budidaya</t>
  </si>
  <si>
    <t>7.5.8. Supervisi dan Monitorng Bantuan Sarana dan Prasarana</t>
  </si>
  <si>
    <t>7.6. Program Optimalisasi Pengelolaan dan pemasaran produksi Perikanan</t>
  </si>
  <si>
    <t>7.6.1. Pembinaan produk non konsumsi (Kulit Kerang)</t>
  </si>
  <si>
    <t>7.6.2. Sosialisasi Forikan (Forum peningkatan konsumsi ikan indonesia)/ Gemar ikan</t>
  </si>
  <si>
    <t>7.6.3. Diversifikasi Produk Hasil Perikanan Bernilai Tambah Bagi Masyarakat Asli Papua</t>
  </si>
  <si>
    <t>7.6.4. Pengadaan Sarana Pengolahan dan Mutu Hasil Perikanan</t>
  </si>
  <si>
    <t>7.6.5. Pengadaan Sarana dan Prasarana Pasca Panen Rumput Laut</t>
  </si>
  <si>
    <t>7.6.6. Bazar dalam Rangka HKBN dan Promosi Potensi Hasil Kelautan dan Perikanan</t>
  </si>
  <si>
    <t>7.7. Program Pengembangan Perikanan Tangkap</t>
  </si>
  <si>
    <t>7.7.1. Pengadaan Paket Perikanan Tangkap bagi Nelayan</t>
  </si>
  <si>
    <t>7.7.2. Pengadaan Sarana Perikanan Tangkap</t>
  </si>
  <si>
    <t>7.7.3. Penyusunan Dokumen Pendukung Pelabuhan Perikanan</t>
  </si>
  <si>
    <t>7.7.4. Penguatan dan Pemberdayaan Kelembagaan Usaha Perikanan Tangkap</t>
  </si>
  <si>
    <t>7.8. Program Pengelolaan dan Pemberdayaan Wilayah Laut, Pesisir, Pulau-pulau Kecil dan Kawasan Konservasi</t>
  </si>
  <si>
    <t>7.8.1. Sosialisasi Perda RZWP3K Provinsi Papua Barat</t>
  </si>
  <si>
    <t>7.8.2. Saran dan prasarana Masyarakat wilayah pesisir dan pulau-pulau kecil</t>
  </si>
  <si>
    <t>7.8.3. Penyusunan Regulasi Tentang Pelaksanaan Pengawasan SDKP di Provinsi Papua Barat</t>
  </si>
  <si>
    <t>7.8.4. Patroli Illegal Fishing (Patroli Gabungan)</t>
  </si>
  <si>
    <t>7.8.5. Pembinaan Pokmaswas Se provinsi Papua Barat</t>
  </si>
  <si>
    <t>7.8.6. Rencana Pengelolaan dan Zonasi (RPZ) di Kawasan Konservasi</t>
  </si>
  <si>
    <t>7.8.7. Penyusunan Regulasi dan SOP pengelolaan dan pemanfaatan dalam  kawasan konservasi</t>
  </si>
  <si>
    <t>7.8.8. Sarana dan Prasarana Pengawasan SDKP</t>
  </si>
  <si>
    <t>8.1. Program Peningkatan Kesejahteraan Petani</t>
  </si>
  <si>
    <t>8.1.1. Pembinaan pengelolaan dan pemasaran hasil pertanian Petani</t>
  </si>
  <si>
    <t>8.2. Program Peningkatan Sarana dan Prasarana Pertanian</t>
  </si>
  <si>
    <t>8.2.1. Pengadaan Pupuk Organik dan Anorganik dan Pestisida Nonsubsidi</t>
  </si>
  <si>
    <t>8.2.2. Alat dan Mesin Pertanian</t>
  </si>
  <si>
    <t>8.2.3. Pembangunan Jalan Usaha Tani ( JUT )</t>
  </si>
  <si>
    <t>8.3. Program Peningkatan Produksi, Produktivitas dan mutu produk tanaman pangan</t>
  </si>
  <si>
    <t>8.3.1. Pengembangan Tanaman Pangan</t>
  </si>
  <si>
    <t>8.3.2. Pembinaan Pengelolaan dan Pemasaran Hasil Tanaman Pangan</t>
  </si>
  <si>
    <t>8.3.3. Brigade Proteksi Tanaman Pangan</t>
  </si>
  <si>
    <t>8.4. Program Peningkatan Produksi, Produktivitas dan mutu produk tanaman hortikultura</t>
  </si>
  <si>
    <t>8.4.1. Pengembangan Tanaman Sayuran</t>
  </si>
  <si>
    <t>8.4.2. Pengembangan Buah-Buahan</t>
  </si>
  <si>
    <t>8.4.3. Bantuan Benih/Bibit Sayuran/Buah</t>
  </si>
  <si>
    <t>8.4.4. Pengolahan dan Pemasaran Hasil Hortikultura</t>
  </si>
  <si>
    <t>8.4.5. Pengembangan Sistem Perlindungan Hortikultura</t>
  </si>
  <si>
    <t>8.5. Program Penguatan Sistem Perbenihan dan Pembibitan</t>
  </si>
  <si>
    <t>8.5.1. Pengembangan Benih Holtikultura</t>
  </si>
  <si>
    <t>8.5.2. Pengawasan Mutu dan Sertifikasi Tanaman Hortikultura</t>
  </si>
  <si>
    <t>8.6. Program Peningktan Produksi, Produktivitas dan Mutu Tanaman Perkebunan</t>
  </si>
  <si>
    <t>8.6.1. Pembangunan Kebun Rakyat</t>
  </si>
  <si>
    <t>8.6.2. Pelatihan Identifikasi Hama dan Penyakit Serta Peramalan OPT Tanaman Perkebunan</t>
  </si>
  <si>
    <t>9.1.1. Pelatihan Kelompok Pelaku Agribisnis Peternakan</t>
  </si>
  <si>
    <t>9.2. Program pencegahan dan penanggulangan penyakit ternak</t>
  </si>
  <si>
    <t>9.2.1. Penyedia Obat-obatan hewan dan hormon</t>
  </si>
  <si>
    <t>9.3. Program peningkatan produksi hasil peternakan</t>
  </si>
  <si>
    <t>9.3.1. Pembangunan sarana dan prasarana pembibitan ternak</t>
  </si>
  <si>
    <t>9.3.2. Pembibitan dan perawatan ternak</t>
  </si>
  <si>
    <t>9.3.3. Monitoring, evaluasi dan pelaporan</t>
  </si>
  <si>
    <t>9.3.4. Pengadaan dan Pendistribusian Bibit Ternak Kepada Masyarakat OAP</t>
  </si>
  <si>
    <t>9.3.5. Pembuatan Pakan Suplemen</t>
  </si>
  <si>
    <t>9.4. Program Peningkatan Penerapan Teknologi Peternakan</t>
  </si>
  <si>
    <t>9.4.1. Pengadaan Sarana Pengolahan Limbah Kotoran Ternak</t>
  </si>
  <si>
    <t>9.5. Program Peningkatan Sarana Dan Prasarana Peternakan</t>
  </si>
  <si>
    <t>9.5.1. Peningkatan Sarana Prasarana Peternakan Alsintan</t>
  </si>
  <si>
    <t>9.5.2. Peningkatan produktifitas lahan tidur Peternakan Sapi Milik OAP</t>
  </si>
  <si>
    <t>Biro Kesejahteraan Rakyat</t>
  </si>
  <si>
    <t>SEKRETARIAT MAJELIS RAKYAT PAPUA</t>
  </si>
  <si>
    <t>11.1. Program Musyawarah Peraturan Dan Risalah</t>
  </si>
  <si>
    <t>11.1.1. Pembahasan Peraturan Daerah Khusus terkait OTSUS</t>
  </si>
  <si>
    <t>11.1.2. Pemetaan wilayah adat</t>
  </si>
  <si>
    <t>1.1.5. Pengembangan kurikulum, bahan ajar dan model pembelajaran Pendidikan Anak Usia Dini</t>
  </si>
  <si>
    <t>1.1.1. Pelatihan kompetensi tenaga pendidik</t>
  </si>
  <si>
    <t>1.1.2. Pelatihan kompetensi tenaga pendidik</t>
  </si>
  <si>
    <t>1.6.Program Pengelolaan Kekayaan Budaya</t>
  </si>
  <si>
    <t>1.2.1. Pemeliharaan rutin/berkala perlengkapan sekolah</t>
  </si>
  <si>
    <t>1.2.2. Pelatihan Penyusunan kurikulum</t>
  </si>
  <si>
    <t>1.2.3. Penyediaan Bantuan Operasional Sekolah (BOS) jenjang SD/MI/SDLB dan SMP/MTS serta pesantren Salafiyah dan Satuan Pendidikan Non-Islam Setara SD dan SMP</t>
  </si>
  <si>
    <t>1.2.4. Penyediaan dana pengembangansekolah Untuk SD/MI/SDLB dan SMP/MTS</t>
  </si>
  <si>
    <t>1.2.5. Pembinaan kelembagaan dan manajemen sekolah dengan penerapan Manajemen Berbasis Sekolah (MBS) di Satuan Pendidikan Dasar</t>
  </si>
  <si>
    <t>1.2.8. Penyebarluasan dan sosialisasi berbagai informasi pendidikan dasar</t>
  </si>
  <si>
    <t>1.2.9. Penyediaan beasiswa transisi</t>
  </si>
  <si>
    <t>1.2.10.Pelatihan Kurikulum PKHS Tingkat SD</t>
  </si>
  <si>
    <t>1.2.12.Pelaksanaan Ujian Nasional SD/MI dan SMP/MTs</t>
  </si>
  <si>
    <t>1.3.2. Pengembangan pendidikan keaksaraan</t>
  </si>
  <si>
    <t>1.3.3. Monitoring, evaluasi dan pelaporan</t>
  </si>
  <si>
    <t>1.4.1. Pelaksanaan Sertifikasi pendidik</t>
  </si>
  <si>
    <t>1.4.2. Pengembangan mutu dan kualitas program pendidikan dan pelatihan bagi pendidik dan tenaga kependidikan</t>
  </si>
  <si>
    <t>1.4.3. Monitoring, evaluasi dan pelaporan</t>
  </si>
  <si>
    <t>1.4.4. Pelatihan Penguatan Kapasitas Tim Penilai Angka Kredit Guru dan Tenaga Kependidikan</t>
  </si>
  <si>
    <t>1.5.2. Pelaksanaan Kerja Sama Secara Kelembagaan di Bidang Pendidikan</t>
  </si>
  <si>
    <t>1.5.3. Pengendalian dan pengawasan penerapan azas efisiensi dan efektivitas penggunaan dana dekonsentrasi dan dana pembantuan</t>
  </si>
  <si>
    <t>1.5.4. Penerapan Sistem dan Informasi Manajemen Pendidikan</t>
  </si>
  <si>
    <t>1.5.5. Monitoring, Evaluasi dan Pelaporan</t>
  </si>
  <si>
    <t xml:space="preserve">1.5.6. Penyediaan Bantuan Hari-Hari Besar  </t>
  </si>
  <si>
    <t>1.5.7. Penyelenggaraan Pelatihan, Seminar dan Lokakarya, serta Diskusi Ilmiah tentang Berbagai Isu Pendidikan (Tim Tehnis)</t>
  </si>
  <si>
    <t>1.6.1. Fasilitasi partisipasi masyarakat dalam pengelolaan kekayaan budaya</t>
  </si>
  <si>
    <t>1.7.1. Fasilitasi perkembangan keragaman budaya daerah</t>
  </si>
  <si>
    <t>2.3. Program Pengawasan Obat dan Makanan</t>
  </si>
  <si>
    <t>2.4. Program Pengembangan Obat Asli Indonesia</t>
  </si>
  <si>
    <t>2.5. Program Promosi Kesehatan dan Pemberdayaan Masyarakat</t>
  </si>
  <si>
    <t>2.2.1. Revitalisasi sistem kesehatan</t>
  </si>
  <si>
    <t>2.2.2. Pelayanan kefarmasian dan alat kesehatan</t>
  </si>
  <si>
    <t>2.2.3. Peningkatan pelayanan dan penanggulangan masalah kesehatan</t>
  </si>
  <si>
    <t>2.2.4. Penyediaan biaya operasional dan pemeliharaan</t>
  </si>
  <si>
    <t>2.2.5.Penyelenggaraan penyehatan lingkungan</t>
  </si>
  <si>
    <t xml:space="preserve">2.2.6. Peningkatan Pelayanan dan Penanggulangan Masalah Kesehatan Bagi PNS </t>
  </si>
  <si>
    <t>2.2.7. Penyediaaan Biaya Operasional Rumah Sakit</t>
  </si>
  <si>
    <t>2.2.8. Perencanaan Terpadu Kesehatan Ibu dan Anak</t>
  </si>
  <si>
    <t>2.3.1. Peningkatan pemberdayaan konsumen/masyarakat di bidang obat dan makanan</t>
  </si>
  <si>
    <t>2.3.2. Peningkatan pengawasan keaman pangan dan bahan berbahaya</t>
  </si>
  <si>
    <t>2.4.1. Pengembangan standarisasi tanaman obat bahan alam indonesia</t>
  </si>
  <si>
    <t>2.5.1. Pengembangan media promosi dan informasi sadar hidup sehat</t>
  </si>
  <si>
    <t>2.6. Program Perbaikan Gizi Masyarakat</t>
  </si>
  <si>
    <t>2.6.1. Pemberian tambahan makanan dan vitamin</t>
  </si>
  <si>
    <t>2.6.2. Penanggulangan Kurang Energi Protein (KEP), Anemia Gizi Besi, Gangguan Akibat kurang Yodium (GAKY), Kurang Vitamin A, dan Kekurangan Zat Gizi Mikro Lainnya</t>
  </si>
  <si>
    <t>2.7. Program Pencegahan dan Penanggulangan Penyakit Menular</t>
  </si>
  <si>
    <t>2.7.1. Pelayanan pencegahan dan penanggulangan penyakit menular</t>
  </si>
  <si>
    <t>2.7.2. Peningkatan survellance Epidemiologi dan penanggulangan wabah</t>
  </si>
  <si>
    <t>2.7.3. Pencegahan Penyakit Tidak Menular (PTM)</t>
  </si>
  <si>
    <t>2.8. Program Standarisasi Pelayanan Kesehatan</t>
  </si>
  <si>
    <t>2.8.1. Pembangunan dan pemutakhiran data dasar standar pelayanan kesehatan</t>
  </si>
  <si>
    <t>2.8.2. Monitoring, evaluasi dan pelaporan</t>
  </si>
  <si>
    <t>2.8.3. Akreditasi Puskesmas</t>
  </si>
  <si>
    <t>2.9. Program pengadaan, peningkatan dan perbaikan sarana dan prasarana puskesmas/ puskemas pembantu dan jaringannya</t>
  </si>
  <si>
    <t>2.9.1. Pengadaan sarana dan prasarana puskesmas</t>
  </si>
  <si>
    <t>2.10.Program peningkatan dan pengembangan pengelolaan keuangan daerah</t>
  </si>
  <si>
    <t>2.10.1.Pendataan/ Inventarisasi Barang Milik Daerah(BMD)</t>
  </si>
  <si>
    <t xml:space="preserve">2.9.2. Pengadaan sarana dan prasarana puskesmas  </t>
  </si>
  <si>
    <t xml:space="preserve">4.1.1. Fasilitasi dan stimulasi pembangunan perumahan masyarakat kurang mampu  </t>
  </si>
  <si>
    <t>4.2.1. Pembangunan Saluran Drainase dan Jalan Lingkungan</t>
  </si>
  <si>
    <t>4.3. Program Penyediaan Air Bersih</t>
  </si>
  <si>
    <t xml:space="preserve">4.3.1. Pembangunan Sarana/ Prasarana Air Bersih/ Air Minum </t>
  </si>
  <si>
    <t>5.1.1. Peningkatan kesadaran masyarakat akan nilai-nilai luhur budaya bangsa</t>
  </si>
  <si>
    <t>6.1.1. Pelayanan dan perlindungan sosial, hukum bagi korban eksploitasi, perdagangan perempuan dan anak</t>
  </si>
  <si>
    <t>6.1.2. Pelatihan keterampilan dan praktek belajar kerja bagi anak terlantar termasuk anak jalanan, anak cacat, dan anak nakal</t>
  </si>
  <si>
    <t>6.1.3. Pembentukan pusat informasi penyandang cacat dan trauma center</t>
  </si>
  <si>
    <t>6.1.4. Peningkatan kualitas pelayanan, sarana, dan prasarana rehabilitasi kesejahteraan sosial bagi PMKS</t>
  </si>
  <si>
    <t>6.1.5. Penyusunan kebijakan pelayanan dan rehabilitasi sosial bagi Penyandang Masalah Kesejahteraan Sosial</t>
  </si>
  <si>
    <t>6.2. Program Pemberdayaan Sosial dan Penangulangan Kemiskinan</t>
  </si>
  <si>
    <t>6.2.1. Penunjang Kegiatan Karang Taruna</t>
  </si>
  <si>
    <t>6.2.2. Koordinasi Tim Data Terpadu Upaya-upaya Penanggulangan Kemiskinan</t>
  </si>
  <si>
    <t>6.2.3. Peningkatan Kualitas Sumber Daya Manusia Kesejahteraan Sosial</t>
  </si>
  <si>
    <t>6.2.4. Pengadaan Beras Untuk Asrama Mahasiswa Manokwari di Kota Studi</t>
  </si>
  <si>
    <t>7. DINAS TENAGA KERJA DAN TRANSMIGRASI</t>
  </si>
  <si>
    <t>7.1. Program pengembangan wilayah transmigrasi</t>
  </si>
  <si>
    <t>7.1.1. Penyediaan dan pengelolaan prasarana dan sarana sosial dan ekonomi di kawasan transmigrasi</t>
  </si>
  <si>
    <t>8. DINAS PEMBERDAYAAN PEREMPUAN, PERLINDUNGAN ANAK DAN KELUARGA BERENCANA</t>
  </si>
  <si>
    <t>8.2. Program Peningkatan  Kualitas Hidup dan Perlindungan Perempuan</t>
  </si>
  <si>
    <t>8.4. Program Keluarga Berencana</t>
  </si>
  <si>
    <t>8.1. Program Penguatan Kelembagaan Pengarusutamaan Gender dan Anak</t>
  </si>
  <si>
    <t>8.1.1. Evaluasi pelaksanaan PUG</t>
  </si>
  <si>
    <t>8.1.2. Pengembangan Sistem Informasi Gender dan Anak</t>
  </si>
  <si>
    <t>8.1.3. Pendampingan Bagi Anak-anak Pengguna Lem Fox</t>
  </si>
  <si>
    <t>8.2.1. Fasilitasi upaya perlindungan perempuan terhadap tindak kekerasan</t>
  </si>
  <si>
    <t>8.3. Program peningkatan peran serta dan kesetaraan jender dalam pembangunan</t>
  </si>
  <si>
    <t>8.3.2. Pendidikan dan Pelatihan Keterampilan Home Industri Bagi Perempuan Pengolahan Pangan Lokal</t>
  </si>
  <si>
    <t>8.3.3. Pendidikan dan Pelatihan Keterampilan Kerajinan Tangan</t>
  </si>
  <si>
    <t>8.3.1. Kegiatan pendidikan dan pelatihan peningkatan peran serta dan kesetaraan gender</t>
  </si>
  <si>
    <t>8.4.1. Pelayanan KIE</t>
  </si>
  <si>
    <t>8.4.2. Promosi Pelayanan Khiba</t>
  </si>
  <si>
    <t>8.5. Program Kesehatan Reproduksi Remaja</t>
  </si>
  <si>
    <t>8.5.1. Save Teenagers To Golden Generation (Hari Remaja Internasional)</t>
  </si>
  <si>
    <t>9. DINAS KEPENDUDUKAN DAN PENCATATAN SIPIL</t>
  </si>
  <si>
    <t>9.1. Program Penataan Administrasi Kependudukan</t>
  </si>
  <si>
    <t xml:space="preserve">9.1.1. Pelayanan Perkawinan Massal  </t>
  </si>
  <si>
    <t>10.1. Program pengembangan lembaga ekonomi pedesaan</t>
  </si>
  <si>
    <t>10.1.1. Pelatihan ketrampilan usaha industri kerajinan</t>
  </si>
  <si>
    <t>10.1.2. Fasilitasi Permodalan Bagi Badan Usaha Milik Desa (BUMDES)</t>
  </si>
  <si>
    <t>10.1.3. Gelar Teknologi Tepat Guna Nasional</t>
  </si>
  <si>
    <t>10.2. Program peningkatan partisipasi masyarakat dalam membangun desa</t>
  </si>
  <si>
    <t>10.2.1. Operasional Pendamping P3MD</t>
  </si>
  <si>
    <t>10.3. Program Peningkatan Kapasitas Kelembagaan dan Pelatihan Masyarakat</t>
  </si>
  <si>
    <t xml:space="preserve">10.3.1. Pelatihan Peningkatan Kapasitas Kelembagaan Badan Permusyawaratan Kampung  </t>
  </si>
  <si>
    <t>11. DINAS PERHUBUNGAN, KELAUTAN DAN PERIKANAN</t>
  </si>
  <si>
    <t>11.1. Program pengembangan perikanan tangkap</t>
  </si>
  <si>
    <t xml:space="preserve">11.1.1. Pengembangan Sarana dan Prasarana Perikanan Tangkap dan Budidaya  </t>
  </si>
  <si>
    <t>12. DINAS KEARSIPAN DAN PERPUSTAKAAN</t>
  </si>
  <si>
    <t>12.1. Program Peningkatan Budaya Membaca</t>
  </si>
  <si>
    <t xml:space="preserve">12.1.1. Pembangunan Taman Baca  </t>
  </si>
  <si>
    <t>12.1.2. Lomba Cerita Tingkat Sekolah Dasar</t>
  </si>
  <si>
    <t>12.1.3. Pelayanan Taman Baca Masyarakat</t>
  </si>
  <si>
    <t>13. DINAS PARIWISATA, KEPEMUDAAN DAN OLAHRAGA</t>
  </si>
  <si>
    <t>13.1. Program peningkatan peran serta kepemudaan</t>
  </si>
  <si>
    <t>13.1.1. Pelatihan Ukir dan Pahat Pemuda Asli Papua</t>
  </si>
  <si>
    <t>13.2. Program peningkatan upaya penumbuhan kewirausahaan dan kecakapan hidup pemuda</t>
  </si>
  <si>
    <t>13.2.1. Pelatihan kewirausahaan bagi pemuda</t>
  </si>
  <si>
    <t>13.3. Program Pembinaan dan Pemasyarakatan Olah Raga</t>
  </si>
  <si>
    <t>13.3.1. Perlombaan Lari 10 K Menyongsong HUT PI di Tanah Papua</t>
  </si>
  <si>
    <t>13.3.2. Pengembangan Olah Raga Kreasi Pemuda Asli Papua</t>
  </si>
  <si>
    <t>13.4. Program Peningkatan Sarana dan Prasarana Olah Raga</t>
  </si>
  <si>
    <t>13.4.1. Pemeliharaan  Gedung Olah Raga (GOR)</t>
  </si>
  <si>
    <t>13.4.2. Pembangunan Lapangan Futsal</t>
  </si>
  <si>
    <t>13.5.1. Pameran Wisata Religi HUT PI Pulau Mansinam</t>
  </si>
  <si>
    <t>13.5. Program pengembangan destinasi pariwisata</t>
  </si>
  <si>
    <t>13.6. Program pengembangan Kemitraan</t>
  </si>
  <si>
    <t xml:space="preserve">13.6.1. Pengembangan SDM di bidang kebudayaan dan pariwisata bekerjasama dengan lembaga lainnya  </t>
  </si>
  <si>
    <t>14. DINAS PERTANIAN DAN KETAHANAN PANGAN</t>
  </si>
  <si>
    <t>14.1. Program Peningkatan Ketahan Pangan (pertanian/perkebunan)</t>
  </si>
  <si>
    <t>14.1.1. Pemanfaatan pekarangan untuk pengembangan pangan</t>
  </si>
  <si>
    <t>14.2. Program peningkatan penerapan teknologi pertanian/perkebunan</t>
  </si>
  <si>
    <t>14.2.1. Pengadaan sarana dan prasarana teknologi pertanian/perkebunan tepat guna</t>
  </si>
  <si>
    <t>14.3. Program peningkatan produksi pertanian/perkebunan</t>
  </si>
  <si>
    <t>14.3.1. Pendampingan Peremajaan Tanaman Kelapa Sawit</t>
  </si>
  <si>
    <t>14.3.2. Ekstensifikasi Tanaman Kakao</t>
  </si>
  <si>
    <t>14.3.3. Ekstensifikasi Tanaman Kelapa Hibrida</t>
  </si>
  <si>
    <t>14.3.4. Penyediaan Sarana Produksi Pertanian/Perkebunan (Balai Benih utan Padi)</t>
  </si>
  <si>
    <t>14.3.5. Penyediaan Sarana Produksi Pertanian/Perkebunan (Balai Benih utan Hortikultura)</t>
  </si>
  <si>
    <t>14.3.6. Pengembangan Budidaya Tanaman Sayuran Dataran Tinggi</t>
  </si>
  <si>
    <t>14.3.7. Pengembangan Budidaya Tanaman Sayuran Dataran Rendah</t>
  </si>
  <si>
    <t>14.4. Program pencegahan dan penanggulangan penyakit ternak</t>
  </si>
  <si>
    <t xml:space="preserve">14.4.1. Pencegahan dan penanggulangan Penyakit Ternak  </t>
  </si>
  <si>
    <t>14.5. Program peningkatan produksi hasil peternakan</t>
  </si>
  <si>
    <t>14.5.1. Pengembangan Usaha Ayam Petelur</t>
  </si>
  <si>
    <t>14.5.5. Pencegahan Produk Pangan Asal Hewan</t>
  </si>
  <si>
    <t>14.5.6. Pengadaan Ternak Sapi Terpadu (Sapi dan APPO)</t>
  </si>
  <si>
    <t>14.5.7. Pengendalian dan Penjaringan Sapi Betina Produktif</t>
  </si>
  <si>
    <t>14.5.8. Pengadaan Ternak Ayam</t>
  </si>
  <si>
    <t xml:space="preserve">14.5.2. Pengadaan Ternak Sapi  </t>
  </si>
  <si>
    <t xml:space="preserve">14.5.3. Pengadaan Ternak Kambing  </t>
  </si>
  <si>
    <t xml:space="preserve">14.5.4. Pengadaan Ternak Babi </t>
  </si>
  <si>
    <t>15.6. Program Pengembangan Agribisnis</t>
  </si>
  <si>
    <t xml:space="preserve">15.6.1. Pengembangan Budi Daya Tanaman Ubi jalar </t>
  </si>
  <si>
    <t xml:space="preserve">15.6.2. Pengembangan Budi Daya Tanaman Ubi Kayu  </t>
  </si>
  <si>
    <t>15.7. Program Pengembangan Tanaman Buah-Buahan</t>
  </si>
  <si>
    <t xml:space="preserve">15.7.1. Pengembangan Budi Daya Tanaman Rambutan Okulasi  </t>
  </si>
  <si>
    <t xml:space="preserve">15.7.2. Pengembangan Budi Daya Tanaman Mangga  </t>
  </si>
  <si>
    <t>15. DINAS PERINDUSTRIAN, PERDAGANGAN, KOPERASI, USAHA KECIL DAN MENENGAH</t>
  </si>
  <si>
    <t>15.1. Program Peningkatan Kapasitas Sumber Daya Aparatur</t>
  </si>
  <si>
    <t>15.1.1. Bimbingan Teknis Dalam Rangka Persiapan RAT Koperasi</t>
  </si>
  <si>
    <t>15.2. Program pengembangan industri kecil dan menengah</t>
  </si>
  <si>
    <t>15.2.1. Pelatihan Pembuatan Keripik Bagi Ibu-Ibu Papua</t>
  </si>
  <si>
    <t>15.2.2. Pelatihan Meubel Kayu</t>
  </si>
  <si>
    <t>15.3. Program peningkatan kemampuan teknologi industri</t>
  </si>
  <si>
    <t>15.3.1. Pelatihan Pembuatan Kolang-kaling</t>
  </si>
  <si>
    <t>15.3.2. Pelatihan Keterampilan Salon dan Bantuan Peralatan Bagi Putra-Putri Papua</t>
  </si>
  <si>
    <t>15.3.3. Pelatihan Perbaikan/Service Alat Pendingin (AC, Kulkas, Freaser) dan Bantuan Peserta Bagi Putra Putri  Papua.</t>
  </si>
  <si>
    <t>15.3.4. Pelatihan Keterampilan Bengkel Las dan Bantuan Peralatan Bagi Putra Putri Papua.</t>
  </si>
  <si>
    <t>15.3.5. Pelatihan Keterampilan dan Bantuan Peralatan Pangkas Rambut Bagi Putra-putri Papua</t>
  </si>
  <si>
    <t>15.3.6. Pelatihan Pembekalan Bagi Putra-putri Papua</t>
  </si>
  <si>
    <t>16. BAGIAN PEREKONOMIAN DAERAH</t>
  </si>
  <si>
    <t>16.1. Program pembinaan dan pengembangan bidang ketenagalistrikan</t>
  </si>
  <si>
    <t xml:space="preserve">16.1.1. Pembangunan Lampu Penerangan Jalan  </t>
  </si>
  <si>
    <t>18. BADAN PERENCANAAN PEMBANGUNAN DAERAH</t>
  </si>
  <si>
    <t>18.1. Program Perencanaan Pengembangan Wilayah Strategis dan Cepat Tumbuh</t>
  </si>
  <si>
    <t>18.1.1. Penyusunan perencanaan pengembangan wilayah strategis dan cepat tumbuh</t>
  </si>
  <si>
    <t>18.2. Program pembinaan dan pengembangan bidang ketenagalistrikan</t>
  </si>
  <si>
    <t>18.2.1. Koordinasi pengembangan ketenaga listrikan</t>
  </si>
  <si>
    <t>18.3. Program Peningkatan Promosi dan Kerjasama Investasi</t>
  </si>
  <si>
    <t>18.3.1. Penyelenggaraan Pameran OTSUS</t>
  </si>
  <si>
    <t>19. BADAN PENDAPATAN PENGELOLA KEUANGAN DAN ASET DAERAH</t>
  </si>
  <si>
    <t>19.1. Non Program</t>
  </si>
  <si>
    <t>19.1.1. Belanja Hibah kepada Badan/Lembaga/Organisasi Keagamaan</t>
  </si>
  <si>
    <t>19.1.2. Belanja Hibah kepada Badan/Lembaga/Organisasi Pendidikan</t>
  </si>
  <si>
    <t xml:space="preserve">19.1.3. Belanja Bantuan Sosial Kepada Anggota Masyarakat  </t>
  </si>
  <si>
    <t>20. BADAN KEPEGAWAIAN, PENDIDIKAN DAN PELATIHAN</t>
  </si>
  <si>
    <t>20.1. Program Pembinaan dan Pengembangan Aparatur</t>
  </si>
  <si>
    <t>20.1.1. Pemberian Bantuan Tugas Belajar dan Ikatan Dinas</t>
  </si>
  <si>
    <t>5.1 Program Pemberdayaan Fakir Miskin, Komunitas Adat Terpencil (KAT) dan Penyandang MasalahKesejahteraan Sosial (PMKS) Lainnya</t>
  </si>
  <si>
    <t>1.5.1. Pendidikan Kedokteran Sorong</t>
  </si>
  <si>
    <t>1.5.3. Penyelenggaran Operasional Lembaga SKB (APK)</t>
  </si>
  <si>
    <t>1.3. Program Pendidikan Menengah dan Tinggi</t>
  </si>
  <si>
    <t>1.1.1. Penyediaan Operasional Lembaga PAUD (Satuan PAUD Sejenis)</t>
  </si>
  <si>
    <t>1.1.2. Penyediaan BOP TK Negeri dalam rangaka Pendidikan Bebas Biaya</t>
  </si>
  <si>
    <t>1.1.3. Penyediaan BOP TK Swasta dalam rangaka Pendidikan Bebas Biaya</t>
  </si>
  <si>
    <t>1.1.4. Pembangunan Ruang belajar PAUD dan PKBM Sigemeray</t>
  </si>
  <si>
    <t>1.1.5. Pembangunan 2 RKB TK YPPK St. Nicolaus Maryedi</t>
  </si>
  <si>
    <t>1.1.6. Pembangunan 2 RKB TK Sion Tembuni</t>
  </si>
  <si>
    <t>1.1.7. Pembangunan 2 RKB TK YPK Yensey</t>
  </si>
  <si>
    <t>1.1.8. Rehabilitasi TK YPPK St. Paulus Fruwata</t>
  </si>
  <si>
    <t>1.1.9. Pembangunan Kantor guru dan MCK TK Herlina 2 Kampung Rosib</t>
  </si>
  <si>
    <t>1.1.10.Pengadaan permainan edukatif untuk murid PAUD</t>
  </si>
  <si>
    <t>1.1.11.Pengadaan meubelair TK YPPK St. Nicolaus Maryedi</t>
  </si>
  <si>
    <t>1.1.12.Pengadaan meubelair TK Sion Tembuni</t>
  </si>
  <si>
    <t>1.1.13.Pengadaan meubelair TK YPK Yensey</t>
  </si>
  <si>
    <t>1.2.1. Penyediaan BOP Negeri dalam rangka pendidikan bebas biaya SD</t>
  </si>
  <si>
    <t>1.2.2. Penyediaan BOP Negeri dalam rangka pendidikan bebas biaya SMP</t>
  </si>
  <si>
    <t>1.2.3.Penyediaan BOP Swasta dalam rangka Pendidikan Bebas Biaya SD</t>
  </si>
  <si>
    <t>1.2.4. Penyediaan BOP Swasta dalam rangka Pendidikan Bebas Biaya SMP</t>
  </si>
  <si>
    <t>1.2.5. Pembangunan 3 RKB SD YPPK Manimeri Kampung Pasamai</t>
  </si>
  <si>
    <t>1.2.6. Pembangunan 1 RKB SD Inpres SP-5 Bintuni</t>
  </si>
  <si>
    <t>1.2.7. Pembangunan 1 RKB SD YPPK Tuhiba</t>
  </si>
  <si>
    <t>1.2.8. Pembangunan 3 RKB SD YPPK Yaru</t>
  </si>
  <si>
    <t>1.2.9. Pembangunan 3 RKB SD Negeri Inovina</t>
  </si>
  <si>
    <t>1.2.10.Pembangunan 3 RKB SMP Negeri Masyeta</t>
  </si>
  <si>
    <t>1.2.11.Pembangunan 2 RKB SMP Negeri 2 Aranday</t>
  </si>
  <si>
    <t>1.2.12.Rehabilitasi Berat 3 ruang kelas SD Negeri Morumbuy</t>
  </si>
  <si>
    <t>1.2.13.Rehabilitasi Berat 3 ruang kelas SD YPK Tugerama</t>
  </si>
  <si>
    <t>1.2.14.Rehabilitasi  3 ruang kelas SMP Negeri Fafurwar</t>
  </si>
  <si>
    <t>1.2.15.Rehabilitasi 3 ruang kelas SD Inpres Tuasay</t>
  </si>
  <si>
    <t>1.2.16.Pembangunan Kantor dan ruang guru SD YPK Serito</t>
  </si>
  <si>
    <t>1.2.17.Pembangunan Kantor dan ruang guru SD YPPK Aroba</t>
  </si>
  <si>
    <t>1.2.18.Pembangunan MCK SD YPPK Tuhiba</t>
  </si>
  <si>
    <t>1.2.19.Pembangunan Pagar Pengeman SMP Negeri Terpadu Bintuni</t>
  </si>
  <si>
    <t>1.2.20.Pengadaan Meubelair 3 ruang kelas SD YPPK Manimeri Kampung Pasamai</t>
  </si>
  <si>
    <t>1.2.21.Pengadaan Meubelair 1 ruang kelas SD Inpres SP-5 Bintuni</t>
  </si>
  <si>
    <t>1.2.22.Pengadaan Meubelair 3 ruang kelas SD Negeri Furere</t>
  </si>
  <si>
    <t>1.2.23.Pengadaan Meubelair 3 ruang kelas SMP Negeri Masyeta</t>
  </si>
  <si>
    <t>1.2.24.Pengadaan Meubelair 3 ruang kelas SD Negeri  Inovina</t>
  </si>
  <si>
    <t>1.2.25.Pengadaan Meubelair 3 ruang kelas SD YPPK Yaru</t>
  </si>
  <si>
    <t>1.2.26.Pengadaan Meubelair 1 ruang kelas SD YPPK Tuhiba</t>
  </si>
  <si>
    <t>1.3.1. Kerjasama kelembagaan dengan SMK Migas di Cepu</t>
  </si>
  <si>
    <t>1.3.2. Pendidikan Seminari Sorong</t>
  </si>
  <si>
    <t>1.3.3. Pendidikan kedokteran Sorong</t>
  </si>
  <si>
    <t>1.4.1. Penyelenggaran Operasional Lembaga SKB (APK)</t>
  </si>
  <si>
    <t>1.4.2. Penyelenggaran Operasional Lembaga Taman Baca</t>
  </si>
  <si>
    <t>1.4.3. Penyelenggaran Operasional Lembaga PKBM</t>
  </si>
  <si>
    <t>1.4.4. Penyelenggaran Operasional Kelompok Belajar Keaksaraan Dasar dan KUM</t>
  </si>
  <si>
    <t>1.4.5. Penyelenggaran Operasional Lembaga Kursus</t>
  </si>
  <si>
    <t>1.4.6. Bantuan Pendidikan ADIK dan ADEM</t>
  </si>
  <si>
    <t>1.4.7. Pembangunan Gedung Sanggar Seni-Budaya Bintuni</t>
  </si>
  <si>
    <t>1.4.8. Pembangunan Tugu Peringatan Penyebaran Agama Islam</t>
  </si>
  <si>
    <t>1.4.9. Pengadaan meubeler Kantor LMA 7 Suku</t>
  </si>
  <si>
    <t>1.4.10.Penyediaan sarana Air Bersih Kantor LMA 7 Suku</t>
  </si>
  <si>
    <t>1.4.11.Penyediaan Operasional LMA 7 suku</t>
  </si>
  <si>
    <t>1.4.12.Pembinaan Sanggar Seni daerah</t>
  </si>
  <si>
    <t>1.4.13.Penyelenggaraan Festival Tahunan Seni-Budaya 7 Suku</t>
  </si>
  <si>
    <t>1.4.14.Pembangunan Rumah Ketua LMA 7 suku asli Teluk Bintuni</t>
  </si>
  <si>
    <t>2.3. Pelayanan Kesehatan Ibu dan Anak</t>
  </si>
  <si>
    <t xml:space="preserve">2.2.3. Peningkatan  Pelayanan Puskesmas/Puskesmas Pembantu MANIMERI  </t>
  </si>
  <si>
    <t xml:space="preserve">2.2.2. Peningkatan  Pelayanan Puskesmas/Puskesmas Pembantu BABO  </t>
  </si>
  <si>
    <t xml:space="preserve">2.2.1. Peningkatan  Pelayanan Puskesmas/Puskesmas Pembantu BINTUNI  </t>
  </si>
  <si>
    <t xml:space="preserve">2.2.4. Peningkatan  Pelayanan Puskesmas/Puskesmas Pembantu MOSKONA UTARA  </t>
  </si>
  <si>
    <t xml:space="preserve">2.2.5. Peningkatan  Pelayanan Puskesmas/Puskesmas Pembantu FARFURWAR  </t>
  </si>
  <si>
    <t xml:space="preserve">2.2.6. Peningkatan  Pelayanan Puskesmas/Puskesmas Pembantu STENKOOL III   </t>
  </si>
  <si>
    <t xml:space="preserve">2.2.7. Peningkatan  Pelayanan Puskesmas/Puskesmas Pembantu TANAH MERAH  </t>
  </si>
  <si>
    <t xml:space="preserve">2.2.8. Peningkatan  Pelayanan Puskesmas/Puskesmas Pembantu IDOOR  </t>
  </si>
  <si>
    <t xml:space="preserve">2.2.8. Peningkatan  Pelayanan Puskesmas/Puskesmas Pembantu KURI  </t>
  </si>
  <si>
    <t xml:space="preserve">2.2.9. Peningkatan  Pelayanan Puskesmas/Puskesmas Pembantu TOFOI  </t>
  </si>
  <si>
    <t xml:space="preserve">2.2.10.Peningkatan  Pelayanan Puskesmas/Puskesmas Pembantu TEMBUNI  </t>
  </si>
  <si>
    <t xml:space="preserve">2.2.11.Peningkatan  Pelayanan Puskesmas/Puskesmas Pembantu MERDEY </t>
  </si>
  <si>
    <t xml:space="preserve">2.2.12.Peningkatan  Pelayanan Puskesmas/Puskesmas Pembantu JAGIRO </t>
  </si>
  <si>
    <t xml:space="preserve">2.2.13.Peningkatan  Pelayanan Puskesmas/Puskesmas Pembantu ARANDAY  </t>
  </si>
  <si>
    <t xml:space="preserve">2.2.14.Peningkatan  Pelayanan Puskesmas/Puskesmas Pembantu WERIAGAR  </t>
  </si>
  <si>
    <t xml:space="preserve">2.2.15.Peningkatan  Pelayanan Puskesmas/Puskesmas Pembantu TUHIBA  </t>
  </si>
  <si>
    <t xml:space="preserve">2.2.16.Peningkatan  Pelayanan Puskesmas/Puskesmas Pembantu KAITARO  </t>
  </si>
  <si>
    <t xml:space="preserve">2.2.17.Peningkatan  Pelayanan Puskesmas/Puskesmas Pembantu KALITAMI  </t>
  </si>
  <si>
    <t xml:space="preserve">2.2.18.Peningkatan  Pelayanan Puskesmas/Puskesmas Pembantu DATARAN BEIMES </t>
  </si>
  <si>
    <t xml:space="preserve">2.2.19.Peningkatan  Pelayanan Puskesmas/Puskesmas Pembantu MOSKONA BARAT  </t>
  </si>
  <si>
    <t xml:space="preserve">2.2.20.Peningkatan  Pelayanan Puskesmas/Puskesmas Pembantu AROBA   </t>
  </si>
  <si>
    <t xml:space="preserve">2.2.21.Peningkatan  Pelayanan Puskesmas/Puskesmas Pembantu MOSKONA TIMUR  </t>
  </si>
  <si>
    <t xml:space="preserve">2.2.22.Peningkatan  Pelayanan Puskesmas/Puskesmas Pembantu MASYETA   </t>
  </si>
  <si>
    <t xml:space="preserve">2.2.23.Peningkatan  Pelayanan Puskesmas/Puskesmas ARANDAY </t>
  </si>
  <si>
    <t xml:space="preserve">2.2.24.Peningkatan  Pelayanan Puskesmas/Puskesmas BISCOOP  </t>
  </si>
  <si>
    <t xml:space="preserve">2.2.25.Peningkatan  Pelayanan Puskesmas/Puskesmas MUTURI  </t>
  </si>
  <si>
    <t>2.3.1. Penanggulangan dan Pemberantasan Penyakit TBC</t>
  </si>
  <si>
    <t>2.3.2. Penanggulangan ODHA</t>
  </si>
  <si>
    <t>2.3.3. Pelayanan, Pencegahan dan penangulangan penyakit menular</t>
  </si>
  <si>
    <t xml:space="preserve">3.1.1. Pengadaan Obat-obatan Rumah sakit  </t>
  </si>
  <si>
    <t xml:space="preserve">3.1.2. Pengadaan Reagen Laboratorium </t>
  </si>
  <si>
    <t>4.1. Program Pemberdayaan Fakir Miskin, Komunitas Adat Terpencil (KAT) dan Penyandang Masalah Kesejahteraan Sosial (PMKS)</t>
  </si>
  <si>
    <t>4.1.1. Fasilitasi Pembangunan Prasarana dan Sarana Dasar Permukiman berbasis Masyarakat kurang mampu</t>
  </si>
  <si>
    <t>4.2.1. Pembangunan Air Bersih Distrik Wamesa (SR. 100 unit)</t>
  </si>
  <si>
    <t>5.2. Program Pengembangan Budidaya Perikanan</t>
  </si>
  <si>
    <t>5.1.1. Pengadaan Sarana dan Prasarana Penangkapan</t>
  </si>
  <si>
    <t>5.1.2. Pembangunan Tambat Labuh/Jetty</t>
  </si>
  <si>
    <t>5.1.3. Pengadaan Mesin Ice Flake</t>
  </si>
  <si>
    <t>5.2.1. Pengadaan Keramba Jaring Apung</t>
  </si>
  <si>
    <t>5.2.2. Pengadaan Kolam Bio Flok</t>
  </si>
  <si>
    <t>5.2.3. Pengadaan Kolam Air tawar permanen</t>
  </si>
  <si>
    <t>5.2.4. Pengadaan Mesin Pengolah Pakan Ikan</t>
  </si>
  <si>
    <t>5.2.5. Pengadaan Pakan Ikan (pelet)</t>
  </si>
  <si>
    <t>5.2.6. Pengadaan Benih Ikan Nila , Ikan Mas, dan Ikan Lele</t>
  </si>
  <si>
    <t>5.2.7. Unit Pembenihan Rakyat (UPR)</t>
  </si>
  <si>
    <t>5.2.8. Peningkatan SDM dan Pelatihan Pembenihan untuk Pembudidaya Perikanan</t>
  </si>
  <si>
    <t>5.2.9. Pengadaan Induk ikan lele dan Nila</t>
  </si>
  <si>
    <t>6.1. Program Peningkatan Peran Serta Kesetaraan gender dalam pembangunan</t>
  </si>
  <si>
    <t>6.3. Program Penguatan Kelembagaan Pengarusutamaan Gender dan Anak</t>
  </si>
  <si>
    <t xml:space="preserve">6.4. Program Peningkatan Sarana dan Prasarana Pelayanan, Komunikasi, Informasi &amp; Edukasi </t>
  </si>
  <si>
    <t>6.1.1. Peningkatan peran serta organisasi perempuan dalam mewujudkan kesetaraan dan keadilan gender</t>
  </si>
  <si>
    <t>6.1.2. Pelatihan memasak berbagai produk olahan dari bahan lokal</t>
  </si>
  <si>
    <t>6.1.3. Pelatihan dan Peningkatan Manajemen Usaha Bagi Perempuan Asli Papua Dalam Mengelola Usaha</t>
  </si>
  <si>
    <t>6.2.1. Penjaringan SDM Pelayanan dan pendampingan Korban KDRT Di 3 Distrik</t>
  </si>
  <si>
    <t>6.2.2. Sosialisasi dan Advokasi KDRT di Distrik</t>
  </si>
  <si>
    <t>6.2.3. Sosialisasi Perlindungan Hak Perempuan Dalam Situasi Darurat dan Kondisi Khusus</t>
  </si>
  <si>
    <t>6.3.1. Sosialisasi dan Pembentukan Perlindungan Anak Terpadu Berbasis Masyarakat</t>
  </si>
  <si>
    <t>6.3.2. Sosialisasi Anak Berkebutuhan Khusus (ABK)</t>
  </si>
  <si>
    <t>6.3.3. Jambore Remaja Tingkat Kabupaten Dalam Rangka Penanggulangan Narkoba, PMS, HIV/AIDS dan Pernikahan Dini</t>
  </si>
  <si>
    <t>6.4.1. Pengembangan KIE Tentang Perlindungan Anak</t>
  </si>
  <si>
    <t xml:space="preserve">6.4.2. Pengembangan Ruang Publik Terpadu Ramah Anak </t>
  </si>
  <si>
    <t>6.4.3. Sosialisasi Sekolah Ramah Anak, Puskesmas Ramah Anak, Ruang Bermain Ramah Anak dan Ruang Kreatif Anak</t>
  </si>
  <si>
    <t>6.5. Program Pengembangan Wawasan Kebangsaan</t>
  </si>
  <si>
    <t>6.5.1. Peningkatan Rasa Solidaritas dan Ikatan Sosial Dikalangan Masyarakat (Hari Anak Nasional Di Daerah )</t>
  </si>
  <si>
    <t>6.6. Program Keluarga Berencana</t>
  </si>
  <si>
    <t>6.6.1. Fasilitasi Forum Pelayanan Kesehatan Reproduksi Remaja (KRR) Bagi Kelompok Remaja Di Luar Sekolah</t>
  </si>
  <si>
    <t>7.1. Program Penyandang Masalah Kesejahteraan Sosial (PMKS), Eks Narapidana, PSK, Narkoba dan Penyakit Sosial Lainnya</t>
  </si>
  <si>
    <t>7.1.1. Penyediaan Sarana dan Prasarana Pusat Rehabilitasi Kesejateraan Sosial bagi Penyandang PMKS</t>
  </si>
  <si>
    <t>7.2. Program Pemberdayaan Fakir Miskin, Komunitas Adat Terpencil (KAT) dan Penyandang Masalah Kesejahteraan Sosial (PMKS)</t>
  </si>
  <si>
    <t>7.2.1. Fasilitasi Pembangunan Prasarana dan Sarana Dasar Permukiman berbasis Masyarakat kurang mampu</t>
  </si>
  <si>
    <t>7.3. Program Pemberdayaan Fasilitas Pembangunan Prasarana dan Sarana Rumah Ibadah</t>
  </si>
  <si>
    <t>7.3.1. Bantuan Pembangunan Prasarana dan Sarana Rumah Ibadah</t>
  </si>
  <si>
    <t>7.3.2. Fasilitas Bantuan Bahan Bangunan (BBR) Keagamaan</t>
  </si>
  <si>
    <t>7.4. Program Peningkatan Kualitas Keimanan dan Ketaqwaan Masyarakat</t>
  </si>
  <si>
    <t>7.4.1. Bantuan Keagamaan Pendukung Pelayanan Agama Islam</t>
  </si>
  <si>
    <t>7.4.2. Bantuan Keagamaan Pendukung Pelayanan Agama Kristen</t>
  </si>
  <si>
    <t>7.5. Program Penyandang Masalah Kesejahteraan Sosial (PMKS), Eks Narapidana, PSK, Narkoba dan Penyakit Sosial Lainnya</t>
  </si>
  <si>
    <t>7.5.1. Penyediaan Sarana dan Prasarana Pusat Rehabilitasi Kesejateraan Sosial bagi Penyandang PMKS</t>
  </si>
  <si>
    <t>8.1. Program Pemberdayaan Fasilitas Pembangunan Prasarana dan Sarana Rumah Ibadah</t>
  </si>
  <si>
    <t>8.1.1. Bantuan Pembangunan Prasarana dan Sarana Rumah Ibadah</t>
  </si>
  <si>
    <t>8.1.2. Fasilitas Bantuan Bahan Bangunan (BBR) Keagamaan</t>
  </si>
  <si>
    <t>8.2. Program Peningkatan Kualitas Keimanan dan Ketaqwaan Masyarakat</t>
  </si>
  <si>
    <t>8.2.1. Bantuan Keagamaan Pendukung Pelayanan Agama Islam</t>
  </si>
  <si>
    <t>8.2.2. Bantuan Keagamaan Pendukung Pelayanan Agama Kristen</t>
  </si>
  <si>
    <t>8.3. Belanja Bantuan Sosial</t>
  </si>
  <si>
    <t xml:space="preserve">8.3.1. Belanja Bantuan Sosial Organisasi Kemasyarakatan  </t>
  </si>
  <si>
    <t>8.4. Belanja Bantuan Pendidikan</t>
  </si>
  <si>
    <t>8.4.1. Bantuan BOP Sekolah Swasta OTSUS SMA/SMK</t>
  </si>
  <si>
    <t xml:space="preserve">8.4.2. Bantuan beasiswa Tugas Belajar (BKD)  </t>
  </si>
  <si>
    <t xml:space="preserve">8.4.3. Bantuan Pendidikan Mahasiswa Murni </t>
  </si>
  <si>
    <t xml:space="preserve">9.1. Program Peningkatan Produksi Hasil Peternakan </t>
  </si>
  <si>
    <t>9.1.1. Pengadaan Ternak Kambing Jantan</t>
  </si>
  <si>
    <t>9.1.2. Pengadaan Ternak Kambing Betina</t>
  </si>
  <si>
    <t>9.1.3. Pengadaan Ternak Babi Jantan</t>
  </si>
  <si>
    <t>9.1.4. Pengadaan Ternak Babi Betina</t>
  </si>
  <si>
    <t>9.1.5. Biaya pembuatan kandang Babi</t>
  </si>
  <si>
    <t>9.1.6. Pengadaan Ternak Itik</t>
  </si>
  <si>
    <t>9.1.7. Pengadaan Ayam Kampung</t>
  </si>
  <si>
    <t>9.1.8. Pengadaan Ayam Potong DOC Ayam Potong</t>
  </si>
  <si>
    <t>9.1.9. Pengadaan Pakan Ayam Potong</t>
  </si>
  <si>
    <t>9.1.10.Pengadaan Obat -obatan Vita Chiken</t>
  </si>
  <si>
    <t>9.1.11.Pengadaan Obat -obatan Vita Bro</t>
  </si>
  <si>
    <t>9.1.12.Pengadaan Obat -obatan Vita sters</t>
  </si>
  <si>
    <t>9.1.13.Pengadaan Tempat Makan</t>
  </si>
  <si>
    <t>9.1.14.Pengadaan Tempat Minum</t>
  </si>
  <si>
    <t>9.1.15.Pembuatan Kandang</t>
  </si>
  <si>
    <t>9.1.16.Biaya Pendistribusian Ternak Kambing</t>
  </si>
  <si>
    <t>9.1.17.Biaya PendistribusianTernak Babi</t>
  </si>
  <si>
    <t>9.1.18.Biaya PendistribusianTernak Itik</t>
  </si>
  <si>
    <t>9.1.19.Biaya PendistribusianTernak Ayam Kampung</t>
  </si>
  <si>
    <t>9.1.20.Biaya PendistribusianTernak Ayam Potong</t>
  </si>
  <si>
    <t>9.1.21.Pengembangan  Bibit Tanaman Pala</t>
  </si>
  <si>
    <t>9.1.22.Biaya Pendistribusian Bibit Tanaman Pala</t>
  </si>
  <si>
    <t>9.1.23.Biaya Jasa Pengolahan Tanah  (Biaya pembukaan lahan)</t>
  </si>
  <si>
    <t>9.1.24.Biaya Jasa Pengolahan Tanah (Biaya penanaman dan pemeliharaan)</t>
  </si>
  <si>
    <t>9.1.25.barang yang diserahkan kepada masyarakat (PPC/ZPT (Atonik))</t>
  </si>
  <si>
    <t>9.1.26.barang yang diserahkan kepada masyarakat (Round Up)</t>
  </si>
  <si>
    <t>9.1.27.barang yang diserahkan kepada masyarakat  (DMA 6)</t>
  </si>
  <si>
    <t xml:space="preserve">9.1.28.barang yang diserahkan kepada masyarakat  (Parang) </t>
  </si>
  <si>
    <t>9.1.29.barang yang diserahkan kepada masyarakat  (Pacul)</t>
  </si>
  <si>
    <t>9.1.30.barang yang diserahkan kepada masyarakat  (Dodos)</t>
  </si>
  <si>
    <t>9.1.31.barang yang diserahkan kepada masyarakat  (Kampak)</t>
  </si>
  <si>
    <t>9.1.32.barang yang diserahkan kepada masyarakat  (Hand Sprayer)</t>
  </si>
  <si>
    <t>9.1.33.barang yang diserahkan kepada masyarakat  (Koker / Polly Back)</t>
  </si>
  <si>
    <t>9.1.34.barang yang diserahkan kepada masyarakat  (Tali Ajir/Ukur)</t>
  </si>
  <si>
    <t>9.1.35.barang yang diserahkan kepada masyarakat  (Chain Saw (Still) )</t>
  </si>
  <si>
    <t>10. DINAS PEKERJAAN UMUM DAN PENATAAN RUANG</t>
  </si>
  <si>
    <t>11. BADAN PERENCANAAN, PENELITIAN DAN PEMBANGUNAN DAERAH</t>
  </si>
  <si>
    <t>11.1. Program Pengembangan SDM Putra-Putri Papua Teluk Bintuni</t>
  </si>
  <si>
    <t>11.1.1. Kerjasama Sampoerna Foundation</t>
  </si>
  <si>
    <t>10.1. Program Pembangunan Infrastruktur Pedesaan</t>
  </si>
  <si>
    <t>10.1.1. Pembangunan Jalan dan Jembatan Pedesaan</t>
  </si>
  <si>
    <t>9.2. Program Peningkatan Penerapan Teknologi Pertanian/Perkebunan</t>
  </si>
  <si>
    <t>9.2.1. Belanja barang untuk diserahkan kepada masyarakat  (Mesin Pemarut Sagu)</t>
  </si>
  <si>
    <t>9.2.2. Belanja barang untuk diserahkan kepada masyarakat  (Cultivator)</t>
  </si>
  <si>
    <t>9.2.3. Belanja barang untuk diserahkan kepada masyarakat (Gerobak Dorong)</t>
  </si>
  <si>
    <t>9.2.4. Belanja barang untuk diserahkan kepada masyarakat  (Motor Roda 3)</t>
  </si>
  <si>
    <t>9.2.5. Belanja barang untuk diserahkan kepada masyarakat (Hand Sprayer)</t>
  </si>
  <si>
    <t>9.2.6. Belanja barang untuk diserahkan kepada masyarakat (Penggiling Jagung)</t>
  </si>
  <si>
    <t>9.2.7. Biaya Pendistribusian Alsintan  (Pendistribusian mesin parut sagu)</t>
  </si>
  <si>
    <t>9.2.8. Biaya Pendistribusian Alsintan (Pendistribusian Cultivator)</t>
  </si>
  <si>
    <t>9.2.9. Biaya Pendistribusian Alsintan  (Pendistribusian Gerobak Dorong)</t>
  </si>
  <si>
    <t>9.2.10.Biaya Pendistribusian Alsintan (Pendistribusian Alat Penggiling Jagung)</t>
  </si>
  <si>
    <t>9.2.11.Biaya Pendistribusian Alsintan (Pendistribusian Motor Roda Tiga)</t>
  </si>
  <si>
    <t>9.2.12.Biaya Pendistribusian Alsintan  (Pendistribusian Hand Sprayer)</t>
  </si>
  <si>
    <t>9.3. Program Pengembangan Tanaman Ubi Jalar</t>
  </si>
  <si>
    <t>9.3.1. Belanja Barang Yang Akan Diserahkan Kepada Masyarakat</t>
  </si>
  <si>
    <t>9.4. Program Penyuluhan dan pengembangan Sumber Daya Manusia Pertanian</t>
  </si>
  <si>
    <t>9.4.1. Pengukuhan Kelompok-Kelompok Tani</t>
  </si>
  <si>
    <t>9.4.2. Pelatihan Petani dan Gapoktan</t>
  </si>
  <si>
    <t>9.4.3. Pelatihan Dasar I Penyuluhan Pertanian Specialis</t>
  </si>
  <si>
    <t>9.4.4. Pelatihan Dasar I Penyuluhan Pertanian Lapangan (PPL)</t>
  </si>
  <si>
    <t>9.5. Program Peningkatan Produksi Pertanian/ Perkebunan</t>
  </si>
  <si>
    <t>9.5.1. Pendataan Kelompok Tani dan Penilaian Kelas Kelompok Tani</t>
  </si>
  <si>
    <t>9.6. Program Pemberdayaan Penyuluh Pertanian/ Perkebunan Lapangan</t>
  </si>
  <si>
    <t>9.6.1. Studi Banding Tanaman Padi</t>
  </si>
  <si>
    <t>9.7. Program Peningkatan efisiensi Perdagangan dalam negeri</t>
  </si>
  <si>
    <t>9.7.1. Subsidi harga kebutuhan sembilan bahan pokok</t>
  </si>
  <si>
    <t>6.3.4. Sosialisasi Peraturan Perundang-Undangan Perlindungan Anak</t>
  </si>
  <si>
    <t>6.3.5. Sosialisasi Telpon Sahabat Anak (TESA)</t>
  </si>
  <si>
    <t>6.3.6. Forum Anak Daerah</t>
  </si>
  <si>
    <t>8.1. Belanja Bantuan Sosial bidang pendidikan</t>
  </si>
  <si>
    <t>2.1.1. Pengadaan Obat-Obatan Perbekalan Kesehatan Puskesmas</t>
  </si>
  <si>
    <t>E</t>
  </si>
  <si>
    <t>PROSPEK</t>
  </si>
  <si>
    <t>14.3.1.Pembinaan Bakat dan Pengembangan Olahraga Unggulan (Sepak Bola)</t>
  </si>
  <si>
    <t>2.6.4. Case Finding Neglected Disease ( TB, Kusta, Filariasis, HIV )</t>
  </si>
  <si>
    <t xml:space="preserve">2.6.9. Sosialisasi dan pelatihan ASPAK tenaga Puskesmas  </t>
  </si>
  <si>
    <t xml:space="preserve">3.2.1. Akreditasi Rumah Sakit </t>
  </si>
  <si>
    <t>OTSUS PB</t>
  </si>
  <si>
    <t>KEAGAMAAN 10%</t>
  </si>
  <si>
    <t>ALOKASI BPKAD</t>
  </si>
  <si>
    <t>ALOKASI SETDA</t>
  </si>
  <si>
    <t>OPD PROV</t>
  </si>
  <si>
    <t>KAB/KOTA</t>
  </si>
  <si>
    <t>FAK KEDOKTERAN</t>
  </si>
  <si>
    <t xml:space="preserve">16.3.27.Pengadaan Body Perahu Fiber </t>
  </si>
  <si>
    <t>3.2.2.  Koordinasi pengawasan dan pengendalian pelaksanaan kebijakan tentang pembangunan perumahan (Dana Sering BSPS Upah Tukang Luncuran Tahun 2019)</t>
  </si>
  <si>
    <t>Manokwari</t>
  </si>
  <si>
    <t>Kota Sorong</t>
  </si>
  <si>
    <t>Teluk Bintuni</t>
  </si>
  <si>
    <t>Fakfak</t>
  </si>
  <si>
    <t>Raja Ampat</t>
  </si>
  <si>
    <t>Kaimana</t>
  </si>
  <si>
    <t>Maybrat</t>
  </si>
  <si>
    <t>Pegaf</t>
  </si>
  <si>
    <t>Sorong Selatan</t>
  </si>
  <si>
    <t>Kab. Sorong</t>
  </si>
  <si>
    <t xml:space="preserve">Teluk Wondama </t>
  </si>
  <si>
    <t>Tambrauw</t>
  </si>
  <si>
    <t>Manokwari Selatan</t>
  </si>
  <si>
    <t>No</t>
  </si>
  <si>
    <t>Kab/Kota</t>
  </si>
  <si>
    <t>Pagu Otsus 2020</t>
  </si>
  <si>
    <t>1.4.3. Seleksi Afirmasi Pendidikan Menengah UP4B</t>
  </si>
  <si>
    <t>8.3.1. Penyediaan Jasa Admnistrasi Perkantoran</t>
  </si>
  <si>
    <t xml:space="preserve">1.1.1. Pendidikan dan Pelatihan Formal </t>
  </si>
  <si>
    <t>1.2.1. Pembangunan sarana air bersih dan sanitary</t>
  </si>
  <si>
    <t>1.2.2. Pendampingan dan Verifikasi Akreditasi PAUD dan PNF</t>
  </si>
  <si>
    <t>1.2.3. Penyelenggaraan PORSENI bagi Peserta Didik PAUD</t>
  </si>
  <si>
    <t>1.2.4. Workshop penanganan Anak Berkebutuhan Khusus (ABK)</t>
  </si>
  <si>
    <t>1.2.5. Workshop dan pembentukan Gugus PAUD dan PNF</t>
  </si>
  <si>
    <t>1.3.1. Penambahan ruang kelas sekolah</t>
  </si>
  <si>
    <t>1.3.2. Penambahan ruang guru sekolah</t>
  </si>
  <si>
    <t>1.3.3. Pembangunan taman, lapangan upacara dan fasilitas parkir</t>
  </si>
  <si>
    <t>1.3.4. Pengadan pakaian seragam sekolah</t>
  </si>
  <si>
    <t>1.3.5. Pengadaan perlengkapan sekolah</t>
  </si>
  <si>
    <t>1.3.6. Rehabilitasi sedang/berat ruang kelas sekolah</t>
  </si>
  <si>
    <t>1.3.7. Pengembangan Comprehensive Teaching And Learning (CTL)</t>
  </si>
  <si>
    <t>1.3.8. Penyelenggaraan Pembinaan dan Lomba Olimpiade Sains Nasional Tingkat SMP</t>
  </si>
  <si>
    <t>1.3.9. Pembangunan Sarana dan Prasarana Sekolah  (OTSUS)</t>
  </si>
  <si>
    <t>1.3.10.Pembinaan Sains Eksakta SD</t>
  </si>
  <si>
    <t>1.4.1. Seleksi Afirmas Pendidikan Menengah UP4B</t>
  </si>
  <si>
    <t>1.4.2. Monitoring, evaluasi dan pelaporan Afirmasi ADIK dan ADEM</t>
  </si>
  <si>
    <t>1.5.2. Pembinaan Revolusi Mental Peserta Didik Tingkat SMP dan SMU</t>
  </si>
  <si>
    <t>1.6.1. Mengikuti Kompetisi Olah Raga</t>
  </si>
  <si>
    <t xml:space="preserve">1.5.1. Seleksi Afirmasi Perguruan Tinggi UP4B  </t>
  </si>
  <si>
    <t>2.1.1. Penyediaan jasa peralatan dan perlengkapan kantor</t>
  </si>
  <si>
    <t>2.2.1. Pendidikan dan pelatihan formal</t>
  </si>
  <si>
    <t>2.2.2. Bimbingan teknis implementasi peraturan perundang-undangan</t>
  </si>
  <si>
    <t xml:space="preserve">2.3.1. Pengadaaan Obat dan Perbekalan Kesehatan </t>
  </si>
  <si>
    <t>2.4.1. Monitoring, evaluasi dan pelaporan</t>
  </si>
  <si>
    <t xml:space="preserve">2.4.2. Penyediaan Biaya Operasional Puskesmas Fakfak Kota  </t>
  </si>
  <si>
    <t xml:space="preserve">2.4.3. Penyediaan Biaya Operasional Puskesmas Fakfak Tengah  </t>
  </si>
  <si>
    <t xml:space="preserve">2.4.4. Penyediaan Biaya Operasional Puskesmas Sekban  </t>
  </si>
  <si>
    <t xml:space="preserve">2.4.5. Penyediaan Biaya Operasional Puskesmas Weri </t>
  </si>
  <si>
    <t xml:space="preserve">2.4.6. Penyediaan Biaya Operasional Puskesmas Karas  </t>
  </si>
  <si>
    <t xml:space="preserve">2.4.7. Penyediaan Biaya Operasional Puskesmas Werba  </t>
  </si>
  <si>
    <t xml:space="preserve">2.4.8. Penyediaan Biaya Operasional Puskesmas Kramomongga  </t>
  </si>
  <si>
    <t xml:space="preserve">2.4.9. Penyediaan Biaya Operasional Puskesmas Degen </t>
  </si>
  <si>
    <t xml:space="preserve">2.4.10.Penyediaan Biaya Operasional Puskesmas Kokas </t>
  </si>
  <si>
    <t xml:space="preserve">2.411.Penyediaan Biaya Operasional Puskesmas Bomberay  </t>
  </si>
  <si>
    <t>2.5.1. Peningkatan penyidikan dan penegakan hukum di bidang obat dan makanan</t>
  </si>
  <si>
    <t>2.6.1. Pengembangan standarisasi tanaman obat bahan alam indonesia</t>
  </si>
  <si>
    <t>2.7.1. Pengembangan media promosi dan informasi sadar hidup sehat</t>
  </si>
  <si>
    <t>2.7.2. Peningkatan pemanfaatan sarana kesehatan</t>
  </si>
  <si>
    <t>2.7.3. Peningkatan pendidikan tenaga penyuluh kesehatan</t>
  </si>
  <si>
    <t>2.8.1. Pengkajian pengembangan lingkungan sehat</t>
  </si>
  <si>
    <t xml:space="preserve">2.8.2. Pengkajian Pengembangan Lingkungan Sehat  </t>
  </si>
  <si>
    <t>2.9.1. Penyemprotan/fogging sarang nyamuk</t>
  </si>
  <si>
    <t>2.9.2. Pelayanan pencegahan dan penanggulangan penyakit menular</t>
  </si>
  <si>
    <t>2.9.3. Peningkatan imuniasasi</t>
  </si>
  <si>
    <t>2.9.4. Peningkatan survellance Epidemiologi dan penanggulangan wabah</t>
  </si>
  <si>
    <t xml:space="preserve">2.9.10.Pelayanan Pencegahan dan Penanggulangan Penyakit Menular  </t>
  </si>
  <si>
    <t>2.10.Program Standarisasi Pelayanan Kesehatan</t>
  </si>
  <si>
    <t>2.10.1.Penyusunan standar pelayanan kesehatan</t>
  </si>
  <si>
    <t>2.10.2.Evaluasi dan pengembangan standar pelayanan kesehatan</t>
  </si>
  <si>
    <t>2.10.3.Pembangunan dan pemutakhiran data dasar standar pelayanan kesehatan</t>
  </si>
  <si>
    <t xml:space="preserve">2.11.1.Pelayanan Kesehatan Masyarakat  </t>
  </si>
  <si>
    <t>2.12. Program pengadaan, peningkatan dan perbaikan sarana dan prasarana puskesmas/ puskemas pembantu dan jaringannya</t>
  </si>
  <si>
    <t>2.11. Program pelayanan kesehatan penduduk miskin</t>
  </si>
  <si>
    <t>2.12.1.Monitoring, evaluasi dan pelaporan</t>
  </si>
  <si>
    <t xml:space="preserve">2.12.2.Pengadaan sarana dan prasarana puskesmas </t>
  </si>
  <si>
    <t>2.13.Program peningkatan pelayanan kesehatan anak balita</t>
  </si>
  <si>
    <t>2.13.1.Monitoring, evaluasi dan pelaporan</t>
  </si>
  <si>
    <t>2.14.Program peningkatan keselamatan ibu melahirkan dan anak</t>
  </si>
  <si>
    <t>2.14.1.Perawatan secara berkala bagi ibu hamil bagi keluarga kurang mampu</t>
  </si>
  <si>
    <t>3.1. Program pelayanan kesehatan penduduk miskin</t>
  </si>
  <si>
    <t xml:space="preserve">3.1.1. Pelayanan Kesehatan Masyarakat  </t>
  </si>
  <si>
    <t>4.1. Program pembangunan jalan dan jembatan</t>
  </si>
  <si>
    <t>4.1.1. Pembangunan jembatan</t>
  </si>
  <si>
    <t>4.3.1. Penetaan lingkungan pemukiman penduduk perdesaan</t>
  </si>
  <si>
    <t xml:space="preserve">4.3.2. Pembangunan Jalan dan Jembatan Perdesaan  </t>
  </si>
  <si>
    <t>5.1. Program peningkatan disiplin aparatur</t>
  </si>
  <si>
    <t>5.2. Program Peningkatan Kapasitas Sumber Daya Aparatur</t>
  </si>
  <si>
    <t>5.3. Program peningkatan keamanan dan kenyamanan lingkungan</t>
  </si>
  <si>
    <t>5.4. Program pengembangan wawasan kebangsaan</t>
  </si>
  <si>
    <t>5.1.1. Pengadaan pakaian dinas beserta perlengkapannya</t>
  </si>
  <si>
    <t>5.2.1. Sosialisasi peraturan perundang-undangan</t>
  </si>
  <si>
    <t>5.3.1. Pengendalian keamanan lingkungan</t>
  </si>
  <si>
    <t>5.4.1. Peningkatan toleransi dan kerukunan dalam kehidupan beragama</t>
  </si>
  <si>
    <t>5.4.2. Penyuluhan pembumian pancasila</t>
  </si>
  <si>
    <t>5.4.3. Penyuluhan Tentang Revolusi Mental</t>
  </si>
  <si>
    <t>5.5. Program peningkatan pemberantasan penyakit masyarakat (pekat)</t>
  </si>
  <si>
    <t>5.5.1. Penyuluhan pencegahan peredaran/penggunaan minuman keras dan narkoba</t>
  </si>
  <si>
    <t>6.1.Program Pemberdayaan Masyarakat Untuk Menjaga Ketertiban dan Keamananan</t>
  </si>
  <si>
    <t>7.6. Program pembinaan eks penyandang penyakit sosial (eks narapidana, PSK, narkoba dan penyakit sosial lainnya)</t>
  </si>
  <si>
    <t>7.3.1. Pelatihan ketrampilan bagi penyandang masalah kesejahteraan sosial</t>
  </si>
  <si>
    <t>7.3.2. Rakornis kesejahteraan sosial</t>
  </si>
  <si>
    <t>7.4.1. Pelayanan dan perlindungan sosial, hukum bagi korban eksploitasi, perdagangan perempuan dan anak</t>
  </si>
  <si>
    <t>7.4.2. Peningkatan kualitas pelayanan, sarana, dan prasarana rehabilitasi kesejahteraan sosial bagi PMKS</t>
  </si>
  <si>
    <t>7.4.5. Keluarga harapan (PKH)</t>
  </si>
  <si>
    <t>7.6.1. Pemantauan kemajuan perubahan sikap mental eks penyandang penyakit sosial</t>
  </si>
  <si>
    <t>8.1. Program pencegahan dini dan penanggulangan korban bencana alam</t>
  </si>
  <si>
    <t>8.2. Program Rehabilitasi dan Pemulihan Cadangan Sumber Daya Alam</t>
  </si>
  <si>
    <t>8.3. Program perencanaan pembangunan daerah rawan bencana</t>
  </si>
  <si>
    <t>8.1.1. Pemantauan dan penyebarluasan informasi potensi bencana alam</t>
  </si>
  <si>
    <t>8.1.2. Sosialisasi Kebakaran Hutan Dan Lahan</t>
  </si>
  <si>
    <t>8.1.3. Penanganan Mitigasi Bencana</t>
  </si>
  <si>
    <t>8.1.4. Sosialisasi Sekolah Aman Bencana</t>
  </si>
  <si>
    <t>8.1.5. Soialisasi dan Simulasi bencana Alam</t>
  </si>
  <si>
    <t>8.1.6. Pelaksanaan Apel Siaga Bencana dan Simulasi Penangganan</t>
  </si>
  <si>
    <t>8.2.1. Rehabilitasi hutan dan lahan</t>
  </si>
  <si>
    <t>8.3.1. Pendataan Daerah Rawan Bencana</t>
  </si>
  <si>
    <t>8.3.2. Pembangunan Daerah Rawan Bencana</t>
  </si>
  <si>
    <t>9.1. Program keserasian Kebijakan Peningkatan Kualitas Anak dan Perempuan</t>
  </si>
  <si>
    <t>9.10. Program pengembangan pusat pelayanan informasi dan konseling KRR</t>
  </si>
  <si>
    <t>9.11. Program peningkatan penanggulangan narkoba, PMS termasuk HIV/AIDS</t>
  </si>
  <si>
    <t>9.12. Program penyiapan tenaga pedamping kelompok bina keluarga</t>
  </si>
  <si>
    <t>9.1.1. Perumusan kebijakan peningkatan kualitas hidup perempuan di bidang ilmu pengetahuan dan teknologi</t>
  </si>
  <si>
    <t>9.1.2. Perumusan kebijakan peningkatan peran dan posisi perempuan di bidang politik dan jabatan publik</t>
  </si>
  <si>
    <t>9.1.3. Pelaksanaan sosilaisasi yang terkait dengan kesetaraan gender, pemberdayaan perempuan dan perlindungan anak</t>
  </si>
  <si>
    <t xml:space="preserve">9.1.4. Pengembangan Forum Anak Daerah  </t>
  </si>
  <si>
    <t>9.1.5. Penguatan Kelembagaan Forum Anak Daerah</t>
  </si>
  <si>
    <t>9.1.6. Pembinaan usaha kelompok perempuan</t>
  </si>
  <si>
    <t>9.1.7. Sosialisasi, Advokasi dan komunikasi pengembangan Kota Layak anak (KLA)</t>
  </si>
  <si>
    <t>9.3.1. Fasilitasi upaya perlindungan perempuan terhadap tindak kekerasan</t>
  </si>
  <si>
    <t>9.4.1. Kegiatan pembinaan organisasi perempuan</t>
  </si>
  <si>
    <t>9.4.2. Kegiatan penyuluhan bagi ibu rumah tangga dalam membangun keluarga sejahtera</t>
  </si>
  <si>
    <t>9.5.2. Pembinaan Keluarga Berencana</t>
  </si>
  <si>
    <t>9.7.1. Pelayanan konseling KB</t>
  </si>
  <si>
    <t>9.8.1. Fasilitasi pembentukan kelompok masyarakat peduli KB</t>
  </si>
  <si>
    <t>9.9.1. Penyuluhan kesehatan ibu, bayi dan anak melalui kelompok dimasyarakat</t>
  </si>
  <si>
    <t>9.10.1.Fasilitasi forum pelayanan KKR bagi kelompok remaja dan kelompok sebaya diluar sekolah</t>
  </si>
  <si>
    <t>9.11.1. Penyuluhan penanggulangan narkoba dan PMS di sekolah</t>
  </si>
  <si>
    <t>9.12.1.Pelatihan tenaga pedamping kelompok bina keluarga di kecamatan</t>
  </si>
  <si>
    <t>10. DINAS LINGKUNGAN HIDUP DAN PERTANAHAN</t>
  </si>
  <si>
    <t>10.4. Program pengelolaan dan rehabilitasi ekosistem pesisir dan laut</t>
  </si>
  <si>
    <t xml:space="preserve">10.2.1. Penyusunan kebijakan pengendalian pencemaran dan perusakan lingkungan hidup  </t>
  </si>
  <si>
    <t xml:space="preserve">10.4.1. Pengelolaan dan rehabilitasi ekosistem pesisir dan laut  </t>
  </si>
  <si>
    <t>11.1. Program Penataan Administrasi Kependudukan</t>
  </si>
  <si>
    <t>11.1.1. Peningkatan pelayanan publik dalam bidang kependudukan</t>
  </si>
  <si>
    <t>11.1.2. Sosialisasi kebijakan kependudukan</t>
  </si>
  <si>
    <t>12.1.2. Penyelenggaraan Diseminasi Informasi bagi Masyarakat Desa</t>
  </si>
  <si>
    <t>12.1.3. Pelaksanaan Lomba Kampung/Kelurahan</t>
  </si>
  <si>
    <t>12.2. Program pengembangan lembaga ekonomi pedesaan</t>
  </si>
  <si>
    <t>12.2.1. Pelatihan ketrampilan manajemen badan usaha milik desa</t>
  </si>
  <si>
    <t>12.2.2. Monitoring, evaluasi dan pelaporan</t>
  </si>
  <si>
    <t>12.2.3. Pembinaan Kewirausahaan Bagi Masyarakat Kampung</t>
  </si>
  <si>
    <t>12.3. Program peningkatan partisipasi masyarakat dalam membangun desa</t>
  </si>
  <si>
    <t>12.3.1. Pemberian stimulan pembangunan desa</t>
  </si>
  <si>
    <t>12.4. Program peningkatan kapasitas aparatur pemerintah desa</t>
  </si>
  <si>
    <t>12.4.1. Pelatihan aparatur pemerintah desa dalam bidang manajemen pemerintahan desa</t>
  </si>
  <si>
    <t>12.4.2. Monitoring, evaluasi dan pelaporan</t>
  </si>
  <si>
    <t>13.1.1. Pengadaan perlengkapan gedung kantor</t>
  </si>
  <si>
    <t>13.1.2. Rehabilitasi sedang/berat gedung kantor</t>
  </si>
  <si>
    <t xml:space="preserve">13.2.1. Peningkatan Pengelolaan Terminal Angkutan Sungai, danau dan Penyeberangan  </t>
  </si>
  <si>
    <t>13.3. Program pengendalian dan pengamanan lalu lintas</t>
  </si>
  <si>
    <t>13.3.1. Pengadaan rambu-rambu lalu lintas</t>
  </si>
  <si>
    <t>13.3.2. Pengadaan marka jalan</t>
  </si>
  <si>
    <t xml:space="preserve">13.3.3. Pengadaan Pagar Pengaman Jalan  </t>
  </si>
  <si>
    <t>14.1. Program penciptaan iklim usaha Usaha Kecil Menengah yang konduksif</t>
  </si>
  <si>
    <t>14.1.1. Fasilitasi pengembangan Usaha Kecil Menengah</t>
  </si>
  <si>
    <t>14.2. Program Pengembangan Kewirausahaan dan Keunggulan Kompetitif Usaha Kecil Menengah</t>
  </si>
  <si>
    <t>14.2.1. Penyelenggaraan pelatihan kewirausahaan</t>
  </si>
  <si>
    <t>14.2.2. Pelatihan manajemen pengelolaan Koperasi/KUD</t>
  </si>
  <si>
    <t>14.3.1. Pengembangan sarana pemasaran produk Usaha Mikro Kecil Menengah</t>
  </si>
  <si>
    <t>14.3.2. Penyelenggaraan pembinaan industri rumah tanggan, industri kecil dan industri menengah</t>
  </si>
  <si>
    <t>14.3.3. Penyelenggaraan promosi produk Usaha Mikro kecil Menengah</t>
  </si>
  <si>
    <t>14.4.1. Pembinaan, pengawasan, dan perhargaan koperasi berprestasi</t>
  </si>
  <si>
    <t>15.1.1. Pemasyarakatan  minat dan kebiasaan membaca untuk mendorong terwujudnya masyarakat pembelajar</t>
  </si>
  <si>
    <t>15.1.2. Supervisi, pembinaan dan stimulasi pada perpustakaan umum, perpustakaan khusus, perpustakaan sekolah dan perpustakaan masyarakat</t>
  </si>
  <si>
    <t>15.1.3. Penyediaan bantuan pengembangan perpustakaan dan minat baca di daerah</t>
  </si>
  <si>
    <t>15.1.4. Publikasi dan sosialisasi minat dan budaya baca</t>
  </si>
  <si>
    <t>15.1.5. Penyediaan bahan pustaka perpustakaan umum daerah</t>
  </si>
  <si>
    <t>15.1.6. Peningkatan Pelayanan Perpustakaan</t>
  </si>
  <si>
    <t>15.2. Program kemitraan pengembangan wawasan kebangsaan</t>
  </si>
  <si>
    <t>15.2.1. Pentas seni dan budaya, festival, lomba cipta dalam upaya peningkatan wawasan kebangsaan</t>
  </si>
  <si>
    <t>15.3. Program peningkatan kualitas pelayanan informasi</t>
  </si>
  <si>
    <t>15.3.1. Penyediaan sarana layanan informasi arsip</t>
  </si>
  <si>
    <t>16.1. Program pemberdayaan ekonomi masyarakat pesisir</t>
  </si>
  <si>
    <t>16.1.1. Pekan Nasional (PENAS)</t>
  </si>
  <si>
    <t>16.2. Program peningkatan kesadaran dan penegakan hukum dalam pendayagunaan sumberdaya laut</t>
  </si>
  <si>
    <t>16.2.1. Promosi dan Informasi Pendayagunaan Potensi Sumber Daya Laut</t>
  </si>
  <si>
    <t>16.3. Program pengembangan budidaya perikanan</t>
  </si>
  <si>
    <t>16.3.1. Pengembangan bibit ikan unggul</t>
  </si>
  <si>
    <t>16.3.2. Pembinaan dan pengembangan perikanan</t>
  </si>
  <si>
    <t>16.3.3. Identifikasi dan Sosialisasi Program Budidaya Perikanan</t>
  </si>
  <si>
    <t>16.3.4. Sosialisasi dan Pembinaan, Penerbitan TPUPI dan TPKPIH Pembudidayaan Perikanan</t>
  </si>
  <si>
    <t>16.3.5. Pembinaan, pengawasan dan penerbitan surat izin usaha perikanan (SIUP)</t>
  </si>
  <si>
    <t>16.4. Program pengembangan perikanan tangkap</t>
  </si>
  <si>
    <t>16.4.1. Pengembangan lembaga usaha perdagangan perikanan tangkap</t>
  </si>
  <si>
    <t>16.4.1. Pemetaan Daerah Konservasi Ekowisata Pesisir dan Laut</t>
  </si>
  <si>
    <t>16.4.2. Monitoring,Evaluasi dan Pelaporan</t>
  </si>
  <si>
    <t>16.5. Program Optimalisasi pengelolaan dan pemasaran produksi perikanan</t>
  </si>
  <si>
    <t>16.5.1. Pembinaan dan Bimbingan bagi Nelayan Pengolah</t>
  </si>
  <si>
    <t>16.6. Program pengembangan kawasan budidaya laut, air payau dan air tawar</t>
  </si>
  <si>
    <t>16.6.1. Optimalisasi Sarana dan Prasarana Budidaya Perikanan Laut, Payau dan Air Tawar</t>
  </si>
  <si>
    <t>17.1.1. Fasilitasi partisipasi masyarakat dalam pengelolaan kekayaan budaya</t>
  </si>
  <si>
    <t>17.1.2. Penyusunan kebijakan pengelolaan kekayaan budaya lokal daerah</t>
  </si>
  <si>
    <t>17.2.1. Pengembangan kesenian dan kebudayaan daerah</t>
  </si>
  <si>
    <t>17.2.2. Fasilitasi penyelenggaraan festival budaya daerah</t>
  </si>
  <si>
    <t>17.2.3. Peningkatan Perlindungan dan Pemanfaatan Kekayaan Intelektual</t>
  </si>
  <si>
    <t>17.3. Program pengembangan Kemitraan</t>
  </si>
  <si>
    <t>17.3.1. Peningkatan Peran Serta Masyarakat Dalam Pengembangan Ekonomi Kreatif</t>
  </si>
  <si>
    <t>18.1.1. Pelatihan petani dan pelaku agribisnis</t>
  </si>
  <si>
    <t>18.1.2. Penyuluhan dan pendampingan petani dan pelaku agribisnis</t>
  </si>
  <si>
    <t>18.1.3. Peningkatan kemampuan lembaga petani</t>
  </si>
  <si>
    <t>18.1.4. Pelatihan Pengolahan dan Promosi Hasil Produksi Pertanian</t>
  </si>
  <si>
    <t>18.2. Program Peningkatan Ketahan Pangan (pertanian/perkebunan)</t>
  </si>
  <si>
    <t>18.2.1. Pemanfaatan pekarangan untuk pengembangan pangan</t>
  </si>
  <si>
    <t>18.2.2. Pemantauan dan analisis akses pangan masyarakat</t>
  </si>
  <si>
    <t>18.2.3. Pengembangan desa mandiri pangan</t>
  </si>
  <si>
    <t>18.2.4. Pengembangan diversifikasi tanaman</t>
  </si>
  <si>
    <t>18.2.5. Peningkatan mutu dan keamanan pangan</t>
  </si>
  <si>
    <t>18.2.6. Penyuluhan sumber pangan alternatif</t>
  </si>
  <si>
    <t>18.2.7. Pengembangan Distrik Agro</t>
  </si>
  <si>
    <t>18.2.8. Pengembangan Pertanian di Lahan Kering</t>
  </si>
  <si>
    <t>18.2.9. Pengembangan Tanaman Pangan Lokal</t>
  </si>
  <si>
    <t>18.2.10.Intensifikasi Tanaman Hortikultura</t>
  </si>
  <si>
    <t>18.3. Program peningkatan penerapan teknologi pertanian/perkebunan</t>
  </si>
  <si>
    <t>18.3.2. Pelatihan dan bimbingan pengoperasian teknologi pertanian/perkebunan tepat guna</t>
  </si>
  <si>
    <t>18.4. Program pemberdayaan penyuluh pertanian/perkebunan lapangan</t>
  </si>
  <si>
    <t>18.4.1. Penyuluhan dan pendampingan bagi pertanian/perkebunan</t>
  </si>
  <si>
    <t>18.5. Program pencegahan dan penanggulangan penyakit ternak</t>
  </si>
  <si>
    <t>18.5.1. Pemeliharaan kesehatan dan pencegahan penyakit menular ternak</t>
  </si>
  <si>
    <t>18.6. Program peningkatan produksi hasil peternakan</t>
  </si>
  <si>
    <t>18.6.1. Pembibitan dan perawatan ternak</t>
  </si>
  <si>
    <t>18.6.2. Pengembangan agribisnis peternakan</t>
  </si>
  <si>
    <t>19.1.1. Penyuluhan dan pendampingan petani dan pelaku agribisnis</t>
  </si>
  <si>
    <t>19.2.1. Penanganan pasca panen dan pengolahan hasil pertanian</t>
  </si>
  <si>
    <t>19.2.2. Pengembangan perbenihan/perbibitan</t>
  </si>
  <si>
    <t>19.3. Program peningkatan pemasaran hasil produksi pertanian/perkebunan</t>
  </si>
  <si>
    <t>19.3.1. Promosi atas hasil produksi pertanian/perkebunan unggulan daerah</t>
  </si>
  <si>
    <t>19.4. Program peningkatan produksi pertanian/perkebunan</t>
  </si>
  <si>
    <t>19.4.1. Pengendalian Hama dan Penyakit Tanaman Perkebunan</t>
  </si>
  <si>
    <t>19.4.2. Pemeliharaan Tanaman Pertanian dan Perkebunan (PSDH)</t>
  </si>
  <si>
    <t xml:space="preserve">19.4.3. Peningkatan usaha ekstensifikasi, rehabilitasi, intensifikasi dan diversifikasi komoditi perkebunan  </t>
  </si>
  <si>
    <t>20.1. Program peningkatan efisiensi perdagangan dalam negeri</t>
  </si>
  <si>
    <t>20.1.1. Pengembangan pasar dan distribusi barang/produk</t>
  </si>
  <si>
    <t>20.2. Program peningkatan kapasitas iptek sistem produksi</t>
  </si>
  <si>
    <t>20.2.1. Pengembangan kapasitas pranata pengukuran, standarisasi, pengujian dan kualitas</t>
  </si>
  <si>
    <t>20.3. Program pengembangan industri kecil dan menengah</t>
  </si>
  <si>
    <t>20.3.1. Fasilitasi bagi industri kecil dan menengah terhadap pemanfaatan sumber daya</t>
  </si>
  <si>
    <t>20.3.2. Fasilitasi kerjasama kemitraan industri mikro, kecil dan menengah dengan swasta</t>
  </si>
  <si>
    <t>20.4. Program peningkatan kemampuan teknologi industri</t>
  </si>
  <si>
    <t>20.4.1. Pembinaan kemampuan teknologi industri</t>
  </si>
  <si>
    <t>21.2.1. Sosialisasi berbagai peraturan pelaksanaan tentang ketenagakerjaan</t>
  </si>
  <si>
    <t>21.3. Program pengembangan wilayah transmigrasi</t>
  </si>
  <si>
    <t>21.3.1. Penguatan SDM pemerintah daerah dan masyarakat transmigrasi di kawasan transmigrasi di perbatasan</t>
  </si>
  <si>
    <t>21.4. Program Transmigrasi lokal</t>
  </si>
  <si>
    <t>21.4.1. Pelatihan transmigrasi lokal</t>
  </si>
  <si>
    <t>21. DINAS TRANSMIGRASI  DAN  TENAGA  KERJA</t>
  </si>
  <si>
    <t>22.1. Program pengembangan wawasan kebangsaan</t>
  </si>
  <si>
    <t>22.1.1. Peningkatan kesadaran masyarakat akan nilai-nilai luhur budaya bangsa</t>
  </si>
  <si>
    <t>23. DISTRIK TELUK PATIPI</t>
  </si>
  <si>
    <t>23.1. Program Penataan Administrasi Kependudukan</t>
  </si>
  <si>
    <t>24. DISTRIK ARGUNI</t>
  </si>
  <si>
    <t>25. DISTRIK BOMBERAY</t>
  </si>
  <si>
    <t>25.1.Program Peningkatan Keberdayaan Masyarakat Perdesaan</t>
  </si>
  <si>
    <t xml:space="preserve">26. DISTRIK FAKFAK </t>
  </si>
  <si>
    <t>26.1. Program Peningkatan Keberdayaan Masyarakat Perdesaan</t>
  </si>
  <si>
    <t>26.1. Penyelenggaraan Diseminasi Informasi bagi Masyarakat Desa</t>
  </si>
  <si>
    <t>27. DISTRIK FAKFAK BARAT</t>
  </si>
  <si>
    <t>27.1. Program peningkatan partisipasi masyarakat dalam membangun desa</t>
  </si>
  <si>
    <t>27.1.1. Monitoring, evaluasi dan pelaporan</t>
  </si>
  <si>
    <t>28. DISTRIK FAKFAK TIMUR</t>
  </si>
  <si>
    <t>29. DISTRIK  FAKFAK TIMUR TENGAH</t>
  </si>
  <si>
    <t>29.1. Program peningkatan partisipasi masyarakat dalam membangun desa</t>
  </si>
  <si>
    <t>29.1.1. Monitoring, evaluasi dan pelaporan</t>
  </si>
  <si>
    <t>30. DISTRIK FURWAGI</t>
  </si>
  <si>
    <t>32. DISTRIK KRAMAMONGGA</t>
  </si>
  <si>
    <t>31.1. Program peningkatan partisipasi masyarakat dalam membangun desa</t>
  </si>
  <si>
    <t>32.1. Program peningkatan partisipasi masyarakat dalam membangun desa</t>
  </si>
  <si>
    <t>33. DISTRIK PARIWARI</t>
  </si>
  <si>
    <t>34. DISTRIK TOMAGE</t>
  </si>
  <si>
    <t>35. DISTRIK WARTUTIN</t>
  </si>
  <si>
    <t>22. DISTRIK KAYAUNI</t>
  </si>
  <si>
    <t>36. DISTRIK FAKFAK TENGAH</t>
  </si>
  <si>
    <t>37. DISTRIK MBAHAMDANDARA</t>
  </si>
  <si>
    <t>38. INSPEKTORAT</t>
  </si>
  <si>
    <t>39. BADAN PERENCANAAN PEMBANGUNAN, PENELITIAN DAN PENGEMBANGAN DAERAH</t>
  </si>
  <si>
    <t>40. BPPKAD ( PPKD )</t>
  </si>
  <si>
    <t>40.1. BELANJA HIBAH</t>
  </si>
  <si>
    <t>40.1.1. Belanja Hibah Kepada Badan/Lembaga/organisasi (OTSUS)</t>
  </si>
  <si>
    <t>40.1.1.3. Hibah Kepada BPJS Kesehatan</t>
  </si>
  <si>
    <t>40.1.2. Belanja Hibah Kepada Badan/ Lembaga/ Keagamaan(OTSUS)</t>
  </si>
  <si>
    <t>40.1.2.1. Belanja Hibah Pendidikan</t>
  </si>
  <si>
    <t>40.2. BELANJA BANTUAN SOSIAL</t>
  </si>
  <si>
    <t>40.2.1. Belanja bantuan Sosial Kepada Anggota Masyarakat</t>
  </si>
  <si>
    <t>40.2.1.1. Belanja Bantuan Sosial Belum direncanakan</t>
  </si>
  <si>
    <t>40.2.2. Belanja bantuan Sosial Kepada Anggota Masyarakat (Otsus)</t>
  </si>
  <si>
    <t>40.2.2.1. Belanja Bantuan Sosial kepada anggota masyarakat</t>
  </si>
  <si>
    <t>40.2.3. Belanja bantuan Sosial Kepada Organisasi  kemasyarakatan (Otsus)</t>
  </si>
  <si>
    <t>40.2.3.1. Belanja Bantuan Sosial kepada Organisasi kemasyarakatan</t>
  </si>
  <si>
    <t>40.2.4. Belanja Bantuan Pendidikan Kepada Anggota Masyarakat</t>
  </si>
  <si>
    <t>40.2.4.1. Bantuan Pendidikan</t>
  </si>
  <si>
    <t>39.1. Program pengembangan data/informasi</t>
  </si>
  <si>
    <t>39.1.1. Kajian pengembangan teknologi tepat guna</t>
  </si>
  <si>
    <t>39.2. Program perencanaan pembangunan daerah</t>
  </si>
  <si>
    <t xml:space="preserve">39.2.1. Monitoring, Evaluasi dan Pelaporan  </t>
  </si>
  <si>
    <t>39.2.2. Pameran OTSUS</t>
  </si>
  <si>
    <t>38.1. Program peningkatan sistem pengawasan internal dan pengendalian pelaksanaan kebijakan KDH</t>
  </si>
  <si>
    <t>38.1.1. Pengendalian manajemen pelaksanaan kebijakan KDH</t>
  </si>
  <si>
    <t>37.1. Program Pentanaan Daerah Otonomi Baru</t>
  </si>
  <si>
    <t>37.1.1. Monitoring evaluasi dan pelaporan</t>
  </si>
  <si>
    <t>36.1. Program Pengelolaan Kekayaan Budaya</t>
  </si>
  <si>
    <t>36.1.1. Fasilitasi partisipasi masyarakat dalam pengelolaan kekayaan budaya</t>
  </si>
  <si>
    <t>35.1. Program peningkatan partisipasi masyarakat dalam membangun desa</t>
  </si>
  <si>
    <t>35.1.1. Pelaksanaan musyawarah pembangunan desa</t>
  </si>
  <si>
    <t>35.1.2. Monitoring, evaluasi dan pelaporan</t>
  </si>
  <si>
    <t>34.1.1. Pelaksanaan Lomba Kampung/Kelurahan</t>
  </si>
  <si>
    <t>34.2. Program peningkatan partisipasi masyarakat dalam membangun desa</t>
  </si>
  <si>
    <t>34.2.1. Pelaksanaan musyawarah pembangunan desa</t>
  </si>
  <si>
    <t>28.1.1. Monitoring, Evaluasi dan Pelaporan</t>
  </si>
  <si>
    <t>40. BPPKAD (PPKD)</t>
  </si>
  <si>
    <t>40.1.2. BELANJA HIBAH</t>
  </si>
  <si>
    <t>Pagu Otsus 2019</t>
  </si>
  <si>
    <t>kenaikan/penurunan</t>
  </si>
  <si>
    <t>I. KABUPATEN MANOKWARI</t>
  </si>
  <si>
    <t>II. KOTA SORONG</t>
  </si>
  <si>
    <t>III. KABUPATEN TELUK BINTUNI</t>
  </si>
  <si>
    <t>IV. KABUPATEN FAKFAK</t>
  </si>
  <si>
    <t>V. KABUPATEN RAJA AMPAT</t>
  </si>
  <si>
    <t xml:space="preserve">VI. KABUPATEN KAIMANA </t>
  </si>
  <si>
    <t>VIII. KABUPATEN PEGUNUNGAN ARFAK</t>
  </si>
  <si>
    <t>IX. KABUPATEN SORONG SELATAN</t>
  </si>
  <si>
    <t>XI.  KABUPATEN TELUK WONDAMA</t>
  </si>
  <si>
    <t>XII. KABUPATEN TAMBRAUW</t>
  </si>
  <si>
    <t>XIII. KABUPATEN MANOKWARI SELATAN</t>
  </si>
  <si>
    <t>II.  KOTA SORONG</t>
  </si>
  <si>
    <t>VI. KABUPATEN KAIMANA</t>
  </si>
  <si>
    <t>IX.  KABUPATEN SORONG SELATAN</t>
  </si>
  <si>
    <t>pagu 2020 APBD kab/kota</t>
  </si>
  <si>
    <t xml:space="preserve">1.1.2. Monitoring dan Pendataan serta Evaluasi Hasil Kegiatan Fisik dan Non Fisik  </t>
  </si>
  <si>
    <t xml:space="preserve">1.1.3. Perbaikan Speed Boat </t>
  </si>
  <si>
    <t xml:space="preserve">1.1.4. Pengadaan Motor Tempel  </t>
  </si>
  <si>
    <t xml:space="preserve">1.1.5. Penysunan RKA  </t>
  </si>
  <si>
    <t xml:space="preserve">1.2.1. Pembangunan Lanjutan Gedung SMP YPK Ebenhaizer  </t>
  </si>
  <si>
    <t xml:space="preserve">1.2.2. Rehab Ruang Kepala Sekolah, Guru, TU dan Ruang Pertemuan SMP 12 Warsambin  </t>
  </si>
  <si>
    <t xml:space="preserve">1.2.3. Pembangunan Lanjutan Laboratorium IPA SMP Negeri 11 Raja Ampat  </t>
  </si>
  <si>
    <t xml:space="preserve">1.2.4. Pembangunan Lanjutan Laboratorium Komputer SMP Negeri 21 Raja Ampat  </t>
  </si>
  <si>
    <t xml:space="preserve">1.2.6. Pengadaan Meubelair SD Advent Sawandarek  </t>
  </si>
  <si>
    <t xml:space="preserve">1.2.5. Pengadaan Meubelair SD Negeri Go  </t>
  </si>
  <si>
    <t xml:space="preserve">1.2.7. Pengadaan Meubelair SD Inpres 6 Waifoi  </t>
  </si>
  <si>
    <t xml:space="preserve">1.2.8. Pengadaan Meubelair SD Inpres Saleo </t>
  </si>
  <si>
    <t xml:space="preserve">1.2.9. Pengadaan Meubelair SD YPK Imanuel Manyaifun </t>
  </si>
  <si>
    <t xml:space="preserve">1.2.10.Pengadaan Meubelair SD YPK Lahairoi Yensawai  </t>
  </si>
  <si>
    <t xml:space="preserve">1.2.11.Pengadaan Meubelair SD YPK Elim Mnier  </t>
  </si>
  <si>
    <t xml:space="preserve">1.2.12.Pengadaan Meubelair SD Negeri 15 Fafanlap  </t>
  </si>
  <si>
    <t xml:space="preserve">1.2.13.Pengadaan Meubelair SD Inpres 19 Kapatlap </t>
  </si>
  <si>
    <t xml:space="preserve">1.2.14.Pengadaan Meubelair SD Negeri 25 Moko  </t>
  </si>
  <si>
    <t xml:space="preserve">1.2.15.Pengadaan Meubelair SD YPK Tabemakel Yenbekwan  </t>
  </si>
  <si>
    <t xml:space="preserve">1.2.16.Pengadaan Meubelair SD YPK Evata Wejim  </t>
  </si>
  <si>
    <t xml:space="preserve">1.2.17.Pengadaan Meubelair SD Negeri 22 Pulau Tikus  </t>
  </si>
  <si>
    <t xml:space="preserve">1.2.18.Pengadaan Meubelair SD Negeri 18 Gamta  </t>
  </si>
  <si>
    <t xml:space="preserve">1.2.19.Pengadaan Meubelair SD Aisyah 01 Raja Ampat  </t>
  </si>
  <si>
    <t xml:space="preserve">1.2.20.Pembangunan 1 Ruang / 2 Pintu Toilet (Jamban) SD Negeri 4 Friwen beserta Sumur  </t>
  </si>
  <si>
    <t xml:space="preserve">1.2.21.Pembangunan 1 Ruang / 2 Pintu Toilet (Jamban) SD Negeri 16 Kalobo beserta Sumur  </t>
  </si>
  <si>
    <t xml:space="preserve">1.2.22.Pembangunan 1 Ruang / 2 Pintu Toilet (Jamban) SD Negeri 44 Waiman beserta Sumur  </t>
  </si>
  <si>
    <t xml:space="preserve">1.2.23.Pembangunan 1 Ruang / 2 Pintu Toilet (Jamban) SD Inpres 20 Yenanas beserta Sumur  </t>
  </si>
  <si>
    <t xml:space="preserve">1.2.24.Pembangunan 1 Unit Rumah Dinas Kepala Sekolah SD Negeri 3 Kabui beserta Meubelair  </t>
  </si>
  <si>
    <t xml:space="preserve">1.2.25.Pembangunan 1 Kopel Rumah Dinas Guru SD YPK Getsemani Warwanai beserta Meubelair  </t>
  </si>
  <si>
    <t xml:space="preserve">1.2.26.Rehabilitasi Gedung SD dan SMP Distrik Warsambin  </t>
  </si>
  <si>
    <t xml:space="preserve">1.2.27.Rehabilitasi Gedung Kantor PSW YPK di Waisai  </t>
  </si>
  <si>
    <t xml:space="preserve">1.2.28.Pembangunan Gedung PAUD Dibalal </t>
  </si>
  <si>
    <t xml:space="preserve">1.2.29.Pembangunan Lanjutan 2 Ruang Kelas Baru SD YPK Lahairoi Biga Beserta Meubelair  </t>
  </si>
  <si>
    <t>1.3. Program Pendidikan Usia Dini dan DIKMAS</t>
  </si>
  <si>
    <t xml:space="preserve">1.3.1. Penyelenggaraan Ujian Paket A dan B  </t>
  </si>
  <si>
    <t xml:space="preserve">1.3.2. Penyelenggaraan Ujian Paket C  </t>
  </si>
  <si>
    <t>1.4. Program wajib belajar pendidikan 9 tahun</t>
  </si>
  <si>
    <t xml:space="preserve">1.4.1. Ujian Nasional Tingkat SD  </t>
  </si>
  <si>
    <t xml:space="preserve">1.4.2. Ujian Nasional Berbasis Komputer (UNBK Online) di SMPN 14, SMPN 21, MTs LIM Waisai, SMP YPK Alfa Omega, Kalobo, SMPN 1, SMPN 12 dan SMPN 20  </t>
  </si>
  <si>
    <t xml:space="preserve">1.4.3. Olimpiade Sains Nasional (OSN) Tingkat SD/MI  </t>
  </si>
  <si>
    <t xml:space="preserve">1.4.4. Festival dan Lomba Literasi Nasional  Tingkat SD/MI  </t>
  </si>
  <si>
    <t xml:space="preserve">1.4.5. Penyelenggaraan UNKP SMP/MTs  </t>
  </si>
  <si>
    <t xml:space="preserve">1.4.6. Penyusunan, Penggandaan dan Pelaksanaan USBN/UAS SMP MTs  </t>
  </si>
  <si>
    <t xml:space="preserve">1.4.7. Pengadaan Rapor K13 SD dan SMP </t>
  </si>
  <si>
    <t xml:space="preserve">1.4.8. Kegiatan Gala Siswa  </t>
  </si>
  <si>
    <t xml:space="preserve">1.4.9. Kegiatan Olimpiade Sains SMP </t>
  </si>
  <si>
    <t xml:space="preserve">1.4.10. Kegiatan K13 SMP  </t>
  </si>
  <si>
    <t xml:space="preserve">1.5.1. Pembangunan UGB PAUD Elim Sawinggrai Distrik Waigeo Selatan  </t>
  </si>
  <si>
    <t xml:space="preserve">1.5.2. Pembangunan 1 Buah MCK PAUD Marten Luther Yenbeser </t>
  </si>
  <si>
    <t xml:space="preserve">1.5.3. Pembangunan 1 Unit Gedung Serba Guna TK Negeri 2 Yefman  </t>
  </si>
  <si>
    <t xml:space="preserve">1.5.4. Pembangunan Revitalisasi PAUD Percontohan Senja Pelangi Misool Timur  </t>
  </si>
  <si>
    <t xml:space="preserve">1.6.1. Pelatihan Operator BOS Online  </t>
  </si>
  <si>
    <t xml:space="preserve">1.6.2. Penyelenggaraan Affirmasi </t>
  </si>
  <si>
    <t xml:space="preserve">1.6.3. Operasional Perkuliahan Mahasiswa Perikanan, Kelautan dan Parawisata UNIPA Raja Ampat  (ASMARA)  </t>
  </si>
  <si>
    <t xml:space="preserve">1.6.4. Sosialisasi dan Pelatihan Standar Pengelolaan Pendidikan Dasar  </t>
  </si>
  <si>
    <t xml:space="preserve">1.6.5. Pembayaran Kontrak Asrama Mahasiswa Raja Ampat  </t>
  </si>
  <si>
    <t xml:space="preserve">1.6.6. Pembangunan Lanjutan Kampus UNIPA </t>
  </si>
  <si>
    <t xml:space="preserve">1.6.7. Pengadaan Komputer dan buku Bacaan SD dan SMP Waigeo  </t>
  </si>
  <si>
    <t xml:space="preserve">1.6.8. Pelatihan Pengembangan Website </t>
  </si>
  <si>
    <t xml:space="preserve">1.7.1. Kegiatan Monitoring Warisan Budaya Benda dan nilai-nilai Budaya Raja Ampat </t>
  </si>
  <si>
    <t xml:space="preserve">1.7.2. Kegiatan Pembinaan Kreasi Seni Tradisional Raja Ampat  </t>
  </si>
  <si>
    <t xml:space="preserve">1.7.3. Lomba Seni Tari </t>
  </si>
  <si>
    <t xml:space="preserve">1.7.4. Kegiatan Pengembangan, Pembinaan Budaya Kerajinan Tangan Masyarakat Lokal  </t>
  </si>
  <si>
    <t xml:space="preserve">1.7.5. Pembayaran Insentif Penjaga-penjaga Situs di Kabupaten Raja Ampat  </t>
  </si>
  <si>
    <t xml:space="preserve">1.8.1. Pengembangan Minat dan Bakat Seni  </t>
  </si>
  <si>
    <t>1.9. Program Pengelolaan Keragaman Budaya</t>
  </si>
  <si>
    <t xml:space="preserve">1.9.1. Festival Suling Tambur </t>
  </si>
  <si>
    <t xml:space="preserve">1.9.2. Kegiatan Pembinaan Kreasi Seni Tradisional Raja Ampat  </t>
  </si>
  <si>
    <t xml:space="preserve">1.9.3. Festival Budaya Papua VII di Provinsi Papua Barat  </t>
  </si>
  <si>
    <t xml:space="preserve">1.9.4. Kegiatan Gita Bahana di Manokwari </t>
  </si>
  <si>
    <t xml:space="preserve">1.9.5. Operasional Sanggar dan Seni Budaya  </t>
  </si>
  <si>
    <t>1.10. Program Peningkatan Disiplin Aparatur</t>
  </si>
  <si>
    <t xml:space="preserve">1.10.1.Pengadaan Pakaian Batik dan Celana SD dan SMP  </t>
  </si>
  <si>
    <t xml:space="preserve">1.10.2.Pengadaan Baju Seragam PGRI  </t>
  </si>
  <si>
    <t xml:space="preserve">1.11.1.Pelatihan Penyusunan SKP dan Perhitungan Angka Kredit </t>
  </si>
  <si>
    <t>1.11. Program Peningkatan Kapasitas Sumber Daya Aparatur</t>
  </si>
  <si>
    <t xml:space="preserve">1.11.2.Pengoptimalisasian Pendataan Aset  </t>
  </si>
  <si>
    <t xml:space="preserve">1.11.3.Operasional Para Pengawas  </t>
  </si>
  <si>
    <t xml:space="preserve">2.1.1. Penyediaan Jasa Tenaga Kesehatan Non PNS </t>
  </si>
  <si>
    <t xml:space="preserve">2.1.2. Optimalisasi Pelayanan Kader Posyandu dan Kader Bersalin  </t>
  </si>
  <si>
    <t xml:space="preserve">2.3.1. Screening HIV dengan Pendekatan Sindrom  </t>
  </si>
  <si>
    <t>2.3. Program Pencegahan dan Penanggulangan Penyakit</t>
  </si>
  <si>
    <t xml:space="preserve">2.4.1. Rehab Rumah Paramedis  </t>
  </si>
  <si>
    <t>3.1. Program Pelayanan Administrasi Perkantoran</t>
  </si>
  <si>
    <t>3.1.1. Honorarium Pegawai Honorer (OTSUS) RSUD</t>
  </si>
  <si>
    <t>3.1.2. Penanganan Pasien Emergency (OTSUS) RSUD</t>
  </si>
  <si>
    <t>3.2. Program Pengadaan, Peningkatan Sarana dan Prasarana Penunjang Pelayanan (RSUD)</t>
  </si>
  <si>
    <t>3.2.1. Penyediaan Jasa Kebersihan  RSUD</t>
  </si>
  <si>
    <t>3.2.2. Pengadaan Obat-obatan RS   RSUD</t>
  </si>
  <si>
    <t>3.2.3. Pengadaan Bahan Medis Habis Pakai  RSUD</t>
  </si>
  <si>
    <t>3.2.4. Pengadaan Sarana Penunjang Farmasi  RSUD</t>
  </si>
  <si>
    <t>3.2.5. Operasional Pemeliharaan Inscenerator dan Mesin IPAL RSUD</t>
  </si>
  <si>
    <t xml:space="preserve">3.2.6. Operasioanal Pemeliharaan Mesin Gas Medic  </t>
  </si>
  <si>
    <t>3.2.7. Pengadaan Reangen dan BHP Laboratorium  RSUD</t>
  </si>
  <si>
    <t>3.2.8. Pengadaan Reangen dan BHP UTD  RSUD</t>
  </si>
  <si>
    <t>3.2.9. Kalibrasi Alat Kesehatan RSUD</t>
  </si>
  <si>
    <t>3.2.10.Pelayanan Pemberian Makan Minum Pasien RI  RSUD</t>
  </si>
  <si>
    <t>3.2.11.Pengadaan AC dan Kipas Angin Rumah Sakit   RSUD</t>
  </si>
  <si>
    <t>3.3.1. Kerjasama Penugasan Dokter Spesialis Tetap RSUD</t>
  </si>
  <si>
    <t>3.3.3. Peningkatan Pelayanan Dokter Jaga UGD  RSUD</t>
  </si>
  <si>
    <t>3.3.2. Peningkatan Pelayanan Tenaga Ahli Mitra Dokter Spesialis (Penata Anastesi)  RSUD</t>
  </si>
  <si>
    <t>3.3.4. Kerjasama Penugasan Dokter Gigi RS   RSUD</t>
  </si>
  <si>
    <t>3.3.5. Peningkatan Pelayanan Tenaga Dokter Umum/ Insentif  RSUD</t>
  </si>
  <si>
    <t>3.3.6. Pelatihan Keperawatan RS  RSUD</t>
  </si>
  <si>
    <t>3.3.7. Pelatihan Tenaga Kesehatan Penunjang RS  RSUD</t>
  </si>
  <si>
    <t>3.3.8. Pelatihan Tenaga Administrasi   RSUD</t>
  </si>
  <si>
    <t>4.1. Program Pelayanan Administrasi Perkantoran</t>
  </si>
  <si>
    <t xml:space="preserve">4.1.1. Monitoring dan Evaluasi Kegiatan PU  </t>
  </si>
  <si>
    <t>4.2. Program Peningkatan Sarana dan Prasarana Aparatur</t>
  </si>
  <si>
    <t xml:space="preserve">4.2.1. Pemeliharaan Alat Berat  </t>
  </si>
  <si>
    <t>4.3. Program Peningkatan Jalan dan Jembatan</t>
  </si>
  <si>
    <t xml:space="preserve">4.3.1. Pemeliharaan Jalan di Waisai  </t>
  </si>
  <si>
    <t xml:space="preserve">4.3.2. Peningkatan Jalan 30  </t>
  </si>
  <si>
    <t xml:space="preserve">4.3.3. Peningkatan Jalan Lingkungan Dalam Perumahan 100  </t>
  </si>
  <si>
    <t>4.4. Program Pembangunan Sarana dan Prasarana Pemerintahan</t>
  </si>
  <si>
    <t xml:space="preserve">4.4.1. Pembangunan Masjid Kampung Beo (Lanjutan) </t>
  </si>
  <si>
    <t xml:space="preserve">4.4.2. Pembangunan Gereja Sawingrai (Lanjutan) </t>
  </si>
  <si>
    <t xml:space="preserve">4.4.3. Pembangunan Gereja Kampung Audam (Lanjutan)  </t>
  </si>
  <si>
    <t xml:space="preserve">4.4.4. Pembangunan Gedung Gereja Saporkren (Lanjutan)  </t>
  </si>
  <si>
    <t xml:space="preserve">4.4.5. Pembangunan Masjid Al-Mujib Kelurahan sapordanco (Lanjutan)  </t>
  </si>
  <si>
    <t xml:space="preserve">4.4.6. Pembangunan Mesjid di perumahan 100 (Lanjutan) </t>
  </si>
  <si>
    <t xml:space="preserve">4.4.7. Pembangunan Gedung Gereja EDEN Friwen (Lanjutan)  </t>
  </si>
  <si>
    <t xml:space="preserve">4.4.8. Pembangunan Masjid Warbarian (Lanjutan)  </t>
  </si>
  <si>
    <t xml:space="preserve">4.4.9. Pembangunan Masjid di Sakabu Distrik Salawati Tengah (Lanjutan)  </t>
  </si>
  <si>
    <t xml:space="preserve">4.4.10.Pembangunan Gedung Gereja "Kerasulan Baru" </t>
  </si>
  <si>
    <t xml:space="preserve">4.4.11.Pembangunan Gedung Gereja di Yenbeser (Lanjutan)  </t>
  </si>
  <si>
    <t>4.4.12.Pembangunan Gedung Gereja HKBP Waisai (lanjutan)</t>
  </si>
  <si>
    <t xml:space="preserve">4.4.13.Pembangunan Gereja Tiberias Kimindores (Lanjutan)  </t>
  </si>
  <si>
    <t xml:space="preserve">4.4.14.Pembangunan Gereja di Kampung  Deer (Lanjutan)  </t>
  </si>
  <si>
    <t xml:space="preserve">4.4.15.Pembangunan gereja Otto &amp; Geslleer Wawiayai (Lanjutan)  </t>
  </si>
  <si>
    <t xml:space="preserve">4.4.16.Pembangunan Masjid Nur Iman Waigama (Lanjutan)  </t>
  </si>
  <si>
    <t xml:space="preserve">4.4.17.Pembangunan Gedung Gereja di Kampung Solol (Lanjutan)  </t>
  </si>
  <si>
    <t xml:space="preserve">4.4.18.Pembangunan Gereja GKI Sion Kapadiri (Lanjutan)  </t>
  </si>
  <si>
    <t xml:space="preserve">4.4.19.Pembangunan Gereja Sion Kampung Andei (Lanjutan)  </t>
  </si>
  <si>
    <t xml:space="preserve">4.4.20.Pembangunan Gedung PHBI dan MUI (Lanjutan)  </t>
  </si>
  <si>
    <t xml:space="preserve">4.4.21.Pembangunan Gereja Maranatha Salio (Lanjutan)  </t>
  </si>
  <si>
    <t xml:space="preserve">4.4.22.Pembangunan Gereja di Dorekhar (Lanjutan)  </t>
  </si>
  <si>
    <t xml:space="preserve">4.4.23.Pembangunan Gedung Gereja di Salafen  </t>
  </si>
  <si>
    <t xml:space="preserve">4.4.24.Pembangunan Masjid di Bianci (Lanjutan) </t>
  </si>
  <si>
    <t xml:space="preserve">4.4.25.Pembangunan Masjid Harapan Jaya (Lanjutan) </t>
  </si>
  <si>
    <t xml:space="preserve">4.4.26.Pematangan Halaman Masjid di Perumahan 300  </t>
  </si>
  <si>
    <t xml:space="preserve">4.4.27.Pembangunan Mushola SD Aisyah </t>
  </si>
  <si>
    <t xml:space="preserve">4.4.28.Pembangunan Gedung Gereja di Kampung Waisilip </t>
  </si>
  <si>
    <t xml:space="preserve">4.4.29.Pembangunan Gedung Gereja Emaus Saupapir </t>
  </si>
  <si>
    <t xml:space="preserve">4.4.30.Pembangunan Pastori Gereja GPDI Shekinah Waisai </t>
  </si>
  <si>
    <t xml:space="preserve">4.4.31.Pembangunan Masjid Nurul Iman di Kampung Dabatan  </t>
  </si>
  <si>
    <t xml:space="preserve">4.4.32.Pembangunan Gedung Gereja di Kampung Awat </t>
  </si>
  <si>
    <t>4.5. Program Pemeliharaan dan Pengadaan Sarana dan Prasarana Umum</t>
  </si>
  <si>
    <t xml:space="preserve">5.1.1. Jasa Penanganan Kebersihan Kota (Pasukan Orange)  </t>
  </si>
  <si>
    <t xml:space="preserve">5.1.2. Pengadaan Lampu Media Jalan </t>
  </si>
  <si>
    <t xml:space="preserve">5.1.3. Operasional Angkutan Sampah dari Rumah ke Rumah TPA dan TPS  </t>
  </si>
  <si>
    <t xml:space="preserve">5.2.1. Pembangunan Taman Pintar Kofarkor (Lanjutan)  </t>
  </si>
  <si>
    <t xml:space="preserve">5.2.2. Pengadaan Lampu Hias Jembatan Kembar  </t>
  </si>
  <si>
    <t xml:space="preserve">5.2.3. Koordinasi Tekhnis Pembentukan Lembaga Konservasi  </t>
  </si>
  <si>
    <t xml:space="preserve">5.3.1. Pengadaan TPS Countainer  </t>
  </si>
  <si>
    <t>5.4. Program Peningkatan Kualitas, Kuantitas dan Ketersediaan Sarana Prasarana TPU</t>
  </si>
  <si>
    <t xml:space="preserve">5.4.1. Pembangunan Taman Pemakaman Umum Waisai  </t>
  </si>
  <si>
    <t>5.5. Program Peningkatan Pengembangan Sistem Pendukung Pertamanan dan Kebersihan</t>
  </si>
  <si>
    <t xml:space="preserve">5.5.1. Pemeliharaan / Operasional Dekorasi Kota </t>
  </si>
  <si>
    <t>6.1.Program Pengembangan dan Pembangunan Perumahan</t>
  </si>
  <si>
    <t xml:space="preserve">6.1.1. Dana Pendampingan Program BSPS </t>
  </si>
  <si>
    <t>6.2.1. Pembangunan Masjid Raya Waisai (Lanjutan)</t>
  </si>
  <si>
    <t>6.3. Program Pengadaan Tanah dan Pengendalian Sengketa Tanah Perumahan dan Kawasan Permukiman</t>
  </si>
  <si>
    <t xml:space="preserve">6.3.1. Penyiapan Lahan Pembangunan Perumahan di Kampung Waigama </t>
  </si>
  <si>
    <t>7. DINAS KESATUAN BANGSA DAN POLITIK</t>
  </si>
  <si>
    <t>7.1. Program Kewaspadaan Nasional</t>
  </si>
  <si>
    <t xml:space="preserve">7.1.1. Forum Kewaspadaan Dini Masyarakat (FKDM)  </t>
  </si>
  <si>
    <t xml:space="preserve">7.1.2. Karya Bakti TNI  </t>
  </si>
  <si>
    <t xml:space="preserve">7.1.3. Forum Komunikasi Pimpinan Daerah (FORKOMINDA) </t>
  </si>
  <si>
    <t>8. DINAS SOSIAL</t>
  </si>
  <si>
    <t>8.1. Program Pemberdayaan Penyandang Masalah Kesejahteraan Sosial (PMKS) dan Potensi Sumber Daya Kesejahteraan Sosial (PSKS)</t>
  </si>
  <si>
    <t xml:space="preserve">8.1.1. Operasional Wisata Rohani dan Umroh  </t>
  </si>
  <si>
    <t xml:space="preserve">8.1.2. Operasional Pendampingan PKH  </t>
  </si>
  <si>
    <t xml:space="preserve">8.1.3. Operasional Pendampingan TKSK </t>
  </si>
  <si>
    <t>8.2. Program Pelayanan Dan Rehabilitasi Kesejahteraan Sosial</t>
  </si>
  <si>
    <t xml:space="preserve">8.2.1. Pelayanan dan Perlindungan Sosial Hukum Bagi Korban Eksploitasi, Perdagangan Perempuan dan Anak  </t>
  </si>
  <si>
    <t xml:space="preserve">8.2.2. Pendataan Penyandang Penyakit Sosial, Eks Narapidana, PSK, Narkoba dan Penyakit Sosial Lainnya  </t>
  </si>
  <si>
    <t xml:space="preserve">8.2.3. Pendampingan Anak Bermasalah Hukum dan Anak Korban Kekerasan  </t>
  </si>
  <si>
    <t xml:space="preserve">8.2.4. Sosialisasi Dampak Narkoba dan Pergaulan Bebas </t>
  </si>
  <si>
    <t>8.3. Program Peningkatan sarana dan prasarana ibadah</t>
  </si>
  <si>
    <t xml:space="preserve">8.3.1. Rehab 2 Tempat Pendidikan Al-Quran (TPA) di Yellu  </t>
  </si>
  <si>
    <t xml:space="preserve">8.3.2. Bantuan Pengadaan Kitab Suci dan Bahan Bacaan Rohani (Gereja dan Masjid)  </t>
  </si>
  <si>
    <t xml:space="preserve">8.3.3. Pengadaan Meubelair Pastori Jemaat Laharoi Asukweri  </t>
  </si>
  <si>
    <t xml:space="preserve">8.3.4. Pembangunan Gedung Gereja Jemaat Filadelfia Kalobo  </t>
  </si>
  <si>
    <t xml:space="preserve">8.3.5. Rehab Gedung Gereja dan Pembangunan Pagar Keliling Gereja GKI Kristus Ajaib Waijan  </t>
  </si>
  <si>
    <t xml:space="preserve">8.3.6. Renovasi/Rehab Gedung Sekolah Minggu Jemaat Bukit Zaitum Moko  </t>
  </si>
  <si>
    <t>9. DINAS TENAGA KERJA DAN TRANSMIGRASI</t>
  </si>
  <si>
    <t>9.1. Program Pelatihan Tenaga Kerja Mandiri</t>
  </si>
  <si>
    <t xml:space="preserve">9.1.1. Pelatihan Procesing Bahan Dasar Keladi dan Sagu  </t>
  </si>
  <si>
    <t>9.2. Program Penyaluran dan Penempatan Tenaga Kerja</t>
  </si>
  <si>
    <t xml:space="preserve">9.2.1. Pengadaan Blanko Kartu Pencari Kerja </t>
  </si>
  <si>
    <t>9.3. Program Peningkatan Sarana dan Prasarana Umum</t>
  </si>
  <si>
    <t>10. DINAS PEMBERDAYAAN PEREMPUAN PERLINDUNGAN ANAK DAN KELUARGA BERENCANA</t>
  </si>
  <si>
    <t>10.1. Program Peningkatan Perlindungan Anak dan Perempuan</t>
  </si>
  <si>
    <t xml:space="preserve">10.1.1. Pembentukan dan Pelantikan Forum Kota Layak Anak Raja Ampat di 24 Distrik  </t>
  </si>
  <si>
    <t xml:space="preserve">10.1.2. Pematangan Lokasi P2TP2A  </t>
  </si>
  <si>
    <t xml:space="preserve">10.1.3. Bimtek Penyusunan Renja dan Lakip  </t>
  </si>
  <si>
    <t xml:space="preserve">10.1.4. Stunting  </t>
  </si>
  <si>
    <t>10.2. Program Peningkatan Kapasitas Sumber Daya Aparatur</t>
  </si>
  <si>
    <t xml:space="preserve">10.2.1. Pelaksanaan Hari Kartini  </t>
  </si>
  <si>
    <t xml:space="preserve">10.2.2. Hari Anti Kekerasan Sedunia  </t>
  </si>
  <si>
    <t xml:space="preserve">10.2.3. Pelatihan Keterampilan Bagi Ibu-ibu PKK Kampung dan Kelurahan  </t>
  </si>
  <si>
    <t xml:space="preserve">10.2.4. Peningkatan dan Pengembangan Kapasitas Perempuan Raja Ampat </t>
  </si>
  <si>
    <t xml:space="preserve">10.2.5. Pelatihan Paralegal Berbasis Komunitas </t>
  </si>
  <si>
    <t xml:space="preserve">10.2.6. Gelar Perkembangan Kasus  </t>
  </si>
  <si>
    <t>11. DINAS PEETANIAN DAN KETAHANAN PANGAN</t>
  </si>
  <si>
    <t>11.1. Program Peningkatan Sumber Daya Aparatur</t>
  </si>
  <si>
    <t xml:space="preserve">11.1.1. Pekan Nasional Kontak Tani dan Nelayan (PENAS)  </t>
  </si>
  <si>
    <t xml:space="preserve">11.2.1. Inventarisasi Calon Blok Penghasil Tinggi Tanaman Kelapa  </t>
  </si>
  <si>
    <t>11.2. Program Peningkatan Pemasaran dan Hasil Produksi Perkebunan</t>
  </si>
  <si>
    <t>12. DINAS LINGKUNGAN HIDUP</t>
  </si>
  <si>
    <t>12.1. Program Peningkatan Perencanaan Pelayanan SKPD</t>
  </si>
  <si>
    <t xml:space="preserve">12.1.1. Koordinas DAK Lingkungan Hidup </t>
  </si>
  <si>
    <t>12.2. Program Pengendalian dan Pencemaran Lingkungan</t>
  </si>
  <si>
    <t xml:space="preserve">12.2.1. Pengadaan Plastik Sampah </t>
  </si>
  <si>
    <t xml:space="preserve">12.2.2. Peningkatan Pelayanan Bank Sampah </t>
  </si>
  <si>
    <t>12.3. Program Pembangunan Berwawasan Lingkungan</t>
  </si>
  <si>
    <t xml:space="preserve">12.3.1. Monitoring dan Pengawasan Lingkungan Hidup  </t>
  </si>
  <si>
    <t xml:space="preserve">12.3.2. Koordinasi Pembentukan Komisi AMDAL Kabupaten Raja Ampat </t>
  </si>
  <si>
    <t>13. DINAS PENGENDALIAN PENDUDUK DAN PENCATATAN SIPIL</t>
  </si>
  <si>
    <t xml:space="preserve">13.1.1. Pengadaan Blangko Isian Biodata Penduduk (Per-Kapita) F-1.01 </t>
  </si>
  <si>
    <t xml:space="preserve">13.1.2. Pengadaan Blangko Akte Kelahiran </t>
  </si>
  <si>
    <t xml:space="preserve">13.1.3. Pengadaan Blangko Kartu Keluarga  </t>
  </si>
  <si>
    <t xml:space="preserve">13.1.4. Pengadaan dan Pemeliharaan Peralatan Elektronik  </t>
  </si>
  <si>
    <t xml:space="preserve">13.1.5. Pengadaan Blangko Kartu Identitas Anak  </t>
  </si>
  <si>
    <t>13.2. Program Peningkatan Kualitas Pelayanan Publik</t>
  </si>
  <si>
    <t xml:space="preserve">13.2.1. Pendataan Penduduk  </t>
  </si>
  <si>
    <t>14. DINAS PEMBERDAYAAN MASYARAKAT DAN KAMPUNG</t>
  </si>
  <si>
    <t>14.1. Program Koordinasi dan Pemberdayaan Masyarakat</t>
  </si>
  <si>
    <t xml:space="preserve">14.1.2. Pemutahiran Data Indeks Desa Membangun Tahun 2019  </t>
  </si>
  <si>
    <t xml:space="preserve">14.1.1. Lomba Desa dan Kelurahan Tingkat Kabupaten  </t>
  </si>
  <si>
    <t xml:space="preserve">14.1.2. Pembinaan, Pengawasan, Evaluasi dan Monitoring Dana Desa   </t>
  </si>
  <si>
    <t xml:space="preserve">14.1.1 Pendampingan Penyusunan RKP Desa/Kampung dan APBK  </t>
  </si>
  <si>
    <t xml:space="preserve">14.1.3. Rakor dan Rakornis Dana Desa Se-Provinsi Papua Barat dan Pusat  </t>
  </si>
  <si>
    <t xml:space="preserve">14.1.4. Pengadaan Mesin Makanan Ramesya  </t>
  </si>
  <si>
    <t>14.3. Program Peningkatan Peran Perempuan di Pedesaan</t>
  </si>
  <si>
    <t xml:space="preserve">14.3.1. Pelatihan Kepemimpinan dan Ketrampilan Ibu-ibu Kepala Kampung  </t>
  </si>
  <si>
    <t>14.4. Program Pemberdayaan dan Keberdayaan Teknologi Tepat Guna (TTG) Berbasis Masyarakat</t>
  </si>
  <si>
    <t xml:space="preserve">14.4.1. Pengadaan Mesin Parut Sagu  </t>
  </si>
  <si>
    <t xml:space="preserve">14.4.2. Gelar Teknologi Tepat Guna (TTG)  </t>
  </si>
  <si>
    <t>15. DINAS PERHUBUNGAN</t>
  </si>
  <si>
    <t>15.1. Program Pembangunan Dan Peningkatan Sarana Prasarana Perhubungan Laut</t>
  </si>
  <si>
    <t xml:space="preserve">15.1.1. Pembangunan Bungker Air Minum di Fafanlap  </t>
  </si>
  <si>
    <t xml:space="preserve">15.1.2. Pembangunan Gedung Terminal Pelabuhan Wisata Waisai (Lanjutan)  </t>
  </si>
  <si>
    <t xml:space="preserve">15.1.3. Pembangunan Tambatan Perahu di Aduwey (Asmara)  </t>
  </si>
  <si>
    <t xml:space="preserve">15.1.4. Pembangunan Tambatan Perahu di Kapatlap (Asmara)  </t>
  </si>
  <si>
    <t xml:space="preserve">15.1.5. Pembangunan Tambatan Perahu di Saupapir (Asmara) </t>
  </si>
  <si>
    <t xml:space="preserve">15.1.6. Pembangunan Tambatan Perahu di Solol (Asmara)  </t>
  </si>
  <si>
    <t>15.2. Program Pengadaan Fasilitas Pendukung Perhubungan Laut</t>
  </si>
  <si>
    <t xml:space="preserve">15.2.1. Pembangunan Talud  </t>
  </si>
  <si>
    <t xml:space="preserve">15.2.2. Penataan Halaman Masjid Pelabuhan Waisai  </t>
  </si>
  <si>
    <t>16. DINAS KOPERASI DAN UKM</t>
  </si>
  <si>
    <t>16.1. Program Pengembangan Sistem Pendukung Usaha Bagi Usaha Mikro Kecil Menegah</t>
  </si>
  <si>
    <t xml:space="preserve">16.1.1. Bantuan Alat bagi Pelaku Kuliner  </t>
  </si>
  <si>
    <t>17. DINAS KELAUTAN DAN PERIKANAN</t>
  </si>
  <si>
    <t>17.1. Program  Pengembangan Perikanan Tangkap</t>
  </si>
  <si>
    <t xml:space="preserve">17.1.1. Pengadaan Keramba Jaring Apung Aquatek Kelompok Nelayan di Waijan  </t>
  </si>
  <si>
    <t>17.2. Program Pengembangan Budidaya Perikanan</t>
  </si>
  <si>
    <t>18. DINAS PERINDUSTRIAN DAN PERIKANAN</t>
  </si>
  <si>
    <t>18.1. Program Pelayanan Administrasi Perkantoran</t>
  </si>
  <si>
    <t xml:space="preserve">18.1.1. Operasi Pasar Murah Menjelang Hari Raya  </t>
  </si>
  <si>
    <t xml:space="preserve">17.2.1. Pembuatan Database Kelompok Budidaya Perikanan </t>
  </si>
  <si>
    <t xml:space="preserve">18.1.2. Pengawasan BBM Bersubsidi </t>
  </si>
  <si>
    <t xml:space="preserve">18.1.3. Pengawasan Minuman Beralkohol  </t>
  </si>
  <si>
    <t xml:space="preserve">18.1.4. Sidak Makanan Kadaluarsa  </t>
  </si>
  <si>
    <t>19.1. Bagian Pemerintahan</t>
  </si>
  <si>
    <t>19.1.1. Program Penunjang Roda Pemerintahan</t>
  </si>
  <si>
    <t xml:space="preserve">19.1.1.1. Inventarisir Tanah Pemerintah </t>
  </si>
  <si>
    <t>19.1.2. Program Peningkatan Kapasitas Kelembagaan Pemerintah Daerah</t>
  </si>
  <si>
    <t xml:space="preserve">19.1.2.1. Penyelesaian Konflik Pemerintahan Kampung  </t>
  </si>
  <si>
    <t>19.1.3. Program Penegasan dan Pemasangan Batas Daerah</t>
  </si>
  <si>
    <t xml:space="preserve">19.1.3.1. Penyelesaian Tapal Batas (Antar Kabupaten)  </t>
  </si>
  <si>
    <t>19.2. Bagian Umum dan Staf Ahli</t>
  </si>
  <si>
    <t>19.2.1. Program Pemeliharaan Sarana dan Prasarana</t>
  </si>
  <si>
    <t xml:space="preserve">19.2.1.1. Pemeliharaan Kebersihan Kantor Bupati  </t>
  </si>
  <si>
    <t>20. BADAN PENANGGULANGAN BENCANA DAERAH</t>
  </si>
  <si>
    <t xml:space="preserve">20.1.1. Gladi dan Simulasi Penanganan Bencana  </t>
  </si>
  <si>
    <t>21. BADAN PERENCANAAN PEMBANGUNAN, PENELITIAN DAN PENGEMBANGAN</t>
  </si>
  <si>
    <t>21.1. Program Perencanaan Pembangunan Daerah</t>
  </si>
  <si>
    <t xml:space="preserve">21.1.1. Pameran OTSUS  </t>
  </si>
  <si>
    <t>22. BADAN PENGELOLA KEUANGAN DAN ASET DAERAH</t>
  </si>
  <si>
    <t xml:space="preserve">22.1. Belanja Bantuan </t>
  </si>
  <si>
    <t>22.1.1. Belanja bantuan sosial kepada anggota masyarakat</t>
  </si>
  <si>
    <t xml:space="preserve">22.1.1.1. Bantuan wisata rohani keagamaan kepada masyarakat (Dinas Sosial)  </t>
  </si>
  <si>
    <t xml:space="preserve">22.1.1.2. Bantuan Perkuliahan Mahasiswa PGSD - STKIP (Dinas Pendidikan)  </t>
  </si>
  <si>
    <t xml:space="preserve">22.1.1.3. Belanja Biaya Study S1 STPMD  (Dinas Pendidikan)  </t>
  </si>
  <si>
    <t xml:space="preserve">22.1.1.4. Belanja Biaya Study S1 Universitas De La Salle Manado  (Dinas Pendidikan)  </t>
  </si>
  <si>
    <t>22.2. Belanja Hibah</t>
  </si>
  <si>
    <t>22.2.1. Hibah bantuan modal pelaku UKM asli Papua</t>
  </si>
  <si>
    <t>8.4. Program Informasi Sistim Kesejahteraan Sosial</t>
  </si>
  <si>
    <t xml:space="preserve">8.4.1. Pengadaan Bantuan Bahan Bangunan di Misool Utara </t>
  </si>
  <si>
    <t xml:space="preserve">8.4.2. Pengadaan Alat Musik Pemuda Jemaat Manyaifun, Pos PI Kalwal, Pemuda Jemaat Deer, Jemaat GBI, Nafiri Siion Waisai  </t>
  </si>
  <si>
    <t xml:space="preserve">4.5.1. Penyusunan Master Plan Drainase Perumahan  </t>
  </si>
  <si>
    <t>1.1 Program Wajib Belajar Pendidikan Dasar Sembilan Tahun</t>
  </si>
  <si>
    <t>1.1.1 Pembangunan gedung sekolah</t>
  </si>
  <si>
    <t>1.1.3 Pembangunan laboratorium dan ruang pratikum sekolah</t>
  </si>
  <si>
    <t>1.1.4 Pengadan pakaian seragam sekolah</t>
  </si>
  <si>
    <t>1.1.5 Rehabilitasi sedang/berat bangunan sekolah</t>
  </si>
  <si>
    <t>1.1.6 Rehabilitasi sedang/berat rumah dinas kepala sekolah, guru, penjaga sekolah</t>
  </si>
  <si>
    <t>1.1.7 Rehabilitasi sedang/berat ruang guru sekolah</t>
  </si>
  <si>
    <t>1.1.8 Rehabilitasi sedang/berat perpustakaan sekolah</t>
  </si>
  <si>
    <t>1.1.9 Penambahan ruang kelas baru SMP/MTS/SMPLB</t>
  </si>
  <si>
    <t>1.1.10 Peningkatan kesejahteraan tenaga pendidik honorer SD dan SMP</t>
  </si>
  <si>
    <t>1.1.11 Rehabilitasi sedang/berat Ruang Kelas Sekolah (DAK)</t>
  </si>
  <si>
    <t>1.1.12 Pengadaan meubelair gedung SD (dana alokasi khusus)</t>
  </si>
  <si>
    <t>1.1.13 Pembangunan rumah dinas guru/ penjaga sekolah SD (dana otonomi khusus)</t>
  </si>
  <si>
    <t>1.1.14 Pembangunan rumah dinas guru/ penjaga sekolah SMP (dana otonomi khusus)</t>
  </si>
  <si>
    <t>1.1.16 Rehabilitasi sedang/berat bangunan sekolah dasar (dana otonomi khusus)</t>
  </si>
  <si>
    <t>1.1.17 Pengembangan alternatif layanan pendidikan dasar untuk daerah-daerah perdesaan, terpencil dan kepulauan</t>
  </si>
  <si>
    <t>1.1.18 Pembangunan Gedung LAB SMP (Dana Otonomi Khusus)</t>
  </si>
  <si>
    <t>1.1.2 Penambahan ruang kelas sekolah</t>
  </si>
  <si>
    <t>1.1.19 Kegiatan Penunjang DAK Reguler SD</t>
  </si>
  <si>
    <t>1.1.20 Kegiatan Penunjang DAK Reguler  SMP</t>
  </si>
  <si>
    <t>1.1.21 Kegiatan Penunjang  DAK Afirmasi SD</t>
  </si>
  <si>
    <t>1.1.22 Kegiatan Penunjang   DAK Afirmasi SMP</t>
  </si>
  <si>
    <t>1.4 Program Manajemen Pelayanan Pendidikan</t>
  </si>
  <si>
    <t>1.4.1 Peningkatan Kapasitas Pengelola Pendidikan di Tingkat Kabupaten/Kota</t>
  </si>
  <si>
    <t>1.4.2 Penyelenggaraan Akreditasi Sekolah</t>
  </si>
  <si>
    <t>1.4.2 Pengembangan Data Center Pendidikan</t>
  </si>
  <si>
    <t>1.2 Program Pendidikan Menengah</t>
  </si>
  <si>
    <t>1.2.1 Pendampingan Bantuan Operasional Manajemen Mutu (BOMM)</t>
  </si>
  <si>
    <t>1.3 Program Pendidikan Non Formal</t>
  </si>
  <si>
    <t>1.3.1 Peralatan Kantor SKB</t>
  </si>
  <si>
    <t>1.5 Program Afirmasi Pendidikan Bagi Putra/putri asli Papua dan papua barat</t>
  </si>
  <si>
    <t>1.5.1 Afirmasi pendidikan bagi putra/putri asli papua dan papua barat (dana otonomi khusus)</t>
  </si>
  <si>
    <t>1.5.2 Yohanes Surya Institute</t>
  </si>
  <si>
    <t>1.5.3 Afirmasi Pendidikan bagi putra /putri asli Papua dan Papua Barat Khusus bidang-bidang tertentu</t>
  </si>
  <si>
    <t>1.6.1 Penyelenggaraan Kompetisi Olahraga Se- Kabupaten Teluk Wondama</t>
  </si>
  <si>
    <t>1.6.2 Penyelenggaraan Lomba O2SN</t>
  </si>
  <si>
    <t>1.6.3 Kejuaraan Pelajar</t>
  </si>
  <si>
    <t>1.6.4 Popnas</t>
  </si>
  <si>
    <t>1.6.5 Pekan PPLP</t>
  </si>
  <si>
    <t>1.6.6 Pembinaan Atlit</t>
  </si>
  <si>
    <t>1.6.7 Kejuaraan Popwil Tingkat Pelajar</t>
  </si>
  <si>
    <t>1.6.8 Penyelenggaraan Kompetisi Olahraga Pra Liga Pelajar Indonesia</t>
  </si>
  <si>
    <t>1.6.9 Pengadaan peralatan dan perlengkapan olahraga</t>
  </si>
  <si>
    <t>1.6.10 Pembangunan sarana dan prasarana olahraga</t>
  </si>
  <si>
    <t>1.6.11 Seleksi dan Pemilihan Paskibra</t>
  </si>
  <si>
    <t>1.6.12 Penyelenggaraan Kejuaraan Pelajar Cabor SOFTBALL</t>
  </si>
  <si>
    <t>1.6.13 Penyelenggaraan Liga Berjenjang (U12, U14, U16)</t>
  </si>
  <si>
    <t>1.7 Program Peningkatan Peran Serta Kepemudaan</t>
  </si>
  <si>
    <t>1.7.1 Lomba Kreasi dan Karya Tulis di Kalangan Pemuda</t>
  </si>
  <si>
    <t>1.7.2 Seleksi dan Pemilihan Pemuda/Pelopor Jambore Nasional</t>
  </si>
  <si>
    <t>1.7.3 Penyelenggaraan Satuan Karya Widya Budaya Bakti</t>
  </si>
  <si>
    <t>2.2 Program Obat dan Perbekalan Kesehatan</t>
  </si>
  <si>
    <t xml:space="preserve">2.2.1 Pengadaaan Obat dan Perbekalan Kesehatan </t>
  </si>
  <si>
    <t xml:space="preserve">2.2.2 Peningkatan pemerataan obat dan perbekalan kesehatan  </t>
  </si>
  <si>
    <t>2.3.1 Basic Trauma Life Support(BTLS)</t>
  </si>
  <si>
    <t>2.3.2 Pelatihan APN</t>
  </si>
  <si>
    <t>2.3.3 Bimtek Jaminan Kesehatan Nasional (JKN)</t>
  </si>
  <si>
    <t>2.3.4 Monev Pasca Survey Akreditasi</t>
  </si>
  <si>
    <t>2.4 Program Pengawasan Obat dan Makanan</t>
  </si>
  <si>
    <t>2.4.1 Peningkatan pemberdayaan konsumen/masyarakat di bidang obat dan makanan</t>
  </si>
  <si>
    <t>2.6 Program peningkatan pelayanan kesehatan anak balita</t>
  </si>
  <si>
    <t>2.6.1 Penyuluhan kesehatan anak balita</t>
  </si>
  <si>
    <t>2.7 Program peningkatan pelayanan kesehatan lansia</t>
  </si>
  <si>
    <t>2.7.1 Penyuluhan pemeliharaan kesehatan lansia</t>
  </si>
  <si>
    <t>2.8 Program Pencegahan dan Pemberantasan Penyakit</t>
  </si>
  <si>
    <t>2.8.1 Kesehatan Jiwa</t>
  </si>
  <si>
    <t>2.8.2 Penyemprotan/Fogging Sarang Nyamuk</t>
  </si>
  <si>
    <t>2.8.3 Penanggulangan Krisis Kesehatan</t>
  </si>
  <si>
    <t>11.1.1  Penyediaan Bantuan Operasional dan pemeliharaan Puskesmas Sobey</t>
  </si>
  <si>
    <t>16.1.2 Pengadaan Bahan Medis Habis Pakai (BMHP)</t>
  </si>
  <si>
    <t>16.1.3 Pengadaan Bahan Pakai Habis</t>
  </si>
  <si>
    <t xml:space="preserve">16.2.1 Pengadaan Alat Penunjang Medis Rumah Sakit </t>
  </si>
  <si>
    <t>17.1 Program Pengembangan Perumahan</t>
  </si>
  <si>
    <t>17.1.1 Pembangunan Rumah Layak Huni</t>
  </si>
  <si>
    <t>17.2 Program Pemanfaatan Ruang</t>
  </si>
  <si>
    <t>17.2.1 Penataan Halaman Kampung Yende (Tahap II)</t>
  </si>
  <si>
    <t>17.2.2 Pembangunan Gapura Batas Antar Kabupaten</t>
  </si>
  <si>
    <t>17.2.3 Penataan Situs PI Kampung Yomber</t>
  </si>
  <si>
    <t>17.2.4 Penataan Situs PI Kampung Windesi</t>
  </si>
  <si>
    <t>19.1.1 Fasilitasi penyaluran bantuan sosial pangan (otsus)</t>
  </si>
  <si>
    <t>19.1.2 Pendataan Kependudukan warga KAT</t>
  </si>
  <si>
    <t>19.1.3 Fasilitasi Penyaluran Rastra</t>
  </si>
  <si>
    <t>19.2.1 Pemberian Makanan Tambahan bagi Lanjut Usia</t>
  </si>
  <si>
    <t>19.2.4 Pencegahan Bahaya  Minuman Keras, NAPZA Bagi Generasi Muda</t>
  </si>
  <si>
    <t>19.2.5 Fasilitasi Usaha dan Pembentukan KUBE/UEP Bagi Lansia Potensial dan Penyandang Cacat</t>
  </si>
  <si>
    <t>19.2.6 Pemberian Sembako Bagi Anak Sekolah Di Rumah Singgah</t>
  </si>
  <si>
    <t>19.2.7 Pembangunan Rumah Bagi Janda/Lansia</t>
  </si>
  <si>
    <t>19.3.1 Pendidikan dan Pelatihan bagi Orang dengan kecacatan (ODK)</t>
  </si>
  <si>
    <t>20.2.3 Kegiatan Pelatihan Merajut</t>
  </si>
  <si>
    <t>20.2.4 Fasilitasi Upaya Perlindungan Perempuan Terhadap Tindak Kekerasan (Sosialisasi UU 23 Tahun 2004 ttg Penghapusan Kekerasan dalam Rumah Tangga)</t>
  </si>
  <si>
    <t>20.2.5 Kegiatan Pelatihan managemen Usaha Bagi Kelompok</t>
  </si>
  <si>
    <t>20.2.6 Pelatihan Pembuatan Aneka Kue Berbahan Dasar Pangan Lokal</t>
  </si>
  <si>
    <t>20.3.2 Parade Anak Nusantara</t>
  </si>
  <si>
    <t>20.3.3 Pendataan Anak Putus Sekolah</t>
  </si>
  <si>
    <t>20.3.4 Pengolahan Produk Unggulan Daerah (PKK)</t>
  </si>
  <si>
    <t>20.3.5 Pelatihan Pencatatan Data Umum Kader TP PKK (PKK)</t>
  </si>
  <si>
    <t>20.3.6 Rapat-Rapat Koordinasi dan Konsultasi Luar Daerah (PKK)</t>
  </si>
  <si>
    <t>20.3.7 Penyediaan Barang Cetak dan Penggandaan (PKK)</t>
  </si>
  <si>
    <t>20.3.8 Hari Kesatuan Gerak PKK (PKK)</t>
  </si>
  <si>
    <t>20.3.9 Natal TP PKK Kab. Teluk Wondama (PKK)</t>
  </si>
  <si>
    <t>20.4 Program Keluarga Berencana</t>
  </si>
  <si>
    <t>20.4.1 Pengadaan Sarana Balita KIT (BKB)</t>
  </si>
  <si>
    <t>20.5 Program Pengembangan Pusat Pelayanan Informasi dan Konseling KKR</t>
  </si>
  <si>
    <t>20.5.1 Pengembangan Model Pusat Pelayanan Informasi dan Konseling KKR</t>
  </si>
  <si>
    <t>20.6 Program penyiapan tenaga pendamping kelompok bina keluarga</t>
  </si>
  <si>
    <t>20.6.1 Pelatihan Tenaga Pendamping Kelompok Bina Keluarga</t>
  </si>
  <si>
    <t>21.  DINAS LINGKUNGAN HIDUP</t>
  </si>
  <si>
    <t>21.1 Program Pengembangan Kinerja Pengelolaan Persampahan</t>
  </si>
  <si>
    <t>21.1.1 Sosialisasi kebijakan pengelolaan persampahan</t>
  </si>
  <si>
    <t>21.1.2 Program pengelolaan ruang terbuka hijau (RTH)</t>
  </si>
  <si>
    <t>21.1.3 Pembersihan Badan Jalan</t>
  </si>
  <si>
    <t>21.2 Program Pengembangan Kemitraan dan Pemberdayaan Masyarakat</t>
  </si>
  <si>
    <t>21.2.1 Sosialisasi Pendidikan Lingkungan Hidup</t>
  </si>
  <si>
    <t>21.3 Program Pemberdayaan Kelembagaan dan Penegakan Hukum dalam Pelestarian Lingkungan Hidup</t>
  </si>
  <si>
    <t>21.3.1 Penegakan hukum lingkungan</t>
  </si>
  <si>
    <t>21.3.2 Sosialisasi Perda Tentang persampahan</t>
  </si>
  <si>
    <t>21.3.3 Peningkatan Ekonomi Masyarakat</t>
  </si>
  <si>
    <t>21.3.4 Pelatihan Daur Ulang Sampah (an Organik)</t>
  </si>
  <si>
    <t>21.3.5 Studi Banding Pengelolah Sampah ( Organik)</t>
  </si>
  <si>
    <t>21.4 Program Penataan Pengusaan, Pemilikan, Penggunaan dan Pemanfaatan Tanah</t>
  </si>
  <si>
    <t>21.4.1 Pengadaan Penataan , Penguasaan , Pemilikan , Penggunaan Dan Pemanfaatan Tanah</t>
  </si>
  <si>
    <t>22 DINAS KEPENDUDUKAN DAN CATATAN SIPIL</t>
  </si>
  <si>
    <t>22.1 Program Peningkatan Sarana dan Prasarana Aparatur</t>
  </si>
  <si>
    <t>22.1.1 Pemeliharaan dan Pengembangan Aplikasi OAP</t>
  </si>
  <si>
    <t>22.2 Program Penataan Administrasi Kependudukan</t>
  </si>
  <si>
    <t>22.2.1 Pelaksanaan Nikah Massal</t>
  </si>
  <si>
    <t>22.2.2 Verifikasi data OAP dan penyusunan laporan OAP</t>
  </si>
  <si>
    <t>22.2.3 Penyusunan Administrasi data kearsipan dan inovasi OAP</t>
  </si>
  <si>
    <t>22.2.4 Verifikasi Dan Validasi Data Kemiskinan (DTKS) Terhadap Data SIAK</t>
  </si>
  <si>
    <t>23 DINAS PEMBERDAYAAN MASYARAKAT DAN KAMPUNG</t>
  </si>
  <si>
    <t>23.1 Program Peningkatan Keberdayaan Masyarakat Perdesaan</t>
  </si>
  <si>
    <t>23.1.1 Pendampingan Pembentukan Kampung adat dan pemekaran kampung</t>
  </si>
  <si>
    <t>23.2 Program pengembangan lembaga ekonomi pedesaan</t>
  </si>
  <si>
    <t>23.2.1 Pelatihan Peningkatan Kapasitas Pengurus BUMDES</t>
  </si>
  <si>
    <t>23.2.2 Pengambangan Lembaga Ekonomi Desa</t>
  </si>
  <si>
    <t>23.2.3 Pengembangan dan penguatan kelompok usaha di Desa</t>
  </si>
  <si>
    <t>23.2.4 Pendampingan dan Peningkatan Kapasitas Manajemen Badan Usaha Kampung (BUMDES) (OTSUS)</t>
  </si>
  <si>
    <t>23.2.5 Pendampingan, Peningkatan Kapasitas Manajemen dan Pembentukan Badan Usaha Milik Desa (BUMDES) di setiap Kampung (OTSUS)</t>
  </si>
  <si>
    <t>23.2.6 Pendampingan dan Peningkatan Kapasitas Usaha Ekonomi Produktif di Desa</t>
  </si>
  <si>
    <t>23.3 Program peningkatan kemampuan teknologi industri</t>
  </si>
  <si>
    <t>23.3.1 Fasilitasi Bagi Industri Kecil dan Menengah Terhadap Pemanfaatan TTG dan SDA</t>
  </si>
  <si>
    <t>23.3.2 Lomba TTG dan Pemanfaatan Potensi Lokal Tingkat Lokal</t>
  </si>
  <si>
    <t>23.4 Program Pengembangan Perumahan</t>
  </si>
  <si>
    <t xml:space="preserve">23.41 Bedah Kampung  </t>
  </si>
  <si>
    <t>24 DINAS PERHUBUNGAN</t>
  </si>
  <si>
    <t>24.1 Program Rehabilitasi dan Pemeliharaan Prasarana dan Fasilitas LLAJ</t>
  </si>
  <si>
    <t xml:space="preserve">24.1.1 Pemeliharaan Halte Bus </t>
  </si>
  <si>
    <t>24.2 Program Pengendalian dan Pengamanan Lalu Lintas</t>
  </si>
  <si>
    <t>24.2.1 Pengadaan rambu-rambu lalu lintas</t>
  </si>
  <si>
    <t>25 DINAS KOMUNIKASI INFORMATIKA DAN PERSANDIAN</t>
  </si>
  <si>
    <t>25.1 Program Optimalisasi Pemanfaatan Teknologi Informasi</t>
  </si>
  <si>
    <t>25.1.1 Pelayanan Free Wifi di Lokasi Wisata</t>
  </si>
  <si>
    <t>25.2 Program pembangunan jaringan telekomunikasi perdesaan</t>
  </si>
  <si>
    <t>25.2.1 Pengadaan Internet Kampung (Mango sky)</t>
  </si>
  <si>
    <t>26 DINAS PARIWISATA DAN KEBUDAYAAN</t>
  </si>
  <si>
    <t>26.1 Program Pengelolaan Keragaman Budaya</t>
  </si>
  <si>
    <t>26.1.1 Penyelenggaraan dialog kebudayaan</t>
  </si>
  <si>
    <t>26.2 Program Pengelolaan Kekayaan Budaya</t>
  </si>
  <si>
    <t>26.2.1 Pengelolaan karya cetak dan karya rekam</t>
  </si>
  <si>
    <t>26.3 Pengembangan database sistem informasi sejarah purbakala</t>
  </si>
  <si>
    <t>26.3.1 Pembentukan Dewan Kesenian Daerah dan Dewan Kerajinan Nasional Daerah (Dekranasda)</t>
  </si>
  <si>
    <t>26.4 Program Pengembangan Nilai Budaya</t>
  </si>
  <si>
    <t>26.4.1 Keikutsertaan Kab. Teluk Wondama pada Festival Budaya Propinsi Papua Barat dan HUT Propinsi Papua Barat</t>
  </si>
  <si>
    <t>26.4.2 Dukungan Penyelenggaraan Festival Budaya Tingkat Distrik</t>
  </si>
  <si>
    <t>26.5 Program Pengembangan Destinasi Pariwisata</t>
  </si>
  <si>
    <t>26.5.1 Fasilitasi Lomba Suling Tambur Kategori Remaja Sekabupaten Teluk Wondama</t>
  </si>
  <si>
    <t>27.1 Program Pengembangan Budaya Baca dan Pembinaan Perpustakaan</t>
  </si>
  <si>
    <t>27.1.1 Penyediaan bahan pustaka perputakaan umum daerah</t>
  </si>
  <si>
    <t>27.1.3 Stimulasi dan Pembinaan Taman  Baca</t>
  </si>
  <si>
    <t>28. DINAS PERIKANAN</t>
  </si>
  <si>
    <t>27. DINAS PERPUSTAKAAN</t>
  </si>
  <si>
    <t>28.1 Program pengembangan budidaya perikanan</t>
  </si>
  <si>
    <t>28.1.1 Pendampingan Budidaya Alternatif bersifat konservasi / sasi</t>
  </si>
  <si>
    <t>28.1.2 Pendampingan Kelompok Pembudidaya Rumput Laut</t>
  </si>
  <si>
    <t>28.1.3 Pendampingan Kelompok Pembudidaya Teripang</t>
  </si>
  <si>
    <t>28.1.4 Paket percontohan perkolaman rakyat</t>
  </si>
  <si>
    <t>28.1.5 Pengadaan peralatan perkolaman rakyat</t>
  </si>
  <si>
    <t>28.1.6 Magang Pembudidaya Ikan Gurame</t>
  </si>
  <si>
    <t>28.2 Program pengembangan perikanan tangkap</t>
  </si>
  <si>
    <t>28.2.1 Pengadaan Paket Peralatan Tangkap Ikan Nelayan</t>
  </si>
  <si>
    <t>28.2.2 Alat Bantu Penangkapan Ikan</t>
  </si>
  <si>
    <t>28.3 Program Optimalisasi pengolahan dan pemasaran produksi perikanan</t>
  </si>
  <si>
    <t>28.3.1 Pelatihan Pembuatan Ikan Asin</t>
  </si>
  <si>
    <t>28.3.2 Pelatihan Pembuatan Abon Ikan</t>
  </si>
  <si>
    <t>28.3.3 Pengadaan Peralatan Sistem Rantai Dingin</t>
  </si>
  <si>
    <t>28.3.4 Pengadaan Bahan dan Peralatan Pengolahan Ikan Asin</t>
  </si>
  <si>
    <t>29 DINAS PERTANIAN DAN PANGAN</t>
  </si>
  <si>
    <t>29.1 Program peningkatan pengembangan sistem pelaporan capaian kinerja dan keuangan</t>
  </si>
  <si>
    <t>29.1.1 Penyusunan Dokumen Perencanaan</t>
  </si>
  <si>
    <t>29.2 Program Peningkatan Kesejahteraan Petani</t>
  </si>
  <si>
    <t>29.2.1 Pelatihan petani dan pelaku agribisnis</t>
  </si>
  <si>
    <t>29.2.2 Peningkatan kemampuan lembaga petani</t>
  </si>
  <si>
    <t>29.3 Program Peningkatan Ketahanan Pangan (pertanian/Perkebunan)</t>
  </si>
  <si>
    <t>29.3.1 Penanganan pasca panen dan pengolahan hasil pertanian</t>
  </si>
  <si>
    <t>29.3.2 Pengembangan lumbung pangan desa</t>
  </si>
  <si>
    <t>29.4 Program peningkatan penerapan teknologi pertanian/perkebunan</t>
  </si>
  <si>
    <t>29.4.1 Pelatihan dan bimbingan pengoperasian teknologi pertanian/perkebunan tepat guna</t>
  </si>
  <si>
    <t>29.4.2 Pelatihan Penerapan Teknologi Perkebunan</t>
  </si>
  <si>
    <t>29.5 Program peningkatan produksi pertanian/perkebunan</t>
  </si>
  <si>
    <t>29.5.1 Pengembangan bibit unggul pertanian/perkebunan</t>
  </si>
  <si>
    <t>29.5.2 Pengembangan Intensifikasi Tanaman Palawija</t>
  </si>
  <si>
    <t>29.5.3 Pengembangan bibit unggulan tanaman pangan</t>
  </si>
  <si>
    <t>29.5.4 Pengembangan bibit unggul Holtikultura</t>
  </si>
  <si>
    <t>29.5.5 Revitalisasi Kebun Pisang</t>
  </si>
  <si>
    <t>29.6 Program pencegahan dan penanggulangan penyakit ternak</t>
  </si>
  <si>
    <t>29.6.1 Pembuatan Kandang Jepit</t>
  </si>
  <si>
    <t>29.7 Program peningkatan produksi hasil peternakan</t>
  </si>
  <si>
    <t>29.7.1 Perluasan Areal Hijauan Makanan Ternak</t>
  </si>
  <si>
    <t>29.7.2 Pengadaan Ternak</t>
  </si>
  <si>
    <t>29.8 Program Pengadaan Sarana Produksi Pertanian</t>
  </si>
  <si>
    <t>29.8.1 Cetak Sawah</t>
  </si>
  <si>
    <t>29.8.2 Pengadaan Sarana Produksi Hortikultura</t>
  </si>
  <si>
    <t>29.9 Program Penyelenggaraan Penyuluhan Pertanian</t>
  </si>
  <si>
    <t>29.9.1 Penyusunan Media Penyuluhan</t>
  </si>
  <si>
    <t>30. DINAS PERINDUSTRIAN PERDAGANGAN KOPERASI DAN USAHA KECIL DAN MENENGAH</t>
  </si>
  <si>
    <t>30.1 Program perlindungan konsumen dan pengamanan perdagangan</t>
  </si>
  <si>
    <t>30.1.1 Pengemasan Produk Yang Berlabel dan Mendapat Ijin dari BPOM</t>
  </si>
  <si>
    <t>30.2 Program pengembangan kewirausahaan dan keunggulan kompetitif UKM</t>
  </si>
  <si>
    <t>30.2.1 Pelatihan Kewirausahawan Bagi Usaha Kecil Menengah</t>
  </si>
  <si>
    <t>30.2.2 Pendataan UKM</t>
  </si>
  <si>
    <t>30.2.3  Fasilitasi Bantuan Sembilan Bahan Pokok Bagi Pelaku UKM</t>
  </si>
  <si>
    <t>30.3 Program peningkatan kwalitas kelembagaan koperasi</t>
  </si>
  <si>
    <t>30.3.1 Pengawasan dan Pembinaan Koperasi Berprestasi</t>
  </si>
  <si>
    <t>30.4 Program pembinaan dan pengembangan bidang ketenagalistrikan</t>
  </si>
  <si>
    <t>30.4.1 Pemasangan Meteran Prabayar</t>
  </si>
  <si>
    <t>30.4.2 Survei Pemasangan Listrik</t>
  </si>
  <si>
    <t>30.5  Program Pengembangan Industri Kecil dan Menengah</t>
  </si>
  <si>
    <t>30.5.1 Pelatihan Pembuatan Manisan Pala</t>
  </si>
  <si>
    <t>30.5.2 Pelatihan Keripik Pisang</t>
  </si>
  <si>
    <t>30.5.3 Pelatihan Pengolahan makanan dari bahan dasar rumput laut</t>
  </si>
  <si>
    <t>30.5.4 Pendataan Industri Kecil Menengah</t>
  </si>
  <si>
    <t>31. DINAS TRANSMIGRASI DAN TENAGA KERJA</t>
  </si>
  <si>
    <t>31.1.1 Pendataan Tenaga Kerja dan Hubungan Industrial</t>
  </si>
  <si>
    <t>31.1.2 Sosialisasi AK. I ketenagakerjaan</t>
  </si>
  <si>
    <t>31.1.3 Pelatihan Pertukangan (Bangunan, Mebeleuir dan Ketrampilan)</t>
  </si>
  <si>
    <t>31.3.1 Pelatihan Pembuatan Pupuk Kompos  (Bokasi) di UPT Werianggi</t>
  </si>
  <si>
    <t>31.3.2 Pelatihan Kerajinan Tangan Ibu-Ibu Transmigrasi</t>
  </si>
  <si>
    <t>31.3.3 Pelatihan Pembuatan Pakan Ikan Air Tawar dari Bahan Pangan Lokal</t>
  </si>
  <si>
    <t>31.4 Program Penyiapan Kawasan dan Permukiman Transmigrasi (PKP2T)</t>
  </si>
  <si>
    <t>31.4.1 Sosialiasi dan pendataan potensi calon transmigrasi lokal</t>
  </si>
  <si>
    <t>31.4.2 Sosialisasi Pembangunan Kawasan Transmigrasi</t>
  </si>
  <si>
    <t>31.4.3 Pengukuran dan Pengaplingan areal lahan usaha di UPT Werianggi</t>
  </si>
  <si>
    <t>32 BADAN PERENCANAAN PEMBANGUNAN, PENELITIAN DAN PENGEMBANGAN DAERAH</t>
  </si>
  <si>
    <t>32.1 Program Kerjasama Pembangunan</t>
  </si>
  <si>
    <t>32.1.1 Fasilitasi Kegiatan Pameran OTSUS Tingkat Provinsi</t>
  </si>
  <si>
    <t>32.2 Program perencanaan pembangunan daerah</t>
  </si>
  <si>
    <t>32.2.1 Penyusunan Dokumen Laporan Implementasi OTSUS</t>
  </si>
  <si>
    <t>33 BADAN KEUANGAN DAN ASET DAERAH (PPKD)</t>
  </si>
  <si>
    <t>33.1 Belanja Hibah</t>
  </si>
  <si>
    <t>33.2 Belanja Bantuan Sosial</t>
  </si>
  <si>
    <t>33.3 Belanja Bantuan Keuangan kepada Provinsi/Kabupaten/Kota dan Pemerintahan Desa</t>
  </si>
  <si>
    <t>27.1.2 layanan perpustakaan keliling</t>
  </si>
  <si>
    <t>33.2. Bantuan Sosial Pendidikan</t>
  </si>
  <si>
    <t>33.2.1. Belanja Bantuan Sosial Pendidikan</t>
  </si>
  <si>
    <t>3.2.1. Peningkatan Jalan Arus - Sufu</t>
  </si>
  <si>
    <t>3.2.2. Peningkatan Jalan Sune - Kokas</t>
  </si>
  <si>
    <t>3.2.3. Peningkatan Jalan Tuwai - Kocuas</t>
  </si>
  <si>
    <t>3.2.5. Peningkatan Jalan Kompleks Samu Baah</t>
  </si>
  <si>
    <t>3.2.6. Peningkatan Jalan Kasar - Itigah</t>
  </si>
  <si>
    <t>3.2.7. Peningkatan Jalan Kisor - Fuoq</t>
  </si>
  <si>
    <t>3.2.8. Peningkatan Jalan Subin - Mukamat</t>
  </si>
  <si>
    <t>3.2.9. Peningkatan Jalan Simboh</t>
  </si>
  <si>
    <t>3.2.10.Penunjang Kegiatan</t>
  </si>
  <si>
    <t>3.3.  Program Pembangunan Jalan dan Jembatan</t>
  </si>
  <si>
    <t>3.3.1. Pembangunan Jalan Lingkungan Kampung Siyo</t>
  </si>
  <si>
    <t>3.3.2. Pembangunan Jalan Lingkungan Kampung Sufu</t>
  </si>
  <si>
    <t>3.3.3. Pembangunan Jalan Lingkungan Kampung Sauf</t>
  </si>
  <si>
    <t>3.3.4. Pembangunan Jalan Lingkungan Kampung Kanisabar</t>
  </si>
  <si>
    <t>3.3.5. Pembangunan Jalan Lingkungan Kampung Sabun</t>
  </si>
  <si>
    <t>3.3.6. Pembangunan Jalan Lingkungan Kampung Itigah</t>
  </si>
  <si>
    <t>3.3.7. Pembangunan Jalan Lingkungan Kampung Tehak Kecil</t>
  </si>
  <si>
    <t>3.3.8. Pembangunan Jalan Lingkungan Kampung Tehak Barat</t>
  </si>
  <si>
    <t>3.3.9. Pembangunan Jalan Lingkungan Kampung Kasar</t>
  </si>
  <si>
    <t>3.3.10. Pembangunan Jalan Lingkungan Kampung Yohwer</t>
  </si>
  <si>
    <t>3.3.11. Pembangunan Jalan Lingkungan Kampung Yaksoro</t>
  </si>
  <si>
    <t>3.3.12. Pembangunan Jalan Lingkungan Kampung Fanse</t>
  </si>
  <si>
    <t>3.3.13. Pembangunan Jalan Lingkungan Kampung Faitwosur</t>
  </si>
  <si>
    <t xml:space="preserve">3.3.14. Penunjang Pembangunan Jalan Lingkungan Kampung </t>
  </si>
  <si>
    <t>Belanja Modal Jalan, Irigasi dan Jaringan Pengadaan Jalan Desa</t>
  </si>
  <si>
    <t>Belanja Modal Jalan, Irigasi dan Jaringan Pengadaan Jalan Kab/Kota</t>
  </si>
  <si>
    <t>3.3.15. Pembangunan Jalan Maan - Pitor</t>
  </si>
  <si>
    <t>3.3.16. Pembangunan Jalan  Kampung Sagrim -Wardaf</t>
  </si>
  <si>
    <t>3.3.17. Pembangunan Jalan Yohwer - Sein</t>
  </si>
  <si>
    <t xml:space="preserve">3.3.18. Pembangunan Jalan Sembaro - Sein </t>
  </si>
  <si>
    <t>3.4.  Program Pembangunan Saluran Drainase/Gorong-gorong</t>
  </si>
  <si>
    <t xml:space="preserve">3.4.1. Pembangunan Saluran Drainase/Gorong-gorong  </t>
  </si>
  <si>
    <t>3.5. Program Pembangunan Turlap/Talud/Bronjong</t>
  </si>
  <si>
    <t>3.5.1. Pembangunan Turlap/Talud/Bronjong</t>
  </si>
  <si>
    <t>3.6. Program Pembangunan Turlap/Talud/Bronjong</t>
  </si>
  <si>
    <t>3.6.1 Pembangunan Turlap/Talud/Bronjong</t>
  </si>
  <si>
    <t>3.7. Program Perumahan</t>
  </si>
  <si>
    <t>3.7.1. Pembangunan Rumah untuk Masyarakat</t>
  </si>
  <si>
    <t>3.7.2. Rehabilitasi Rumah Rakyat</t>
  </si>
  <si>
    <t>3.8. Program Sharing  PAMSIMAS</t>
  </si>
  <si>
    <t>3.8.1. Sharing PAMSIMAS</t>
  </si>
  <si>
    <t>3.2.4. Peningkatan Jalan Kawasan Samu Baah</t>
  </si>
  <si>
    <t>4.1.1. Penyiapan Tenaga Pengendali Keamanan dan Kenyamanan Lingkungan</t>
  </si>
  <si>
    <t>40.1.1.1. Hibah Kepada  Badan Lembaga/Organisasi (Otsus)</t>
  </si>
  <si>
    <t xml:space="preserve">40.1.1.2. Hibah Kepada  Badan Lembaga/Organisasi Keagamaan             </t>
  </si>
  <si>
    <t xml:space="preserve">4.2.1. Pembangunan turap/talud/bronjong  </t>
  </si>
  <si>
    <t>4. DINAS PEKERJAAN UMUM DAN PENATA RUANG</t>
  </si>
  <si>
    <t>6. DINAS SOSIAL, PENGENDALIAN PENDUDUK DAN KELUARGA BERENCANA</t>
  </si>
  <si>
    <t>7.  DINAS  PEMBERDAYAAN PEREMPUAN DAN PERLINDUNGAN ANAK</t>
  </si>
  <si>
    <t xml:space="preserve">8. DINAS PERHUBUNGAN </t>
  </si>
  <si>
    <t xml:space="preserve">9. DINAS PERINDUSTRIAN, PERDAGANGAN DAN KOPERASI, USAHA KECIL DAN MENENGAH </t>
  </si>
  <si>
    <t>11. DINAS KEBUDAYAAN DAN PARIWISATA</t>
  </si>
  <si>
    <t>12. DINAS PERTANIAN DAN KETAHANAN PANGAN</t>
  </si>
  <si>
    <t>13. BAPPEDA, PENELITIAN DAN PENGEMBANGAN</t>
  </si>
  <si>
    <t>9.1.1.4. Belanja Bantuan Sosial kepada Masyarakat</t>
  </si>
  <si>
    <t>10.2.2.1.Penyediaan Instalasi Listrik dan Penyambungan Meter pra Bayar</t>
  </si>
  <si>
    <t>1.1. Program Peningkatan Kapasitas Sumber Daya Aparatur</t>
  </si>
  <si>
    <t>1.1.1. Pendidikan dan pelatihan formal</t>
  </si>
  <si>
    <t>1.1.2. Penyusunan Profil PNS dan Operasional Tenaga Administrasi Kantor Bidang Kepegawaian</t>
  </si>
  <si>
    <t>1.1.3. Study Banding Bagi Guru Sekolah Dasar</t>
  </si>
  <si>
    <t>1.1.4. Study Banding Bagi Guru Sekolah Menengah Pertama</t>
  </si>
  <si>
    <t>1.2.1. Penyelenggaraan Pendidikan Anak Usia Dini</t>
  </si>
  <si>
    <t xml:space="preserve">1.3.1. Pembangunan gedung sekolah </t>
  </si>
  <si>
    <t>1.3.2. Pembangunan sarana dan prasarana olahraga</t>
  </si>
  <si>
    <t>1.3.3. Pengadaan mebeluer sekolah</t>
  </si>
  <si>
    <t>1.3.4. Pengadaan perlengkapan sekolah</t>
  </si>
  <si>
    <t>1.3.5. Pelatihan Penyusunan kurikulum</t>
  </si>
  <si>
    <t>1.3.6. Seleksi Lomba Olimpiade Sains Nasional Tingkat Sekolah Dasar</t>
  </si>
  <si>
    <t>1.3.7. Pelatihan Kurikulum PKHS Tingkat Sekolah Dasar</t>
  </si>
  <si>
    <t>1.3.8. Penyelenggaraan akreditasi sekolah dasar</t>
  </si>
  <si>
    <t xml:space="preserve">1.3.9. Penyediaan Guru Kontrak dan Honor Daerah (HONDA) Jenjang SD dan SMP  </t>
  </si>
  <si>
    <t xml:space="preserve">1.3.10.Pengadaan Pakaian Seragam, Buku Raport, Buku Ajar sekolah SD dan SMP  </t>
  </si>
  <si>
    <t>1.3.11.Pelaksanaan Ujian SD dan SMP</t>
  </si>
  <si>
    <t xml:space="preserve">1.3.12.Pembangunan Mess Guru Sekolah Dasar </t>
  </si>
  <si>
    <t>1.4.1. Seleksi Lomba Olimpiade Sains Nasional Tingkat Sekolah Menengah Pertama</t>
  </si>
  <si>
    <t>1.4.2. Pelatihan Kurikulum PKHS Tingkat Sekolah Menengah Pertama</t>
  </si>
  <si>
    <t>1.4.3. Pengadaan Komputer</t>
  </si>
  <si>
    <t>1.5.1. Pengembangan Mutu dan Kualitas Data Pendidikan dan Pelatihan Operator Sekolah</t>
  </si>
  <si>
    <t>1.5.2. Workshop pemetaan mutu dan persiapan akreditasi PAUD dan Dikmas</t>
  </si>
  <si>
    <t>1.6.1. Peningkatan kompetensi tenaga pendidik dan kepala sekolah</t>
  </si>
  <si>
    <t>1.6.2. Monitoring, evaluasi dan pelaporan</t>
  </si>
  <si>
    <t xml:space="preserve">1.6.3. Pelatihan dan Sosialisasi Pengelolaan Dan Laporan Dana BOS </t>
  </si>
  <si>
    <t>1.6.5. Monitoring dan Evaluasi ( Bagian Kepegawaian)</t>
  </si>
  <si>
    <t>1.6.4. Diklat pengawas sekolah dan calon pengawas sekolah</t>
  </si>
  <si>
    <t>1.6.6. Sosialisasi Penjaminan Mutu Pendidikan (PMP)</t>
  </si>
  <si>
    <t>1.6.7. Pelaksanaan peringatan hari-hari besar</t>
  </si>
  <si>
    <t>1.7.1. Penerapan sistem dan informasi manajemen pendidikan</t>
  </si>
  <si>
    <t>1.7.2. Monitoring, evaluasi dan pelaporan</t>
  </si>
  <si>
    <t>1.7.3. Penyediaan Data Valid Kegiatan Monitoring, evaluasi dan pelaporan</t>
  </si>
  <si>
    <t>1.7.4. Pelaksanaan Kegiatan Pelatihan Operator Sekolah</t>
  </si>
  <si>
    <t>1.7.5. Pelaksanaan Kegiatan Pelatihan Operator PMP</t>
  </si>
  <si>
    <t>2.2.3. Pelatihan Manajemen Puskesmas</t>
  </si>
  <si>
    <t>2.2.4. Pelatihan Manajemen Aplikasi Sarana Prasarana Kesehatan (ASPAK)</t>
  </si>
  <si>
    <t>2.3.1. Pelayanan Manajemen Aparatur Sipil Negara (ASN)</t>
  </si>
  <si>
    <t>2.4. Program Obat dan Perbekalan Kesehatan</t>
  </si>
  <si>
    <t>2.4.1. Peningkatan mutu pelayanan farmasi komunitas dan rumah sakit</t>
  </si>
  <si>
    <t>2.4.2. Dukungan perencanaan obat dan perbekalan kesehatan</t>
  </si>
  <si>
    <t>2.5. Program Upaya Kesehatan Masyarakat</t>
  </si>
  <si>
    <t>2.5.1. Peningkatan pelayanan dan penanggulangan masalah kesehatan</t>
  </si>
  <si>
    <t>2.6. Program Promosi Kesehatan dan Pemberdayaan Masyarakat</t>
  </si>
  <si>
    <t>2.6.1. Penyuluhan masyarakat pola hidup sehat</t>
  </si>
  <si>
    <t>2.6.2. Peningkatan pendidikan tenaga penyuluh kesehatan</t>
  </si>
  <si>
    <t>2.7.1. Pemberian tambahan makanan dan vitamin</t>
  </si>
  <si>
    <t>2.7.2. Pemberian Vitamin A</t>
  </si>
  <si>
    <t>2.7.3. Pelacakan Gizi Buruk, Kurang Gizi, Dan Balita Stunting</t>
  </si>
  <si>
    <t>2.8.1. Sosialisasi kebijakan lingkungan sehat</t>
  </si>
  <si>
    <t>2.9.1. Pelayanan pencegahan dan penanggulangan penyakit menular</t>
  </si>
  <si>
    <t>2.9.2. Sosialisasi kader Posbindu</t>
  </si>
  <si>
    <t>2.9.3. Pelaksanaan sweeping imunisasi, Bulan Imunisasi Anak Sekolah (BIAS)</t>
  </si>
  <si>
    <t>2.10.1.Monitoring, evaluasi dan pelaporan</t>
  </si>
  <si>
    <t>2.10.2.Study Banding Ke Puskemas Akreditasi A</t>
  </si>
  <si>
    <t>2.10.3.Monitoring Standarisasi Pelayanan dan Registrasi Puskesmas</t>
  </si>
  <si>
    <t>2.10.4.Akreditasi Puskesmas</t>
  </si>
  <si>
    <t>2.11.Program pengadaan, peningkatan dan perbaikan sarana dan prasarana puskesmas/ puskemas pembantu dan jaringannya</t>
  </si>
  <si>
    <t>2.11.1.Pengadaan sarana dan prasarana puskesmas pembantu</t>
  </si>
  <si>
    <t>2.11.2. Pemeliharaan rutin/berkala sarana dan prasarana puskesmas</t>
  </si>
  <si>
    <t>2.12.Program peningkatan pelayanan kesehatan lansia</t>
  </si>
  <si>
    <t>2.12.1.Pelayanan pemeliharaan kesehatan</t>
  </si>
  <si>
    <t>4. DINAS PERUMAHAN RAKYAT, KAWASAN PEMUKIMAN DAN LINGKUNGAN HIDUP</t>
  </si>
  <si>
    <t>4.1.1. Pembangunan Rumah Layak Huni Yang Diserahkan Kepada Masyarakat Kampung</t>
  </si>
  <si>
    <t>4.1.2. Penyelesaian 166 Rumah Setengah Jadi Tahun 2019 di 10 Distrik</t>
  </si>
  <si>
    <t xml:space="preserve">4.1.3. Pembangunan Rumah Layak Huni Untuk masyarakat </t>
  </si>
  <si>
    <t>5. DINAS SOSIAL  DAN PEMBERDAYAAN MASYARAKAT KAMPUNG</t>
  </si>
  <si>
    <t xml:space="preserve">5.1. Program Peningkatan Sarana dan Prasarana Aparatur </t>
  </si>
  <si>
    <t>5.1.1. Pemeliharaan rutin/berkala Asrama Mahasiswa</t>
  </si>
  <si>
    <t>5.2. Program peningkatan disiplin aparatur</t>
  </si>
  <si>
    <t>5.2.1. Pengadaan pakaian dinas beserta perlengkapannya</t>
  </si>
  <si>
    <t>5.3. Program pembinaan eks penyandang penyakit sosial (eks narapidana, PSK, narkoba dan penyakit sosial lainnya)</t>
  </si>
  <si>
    <t>5.3.1. Pembangunan pusat bimbingan/konseling bagi eks penyandang penyakit sosial</t>
  </si>
  <si>
    <t>5.4. Program Pemberdayaan Kelembagaan Kesejahteraan Sosial</t>
  </si>
  <si>
    <t>5.4.1. Kelembagaan Masyarakat Dalam Membangun Profil Desa</t>
  </si>
  <si>
    <t>5.5. Program Penataan Daerah Otonomi Baru</t>
  </si>
  <si>
    <t>5.5.1. Pembangunan Balai Kampung</t>
  </si>
  <si>
    <t xml:space="preserve">5.6. Program Peningkatan Kapasitas Sumber Daya Aparatur Kampung Bidang Pemberdayaan </t>
  </si>
  <si>
    <t>5.6.1. Penyusunan RKP dan APBK</t>
  </si>
  <si>
    <t>6.1. Program Kesiapsiagaan dan Pencegahan</t>
  </si>
  <si>
    <t>6.1.1. Pemetaan Pencegahan dan Kesiapsiagaan</t>
  </si>
  <si>
    <t xml:space="preserve">7.1. Program Peningkatan Sarana dan Prasarana Aparatur </t>
  </si>
  <si>
    <t>7.1.1. Rehabilitasi sedang/berat gedung kantor</t>
  </si>
  <si>
    <t>7.2.1. Sosialisasi PUG</t>
  </si>
  <si>
    <t>7.2.2. Perlindungan Anak Terpadu Berbasis Masyarakat</t>
  </si>
  <si>
    <t>7.2.3. Sosialisasi tentang Kota Layak Anak</t>
  </si>
  <si>
    <t>7.3.1. Fasilitasi Upaya Perlindungan Perempuan Terhadap Tindak Kekerasan</t>
  </si>
  <si>
    <t>7.3.2. Sosialisasi Pusat Pelayanan Terpadu Perlindungan Perempuan dan anak (P2TP2A)</t>
  </si>
  <si>
    <t>7.4.1. Penyusunan Profil gender</t>
  </si>
  <si>
    <t>7.4.2. Perencanaan Aksi Daerah PUG dan Kabupaten Layak Anak</t>
  </si>
  <si>
    <t>8. DINAS  ADMINISTRASI KEPENDUDUKAN, PENCATATAN SIPIL DAN KELUARGA BERENCANA</t>
  </si>
  <si>
    <t>8.1. Program Penataan Administrasi Kependudukan</t>
  </si>
  <si>
    <t>8.1.1. Sosialisasi Pemanfaatan Data</t>
  </si>
  <si>
    <t>8.1.2. Sosialisasi pencatatan perkawinan</t>
  </si>
  <si>
    <t>8.1.3. Perekaman mobile KTP elektronik</t>
  </si>
  <si>
    <t>8.1.4. Sosialisasi Pendaftaran Penduduk</t>
  </si>
  <si>
    <t>9. DINAS PERHUBUNGAN,  PERIKANAN DAN PERTANAHAN</t>
  </si>
  <si>
    <t>10. DINAS PENANAMAN MODAL, KOPERASI USAHA KECIL DAN MENENGAH, TENAGA KERJA DAN PELAYANAN TERPADU SATU PINTU</t>
  </si>
  <si>
    <t>9.1. Program peningkatan kelaikan pengoperasian kendaraan bermotor</t>
  </si>
  <si>
    <t xml:space="preserve">9.1.1. Pelaksanaan uji petik kendaraan bermotor </t>
  </si>
  <si>
    <t>10.1. Program Pelayanan Administrasi Perkantoran</t>
  </si>
  <si>
    <t>10.1.1. Penyediaan jasa pemeliharaan dan perizinan kendaraan dinas/operasional</t>
  </si>
  <si>
    <t>10.1.2. Penyediaan jasa administrasi keuangan</t>
  </si>
  <si>
    <t>10.1.3. Penyediaan jasa kebersihan kantor</t>
  </si>
  <si>
    <t>10.1.4. Penyediaan alat tulis kantor</t>
  </si>
  <si>
    <t>10.1.5. Rapat-rapat koordinasi dan konsultasi ke luar daerah</t>
  </si>
  <si>
    <t xml:space="preserve">10.2. Program Peningkatan Sarana dan Prasarana Aparatur </t>
  </si>
  <si>
    <t>10.2.1. Pengadaan perlengkapan gedung kantor</t>
  </si>
  <si>
    <t>10.2.2. Pengadaan Bandwidht V-Sat Perizinan</t>
  </si>
  <si>
    <t>10.3. Program penyiapan potensi sumberdaya, sarana, dan prasarana daerah</t>
  </si>
  <si>
    <t>10.3.1. Bantuan Modal Usaha Kepada Pelaku Usaha Orang Asli Papua</t>
  </si>
  <si>
    <t>10.4. Program Peningkatan Kualitas Kelembagaan Koperasi</t>
  </si>
  <si>
    <t>10.4.1. Sosialisasi Prinsip-Prinsip Pemahaman Perkoperasian</t>
  </si>
  <si>
    <t>10.4.2. Peningkatan dan Pengembangan Jaringan Kerja Sama Usaha Koperasi</t>
  </si>
  <si>
    <t>10.4.3. Peningkatan Usaha Koperasi Majelis Daerah dan Koperasi PW Wilayah</t>
  </si>
  <si>
    <t>11. DINAS PERTANIAN DAN KETAHANAN PANGAN</t>
  </si>
  <si>
    <t>11.1. Program Peningkatan Kesejahteraan Petani</t>
  </si>
  <si>
    <t>11.1.1. Magang Petani dan Penyuluh</t>
  </si>
  <si>
    <t>11.2. Program Peningkatan Ketahanan Pangan (pertanian/perkebunan)</t>
  </si>
  <si>
    <t>11.2.1. Laporan berkala kondisi ketahanan pangan daerah</t>
  </si>
  <si>
    <t>11.2.2. Lomba Cipta Menu Berbasis Pangan Lokal Tingkat Provinsi Papua Barat</t>
  </si>
  <si>
    <t>11.2.3. Expo Hari Pangan Sedunia</t>
  </si>
  <si>
    <t>11.2.4. Pengembangan Penganekaragaman Konsumsi Pangan (P2KP) bagi Kelompok Wanita Tani</t>
  </si>
  <si>
    <t>11.3. Program peningkatan produksi pertanian/perkebunan</t>
  </si>
  <si>
    <t>11.3.1. Penyediaan sarana produksi pertanian/perkebunan</t>
  </si>
  <si>
    <t>11.3.2. Pengembangan bibit unggul pertanian/perkebunan</t>
  </si>
  <si>
    <t>11.3.3. Pengembangan Tanaman Sayuran Dataran Tinggi</t>
  </si>
  <si>
    <t>11.4. Program pencegahan dan penanggulangan penyakit ternak</t>
  </si>
  <si>
    <t>11.4.1. Pendataan masalah peternakan</t>
  </si>
  <si>
    <t>11.4.2. Pemeliharaan kesehatan dan pencegahan penyakit menular ternak</t>
  </si>
  <si>
    <t>11.5. Program peningkatan produksi hasil peternakan</t>
  </si>
  <si>
    <t>11.5.1. Pendistribusian bibit ternak  kepada masyarakat</t>
  </si>
  <si>
    <t>11.6. Program peningkatan produksi peternakan</t>
  </si>
  <si>
    <t>11.6.1. Pekan Nasional Kontak Tani Nelayan Andalan (KTNA)</t>
  </si>
  <si>
    <t>12. SEKRETARIAT DAERAH</t>
  </si>
  <si>
    <t xml:space="preserve">12.1. Program Peningkatan Sarana dan Prasarana Aparatur </t>
  </si>
  <si>
    <t>12.1.1. Pengadaan Kendaraan dinas/operasional</t>
  </si>
  <si>
    <t>12.2. Program Pembinaan Dan Pengembangan Bidang Ketenagalistrikan</t>
  </si>
  <si>
    <t>12.2.1. Penyediaan Instalasi listrik dan penyambungan meter prabayar</t>
  </si>
  <si>
    <t>12.2.2. Survey Pra Studi Kelayakan Energi Baru</t>
  </si>
  <si>
    <t>12.2.3. Survey Pembangunan Jaringan Listrik Dan Potensi Pelanggan</t>
  </si>
  <si>
    <t>12.3. Program peningkatan efisiensi perdagangan dalam negeri</t>
  </si>
  <si>
    <t xml:space="preserve">12.3.1. Pembangunan Pasar </t>
  </si>
  <si>
    <t>12.3.2. Pembangunan Pasar Rakyat Tertata</t>
  </si>
  <si>
    <t>12.3.3. Revitalisasi Pembangunan Pasar</t>
  </si>
  <si>
    <t>12.3.4. Rehabilitasi Pasar Rakyat</t>
  </si>
  <si>
    <t>13. DISTRIK ANGGI</t>
  </si>
  <si>
    <t>13.1.1. Bimbingan teknis tentang prosedur kerja administrasi perkantoran</t>
  </si>
  <si>
    <t>13.2. Program Penataan dan Pengembangan Aparatur dan Organisasi</t>
  </si>
  <si>
    <t>13.2.1. Lomba Kebersihan Antar Kampung</t>
  </si>
  <si>
    <t>14. DISTRIK ANGGI GIDA</t>
  </si>
  <si>
    <t>14.1. Program Peningkatan Kapasitas Sumber Daya Aparatur</t>
  </si>
  <si>
    <t>14.1.1. Bimbingan teknis tentang prosedur kerja administrasi perkantoran</t>
  </si>
  <si>
    <t>14.2. Program Penataan dan Pengembangan Aparatur dan Organisasi</t>
  </si>
  <si>
    <t>14.2.1. Lomba Kebersihan Antar Kampung</t>
  </si>
  <si>
    <t>14.3. Program Pelayanan dan Peningkatan Kesejahteraan Sosial</t>
  </si>
  <si>
    <t>14.3.1. Fasilitasi permodalan bagi kelompok tani</t>
  </si>
  <si>
    <t>15. DISTRIK MEMBEY</t>
  </si>
  <si>
    <t>15.1.1. Bimbingan teknis tentang prosedur kerja administrasi perkantoran</t>
  </si>
  <si>
    <t>15.2. Program Penataan dan Pengembangan Aparatur dan Organisasi</t>
  </si>
  <si>
    <t>15.2.1. Lomba Kebersihan Antar Kampung</t>
  </si>
  <si>
    <t>16. DISTRIK SURUREY</t>
  </si>
  <si>
    <t>16.1. Program Penataan dan Pengembangan Aparatur dan Organisasi</t>
  </si>
  <si>
    <t>16.1.1. Lomba Kebersihan Antar Kampung</t>
  </si>
  <si>
    <t>16.2. Program Pelayanan dan Peningkatan Kesejahteraan Sosial</t>
  </si>
  <si>
    <t>16.2.1. Fasilitasi permodalan bagi kelompok tani</t>
  </si>
  <si>
    <t>17. DISTRIK DIDOHU</t>
  </si>
  <si>
    <t>17.1. Program Penataan dan Pengembangan Aparatur dan Organisasi</t>
  </si>
  <si>
    <t>17.1.1. Lomba Kebersihan Antar Kampung</t>
  </si>
  <si>
    <t>18. DISTRIK TAIGE</t>
  </si>
  <si>
    <t>18.1. Program Penataan dan Pengembangan Aparatur dan Organisasi</t>
  </si>
  <si>
    <t>18.1.1. Lomba Kebersihan Antar Kampung</t>
  </si>
  <si>
    <t>18.2. Program Pelayanan dan Peningkatan Kesejahteraan Sosial</t>
  </si>
  <si>
    <t>18.2.1. Fasilitasi permodalan bagi kelompok tani</t>
  </si>
  <si>
    <t>19. DISTRIK CATUBOUW</t>
  </si>
  <si>
    <t>19.1. Program Peningkatan Kapasitas Sumber Daya Aparatur</t>
  </si>
  <si>
    <t>19.1.1. Bimbingan teknis tentang prosedur kerja administrasi perkantoran</t>
  </si>
  <si>
    <t>19.2. Program Penataan Daerah Otonomi Baru</t>
  </si>
  <si>
    <t>19.2.1. Monitoring dan Evaluasi Pemerintahan di Tingkat Kampung</t>
  </si>
  <si>
    <t>19.3. Program Penataan dan Pengembangan Aparatur dan Organisasi</t>
  </si>
  <si>
    <t>19.3.1. Lomba Kebersihan Antar Kampung</t>
  </si>
  <si>
    <t>20. DISTRIK TESTEGA</t>
  </si>
  <si>
    <t xml:space="preserve">20.1. Program Peningkatan Sarana dan Prasarana Aparatur </t>
  </si>
  <si>
    <t>20.1.1. Rehabilitasi sedang/berat rumah jabatan</t>
  </si>
  <si>
    <t>20.2. Program Peningkatan Kapasitas Sumber Daya Aparatur</t>
  </si>
  <si>
    <t>20.2.1. Bimbingan teknis tentang prosedur kerja administrasi perkantoran</t>
  </si>
  <si>
    <t>20.3. Program Penataan dan Pengembangan Aparatur dan Organisasi</t>
  </si>
  <si>
    <t>20.3.1. Lomba Kebersihan Antar Kampung</t>
  </si>
  <si>
    <t>21. DISTRIK MINYAMBOUW</t>
  </si>
  <si>
    <t>21.1. Program Penataan dan Pengembangan Aparatur dan Organisasi</t>
  </si>
  <si>
    <t>21.1.1. Lomba Kebersihan Antar Kampung</t>
  </si>
  <si>
    <t>21.2. Program Pelayanan dan Peningkatan Kesejahteraan Sosial</t>
  </si>
  <si>
    <t>21.2.1. Fasilitasi permodalan bagi kelompok tani</t>
  </si>
  <si>
    <t>22. DISTRIK HINGK</t>
  </si>
  <si>
    <t>22.1. Program Penataan dan Pengembangan Aparatur dan Organisasi</t>
  </si>
  <si>
    <t>22.1.1. Lomba Kebersihan Antar Kampung</t>
  </si>
  <si>
    <t>22.2. Program Pelayanan dan Peningkatan Kesejahteraan Sosial</t>
  </si>
  <si>
    <t>22.2.1. Fasilitasi permodalan bagi kelompok tani</t>
  </si>
  <si>
    <t>23. BPKAD</t>
  </si>
  <si>
    <t>23.1. Non Program</t>
  </si>
  <si>
    <t>23.1.1. Bidang Pendidikan</t>
  </si>
  <si>
    <t>23.1.2. Bidang Kesehatan</t>
  </si>
  <si>
    <t>23.1.3. Bidang Sosial Masyarakat</t>
  </si>
  <si>
    <t>PROGRAM BERSAMA</t>
  </si>
  <si>
    <t>VERSI PERGUB</t>
  </si>
  <si>
    <t>OTSUS 2020</t>
  </si>
  <si>
    <t>ADAT &amp; PEMBERDYAAN PEREMPUAN</t>
  </si>
  <si>
    <t>LEMBAGA AMANAT UU</t>
  </si>
  <si>
    <t>BANTUAN LANGSUNG TUNAI</t>
  </si>
  <si>
    <t xml:space="preserve">9.3.1. Penataan Kembali Status Tanah dan Inventarisasi Sertifikat Tanah  </t>
  </si>
  <si>
    <t>1. BADAN PENGELOLA KEUANGAN DAN ASET DAERAH (PPKD)</t>
  </si>
  <si>
    <t>1.1. Belanja Hibah</t>
  </si>
  <si>
    <t>2. SEKRETARIAT DAERAH ( BIRO KESEJAHTERAAN SOSIAL)</t>
  </si>
  <si>
    <t>BANTUAN ADAT DAN PEMBERDAYAAN PEREMPUAN</t>
  </si>
  <si>
    <t>10.1. Program Peningkatan Kapasitas Pelayanan Kesejahteraan di Provinsi Papua Barat</t>
  </si>
  <si>
    <t>10.1.1. Pengadaan Alat-alat Penerangan bagi Masyarakat di Provinsi Papua Barat</t>
  </si>
  <si>
    <t>10.1.2. Pengadaan Peralatan musik bagi kelompok seni</t>
  </si>
  <si>
    <t>10.1.3. Penyediaan Bantuan Usaha Masyarakat</t>
  </si>
  <si>
    <t>10.1.4. Pengadaan peralatan olah raga bagi sekolah sepak bola usia dini</t>
  </si>
  <si>
    <t>10.2. Peningkatan Koordinasi dan Fasilitasi Pendidikan</t>
  </si>
  <si>
    <t>10.2.1. Renovasi Dan Pengawasan Aula, Ruang Kelas dan Kantor Sekolah Alkitab Minyambouw</t>
  </si>
  <si>
    <t>10.2.2. Penyusunan Masterplan DED Pembangunan Sekolah Alkitab Minyambou (SAM)</t>
  </si>
  <si>
    <t>10.3. Program Peningkatan Kualitas Kaimanan dan Ketaqwaan TYME</t>
  </si>
  <si>
    <t>10.3.1. Ziarah Keagamaan Perjalanan ke Tanah Suci Umat Beragama di Provinsi Papua Barat</t>
  </si>
  <si>
    <t>1. DINAS PEMBERDAYAAN MASYARAKAT DAN KAMPUNG</t>
  </si>
  <si>
    <t>2. DINAS PEMBERDAYAAN PEREMPUAN DAN PERLINDUNGAN ANAK</t>
  </si>
  <si>
    <t>PROVINSI             : PAPUA BARAT</t>
  </si>
  <si>
    <t xml:space="preserve">3.1. Program Pelayanan dan Rehabilitasi Kesejahteraan Sosial </t>
  </si>
  <si>
    <t>F</t>
  </si>
  <si>
    <t xml:space="preserve">1.7.7. Monitoring Pengawasan Sekolah  </t>
  </si>
  <si>
    <t>1. DINAS PENDIDIKAN PEMUDA DAN OLAHRAGA</t>
  </si>
  <si>
    <t>3. DINAS PERUMAHAN DAN KAWASAN PERMUKIMAN</t>
  </si>
  <si>
    <t>5. DINAS KEPENDUDUKAN DAN PENCATATA SIPIL</t>
  </si>
  <si>
    <t>6. DINAS KOPERASI, PERINDUSTRIAN DAN PERDAGANGAN</t>
  </si>
  <si>
    <t>7. DINAS PARIWISATA DAN KEBUDAYAAN</t>
  </si>
  <si>
    <t>11. INSPEKTORAT</t>
  </si>
  <si>
    <t>12. BADAN PERENCANAAN PEMBANGUNAN DAERAH, PENELITIAN DAN PENGEMBANGAN</t>
  </si>
  <si>
    <t>13. BADAN PENGELOLA KEUANGAN DAN ASET DAERAH</t>
  </si>
  <si>
    <t>31. BADAN PENGELOLA KEUANGAN DAN ASSET DAERAH  (PPKD)</t>
  </si>
  <si>
    <t xml:space="preserve">25.1.1.1 Badan/Lembaga/Organisasi Swasta .....  </t>
  </si>
  <si>
    <t xml:space="preserve">25.1.1.4 Belanja Hibah Keagamaan </t>
  </si>
  <si>
    <t xml:space="preserve">25.1.1.1 Belanja Bantuan Sosial Kepada ......  </t>
  </si>
  <si>
    <t xml:space="preserve">25.1.1.3 Belanja Bantuan Keuangan Kepada Desa ......  </t>
  </si>
  <si>
    <t>3. DINAS KOPERASI DAN USAHA MIKRO KECIL DAN MENENGAH</t>
  </si>
  <si>
    <t>6.5.2. Bantuan Peralatan Usaha Bagi UKM OAP 1</t>
  </si>
  <si>
    <t>6.5.3. Bantuan Peralatan Usaha Bagi UKM OAP 2</t>
  </si>
  <si>
    <t xml:space="preserve">6.5.4. Pameran Produk Unggulan Dan Investasi Daerah </t>
  </si>
  <si>
    <t xml:space="preserve">6.5.5. Bantuan Peralatan Bagi Koperasi </t>
  </si>
  <si>
    <t>6.5.6. Peningkatan Promosi KUMKM (SME TOWER)</t>
  </si>
  <si>
    <t>5.3. Program Pengembangan Ekonomi Kampung</t>
  </si>
  <si>
    <t>5.3.1. Pelatihan dan magang pengelolaan BUMDes baru</t>
  </si>
  <si>
    <t>5.3.2. Pelatihan dan pendampingan pengeloaan kampung wisata</t>
  </si>
  <si>
    <t>5.3.3. Pelatihan dan Pemberian Stimulan bagi kelompok masyarakat pesisir papua di kampung</t>
  </si>
  <si>
    <t>5.3.4. Bantuan mesin cetak batu bata dan batu tela</t>
  </si>
  <si>
    <t>4.5.8. Sosialisasi dan Advokasi Permen PP &amp; PA No. 10 Tahun 2011 ttg Kebijakan Penanganan Anak Berkebutuhan Khusus dan Bina Diri ABK Bersumberdaya Masyarakat</t>
  </si>
  <si>
    <t>2.1. Program Peningkatan Sarana Prasarana Lembaga Organisasi Keagamaan</t>
  </si>
  <si>
    <t>2.1.1.Pembangunan Kantor Sekretariat Keagamaan Gereja Pantekosta di Indonesia Provinsi Papua Barat</t>
  </si>
  <si>
    <t>2.2. Program Peningkatan Sarana Prasarana Rumah Peribadatan Lembaga Sosial Keagamaan</t>
  </si>
  <si>
    <t>2.2.1. Pembangunan Lanjutan Tahap II Gedung Central OIKUMENE GPKAI Kabupaten Manokwari</t>
  </si>
  <si>
    <t>2.2.2. Pembangunan Gedung Gereja Jemaat Ruben Fait Majin GKI Klasis Maybrat</t>
  </si>
  <si>
    <t>2.2.3. Pembangunan Lanjutan Tahap ke II Gedung Gereja Jemaat Imanuel Segor GKI Klasis Maybrat</t>
  </si>
  <si>
    <t>2.2.4. Pembangunan Rumah Pastori Bagi Hamba - hamba Tuhan</t>
  </si>
  <si>
    <t>2.2.5. Pengadaan Sound System dan Kursi bagi Organisasi Gereja</t>
  </si>
  <si>
    <t>2.2.6. Pembangunan Rumah Ibadah Mezbah Nuh</t>
  </si>
  <si>
    <t>2.2.7. Pengadaan Sarana Prasarana Interior dan Meubelair Gedung Lembaga Sosial Keagamaan 2 Gedung</t>
  </si>
  <si>
    <t>2.3. Program Peningkatan Kualitas Kaimanan dan Ketaqwaan TYME</t>
  </si>
  <si>
    <t>2.3.1. Ziarah Keagamaan Perjalanan ke Tanah Suci Umat Beragama di Provinsi Papua Barat</t>
  </si>
  <si>
    <t xml:space="preserve">1.1. Program Peningkatan Keberdayaan Masyarakat Lokal Papua </t>
  </si>
  <si>
    <t>1.1.1.  Pelatihan Manajemen pemasaran bagi kelompok usaha papua (Mama-mama dan pemuda)</t>
  </si>
  <si>
    <t>1.1.2.  Pelatihan dan pendampingan Manajemen usaha bagi pengusaha OAP</t>
  </si>
  <si>
    <t xml:space="preserve">1.1.3. Pemberian Bantuan stimulan usaha kuliner bagi orang asli papua (OAP) </t>
  </si>
  <si>
    <t xml:space="preserve">1.1.4. Penyediaan Solar Sel bagi Masyarakat Kampung </t>
  </si>
  <si>
    <t xml:space="preserve">1.1.5. Bahan Bangunan Rumah (BBR) untuk masyarakat di kampung </t>
  </si>
  <si>
    <t xml:space="preserve">1.1.6. Bantuan Mesin pengemas makanan tradisional dalam kemasan kaleng </t>
  </si>
  <si>
    <t xml:space="preserve">1.1.7. Pelatihan dan bantuan pembuatan kosmetik dari coklat dan buah merah </t>
  </si>
  <si>
    <t>1.1.8. Pengembangan SDM dalam mengelola produk kuliner tradisional dalam kemasan kaleng</t>
  </si>
  <si>
    <t>1.1.9. Pemanfaatan dan pengembangan sanitasi air bersih</t>
  </si>
  <si>
    <t xml:space="preserve">2.1. Program Peningkatan Kesejahteraan dan Perlindungan Anak </t>
  </si>
  <si>
    <t>2.1.1. Pagelaran Seni Tari Kreativitas Budaya  Adat Papua bagi Anak Tingkat SD Dalam Rangka Hari Anak Nasional</t>
  </si>
  <si>
    <t>2.1.2.Pelatihan dan Fasilitasi Posyandu bagi Kader Asli Papua</t>
  </si>
  <si>
    <t xml:space="preserve">3.1. Program Pengembangan Pendukung Usaha Bagi KUMKM </t>
  </si>
  <si>
    <t>3.1.1. Pameran Produk Unggulan Daerah 2</t>
  </si>
  <si>
    <t>G</t>
  </si>
  <si>
    <t>1.1.  Bantuan Hibah Fakultas Kedokteran UNIPA</t>
  </si>
  <si>
    <t>1.2. Bantuan Sosial Study Lanjutan (Kedokteran dan Penerbangan)</t>
  </si>
  <si>
    <t xml:space="preserve">1.3. Bantuan Tidak Direncanakan </t>
  </si>
  <si>
    <t>2.12. Program peningkatan pelayanan kesehatan lansia</t>
  </si>
  <si>
    <t>2.11. Program pengadaan, peningkatan dan perbaikan sarana dan prasarana puskesmas/ puskemas pembantu dan jaringannya</t>
  </si>
  <si>
    <t>2.10. Program Standarisasi Pelayanan Kesehatan</t>
  </si>
  <si>
    <t>2.4. Program Pengawasan Dan Pengendalian Kesehatan Makanan</t>
  </si>
  <si>
    <t>5. DINAS PERUMAHAN DAN KAWASAN PEMUKIMAN</t>
  </si>
  <si>
    <t xml:space="preserve">3.3.2. Stimulan KUBE UEP FM perkotaan </t>
  </si>
  <si>
    <t>4.4.7. Peringatan Hari Ibu dengan Tema : Meningkatkan Peran Perempuan untuk mendorong Generasi Papua Unggul</t>
  </si>
  <si>
    <t>10.Kab. Sorong</t>
  </si>
  <si>
    <t xml:space="preserve">11.Teluk Wondama </t>
  </si>
  <si>
    <t>12.Tambrauw</t>
  </si>
  <si>
    <t>13.Manokwari Selatan</t>
  </si>
  <si>
    <t>1.  Manokwari</t>
  </si>
  <si>
    <t>2.  Kota Sorong</t>
  </si>
  <si>
    <t>3.  Teluk Bintuni</t>
  </si>
  <si>
    <t>4.  Fakfak</t>
  </si>
  <si>
    <t>5.  Raja Ampat</t>
  </si>
  <si>
    <t>6.  Kaimana</t>
  </si>
  <si>
    <t>7.  Maybrat</t>
  </si>
  <si>
    <t>8.  Pegaf</t>
  </si>
  <si>
    <t>9.  Sorong Selatan</t>
  </si>
  <si>
    <t>TAHUN 2020</t>
  </si>
  <si>
    <t xml:space="preserve">TAHUN 2020   </t>
  </si>
  <si>
    <t>9.1. Belanja Bantuan Sosial Masyarakat</t>
  </si>
  <si>
    <t>BANTUAN KEPADA LEMBAGA/YAYASAN SESUAI AMANAT UNDANG-UNDANG</t>
  </si>
  <si>
    <t xml:space="preserve">2.2.1. Pengadaan Sarana Penunjang Instalasi Farmasi  </t>
  </si>
  <si>
    <t xml:space="preserve">2.2.1. Pengadaan Sarana Penunjang Instalasi Farmasi </t>
  </si>
  <si>
    <t xml:space="preserve">5.1.6. Pembangunan Rumah Guru SD di Kampung Dasri di Distrik Sunook </t>
  </si>
  <si>
    <t xml:space="preserve">5.1.7. Pemb. Rumah Tenaga Medis di Kampung Sailolof Dist. Salawati Selatan </t>
  </si>
  <si>
    <t xml:space="preserve">5.1.8. Pemb. Rumah Tenaga Medis di Kampung Waliam Distrik Salawati Tengah </t>
  </si>
  <si>
    <t xml:space="preserve">5.1.9.Pembangunan Rumah Penduduk di Kampung Kamlin Distrik Wemak </t>
  </si>
  <si>
    <t xml:space="preserve">5.1.10.Pembangunan Rumah Penduduk di Distrik Malabotom </t>
  </si>
  <si>
    <t>NO</t>
  </si>
  <si>
    <t>I.</t>
  </si>
  <si>
    <t>II.</t>
  </si>
  <si>
    <t>PROVINSI  / KAB / KOTA</t>
  </si>
  <si>
    <t>10% S/D 20%</t>
  </si>
  <si>
    <t>MIN 20% s/d 30%</t>
  </si>
  <si>
    <t>III</t>
  </si>
  <si>
    <t>IV</t>
  </si>
  <si>
    <t>V</t>
  </si>
  <si>
    <t>VI</t>
  </si>
  <si>
    <t>VII</t>
  </si>
  <si>
    <t>PROV/KAB/KOTA</t>
  </si>
  <si>
    <t>ANGGARAN</t>
  </si>
  <si>
    <t>REALISASI</t>
  </si>
  <si>
    <t>I</t>
  </si>
  <si>
    <t>PROVINSI</t>
  </si>
  <si>
    <t>II</t>
  </si>
  <si>
    <t>% REALISASI</t>
  </si>
  <si>
    <t>% CAPAIAN OUTPUT</t>
  </si>
  <si>
    <t>SILPA</t>
  </si>
  <si>
    <t>DTI</t>
  </si>
  <si>
    <t>BANTUAN KEPADA LEMBAGA/YAYASAN  SESUAI AMANAT UNDANG-UNDANG</t>
  </si>
  <si>
    <t xml:space="preserve">                  Manokwari,         Februari   2020</t>
  </si>
  <si>
    <t>Manokwari,            Februari  2020</t>
  </si>
  <si>
    <t>Manokwari,              Februari 2020</t>
  </si>
  <si>
    <t>Manokwari,           Februari  2020</t>
  </si>
  <si>
    <t>Manokwari,        Februari  2020</t>
  </si>
  <si>
    <t>PROVINSI               : PAPUA BARAT</t>
  </si>
  <si>
    <t xml:space="preserve">                  Manokwari,         Februari  2020</t>
  </si>
  <si>
    <t>Manokwari,      Februari 2020</t>
  </si>
  <si>
    <t xml:space="preserve"> TAHUN ANGGARAN 2020</t>
  </si>
  <si>
    <t>SISA ANGGARAN</t>
  </si>
  <si>
    <t>CAPAIAN OUTPUT (%)</t>
  </si>
  <si>
    <t>1.4.  Program Peningkatan Mutu Pendidik dan Tenaga Kependidikan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</si>
</sst>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_);_(@_)"/>
    <numFmt numFmtId="167" formatCode="_-* #,##0.00_-;\-* #,##0.00_-;_-* &quot;-&quot;_-;_-@_-"/>
    <numFmt numFmtId="168" formatCode="_(* #,##0.0000_);_(* \(#,##0.0000\);_(* &quot;-&quot;_);_(@_)"/>
    <numFmt numFmtId="169" formatCode="_-* #,##0.0_-;\-* #,##0.0_-;_-* &quot;-&quot;_-;_-@_-"/>
    <numFmt numFmtId="170" formatCode="#,##0.000"/>
    <numFmt numFmtId="171" formatCode="#,##0.00_);\!\(#,##0.00\!\)"/>
    <numFmt numFmtId="172" formatCode="0.000"/>
    <numFmt numFmtId="173" formatCode="_(* #,##0_);_(* \(#,##0\);_(* &quot;-&quot;??_);_(@_)"/>
    <numFmt numFmtId="174" formatCode="#,##0.00_ ;\-#,##0.00\ "/>
  </numFmts>
  <fonts count="1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i/>
      <sz val="11"/>
      <color rgb="FFFF0000"/>
      <name val="Calibri"/>
      <family val="2"/>
    </font>
    <font>
      <i/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  <charset val="1"/>
      <scheme val="minor"/>
    </font>
    <font>
      <b/>
      <i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i/>
      <sz val="11"/>
      <color rgb="FFFF0000"/>
      <name val="Calibri"/>
      <family val="2"/>
      <scheme val="minor"/>
    </font>
    <font>
      <i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  <scheme val="minor"/>
    </font>
    <font>
      <i/>
      <sz val="10"/>
      <color theme="1"/>
      <name val="Calibri"/>
      <family val="2"/>
    </font>
    <font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indexed="8"/>
      <name val="Calibri"/>
      <family val="2"/>
    </font>
    <font>
      <b/>
      <i/>
      <sz val="11"/>
      <color rgb="FFFF0000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indexed="8"/>
      <name val="Calibri"/>
      <family val="2"/>
    </font>
    <font>
      <sz val="11"/>
      <color indexed="8"/>
      <name val="Arial"/>
      <family val="2"/>
    </font>
    <font>
      <b/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Arial"/>
      <family val="2"/>
    </font>
    <font>
      <b/>
      <sz val="16"/>
      <color indexed="8"/>
      <name val="Arial"/>
      <family val="2"/>
    </font>
    <font>
      <i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2"/>
      <color rgb="FFFF0000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i/>
      <sz val="11"/>
      <color theme="1"/>
      <name val="Arial"/>
      <family val="2"/>
    </font>
    <font>
      <i/>
      <sz val="11"/>
      <color indexed="8"/>
      <name val="Arial"/>
      <family val="2"/>
    </font>
    <font>
      <b/>
      <i/>
      <sz val="11"/>
      <color indexed="8"/>
      <name val="Calibri"/>
      <family val="2"/>
      <scheme val="minor"/>
    </font>
    <font>
      <i/>
      <sz val="12"/>
      <name val="Calibri"/>
      <family val="2"/>
    </font>
    <font>
      <sz val="12"/>
      <name val="Calibri"/>
      <family val="2"/>
    </font>
    <font>
      <sz val="12"/>
      <name val="Arial"/>
      <family val="2"/>
    </font>
    <font>
      <i/>
      <sz val="11"/>
      <color rgb="FFFF0000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1"/>
      <color rgb="FFFF0000"/>
      <name val="Arial"/>
      <family val="2"/>
    </font>
    <font>
      <i/>
      <sz val="11"/>
      <color rgb="FF000000"/>
      <name val="Arial"/>
      <family val="2"/>
    </font>
    <font>
      <i/>
      <sz val="12"/>
      <color indexed="8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1"/>
      <color indexed="10"/>
      <name val="Calibri"/>
      <family val="2"/>
    </font>
    <font>
      <b/>
      <sz val="14"/>
      <color theme="1"/>
      <name val="Calibri"/>
      <family val="2"/>
    </font>
    <font>
      <b/>
      <sz val="16"/>
      <name val="Calibri"/>
      <family val="2"/>
    </font>
    <font>
      <b/>
      <sz val="11"/>
      <color theme="1"/>
      <name val="Agency FB"/>
      <family val="2"/>
    </font>
    <font>
      <sz val="12"/>
      <color indexed="17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2"/>
      <color rgb="FFFF0000"/>
      <name val="Arial"/>
      <family val="2"/>
    </font>
    <font>
      <b/>
      <i/>
      <sz val="12"/>
      <color rgb="FFFF0000"/>
      <name val="Arial"/>
      <family val="2"/>
    </font>
    <font>
      <i/>
      <sz val="12"/>
      <color rgb="FFFF0000"/>
      <name val="Arial"/>
      <family val="2"/>
    </font>
    <font>
      <sz val="11"/>
      <color theme="0"/>
      <name val="Calibri"/>
      <family val="2"/>
    </font>
    <font>
      <sz val="11"/>
      <color theme="0"/>
      <name val="Calibri"/>
      <family val="2"/>
      <scheme val="minor"/>
    </font>
    <font>
      <sz val="12"/>
      <color indexed="17"/>
      <name val="Arial"/>
      <family val="2"/>
    </font>
    <font>
      <b/>
      <i/>
      <sz val="12"/>
      <color indexed="8"/>
      <name val="Arial"/>
      <family val="2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</font>
    <font>
      <i/>
      <sz val="12"/>
      <color rgb="FFFF0000"/>
      <name val="Calibri"/>
      <family val="2"/>
    </font>
    <font>
      <i/>
      <sz val="12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000000"/>
      <name val="Calibri"/>
      <family val="2"/>
    </font>
    <font>
      <i/>
      <sz val="12"/>
      <color rgb="FF000000"/>
      <name val="Calibri"/>
      <family val="2"/>
    </font>
    <font>
      <b/>
      <i/>
      <sz val="12"/>
      <color rgb="FFFF0000"/>
      <name val="Calibri"/>
      <family val="2"/>
    </font>
    <font>
      <sz val="12"/>
      <color theme="0"/>
      <name val="Calibri"/>
      <family val="2"/>
    </font>
    <font>
      <b/>
      <i/>
      <sz val="12"/>
      <name val="Calibri"/>
      <family val="2"/>
    </font>
    <font>
      <b/>
      <sz val="9"/>
      <color rgb="FFFF0000"/>
      <name val="Arial"/>
      <family val="2"/>
    </font>
    <font>
      <b/>
      <i/>
      <sz val="12"/>
      <color indexed="8"/>
      <name val="Calibri"/>
      <family val="2"/>
    </font>
    <font>
      <i/>
      <sz val="10"/>
      <color indexed="8"/>
      <name val="Arial"/>
      <family val="2"/>
    </font>
    <font>
      <b/>
      <sz val="1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name val="Arial"/>
      <family val="2"/>
    </font>
    <font>
      <sz val="8"/>
      <name val="Tahoma"/>
      <family val="2"/>
    </font>
    <font>
      <sz val="8"/>
      <color indexed="8"/>
      <name val="Tahoma"/>
      <family val="2"/>
    </font>
    <font>
      <sz val="9"/>
      <color indexed="8"/>
      <name val="Arial"/>
      <family val="2"/>
    </font>
    <font>
      <b/>
      <i/>
      <sz val="14"/>
      <color theme="1"/>
      <name val="Calibri"/>
      <family val="2"/>
    </font>
    <font>
      <u val="singleAccounting"/>
      <sz val="12"/>
      <color theme="1"/>
      <name val="Calibri"/>
      <family val="2"/>
    </font>
    <font>
      <b/>
      <i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color rgb="FF000000"/>
      <name val="Arial"/>
      <family val="2"/>
    </font>
    <font>
      <b/>
      <sz val="14"/>
      <color indexed="8"/>
      <name val="Arial"/>
      <family val="2"/>
    </font>
    <font>
      <b/>
      <sz val="14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</font>
    <font>
      <sz val="14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10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</borders>
  <cellStyleXfs count="69">
    <xf numFmtId="0" fontId="0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0" fontId="3" fillId="0" borderId="0"/>
    <xf numFmtId="41" fontId="16" fillId="0" borderId="0" applyFont="0" applyFill="0" applyBorder="0" applyAlignment="0" applyProtection="0"/>
    <xf numFmtId="0" fontId="16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3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9" fillId="0" borderId="0">
      <alignment vertical="top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top"/>
    </xf>
    <xf numFmtId="0" fontId="27" fillId="0" borderId="0">
      <alignment vertical="center"/>
    </xf>
    <xf numFmtId="41" fontId="83" fillId="0" borderId="0">
      <alignment vertical="top"/>
      <protection locked="0"/>
    </xf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13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2" fillId="0" borderId="16" xfId="0" applyFont="1" applyBorder="1"/>
    <xf numFmtId="0" fontId="6" fillId="2" borderId="0" xfId="0" applyFont="1" applyFill="1"/>
    <xf numFmtId="0" fontId="17" fillId="0" borderId="0" xfId="0" applyFont="1"/>
    <xf numFmtId="0" fontId="9" fillId="0" borderId="19" xfId="0" applyFont="1" applyBorder="1" applyAlignment="1">
      <alignment horizontal="left" vertical="center" wrapText="1"/>
    </xf>
    <xf numFmtId="43" fontId="18" fillId="0" borderId="33" xfId="2" applyFont="1" applyBorder="1" applyAlignment="1">
      <alignment horizontal="left" vertical="center" indent="1"/>
    </xf>
    <xf numFmtId="0" fontId="21" fillId="0" borderId="0" xfId="0" applyFont="1"/>
    <xf numFmtId="0" fontId="21" fillId="0" borderId="0" xfId="0" applyFont="1" applyFill="1"/>
    <xf numFmtId="0" fontId="0" fillId="0" borderId="8" xfId="0" applyFont="1" applyBorder="1"/>
    <xf numFmtId="0" fontId="0" fillId="0" borderId="4" xfId="0" applyFont="1" applyBorder="1"/>
    <xf numFmtId="0" fontId="7" fillId="0" borderId="0" xfId="0" applyFont="1" applyFill="1"/>
    <xf numFmtId="0" fontId="7" fillId="0" borderId="20" xfId="0" applyFont="1" applyBorder="1"/>
    <xf numFmtId="0" fontId="9" fillId="0" borderId="30" xfId="0" applyFont="1" applyBorder="1" applyAlignment="1">
      <alignment horizontal="left" vertical="top" wrapText="1"/>
    </xf>
    <xf numFmtId="0" fontId="5" fillId="0" borderId="8" xfId="0" applyFont="1" applyBorder="1"/>
    <xf numFmtId="0" fontId="0" fillId="0" borderId="0" xfId="0" applyFont="1"/>
    <xf numFmtId="0" fontId="0" fillId="0" borderId="12" xfId="0" applyFont="1" applyBorder="1"/>
    <xf numFmtId="0" fontId="26" fillId="0" borderId="0" xfId="0" applyFont="1"/>
    <xf numFmtId="0" fontId="34" fillId="0" borderId="0" xfId="0" applyFont="1" applyAlignment="1">
      <alignment horizontal="center"/>
    </xf>
    <xf numFmtId="0" fontId="25" fillId="0" borderId="0" xfId="0" applyFont="1"/>
    <xf numFmtId="0" fontId="18" fillId="0" borderId="0" xfId="0" applyFont="1"/>
    <xf numFmtId="0" fontId="26" fillId="2" borderId="0" xfId="0" applyFont="1" applyFill="1"/>
    <xf numFmtId="0" fontId="4" fillId="0" borderId="0" xfId="0" applyFont="1"/>
    <xf numFmtId="0" fontId="36" fillId="0" borderId="0" xfId="0" applyFont="1" applyFill="1"/>
    <xf numFmtId="0" fontId="24" fillId="0" borderId="0" xfId="0" applyFont="1"/>
    <xf numFmtId="0" fontId="24" fillId="0" borderId="0" xfId="0" applyFont="1" applyFill="1"/>
    <xf numFmtId="0" fontId="20" fillId="0" borderId="0" xfId="0" applyFont="1"/>
    <xf numFmtId="0" fontId="5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 vertical="center"/>
    </xf>
    <xf numFmtId="41" fontId="0" fillId="0" borderId="0" xfId="1" applyFont="1"/>
    <xf numFmtId="0" fontId="35" fillId="0" borderId="0" xfId="0" applyFont="1"/>
    <xf numFmtId="0" fontId="38" fillId="0" borderId="0" xfId="0" applyFont="1"/>
    <xf numFmtId="41" fontId="38" fillId="0" borderId="0" xfId="1" applyFont="1"/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22" fillId="0" borderId="0" xfId="0" applyFont="1" applyAlignment="1">
      <alignment horizontal="left" vertical="center" wrapText="1"/>
    </xf>
    <xf numFmtId="166" fontId="22" fillId="0" borderId="0" xfId="1" applyNumberFormat="1" applyFont="1" applyAlignment="1">
      <alignment vertical="center"/>
    </xf>
    <xf numFmtId="166" fontId="7" fillId="0" borderId="0" xfId="1" applyNumberFormat="1" applyFont="1"/>
    <xf numFmtId="0" fontId="42" fillId="0" borderId="0" xfId="0" applyFont="1"/>
    <xf numFmtId="41" fontId="42" fillId="0" borderId="0" xfId="1" applyFont="1"/>
    <xf numFmtId="0" fontId="22" fillId="0" borderId="10" xfId="0" quotePrefix="1" applyFont="1" applyBorder="1" applyAlignment="1">
      <alignment horizontal="center" vertical="center" wrapText="1"/>
    </xf>
    <xf numFmtId="49" fontId="22" fillId="0" borderId="10" xfId="1" quotePrefix="1" applyNumberFormat="1" applyFont="1" applyBorder="1" applyAlignment="1">
      <alignment horizontal="center" vertical="center"/>
    </xf>
    <xf numFmtId="0" fontId="39" fillId="2" borderId="4" xfId="0" applyFont="1" applyFill="1" applyBorder="1" applyAlignment="1">
      <alignment horizontal="left" vertical="center" wrapText="1"/>
    </xf>
    <xf numFmtId="166" fontId="39" fillId="2" borderId="7" xfId="1" applyNumberFormat="1" applyFont="1" applyFill="1" applyBorder="1" applyAlignment="1">
      <alignment vertical="center"/>
    </xf>
    <xf numFmtId="41" fontId="6" fillId="0" borderId="0" xfId="1" applyFont="1"/>
    <xf numFmtId="0" fontId="6" fillId="0" borderId="0" xfId="0" applyFont="1" applyFill="1"/>
    <xf numFmtId="0" fontId="39" fillId="0" borderId="8" xfId="0" applyFont="1" applyFill="1" applyBorder="1" applyAlignment="1">
      <alignment horizontal="left" vertical="center" wrapText="1"/>
    </xf>
    <xf numFmtId="166" fontId="39" fillId="0" borderId="8" xfId="1" applyNumberFormat="1" applyFont="1" applyFill="1" applyBorder="1" applyAlignment="1">
      <alignment vertical="center"/>
    </xf>
    <xf numFmtId="41" fontId="6" fillId="0" borderId="0" xfId="1" applyFont="1" applyFill="1"/>
    <xf numFmtId="0" fontId="39" fillId="0" borderId="11" xfId="0" applyFont="1" applyBorder="1" applyAlignment="1">
      <alignment horizontal="left" vertical="center" wrapText="1"/>
    </xf>
    <xf numFmtId="166" fontId="39" fillId="0" borderId="11" xfId="1" applyNumberFormat="1" applyFont="1" applyFill="1" applyBorder="1" applyAlignment="1">
      <alignment vertical="center"/>
    </xf>
    <xf numFmtId="41" fontId="12" fillId="0" borderId="0" xfId="1" applyFont="1"/>
    <xf numFmtId="0" fontId="39" fillId="0" borderId="8" xfId="0" applyFont="1" applyBorder="1" applyAlignment="1">
      <alignment horizontal="left" vertical="center" wrapText="1"/>
    </xf>
    <xf numFmtId="4" fontId="39" fillId="0" borderId="12" xfId="0" applyNumberFormat="1" applyFont="1" applyBorder="1" applyAlignment="1">
      <alignment horizontal="right" vertical="center"/>
    </xf>
    <xf numFmtId="0" fontId="43" fillId="0" borderId="4" xfId="0" applyFont="1" applyBorder="1" applyAlignment="1">
      <alignment horizontal="left" vertical="center" wrapText="1"/>
    </xf>
    <xf numFmtId="4" fontId="43" fillId="0" borderId="12" xfId="0" applyNumberFormat="1" applyFont="1" applyBorder="1" applyAlignment="1">
      <alignment horizontal="right" vertical="center"/>
    </xf>
    <xf numFmtId="0" fontId="39" fillId="0" borderId="4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166" fontId="43" fillId="0" borderId="4" xfId="1" applyNumberFormat="1" applyFont="1" applyFill="1" applyBorder="1" applyAlignment="1">
      <alignment horizontal="right" vertical="center"/>
    </xf>
    <xf numFmtId="0" fontId="43" fillId="0" borderId="7" xfId="0" applyFont="1" applyBorder="1" applyAlignment="1">
      <alignment horizontal="left" vertical="center" wrapText="1"/>
    </xf>
    <xf numFmtId="43" fontId="43" fillId="0" borderId="7" xfId="0" applyNumberFormat="1" applyFont="1" applyBorder="1" applyAlignment="1">
      <alignment horizontal="left" vertical="center"/>
    </xf>
    <xf numFmtId="4" fontId="39" fillId="0" borderId="11" xfId="0" applyNumberFormat="1" applyFont="1" applyBorder="1" applyAlignment="1">
      <alignment vertical="center"/>
    </xf>
    <xf numFmtId="0" fontId="39" fillId="0" borderId="12" xfId="0" applyFont="1" applyBorder="1" applyAlignment="1">
      <alignment horizontal="left" vertical="center" wrapText="1"/>
    </xf>
    <xf numFmtId="43" fontId="43" fillId="0" borderId="4" xfId="0" applyNumberFormat="1" applyFont="1" applyBorder="1" applyAlignment="1">
      <alignment horizontal="left" vertical="center"/>
    </xf>
    <xf numFmtId="166" fontId="43" fillId="0" borderId="4" xfId="1" applyNumberFormat="1" applyFont="1" applyFill="1" applyBorder="1" applyAlignment="1">
      <alignment vertical="center"/>
    </xf>
    <xf numFmtId="166" fontId="39" fillId="0" borderId="12" xfId="1" applyNumberFormat="1" applyFont="1" applyBorder="1" applyAlignment="1">
      <alignment vertical="center"/>
    </xf>
    <xf numFmtId="166" fontId="43" fillId="0" borderId="4" xfId="1" applyNumberFormat="1" applyFont="1" applyBorder="1" applyAlignment="1">
      <alignment vertical="center"/>
    </xf>
    <xf numFmtId="43" fontId="39" fillId="2" borderId="4" xfId="0" applyNumberFormat="1" applyFont="1" applyFill="1" applyBorder="1" applyAlignment="1">
      <alignment horizontal="left" vertical="center"/>
    </xf>
    <xf numFmtId="0" fontId="39" fillId="0" borderId="7" xfId="0" applyFont="1" applyBorder="1" applyAlignment="1">
      <alignment horizontal="left" vertical="center" wrapText="1"/>
    </xf>
    <xf numFmtId="0" fontId="0" fillId="5" borderId="0" xfId="0" applyFill="1"/>
    <xf numFmtId="41" fontId="0" fillId="5" borderId="0" xfId="1" applyFont="1" applyFill="1"/>
    <xf numFmtId="166" fontId="39" fillId="0" borderId="11" xfId="1" applyNumberFormat="1" applyFont="1" applyFill="1" applyBorder="1" applyAlignment="1">
      <alignment horizontal="right" vertical="center"/>
    </xf>
    <xf numFmtId="41" fontId="4" fillId="0" borderId="0" xfId="1" applyFont="1"/>
    <xf numFmtId="166" fontId="4" fillId="0" borderId="0" xfId="1" applyNumberFormat="1" applyFont="1"/>
    <xf numFmtId="166" fontId="43" fillId="0" borderId="8" xfId="1" applyNumberFormat="1" applyFont="1" applyFill="1" applyBorder="1" applyAlignment="1">
      <alignment horizontal="right" vertical="center"/>
    </xf>
    <xf numFmtId="0" fontId="43" fillId="0" borderId="4" xfId="0" applyFont="1" applyFill="1" applyBorder="1" applyAlignment="1">
      <alignment horizontal="left" vertical="center" wrapText="1"/>
    </xf>
    <xf numFmtId="166" fontId="39" fillId="0" borderId="4" xfId="1" applyNumberFormat="1" applyFont="1" applyBorder="1" applyAlignment="1">
      <alignment vertical="center" wrapText="1"/>
    </xf>
    <xf numFmtId="166" fontId="39" fillId="0" borderId="4" xfId="1" applyNumberFormat="1" applyFont="1" applyFill="1" applyBorder="1" applyAlignment="1">
      <alignment horizontal="right" vertical="center"/>
    </xf>
    <xf numFmtId="166" fontId="43" fillId="0" borderId="8" xfId="1" applyNumberFormat="1" applyFont="1" applyFill="1" applyBorder="1" applyAlignment="1">
      <alignment vertical="center"/>
    </xf>
    <xf numFmtId="49" fontId="43" fillId="0" borderId="4" xfId="4" applyNumberFormat="1" applyFont="1" applyBorder="1" applyAlignment="1">
      <alignment horizontal="left" vertical="center" wrapText="1"/>
    </xf>
    <xf numFmtId="166" fontId="43" fillId="0" borderId="7" xfId="1" applyNumberFormat="1" applyFont="1" applyBorder="1" applyAlignment="1">
      <alignment horizontal="left" vertical="center"/>
    </xf>
    <xf numFmtId="166" fontId="43" fillId="0" borderId="7" xfId="1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>
      <alignment horizontal="left" vertical="center" wrapText="1"/>
    </xf>
    <xf numFmtId="43" fontId="39" fillId="0" borderId="11" xfId="0" applyNumberFormat="1" applyFont="1" applyFill="1" applyBorder="1" applyAlignment="1">
      <alignment horizontal="left" vertical="center"/>
    </xf>
    <xf numFmtId="0" fontId="43" fillId="0" borderId="4" xfId="3" applyFont="1" applyBorder="1" applyAlignment="1">
      <alignment vertical="center" wrapText="1"/>
    </xf>
    <xf numFmtId="166" fontId="39" fillId="0" borderId="4" xfId="1" applyNumberFormat="1" applyFont="1" applyFill="1" applyBorder="1" applyAlignment="1">
      <alignment vertical="center"/>
    </xf>
    <xf numFmtId="166" fontId="43" fillId="0" borderId="8" xfId="1" applyNumberFormat="1" applyFont="1" applyBorder="1" applyAlignment="1">
      <alignment horizontal="left" vertical="center"/>
    </xf>
    <xf numFmtId="166" fontId="39" fillId="0" borderId="11" xfId="1" applyNumberFormat="1" applyFont="1" applyBorder="1" applyAlignment="1">
      <alignment horizontal="left" vertical="center"/>
    </xf>
    <xf numFmtId="166" fontId="39" fillId="0" borderId="8" xfId="1" applyNumberFormat="1" applyFont="1" applyBorder="1" applyAlignment="1">
      <alignment horizontal="left" vertical="center"/>
    </xf>
    <xf numFmtId="0" fontId="4" fillId="0" borderId="0" xfId="0" applyFont="1" applyBorder="1"/>
    <xf numFmtId="166" fontId="0" fillId="0" borderId="4" xfId="1" applyNumberFormat="1" applyFont="1" applyBorder="1"/>
    <xf numFmtId="0" fontId="22" fillId="0" borderId="4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8" xfId="0" applyFont="1" applyBorder="1" applyAlignment="1">
      <alignment horizontal="left" vertical="center" wrapText="1"/>
    </xf>
    <xf numFmtId="166" fontId="39" fillId="0" borderId="8" xfId="1" applyNumberFormat="1" applyFont="1" applyBorder="1" applyAlignment="1">
      <alignment horizontal="right" vertical="center"/>
    </xf>
    <xf numFmtId="0" fontId="44" fillId="0" borderId="12" xfId="0" applyFont="1" applyBorder="1" applyAlignment="1">
      <alignment horizontal="left" vertical="center" wrapText="1"/>
    </xf>
    <xf numFmtId="0" fontId="43" fillId="0" borderId="7" xfId="0" applyFont="1" applyFill="1" applyBorder="1" applyAlignment="1">
      <alignment horizontal="left" vertical="center" wrapText="1"/>
    </xf>
    <xf numFmtId="41" fontId="21" fillId="0" borderId="0" xfId="1" applyFont="1" applyFill="1"/>
    <xf numFmtId="0" fontId="13" fillId="0" borderId="0" xfId="0" applyFont="1" applyFill="1"/>
    <xf numFmtId="4" fontId="39" fillId="0" borderId="11" xfId="1" applyNumberFormat="1" applyFont="1" applyFill="1" applyBorder="1" applyAlignment="1">
      <alignment horizontal="right" vertical="center"/>
    </xf>
    <xf numFmtId="41" fontId="13" fillId="0" borderId="0" xfId="1" applyFont="1" applyFill="1"/>
    <xf numFmtId="4" fontId="39" fillId="0" borderId="12" xfId="1" applyNumberFormat="1" applyFont="1" applyFill="1" applyBorder="1" applyAlignment="1">
      <alignment horizontal="right" vertical="center"/>
    </xf>
    <xf numFmtId="4" fontId="43" fillId="0" borderId="12" xfId="1" applyNumberFormat="1" applyFont="1" applyFill="1" applyBorder="1" applyAlignment="1">
      <alignment horizontal="right" vertical="center"/>
    </xf>
    <xf numFmtId="166" fontId="22" fillId="0" borderId="4" xfId="1" applyNumberFormat="1" applyFont="1" applyFill="1" applyBorder="1" applyAlignment="1">
      <alignment vertical="center"/>
    </xf>
    <xf numFmtId="166" fontId="0" fillId="0" borderId="4" xfId="1" applyNumberFormat="1" applyFont="1" applyFill="1" applyBorder="1"/>
    <xf numFmtId="166" fontId="43" fillId="0" borderId="12" xfId="1" applyNumberFormat="1" applyFont="1" applyFill="1" applyBorder="1" applyAlignment="1">
      <alignment vertical="center"/>
    </xf>
    <xf numFmtId="166" fontId="43" fillId="0" borderId="4" xfId="0" applyNumberFormat="1" applyFont="1" applyFill="1" applyBorder="1" applyAlignment="1">
      <alignment horizontal="right" vertical="center"/>
    </xf>
    <xf numFmtId="0" fontId="22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vertical="center" wrapText="1"/>
    </xf>
    <xf numFmtId="4" fontId="39" fillId="0" borderId="4" xfId="1" applyNumberFormat="1" applyFont="1" applyFill="1" applyBorder="1" applyAlignment="1">
      <alignment horizontal="right" vertical="center"/>
    </xf>
    <xf numFmtId="4" fontId="43" fillId="0" borderId="4" xfId="1" applyNumberFormat="1" applyFont="1" applyFill="1" applyBorder="1" applyAlignment="1">
      <alignment horizontal="right" vertical="center"/>
    </xf>
    <xf numFmtId="4" fontId="43" fillId="0" borderId="8" xfId="1" applyNumberFormat="1" applyFont="1" applyFill="1" applyBorder="1" applyAlignment="1">
      <alignment horizontal="right" vertical="center"/>
    </xf>
    <xf numFmtId="0" fontId="43" fillId="0" borderId="8" xfId="0" applyFont="1" applyFill="1" applyBorder="1" applyAlignment="1">
      <alignment horizontal="left" vertical="center" wrapText="1"/>
    </xf>
    <xf numFmtId="166" fontId="39" fillId="0" borderId="12" xfId="1" applyNumberFormat="1" applyFont="1" applyFill="1" applyBorder="1" applyAlignment="1">
      <alignment vertical="center"/>
    </xf>
    <xf numFmtId="0" fontId="0" fillId="0" borderId="0" xfId="0" applyFill="1"/>
    <xf numFmtId="41" fontId="0" fillId="0" borderId="0" xfId="1" applyFont="1" applyFill="1"/>
    <xf numFmtId="0" fontId="4" fillId="0" borderId="0" xfId="0" applyFont="1" applyFill="1"/>
    <xf numFmtId="0" fontId="39" fillId="0" borderId="11" xfId="0" applyFont="1" applyFill="1" applyBorder="1" applyAlignment="1">
      <alignment vertical="center" wrapText="1"/>
    </xf>
    <xf numFmtId="41" fontId="4" fillId="0" borderId="0" xfId="1" applyFont="1" applyFill="1"/>
    <xf numFmtId="0" fontId="43" fillId="0" borderId="25" xfId="0" applyFont="1" applyFill="1" applyBorder="1" applyAlignment="1">
      <alignment horizontal="left" vertical="center" wrapText="1"/>
    </xf>
    <xf numFmtId="43" fontId="39" fillId="0" borderId="11" xfId="0" applyNumberFormat="1" applyFont="1" applyBorder="1" applyAlignment="1">
      <alignment horizontal="right" vertical="center"/>
    </xf>
    <xf numFmtId="43" fontId="39" fillId="0" borderId="12" xfId="0" applyNumberFormat="1" applyFont="1" applyBorder="1" applyAlignment="1">
      <alignment horizontal="right" vertical="center"/>
    </xf>
    <xf numFmtId="0" fontId="39" fillId="0" borderId="12" xfId="0" applyFont="1" applyFill="1" applyBorder="1" applyAlignment="1">
      <alignment horizontal="left" vertical="center" wrapText="1"/>
    </xf>
    <xf numFmtId="43" fontId="43" fillId="0" borderId="4" xfId="0" applyNumberFormat="1" applyFont="1" applyFill="1" applyBorder="1" applyAlignment="1">
      <alignment horizontal="left" vertical="center"/>
    </xf>
    <xf numFmtId="4" fontId="39" fillId="0" borderId="11" xfId="0" applyNumberFormat="1" applyFont="1" applyFill="1" applyBorder="1" applyAlignment="1">
      <alignment horizontal="right" vertical="center"/>
    </xf>
    <xf numFmtId="0" fontId="43" fillId="0" borderId="4" xfId="0" applyFont="1" applyBorder="1" applyAlignment="1">
      <alignment vertical="center" wrapText="1"/>
    </xf>
    <xf numFmtId="4" fontId="43" fillId="0" borderId="7" xfId="0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left" vertical="center" wrapText="1"/>
    </xf>
    <xf numFmtId="166" fontId="43" fillId="0" borderId="4" xfId="0" applyNumberFormat="1" applyFont="1" applyBorder="1" applyAlignment="1">
      <alignment horizontal="right" vertical="center"/>
    </xf>
    <xf numFmtId="0" fontId="22" fillId="0" borderId="4" xfId="0" applyFont="1" applyFill="1" applyBorder="1" applyAlignment="1">
      <alignment horizontal="left" vertical="center" wrapText="1"/>
    </xf>
    <xf numFmtId="166" fontId="22" fillId="0" borderId="4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166" fontId="39" fillId="0" borderId="4" xfId="0" applyNumberFormat="1" applyFont="1" applyBorder="1" applyAlignment="1">
      <alignment horizontal="right" vertical="center"/>
    </xf>
    <xf numFmtId="4" fontId="43" fillId="0" borderId="4" xfId="0" applyNumberFormat="1" applyFont="1" applyFill="1" applyBorder="1" applyAlignment="1">
      <alignment horizontal="right" vertical="center"/>
    </xf>
    <xf numFmtId="20" fontId="39" fillId="0" borderId="4" xfId="0" applyNumberFormat="1" applyFont="1" applyFill="1" applyBorder="1" applyAlignment="1">
      <alignment horizontal="left" vertical="center" wrapText="1"/>
    </xf>
    <xf numFmtId="4" fontId="39" fillId="0" borderId="4" xfId="0" applyNumberFormat="1" applyFont="1" applyFill="1" applyBorder="1" applyAlignment="1">
      <alignment horizontal="right" vertical="center"/>
    </xf>
    <xf numFmtId="0" fontId="22" fillId="0" borderId="4" xfId="0" applyFont="1" applyBorder="1" applyAlignment="1">
      <alignment vertical="center" wrapText="1"/>
    </xf>
    <xf numFmtId="166" fontId="43" fillId="0" borderId="4" xfId="0" applyNumberFormat="1" applyFont="1" applyBorder="1" applyAlignment="1">
      <alignment horizontal="right" vertical="center" wrapText="1"/>
    </xf>
    <xf numFmtId="0" fontId="43" fillId="6" borderId="4" xfId="0" applyFont="1" applyFill="1" applyBorder="1" applyAlignment="1">
      <alignment vertical="center" wrapText="1"/>
    </xf>
    <xf numFmtId="166" fontId="43" fillId="6" borderId="4" xfId="0" applyNumberFormat="1" applyFont="1" applyFill="1" applyBorder="1" applyAlignment="1">
      <alignment horizontal="right" vertical="center"/>
    </xf>
    <xf numFmtId="0" fontId="39" fillId="0" borderId="7" xfId="0" applyFont="1" applyFill="1" applyBorder="1" applyAlignment="1">
      <alignment horizontal="left" vertical="center" wrapText="1"/>
    </xf>
    <xf numFmtId="0" fontId="39" fillId="0" borderId="21" xfId="0" applyFont="1" applyBorder="1" applyAlignment="1">
      <alignment vertical="center" wrapText="1"/>
    </xf>
    <xf numFmtId="39" fontId="43" fillId="0" borderId="4" xfId="0" applyNumberFormat="1" applyFont="1" applyBorder="1" applyAlignment="1">
      <alignment horizontal="right" vertical="center"/>
    </xf>
    <xf numFmtId="39" fontId="39" fillId="0" borderId="4" xfId="0" applyNumberFormat="1" applyFont="1" applyBorder="1" applyAlignment="1">
      <alignment horizontal="right" vertical="center"/>
    </xf>
    <xf numFmtId="39" fontId="43" fillId="0" borderId="8" xfId="0" applyNumberFormat="1" applyFont="1" applyBorder="1" applyAlignment="1">
      <alignment horizontal="right" vertical="center"/>
    </xf>
    <xf numFmtId="39" fontId="39" fillId="0" borderId="21" xfId="0" applyNumberFormat="1" applyFont="1" applyBorder="1" applyAlignment="1">
      <alignment horizontal="right" vertical="center"/>
    </xf>
    <xf numFmtId="166" fontId="43" fillId="0" borderId="12" xfId="1" applyNumberFormat="1" applyFont="1" applyFill="1" applyBorder="1" applyAlignment="1">
      <alignment horizontal="right" vertical="center"/>
    </xf>
    <xf numFmtId="4" fontId="43" fillId="0" borderId="12" xfId="0" applyNumberFormat="1" applyFont="1" applyFill="1" applyBorder="1" applyAlignment="1">
      <alignment horizontal="right" vertical="center"/>
    </xf>
    <xf numFmtId="39" fontId="39" fillId="0" borderId="11" xfId="0" applyNumberFormat="1" applyFont="1" applyFill="1" applyBorder="1" applyAlignment="1">
      <alignment horizontal="right" vertical="center"/>
    </xf>
    <xf numFmtId="166" fontId="39" fillId="0" borderId="12" xfId="1" applyNumberFormat="1" applyFont="1" applyFill="1" applyBorder="1" applyAlignment="1">
      <alignment horizontal="right" vertical="center"/>
    </xf>
    <xf numFmtId="166" fontId="39" fillId="0" borderId="4" xfId="1" applyNumberFormat="1" applyFont="1" applyBorder="1" applyAlignment="1">
      <alignment vertical="center"/>
    </xf>
    <xf numFmtId="166" fontId="43" fillId="0" borderId="7" xfId="1" applyNumberFormat="1" applyFont="1" applyBorder="1" applyAlignment="1">
      <alignment vertical="center"/>
    </xf>
    <xf numFmtId="39" fontId="39" fillId="0" borderId="11" xfId="0" applyNumberFormat="1" applyFont="1" applyFill="1" applyBorder="1" applyAlignment="1">
      <alignment vertical="center"/>
    </xf>
    <xf numFmtId="0" fontId="0" fillId="0" borderId="11" xfId="0" applyBorder="1"/>
    <xf numFmtId="39" fontId="43" fillId="0" borderId="4" xfId="0" applyNumberFormat="1" applyFont="1" applyFill="1" applyBorder="1" applyAlignment="1">
      <alignment vertical="center"/>
    </xf>
    <xf numFmtId="4" fontId="43" fillId="0" borderId="8" xfId="0" applyNumberFormat="1" applyFont="1" applyBorder="1" applyAlignment="1">
      <alignment horizontal="right" vertical="center"/>
    </xf>
    <xf numFmtId="170" fontId="39" fillId="6" borderId="11" xfId="0" applyNumberFormat="1" applyFont="1" applyFill="1" applyBorder="1" applyAlignment="1">
      <alignment horizontal="left" vertical="center" wrapText="1"/>
    </xf>
    <xf numFmtId="4" fontId="39" fillId="6" borderId="11" xfId="0" applyNumberFormat="1" applyFont="1" applyFill="1" applyBorder="1" applyAlignment="1">
      <alignment horizontal="right" vertical="center"/>
    </xf>
    <xf numFmtId="4" fontId="39" fillId="0" borderId="11" xfId="0" applyNumberFormat="1" applyFont="1" applyBorder="1" applyAlignment="1">
      <alignment horizontal="right" vertical="center"/>
    </xf>
    <xf numFmtId="170" fontId="39" fillId="6" borderId="4" xfId="0" applyNumberFormat="1" applyFont="1" applyFill="1" applyBorder="1" applyAlignment="1">
      <alignment horizontal="left" vertical="center" wrapText="1"/>
    </xf>
    <xf numFmtId="4" fontId="39" fillId="6" borderId="4" xfId="0" applyNumberFormat="1" applyFont="1" applyFill="1" applyBorder="1" applyAlignment="1">
      <alignment horizontal="right" vertical="center"/>
    </xf>
    <xf numFmtId="170" fontId="43" fillId="0" borderId="4" xfId="0" applyNumberFormat="1" applyFont="1" applyBorder="1" applyAlignment="1">
      <alignment horizontal="left" vertical="center" wrapText="1"/>
    </xf>
    <xf numFmtId="4" fontId="43" fillId="0" borderId="4" xfId="0" applyNumberFormat="1" applyFont="1" applyBorder="1" applyAlignment="1">
      <alignment horizontal="right" vertical="center"/>
    </xf>
    <xf numFmtId="170" fontId="43" fillId="0" borderId="12" xfId="0" applyNumberFormat="1" applyFont="1" applyBorder="1" applyAlignment="1">
      <alignment horizontal="left" vertical="center" wrapText="1"/>
    </xf>
    <xf numFmtId="170" fontId="39" fillId="6" borderId="12" xfId="0" applyNumberFormat="1" applyFont="1" applyFill="1" applyBorder="1" applyAlignment="1">
      <alignment horizontal="left" vertical="center" wrapText="1"/>
    </xf>
    <xf numFmtId="170" fontId="43" fillId="6" borderId="12" xfId="0" applyNumberFormat="1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>
      <alignment horizontal="right" vertical="center"/>
    </xf>
    <xf numFmtId="170" fontId="43" fillId="0" borderId="7" xfId="0" applyNumberFormat="1" applyFont="1" applyBorder="1" applyAlignment="1">
      <alignment horizontal="left" vertical="center" wrapText="1"/>
    </xf>
    <xf numFmtId="170" fontId="39" fillId="0" borderId="4" xfId="0" applyNumberFormat="1" applyFont="1" applyBorder="1" applyAlignment="1">
      <alignment horizontal="left" vertical="center" wrapText="1"/>
    </xf>
    <xf numFmtId="4" fontId="39" fillId="0" borderId="4" xfId="0" applyNumberFormat="1" applyFont="1" applyBorder="1" applyAlignment="1">
      <alignment horizontal="right" vertical="center"/>
    </xf>
    <xf numFmtId="170" fontId="43" fillId="0" borderId="8" xfId="0" applyNumberFormat="1" applyFont="1" applyBorder="1" applyAlignment="1">
      <alignment horizontal="left" vertical="center" wrapText="1"/>
    </xf>
    <xf numFmtId="170" fontId="39" fillId="0" borderId="11" xfId="0" applyNumberFormat="1" applyFont="1" applyBorder="1" applyAlignment="1">
      <alignment horizontal="left" vertical="center" wrapText="1"/>
    </xf>
    <xf numFmtId="166" fontId="39" fillId="0" borderId="11" xfId="1" applyNumberFormat="1" applyFont="1" applyBorder="1" applyAlignment="1">
      <alignment vertical="center"/>
    </xf>
    <xf numFmtId="4" fontId="43" fillId="0" borderId="7" xfId="0" applyNumberFormat="1" applyFont="1" applyBorder="1" applyAlignment="1">
      <alignment horizontal="right" vertical="center"/>
    </xf>
    <xf numFmtId="4" fontId="39" fillId="0" borderId="8" xfId="0" applyNumberFormat="1" applyFont="1" applyBorder="1" applyAlignment="1">
      <alignment horizontal="right" vertical="center"/>
    </xf>
    <xf numFmtId="170" fontId="43" fillId="6" borderId="4" xfId="0" applyNumberFormat="1" applyFont="1" applyFill="1" applyBorder="1" applyAlignment="1">
      <alignment horizontal="left" vertical="center" wrapText="1"/>
    </xf>
    <xf numFmtId="170" fontId="39" fillId="0" borderId="12" xfId="0" applyNumberFormat="1" applyFont="1" applyBorder="1" applyAlignment="1">
      <alignment horizontal="left" vertical="center" wrapText="1"/>
    </xf>
    <xf numFmtId="166" fontId="43" fillId="0" borderId="22" xfId="1" applyNumberFormat="1" applyFont="1" applyFill="1" applyBorder="1" applyAlignment="1">
      <alignment horizontal="right" vertical="center"/>
    </xf>
    <xf numFmtId="4" fontId="39" fillId="0" borderId="21" xfId="0" applyNumberFormat="1" applyFont="1" applyFill="1" applyBorder="1" applyAlignment="1">
      <alignment horizontal="right" vertical="center"/>
    </xf>
    <xf numFmtId="166" fontId="43" fillId="0" borderId="4" xfId="1" applyNumberFormat="1" applyFont="1" applyFill="1" applyBorder="1" applyAlignment="1">
      <alignment vertical="center" wrapText="1"/>
    </xf>
    <xf numFmtId="4" fontId="43" fillId="0" borderId="25" xfId="0" applyNumberFormat="1" applyFont="1" applyFill="1" applyBorder="1" applyAlignment="1">
      <alignment horizontal="right" vertical="center"/>
    </xf>
    <xf numFmtId="43" fontId="39" fillId="0" borderId="11" xfId="2" applyFont="1" applyBorder="1" applyAlignment="1">
      <alignment horizontal="left" vertical="center"/>
    </xf>
    <xf numFmtId="4" fontId="43" fillId="0" borderId="4" xfId="0" applyNumberFormat="1" applyFont="1" applyBorder="1" applyAlignment="1">
      <alignment vertical="center"/>
    </xf>
    <xf numFmtId="43" fontId="39" fillId="0" borderId="8" xfId="2" applyFont="1" applyBorder="1" applyAlignment="1">
      <alignment horizontal="left" vertical="center"/>
    </xf>
    <xf numFmtId="166" fontId="43" fillId="0" borderId="8" xfId="1" applyNumberFormat="1" applyFont="1" applyBorder="1" applyAlignment="1">
      <alignment vertical="center"/>
    </xf>
    <xf numFmtId="170" fontId="39" fillId="0" borderId="11" xfId="0" applyNumberFormat="1" applyFont="1" applyFill="1" applyBorder="1" applyAlignment="1">
      <alignment horizontal="left" vertical="center" wrapText="1"/>
    </xf>
    <xf numFmtId="166" fontId="39" fillId="0" borderId="21" xfId="1" applyNumberFormat="1" applyFont="1" applyBorder="1" applyAlignment="1">
      <alignment vertical="center"/>
    </xf>
    <xf numFmtId="166" fontId="43" fillId="0" borderId="12" xfId="1" applyNumberFormat="1" applyFont="1" applyBorder="1" applyAlignment="1">
      <alignment vertical="center"/>
    </xf>
    <xf numFmtId="0" fontId="39" fillId="0" borderId="12" xfId="0" applyFont="1" applyBorder="1" applyAlignment="1">
      <alignment vertical="center" wrapText="1"/>
    </xf>
    <xf numFmtId="0" fontId="9" fillId="0" borderId="0" xfId="0" applyFont="1"/>
    <xf numFmtId="166" fontId="22" fillId="0" borderId="4" xfId="1" applyNumberFormat="1" applyFont="1" applyBorder="1" applyAlignment="1">
      <alignment vertical="center"/>
    </xf>
    <xf numFmtId="0" fontId="22" fillId="0" borderId="0" xfId="0" applyFont="1" applyAlignment="1">
      <alignment vertical="center" wrapText="1"/>
    </xf>
    <xf numFmtId="166" fontId="22" fillId="0" borderId="7" xfId="1" applyNumberFormat="1" applyFont="1" applyBorder="1" applyAlignment="1">
      <alignment vertical="center"/>
    </xf>
    <xf numFmtId="166" fontId="39" fillId="0" borderId="11" xfId="1" applyNumberFormat="1" applyFont="1" applyBorder="1" applyAlignment="1">
      <alignment horizontal="right" vertical="center"/>
    </xf>
    <xf numFmtId="166" fontId="43" fillId="0" borderId="4" xfId="1" applyNumberFormat="1" applyFont="1" applyBorder="1" applyAlignment="1">
      <alignment horizontal="right" vertical="center"/>
    </xf>
    <xf numFmtId="166" fontId="39" fillId="0" borderId="4" xfId="1" applyNumberFormat="1" applyFont="1" applyBorder="1" applyAlignment="1">
      <alignment horizontal="right" vertical="center"/>
    </xf>
    <xf numFmtId="41" fontId="5" fillId="0" borderId="0" xfId="1" applyFont="1"/>
    <xf numFmtId="166" fontId="43" fillId="0" borderId="7" xfId="1" applyNumberFormat="1" applyFont="1" applyBorder="1" applyAlignment="1">
      <alignment horizontal="right" vertical="center"/>
    </xf>
    <xf numFmtId="39" fontId="39" fillId="0" borderId="4" xfId="0" applyNumberFormat="1" applyFont="1" applyBorder="1" applyAlignment="1">
      <alignment vertical="center"/>
    </xf>
    <xf numFmtId="39" fontId="43" fillId="0" borderId="4" xfId="0" applyNumberFormat="1" applyFont="1" applyBorder="1" applyAlignment="1">
      <alignment vertical="center"/>
    </xf>
    <xf numFmtId="166" fontId="43" fillId="0" borderId="8" xfId="1" applyNumberFormat="1" applyFont="1" applyBorder="1" applyAlignment="1">
      <alignment horizontal="right" vertical="center"/>
    </xf>
    <xf numFmtId="0" fontId="39" fillId="0" borderId="11" xfId="0" applyFont="1" applyBorder="1" applyAlignment="1">
      <alignment vertical="center" wrapText="1"/>
    </xf>
    <xf numFmtId="166" fontId="39" fillId="0" borderId="8" xfId="1" applyNumberFormat="1" applyFont="1" applyBorder="1" applyAlignment="1">
      <alignment vertical="center"/>
    </xf>
    <xf numFmtId="0" fontId="0" fillId="0" borderId="4" xfId="0" applyBorder="1"/>
    <xf numFmtId="0" fontId="43" fillId="0" borderId="8" xfId="0" applyFont="1" applyBorder="1" applyAlignment="1">
      <alignment vertical="center" wrapText="1"/>
    </xf>
    <xf numFmtId="0" fontId="0" fillId="0" borderId="0" xfId="0" applyBorder="1"/>
    <xf numFmtId="0" fontId="43" fillId="0" borderId="7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166" fontId="22" fillId="0" borderId="8" xfId="1" applyNumberFormat="1" applyFont="1" applyBorder="1" applyAlignment="1">
      <alignment vertical="center"/>
    </xf>
    <xf numFmtId="0" fontId="39" fillId="0" borderId="8" xfId="0" applyFont="1" applyBorder="1" applyAlignment="1">
      <alignment vertical="center" wrapText="1"/>
    </xf>
    <xf numFmtId="0" fontId="23" fillId="0" borderId="0" xfId="0" applyFont="1" applyBorder="1"/>
    <xf numFmtId="41" fontId="45" fillId="0" borderId="0" xfId="1" applyFont="1"/>
    <xf numFmtId="0" fontId="22" fillId="0" borderId="0" xfId="0" applyFont="1" applyBorder="1" applyAlignment="1">
      <alignment vertical="center" wrapText="1"/>
    </xf>
    <xf numFmtId="166" fontId="6" fillId="0" borderId="0" xfId="1" applyNumberFormat="1" applyFont="1"/>
    <xf numFmtId="0" fontId="46" fillId="0" borderId="0" xfId="0" applyFont="1"/>
    <xf numFmtId="166" fontId="5" fillId="0" borderId="8" xfId="1" applyNumberFormat="1" applyFont="1" applyBorder="1"/>
    <xf numFmtId="4" fontId="0" fillId="0" borderId="0" xfId="0" applyNumberFormat="1"/>
    <xf numFmtId="0" fontId="0" fillId="0" borderId="0" xfId="0" applyAlignment="1">
      <alignment wrapText="1"/>
    </xf>
    <xf numFmtId="0" fontId="0" fillId="0" borderId="20" xfId="0" applyBorder="1"/>
    <xf numFmtId="166" fontId="50" fillId="0" borderId="0" xfId="1" applyNumberFormat="1" applyFont="1" applyAlignment="1"/>
    <xf numFmtId="43" fontId="0" fillId="0" borderId="0" xfId="2" applyFont="1"/>
    <xf numFmtId="0" fontId="0" fillId="0" borderId="0" xfId="0" applyAlignment="1">
      <alignment horizontal="center" vertical="center"/>
    </xf>
    <xf numFmtId="4" fontId="45" fillId="0" borderId="0" xfId="1" applyNumberFormat="1" applyFont="1"/>
    <xf numFmtId="166" fontId="22" fillId="0" borderId="0" xfId="1" applyNumberFormat="1" applyFont="1" applyBorder="1" applyAlignment="1">
      <alignment vertical="center"/>
    </xf>
    <xf numFmtId="0" fontId="0" fillId="3" borderId="0" xfId="0" applyFill="1"/>
    <xf numFmtId="39" fontId="43" fillId="0" borderId="4" xfId="0" applyNumberFormat="1" applyFont="1" applyFill="1" applyBorder="1" applyAlignment="1">
      <alignment horizontal="right" vertical="center"/>
    </xf>
    <xf numFmtId="4" fontId="39" fillId="0" borderId="8" xfId="0" applyNumberFormat="1" applyFont="1" applyFill="1" applyBorder="1" applyAlignment="1">
      <alignment horizontal="right" vertical="center"/>
    </xf>
    <xf numFmtId="4" fontId="39" fillId="0" borderId="12" xfId="0" applyNumberFormat="1" applyFont="1" applyFill="1" applyBorder="1" applyAlignment="1">
      <alignment horizontal="right" vertical="center"/>
    </xf>
    <xf numFmtId="166" fontId="43" fillId="0" borderId="7" xfId="1" applyNumberFormat="1" applyFont="1" applyFill="1" applyBorder="1" applyAlignment="1">
      <alignment vertical="center"/>
    </xf>
    <xf numFmtId="4" fontId="43" fillId="0" borderId="7" xfId="1" applyNumberFormat="1" applyFont="1" applyFill="1" applyBorder="1" applyAlignment="1">
      <alignment vertical="center"/>
    </xf>
    <xf numFmtId="4" fontId="43" fillId="0" borderId="12" xfId="1" applyNumberFormat="1" applyFont="1" applyFill="1" applyBorder="1" applyAlignment="1">
      <alignment vertical="center"/>
    </xf>
    <xf numFmtId="4" fontId="43" fillId="0" borderId="4" xfId="1" applyNumberFormat="1" applyFont="1" applyFill="1" applyBorder="1" applyAlignment="1">
      <alignment vertical="center"/>
    </xf>
    <xf numFmtId="4" fontId="43" fillId="0" borderId="8" xfId="0" applyNumberFormat="1" applyFont="1" applyFill="1" applyBorder="1" applyAlignment="1">
      <alignment horizontal="right" vertical="center"/>
    </xf>
    <xf numFmtId="4" fontId="39" fillId="0" borderId="4" xfId="1" applyNumberFormat="1" applyFont="1" applyFill="1" applyBorder="1" applyAlignment="1">
      <alignment vertical="center"/>
    </xf>
    <xf numFmtId="4" fontId="43" fillId="0" borderId="8" xfId="1" applyNumberFormat="1" applyFont="1" applyFill="1" applyBorder="1" applyAlignment="1">
      <alignment vertical="center"/>
    </xf>
    <xf numFmtId="4" fontId="39" fillId="0" borderId="7" xfId="0" applyNumberFormat="1" applyFont="1" applyFill="1" applyBorder="1" applyAlignment="1">
      <alignment horizontal="right" vertical="center"/>
    </xf>
    <xf numFmtId="4" fontId="43" fillId="0" borderId="13" xfId="0" applyNumberFormat="1" applyFont="1" applyFill="1" applyBorder="1" applyAlignment="1">
      <alignment horizontal="right" vertical="center"/>
    </xf>
    <xf numFmtId="166" fontId="39" fillId="0" borderId="7" xfId="1" applyNumberFormat="1" applyFont="1" applyBorder="1" applyAlignment="1">
      <alignment horizontal="center" vertical="center"/>
    </xf>
    <xf numFmtId="4" fontId="43" fillId="0" borderId="8" xfId="0" applyNumberFormat="1" applyFont="1" applyBorder="1" applyAlignment="1">
      <alignment vertical="center"/>
    </xf>
    <xf numFmtId="39" fontId="43" fillId="0" borderId="4" xfId="0" applyNumberFormat="1" applyFont="1" applyBorder="1" applyAlignment="1">
      <alignment horizontal="right" vertical="top"/>
    </xf>
    <xf numFmtId="39" fontId="39" fillId="0" borderId="12" xfId="0" applyNumberFormat="1" applyFont="1" applyBorder="1" applyAlignment="1">
      <alignment horizontal="right" vertical="center"/>
    </xf>
    <xf numFmtId="166" fontId="44" fillId="0" borderId="8" xfId="1" applyNumberFormat="1" applyFont="1" applyBorder="1" applyAlignment="1">
      <alignment vertical="center"/>
    </xf>
    <xf numFmtId="4" fontId="39" fillId="6" borderId="4" xfId="0" applyNumberFormat="1" applyFont="1" applyFill="1" applyBorder="1" applyAlignment="1">
      <alignment vertical="center"/>
    </xf>
    <xf numFmtId="4" fontId="43" fillId="6" borderId="4" xfId="0" applyNumberFormat="1" applyFont="1" applyFill="1" applyBorder="1" applyAlignment="1">
      <alignment vertical="center"/>
    </xf>
    <xf numFmtId="4" fontId="43" fillId="0" borderId="7" xfId="1" applyNumberFormat="1" applyFont="1" applyBorder="1" applyAlignment="1">
      <alignment vertical="center"/>
    </xf>
    <xf numFmtId="4" fontId="43" fillId="0" borderId="4" xfId="1" applyNumberFormat="1" applyFont="1" applyBorder="1" applyAlignment="1">
      <alignment vertical="center"/>
    </xf>
    <xf numFmtId="4" fontId="43" fillId="0" borderId="12" xfId="1" applyNumberFormat="1" applyFont="1" applyBorder="1" applyAlignment="1">
      <alignment vertical="center"/>
    </xf>
    <xf numFmtId="4" fontId="39" fillId="0" borderId="11" xfId="1" applyNumberFormat="1" applyFont="1" applyBorder="1" applyAlignment="1">
      <alignment vertical="center"/>
    </xf>
    <xf numFmtId="43" fontId="39" fillId="0" borderId="4" xfId="2" applyFont="1" applyFill="1" applyBorder="1" applyAlignment="1">
      <alignment horizontal="right" vertical="center" wrapText="1"/>
    </xf>
    <xf numFmtId="43" fontId="43" fillId="0" borderId="4" xfId="2" applyFont="1" applyFill="1" applyBorder="1" applyAlignment="1">
      <alignment horizontal="right" vertical="center" wrapText="1"/>
    </xf>
    <xf numFmtId="4" fontId="39" fillId="0" borderId="4" xfId="1" applyNumberFormat="1" applyFont="1" applyBorder="1" applyAlignment="1">
      <alignment horizontal="right" vertical="center"/>
    </xf>
    <xf numFmtId="39" fontId="39" fillId="0" borderId="12" xfId="0" applyNumberFormat="1" applyFont="1" applyFill="1" applyBorder="1" applyAlignment="1">
      <alignment horizontal="right" vertical="center"/>
    </xf>
    <xf numFmtId="166" fontId="43" fillId="6" borderId="4" xfId="1" applyNumberFormat="1" applyFont="1" applyFill="1" applyBorder="1" applyAlignment="1">
      <alignment horizontal="right" vertical="center"/>
    </xf>
    <xf numFmtId="39" fontId="39" fillId="0" borderId="4" xfId="0" applyNumberFormat="1" applyFont="1" applyFill="1" applyBorder="1" applyAlignment="1">
      <alignment horizontal="right" vertical="center"/>
    </xf>
    <xf numFmtId="39" fontId="43" fillId="0" borderId="12" xfId="0" applyNumberFormat="1" applyFont="1" applyFill="1" applyBorder="1" applyAlignment="1">
      <alignment horizontal="right" vertical="center"/>
    </xf>
    <xf numFmtId="0" fontId="36" fillId="4" borderId="0" xfId="0" applyFont="1" applyFill="1"/>
    <xf numFmtId="41" fontId="36" fillId="4" borderId="0" xfId="1" applyFont="1" applyFill="1"/>
    <xf numFmtId="0" fontId="0" fillId="4" borderId="0" xfId="0" applyFill="1"/>
    <xf numFmtId="41" fontId="0" fillId="4" borderId="0" xfId="1" applyFont="1" applyFill="1"/>
    <xf numFmtId="166" fontId="39" fillId="0" borderId="17" xfId="1" applyNumberFormat="1" applyFont="1" applyBorder="1" applyAlignment="1">
      <alignment vertical="center"/>
    </xf>
    <xf numFmtId="4" fontId="39" fillId="0" borderId="4" xfId="1" applyNumberFormat="1" applyFont="1" applyBorder="1" applyAlignment="1">
      <alignment vertical="center"/>
    </xf>
    <xf numFmtId="0" fontId="55" fillId="0" borderId="0" xfId="0" applyFont="1" applyAlignment="1">
      <alignment horizontal="right"/>
    </xf>
    <xf numFmtId="0" fontId="51" fillId="0" borderId="0" xfId="0" applyFont="1"/>
    <xf numFmtId="0" fontId="19" fillId="0" borderId="50" xfId="0" quotePrefix="1" applyFont="1" applyBorder="1" applyAlignment="1">
      <alignment horizontal="center" vertical="center"/>
    </xf>
    <xf numFmtId="0" fontId="19" fillId="0" borderId="44" xfId="0" quotePrefix="1" applyFont="1" applyBorder="1" applyAlignment="1">
      <alignment horizontal="center" vertical="center"/>
    </xf>
    <xf numFmtId="49" fontId="19" fillId="0" borderId="10" xfId="1" quotePrefix="1" applyNumberFormat="1" applyFont="1" applyBorder="1" applyAlignment="1">
      <alignment horizontal="center" vertical="center"/>
    </xf>
    <xf numFmtId="0" fontId="19" fillId="0" borderId="10" xfId="0" quotePrefix="1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166" fontId="19" fillId="0" borderId="53" xfId="1" applyNumberFormat="1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 indent="1"/>
    </xf>
    <xf numFmtId="43" fontId="26" fillId="0" borderId="4" xfId="1" applyNumberFormat="1" applyFont="1" applyBorder="1"/>
    <xf numFmtId="43" fontId="28" fillId="0" borderId="4" xfId="1" applyNumberFormat="1" applyFont="1" applyBorder="1"/>
    <xf numFmtId="166" fontId="28" fillId="0" borderId="4" xfId="1" applyNumberFormat="1" applyFont="1" applyBorder="1"/>
    <xf numFmtId="10" fontId="28" fillId="0" borderId="4" xfId="1" applyNumberFormat="1" applyFont="1" applyBorder="1"/>
    <xf numFmtId="166" fontId="19" fillId="0" borderId="4" xfId="1" applyNumberFormat="1" applyFont="1" applyBorder="1"/>
    <xf numFmtId="0" fontId="28" fillId="0" borderId="12" xfId="0" applyFont="1" applyBorder="1" applyAlignment="1">
      <alignment horizontal="left" vertical="center" indent="1"/>
    </xf>
    <xf numFmtId="43" fontId="25" fillId="0" borderId="4" xfId="1" applyNumberFormat="1" applyFont="1" applyBorder="1"/>
    <xf numFmtId="43" fontId="24" fillId="0" borderId="4" xfId="1" applyNumberFormat="1" applyFont="1" applyBorder="1"/>
    <xf numFmtId="10" fontId="19" fillId="0" borderId="4" xfId="1" applyNumberFormat="1" applyFont="1" applyBorder="1"/>
    <xf numFmtId="43" fontId="0" fillId="0" borderId="0" xfId="0" applyNumberFormat="1"/>
    <xf numFmtId="43" fontId="25" fillId="0" borderId="20" xfId="1" applyNumberFormat="1" applyFont="1" applyBorder="1"/>
    <xf numFmtId="43" fontId="25" fillId="0" borderId="20" xfId="0" applyNumberFormat="1" applyFont="1" applyBorder="1" applyAlignment="1">
      <alignment horizontal="center" vertical="center"/>
    </xf>
    <xf numFmtId="166" fontId="19" fillId="0" borderId="14" xfId="1" applyNumberFormat="1" applyFont="1" applyBorder="1"/>
    <xf numFmtId="166" fontId="19" fillId="0" borderId="55" xfId="1" applyNumberFormat="1" applyFont="1" applyBorder="1"/>
    <xf numFmtId="0" fontId="0" fillId="0" borderId="24" xfId="0" applyBorder="1"/>
    <xf numFmtId="166" fontId="19" fillId="0" borderId="4" xfId="1" applyNumberFormat="1" applyFont="1" applyBorder="1" applyAlignment="1">
      <alignment vertical="center"/>
    </xf>
    <xf numFmtId="166" fontId="19" fillId="0" borderId="14" xfId="1" applyNumberFormat="1" applyFont="1" applyBorder="1" applyAlignment="1">
      <alignment vertical="center"/>
    </xf>
    <xf numFmtId="166" fontId="19" fillId="0" borderId="55" xfId="1" applyNumberFormat="1" applyFont="1" applyBorder="1" applyAlignment="1">
      <alignment vertical="center"/>
    </xf>
    <xf numFmtId="43" fontId="28" fillId="0" borderId="4" xfId="1" applyNumberFormat="1" applyFont="1" applyBorder="1" applyAlignment="1">
      <alignment vertical="center"/>
    </xf>
    <xf numFmtId="0" fontId="19" fillId="0" borderId="31" xfId="0" applyFont="1" applyBorder="1" applyAlignment="1">
      <alignment horizontal="center" vertical="center"/>
    </xf>
    <xf numFmtId="0" fontId="28" fillId="0" borderId="7" xfId="0" applyFont="1" applyBorder="1" applyAlignment="1">
      <alignment vertical="center"/>
    </xf>
    <xf numFmtId="43" fontId="26" fillId="0" borderId="7" xfId="1" applyNumberFormat="1" applyFont="1" applyBorder="1" applyAlignment="1">
      <alignment vertical="center"/>
    </xf>
    <xf numFmtId="43" fontId="28" fillId="0" borderId="7" xfId="1" applyNumberFormat="1" applyFont="1" applyBorder="1" applyAlignment="1">
      <alignment vertical="center"/>
    </xf>
    <xf numFmtId="166" fontId="28" fillId="0" borderId="7" xfId="1" applyNumberFormat="1" applyFont="1" applyBorder="1" applyAlignment="1">
      <alignment vertical="center"/>
    </xf>
    <xf numFmtId="10" fontId="28" fillId="0" borderId="7" xfId="1" applyNumberFormat="1" applyFont="1" applyBorder="1"/>
    <xf numFmtId="166" fontId="19" fillId="0" borderId="7" xfId="1" applyNumberFormat="1" applyFont="1" applyBorder="1" applyAlignment="1">
      <alignment vertical="center"/>
    </xf>
    <xf numFmtId="0" fontId="19" fillId="0" borderId="56" xfId="0" applyFont="1" applyBorder="1" applyAlignment="1">
      <alignment horizontal="center" vertical="center"/>
    </xf>
    <xf numFmtId="166" fontId="19" fillId="0" borderId="10" xfId="1" applyNumberFormat="1" applyFont="1" applyBorder="1"/>
    <xf numFmtId="0" fontId="19" fillId="0" borderId="57" xfId="0" applyFont="1" applyBorder="1" applyAlignment="1">
      <alignment horizontal="center" vertical="center"/>
    </xf>
    <xf numFmtId="0" fontId="28" fillId="0" borderId="57" xfId="0" applyFont="1" applyBorder="1" applyAlignment="1">
      <alignment horizontal="right" vertical="center" indent="1"/>
    </xf>
    <xf numFmtId="166" fontId="19" fillId="0" borderId="57" xfId="1" applyNumberFormat="1" applyFont="1" applyBorder="1"/>
    <xf numFmtId="0" fontId="51" fillId="0" borderId="0" xfId="0" applyFont="1" applyBorder="1" applyAlignment="1">
      <alignment horizontal="left" vertical="center"/>
    </xf>
    <xf numFmtId="165" fontId="51" fillId="0" borderId="0" xfId="0" applyNumberFormat="1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43" fontId="51" fillId="0" borderId="0" xfId="0" applyNumberFormat="1" applyFont="1" applyAlignment="1">
      <alignment horizontal="left" vertical="center"/>
    </xf>
    <xf numFmtId="0" fontId="51" fillId="0" borderId="0" xfId="0" applyFont="1" applyBorder="1" applyAlignment="1">
      <alignment vertical="center"/>
    </xf>
    <xf numFmtId="165" fontId="51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1" fillId="0" borderId="0" xfId="0" applyFont="1" applyBorder="1" applyAlignment="1">
      <alignment horizontal="left" vertical="center" wrapText="1"/>
    </xf>
    <xf numFmtId="41" fontId="51" fillId="0" borderId="0" xfId="1" applyFont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51" fillId="0" borderId="0" xfId="0" applyFont="1" applyAlignment="1"/>
    <xf numFmtId="0" fontId="0" fillId="0" borderId="0" xfId="0" applyAlignment="1"/>
    <xf numFmtId="0" fontId="38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/>
    </xf>
    <xf numFmtId="0" fontId="7" fillId="3" borderId="0" xfId="0" applyFont="1" applyFill="1"/>
    <xf numFmtId="166" fontId="39" fillId="0" borderId="12" xfId="1" applyNumberFormat="1" applyFont="1" applyBorder="1" applyAlignment="1">
      <alignment horizontal="right" vertical="center"/>
    </xf>
    <xf numFmtId="166" fontId="43" fillId="0" borderId="4" xfId="58" applyNumberFormat="1" applyFont="1" applyBorder="1" applyAlignment="1">
      <alignment horizontal="center" vertical="center"/>
    </xf>
    <xf numFmtId="166" fontId="39" fillId="0" borderId="7" xfId="1" applyNumberFormat="1" applyFont="1" applyFill="1" applyBorder="1" applyAlignment="1">
      <alignment vertical="center"/>
    </xf>
    <xf numFmtId="0" fontId="43" fillId="0" borderId="12" xfId="0" applyFont="1" applyBorder="1" applyAlignment="1">
      <alignment horizontal="left" vertical="center" wrapText="1"/>
    </xf>
    <xf numFmtId="166" fontId="39" fillId="2" borderId="4" xfId="1" applyNumberFormat="1" applyFont="1" applyFill="1" applyBorder="1" applyAlignment="1">
      <alignment vertical="center"/>
    </xf>
    <xf numFmtId="2" fontId="43" fillId="0" borderId="4" xfId="0" applyNumberFormat="1" applyFont="1" applyFill="1" applyBorder="1" applyAlignment="1">
      <alignment horizontal="right" vertical="center"/>
    </xf>
    <xf numFmtId="0" fontId="39" fillId="0" borderId="4" xfId="3" applyFont="1" applyBorder="1" applyAlignment="1">
      <alignment vertical="center" wrapText="1"/>
    </xf>
    <xf numFmtId="0" fontId="39" fillId="0" borderId="22" xfId="0" applyFont="1" applyFill="1" applyBorder="1" applyAlignment="1">
      <alignment horizontal="left" vertical="center" wrapText="1"/>
    </xf>
    <xf numFmtId="0" fontId="43" fillId="0" borderId="4" xfId="6" applyFont="1" applyBorder="1" applyAlignment="1">
      <alignment vertical="center" wrapText="1"/>
    </xf>
    <xf numFmtId="0" fontId="43" fillId="0" borderId="25" xfId="0" applyFont="1" applyBorder="1" applyAlignment="1">
      <alignment horizontal="left" vertical="center" wrapText="1"/>
    </xf>
    <xf numFmtId="166" fontId="39" fillId="0" borderId="7" xfId="1" applyNumberFormat="1" applyFont="1" applyBorder="1" applyAlignment="1">
      <alignment vertical="center"/>
    </xf>
    <xf numFmtId="166" fontId="39" fillId="0" borderId="0" xfId="1" applyNumberFormat="1" applyFont="1" applyBorder="1" applyAlignment="1">
      <alignment vertical="center"/>
    </xf>
    <xf numFmtId="166" fontId="43" fillId="0" borderId="25" xfId="1" applyNumberFormat="1" applyFont="1" applyBorder="1" applyAlignment="1">
      <alignment vertical="center"/>
    </xf>
    <xf numFmtId="43" fontId="43" fillId="0" borderId="12" xfId="0" applyNumberFormat="1" applyFont="1" applyBorder="1" applyAlignment="1">
      <alignment horizontal="right" vertical="center"/>
    </xf>
    <xf numFmtId="166" fontId="39" fillId="0" borderId="22" xfId="1" applyNumberFormat="1" applyFont="1" applyFill="1" applyBorder="1" applyAlignment="1">
      <alignment vertical="center"/>
    </xf>
    <xf numFmtId="4" fontId="39" fillId="0" borderId="22" xfId="1" applyNumberFormat="1" applyFont="1" applyFill="1" applyBorder="1" applyAlignment="1">
      <alignment horizontal="right" vertical="center"/>
    </xf>
    <xf numFmtId="0" fontId="39" fillId="0" borderId="22" xfId="0" applyFont="1" applyBorder="1" applyAlignment="1">
      <alignment horizontal="left" vertical="center" wrapText="1"/>
    </xf>
    <xf numFmtId="166" fontId="39" fillId="0" borderId="22" xfId="1" applyNumberFormat="1" applyFont="1" applyBorder="1" applyAlignment="1">
      <alignment vertical="center"/>
    </xf>
    <xf numFmtId="4" fontId="43" fillId="0" borderId="4" xfId="1" applyNumberFormat="1" applyFont="1" applyBorder="1" applyAlignment="1">
      <alignment horizontal="right" vertical="center"/>
    </xf>
    <xf numFmtId="0" fontId="22" fillId="0" borderId="0" xfId="0" applyFont="1" applyAlignment="1">
      <alignment wrapText="1"/>
    </xf>
    <xf numFmtId="4" fontId="39" fillId="0" borderId="11" xfId="1" applyNumberFormat="1" applyFont="1" applyBorder="1" applyAlignment="1">
      <alignment horizontal="right" vertical="center"/>
    </xf>
    <xf numFmtId="166" fontId="43" fillId="0" borderId="12" xfId="1" applyNumberFormat="1" applyFont="1" applyBorder="1" applyAlignment="1">
      <alignment horizontal="right" vertical="center"/>
    </xf>
    <xf numFmtId="166" fontId="22" fillId="0" borderId="4" xfId="1" applyNumberFormat="1" applyFont="1" applyBorder="1" applyAlignment="1">
      <alignment horizontal="right" vertical="center"/>
    </xf>
    <xf numFmtId="166" fontId="39" fillId="0" borderId="4" xfId="0" applyNumberFormat="1" applyFont="1" applyBorder="1" applyAlignment="1">
      <alignment vertical="center"/>
    </xf>
    <xf numFmtId="0" fontId="22" fillId="0" borderId="25" xfId="0" applyFont="1" applyBorder="1" applyAlignment="1">
      <alignment horizontal="left" vertical="center" wrapText="1"/>
    </xf>
    <xf numFmtId="166" fontId="44" fillId="0" borderId="4" xfId="1" applyNumberFormat="1" applyFont="1" applyBorder="1" applyAlignment="1">
      <alignment vertical="center"/>
    </xf>
    <xf numFmtId="4" fontId="39" fillId="0" borderId="12" xfId="1" applyNumberFormat="1" applyFont="1" applyBorder="1" applyAlignment="1">
      <alignment vertical="center"/>
    </xf>
    <xf numFmtId="166" fontId="39" fillId="0" borderId="22" xfId="1" applyNumberFormat="1" applyFont="1" applyFill="1" applyBorder="1" applyAlignment="1">
      <alignment horizontal="right" vertical="center"/>
    </xf>
    <xf numFmtId="0" fontId="39" fillId="0" borderId="22" xfId="0" applyFont="1" applyFill="1" applyBorder="1" applyAlignment="1">
      <alignment vertical="center" wrapText="1"/>
    </xf>
    <xf numFmtId="0" fontId="43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left" vertical="center" wrapText="1"/>
    </xf>
    <xf numFmtId="166" fontId="39" fillId="6" borderId="4" xfId="1" applyNumberFormat="1" applyFont="1" applyFill="1" applyBorder="1" applyAlignment="1">
      <alignment vertical="center"/>
    </xf>
    <xf numFmtId="0" fontId="43" fillId="6" borderId="7" xfId="0" applyFont="1" applyFill="1" applyBorder="1" applyAlignment="1">
      <alignment horizontal="left" vertical="center" wrapText="1"/>
    </xf>
    <xf numFmtId="0" fontId="39" fillId="0" borderId="7" xfId="0" applyFont="1" applyBorder="1" applyAlignment="1">
      <alignment vertical="center" wrapText="1"/>
    </xf>
    <xf numFmtId="0" fontId="39" fillId="0" borderId="21" xfId="0" applyFont="1" applyBorder="1" applyAlignment="1">
      <alignment horizontal="left" vertical="center" wrapText="1"/>
    </xf>
    <xf numFmtId="0" fontId="43" fillId="0" borderId="12" xfId="0" applyFont="1" applyBorder="1" applyAlignment="1">
      <alignment vertical="center" wrapText="1"/>
    </xf>
    <xf numFmtId="4" fontId="22" fillId="0" borderId="4" xfId="0" applyNumberFormat="1" applyFont="1" applyFill="1" applyBorder="1" applyAlignment="1">
      <alignment horizontal="right" vertical="center"/>
    </xf>
    <xf numFmtId="0" fontId="22" fillId="0" borderId="7" xfId="0" applyFont="1" applyBorder="1" applyAlignment="1">
      <alignment vertical="center" wrapText="1"/>
    </xf>
    <xf numFmtId="166" fontId="22" fillId="0" borderId="25" xfId="1" applyNumberFormat="1" applyFont="1" applyBorder="1" applyAlignment="1">
      <alignment vertical="center"/>
    </xf>
    <xf numFmtId="166" fontId="22" fillId="0" borderId="12" xfId="1" applyNumberFormat="1" applyFont="1" applyBorder="1" applyAlignment="1">
      <alignment vertical="center"/>
    </xf>
    <xf numFmtId="0" fontId="43" fillId="0" borderId="22" xfId="0" applyFont="1" applyBorder="1" applyAlignment="1">
      <alignment horizontal="left" vertical="center" wrapText="1"/>
    </xf>
    <xf numFmtId="4" fontId="39" fillId="0" borderId="12" xfId="0" applyNumberFormat="1" applyFont="1" applyFill="1" applyBorder="1" applyAlignment="1">
      <alignment vertical="center"/>
    </xf>
    <xf numFmtId="4" fontId="43" fillId="0" borderId="4" xfId="0" applyNumberFormat="1" applyFont="1" applyFill="1" applyBorder="1" applyAlignment="1">
      <alignment vertical="center"/>
    </xf>
    <xf numFmtId="170" fontId="39" fillId="0" borderId="22" xfId="0" applyNumberFormat="1" applyFont="1" applyFill="1" applyBorder="1" applyAlignment="1">
      <alignment horizontal="left" vertical="center" wrapText="1"/>
    </xf>
    <xf numFmtId="4" fontId="39" fillId="0" borderId="22" xfId="0" applyNumberFormat="1" applyFont="1" applyFill="1" applyBorder="1" applyAlignment="1">
      <alignment horizontal="right" vertical="center"/>
    </xf>
    <xf numFmtId="4" fontId="39" fillId="0" borderId="4" xfId="0" applyNumberFormat="1" applyFont="1" applyBorder="1" applyAlignment="1">
      <alignment vertical="center"/>
    </xf>
    <xf numFmtId="4" fontId="43" fillId="0" borderId="12" xfId="0" applyNumberFormat="1" applyFont="1" applyBorder="1" applyAlignment="1">
      <alignment vertical="center"/>
    </xf>
    <xf numFmtId="166" fontId="39" fillId="6" borderId="11" xfId="1" applyNumberFormat="1" applyFont="1" applyFill="1" applyBorder="1" applyAlignment="1">
      <alignment vertical="center"/>
    </xf>
    <xf numFmtId="39" fontId="43" fillId="0" borderId="12" xfId="0" applyNumberFormat="1" applyFont="1" applyBorder="1" applyAlignment="1">
      <alignment horizontal="right" vertical="center"/>
    </xf>
    <xf numFmtId="170" fontId="39" fillId="0" borderId="7" xfId="0" applyNumberFormat="1" applyFont="1" applyBorder="1" applyAlignment="1">
      <alignment horizontal="left" vertical="center" wrapText="1"/>
    </xf>
    <xf numFmtId="39" fontId="43" fillId="0" borderId="4" xfId="0" quotePrefix="1" applyNumberFormat="1" applyFont="1" applyBorder="1" applyAlignment="1">
      <alignment horizontal="right" vertical="center"/>
    </xf>
    <xf numFmtId="4" fontId="43" fillId="6" borderId="8" xfId="0" applyNumberFormat="1" applyFont="1" applyFill="1" applyBorder="1" applyAlignment="1">
      <alignment horizontal="right" vertical="center"/>
    </xf>
    <xf numFmtId="166" fontId="39" fillId="6" borderId="7" xfId="1" applyNumberFormat="1" applyFont="1" applyFill="1" applyBorder="1" applyAlignment="1">
      <alignment vertical="center"/>
    </xf>
    <xf numFmtId="0" fontId="47" fillId="0" borderId="4" xfId="0" applyFont="1" applyBorder="1" applyAlignment="1">
      <alignment horizontal="left" vertical="center" wrapText="1"/>
    </xf>
    <xf numFmtId="4" fontId="39" fillId="0" borderId="21" xfId="1" applyNumberFormat="1" applyFont="1" applyBorder="1" applyAlignment="1">
      <alignment vertical="center"/>
    </xf>
    <xf numFmtId="4" fontId="22" fillId="0" borderId="4" xfId="1" applyNumberFormat="1" applyFont="1" applyBorder="1" applyAlignment="1">
      <alignment vertical="center"/>
    </xf>
    <xf numFmtId="166" fontId="43" fillId="0" borderId="4" xfId="0" applyNumberFormat="1" applyFont="1" applyFill="1" applyBorder="1" applyAlignment="1">
      <alignment horizontal="right" vertical="center" wrapText="1"/>
    </xf>
    <xf numFmtId="0" fontId="39" fillId="0" borderId="21" xfId="0" applyFont="1" applyFill="1" applyBorder="1" applyAlignment="1">
      <alignment horizontal="left" vertical="center" wrapText="1"/>
    </xf>
    <xf numFmtId="4" fontId="39" fillId="0" borderId="8" xfId="1" applyNumberFormat="1" applyFont="1" applyBorder="1" applyAlignment="1">
      <alignment vertical="center"/>
    </xf>
    <xf numFmtId="21" fontId="43" fillId="0" borderId="4" xfId="0" applyNumberFormat="1" applyFont="1" applyFill="1" applyBorder="1" applyAlignment="1">
      <alignment horizontal="left" vertical="center" wrapText="1"/>
    </xf>
    <xf numFmtId="43" fontId="39" fillId="0" borderId="11" xfId="2" applyFont="1" applyFill="1" applyBorder="1" applyAlignment="1">
      <alignment horizontal="right" vertical="center" wrapText="1"/>
    </xf>
    <xf numFmtId="170" fontId="39" fillId="0" borderId="4" xfId="0" applyNumberFormat="1" applyFont="1" applyFill="1" applyBorder="1" applyAlignment="1">
      <alignment horizontal="left" vertical="center" wrapText="1"/>
    </xf>
    <xf numFmtId="0" fontId="58" fillId="0" borderId="4" xfId="19" applyFont="1" applyFill="1" applyBorder="1" applyAlignment="1">
      <alignment horizontal="left" vertical="center" wrapText="1"/>
    </xf>
    <xf numFmtId="0" fontId="59" fillId="0" borderId="4" xfId="19" applyFont="1" applyBorder="1" applyAlignment="1">
      <alignment horizontal="left" vertical="center" wrapText="1"/>
    </xf>
    <xf numFmtId="0" fontId="59" fillId="0" borderId="4" xfId="19" applyFont="1" applyFill="1" applyBorder="1" applyAlignment="1">
      <alignment horizontal="left" vertical="center" wrapText="1"/>
    </xf>
    <xf numFmtId="0" fontId="39" fillId="0" borderId="10" xfId="0" applyFont="1" applyBorder="1" applyAlignment="1">
      <alignment horizontal="center" vertical="center" wrapText="1"/>
    </xf>
    <xf numFmtId="166" fontId="39" fillId="0" borderId="4" xfId="58" applyNumberFormat="1" applyFont="1" applyBorder="1" applyAlignment="1">
      <alignment horizontal="center" vertical="center"/>
    </xf>
    <xf numFmtId="39" fontId="39" fillId="0" borderId="4" xfId="0" applyNumberFormat="1" applyFont="1" applyFill="1" applyBorder="1" applyAlignment="1">
      <alignment vertical="center"/>
    </xf>
    <xf numFmtId="166" fontId="43" fillId="0" borderId="4" xfId="7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vertical="top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39" fillId="0" borderId="7" xfId="1" applyNumberFormat="1" applyFont="1" applyFill="1" applyBorder="1" applyAlignment="1">
      <alignment vertical="center"/>
    </xf>
    <xf numFmtId="43" fontId="39" fillId="0" borderId="4" xfId="0" applyNumberFormat="1" applyFont="1" applyFill="1" applyBorder="1" applyAlignment="1">
      <alignment horizontal="left" vertical="center"/>
    </xf>
    <xf numFmtId="166" fontId="43" fillId="0" borderId="12" xfId="7" applyNumberFormat="1" applyFont="1" applyBorder="1" applyAlignment="1">
      <alignment horizontal="left" vertical="center"/>
    </xf>
    <xf numFmtId="166" fontId="43" fillId="0" borderId="12" xfId="7" applyNumberFormat="1" applyFont="1" applyBorder="1" applyAlignment="1">
      <alignment horizontal="right" vertical="center"/>
    </xf>
    <xf numFmtId="49" fontId="39" fillId="0" borderId="11" xfId="3" applyNumberFormat="1" applyFont="1" applyBorder="1" applyAlignment="1">
      <alignment horizontal="left" vertical="center"/>
    </xf>
    <xf numFmtId="43" fontId="39" fillId="0" borderId="4" xfId="2" applyFont="1" applyBorder="1" applyAlignment="1">
      <alignment horizontal="left" vertical="center"/>
    </xf>
    <xf numFmtId="39" fontId="22" fillId="0" borderId="4" xfId="0" applyNumberFormat="1" applyFont="1" applyBorder="1" applyAlignment="1">
      <alignment vertical="center"/>
    </xf>
    <xf numFmtId="0" fontId="22" fillId="0" borderId="8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39" fontId="43" fillId="0" borderId="9" xfId="0" applyNumberFormat="1" applyFont="1" applyBorder="1" applyAlignment="1">
      <alignment vertical="center"/>
    </xf>
    <xf numFmtId="0" fontId="22" fillId="0" borderId="12" xfId="0" applyFont="1" applyBorder="1" applyAlignment="1">
      <alignment horizontal="right" vertical="center"/>
    </xf>
    <xf numFmtId="0" fontId="22" fillId="0" borderId="7" xfId="0" applyFont="1" applyBorder="1" applyAlignment="1">
      <alignment horizontal="right" vertical="center"/>
    </xf>
    <xf numFmtId="0" fontId="22" fillId="0" borderId="41" xfId="0" applyFont="1" applyBorder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166" fontId="39" fillId="0" borderId="21" xfId="1" applyNumberFormat="1" applyFont="1" applyBorder="1" applyAlignment="1">
      <alignment horizontal="right" vertical="center"/>
    </xf>
    <xf numFmtId="0" fontId="39" fillId="0" borderId="17" xfId="0" applyFont="1" applyBorder="1" applyAlignment="1">
      <alignment horizontal="left" vertical="center" wrapText="1"/>
    </xf>
    <xf numFmtId="0" fontId="47" fillId="0" borderId="4" xfId="0" applyFont="1" applyFill="1" applyBorder="1" applyAlignment="1">
      <alignment vertical="center" wrapText="1"/>
    </xf>
    <xf numFmtId="0" fontId="49" fillId="0" borderId="4" xfId="0" applyFont="1" applyFill="1" applyBorder="1" applyAlignment="1">
      <alignment vertical="center" wrapText="1"/>
    </xf>
    <xf numFmtId="0" fontId="48" fillId="0" borderId="4" xfId="0" applyFont="1" applyFill="1" applyBorder="1" applyAlignment="1">
      <alignment vertical="center" wrapText="1"/>
    </xf>
    <xf numFmtId="166" fontId="43" fillId="0" borderId="4" xfId="1" quotePrefix="1" applyNumberFormat="1" applyFont="1" applyBorder="1" applyAlignment="1">
      <alignment horizontal="right" vertical="center"/>
    </xf>
    <xf numFmtId="4" fontId="43" fillId="0" borderId="4" xfId="0" quotePrefix="1" applyNumberFormat="1" applyFont="1" applyBorder="1" applyAlignment="1">
      <alignment horizontal="right" vertical="center"/>
    </xf>
    <xf numFmtId="0" fontId="0" fillId="0" borderId="14" xfId="0" applyBorder="1"/>
    <xf numFmtId="0" fontId="39" fillId="7" borderId="11" xfId="0" applyFont="1" applyFill="1" applyBorder="1" applyAlignment="1">
      <alignment horizontal="left" vertical="center" wrapText="1"/>
    </xf>
    <xf numFmtId="166" fontId="39" fillId="7" borderId="11" xfId="1" applyNumberFormat="1" applyFont="1" applyFill="1" applyBorder="1" applyAlignment="1">
      <alignment vertical="center"/>
    </xf>
    <xf numFmtId="166" fontId="39" fillId="7" borderId="11" xfId="1" applyNumberFormat="1" applyFont="1" applyFill="1" applyBorder="1" applyAlignment="1">
      <alignment horizontal="right" vertical="center"/>
    </xf>
    <xf numFmtId="0" fontId="0" fillId="7" borderId="0" xfId="0" applyFill="1"/>
    <xf numFmtId="0" fontId="0" fillId="0" borderId="8" xfId="0" applyBorder="1"/>
    <xf numFmtId="0" fontId="5" fillId="0" borderId="24" xfId="0" applyFont="1" applyBorder="1"/>
    <xf numFmtId="0" fontId="5" fillId="0" borderId="0" xfId="0" applyFont="1" applyFill="1" applyBorder="1"/>
    <xf numFmtId="0" fontId="5" fillId="0" borderId="43" xfId="0" applyFont="1" applyBorder="1"/>
    <xf numFmtId="166" fontId="5" fillId="0" borderId="39" xfId="1" applyNumberFormat="1" applyFont="1" applyBorder="1"/>
    <xf numFmtId="165" fontId="0" fillId="0" borderId="4" xfId="0" applyNumberFormat="1" applyBorder="1"/>
    <xf numFmtId="165" fontId="0" fillId="0" borderId="4" xfId="0" applyNumberFormat="1" applyFill="1" applyBorder="1"/>
    <xf numFmtId="165" fontId="0" fillId="0" borderId="4" xfId="0" applyNumberFormat="1" applyFont="1" applyFill="1" applyBorder="1"/>
    <xf numFmtId="165" fontId="5" fillId="0" borderId="4" xfId="0" applyNumberFormat="1" applyFont="1" applyBorder="1"/>
    <xf numFmtId="4" fontId="0" fillId="0" borderId="7" xfId="0" applyNumberFormat="1" applyFont="1" applyFill="1" applyBorder="1"/>
    <xf numFmtId="0" fontId="34" fillId="0" borderId="0" xfId="0" applyFont="1" applyAlignment="1">
      <alignment horizontal="left" vertical="top"/>
    </xf>
    <xf numFmtId="0" fontId="34" fillId="0" borderId="10" xfId="0" quotePrefix="1" applyFont="1" applyBorder="1" applyAlignment="1">
      <alignment horizontal="center" vertical="center"/>
    </xf>
    <xf numFmtId="49" fontId="31" fillId="2" borderId="46" xfId="0" applyNumberFormat="1" applyFont="1" applyFill="1" applyBorder="1" applyAlignment="1">
      <alignment horizontal="center" vertical="center"/>
    </xf>
    <xf numFmtId="49" fontId="31" fillId="0" borderId="8" xfId="0" applyNumberFormat="1" applyFont="1" applyFill="1" applyBorder="1" applyAlignment="1">
      <alignment horizontal="center" vertical="center"/>
    </xf>
    <xf numFmtId="49" fontId="31" fillId="0" borderId="11" xfId="0" applyNumberFormat="1" applyFont="1" applyBorder="1" applyAlignment="1">
      <alignment horizontal="center" vertical="center"/>
    </xf>
    <xf numFmtId="49" fontId="31" fillId="0" borderId="8" xfId="0" applyNumberFormat="1" applyFont="1" applyBorder="1" applyAlignment="1">
      <alignment horizontal="center" vertical="center"/>
    </xf>
    <xf numFmtId="49" fontId="61" fillId="0" borderId="8" xfId="0" applyNumberFormat="1" applyFont="1" applyBorder="1" applyAlignment="1">
      <alignment horizontal="center" vertical="center"/>
    </xf>
    <xf numFmtId="49" fontId="34" fillId="0" borderId="8" xfId="0" applyNumberFormat="1" applyFont="1" applyBorder="1" applyAlignment="1">
      <alignment horizontal="center" vertical="center"/>
    </xf>
    <xf numFmtId="49" fontId="31" fillId="0" borderId="12" xfId="0" applyNumberFormat="1" applyFont="1" applyBorder="1" applyAlignment="1">
      <alignment horizontal="center" vertical="center"/>
    </xf>
    <xf numFmtId="49" fontId="31" fillId="0" borderId="7" xfId="0" applyNumberFormat="1" applyFont="1" applyBorder="1" applyAlignment="1">
      <alignment horizontal="center" vertical="center"/>
    </xf>
    <xf numFmtId="49" fontId="31" fillId="2" borderId="4" xfId="0" applyNumberFormat="1" applyFont="1" applyFill="1" applyBorder="1" applyAlignment="1">
      <alignment horizontal="center" vertical="center"/>
    </xf>
    <xf numFmtId="49" fontId="31" fillId="7" borderId="11" xfId="0" applyNumberFormat="1" applyFont="1" applyFill="1" applyBorder="1" applyAlignment="1">
      <alignment horizontal="center" vertical="center"/>
    </xf>
    <xf numFmtId="49" fontId="62" fillId="0" borderId="8" xfId="0" applyNumberFormat="1" applyFont="1" applyBorder="1" applyAlignment="1">
      <alignment horizontal="center" vertical="center"/>
    </xf>
    <xf numFmtId="49" fontId="31" fillId="0" borderId="4" xfId="0" applyNumberFormat="1" applyFont="1" applyBorder="1" applyAlignment="1">
      <alignment horizontal="center" vertical="center"/>
    </xf>
    <xf numFmtId="49" fontId="63" fillId="0" borderId="8" xfId="0" applyNumberFormat="1" applyFont="1" applyBorder="1" applyAlignment="1">
      <alignment horizontal="center" vertical="center"/>
    </xf>
    <xf numFmtId="49" fontId="62" fillId="7" borderId="11" xfId="0" applyNumberFormat="1" applyFont="1" applyFill="1" applyBorder="1" applyAlignment="1">
      <alignment horizontal="center" vertical="center"/>
    </xf>
    <xf numFmtId="49" fontId="62" fillId="0" borderId="11" xfId="0" applyNumberFormat="1" applyFont="1" applyFill="1" applyBorder="1" applyAlignment="1">
      <alignment horizontal="center" vertical="center"/>
    </xf>
    <xf numFmtId="49" fontId="62" fillId="0" borderId="11" xfId="0" applyNumberFormat="1" applyFont="1" applyBorder="1" applyAlignment="1">
      <alignment horizontal="center" vertical="center"/>
    </xf>
    <xf numFmtId="49" fontId="31" fillId="7" borderId="22" xfId="0" applyNumberFormat="1" applyFont="1" applyFill="1" applyBorder="1" applyAlignment="1">
      <alignment horizontal="center" vertical="center"/>
    </xf>
    <xf numFmtId="49" fontId="31" fillId="0" borderId="22" xfId="0" applyNumberFormat="1" applyFont="1" applyFill="1" applyBorder="1" applyAlignment="1">
      <alignment horizontal="center" vertical="center"/>
    </xf>
    <xf numFmtId="49" fontId="31" fillId="7" borderId="39" xfId="0" applyNumberFormat="1" applyFont="1" applyFill="1" applyBorder="1" applyAlignment="1">
      <alignment horizontal="center" vertical="center"/>
    </xf>
    <xf numFmtId="49" fontId="31" fillId="4" borderId="8" xfId="0" applyNumberFormat="1" applyFont="1" applyFill="1" applyBorder="1" applyAlignment="1">
      <alignment horizontal="center" vertical="center"/>
    </xf>
    <xf numFmtId="49" fontId="34" fillId="0" borderId="11" xfId="0" applyNumberFormat="1" applyFont="1" applyBorder="1" applyAlignment="1">
      <alignment horizontal="center" vertical="center"/>
    </xf>
    <xf numFmtId="49" fontId="31" fillId="0" borderId="22" xfId="0" applyNumberFormat="1" applyFont="1" applyBorder="1" applyAlignment="1">
      <alignment horizontal="center" vertical="center"/>
    </xf>
    <xf numFmtId="49" fontId="64" fillId="0" borderId="8" xfId="0" applyNumberFormat="1" applyFont="1" applyFill="1" applyBorder="1" applyAlignment="1">
      <alignment horizontal="center" vertical="center"/>
    </xf>
    <xf numFmtId="49" fontId="31" fillId="0" borderId="4" xfId="0" applyNumberFormat="1" applyFont="1" applyFill="1" applyBorder="1" applyAlignment="1">
      <alignment horizontal="center" vertical="center"/>
    </xf>
    <xf numFmtId="49" fontId="62" fillId="0" borderId="4" xfId="0" applyNumberFormat="1" applyFont="1" applyBorder="1" applyAlignment="1">
      <alignment horizontal="center" vertical="center"/>
    </xf>
    <xf numFmtId="49" fontId="31" fillId="0" borderId="17" xfId="0" applyNumberFormat="1" applyFont="1" applyBorder="1" applyAlignment="1">
      <alignment horizontal="center" vertical="center"/>
    </xf>
    <xf numFmtId="0" fontId="34" fillId="0" borderId="0" xfId="0" applyFont="1" applyAlignment="1"/>
    <xf numFmtId="165" fontId="0" fillId="0" borderId="0" xfId="0" applyNumberFormat="1"/>
    <xf numFmtId="165" fontId="0" fillId="0" borderId="8" xfId="0" applyNumberFormat="1" applyFont="1" applyFill="1" applyBorder="1"/>
    <xf numFmtId="49" fontId="23" fillId="0" borderId="62" xfId="0" applyNumberFormat="1" applyFont="1" applyBorder="1" applyAlignment="1">
      <alignment horizontal="center" vertical="center"/>
    </xf>
    <xf numFmtId="0" fontId="23" fillId="0" borderId="63" xfId="0" applyFont="1" applyBorder="1"/>
    <xf numFmtId="0" fontId="29" fillId="0" borderId="64" xfId="0" applyFont="1" applyBorder="1"/>
    <xf numFmtId="0" fontId="11" fillId="0" borderId="0" xfId="0" applyFont="1"/>
    <xf numFmtId="0" fontId="29" fillId="0" borderId="55" xfId="0" applyFont="1" applyBorder="1"/>
    <xf numFmtId="41" fontId="11" fillId="0" borderId="0" xfId="7" applyFont="1"/>
    <xf numFmtId="0" fontId="29" fillId="0" borderId="63" xfId="0" applyFont="1" applyBorder="1"/>
    <xf numFmtId="0" fontId="66" fillId="0" borderId="63" xfId="0" applyFont="1" applyBorder="1"/>
    <xf numFmtId="0" fontId="37" fillId="0" borderId="0" xfId="0" applyFont="1"/>
    <xf numFmtId="0" fontId="66" fillId="0" borderId="63" xfId="0" applyFont="1" applyBorder="1" applyAlignment="1">
      <alignment vertical="center"/>
    </xf>
    <xf numFmtId="0" fontId="14" fillId="0" borderId="0" xfId="0" applyFont="1"/>
    <xf numFmtId="0" fontId="66" fillId="0" borderId="55" xfId="0" applyFont="1" applyBorder="1"/>
    <xf numFmtId="0" fontId="29" fillId="0" borderId="67" xfId="0" applyFont="1" applyBorder="1"/>
    <xf numFmtId="0" fontId="23" fillId="0" borderId="61" xfId="0" applyFont="1" applyBorder="1"/>
    <xf numFmtId="0" fontId="23" fillId="0" borderId="62" xfId="0" applyFont="1" applyBorder="1"/>
    <xf numFmtId="0" fontId="23" fillId="0" borderId="71" xfId="0" applyFont="1" applyBorder="1"/>
    <xf numFmtId="0" fontId="23" fillId="0" borderId="26" xfId="0" applyFont="1" applyBorder="1"/>
    <xf numFmtId="0" fontId="23" fillId="0" borderId="73" xfId="0" applyFont="1" applyBorder="1"/>
    <xf numFmtId="0" fontId="54" fillId="0" borderId="0" xfId="0" applyFont="1" applyAlignment="1">
      <alignment horizontal="center"/>
    </xf>
    <xf numFmtId="166" fontId="39" fillId="0" borderId="45" xfId="7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49" fontId="39" fillId="0" borderId="7" xfId="0" applyNumberFormat="1" applyFont="1" applyBorder="1" applyAlignment="1">
      <alignment horizontal="center" vertical="center"/>
    </xf>
    <xf numFmtId="4" fontId="39" fillId="0" borderId="12" xfId="0" applyNumberFormat="1" applyFont="1" applyBorder="1" applyAlignment="1">
      <alignment vertical="center"/>
    </xf>
    <xf numFmtId="0" fontId="43" fillId="0" borderId="65" xfId="0" applyFont="1" applyBorder="1" applyAlignment="1">
      <alignment horizontal="center" vertical="center"/>
    </xf>
    <xf numFmtId="0" fontId="43" fillId="0" borderId="66" xfId="0" applyFont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49" fillId="0" borderId="4" xfId="0" applyFont="1" applyBorder="1" applyAlignment="1">
      <alignment vertical="top" wrapText="1"/>
    </xf>
    <xf numFmtId="0" fontId="22" fillId="0" borderId="66" xfId="0" applyFont="1" applyBorder="1" applyAlignment="1">
      <alignment horizontal="center" vertical="center"/>
    </xf>
    <xf numFmtId="0" fontId="22" fillId="0" borderId="68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57" xfId="0" applyFont="1" applyBorder="1" applyAlignment="1">
      <alignment wrapText="1"/>
    </xf>
    <xf numFmtId="0" fontId="22" fillId="0" borderId="34" xfId="0" applyFont="1" applyBorder="1" applyAlignment="1">
      <alignment horizontal="center" vertical="center"/>
    </xf>
    <xf numFmtId="0" fontId="22" fillId="0" borderId="0" xfId="0" applyFont="1" applyBorder="1" applyAlignment="1">
      <alignment wrapText="1"/>
    </xf>
    <xf numFmtId="0" fontId="22" fillId="0" borderId="72" xfId="0" applyFont="1" applyBorder="1" applyAlignment="1">
      <alignment horizontal="center" vertical="center"/>
    </xf>
    <xf numFmtId="0" fontId="22" fillId="0" borderId="41" xfId="0" applyFont="1" applyBorder="1" applyAlignment="1">
      <alignment wrapText="1"/>
    </xf>
    <xf numFmtId="166" fontId="6" fillId="0" borderId="4" xfId="1" applyNumberFormat="1" applyFont="1" applyBorder="1"/>
    <xf numFmtId="43" fontId="25" fillId="0" borderId="30" xfId="0" applyNumberFormat="1" applyFont="1" applyBorder="1" applyAlignment="1">
      <alignment horizontal="center" vertical="center"/>
    </xf>
    <xf numFmtId="166" fontId="19" fillId="0" borderId="0" xfId="1" applyNumberFormat="1" applyFont="1" applyBorder="1" applyAlignment="1">
      <alignment vertical="center"/>
    </xf>
    <xf numFmtId="43" fontId="26" fillId="0" borderId="3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/>
    <xf numFmtId="0" fontId="5" fillId="0" borderId="24" xfId="0" applyFont="1" applyBorder="1" applyAlignment="1">
      <alignment horizontal="center" vertical="center"/>
    </xf>
    <xf numFmtId="49" fontId="31" fillId="3" borderId="8" xfId="0" applyNumberFormat="1" applyFont="1" applyFill="1" applyBorder="1" applyAlignment="1">
      <alignment horizontal="center" vertical="center"/>
    </xf>
    <xf numFmtId="166" fontId="0" fillId="0" borderId="0" xfId="58" applyNumberFormat="1" applyFont="1"/>
    <xf numFmtId="0" fontId="47" fillId="0" borderId="0" xfId="0" applyFont="1"/>
    <xf numFmtId="0" fontId="47" fillId="0" borderId="14" xfId="0" applyFont="1" applyBorder="1" applyAlignment="1">
      <alignment horizontal="left" vertical="center" wrapText="1"/>
    </xf>
    <xf numFmtId="4" fontId="39" fillId="0" borderId="22" xfId="0" applyNumberFormat="1" applyFont="1" applyFill="1" applyBorder="1" applyAlignment="1">
      <alignment vertical="center"/>
    </xf>
    <xf numFmtId="4" fontId="39" fillId="0" borderId="11" xfId="0" applyNumberFormat="1" applyFont="1" applyFill="1" applyBorder="1" applyAlignment="1">
      <alignment vertical="center"/>
    </xf>
    <xf numFmtId="4" fontId="22" fillId="0" borderId="7" xfId="1" applyNumberFormat="1" applyFont="1" applyBorder="1" applyAlignment="1">
      <alignment vertical="center"/>
    </xf>
    <xf numFmtId="4" fontId="22" fillId="0" borderId="8" xfId="1" applyNumberFormat="1" applyFont="1" applyBorder="1" applyAlignment="1">
      <alignment vertical="center"/>
    </xf>
    <xf numFmtId="4" fontId="43" fillId="0" borderId="4" xfId="14" applyNumberFormat="1" applyFont="1" applyBorder="1" applyAlignment="1">
      <alignment vertical="center"/>
    </xf>
    <xf numFmtId="4" fontId="39" fillId="6" borderId="8" xfId="0" applyNumberFormat="1" applyFont="1" applyFill="1" applyBorder="1" applyAlignment="1">
      <alignment horizontal="right" vertical="center"/>
    </xf>
    <xf numFmtId="43" fontId="39" fillId="0" borderId="12" xfId="2" applyFont="1" applyFill="1" applyBorder="1" applyAlignment="1">
      <alignment horizontal="right" vertical="center" wrapText="1"/>
    </xf>
    <xf numFmtId="43" fontId="43" fillId="0" borderId="7" xfId="2" applyFont="1" applyFill="1" applyBorder="1" applyAlignment="1">
      <alignment horizontal="right" vertical="center" wrapText="1"/>
    </xf>
    <xf numFmtId="0" fontId="39" fillId="0" borderId="0" xfId="0" applyFont="1" applyAlignment="1">
      <alignment vertical="center"/>
    </xf>
    <xf numFmtId="0" fontId="67" fillId="0" borderId="4" xfId="0" applyFont="1" applyBorder="1" applyAlignment="1">
      <alignment horizontal="left" vertical="center" wrapText="1"/>
    </xf>
    <xf numFmtId="166" fontId="39" fillId="0" borderId="4" xfId="58" applyNumberFormat="1" applyFont="1" applyBorder="1" applyAlignment="1">
      <alignment vertical="center"/>
    </xf>
    <xf numFmtId="0" fontId="0" fillId="0" borderId="7" xfId="0" applyBorder="1"/>
    <xf numFmtId="0" fontId="7" fillId="0" borderId="0" xfId="0" applyFont="1" applyBorder="1"/>
    <xf numFmtId="43" fontId="39" fillId="0" borderId="11" xfId="0" applyNumberFormat="1" applyFont="1" applyBorder="1" applyAlignment="1">
      <alignment vertical="center"/>
    </xf>
    <xf numFmtId="166" fontId="39" fillId="4" borderId="4" xfId="57" applyNumberFormat="1" applyFont="1" applyFill="1" applyBorder="1" applyAlignment="1">
      <alignment horizontal="center" vertical="center"/>
    </xf>
    <xf numFmtId="41" fontId="0" fillId="0" borderId="20" xfId="1" applyFont="1" applyBorder="1"/>
    <xf numFmtId="41" fontId="0" fillId="0" borderId="14" xfId="1" applyFont="1" applyBorder="1"/>
    <xf numFmtId="41" fontId="6" fillId="0" borderId="0" xfId="58" applyFont="1" applyFill="1"/>
    <xf numFmtId="39" fontId="57" fillId="0" borderId="14" xfId="0" applyNumberFormat="1" applyFont="1" applyBorder="1" applyAlignment="1">
      <alignment vertical="center"/>
    </xf>
    <xf numFmtId="166" fontId="39" fillId="0" borderId="11" xfId="1" applyNumberFormat="1" applyFont="1" applyFill="1" applyBorder="1" applyAlignment="1">
      <alignment horizontal="right" vertical="center" indent="2"/>
    </xf>
    <xf numFmtId="41" fontId="6" fillId="0" borderId="0" xfId="58" applyFont="1"/>
    <xf numFmtId="41" fontId="0" fillId="0" borderId="0" xfId="58" applyFont="1"/>
    <xf numFmtId="4" fontId="39" fillId="0" borderId="4" xfId="14" applyNumberFormat="1" applyFont="1" applyBorder="1" applyAlignment="1">
      <alignment vertical="center"/>
    </xf>
    <xf numFmtId="166" fontId="39" fillId="0" borderId="22" xfId="1" applyNumberFormat="1" applyFont="1" applyBorder="1" applyAlignment="1">
      <alignment horizontal="right" vertical="center"/>
    </xf>
    <xf numFmtId="43" fontId="39" fillId="0" borderId="4" xfId="2" applyFont="1" applyBorder="1" applyAlignment="1">
      <alignment vertical="center"/>
    </xf>
    <xf numFmtId="4" fontId="69" fillId="0" borderId="14" xfId="0" applyNumberFormat="1" applyFont="1" applyBorder="1" applyAlignment="1">
      <alignment horizontal="right" vertical="center"/>
    </xf>
    <xf numFmtId="43" fontId="18" fillId="0" borderId="14" xfId="0" applyNumberFormat="1" applyFont="1" applyFill="1" applyBorder="1" applyAlignment="1">
      <alignment horizontal="left" vertical="center" indent="1"/>
    </xf>
    <xf numFmtId="43" fontId="57" fillId="0" borderId="14" xfId="0" applyNumberFormat="1" applyFont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4" fontId="57" fillId="6" borderId="14" xfId="0" quotePrefix="1" applyNumberFormat="1" applyFont="1" applyFill="1" applyBorder="1" applyAlignment="1">
      <alignment horizontal="right" vertical="center"/>
    </xf>
    <xf numFmtId="0" fontId="0" fillId="0" borderId="9" xfId="0" applyBorder="1"/>
    <xf numFmtId="43" fontId="57" fillId="0" borderId="4" xfId="0" applyNumberFormat="1" applyFont="1" applyFill="1" applyBorder="1" applyAlignment="1">
      <alignment horizontal="right" vertical="center"/>
    </xf>
    <xf numFmtId="165" fontId="0" fillId="0" borderId="8" xfId="0" applyNumberFormat="1" applyFont="1" applyBorder="1"/>
    <xf numFmtId="0" fontId="39" fillId="0" borderId="0" xfId="0" applyFont="1" applyAlignment="1">
      <alignment horizontal="right" vertical="center"/>
    </xf>
    <xf numFmtId="39" fontId="39" fillId="0" borderId="8" xfId="0" applyNumberFormat="1" applyFont="1" applyBorder="1" applyAlignment="1">
      <alignment horizontal="right" vertical="center"/>
    </xf>
    <xf numFmtId="166" fontId="22" fillId="0" borderId="8" xfId="7" applyNumberFormat="1" applyFont="1" applyBorder="1" applyAlignment="1">
      <alignment horizontal="right" vertical="center"/>
    </xf>
    <xf numFmtId="39" fontId="39" fillId="0" borderId="10" xfId="0" applyNumberFormat="1" applyFont="1" applyBorder="1" applyAlignment="1">
      <alignment horizontal="right" vertical="center"/>
    </xf>
    <xf numFmtId="4" fontId="39" fillId="0" borderId="10" xfId="0" applyNumberFormat="1" applyFont="1" applyBorder="1" applyAlignment="1">
      <alignment horizontal="right" vertical="center"/>
    </xf>
    <xf numFmtId="0" fontId="22" fillId="0" borderId="57" xfId="0" applyFont="1" applyBorder="1" applyAlignment="1">
      <alignment horizontal="right" vertical="center"/>
    </xf>
    <xf numFmtId="165" fontId="0" fillId="0" borderId="24" xfId="0" applyNumberFormat="1" applyFont="1" applyFill="1" applyBorder="1"/>
    <xf numFmtId="4" fontId="0" fillId="0" borderId="31" xfId="0" applyNumberFormat="1" applyFont="1" applyFill="1" applyBorder="1"/>
    <xf numFmtId="4" fontId="0" fillId="0" borderId="43" xfId="0" applyNumberFormat="1" applyFont="1" applyFill="1" applyBorder="1"/>
    <xf numFmtId="41" fontId="0" fillId="0" borderId="24" xfId="1" applyFont="1" applyBorder="1"/>
    <xf numFmtId="0" fontId="5" fillId="0" borderId="24" xfId="0" applyFont="1" applyBorder="1" applyAlignment="1">
      <alignment horizontal="center"/>
    </xf>
    <xf numFmtId="165" fontId="5" fillId="0" borderId="24" xfId="0" applyNumberFormat="1" applyFont="1" applyBorder="1"/>
    <xf numFmtId="165" fontId="0" fillId="0" borderId="24" xfId="0" applyNumberFormat="1" applyBorder="1"/>
    <xf numFmtId="165" fontId="0" fillId="0" borderId="24" xfId="0" applyNumberFormat="1" applyFill="1" applyBorder="1"/>
    <xf numFmtId="49" fontId="31" fillId="0" borderId="12" xfId="0" applyNumberFormat="1" applyFont="1" applyFill="1" applyBorder="1" applyAlignment="1">
      <alignment horizontal="center" vertical="center"/>
    </xf>
    <xf numFmtId="49" fontId="62" fillId="0" borderId="22" xfId="0" applyNumberFormat="1" applyFont="1" applyBorder="1" applyAlignment="1">
      <alignment horizontal="center" vertical="center"/>
    </xf>
    <xf numFmtId="49" fontId="62" fillId="0" borderId="12" xfId="0" applyNumberFormat="1" applyFont="1" applyBorder="1" applyAlignment="1">
      <alignment horizontal="center" vertical="center"/>
    </xf>
    <xf numFmtId="49" fontId="31" fillId="0" borderId="25" xfId="0" applyNumberFormat="1" applyFont="1" applyBorder="1" applyAlignment="1">
      <alignment horizontal="center" vertical="center"/>
    </xf>
    <xf numFmtId="0" fontId="47" fillId="0" borderId="19" xfId="0" applyFont="1" applyBorder="1" applyAlignment="1">
      <alignment horizontal="left" vertical="center" wrapText="1"/>
    </xf>
    <xf numFmtId="166" fontId="43" fillId="0" borderId="4" xfId="7" applyNumberFormat="1" applyFont="1" applyBorder="1" applyAlignment="1">
      <alignment horizontal="center" vertical="center"/>
    </xf>
    <xf numFmtId="0" fontId="43" fillId="0" borderId="12" xfId="0" applyFont="1" applyBorder="1" applyAlignment="1">
      <alignment horizontal="right" vertical="center"/>
    </xf>
    <xf numFmtId="2" fontId="43" fillId="0" borderId="12" xfId="0" applyNumberFormat="1" applyFont="1" applyBorder="1" applyAlignment="1">
      <alignment horizontal="right" vertical="center"/>
    </xf>
    <xf numFmtId="165" fontId="43" fillId="0" borderId="12" xfId="0" applyNumberFormat="1" applyFont="1" applyBorder="1" applyAlignment="1">
      <alignment horizontal="right" vertical="center"/>
    </xf>
    <xf numFmtId="4" fontId="22" fillId="0" borderId="7" xfId="0" applyNumberFormat="1" applyFont="1" applyBorder="1" applyAlignment="1">
      <alignment horizontal="right" vertical="center"/>
    </xf>
    <xf numFmtId="0" fontId="43" fillId="0" borderId="74" xfId="0" applyFont="1" applyBorder="1" applyAlignment="1">
      <alignment horizontal="center" vertical="center"/>
    </xf>
    <xf numFmtId="43" fontId="26" fillId="0" borderId="10" xfId="1" applyNumberFormat="1" applyFont="1" applyBorder="1" applyAlignment="1">
      <alignment vertical="center"/>
    </xf>
    <xf numFmtId="43" fontId="28" fillId="0" borderId="10" xfId="1" applyNumberFormat="1" applyFont="1" applyBorder="1" applyAlignment="1">
      <alignment vertical="center"/>
    </xf>
    <xf numFmtId="10" fontId="28" fillId="0" borderId="10" xfId="1" applyNumberFormat="1" applyFont="1" applyBorder="1" applyAlignment="1">
      <alignment vertical="center"/>
    </xf>
    <xf numFmtId="166" fontId="43" fillId="0" borderId="4" xfId="58" applyNumberFormat="1" applyFont="1" applyBorder="1" applyAlignment="1">
      <alignment horizontal="right" vertical="center"/>
    </xf>
    <xf numFmtId="0" fontId="43" fillId="0" borderId="4" xfId="0" applyFont="1" applyBorder="1" applyAlignment="1">
      <alignment horizontal="right" vertical="center"/>
    </xf>
    <xf numFmtId="166" fontId="39" fillId="0" borderId="0" xfId="7" applyNumberFormat="1" applyFont="1" applyAlignment="1">
      <alignment horizontal="right" vertical="center"/>
    </xf>
    <xf numFmtId="0" fontId="39" fillId="0" borderId="41" xfId="0" applyFont="1" applyBorder="1" applyAlignment="1">
      <alignment horizontal="right" vertical="center"/>
    </xf>
    <xf numFmtId="0" fontId="43" fillId="0" borderId="4" xfId="0" applyFont="1" applyBorder="1" applyAlignment="1">
      <alignment vertical="top" wrapText="1"/>
    </xf>
    <xf numFmtId="0" fontId="30" fillId="0" borderId="0" xfId="0" applyFont="1" applyAlignment="1">
      <alignment horizontal="center" vertical="center"/>
    </xf>
    <xf numFmtId="4" fontId="66" fillId="0" borderId="4" xfId="0" applyNumberFormat="1" applyFont="1" applyBorder="1" applyAlignment="1">
      <alignment vertical="center"/>
    </xf>
    <xf numFmtId="0" fontId="29" fillId="0" borderId="7" xfId="0" applyFont="1" applyBorder="1" applyAlignment="1">
      <alignment horizontal="left" vertical="center" wrapText="1"/>
    </xf>
    <xf numFmtId="4" fontId="66" fillId="0" borderId="8" xfId="0" applyNumberFormat="1" applyFont="1" applyBorder="1" applyAlignment="1">
      <alignment vertical="center"/>
    </xf>
    <xf numFmtId="39" fontId="66" fillId="0" borderId="4" xfId="0" applyNumberFormat="1" applyFont="1" applyBorder="1" applyAlignment="1">
      <alignment horizontal="right" vertical="center"/>
    </xf>
    <xf numFmtId="39" fontId="66" fillId="0" borderId="4" xfId="0" applyNumberFormat="1" applyFont="1" applyBorder="1" applyAlignment="1">
      <alignment vertical="center"/>
    </xf>
    <xf numFmtId="39" fontId="29" fillId="0" borderId="4" xfId="0" applyNumberFormat="1" applyFont="1" applyBorder="1" applyAlignment="1">
      <alignment vertical="center"/>
    </xf>
    <xf numFmtId="39" fontId="29" fillId="0" borderId="11" xfId="0" applyNumberFormat="1" applyFont="1" applyBorder="1" applyAlignment="1">
      <alignment vertical="center"/>
    </xf>
    <xf numFmtId="4" fontId="29" fillId="0" borderId="12" xfId="0" applyNumberFormat="1" applyFont="1" applyBorder="1" applyAlignment="1">
      <alignment vertical="center"/>
    </xf>
    <xf numFmtId="4" fontId="66" fillId="0" borderId="12" xfId="0" applyNumberFormat="1" applyFont="1" applyBorder="1" applyAlignment="1">
      <alignment vertical="center"/>
    </xf>
    <xf numFmtId="39" fontId="29" fillId="0" borderId="4" xfId="0" applyNumberFormat="1" applyFont="1" applyBorder="1" applyAlignment="1">
      <alignment horizontal="right" vertical="center"/>
    </xf>
    <xf numFmtId="4" fontId="29" fillId="0" borderId="11" xfId="0" applyNumberFormat="1" applyFont="1" applyBorder="1" applyAlignment="1">
      <alignment vertical="center"/>
    </xf>
    <xf numFmtId="39" fontId="29" fillId="0" borderId="11" xfId="0" applyNumberFormat="1" applyFont="1" applyBorder="1" applyAlignment="1">
      <alignment vertical="top"/>
    </xf>
    <xf numFmtId="39" fontId="66" fillId="0" borderId="4" xfId="0" applyNumberFormat="1" applyFont="1" applyBorder="1" applyAlignment="1">
      <alignment vertical="top"/>
    </xf>
    <xf numFmtId="39" fontId="29" fillId="0" borderId="12" xfId="0" applyNumberFormat="1" applyFont="1" applyBorder="1" applyAlignment="1">
      <alignment vertical="center"/>
    </xf>
    <xf numFmtId="0" fontId="23" fillId="0" borderId="7" xfId="0" applyFont="1" applyBorder="1"/>
    <xf numFmtId="0" fontId="29" fillId="0" borderId="1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166" fontId="42" fillId="0" borderId="0" xfId="1" applyNumberFormat="1" applyFont="1"/>
    <xf numFmtId="49" fontId="29" fillId="0" borderId="7" xfId="0" applyNumberFormat="1" applyFont="1" applyBorder="1" applyAlignment="1">
      <alignment horizontal="center" vertical="center"/>
    </xf>
    <xf numFmtId="4" fontId="29" fillId="0" borderId="4" xfId="0" applyNumberFormat="1" applyFont="1" applyBorder="1" applyAlignment="1">
      <alignment vertical="center"/>
    </xf>
    <xf numFmtId="4" fontId="66" fillId="0" borderId="25" xfId="0" applyNumberFormat="1" applyFont="1" applyBorder="1" applyAlignment="1">
      <alignment vertical="center"/>
    </xf>
    <xf numFmtId="0" fontId="40" fillId="0" borderId="4" xfId="0" applyFont="1" applyBorder="1" applyAlignment="1">
      <alignment horizontal="left" vertical="center" wrapText="1"/>
    </xf>
    <xf numFmtId="0" fontId="23" fillId="0" borderId="7" xfId="0" applyFont="1" applyBorder="1" applyAlignment="1">
      <alignment vertical="center"/>
    </xf>
    <xf numFmtId="0" fontId="66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7" fillId="0" borderId="0" xfId="62">
      <alignment vertical="center"/>
    </xf>
    <xf numFmtId="0" fontId="71" fillId="0" borderId="78" xfId="62" applyFont="1" applyBorder="1" applyAlignment="1">
      <alignment horizontal="right"/>
    </xf>
    <xf numFmtId="0" fontId="83" fillId="0" borderId="0" xfId="62" applyFont="1">
      <alignment vertical="center"/>
    </xf>
    <xf numFmtId="0" fontId="86" fillId="0" borderId="0" xfId="62" applyFont="1" applyBorder="1" applyAlignment="1"/>
    <xf numFmtId="0" fontId="86" fillId="0" borderId="0" xfId="62" applyFont="1" applyAlignment="1"/>
    <xf numFmtId="165" fontId="27" fillId="0" borderId="0" xfId="62" applyNumberFormat="1">
      <alignment vertical="center"/>
    </xf>
    <xf numFmtId="166" fontId="27" fillId="0" borderId="0" xfId="1" applyNumberFormat="1" applyFont="1" applyAlignment="1">
      <alignment vertical="center"/>
    </xf>
    <xf numFmtId="166" fontId="38" fillId="0" borderId="0" xfId="1" applyNumberFormat="1" applyFont="1"/>
    <xf numFmtId="166" fontId="0" fillId="0" borderId="0" xfId="1" applyNumberFormat="1" applyFont="1"/>
    <xf numFmtId="166" fontId="0" fillId="0" borderId="0" xfId="1" applyNumberFormat="1" applyFont="1" applyAlignment="1"/>
    <xf numFmtId="166" fontId="0" fillId="0" borderId="0" xfId="1" applyNumberFormat="1" applyFont="1" applyFill="1"/>
    <xf numFmtId="166" fontId="12" fillId="0" borderId="0" xfId="1" applyNumberFormat="1" applyFont="1"/>
    <xf numFmtId="166" fontId="13" fillId="0" borderId="0" xfId="1" applyNumberFormat="1" applyFont="1"/>
    <xf numFmtId="166" fontId="36" fillId="0" borderId="0" xfId="1" applyNumberFormat="1" applyFont="1"/>
    <xf numFmtId="166" fontId="9" fillId="0" borderId="4" xfId="1" applyNumberFormat="1" applyFont="1" applyFill="1" applyBorder="1" applyAlignment="1">
      <alignment vertical="center"/>
    </xf>
    <xf numFmtId="166" fontId="5" fillId="0" borderId="4" xfId="1" applyNumberFormat="1" applyFont="1" applyFill="1" applyBorder="1" applyAlignment="1">
      <alignment vertical="center"/>
    </xf>
    <xf numFmtId="166" fontId="6" fillId="0" borderId="0" xfId="1" applyNumberFormat="1" applyFont="1" applyFill="1"/>
    <xf numFmtId="166" fontId="9" fillId="0" borderId="4" xfId="1" applyNumberFormat="1" applyFont="1" applyBorder="1" applyAlignment="1">
      <alignment vertical="center"/>
    </xf>
    <xf numFmtId="166" fontId="46" fillId="0" borderId="0" xfId="1" applyNumberFormat="1" applyFont="1"/>
    <xf numFmtId="166" fontId="5" fillId="0" borderId="4" xfId="1" applyNumberFormat="1" applyFont="1" applyBorder="1" applyAlignment="1">
      <alignment horizontal="right" vertical="center"/>
    </xf>
    <xf numFmtId="166" fontId="18" fillId="0" borderId="0" xfId="1" applyNumberFormat="1" applyFont="1"/>
    <xf numFmtId="166" fontId="5" fillId="0" borderId="0" xfId="1" applyNumberFormat="1" applyFont="1"/>
    <xf numFmtId="166" fontId="9" fillId="0" borderId="0" xfId="1" applyNumberFormat="1" applyFont="1"/>
    <xf numFmtId="166" fontId="18" fillId="0" borderId="4" xfId="1" applyNumberFormat="1" applyFont="1" applyFill="1" applyBorder="1" applyAlignment="1">
      <alignment horizontal="left" vertical="center" indent="1"/>
    </xf>
    <xf numFmtId="166" fontId="18" fillId="0" borderId="28" xfId="1" applyNumberFormat="1" applyFont="1" applyBorder="1" applyAlignment="1">
      <alignment horizontal="left" vertical="center" indent="1"/>
    </xf>
    <xf numFmtId="166" fontId="18" fillId="9" borderId="18" xfId="1" applyNumberFormat="1" applyFont="1" applyFill="1" applyBorder="1" applyAlignment="1">
      <alignment horizontal="right" vertical="center"/>
    </xf>
    <xf numFmtId="166" fontId="21" fillId="0" borderId="0" xfId="1" applyNumberFormat="1" applyFont="1"/>
    <xf numFmtId="166" fontId="21" fillId="0" borderId="0" xfId="1" applyNumberFormat="1" applyFont="1" applyFill="1"/>
    <xf numFmtId="166" fontId="20" fillId="0" borderId="0" xfId="1" applyNumberFormat="1" applyFont="1"/>
    <xf numFmtId="0" fontId="7" fillId="5" borderId="0" xfId="0" applyFont="1" applyFill="1"/>
    <xf numFmtId="166" fontId="0" fillId="5" borderId="0" xfId="1" applyNumberFormat="1" applyFont="1" applyFill="1"/>
    <xf numFmtId="4" fontId="0" fillId="0" borderId="0" xfId="0" applyNumberFormat="1" applyFill="1"/>
    <xf numFmtId="166" fontId="18" fillId="4" borderId="27" xfId="1" applyNumberFormat="1" applyFont="1" applyFill="1" applyBorder="1" applyAlignment="1">
      <alignment horizontal="right" vertical="center"/>
    </xf>
    <xf numFmtId="164" fontId="18" fillId="4" borderId="27" xfId="0" applyNumberFormat="1" applyFont="1" applyFill="1" applyBorder="1" applyAlignment="1">
      <alignment horizontal="right" vertical="center"/>
    </xf>
    <xf numFmtId="164" fontId="4" fillId="0" borderId="0" xfId="0" applyNumberFormat="1" applyFont="1"/>
    <xf numFmtId="166" fontId="4" fillId="4" borderId="27" xfId="1" applyNumberFormat="1" applyFont="1" applyFill="1" applyBorder="1" applyAlignment="1">
      <alignment horizontal="right" vertical="center" wrapText="1"/>
    </xf>
    <xf numFmtId="166" fontId="18" fillId="4" borderId="27" xfId="1" applyNumberFormat="1" applyFont="1" applyFill="1" applyBorder="1" applyAlignment="1">
      <alignment horizontal="center" vertical="center" wrapText="1"/>
    </xf>
    <xf numFmtId="166" fontId="4" fillId="4" borderId="27" xfId="1" applyNumberFormat="1" applyFont="1" applyFill="1" applyBorder="1" applyAlignment="1">
      <alignment horizontal="center" vertical="center" wrapText="1"/>
    </xf>
    <xf numFmtId="166" fontId="0" fillId="4" borderId="27" xfId="1" applyNumberFormat="1" applyFont="1" applyFill="1" applyBorder="1" applyAlignment="1">
      <alignment horizontal="right" vertical="center" wrapText="1"/>
    </xf>
    <xf numFmtId="166" fontId="0" fillId="4" borderId="27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Alignment="1">
      <alignment wrapText="1"/>
    </xf>
    <xf numFmtId="166" fontId="3" fillId="4" borderId="27" xfId="1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left" vertical="top" wrapText="1"/>
    </xf>
    <xf numFmtId="0" fontId="5" fillId="0" borderId="16" xfId="0" applyFont="1" applyBorder="1" applyAlignment="1">
      <alignment vertical="top" wrapText="1"/>
    </xf>
    <xf numFmtId="0" fontId="5" fillId="0" borderId="30" xfId="0" applyFont="1" applyBorder="1" applyAlignment="1">
      <alignment horizontal="left" vertical="top" wrapText="1"/>
    </xf>
    <xf numFmtId="166" fontId="0" fillId="0" borderId="20" xfId="1" applyNumberFormat="1" applyFont="1" applyBorder="1"/>
    <xf numFmtId="170" fontId="5" fillId="6" borderId="7" xfId="0" applyNumberFormat="1" applyFont="1" applyFill="1" applyBorder="1" applyAlignment="1">
      <alignment horizontal="left" vertical="center" wrapText="1"/>
    </xf>
    <xf numFmtId="166" fontId="5" fillId="0" borderId="30" xfId="1" applyNumberFormat="1" applyFont="1" applyBorder="1" applyAlignment="1"/>
    <xf numFmtId="166" fontId="10" fillId="8" borderId="91" xfId="1" applyNumberFormat="1" applyFont="1" applyFill="1" applyBorder="1" applyAlignment="1">
      <alignment vertical="center"/>
    </xf>
    <xf numFmtId="166" fontId="10" fillId="10" borderId="11" xfId="1" applyNumberFormat="1" applyFont="1" applyFill="1" applyBorder="1" applyAlignment="1">
      <alignment horizontal="left" vertical="center" indent="1"/>
    </xf>
    <xf numFmtId="166" fontId="87" fillId="0" borderId="0" xfId="1" applyNumberFormat="1" applyFont="1" applyFill="1" applyBorder="1" applyAlignment="1">
      <alignment vertical="top"/>
    </xf>
    <xf numFmtId="166" fontId="84" fillId="0" borderId="30" xfId="1" applyNumberFormat="1" applyFont="1" applyBorder="1" applyAlignment="1">
      <alignment horizontal="left" vertical="center" indent="1"/>
    </xf>
    <xf numFmtId="166" fontId="84" fillId="0" borderId="0" xfId="1" applyNumberFormat="1" applyFont="1" applyBorder="1" applyAlignment="1">
      <alignment horizontal="left" vertical="center" indent="1"/>
    </xf>
    <xf numFmtId="166" fontId="84" fillId="0" borderId="0" xfId="1" applyNumberFormat="1" applyFont="1" applyBorder="1" applyAlignment="1">
      <alignment horizontal="left" vertical="center" wrapText="1" indent="1"/>
    </xf>
    <xf numFmtId="166" fontId="73" fillId="0" borderId="4" xfId="1" applyNumberFormat="1" applyFont="1" applyFill="1" applyBorder="1" applyAlignment="1" applyProtection="1">
      <alignment horizontal="left" vertical="center" indent="1"/>
    </xf>
    <xf numFmtId="166" fontId="73" fillId="0" borderId="4" xfId="1" applyNumberFormat="1" applyFont="1" applyBorder="1" applyAlignment="1" applyProtection="1">
      <alignment horizontal="left" vertical="center" indent="1"/>
    </xf>
    <xf numFmtId="43" fontId="6" fillId="0" borderId="0" xfId="2" applyFont="1" applyFill="1"/>
    <xf numFmtId="43" fontId="6" fillId="0" borderId="0" xfId="2" applyNumberFormat="1" applyFont="1"/>
    <xf numFmtId="41" fontId="21" fillId="0" borderId="0" xfId="1" applyFont="1"/>
    <xf numFmtId="41" fontId="13" fillId="0" borderId="0" xfId="1" applyFont="1"/>
    <xf numFmtId="41" fontId="7" fillId="0" borderId="0" xfId="1" applyFont="1"/>
    <xf numFmtId="41" fontId="0" fillId="0" borderId="0" xfId="1" applyFont="1" applyAlignment="1">
      <alignment horizontal="center" vertical="center"/>
    </xf>
    <xf numFmtId="166" fontId="39" fillId="5" borderId="11" xfId="1" applyNumberFormat="1" applyFont="1" applyFill="1" applyBorder="1" applyAlignment="1">
      <alignment horizontal="right" vertical="center"/>
    </xf>
    <xf numFmtId="166" fontId="43" fillId="0" borderId="4" xfId="7" applyNumberFormat="1" applyFont="1" applyBorder="1" applyAlignment="1">
      <alignment horizontal="left" vertical="center"/>
    </xf>
    <xf numFmtId="0" fontId="21" fillId="5" borderId="0" xfId="0" applyFont="1" applyFill="1"/>
    <xf numFmtId="0" fontId="6" fillId="12" borderId="0" xfId="0" applyFont="1" applyFill="1"/>
    <xf numFmtId="43" fontId="43" fillId="0" borderId="4" xfId="0" applyNumberFormat="1" applyFont="1" applyBorder="1" applyAlignment="1">
      <alignment horizontal="right" vertical="center"/>
    </xf>
    <xf numFmtId="4" fontId="39" fillId="5" borderId="11" xfId="0" applyNumberFormat="1" applyFont="1" applyFill="1" applyBorder="1" applyAlignment="1">
      <alignment vertical="center"/>
    </xf>
    <xf numFmtId="4" fontId="43" fillId="0" borderId="11" xfId="0" applyNumberFormat="1" applyFont="1" applyFill="1" applyBorder="1" applyAlignment="1">
      <alignment horizontal="right" vertical="center"/>
    </xf>
    <xf numFmtId="4" fontId="43" fillId="0" borderId="21" xfId="0" applyNumberFormat="1" applyFont="1" applyFill="1" applyBorder="1" applyAlignment="1">
      <alignment horizontal="right" vertical="center"/>
    </xf>
    <xf numFmtId="166" fontId="39" fillId="5" borderId="11" xfId="1" applyNumberFormat="1" applyFont="1" applyFill="1" applyBorder="1" applyAlignment="1">
      <alignment vertical="center"/>
    </xf>
    <xf numFmtId="4" fontId="39" fillId="0" borderId="4" xfId="0" applyNumberFormat="1" applyFont="1" applyFill="1" applyBorder="1" applyAlignment="1">
      <alignment vertical="center"/>
    </xf>
    <xf numFmtId="166" fontId="43" fillId="0" borderId="11" xfId="1" applyNumberFormat="1" applyFont="1" applyBorder="1" applyAlignment="1">
      <alignment horizontal="right" vertical="center"/>
    </xf>
    <xf numFmtId="0" fontId="89" fillId="0" borderId="0" xfId="0" applyFont="1" applyAlignment="1">
      <alignment horizontal="right"/>
    </xf>
    <xf numFmtId="0" fontId="48" fillId="0" borderId="69" xfId="0" quotePrefix="1" applyFont="1" applyBorder="1" applyAlignment="1">
      <alignment horizontal="center" vertical="center"/>
    </xf>
    <xf numFmtId="49" fontId="29" fillId="0" borderId="62" xfId="0" applyNumberFormat="1" applyFont="1" applyBorder="1" applyAlignment="1">
      <alignment horizontal="center" vertical="center"/>
    </xf>
    <xf numFmtId="49" fontId="39" fillId="0" borderId="68" xfId="0" applyNumberFormat="1" applyFont="1" applyBorder="1" applyAlignment="1">
      <alignment horizontal="center" vertical="center"/>
    </xf>
    <xf numFmtId="174" fontId="29" fillId="0" borderId="64" xfId="0" applyNumberFormat="1" applyFont="1" applyBorder="1"/>
    <xf numFmtId="0" fontId="39" fillId="0" borderId="75" xfId="0" applyFont="1" applyBorder="1" applyAlignment="1">
      <alignment horizontal="center" vertical="center"/>
    </xf>
    <xf numFmtId="0" fontId="39" fillId="0" borderId="65" xfId="0" applyFont="1" applyBorder="1" applyAlignment="1">
      <alignment horizontal="center" vertical="center"/>
    </xf>
    <xf numFmtId="0" fontId="76" fillId="0" borderId="63" xfId="0" applyFont="1" applyBorder="1"/>
    <xf numFmtId="0" fontId="90" fillId="0" borderId="63" xfId="0" applyFont="1" applyBorder="1"/>
    <xf numFmtId="0" fontId="76" fillId="0" borderId="63" xfId="0" applyFont="1" applyBorder="1" applyAlignment="1">
      <alignment vertical="center"/>
    </xf>
    <xf numFmtId="0" fontId="76" fillId="0" borderId="55" xfId="0" applyFont="1" applyBorder="1"/>
    <xf numFmtId="0" fontId="90" fillId="0" borderId="55" xfId="0" applyFont="1" applyBorder="1"/>
    <xf numFmtId="2" fontId="43" fillId="0" borderId="4" xfId="0" applyNumberFormat="1" applyFont="1" applyBorder="1" applyAlignment="1">
      <alignment horizontal="right" vertical="center"/>
    </xf>
    <xf numFmtId="0" fontId="39" fillId="0" borderId="4" xfId="0" applyFont="1" applyBorder="1" applyAlignment="1">
      <alignment horizontal="right" vertical="center"/>
    </xf>
    <xf numFmtId="0" fontId="39" fillId="0" borderId="74" xfId="0" applyFont="1" applyBorder="1" applyAlignment="1">
      <alignment horizontal="center" vertical="center"/>
    </xf>
    <xf numFmtId="2" fontId="39" fillId="0" borderId="4" xfId="0" applyNumberFormat="1" applyFont="1" applyBorder="1" applyAlignment="1">
      <alignment horizontal="right" vertical="center"/>
    </xf>
    <xf numFmtId="0" fontId="29" fillId="0" borderId="61" xfId="0" applyFont="1" applyBorder="1"/>
    <xf numFmtId="0" fontId="29" fillId="0" borderId="62" xfId="0" applyFont="1" applyBorder="1"/>
    <xf numFmtId="0" fontId="29" fillId="0" borderId="71" xfId="0" applyFont="1" applyBorder="1"/>
    <xf numFmtId="0" fontId="29" fillId="0" borderId="26" xfId="0" applyFont="1" applyBorder="1"/>
    <xf numFmtId="0" fontId="29" fillId="0" borderId="73" xfId="0" applyFont="1" applyBorder="1"/>
    <xf numFmtId="4" fontId="8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34" fillId="0" borderId="0" xfId="0" applyFont="1" applyAlignment="1">
      <alignment horizontal="left" vertical="center" wrapText="1"/>
    </xf>
    <xf numFmtId="166" fontId="29" fillId="0" borderId="8" xfId="7" applyNumberFormat="1" applyFont="1" applyBorder="1" applyAlignment="1">
      <alignment horizontal="center" vertical="center" wrapText="1"/>
    </xf>
    <xf numFmtId="166" fontId="29" fillId="0" borderId="45" xfId="7" applyNumberFormat="1" applyFont="1" applyBorder="1" applyAlignment="1">
      <alignment horizontal="center" vertical="center" wrapText="1"/>
    </xf>
    <xf numFmtId="4" fontId="29" fillId="0" borderId="45" xfId="7" applyNumberFormat="1" applyFont="1" applyBorder="1" applyAlignment="1">
      <alignment horizontal="center" vertical="center" wrapText="1"/>
    </xf>
    <xf numFmtId="0" fontId="51" fillId="0" borderId="10" xfId="0" quotePrefix="1" applyFont="1" applyBorder="1" applyAlignment="1">
      <alignment horizontal="center" vertical="center"/>
    </xf>
    <xf numFmtId="0" fontId="51" fillId="0" borderId="10" xfId="0" quotePrefix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/>
    <xf numFmtId="4" fontId="23" fillId="0" borderId="12" xfId="0" applyNumberFormat="1" applyFont="1" applyBorder="1" applyAlignment="1">
      <alignment vertical="center"/>
    </xf>
    <xf numFmtId="0" fontId="66" fillId="0" borderId="12" xfId="0" applyFont="1" applyBorder="1" applyAlignment="1">
      <alignment vertical="center"/>
    </xf>
    <xf numFmtId="39" fontId="29" fillId="0" borderId="8" xfId="0" applyNumberFormat="1" applyFont="1" applyBorder="1" applyAlignment="1">
      <alignment vertical="center"/>
    </xf>
    <xf numFmtId="166" fontId="29" fillId="0" borderId="8" xfId="7" applyNumberFormat="1" applyFont="1" applyFill="1" applyBorder="1" applyAlignment="1">
      <alignment vertical="center"/>
    </xf>
    <xf numFmtId="4" fontId="29" fillId="0" borderId="8" xfId="0" applyNumberFormat="1" applyFont="1" applyBorder="1" applyAlignment="1">
      <alignment vertical="center"/>
    </xf>
    <xf numFmtId="0" fontId="40" fillId="0" borderId="11" xfId="0" applyFont="1" applyBorder="1" applyAlignment="1">
      <alignment horizontal="left" vertical="center" wrapText="1"/>
    </xf>
    <xf numFmtId="39" fontId="40" fillId="0" borderId="11" xfId="0" applyNumberFormat="1" applyFont="1" applyBorder="1" applyAlignment="1">
      <alignment vertical="center"/>
    </xf>
    <xf numFmtId="0" fontId="29" fillId="0" borderId="8" xfId="0" applyFont="1" applyBorder="1" applyAlignment="1">
      <alignment horizontal="center" vertical="center"/>
    </xf>
    <xf numFmtId="39" fontId="40" fillId="0" borderId="8" xfId="0" applyNumberFormat="1" applyFont="1" applyBorder="1" applyAlignment="1">
      <alignment vertical="top"/>
    </xf>
    <xf numFmtId="0" fontId="66" fillId="0" borderId="65" xfId="0" applyFont="1" applyBorder="1" applyAlignment="1">
      <alignment horizontal="center" vertical="center"/>
    </xf>
    <xf numFmtId="39" fontId="67" fillId="0" borderId="4" xfId="0" applyNumberFormat="1" applyFont="1" applyBorder="1" applyAlignment="1">
      <alignment vertical="center"/>
    </xf>
    <xf numFmtId="166" fontId="66" fillId="0" borderId="4" xfId="7" applyNumberFormat="1" applyFont="1" applyBorder="1" applyAlignment="1">
      <alignment vertical="center"/>
    </xf>
    <xf numFmtId="4" fontId="66" fillId="0" borderId="4" xfId="0" applyNumberFormat="1" applyFont="1" applyBorder="1"/>
    <xf numFmtId="39" fontId="67" fillId="0" borderId="4" xfId="0" applyNumberFormat="1" applyFont="1" applyBorder="1" applyAlignment="1">
      <alignment vertical="top"/>
    </xf>
    <xf numFmtId="4" fontId="66" fillId="0" borderId="12" xfId="0" applyNumberFormat="1" applyFont="1" applyBorder="1"/>
    <xf numFmtId="39" fontId="67" fillId="0" borderId="4" xfId="0" applyNumberFormat="1" applyFont="1" applyBorder="1" applyAlignment="1">
      <alignment horizontal="right" vertical="center"/>
    </xf>
    <xf numFmtId="4" fontId="66" fillId="0" borderId="12" xfId="0" applyNumberFormat="1" applyFont="1" applyBorder="1" applyAlignment="1">
      <alignment horizontal="right" vertical="center"/>
    </xf>
    <xf numFmtId="0" fontId="66" fillId="0" borderId="66" xfId="0" applyFont="1" applyBorder="1" applyAlignment="1">
      <alignment horizontal="center" vertical="center"/>
    </xf>
    <xf numFmtId="39" fontId="67" fillId="0" borderId="7" xfId="0" applyNumberFormat="1" applyFont="1" applyBorder="1" applyAlignment="1">
      <alignment vertical="top"/>
    </xf>
    <xf numFmtId="0" fontId="29" fillId="0" borderId="66" xfId="0" applyFont="1" applyBorder="1" applyAlignment="1">
      <alignment horizontal="center" vertical="center"/>
    </xf>
    <xf numFmtId="39" fontId="40" fillId="0" borderId="4" xfId="0" applyNumberFormat="1" applyFont="1" applyBorder="1" applyAlignment="1">
      <alignment vertical="top"/>
    </xf>
    <xf numFmtId="39" fontId="40" fillId="0" borderId="4" xfId="0" applyNumberFormat="1" applyFont="1" applyBorder="1" applyAlignment="1">
      <alignment vertical="center"/>
    </xf>
    <xf numFmtId="166" fontId="66" fillId="0" borderId="4" xfId="7" applyNumberFormat="1" applyFont="1" applyBorder="1"/>
    <xf numFmtId="0" fontId="66" fillId="0" borderId="12" xfId="0" applyFont="1" applyBorder="1"/>
    <xf numFmtId="39" fontId="67" fillId="0" borderId="7" xfId="0" applyNumberFormat="1" applyFont="1" applyBorder="1" applyAlignment="1">
      <alignment vertical="center"/>
    </xf>
    <xf numFmtId="4" fontId="76" fillId="0" borderId="12" xfId="0" applyNumberFormat="1" applyFont="1" applyBorder="1" applyAlignment="1">
      <alignment vertical="center"/>
    </xf>
    <xf numFmtId="39" fontId="40" fillId="0" borderId="4" xfId="0" applyNumberFormat="1" applyFont="1" applyBorder="1" applyAlignment="1">
      <alignment horizontal="right" vertical="center"/>
    </xf>
    <xf numFmtId="39" fontId="40" fillId="0" borderId="7" xfId="0" applyNumberFormat="1" applyFont="1" applyBorder="1" applyAlignment="1">
      <alignment vertical="center"/>
    </xf>
    <xf numFmtId="4" fontId="66" fillId="0" borderId="4" xfId="0" applyNumberFormat="1" applyFont="1" applyBorder="1" applyAlignment="1">
      <alignment horizontal="right"/>
    </xf>
    <xf numFmtId="39" fontId="67" fillId="0" borderId="8" xfId="0" applyNumberFormat="1" applyFont="1" applyBorder="1" applyAlignment="1">
      <alignment vertical="top"/>
    </xf>
    <xf numFmtId="39" fontId="29" fillId="0" borderId="4" xfId="0" applyNumberFormat="1" applyFont="1" applyBorder="1" applyAlignment="1">
      <alignment vertical="top"/>
    </xf>
    <xf numFmtId="166" fontId="66" fillId="0" borderId="12" xfId="7" applyNumberFormat="1" applyFont="1" applyBorder="1"/>
    <xf numFmtId="39" fontId="66" fillId="0" borderId="8" xfId="0" applyNumberFormat="1" applyFont="1" applyBorder="1" applyAlignment="1">
      <alignment vertical="top"/>
    </xf>
    <xf numFmtId="2" fontId="66" fillId="0" borderId="12" xfId="0" applyNumberFormat="1" applyFont="1" applyBorder="1"/>
    <xf numFmtId="166" fontId="66" fillId="0" borderId="12" xfId="7" applyNumberFormat="1" applyFont="1" applyBorder="1" applyAlignment="1">
      <alignment vertical="center"/>
    </xf>
    <xf numFmtId="39" fontId="67" fillId="0" borderId="8" xfId="0" applyNumberFormat="1" applyFont="1" applyBorder="1" applyAlignment="1">
      <alignment vertical="center"/>
    </xf>
    <xf numFmtId="39" fontId="67" fillId="0" borderId="12" xfId="0" applyNumberFormat="1" applyFont="1" applyBorder="1" applyAlignment="1">
      <alignment vertical="center"/>
    </xf>
    <xf numFmtId="166" fontId="66" fillId="0" borderId="8" xfId="7" applyNumberFormat="1" applyFont="1" applyBorder="1" applyAlignment="1">
      <alignment vertical="center"/>
    </xf>
    <xf numFmtId="166" fontId="66" fillId="0" borderId="8" xfId="7" applyNumberFormat="1" applyFont="1" applyBorder="1"/>
    <xf numFmtId="39" fontId="29" fillId="0" borderId="12" xfId="0" applyNumberFormat="1" applyFont="1" applyBorder="1" applyAlignment="1">
      <alignment vertical="top"/>
    </xf>
    <xf numFmtId="2" fontId="66" fillId="0" borderId="12" xfId="0" applyNumberFormat="1" applyFont="1" applyBorder="1" applyAlignment="1">
      <alignment vertical="center"/>
    </xf>
    <xf numFmtId="0" fontId="66" fillId="0" borderId="4" xfId="0" applyFont="1" applyBorder="1"/>
    <xf numFmtId="39" fontId="67" fillId="0" borderId="12" xfId="0" applyNumberFormat="1" applyFont="1" applyBorder="1" applyAlignment="1">
      <alignment vertical="top"/>
    </xf>
    <xf numFmtId="4" fontId="29" fillId="0" borderId="4" xfId="0" applyNumberFormat="1" applyFont="1" applyBorder="1"/>
    <xf numFmtId="0" fontId="29" fillId="0" borderId="12" xfId="0" applyFont="1" applyBorder="1"/>
    <xf numFmtId="2" fontId="29" fillId="0" borderId="12" xfId="0" applyNumberFormat="1" applyFont="1" applyBorder="1" applyAlignment="1">
      <alignment vertical="center"/>
    </xf>
    <xf numFmtId="39" fontId="66" fillId="0" borderId="8" xfId="0" applyNumberFormat="1" applyFont="1" applyBorder="1" applyAlignment="1">
      <alignment horizontal="right" vertical="center"/>
    </xf>
    <xf numFmtId="39" fontId="67" fillId="0" borderId="7" xfId="0" applyNumberFormat="1" applyFont="1" applyBorder="1" applyAlignment="1">
      <alignment horizontal="right" vertical="center"/>
    </xf>
    <xf numFmtId="39" fontId="67" fillId="0" borderId="19" xfId="0" applyNumberFormat="1" applyFont="1" applyBorder="1" applyAlignment="1">
      <alignment vertical="center"/>
    </xf>
    <xf numFmtId="0" fontId="14" fillId="0" borderId="19" xfId="0" applyFont="1" applyBorder="1"/>
    <xf numFmtId="0" fontId="14" fillId="0" borderId="4" xfId="0" applyFont="1" applyBorder="1"/>
    <xf numFmtId="39" fontId="66" fillId="0" borderId="8" xfId="0" applyNumberFormat="1" applyFont="1" applyBorder="1" applyAlignment="1">
      <alignment vertical="center"/>
    </xf>
    <xf numFmtId="39" fontId="67" fillId="0" borderId="14" xfId="0" applyNumberFormat="1" applyFont="1" applyBorder="1" applyAlignment="1">
      <alignment vertical="center"/>
    </xf>
    <xf numFmtId="39" fontId="40" fillId="0" borderId="11" xfId="0" applyNumberFormat="1" applyFont="1" applyBorder="1" applyAlignment="1">
      <alignment vertical="top"/>
    </xf>
    <xf numFmtId="4" fontId="76" fillId="0" borderId="11" xfId="0" applyNumberFormat="1" applyFont="1" applyBorder="1" applyAlignment="1">
      <alignment vertical="center"/>
    </xf>
    <xf numFmtId="39" fontId="29" fillId="0" borderId="8" xfId="0" applyNumberFormat="1" applyFont="1" applyBorder="1" applyAlignment="1">
      <alignment vertical="top"/>
    </xf>
    <xf numFmtId="4" fontId="29" fillId="0" borderId="12" xfId="0" applyNumberFormat="1" applyFont="1" applyBorder="1"/>
    <xf numFmtId="39" fontId="40" fillId="0" borderId="8" xfId="0" applyNumberFormat="1" applyFont="1" applyBorder="1" applyAlignment="1">
      <alignment vertical="center"/>
    </xf>
    <xf numFmtId="0" fontId="80" fillId="0" borderId="0" xfId="0" applyFont="1" applyAlignment="1">
      <alignment horizontal="left" vertical="center" wrapText="1"/>
    </xf>
    <xf numFmtId="165" fontId="66" fillId="0" borderId="12" xfId="0" applyNumberFormat="1" applyFont="1" applyBorder="1"/>
    <xf numFmtId="165" fontId="66" fillId="0" borderId="12" xfId="0" applyNumberFormat="1" applyFont="1" applyBorder="1" applyAlignment="1">
      <alignment vertical="center"/>
    </xf>
    <xf numFmtId="39" fontId="67" fillId="0" borderId="14" xfId="0" applyNumberFormat="1" applyFont="1" applyBorder="1" applyAlignment="1">
      <alignment horizontal="right" vertical="center"/>
    </xf>
    <xf numFmtId="39" fontId="67" fillId="0" borderId="12" xfId="0" applyNumberFormat="1" applyFont="1" applyBorder="1" applyAlignment="1">
      <alignment horizontal="right" vertical="center"/>
    </xf>
    <xf numFmtId="166" fontId="66" fillId="0" borderId="14" xfId="7" applyNumberFormat="1" applyFont="1" applyBorder="1" applyAlignment="1">
      <alignment vertical="center"/>
    </xf>
    <xf numFmtId="39" fontId="40" fillId="0" borderId="12" xfId="0" applyNumberFormat="1" applyFont="1" applyBorder="1" applyAlignment="1">
      <alignment vertical="top"/>
    </xf>
    <xf numFmtId="0" fontId="23" fillId="0" borderId="68" xfId="0" applyFont="1" applyBorder="1" applyAlignment="1">
      <alignment horizontal="center" vertical="center"/>
    </xf>
    <xf numFmtId="0" fontId="23" fillId="0" borderId="7" xfId="0" applyFont="1" applyBorder="1" applyAlignment="1">
      <alignment vertical="center" wrapText="1"/>
    </xf>
    <xf numFmtId="4" fontId="23" fillId="0" borderId="7" xfId="0" applyNumberFormat="1" applyFont="1" applyBorder="1" applyAlignment="1">
      <alignment vertical="center"/>
    </xf>
    <xf numFmtId="0" fontId="23" fillId="0" borderId="69" xfId="0" applyFont="1" applyBorder="1" applyAlignment="1">
      <alignment horizontal="center" vertical="center"/>
    </xf>
    <xf numFmtId="39" fontId="29" fillId="0" borderId="10" xfId="0" applyNumberFormat="1" applyFont="1" applyBorder="1" applyAlignment="1">
      <alignment vertical="center"/>
    </xf>
    <xf numFmtId="166" fontId="29" fillId="0" borderId="10" xfId="7" applyNumberFormat="1" applyFont="1" applyFill="1" applyBorder="1" applyAlignment="1">
      <alignment vertical="center"/>
    </xf>
    <xf numFmtId="4" fontId="29" fillId="0" borderId="10" xfId="0" applyNumberFormat="1" applyFont="1" applyBorder="1" applyAlignment="1">
      <alignment vertical="center"/>
    </xf>
    <xf numFmtId="0" fontId="82" fillId="0" borderId="70" xfId="0" applyFont="1" applyBorder="1" applyAlignment="1">
      <alignment horizontal="center" vertical="center"/>
    </xf>
    <xf numFmtId="0" fontId="23" fillId="0" borderId="57" xfId="0" applyFont="1" applyBorder="1"/>
    <xf numFmtId="4" fontId="23" fillId="0" borderId="57" xfId="0" applyNumberFormat="1" applyFont="1" applyBorder="1" applyAlignment="1">
      <alignment vertical="center"/>
    </xf>
    <xf numFmtId="0" fontId="66" fillId="0" borderId="57" xfId="0" applyFont="1" applyBorder="1" applyAlignment="1">
      <alignment vertical="center"/>
    </xf>
    <xf numFmtId="0" fontId="23" fillId="0" borderId="34" xfId="0" applyFont="1" applyBorder="1" applyAlignment="1">
      <alignment horizontal="center" vertical="center"/>
    </xf>
    <xf numFmtId="0" fontId="23" fillId="0" borderId="0" xfId="0" applyFont="1" applyBorder="1" applyAlignment="1"/>
    <xf numFmtId="4" fontId="23" fillId="0" borderId="0" xfId="0" applyNumberFormat="1" applyFont="1" applyBorder="1" applyAlignment="1">
      <alignment vertical="center"/>
    </xf>
    <xf numFmtId="0" fontId="66" fillId="0" borderId="0" xfId="0" applyFont="1" applyBorder="1" applyAlignment="1">
      <alignment vertical="center"/>
    </xf>
    <xf numFmtId="0" fontId="66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23" fillId="0" borderId="0" xfId="0" applyFont="1" applyBorder="1" applyAlignment="1">
      <alignment horizontal="center"/>
    </xf>
    <xf numFmtId="166" fontId="30" fillId="0" borderId="0" xfId="7" applyNumberFormat="1" applyFont="1" applyAlignment="1">
      <alignment horizontal="center"/>
    </xf>
    <xf numFmtId="0" fontId="30" fillId="0" borderId="0" xfId="0" applyFont="1" applyAlignment="1">
      <alignment vertical="center"/>
    </xf>
    <xf numFmtId="0" fontId="23" fillId="0" borderId="72" xfId="0" applyFont="1" applyBorder="1" applyAlignment="1">
      <alignment horizontal="center" vertical="center"/>
    </xf>
    <xf numFmtId="0" fontId="23" fillId="0" borderId="41" xfId="0" applyFont="1" applyBorder="1"/>
    <xf numFmtId="4" fontId="23" fillId="0" borderId="41" xfId="0" applyNumberFormat="1" applyFont="1" applyBorder="1" applyAlignment="1">
      <alignment vertical="center"/>
    </xf>
    <xf numFmtId="0" fontId="66" fillId="0" borderId="41" xfId="0" applyFont="1" applyBorder="1" applyAlignment="1">
      <alignment vertical="center"/>
    </xf>
    <xf numFmtId="0" fontId="30" fillId="0" borderId="41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6" fillId="0" borderId="0" xfId="62" applyFont="1" applyAlignment="1">
      <alignment horizontal="center" vertical="center"/>
    </xf>
    <xf numFmtId="0" fontId="71" fillId="0" borderId="0" xfId="62" applyFont="1">
      <alignment vertical="center"/>
    </xf>
    <xf numFmtId="166" fontId="86" fillId="0" borderId="0" xfId="63" applyNumberFormat="1" applyFont="1" applyAlignment="1" applyProtection="1"/>
    <xf numFmtId="0" fontId="86" fillId="0" borderId="76" xfId="62" applyFont="1" applyBorder="1" applyAlignment="1">
      <alignment horizontal="center" vertical="center"/>
    </xf>
    <xf numFmtId="0" fontId="86" fillId="0" borderId="77" xfId="62" applyFont="1" applyBorder="1" applyAlignment="1"/>
    <xf numFmtId="166" fontId="86" fillId="0" borderId="77" xfId="63" applyNumberFormat="1" applyFont="1" applyBorder="1" applyAlignment="1" applyProtection="1"/>
    <xf numFmtId="0" fontId="86" fillId="0" borderId="0" xfId="62" applyFont="1">
      <alignment vertical="center"/>
    </xf>
    <xf numFmtId="0" fontId="85" fillId="0" borderId="34" xfId="62" applyFont="1" applyBorder="1">
      <alignment vertical="center"/>
    </xf>
    <xf numFmtId="0" fontId="85" fillId="0" borderId="0" xfId="62" applyFont="1" applyBorder="1">
      <alignment vertical="center"/>
    </xf>
    <xf numFmtId="0" fontId="86" fillId="0" borderId="34" xfId="62" applyFont="1" applyBorder="1" applyAlignment="1">
      <alignment horizontal="left" vertical="center"/>
    </xf>
    <xf numFmtId="0" fontId="86" fillId="0" borderId="1" xfId="62" applyFont="1" applyBorder="1" applyAlignment="1">
      <alignment horizontal="left" vertical="center"/>
    </xf>
    <xf numFmtId="166" fontId="86" fillId="0" borderId="1" xfId="63" applyNumberFormat="1" applyFont="1" applyBorder="1" applyAlignment="1" applyProtection="1"/>
    <xf numFmtId="0" fontId="86" fillId="0" borderId="79" xfId="62" applyFont="1" applyBorder="1" applyAlignment="1">
      <alignment horizontal="right" vertical="center"/>
    </xf>
    <xf numFmtId="0" fontId="86" fillId="0" borderId="86" xfId="62" quotePrefix="1" applyFont="1" applyBorder="1" applyAlignment="1">
      <alignment horizontal="center" vertical="center"/>
    </xf>
    <xf numFmtId="0" fontId="86" fillId="0" borderId="52" xfId="62" quotePrefix="1" applyFont="1" applyBorder="1" applyAlignment="1">
      <alignment horizontal="center" vertical="center"/>
    </xf>
    <xf numFmtId="166" fontId="86" fillId="0" borderId="12" xfId="63" applyNumberFormat="1" applyFont="1" applyBorder="1" applyAlignment="1" applyProtection="1"/>
    <xf numFmtId="0" fontId="86" fillId="0" borderId="53" xfId="62" quotePrefix="1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1" fillId="0" borderId="4" xfId="0" applyFont="1" applyBorder="1" applyAlignment="1">
      <alignment horizontal="left" vertical="center" indent="1"/>
    </xf>
    <xf numFmtId="43" fontId="41" fillId="0" borderId="4" xfId="1" applyNumberFormat="1" applyFont="1" applyBorder="1"/>
    <xf numFmtId="166" fontId="85" fillId="0" borderId="4" xfId="63" applyNumberFormat="1" applyFont="1" applyBorder="1" applyAlignment="1" applyProtection="1"/>
    <xf numFmtId="166" fontId="86" fillId="0" borderId="37" xfId="63" applyNumberFormat="1" applyFont="1" applyBorder="1" applyAlignment="1" applyProtection="1"/>
    <xf numFmtId="0" fontId="42" fillId="0" borderId="29" xfId="0" applyFont="1" applyBorder="1" applyAlignment="1">
      <alignment horizontal="center" vertical="center"/>
    </xf>
    <xf numFmtId="0" fontId="41" fillId="0" borderId="12" xfId="0" applyFont="1" applyBorder="1" applyAlignment="1">
      <alignment horizontal="left" vertical="center" indent="1"/>
    </xf>
    <xf numFmtId="0" fontId="42" fillId="0" borderId="12" xfId="0" applyFont="1" applyBorder="1" applyAlignment="1">
      <alignment horizontal="left" vertical="center" indent="1"/>
    </xf>
    <xf numFmtId="43" fontId="42" fillId="0" borderId="4" xfId="1" applyNumberFormat="1" applyFont="1" applyBorder="1"/>
    <xf numFmtId="43" fontId="81" fillId="0" borderId="4" xfId="1" applyNumberFormat="1" applyFont="1" applyBorder="1"/>
    <xf numFmtId="166" fontId="86" fillId="0" borderId="4" xfId="63" applyNumberFormat="1" applyFont="1" applyBorder="1" applyAlignment="1" applyProtection="1"/>
    <xf numFmtId="0" fontId="42" fillId="0" borderId="7" xfId="0" applyFont="1" applyBorder="1" applyAlignment="1">
      <alignment horizontal="left" vertical="center" indent="1"/>
    </xf>
    <xf numFmtId="43" fontId="42" fillId="0" borderId="20" xfId="1" applyNumberFormat="1" applyFont="1" applyBorder="1"/>
    <xf numFmtId="0" fontId="42" fillId="0" borderId="4" xfId="0" applyFont="1" applyBorder="1" applyAlignment="1">
      <alignment horizontal="left" vertical="center" indent="1"/>
    </xf>
    <xf numFmtId="166" fontId="86" fillId="0" borderId="37" xfId="63" applyNumberFormat="1" applyFont="1" applyBorder="1" applyAlignment="1" applyProtection="1">
      <alignment vertical="center"/>
    </xf>
    <xf numFmtId="0" fontId="78" fillId="0" borderId="29" xfId="0" applyFont="1" applyBorder="1"/>
    <xf numFmtId="0" fontId="78" fillId="0" borderId="4" xfId="0" applyFont="1" applyBorder="1"/>
    <xf numFmtId="43" fontId="42" fillId="0" borderId="20" xfId="0" applyNumberFormat="1" applyFont="1" applyBorder="1" applyAlignment="1">
      <alignment horizontal="center" vertical="center"/>
    </xf>
    <xf numFmtId="0" fontId="78" fillId="0" borderId="12" xfId="0" applyFont="1" applyBorder="1"/>
    <xf numFmtId="43" fontId="41" fillId="0" borderId="4" xfId="1" applyNumberFormat="1" applyFont="1" applyBorder="1" applyAlignment="1">
      <alignment vertical="center"/>
    </xf>
    <xf numFmtId="43" fontId="41" fillId="0" borderId="7" xfId="1" applyNumberFormat="1" applyFont="1" applyBorder="1" applyAlignment="1">
      <alignment vertical="center"/>
    </xf>
    <xf numFmtId="0" fontId="86" fillId="0" borderId="32" xfId="62" applyFont="1" applyBorder="1" applyAlignment="1">
      <alignment horizontal="center" vertical="center"/>
    </xf>
    <xf numFmtId="0" fontId="86" fillId="0" borderId="7" xfId="62" applyFont="1" applyBorder="1">
      <alignment vertical="center"/>
    </xf>
    <xf numFmtId="166" fontId="86" fillId="0" borderId="87" xfId="63" applyNumberFormat="1" applyFont="1" applyBorder="1" applyAlignment="1" applyProtection="1"/>
    <xf numFmtId="166" fontId="86" fillId="0" borderId="88" xfId="63" applyNumberFormat="1" applyFont="1" applyBorder="1" applyAlignment="1" applyProtection="1">
      <alignment vertical="center"/>
    </xf>
    <xf numFmtId="0" fontId="86" fillId="0" borderId="89" xfId="62" applyFont="1" applyBorder="1" applyAlignment="1">
      <alignment horizontal="center" vertical="center"/>
    </xf>
    <xf numFmtId="0" fontId="85" fillId="0" borderId="10" xfId="62" applyFont="1" applyBorder="1" applyAlignment="1">
      <alignment horizontal="right" vertical="center"/>
    </xf>
    <xf numFmtId="43" fontId="41" fillId="0" borderId="10" xfId="1" applyNumberFormat="1" applyFont="1" applyBorder="1"/>
    <xf numFmtId="166" fontId="85" fillId="0" borderId="10" xfId="63" applyNumberFormat="1" applyFont="1" applyBorder="1" applyAlignment="1" applyProtection="1"/>
    <xf numFmtId="166" fontId="86" fillId="0" borderId="90" xfId="63" applyNumberFormat="1" applyFont="1" applyBorder="1" applyAlignment="1" applyProtection="1"/>
    <xf numFmtId="0" fontId="86" fillId="0" borderId="34" xfId="62" applyFont="1" applyBorder="1" applyAlignment="1">
      <alignment horizontal="center" vertical="center"/>
    </xf>
    <xf numFmtId="0" fontId="85" fillId="0" borderId="0" xfId="62" applyFont="1" applyBorder="1" applyAlignment="1">
      <alignment horizontal="right" vertical="center" indent="1"/>
    </xf>
    <xf numFmtId="166" fontId="86" fillId="0" borderId="0" xfId="63" applyNumberFormat="1" applyFont="1" applyBorder="1" applyAlignment="1" applyProtection="1"/>
    <xf numFmtId="166" fontId="86" fillId="0" borderId="26" xfId="63" applyNumberFormat="1" applyFont="1" applyBorder="1" applyAlignment="1" applyProtection="1"/>
    <xf numFmtId="0" fontId="71" fillId="0" borderId="34" xfId="62" applyFont="1" applyBorder="1">
      <alignment vertical="center"/>
    </xf>
    <xf numFmtId="0" fontId="71" fillId="0" borderId="0" xfId="62" applyFont="1" applyBorder="1">
      <alignment vertical="center"/>
    </xf>
    <xf numFmtId="0" fontId="86" fillId="0" borderId="26" xfId="62" applyFont="1" applyBorder="1" applyAlignment="1"/>
    <xf numFmtId="0" fontId="86" fillId="0" borderId="26" xfId="62" quotePrefix="1" applyFont="1" applyBorder="1" applyAlignment="1">
      <alignment horizontal="left" vertical="center"/>
    </xf>
    <xf numFmtId="0" fontId="86" fillId="0" borderId="26" xfId="62" applyFont="1" applyBorder="1" applyAlignment="1">
      <alignment horizontal="left" vertical="center"/>
    </xf>
    <xf numFmtId="0" fontId="86" fillId="0" borderId="26" xfId="62" applyFont="1" applyBorder="1">
      <alignment vertical="center"/>
    </xf>
    <xf numFmtId="0" fontId="86" fillId="0" borderId="0" xfId="62" applyFont="1" applyAlignment="1">
      <alignment wrapText="1"/>
    </xf>
    <xf numFmtId="0" fontId="86" fillId="0" borderId="26" xfId="62" applyFont="1" applyBorder="1" applyAlignment="1">
      <alignment horizontal="left" vertical="center" wrapText="1"/>
    </xf>
    <xf numFmtId="0" fontId="86" fillId="0" borderId="34" xfId="62" applyFont="1" applyBorder="1" applyAlignment="1">
      <alignment horizontal="right" vertical="center" indent="1"/>
    </xf>
    <xf numFmtId="0" fontId="86" fillId="0" borderId="0" xfId="62" applyFont="1" applyBorder="1" applyAlignment="1">
      <alignment horizontal="left"/>
    </xf>
    <xf numFmtId="0" fontId="86" fillId="0" borderId="26" xfId="62" applyFont="1" applyBorder="1" applyAlignment="1">
      <alignment horizontal="left"/>
    </xf>
    <xf numFmtId="0" fontId="85" fillId="0" borderId="34" xfId="62" applyFont="1" applyBorder="1" applyAlignment="1"/>
    <xf numFmtId="165" fontId="86" fillId="0" borderId="0" xfId="62" quotePrefix="1" applyNumberFormat="1" applyFont="1" applyBorder="1" applyAlignment="1">
      <alignment horizontal="left" vertical="center"/>
    </xf>
    <xf numFmtId="0" fontId="86" fillId="0" borderId="0" xfId="62" quotePrefix="1" applyFont="1" applyBorder="1" applyAlignment="1">
      <alignment horizontal="left" vertical="center"/>
    </xf>
    <xf numFmtId="0" fontId="86" fillId="0" borderId="34" xfId="62" quotePrefix="1" applyFont="1" applyBorder="1" applyAlignment="1">
      <alignment horizontal="left" vertical="center"/>
    </xf>
    <xf numFmtId="0" fontId="86" fillId="0" borderId="0" xfId="62" applyFont="1" applyBorder="1" applyAlignment="1">
      <alignment horizontal="left" vertical="center"/>
    </xf>
    <xf numFmtId="0" fontId="71" fillId="0" borderId="26" xfId="62" applyFont="1" applyBorder="1">
      <alignment vertical="center"/>
    </xf>
    <xf numFmtId="0" fontId="86" fillId="0" borderId="26" xfId="62" applyFont="1" applyBorder="1" applyAlignment="1">
      <alignment horizontal="center"/>
    </xf>
    <xf numFmtId="0" fontId="86" fillId="0" borderId="34" xfId="62" applyFont="1" applyBorder="1">
      <alignment vertical="center"/>
    </xf>
    <xf numFmtId="0" fontId="86" fillId="0" borderId="0" xfId="62" applyFont="1" applyBorder="1">
      <alignment vertical="center"/>
    </xf>
    <xf numFmtId="0" fontId="86" fillId="0" borderId="0" xfId="62" applyFont="1" applyBorder="1" applyAlignment="1">
      <alignment horizontal="left" vertical="center" wrapText="1"/>
    </xf>
    <xf numFmtId="0" fontId="86" fillId="0" borderId="72" xfId="62" applyFont="1" applyBorder="1">
      <alignment vertical="center"/>
    </xf>
    <xf numFmtId="0" fontId="86" fillId="0" borderId="41" xfId="62" applyFont="1" applyBorder="1" applyAlignment="1">
      <alignment horizontal="left" vertical="center" wrapText="1"/>
    </xf>
    <xf numFmtId="166" fontId="86" fillId="0" borderId="41" xfId="63" applyNumberFormat="1" applyFont="1" applyBorder="1" applyAlignment="1" applyProtection="1"/>
    <xf numFmtId="0" fontId="71" fillId="0" borderId="73" xfId="62" applyFont="1" applyBorder="1">
      <alignment vertical="center"/>
    </xf>
    <xf numFmtId="0" fontId="41" fillId="0" borderId="7" xfId="0" applyFont="1" applyBorder="1" applyAlignment="1">
      <alignment horizontal="left" vertical="center" indent="1"/>
    </xf>
    <xf numFmtId="0" fontId="41" fillId="0" borderId="7" xfId="0" applyFont="1" applyBorder="1" applyAlignment="1">
      <alignment vertical="center" wrapText="1"/>
    </xf>
    <xf numFmtId="43" fontId="42" fillId="0" borderId="4" xfId="0" applyNumberFormat="1" applyFont="1" applyBorder="1" applyAlignment="1">
      <alignment horizontal="center" vertical="center"/>
    </xf>
    <xf numFmtId="166" fontId="85" fillId="0" borderId="4" xfId="63" applyNumberFormat="1" applyFont="1" applyBorder="1" applyAlignment="1" applyProtection="1">
      <alignment vertical="center"/>
    </xf>
    <xf numFmtId="0" fontId="86" fillId="0" borderId="84" xfId="62" quotePrefix="1" applyFont="1" applyBorder="1" applyAlignment="1">
      <alignment horizontal="center" vertical="center"/>
    </xf>
    <xf numFmtId="0" fontId="86" fillId="0" borderId="44" xfId="62" quotePrefix="1" applyFont="1" applyBorder="1" applyAlignment="1">
      <alignment horizontal="center" vertical="center"/>
    </xf>
    <xf numFmtId="166" fontId="86" fillId="0" borderId="44" xfId="63" quotePrefix="1" applyNumberFormat="1" applyFont="1" applyBorder="1" applyAlignment="1" applyProtection="1">
      <alignment horizontal="center" vertical="center"/>
    </xf>
    <xf numFmtId="49" fontId="86" fillId="0" borderId="10" xfId="63" quotePrefix="1" applyNumberFormat="1" applyFont="1" applyBorder="1" applyAlignment="1" applyProtection="1">
      <alignment horizontal="center" vertical="center"/>
    </xf>
    <xf numFmtId="0" fontId="86" fillId="0" borderId="85" xfId="62" quotePrefix="1" applyFont="1" applyBorder="1" applyAlignment="1">
      <alignment horizontal="center" vertical="center"/>
    </xf>
    <xf numFmtId="0" fontId="8" fillId="0" borderId="0" xfId="0" applyFont="1"/>
    <xf numFmtId="4" fontId="43" fillId="0" borderId="12" xfId="0" applyNumberFormat="1" applyFont="1" applyFill="1" applyBorder="1" applyAlignment="1">
      <alignment vertical="center"/>
    </xf>
    <xf numFmtId="4" fontId="39" fillId="0" borderId="8" xfId="0" applyNumberFormat="1" applyFont="1" applyFill="1" applyBorder="1" applyAlignment="1">
      <alignment vertical="center"/>
    </xf>
    <xf numFmtId="43" fontId="39" fillId="0" borderId="11" xfId="0" applyNumberFormat="1" applyFont="1" applyFill="1" applyBorder="1" applyAlignment="1">
      <alignment vertical="center"/>
    </xf>
    <xf numFmtId="166" fontId="61" fillId="0" borderId="4" xfId="1" applyNumberFormat="1" applyFont="1" applyBorder="1" applyAlignment="1">
      <alignment vertical="center"/>
    </xf>
    <xf numFmtId="4" fontId="43" fillId="0" borderId="7" xfId="0" applyNumberFormat="1" applyFont="1" applyFill="1" applyBorder="1" applyAlignment="1">
      <alignment vertical="center"/>
    </xf>
    <xf numFmtId="166" fontId="34" fillId="0" borderId="4" xfId="1" applyNumberFormat="1" applyFont="1" applyBorder="1" applyAlignment="1">
      <alignment vertical="center"/>
    </xf>
    <xf numFmtId="166" fontId="31" fillId="0" borderId="4" xfId="1" applyNumberFormat="1" applyFont="1" applyBorder="1" applyAlignment="1">
      <alignment vertical="center"/>
    </xf>
    <xf numFmtId="43" fontId="43" fillId="0" borderId="4" xfId="2" applyFont="1" applyBorder="1" applyAlignment="1">
      <alignment vertical="center"/>
    </xf>
    <xf numFmtId="39" fontId="43" fillId="0" borderId="8" xfId="0" applyNumberFormat="1" applyFont="1" applyBorder="1" applyAlignment="1">
      <alignment vertical="center"/>
    </xf>
    <xf numFmtId="166" fontId="34" fillId="0" borderId="12" xfId="1" applyNumberFormat="1" applyFont="1" applyBorder="1" applyAlignment="1">
      <alignment vertical="center"/>
    </xf>
    <xf numFmtId="43" fontId="39" fillId="0" borderId="8" xfId="0" applyNumberFormat="1" applyFont="1" applyFill="1" applyBorder="1" applyAlignment="1">
      <alignment vertical="center"/>
    </xf>
    <xf numFmtId="43" fontId="39" fillId="0" borderId="12" xfId="2" applyFont="1" applyBorder="1" applyAlignment="1">
      <alignment vertical="center"/>
    </xf>
    <xf numFmtId="43" fontId="43" fillId="0" borderId="8" xfId="0" applyNumberFormat="1" applyFont="1" applyBorder="1" applyAlignment="1">
      <alignment vertical="center"/>
    </xf>
    <xf numFmtId="43" fontId="43" fillId="0" borderId="7" xfId="0" applyNumberFormat="1" applyFont="1" applyBorder="1" applyAlignment="1">
      <alignment vertical="center"/>
    </xf>
    <xf numFmtId="43" fontId="39" fillId="0" borderId="7" xfId="0" applyNumberFormat="1" applyFont="1" applyBorder="1" applyAlignment="1">
      <alignment vertical="center"/>
    </xf>
    <xf numFmtId="43" fontId="43" fillId="0" borderId="4" xfId="0" applyNumberFormat="1" applyFont="1" applyBorder="1" applyAlignment="1">
      <alignment vertical="center"/>
    </xf>
    <xf numFmtId="43" fontId="39" fillId="0" borderId="4" xfId="0" applyNumberFormat="1" applyFont="1" applyBorder="1" applyAlignment="1">
      <alignment vertical="center"/>
    </xf>
    <xf numFmtId="43" fontId="39" fillId="0" borderId="12" xfId="0" applyNumberFormat="1" applyFont="1" applyBorder="1" applyAlignment="1">
      <alignment vertical="center"/>
    </xf>
    <xf numFmtId="166" fontId="34" fillId="0" borderId="7" xfId="1" applyNumberFormat="1" applyFont="1" applyBorder="1" applyAlignment="1">
      <alignment vertical="center"/>
    </xf>
    <xf numFmtId="166" fontId="43" fillId="4" borderId="4" xfId="58" applyNumberFormat="1" applyFont="1" applyFill="1" applyBorder="1" applyAlignment="1">
      <alignment vertical="center"/>
    </xf>
    <xf numFmtId="166" fontId="43" fillId="4" borderId="4" xfId="0" applyNumberFormat="1" applyFont="1" applyFill="1" applyBorder="1" applyAlignment="1">
      <alignment vertical="center"/>
    </xf>
    <xf numFmtId="166" fontId="43" fillId="4" borderId="4" xfId="58" applyNumberFormat="1" applyFont="1" applyFill="1" applyBorder="1" applyAlignment="1">
      <alignment horizontal="right" vertical="center"/>
    </xf>
    <xf numFmtId="43" fontId="31" fillId="0" borderId="4" xfId="0" applyNumberFormat="1" applyFont="1" applyBorder="1" applyAlignment="1">
      <alignment vertical="center"/>
    </xf>
    <xf numFmtId="166" fontId="39" fillId="4" borderId="12" xfId="58" applyNumberFormat="1" applyFont="1" applyFill="1" applyBorder="1" applyAlignment="1">
      <alignment horizontal="right" vertical="center"/>
    </xf>
    <xf numFmtId="43" fontId="43" fillId="0" borderId="12" xfId="0" applyNumberFormat="1" applyFont="1" applyBorder="1" applyAlignment="1">
      <alignment vertical="center"/>
    </xf>
    <xf numFmtId="43" fontId="43" fillId="0" borderId="7" xfId="0" applyNumberFormat="1" applyFont="1" applyBorder="1" applyAlignment="1">
      <alignment horizontal="right" vertical="center"/>
    </xf>
    <xf numFmtId="167" fontId="43" fillId="0" borderId="4" xfId="0" applyNumberFormat="1" applyFont="1" applyBorder="1" applyAlignment="1">
      <alignment vertical="center"/>
    </xf>
    <xf numFmtId="167" fontId="43" fillId="4" borderId="4" xfId="0" applyNumberFormat="1" applyFont="1" applyFill="1" applyBorder="1" applyAlignment="1">
      <alignment vertical="center" wrapText="1"/>
    </xf>
    <xf numFmtId="167" fontId="43" fillId="4" borderId="4" xfId="0" applyNumberFormat="1" applyFont="1" applyFill="1" applyBorder="1" applyAlignment="1">
      <alignment vertical="center"/>
    </xf>
    <xf numFmtId="166" fontId="43" fillId="0" borderId="4" xfId="0" applyNumberFormat="1" applyFont="1" applyBorder="1" applyAlignment="1">
      <alignment vertical="center"/>
    </xf>
    <xf numFmtId="4" fontId="43" fillId="0" borderId="8" xfId="0" applyNumberFormat="1" applyFont="1" applyFill="1" applyBorder="1" applyAlignment="1">
      <alignment vertical="center"/>
    </xf>
    <xf numFmtId="167" fontId="43" fillId="0" borderId="4" xfId="13" applyNumberFormat="1" applyFont="1" applyBorder="1" applyAlignment="1">
      <alignment vertical="center"/>
    </xf>
    <xf numFmtId="41" fontId="43" fillId="0" borderId="4" xfId="1" applyFont="1" applyBorder="1" applyAlignment="1">
      <alignment vertical="center"/>
    </xf>
    <xf numFmtId="4" fontId="39" fillId="6" borderId="11" xfId="0" applyNumberFormat="1" applyFont="1" applyFill="1" applyBorder="1" applyAlignment="1">
      <alignment vertical="center"/>
    </xf>
    <xf numFmtId="4" fontId="43" fillId="6" borderId="4" xfId="1" applyNumberFormat="1" applyFont="1" applyFill="1" applyBorder="1" applyAlignment="1">
      <alignment vertical="center"/>
    </xf>
    <xf numFmtId="167" fontId="43" fillId="0" borderId="4" xfId="0" applyNumberFormat="1" applyFont="1" applyFill="1" applyBorder="1" applyAlignment="1">
      <alignment vertical="center"/>
    </xf>
    <xf numFmtId="165" fontId="43" fillId="0" borderId="4" xfId="17" applyFont="1" applyBorder="1" applyAlignment="1">
      <alignment horizontal="right" vertical="center"/>
    </xf>
    <xf numFmtId="165" fontId="43" fillId="0" borderId="4" xfId="17" applyFont="1" applyBorder="1" applyAlignment="1">
      <alignment vertical="center"/>
    </xf>
    <xf numFmtId="165" fontId="22" fillId="0" borderId="4" xfId="17" applyFont="1" applyBorder="1" applyAlignment="1">
      <alignment vertical="center"/>
    </xf>
    <xf numFmtId="43" fontId="39" fillId="0" borderId="11" xfId="2" applyFont="1" applyBorder="1" applyAlignment="1">
      <alignment vertical="center"/>
    </xf>
    <xf numFmtId="43" fontId="43" fillId="0" borderId="8" xfId="2" applyFont="1" applyBorder="1" applyAlignment="1">
      <alignment vertical="center"/>
    </xf>
    <xf numFmtId="43" fontId="39" fillId="0" borderId="8" xfId="2" applyFont="1" applyBorder="1" applyAlignment="1">
      <alignment vertical="center"/>
    </xf>
    <xf numFmtId="43" fontId="43" fillId="0" borderId="7" xfId="2" applyFont="1" applyBorder="1" applyAlignment="1">
      <alignment vertical="center"/>
    </xf>
    <xf numFmtId="43" fontId="43" fillId="0" borderId="4" xfId="2" applyFont="1" applyFill="1" applyBorder="1" applyAlignment="1">
      <alignment vertical="center" wrapText="1"/>
    </xf>
    <xf numFmtId="43" fontId="43" fillId="0" borderId="7" xfId="2" applyFont="1" applyFill="1" applyBorder="1" applyAlignment="1">
      <alignment vertical="center" wrapText="1"/>
    </xf>
    <xf numFmtId="4" fontId="43" fillId="0" borderId="8" xfId="0" quotePrefix="1" applyNumberFormat="1" applyFont="1" applyBorder="1" applyAlignment="1">
      <alignment horizontal="right" vertical="center"/>
    </xf>
    <xf numFmtId="4" fontId="43" fillId="0" borderId="4" xfId="0" quotePrefix="1" applyNumberFormat="1" applyFont="1" applyFill="1" applyBorder="1" applyAlignment="1">
      <alignment horizontal="right" vertical="center"/>
    </xf>
    <xf numFmtId="166" fontId="61" fillId="0" borderId="12" xfId="1" applyNumberFormat="1" applyFont="1" applyBorder="1" applyAlignment="1">
      <alignment vertical="center"/>
    </xf>
    <xf numFmtId="4" fontId="39" fillId="0" borderId="7" xfId="1" applyNumberFormat="1" applyFont="1" applyBorder="1" applyAlignment="1">
      <alignment vertical="center"/>
    </xf>
    <xf numFmtId="165" fontId="43" fillId="0" borderId="4" xfId="18" applyFont="1" applyBorder="1" applyAlignment="1">
      <alignment vertical="center"/>
    </xf>
    <xf numFmtId="43" fontId="61" fillId="0" borderId="12" xfId="0" applyNumberFormat="1" applyFont="1" applyBorder="1" applyAlignment="1">
      <alignment vertical="center"/>
    </xf>
    <xf numFmtId="165" fontId="43" fillId="0" borderId="4" xfId="20" applyFont="1" applyBorder="1" applyAlignment="1">
      <alignment vertical="center"/>
    </xf>
    <xf numFmtId="4" fontId="39" fillId="0" borderId="17" xfId="0" applyNumberFormat="1" applyFont="1" applyFill="1" applyBorder="1" applyAlignment="1">
      <alignment vertical="center"/>
    </xf>
    <xf numFmtId="165" fontId="43" fillId="0" borderId="4" xfId="22" applyFont="1" applyBorder="1" applyAlignment="1">
      <alignment vertical="center"/>
    </xf>
    <xf numFmtId="165" fontId="43" fillId="0" borderId="4" xfId="23" applyFont="1" applyBorder="1" applyAlignment="1">
      <alignment vertical="center"/>
    </xf>
    <xf numFmtId="165" fontId="43" fillId="0" borderId="4" xfId="24" applyFont="1" applyBorder="1" applyAlignment="1">
      <alignment vertical="center"/>
    </xf>
    <xf numFmtId="165" fontId="43" fillId="0" borderId="4" xfId="25" applyFont="1" applyBorder="1" applyAlignment="1">
      <alignment vertical="center"/>
    </xf>
    <xf numFmtId="165" fontId="43" fillId="0" borderId="4" xfId="26" applyFont="1" applyBorder="1" applyAlignment="1">
      <alignment vertical="center"/>
    </xf>
    <xf numFmtId="165" fontId="43" fillId="0" borderId="4" xfId="27" applyFont="1" applyBorder="1" applyAlignment="1">
      <alignment vertical="center"/>
    </xf>
    <xf numFmtId="165" fontId="43" fillId="0" borderId="4" xfId="29" applyFont="1" applyBorder="1" applyAlignment="1">
      <alignment vertical="center"/>
    </xf>
    <xf numFmtId="165" fontId="43" fillId="0" borderId="4" xfId="32" applyFont="1" applyBorder="1" applyAlignment="1">
      <alignment vertical="center"/>
    </xf>
    <xf numFmtId="165" fontId="43" fillId="0" borderId="4" xfId="33" applyFont="1" applyBorder="1" applyAlignment="1">
      <alignment vertical="center"/>
    </xf>
    <xf numFmtId="165" fontId="43" fillId="0" borderId="4" xfId="53" applyFont="1" applyBorder="1" applyAlignment="1">
      <alignment vertical="center"/>
    </xf>
    <xf numFmtId="0" fontId="22" fillId="0" borderId="0" xfId="0" applyFont="1" applyAlignment="1">
      <alignment vertical="center"/>
    </xf>
    <xf numFmtId="39" fontId="43" fillId="0" borderId="8" xfId="0" applyNumberFormat="1" applyFont="1" applyFill="1" applyBorder="1" applyAlignment="1">
      <alignment horizontal="right" vertical="center"/>
    </xf>
    <xf numFmtId="39" fontId="43" fillId="0" borderId="7" xfId="0" applyNumberFormat="1" applyFont="1" applyFill="1" applyBorder="1" applyAlignment="1">
      <alignment horizontal="right" vertical="center"/>
    </xf>
    <xf numFmtId="4" fontId="43" fillId="0" borderId="22" xfId="0" applyNumberFormat="1" applyFont="1" applyFill="1" applyBorder="1" applyAlignment="1">
      <alignment horizontal="right" vertical="center"/>
    </xf>
    <xf numFmtId="166" fontId="43" fillId="0" borderId="4" xfId="1" applyNumberFormat="1" applyFont="1" applyBorder="1" applyAlignment="1" applyProtection="1">
      <alignment vertical="center"/>
    </xf>
    <xf numFmtId="41" fontId="0" fillId="3" borderId="0" xfId="58" applyFont="1" applyFill="1"/>
    <xf numFmtId="41" fontId="4" fillId="3" borderId="0" xfId="58" applyFont="1" applyFill="1"/>
    <xf numFmtId="0" fontId="8" fillId="0" borderId="0" xfId="0" applyFont="1"/>
    <xf numFmtId="166" fontId="6" fillId="0" borderId="0" xfId="1" applyNumberFormat="1" applyFont="1" applyAlignment="1">
      <alignment horizontal="center"/>
    </xf>
    <xf numFmtId="0" fontId="29" fillId="0" borderId="7" xfId="0" applyFont="1" applyBorder="1" applyAlignment="1">
      <alignment horizontal="center" vertical="center" wrapText="1"/>
    </xf>
    <xf numFmtId="166" fontId="50" fillId="0" borderId="0" xfId="1" applyNumberFormat="1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66" fontId="41" fillId="0" borderId="0" xfId="1" applyNumberFormat="1" applyFont="1" applyBorder="1" applyAlignment="1">
      <alignment horizontal="center"/>
    </xf>
    <xf numFmtId="165" fontId="43" fillId="0" borderId="4" xfId="0" applyNumberFormat="1" applyFont="1" applyFill="1" applyBorder="1" applyAlignment="1">
      <alignment vertical="center"/>
    </xf>
    <xf numFmtId="165" fontId="39" fillId="0" borderId="4" xfId="0" applyNumberFormat="1" applyFont="1" applyFill="1" applyBorder="1" applyAlignment="1">
      <alignment vertical="center"/>
    </xf>
    <xf numFmtId="166" fontId="43" fillId="0" borderId="22" xfId="1" applyNumberFormat="1" applyFont="1" applyFill="1" applyBorder="1" applyAlignment="1">
      <alignment vertical="center"/>
    </xf>
    <xf numFmtId="166" fontId="22" fillId="0" borderId="22" xfId="1" applyNumberFormat="1" applyFont="1" applyBorder="1" applyAlignment="1">
      <alignment vertical="center"/>
    </xf>
    <xf numFmtId="4" fontId="43" fillId="0" borderId="7" xfId="0" applyNumberFormat="1" applyFont="1" applyBorder="1" applyAlignment="1">
      <alignment vertical="center"/>
    </xf>
    <xf numFmtId="166" fontId="43" fillId="0" borderId="22" xfId="1" applyNumberFormat="1" applyFont="1" applyBorder="1" applyAlignment="1">
      <alignment vertical="center"/>
    </xf>
    <xf numFmtId="43" fontId="44" fillId="0" borderId="8" xfId="2" applyFont="1" applyBorder="1" applyAlignment="1">
      <alignment vertical="center"/>
    </xf>
    <xf numFmtId="166" fontId="43" fillId="0" borderId="4" xfId="14" applyNumberFormat="1" applyFont="1" applyBorder="1" applyAlignment="1">
      <alignment vertical="center"/>
    </xf>
    <xf numFmtId="166" fontId="22" fillId="0" borderId="4" xfId="14" applyNumberFormat="1" applyFont="1" applyBorder="1" applyAlignment="1">
      <alignment vertical="center"/>
    </xf>
    <xf numFmtId="43" fontId="39" fillId="0" borderId="7" xfId="2" applyFont="1" applyBorder="1" applyAlignment="1">
      <alignment vertical="center"/>
    </xf>
    <xf numFmtId="167" fontId="43" fillId="0" borderId="4" xfId="1" applyNumberFormat="1" applyFont="1" applyBorder="1" applyAlignment="1">
      <alignment vertical="center"/>
    </xf>
    <xf numFmtId="167" fontId="22" fillId="0" borderId="4" xfId="1" applyNumberFormat="1" applyFont="1" applyBorder="1" applyAlignment="1">
      <alignment vertical="center"/>
    </xf>
    <xf numFmtId="167" fontId="22" fillId="0" borderId="12" xfId="1" applyNumberFormat="1" applyFont="1" applyBorder="1" applyAlignment="1">
      <alignment vertical="center"/>
    </xf>
    <xf numFmtId="166" fontId="22" fillId="0" borderId="11" xfId="1" applyNumberFormat="1" applyFont="1" applyBorder="1" applyAlignment="1">
      <alignment vertical="center"/>
    </xf>
    <xf numFmtId="43" fontId="39" fillId="0" borderId="11" xfId="1" applyNumberFormat="1" applyFont="1" applyFill="1" applyBorder="1" applyAlignment="1">
      <alignment horizontal="right" vertical="center"/>
    </xf>
    <xf numFmtId="4" fontId="43" fillId="0" borderId="4" xfId="0" quotePrefix="1" applyNumberFormat="1" applyFont="1" applyBorder="1" applyAlignment="1">
      <alignment horizontal="right" vertical="center" wrapText="1"/>
    </xf>
    <xf numFmtId="43" fontId="43" fillId="0" borderId="4" xfId="2" applyFont="1" applyFill="1" applyBorder="1" applyAlignment="1">
      <alignment horizontal="left" vertical="center"/>
    </xf>
    <xf numFmtId="43" fontId="39" fillId="0" borderId="12" xfId="0" applyNumberFormat="1" applyFont="1" applyFill="1" applyBorder="1" applyAlignment="1">
      <alignment horizontal="left" vertical="center"/>
    </xf>
    <xf numFmtId="4" fontId="43" fillId="0" borderId="11" xfId="1" applyNumberFormat="1" applyFont="1" applyFill="1" applyBorder="1" applyAlignment="1">
      <alignment vertical="center"/>
    </xf>
    <xf numFmtId="4" fontId="43" fillId="0" borderId="11" xfId="1" applyNumberFormat="1" applyFont="1" applyBorder="1" applyAlignment="1">
      <alignment vertical="center"/>
    </xf>
    <xf numFmtId="4" fontId="43" fillId="0" borderId="8" xfId="1" applyNumberFormat="1" applyFont="1" applyBorder="1" applyAlignment="1">
      <alignment vertical="center"/>
    </xf>
    <xf numFmtId="41" fontId="4" fillId="0" borderId="0" xfId="58" applyFont="1"/>
    <xf numFmtId="41" fontId="0" fillId="0" borderId="0" xfId="0" applyNumberFormat="1" applyFont="1"/>
    <xf numFmtId="41" fontId="3" fillId="0" borderId="0" xfId="58" applyFont="1" applyFill="1"/>
    <xf numFmtId="166" fontId="9" fillId="4" borderId="27" xfId="1" applyNumberFormat="1" applyFont="1" applyFill="1" applyBorder="1" applyAlignment="1">
      <alignment horizontal="right" vertical="center"/>
    </xf>
    <xf numFmtId="0" fontId="48" fillId="0" borderId="0" xfId="0" applyFont="1"/>
    <xf numFmtId="41" fontId="48" fillId="0" borderId="0" xfId="1" applyFont="1"/>
    <xf numFmtId="0" fontId="48" fillId="0" borderId="0" xfId="0" applyFont="1" applyAlignment="1">
      <alignment horizontal="center"/>
    </xf>
    <xf numFmtId="0" fontId="22" fillId="0" borderId="0" xfId="0" applyFont="1"/>
    <xf numFmtId="41" fontId="22" fillId="0" borderId="0" xfId="1" applyFont="1"/>
    <xf numFmtId="0" fontId="22" fillId="0" borderId="0" xfId="0" applyFont="1" applyAlignment="1">
      <alignment horizontal="center"/>
    </xf>
    <xf numFmtId="4" fontId="43" fillId="0" borderId="0" xfId="0" applyNumberFormat="1" applyFont="1" applyAlignment="1">
      <alignment horizontal="center"/>
    </xf>
    <xf numFmtId="0" fontId="22" fillId="0" borderId="0" xfId="0" applyFont="1" applyAlignment="1">
      <alignment horizontal="left" vertical="top"/>
    </xf>
    <xf numFmtId="166" fontId="22" fillId="0" borderId="0" xfId="1" applyNumberFormat="1" applyFont="1"/>
    <xf numFmtId="4" fontId="43" fillId="0" borderId="0" xfId="1" applyNumberFormat="1" applyFont="1"/>
    <xf numFmtId="166" fontId="48" fillId="0" borderId="0" xfId="1" applyNumberFormat="1" applyFont="1"/>
    <xf numFmtId="4" fontId="39" fillId="0" borderId="3" xfId="1" applyNumberFormat="1" applyFont="1" applyFill="1" applyBorder="1" applyAlignment="1">
      <alignment horizontal="center" vertical="center" wrapText="1"/>
    </xf>
    <xf numFmtId="0" fontId="22" fillId="0" borderId="10" xfId="0" quotePrefix="1" applyFont="1" applyBorder="1" applyAlignment="1">
      <alignment horizontal="center" vertical="center"/>
    </xf>
    <xf numFmtId="4" fontId="22" fillId="0" borderId="10" xfId="1" quotePrefix="1" applyNumberFormat="1" applyFont="1" applyFill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center" vertical="center"/>
    </xf>
    <xf numFmtId="166" fontId="49" fillId="2" borderId="7" xfId="1" applyNumberFormat="1" applyFont="1" applyFill="1" applyBorder="1" applyAlignment="1">
      <alignment vertical="center"/>
    </xf>
    <xf numFmtId="0" fontId="49" fillId="0" borderId="0" xfId="0" applyFont="1"/>
    <xf numFmtId="41" fontId="49" fillId="0" borderId="0" xfId="1" applyFont="1"/>
    <xf numFmtId="49" fontId="49" fillId="0" borderId="7" xfId="0" applyNumberFormat="1" applyFont="1" applyFill="1" applyBorder="1" applyAlignment="1">
      <alignment horizontal="center" vertical="center"/>
    </xf>
    <xf numFmtId="166" fontId="49" fillId="0" borderId="8" xfId="1" applyNumberFormat="1" applyFont="1" applyFill="1" applyBorder="1" applyAlignment="1">
      <alignment vertical="center"/>
    </xf>
    <xf numFmtId="0" fontId="49" fillId="0" borderId="0" xfId="0" applyFont="1" applyFill="1"/>
    <xf numFmtId="41" fontId="49" fillId="0" borderId="0" xfId="1" applyFont="1" applyFill="1"/>
    <xf numFmtId="43" fontId="39" fillId="0" borderId="11" xfId="0" applyNumberFormat="1" applyFont="1" applyBorder="1" applyAlignment="1">
      <alignment horizontal="left" vertical="center" indent="1"/>
    </xf>
    <xf numFmtId="0" fontId="52" fillId="0" borderId="0" xfId="0" applyFont="1"/>
    <xf numFmtId="41" fontId="52" fillId="0" borderId="0" xfId="1" applyFont="1"/>
    <xf numFmtId="49" fontId="39" fillId="0" borderId="8" xfId="0" applyNumberFormat="1" applyFont="1" applyBorder="1" applyAlignment="1">
      <alignment horizontal="center" vertical="center"/>
    </xf>
    <xf numFmtId="43" fontId="39" fillId="0" borderId="8" xfId="0" applyNumberFormat="1" applyFont="1" applyFill="1" applyBorder="1" applyAlignment="1">
      <alignment horizontal="left" vertical="center" indent="1"/>
    </xf>
    <xf numFmtId="43" fontId="39" fillId="0" borderId="4" xfId="0" applyNumberFormat="1" applyFont="1" applyFill="1" applyBorder="1" applyAlignment="1">
      <alignment horizontal="left" vertical="center" indent="1"/>
    </xf>
    <xf numFmtId="0" fontId="92" fillId="0" borderId="0" xfId="0" applyFont="1"/>
    <xf numFmtId="49" fontId="22" fillId="0" borderId="12" xfId="0" applyNumberFormat="1" applyFont="1" applyBorder="1" applyAlignment="1">
      <alignment horizontal="center" vertical="center"/>
    </xf>
    <xf numFmtId="49" fontId="39" fillId="0" borderId="11" xfId="0" applyNumberFormat="1" applyFont="1" applyBorder="1" applyAlignment="1">
      <alignment horizontal="center" vertical="center"/>
    </xf>
    <xf numFmtId="166" fontId="48" fillId="0" borderId="11" xfId="1" applyNumberFormat="1" applyFont="1" applyBorder="1" applyAlignment="1">
      <alignment vertical="center"/>
    </xf>
    <xf numFmtId="43" fontId="39" fillId="2" borderId="4" xfId="0" applyNumberFormat="1" applyFont="1" applyFill="1" applyBorder="1" applyAlignment="1">
      <alignment horizontal="left" vertical="center" indent="1"/>
    </xf>
    <xf numFmtId="43" fontId="49" fillId="2" borderId="4" xfId="0" applyNumberFormat="1" applyFont="1" applyFill="1" applyBorder="1" applyAlignment="1">
      <alignment horizontal="left" vertical="center" indent="1"/>
    </xf>
    <xf numFmtId="49" fontId="49" fillId="0" borderId="7" xfId="0" applyNumberFormat="1" applyFont="1" applyBorder="1" applyAlignment="1">
      <alignment horizontal="center" vertical="center"/>
    </xf>
    <xf numFmtId="43" fontId="39" fillId="5" borderId="11" xfId="0" applyNumberFormat="1" applyFont="1" applyFill="1" applyBorder="1" applyAlignment="1">
      <alignment horizontal="left" vertical="center" indent="1"/>
    </xf>
    <xf numFmtId="0" fontId="22" fillId="5" borderId="0" xfId="0" applyFont="1" applyFill="1"/>
    <xf numFmtId="41" fontId="22" fillId="5" borderId="0" xfId="1" applyFont="1" applyFill="1"/>
    <xf numFmtId="49" fontId="49" fillId="0" borderId="8" xfId="0" applyNumberFormat="1" applyFont="1" applyBorder="1" applyAlignment="1">
      <alignment horizontal="center" vertical="center"/>
    </xf>
    <xf numFmtId="49" fontId="52" fillId="0" borderId="11" xfId="0" applyNumberFormat="1" applyFont="1" applyBorder="1" applyAlignment="1">
      <alignment horizontal="center" vertical="center"/>
    </xf>
    <xf numFmtId="41" fontId="92" fillId="0" borderId="0" xfId="1" applyFont="1"/>
    <xf numFmtId="166" fontId="92" fillId="0" borderId="0" xfId="1" applyNumberFormat="1" applyFont="1"/>
    <xf numFmtId="166" fontId="43" fillId="0" borderId="4" xfId="64" applyNumberFormat="1" applyFont="1" applyBorder="1" applyAlignment="1">
      <alignment vertical="center"/>
    </xf>
    <xf numFmtId="49" fontId="52" fillId="0" borderId="8" xfId="0" applyNumberFormat="1" applyFont="1" applyBorder="1" applyAlignment="1">
      <alignment horizontal="center" vertical="center"/>
    </xf>
    <xf numFmtId="43" fontId="39" fillId="0" borderId="11" xfId="0" applyNumberFormat="1" applyFont="1" applyFill="1" applyBorder="1" applyAlignment="1">
      <alignment horizontal="left" vertical="center" indent="1"/>
    </xf>
    <xf numFmtId="166" fontId="43" fillId="0" borderId="11" xfId="1" applyNumberFormat="1" applyFont="1" applyBorder="1" applyAlignment="1">
      <alignment vertical="center"/>
    </xf>
    <xf numFmtId="0" fontId="92" fillId="0" borderId="4" xfId="0" applyFont="1" applyBorder="1"/>
    <xf numFmtId="49" fontId="49" fillId="0" borderId="11" xfId="0" applyNumberFormat="1" applyFont="1" applyBorder="1" applyAlignment="1">
      <alignment horizontal="center" vertical="center"/>
    </xf>
    <xf numFmtId="166" fontId="49" fillId="0" borderId="11" xfId="1" applyNumberFormat="1" applyFont="1" applyBorder="1" applyAlignment="1">
      <alignment horizontal="right" vertical="center"/>
    </xf>
    <xf numFmtId="166" fontId="22" fillId="0" borderId="8" xfId="1" applyNumberFormat="1" applyFont="1" applyFill="1" applyBorder="1" applyAlignment="1">
      <alignment vertical="center"/>
    </xf>
    <xf numFmtId="43" fontId="39" fillId="0" borderId="7" xfId="0" applyNumberFormat="1" applyFont="1" applyFill="1" applyBorder="1" applyAlignment="1">
      <alignment horizontal="left" vertical="center" indent="1"/>
    </xf>
    <xf numFmtId="43" fontId="43" fillId="0" borderId="4" xfId="0" applyNumberFormat="1" applyFont="1" applyFill="1" applyBorder="1" applyAlignment="1">
      <alignment horizontal="left" vertical="center" indent="1"/>
    </xf>
    <xf numFmtId="43" fontId="39" fillId="0" borderId="4" xfId="2" applyFont="1" applyBorder="1" applyAlignment="1">
      <alignment horizontal="left" vertical="center" indent="1"/>
    </xf>
    <xf numFmtId="49" fontId="52" fillId="0" borderId="12" xfId="0" applyNumberFormat="1" applyFont="1" applyBorder="1" applyAlignment="1">
      <alignment horizontal="center" vertical="center"/>
    </xf>
    <xf numFmtId="49" fontId="52" fillId="0" borderId="4" xfId="0" applyNumberFormat="1" applyFont="1" applyBorder="1" applyAlignment="1">
      <alignment horizontal="center" vertical="center"/>
    </xf>
    <xf numFmtId="49" fontId="52" fillId="0" borderId="7" xfId="0" applyNumberFormat="1" applyFont="1" applyBorder="1" applyAlignment="1">
      <alignment horizontal="center" vertical="center"/>
    </xf>
    <xf numFmtId="43" fontId="43" fillId="0" borderId="7" xfId="0" applyNumberFormat="1" applyFont="1" applyBorder="1" applyAlignment="1">
      <alignment horizontal="left" vertical="center" indent="1"/>
    </xf>
    <xf numFmtId="43" fontId="43" fillId="0" borderId="4" xfId="0" applyNumberFormat="1" applyFont="1" applyBorder="1" applyAlignment="1">
      <alignment horizontal="left" vertical="center" indent="1"/>
    </xf>
    <xf numFmtId="0" fontId="47" fillId="5" borderId="0" xfId="0" applyFont="1" applyFill="1"/>
    <xf numFmtId="41" fontId="47" fillId="5" borderId="0" xfId="1" applyFont="1" applyFill="1"/>
    <xf numFmtId="49" fontId="93" fillId="0" borderId="7" xfId="0" applyNumberFormat="1" applyFont="1" applyFill="1" applyBorder="1" applyAlignment="1">
      <alignment horizontal="center" vertical="center"/>
    </xf>
    <xf numFmtId="0" fontId="47" fillId="0" borderId="0" xfId="0" applyFont="1" applyFill="1"/>
    <xf numFmtId="41" fontId="47" fillId="0" borderId="0" xfId="1" applyFont="1" applyFill="1"/>
    <xf numFmtId="49" fontId="94" fillId="0" borderId="11" xfId="0" applyNumberFormat="1" applyFont="1" applyFill="1" applyBorder="1" applyAlignment="1">
      <alignment horizontal="center" vertical="center"/>
    </xf>
    <xf numFmtId="0" fontId="53" fillId="0" borderId="0" xfId="0" applyFont="1" applyFill="1"/>
    <xf numFmtId="41" fontId="53" fillId="0" borderId="0" xfId="1" applyFont="1" applyFill="1"/>
    <xf numFmtId="49" fontId="94" fillId="0" borderId="8" xfId="0" applyNumberFormat="1" applyFont="1" applyFill="1" applyBorder="1" applyAlignment="1">
      <alignment horizontal="center" vertical="center"/>
    </xf>
    <xf numFmtId="0" fontId="22" fillId="0" borderId="0" xfId="0" applyFont="1" applyFill="1"/>
    <xf numFmtId="49" fontId="93" fillId="0" borderId="8" xfId="0" applyNumberFormat="1" applyFont="1" applyFill="1" applyBorder="1" applyAlignment="1">
      <alignment horizontal="center" vertical="center"/>
    </xf>
    <xf numFmtId="49" fontId="94" fillId="0" borderId="17" xfId="0" applyNumberFormat="1" applyFont="1" applyFill="1" applyBorder="1" applyAlignment="1">
      <alignment horizontal="center" vertical="center"/>
    </xf>
    <xf numFmtId="49" fontId="49" fillId="0" borderId="8" xfId="0" applyNumberFormat="1" applyFont="1" applyFill="1" applyBorder="1" applyAlignment="1">
      <alignment horizontal="center" vertical="center"/>
    </xf>
    <xf numFmtId="41" fontId="22" fillId="0" borderId="0" xfId="1" applyFont="1" applyFill="1"/>
    <xf numFmtId="49" fontId="52" fillId="0" borderId="11" xfId="0" applyNumberFormat="1" applyFont="1" applyFill="1" applyBorder="1" applyAlignment="1">
      <alignment horizontal="center" vertical="center"/>
    </xf>
    <xf numFmtId="0" fontId="92" fillId="0" borderId="0" xfId="0" applyFont="1" applyFill="1"/>
    <xf numFmtId="41" fontId="92" fillId="0" borderId="0" xfId="1" applyFont="1" applyFill="1"/>
    <xf numFmtId="49" fontId="52" fillId="0" borderId="8" xfId="0" applyNumberFormat="1" applyFont="1" applyFill="1" applyBorder="1" applyAlignment="1">
      <alignment horizontal="center" vertical="center"/>
    </xf>
    <xf numFmtId="49" fontId="49" fillId="0" borderId="11" xfId="0" applyNumberFormat="1" applyFont="1" applyFill="1" applyBorder="1" applyAlignment="1">
      <alignment horizontal="center" vertical="center"/>
    </xf>
    <xf numFmtId="166" fontId="39" fillId="0" borderId="11" xfId="0" applyNumberFormat="1" applyFont="1" applyFill="1" applyBorder="1" applyAlignment="1">
      <alignment vertical="center"/>
    </xf>
    <xf numFmtId="43" fontId="39" fillId="12" borderId="11" xfId="0" applyNumberFormat="1" applyFont="1" applyFill="1" applyBorder="1" applyAlignment="1">
      <alignment horizontal="left" vertical="center" indent="1"/>
    </xf>
    <xf numFmtId="0" fontId="49" fillId="12" borderId="0" xfId="0" applyFont="1" applyFill="1"/>
    <xf numFmtId="41" fontId="49" fillId="12" borderId="0" xfId="1" applyFont="1" applyFill="1"/>
    <xf numFmtId="4" fontId="49" fillId="0" borderId="11" xfId="1" applyNumberFormat="1" applyFont="1" applyFill="1" applyBorder="1" applyAlignment="1">
      <alignment vertical="center"/>
    </xf>
    <xf numFmtId="49" fontId="49" fillId="0" borderId="12" xfId="0" applyNumberFormat="1" applyFont="1" applyFill="1" applyBorder="1" applyAlignment="1">
      <alignment horizontal="center" vertical="center"/>
    </xf>
    <xf numFmtId="43" fontId="39" fillId="0" borderId="12" xfId="0" applyNumberFormat="1" applyFont="1" applyFill="1" applyBorder="1" applyAlignment="1">
      <alignment horizontal="left" vertical="center" indent="1"/>
    </xf>
    <xf numFmtId="166" fontId="48" fillId="0" borderId="4" xfId="1" applyNumberFormat="1" applyFont="1" applyFill="1" applyBorder="1" applyAlignment="1">
      <alignment vertical="center"/>
    </xf>
    <xf numFmtId="4" fontId="39" fillId="5" borderId="11" xfId="0" applyNumberFormat="1" applyFont="1" applyFill="1" applyBorder="1" applyAlignment="1">
      <alignment horizontal="right" vertical="center"/>
    </xf>
    <xf numFmtId="4" fontId="39" fillId="0" borderId="7" xfId="1" applyNumberFormat="1" applyFont="1" applyFill="1" applyBorder="1"/>
    <xf numFmtId="167" fontId="43" fillId="0" borderId="4" xfId="0" applyNumberFormat="1" applyFont="1" applyFill="1" applyBorder="1" applyAlignment="1">
      <alignment horizontal="right" vertical="center" wrapText="1"/>
    </xf>
    <xf numFmtId="166" fontId="22" fillId="0" borderId="7" xfId="1" applyNumberFormat="1" applyFont="1" applyFill="1" applyBorder="1" applyAlignment="1">
      <alignment vertical="center"/>
    </xf>
    <xf numFmtId="49" fontId="49" fillId="0" borderId="22" xfId="0" applyNumberFormat="1" applyFont="1" applyFill="1" applyBorder="1" applyAlignment="1">
      <alignment horizontal="center" vertical="center"/>
    </xf>
    <xf numFmtId="39" fontId="39" fillId="0" borderId="21" xfId="0" applyNumberFormat="1" applyFont="1" applyFill="1" applyBorder="1" applyAlignment="1">
      <alignment horizontal="right" vertical="center"/>
    </xf>
    <xf numFmtId="39" fontId="43" fillId="0" borderId="4" xfId="0" applyNumberFormat="1" applyFont="1" applyFill="1" applyBorder="1" applyAlignment="1">
      <alignment horizontal="right" vertical="top"/>
    </xf>
    <xf numFmtId="39" fontId="43" fillId="0" borderId="8" xfId="0" applyNumberFormat="1" applyFont="1" applyFill="1" applyBorder="1" applyAlignment="1">
      <alignment horizontal="right" vertical="top"/>
    </xf>
    <xf numFmtId="39" fontId="39" fillId="0" borderId="11" xfId="0" applyNumberFormat="1" applyFont="1" applyFill="1" applyBorder="1" applyAlignment="1">
      <alignment horizontal="right" vertical="top"/>
    </xf>
    <xf numFmtId="0" fontId="48" fillId="0" borderId="4" xfId="0" applyFont="1" applyFill="1" applyBorder="1"/>
    <xf numFmtId="39" fontId="39" fillId="5" borderId="11" xfId="0" applyNumberFormat="1" applyFont="1" applyFill="1" applyBorder="1" applyAlignment="1">
      <alignment vertical="top"/>
    </xf>
    <xf numFmtId="0" fontId="39" fillId="0" borderId="0" xfId="0" applyFont="1"/>
    <xf numFmtId="166" fontId="39" fillId="0" borderId="0" xfId="1" applyNumberFormat="1" applyFont="1"/>
    <xf numFmtId="49" fontId="43" fillId="0" borderId="8" xfId="0" applyNumberFormat="1" applyFont="1" applyBorder="1" applyAlignment="1">
      <alignment horizontal="center" vertical="center"/>
    </xf>
    <xf numFmtId="0" fontId="43" fillId="0" borderId="0" xfId="0" applyFont="1"/>
    <xf numFmtId="166" fontId="43" fillId="0" borderId="0" xfId="1" applyNumberFormat="1" applyFont="1"/>
    <xf numFmtId="166" fontId="43" fillId="0" borderId="7" xfId="1" applyNumberFormat="1" applyFont="1" applyBorder="1" applyAlignment="1">
      <alignment horizontal="left" vertical="center" indent="1"/>
    </xf>
    <xf numFmtId="49" fontId="49" fillId="0" borderId="17" xfId="0" applyNumberFormat="1" applyFont="1" applyBorder="1" applyAlignment="1">
      <alignment horizontal="center" vertical="center"/>
    </xf>
    <xf numFmtId="167" fontId="43" fillId="0" borderId="7" xfId="67" applyNumberFormat="1" applyFont="1" applyBorder="1" applyAlignment="1">
      <alignment vertical="center"/>
    </xf>
    <xf numFmtId="41" fontId="43" fillId="0" borderId="0" xfId="1" applyFont="1"/>
    <xf numFmtId="39" fontId="43" fillId="0" borderId="4" xfId="0" applyNumberFormat="1" applyFont="1" applyBorder="1" applyAlignment="1">
      <alignment vertical="top"/>
    </xf>
    <xf numFmtId="166" fontId="48" fillId="0" borderId="4" xfId="1" applyNumberFormat="1" applyFont="1" applyBorder="1" applyAlignment="1">
      <alignment vertical="center"/>
    </xf>
    <xf numFmtId="0" fontId="48" fillId="0" borderId="4" xfId="0" applyFont="1" applyBorder="1"/>
    <xf numFmtId="166" fontId="47" fillId="0" borderId="7" xfId="1" applyNumberFormat="1" applyFont="1" applyBorder="1" applyAlignment="1">
      <alignment vertical="center"/>
    </xf>
    <xf numFmtId="166" fontId="47" fillId="0" borderId="8" xfId="1" applyNumberFormat="1" applyFont="1" applyBorder="1" applyAlignment="1">
      <alignment vertical="center"/>
    </xf>
    <xf numFmtId="165" fontId="43" fillId="0" borderId="4" xfId="0" applyNumberFormat="1" applyFont="1" applyBorder="1" applyAlignment="1">
      <alignment horizontal="right" vertical="center"/>
    </xf>
    <xf numFmtId="166" fontId="47" fillId="0" borderId="4" xfId="1" applyNumberFormat="1" applyFont="1" applyBorder="1" applyAlignment="1">
      <alignment vertical="center"/>
    </xf>
    <xf numFmtId="39" fontId="39" fillId="0" borderId="11" xfId="0" applyNumberFormat="1" applyFont="1" applyBorder="1" applyAlignment="1">
      <alignment vertical="top"/>
    </xf>
    <xf numFmtId="43" fontId="39" fillId="0" borderId="11" xfId="2" applyFont="1" applyBorder="1" applyAlignment="1">
      <alignment horizontal="left" vertical="center" indent="1"/>
    </xf>
    <xf numFmtId="43" fontId="49" fillId="0" borderId="11" xfId="2" applyFont="1" applyBorder="1" applyAlignment="1">
      <alignment horizontal="left" vertical="center" indent="1"/>
    </xf>
    <xf numFmtId="39" fontId="39" fillId="0" borderId="12" xfId="0" applyNumberFormat="1" applyFont="1" applyBorder="1" applyAlignment="1">
      <alignment vertical="top"/>
    </xf>
    <xf numFmtId="167" fontId="43" fillId="0" borderId="4" xfId="15" applyNumberFormat="1" applyFont="1" applyFill="1" applyBorder="1" applyAlignment="1">
      <alignment horizontal="right" vertical="center" wrapText="1"/>
    </xf>
    <xf numFmtId="166" fontId="22" fillId="0" borderId="21" xfId="1" applyNumberFormat="1" applyFont="1" applyBorder="1" applyAlignment="1">
      <alignment vertical="center"/>
    </xf>
    <xf numFmtId="166" fontId="43" fillId="0" borderId="21" xfId="1" applyNumberFormat="1" applyFont="1" applyBorder="1" applyAlignment="1">
      <alignment vertical="center"/>
    </xf>
    <xf numFmtId="39" fontId="39" fillId="0" borderId="4" xfId="0" applyNumberFormat="1" applyFont="1" applyBorder="1" applyAlignment="1">
      <alignment vertical="top"/>
    </xf>
    <xf numFmtId="43" fontId="43" fillId="0" borderId="4" xfId="2" applyFont="1" applyBorder="1" applyAlignment="1">
      <alignment horizontal="left" vertical="center" indent="1"/>
    </xf>
    <xf numFmtId="4" fontId="57" fillId="6" borderId="4" xfId="0" applyNumberFormat="1" applyFont="1" applyFill="1" applyBorder="1" applyAlignment="1">
      <alignment vertical="center"/>
    </xf>
    <xf numFmtId="166" fontId="48" fillId="0" borderId="7" xfId="1" applyNumberFormat="1" applyFont="1" applyBorder="1" applyAlignment="1">
      <alignment vertical="center"/>
    </xf>
    <xf numFmtId="4" fontId="49" fillId="0" borderId="11" xfId="0" applyNumberFormat="1" applyFont="1" applyFill="1" applyBorder="1" applyAlignment="1">
      <alignment horizontal="right" vertical="center"/>
    </xf>
    <xf numFmtId="43" fontId="39" fillId="0" borderId="8" xfId="0" applyNumberFormat="1" applyFont="1" applyBorder="1" applyAlignment="1">
      <alignment horizontal="left" vertical="center" indent="1"/>
    </xf>
    <xf numFmtId="43" fontId="43" fillId="0" borderId="12" xfId="0" applyNumberFormat="1" applyFont="1" applyBorder="1" applyAlignment="1">
      <alignment horizontal="left" vertical="center" indent="1"/>
    </xf>
    <xf numFmtId="43" fontId="39" fillId="0" borderId="4" xfId="0" applyNumberFormat="1" applyFont="1" applyBorder="1" applyAlignment="1">
      <alignment horizontal="left" vertical="center" indent="1"/>
    </xf>
    <xf numFmtId="43" fontId="39" fillId="0" borderId="7" xfId="0" applyNumberFormat="1" applyFont="1" applyBorder="1" applyAlignment="1">
      <alignment horizontal="left" vertical="center" indent="1"/>
    </xf>
    <xf numFmtId="43" fontId="39" fillId="0" borderId="12" xfId="0" applyNumberFormat="1" applyFont="1" applyBorder="1" applyAlignment="1">
      <alignment horizontal="left" vertical="center" indent="1"/>
    </xf>
    <xf numFmtId="41" fontId="39" fillId="0" borderId="0" xfId="1" applyFont="1"/>
    <xf numFmtId="166" fontId="39" fillId="6" borderId="4" xfId="1" applyNumberFormat="1" applyFont="1" applyFill="1" applyBorder="1" applyAlignment="1">
      <alignment horizontal="right" vertical="center"/>
    </xf>
    <xf numFmtId="166" fontId="43" fillId="0" borderId="4" xfId="1" applyNumberFormat="1" applyFont="1" applyFill="1" applyBorder="1" applyAlignment="1" applyProtection="1">
      <alignment horizontal="left" vertical="center" indent="1"/>
    </xf>
    <xf numFmtId="4" fontId="47" fillId="0" borderId="8" xfId="0" applyNumberFormat="1" applyFont="1" applyFill="1" applyBorder="1" applyAlignment="1">
      <alignment horizontal="right" vertical="center"/>
    </xf>
    <xf numFmtId="0" fontId="22" fillId="0" borderId="4" xfId="0" applyFont="1" applyBorder="1"/>
    <xf numFmtId="0" fontId="22" fillId="0" borderId="0" xfId="0" applyFont="1" applyBorder="1"/>
    <xf numFmtId="41" fontId="22" fillId="0" borderId="0" xfId="1" applyFont="1" applyBorder="1"/>
    <xf numFmtId="0" fontId="48" fillId="0" borderId="12" xfId="0" applyFont="1" applyBorder="1"/>
    <xf numFmtId="0" fontId="22" fillId="0" borderId="7" xfId="0" applyFont="1" applyBorder="1"/>
    <xf numFmtId="0" fontId="39" fillId="0" borderId="11" xfId="0" applyFont="1" applyBorder="1"/>
    <xf numFmtId="0" fontId="49" fillId="0" borderId="12" xfId="0" applyFont="1" applyBorder="1"/>
    <xf numFmtId="49" fontId="44" fillId="0" borderId="8" xfId="0" applyNumberFormat="1" applyFont="1" applyBorder="1" applyAlignment="1">
      <alignment horizontal="center" vertical="center"/>
    </xf>
    <xf numFmtId="0" fontId="43" fillId="0" borderId="4" xfId="0" applyFont="1" applyBorder="1"/>
    <xf numFmtId="0" fontId="47" fillId="0" borderId="4" xfId="0" applyFont="1" applyBorder="1"/>
    <xf numFmtId="166" fontId="44" fillId="0" borderId="11" xfId="1" applyNumberFormat="1" applyFont="1" applyFill="1" applyBorder="1" applyAlignment="1">
      <alignment horizontal="right" vertical="center"/>
    </xf>
    <xf numFmtId="166" fontId="44" fillId="0" borderId="11" xfId="1" applyNumberFormat="1" applyFont="1" applyBorder="1" applyAlignment="1">
      <alignment vertical="center"/>
    </xf>
    <xf numFmtId="166" fontId="22" fillId="0" borderId="0" xfId="1" applyNumberFormat="1" applyFont="1" applyBorder="1" applyAlignment="1">
      <alignment vertical="top"/>
    </xf>
    <xf numFmtId="166" fontId="22" fillId="0" borderId="0" xfId="1" applyNumberFormat="1" applyFont="1" applyBorder="1"/>
    <xf numFmtId="166" fontId="48" fillId="0" borderId="0" xfId="1" applyNumberFormat="1" applyFont="1" applyBorder="1"/>
    <xf numFmtId="4" fontId="43" fillId="0" borderId="0" xfId="1" applyNumberFormat="1" applyFont="1" applyBorder="1"/>
    <xf numFmtId="166" fontId="49" fillId="0" borderId="0" xfId="1" applyNumberFormat="1" applyFont="1" applyAlignment="1">
      <alignment horizontal="center"/>
    </xf>
    <xf numFmtId="41" fontId="47" fillId="0" borderId="0" xfId="1" applyFont="1"/>
    <xf numFmtId="4" fontId="47" fillId="0" borderId="0" xfId="1" applyNumberFormat="1" applyFont="1"/>
    <xf numFmtId="0" fontId="22" fillId="0" borderId="0" xfId="0" applyFont="1" applyBorder="1" applyAlignment="1">
      <alignment vertical="top"/>
    </xf>
    <xf numFmtId="0" fontId="49" fillId="0" borderId="0" xfId="0" applyFont="1" applyAlignment="1">
      <alignment vertical="center"/>
    </xf>
    <xf numFmtId="0" fontId="39" fillId="0" borderId="0" xfId="0" applyFont="1" applyAlignment="1">
      <alignment horizontal="center" wrapText="1"/>
    </xf>
    <xf numFmtId="39" fontId="39" fillId="0" borderId="11" xfId="0" applyNumberFormat="1" applyFont="1" applyBorder="1" applyAlignment="1">
      <alignment horizontal="right" vertical="center"/>
    </xf>
    <xf numFmtId="0" fontId="39" fillId="0" borderId="8" xfId="0" applyFont="1" applyBorder="1" applyAlignment="1">
      <alignment vertical="top" wrapText="1"/>
    </xf>
    <xf numFmtId="0" fontId="39" fillId="0" borderId="4" xfId="0" applyFont="1" applyBorder="1" applyAlignment="1">
      <alignment vertical="top" wrapText="1"/>
    </xf>
    <xf numFmtId="0" fontId="22" fillId="0" borderId="4" xfId="0" applyFont="1" applyBorder="1" applyAlignment="1">
      <alignment vertical="top" wrapText="1"/>
    </xf>
    <xf numFmtId="39" fontId="39" fillId="0" borderId="4" xfId="0" quotePrefix="1" applyNumberFormat="1" applyFont="1" applyBorder="1" applyAlignment="1">
      <alignment horizontal="right" vertical="center"/>
    </xf>
    <xf numFmtId="0" fontId="22" fillId="0" borderId="7" xfId="0" applyFont="1" applyBorder="1" applyAlignment="1">
      <alignment vertical="top" wrapText="1"/>
    </xf>
    <xf numFmtId="39" fontId="22" fillId="0" borderId="7" xfId="0" applyNumberFormat="1" applyFont="1" applyBorder="1" applyAlignment="1">
      <alignment horizontal="right" vertical="center"/>
    </xf>
    <xf numFmtId="0" fontId="43" fillId="0" borderId="12" xfId="0" applyFont="1" applyBorder="1" applyAlignment="1">
      <alignment vertical="top" wrapText="1"/>
    </xf>
    <xf numFmtId="0" fontId="39" fillId="0" borderId="12" xfId="0" applyFont="1" applyBorder="1" applyAlignment="1">
      <alignment vertical="top" wrapText="1"/>
    </xf>
    <xf numFmtId="0" fontId="40" fillId="0" borderId="8" xfId="0" applyFont="1" applyBorder="1" applyAlignment="1">
      <alignment horizontal="left" vertical="center" wrapText="1"/>
    </xf>
    <xf numFmtId="39" fontId="40" fillId="0" borderId="17" xfId="0" applyNumberFormat="1" applyFont="1" applyBorder="1" applyAlignment="1">
      <alignment vertical="center"/>
    </xf>
    <xf numFmtId="39" fontId="29" fillId="0" borderId="17" xfId="0" applyNumberFormat="1" applyFont="1" applyBorder="1" applyAlignment="1">
      <alignment vertical="center"/>
    </xf>
    <xf numFmtId="39" fontId="40" fillId="0" borderId="12" xfId="0" applyNumberFormat="1" applyFont="1" applyBorder="1" applyAlignment="1">
      <alignment vertical="center"/>
    </xf>
    <xf numFmtId="39" fontId="67" fillId="0" borderId="0" xfId="0" applyNumberFormat="1" applyFont="1" applyAlignment="1">
      <alignment horizontal="right" vertical="center"/>
    </xf>
    <xf numFmtId="39" fontId="67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23" fillId="0" borderId="12" xfId="0" applyFont="1" applyBorder="1" applyAlignment="1">
      <alignment vertical="center"/>
    </xf>
    <xf numFmtId="0" fontId="40" fillId="0" borderId="8" xfId="0" applyFont="1" applyBorder="1" applyAlignment="1">
      <alignment vertical="center" wrapText="1"/>
    </xf>
    <xf numFmtId="0" fontId="67" fillId="0" borderId="4" xfId="0" applyFont="1" applyBorder="1" applyAlignment="1">
      <alignment vertical="center" wrapText="1"/>
    </xf>
    <xf numFmtId="0" fontId="40" fillId="0" borderId="4" xfId="0" applyFont="1" applyBorder="1" applyAlignment="1">
      <alignment vertical="center" wrapText="1"/>
    </xf>
    <xf numFmtId="0" fontId="67" fillId="0" borderId="8" xfId="0" applyFont="1" applyBorder="1" applyAlignment="1">
      <alignment vertical="center" wrapText="1"/>
    </xf>
    <xf numFmtId="0" fontId="40" fillId="0" borderId="11" xfId="0" applyFont="1" applyBorder="1" applyAlignment="1">
      <alignment vertical="center" wrapText="1"/>
    </xf>
    <xf numFmtId="0" fontId="67" fillId="0" borderId="12" xfId="0" applyFont="1" applyBorder="1" applyAlignment="1">
      <alignment vertical="center" wrapText="1"/>
    </xf>
    <xf numFmtId="0" fontId="40" fillId="0" borderId="12" xfId="0" applyFont="1" applyBorder="1" applyAlignment="1">
      <alignment vertical="center" wrapText="1"/>
    </xf>
    <xf numFmtId="0" fontId="23" fillId="0" borderId="57" xfId="0" applyFont="1" applyBorder="1" applyAlignment="1">
      <alignment vertical="center"/>
    </xf>
    <xf numFmtId="166" fontId="23" fillId="0" borderId="0" xfId="7" applyNumberFormat="1" applyFont="1" applyBorder="1" applyAlignment="1">
      <alignment vertical="center"/>
    </xf>
    <xf numFmtId="0" fontId="23" fillId="0" borderId="41" xfId="0" applyFont="1" applyBorder="1" applyAlignment="1">
      <alignment vertical="center" wrapText="1"/>
    </xf>
    <xf numFmtId="0" fontId="23" fillId="0" borderId="41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23" fillId="0" borderId="57" xfId="0" applyFont="1" applyBorder="1" applyAlignment="1">
      <alignment vertical="center" wrapText="1"/>
    </xf>
    <xf numFmtId="0" fontId="67" fillId="0" borderId="0" xfId="0" applyFont="1" applyAlignment="1">
      <alignment vertical="center" wrapText="1"/>
    </xf>
    <xf numFmtId="0" fontId="67" fillId="0" borderId="0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14" fillId="0" borderId="0" xfId="0" applyFont="1" applyBorder="1"/>
    <xf numFmtId="0" fontId="66" fillId="0" borderId="64" xfId="0" applyFont="1" applyBorder="1"/>
    <xf numFmtId="0" fontId="51" fillId="0" borderId="25" xfId="0" applyFont="1" applyBorder="1" applyAlignment="1">
      <alignment vertical="center" wrapText="1"/>
    </xf>
    <xf numFmtId="39" fontId="51" fillId="0" borderId="25" xfId="0" applyNumberFormat="1" applyFont="1" applyBorder="1" applyAlignment="1">
      <alignment vertical="center"/>
    </xf>
    <xf numFmtId="39" fontId="67" fillId="0" borderId="25" xfId="0" applyNumberFormat="1" applyFont="1" applyBorder="1" applyAlignment="1">
      <alignment vertical="center"/>
    </xf>
    <xf numFmtId="39" fontId="51" fillId="0" borderId="25" xfId="0" applyNumberFormat="1" applyFont="1" applyBorder="1" applyAlignment="1">
      <alignment vertical="top"/>
    </xf>
    <xf numFmtId="166" fontId="23" fillId="0" borderId="25" xfId="7" applyNumberFormat="1" applyFont="1" applyBorder="1"/>
    <xf numFmtId="4" fontId="29" fillId="0" borderId="25" xfId="0" applyNumberFormat="1" applyFont="1" applyBorder="1" applyAlignment="1">
      <alignment vertical="center"/>
    </xf>
    <xf numFmtId="166" fontId="66" fillId="0" borderId="25" xfId="7" applyNumberFormat="1" applyFont="1" applyBorder="1"/>
    <xf numFmtId="0" fontId="23" fillId="0" borderId="25" xfId="0" applyFont="1" applyBorder="1"/>
    <xf numFmtId="0" fontId="23" fillId="0" borderId="93" xfId="0" applyFont="1" applyBorder="1"/>
    <xf numFmtId="20" fontId="29" fillId="0" borderId="11" xfId="0" quotePrefix="1" applyNumberFormat="1" applyFont="1" applyBorder="1" applyAlignment="1">
      <alignment horizontal="center" vertical="center"/>
    </xf>
    <xf numFmtId="0" fontId="66" fillId="0" borderId="8" xfId="0" applyFont="1" applyBorder="1"/>
    <xf numFmtId="0" fontId="80" fillId="0" borderId="4" xfId="0" applyFont="1" applyBorder="1" applyAlignment="1">
      <alignment horizontal="left" vertical="center" wrapText="1"/>
    </xf>
    <xf numFmtId="41" fontId="38" fillId="0" borderId="0" xfId="58" applyFont="1"/>
    <xf numFmtId="41" fontId="42" fillId="0" borderId="0" xfId="58" applyFont="1"/>
    <xf numFmtId="41" fontId="12" fillId="0" borderId="0" xfId="58" applyFont="1"/>
    <xf numFmtId="41" fontId="13" fillId="0" borderId="0" xfId="58" applyFont="1"/>
    <xf numFmtId="41" fontId="46" fillId="0" borderId="0" xfId="58" applyFont="1"/>
    <xf numFmtId="41" fontId="18" fillId="0" borderId="0" xfId="58" applyFont="1"/>
    <xf numFmtId="41" fontId="5" fillId="0" borderId="0" xfId="58" applyFont="1"/>
    <xf numFmtId="41" fontId="21" fillId="0" borderId="0" xfId="58" applyFont="1"/>
    <xf numFmtId="41" fontId="21" fillId="0" borderId="0" xfId="58" applyFont="1" applyFill="1"/>
    <xf numFmtId="41" fontId="20" fillId="0" borderId="0" xfId="58" applyFont="1"/>
    <xf numFmtId="41" fontId="9" fillId="0" borderId="0" xfId="58" applyFont="1"/>
    <xf numFmtId="41" fontId="0" fillId="0" borderId="0" xfId="58" applyFont="1" applyFill="1"/>
    <xf numFmtId="41" fontId="4" fillId="13" borderId="0" xfId="58" applyFont="1" applyFill="1"/>
    <xf numFmtId="41" fontId="0" fillId="0" borderId="20" xfId="58" applyFont="1" applyBorder="1"/>
    <xf numFmtId="41" fontId="0" fillId="0" borderId="4" xfId="58" applyFont="1" applyBorder="1"/>
    <xf numFmtId="41" fontId="47" fillId="0" borderId="14" xfId="58" applyFont="1" applyBorder="1" applyAlignment="1">
      <alignment horizontal="left" vertical="center" wrapText="1"/>
    </xf>
    <xf numFmtId="41" fontId="47" fillId="0" borderId="4" xfId="58" applyFont="1" applyBorder="1" applyAlignment="1">
      <alignment horizontal="left" vertical="center" wrapText="1"/>
    </xf>
    <xf numFmtId="41" fontId="0" fillId="0" borderId="7" xfId="58" applyFont="1" applyBorder="1"/>
    <xf numFmtId="41" fontId="0" fillId="0" borderId="0" xfId="58" applyFont="1" applyBorder="1"/>
    <xf numFmtId="41" fontId="22" fillId="0" borderId="0" xfId="58" applyFont="1"/>
    <xf numFmtId="4" fontId="43" fillId="0" borderId="25" xfId="0" applyNumberFormat="1" applyFont="1" applyBorder="1" applyAlignment="1">
      <alignment vertical="center"/>
    </xf>
    <xf numFmtId="39" fontId="57" fillId="0" borderId="4" xfId="0" applyNumberFormat="1" applyFont="1" applyBorder="1" applyAlignment="1">
      <alignment vertical="center"/>
    </xf>
    <xf numFmtId="4" fontId="57" fillId="0" borderId="4" xfId="1" applyNumberFormat="1" applyFont="1" applyFill="1" applyBorder="1" applyAlignment="1">
      <alignment vertical="center"/>
    </xf>
    <xf numFmtId="0" fontId="78" fillId="0" borderId="0" xfId="0" applyFont="1" applyAlignment="1">
      <alignment horizontal="right" vertical="center"/>
    </xf>
    <xf numFmtId="166" fontId="30" fillId="0" borderId="11" xfId="1" applyNumberFormat="1" applyFont="1" applyBorder="1" applyAlignment="1">
      <alignment horizontal="right" vertical="center"/>
    </xf>
    <xf numFmtId="4" fontId="30" fillId="0" borderId="12" xfId="0" applyNumberFormat="1" applyFont="1" applyFill="1" applyBorder="1" applyAlignment="1">
      <alignment horizontal="right" vertical="center"/>
    </xf>
    <xf numFmtId="4" fontId="95" fillId="0" borderId="4" xfId="0" applyNumberFormat="1" applyFont="1" applyFill="1" applyBorder="1" applyAlignment="1">
      <alignment horizontal="right" vertical="center"/>
    </xf>
    <xf numFmtId="166" fontId="95" fillId="0" borderId="4" xfId="1" applyNumberFormat="1" applyFont="1" applyBorder="1" applyAlignment="1">
      <alignment horizontal="right" vertical="center"/>
    </xf>
    <xf numFmtId="4" fontId="95" fillId="0" borderId="4" xfId="0" applyNumberFormat="1" applyFont="1" applyBorder="1" applyAlignment="1">
      <alignment horizontal="right" vertical="center"/>
    </xf>
    <xf numFmtId="166" fontId="30" fillId="0" borderId="4" xfId="1" applyNumberFormat="1" applyFont="1" applyBorder="1" applyAlignment="1">
      <alignment horizontal="right" vertical="center"/>
    </xf>
    <xf numFmtId="4" fontId="30" fillId="0" borderId="4" xfId="0" applyNumberFormat="1" applyFont="1" applyBorder="1" applyAlignment="1">
      <alignment horizontal="right" vertical="center"/>
    </xf>
    <xf numFmtId="166" fontId="95" fillId="0" borderId="12" xfId="1" applyNumberFormat="1" applyFont="1" applyBorder="1" applyAlignment="1">
      <alignment horizontal="right" vertical="center"/>
    </xf>
    <xf numFmtId="4" fontId="95" fillId="0" borderId="12" xfId="0" applyNumberFormat="1" applyFont="1" applyFill="1" applyBorder="1" applyAlignment="1">
      <alignment horizontal="right" vertical="center"/>
    </xf>
    <xf numFmtId="4" fontId="30" fillId="0" borderId="4" xfId="0" applyNumberFormat="1" applyFont="1" applyFill="1" applyBorder="1" applyAlignment="1">
      <alignment horizontal="right" vertical="center"/>
    </xf>
    <xf numFmtId="4" fontId="95" fillId="0" borderId="22" xfId="0" applyNumberFormat="1" applyFont="1" applyFill="1" applyBorder="1" applyAlignment="1">
      <alignment horizontal="right" vertical="center"/>
    </xf>
    <xf numFmtId="4" fontId="95" fillId="0" borderId="4" xfId="1" applyNumberFormat="1" applyFont="1" applyBorder="1" applyAlignment="1">
      <alignment horizontal="right" vertical="center"/>
    </xf>
    <xf numFmtId="166" fontId="30" fillId="0" borderId="11" xfId="1" applyNumberFormat="1" applyFont="1" applyFill="1" applyBorder="1" applyAlignment="1">
      <alignment horizontal="right" vertical="center"/>
    </xf>
    <xf numFmtId="166" fontId="95" fillId="0" borderId="4" xfId="1" applyNumberFormat="1" applyFont="1" applyFill="1" applyBorder="1" applyAlignment="1">
      <alignment horizontal="right" vertical="center"/>
    </xf>
    <xf numFmtId="166" fontId="30" fillId="0" borderId="4" xfId="1" applyNumberFormat="1" applyFont="1" applyFill="1" applyBorder="1" applyAlignment="1">
      <alignment horizontal="right" vertical="center"/>
    </xf>
    <xf numFmtId="4" fontId="30" fillId="0" borderId="7" xfId="0" applyNumberFormat="1" applyFont="1" applyFill="1" applyBorder="1" applyAlignment="1">
      <alignment horizontal="right" vertical="center"/>
    </xf>
    <xf numFmtId="4" fontId="95" fillId="0" borderId="7" xfId="0" applyNumberFormat="1" applyFont="1" applyFill="1" applyBorder="1" applyAlignment="1">
      <alignment horizontal="right" vertical="center"/>
    </xf>
    <xf numFmtId="166" fontId="30" fillId="0" borderId="12" xfId="1" applyNumberFormat="1" applyFont="1" applyFill="1" applyBorder="1" applyAlignment="1">
      <alignment horizontal="right" vertical="center"/>
    </xf>
    <xf numFmtId="4" fontId="30" fillId="0" borderId="11" xfId="0" applyNumberFormat="1" applyFont="1" applyFill="1" applyBorder="1" applyAlignment="1">
      <alignment horizontal="right" vertical="center"/>
    </xf>
    <xf numFmtId="4" fontId="30" fillId="0" borderId="8" xfId="0" applyNumberFormat="1" applyFont="1" applyFill="1" applyBorder="1" applyAlignment="1">
      <alignment horizontal="right" vertical="center"/>
    </xf>
    <xf numFmtId="39" fontId="95" fillId="0" borderId="4" xfId="0" applyNumberFormat="1" applyFont="1" applyBorder="1" applyAlignment="1">
      <alignment horizontal="right" vertical="center"/>
    </xf>
    <xf numFmtId="166" fontId="95" fillId="0" borderId="7" xfId="1" applyNumberFormat="1" applyFont="1" applyBorder="1" applyAlignment="1">
      <alignment horizontal="right" vertical="center"/>
    </xf>
    <xf numFmtId="4" fontId="30" fillId="0" borderId="4" xfId="1" applyNumberFormat="1" applyFont="1" applyFill="1" applyBorder="1" applyAlignment="1">
      <alignment horizontal="right" vertical="center"/>
    </xf>
    <xf numFmtId="4" fontId="95" fillId="0" borderId="4" xfId="1" applyNumberFormat="1" applyFont="1" applyFill="1" applyBorder="1" applyAlignment="1">
      <alignment horizontal="right" vertical="center"/>
    </xf>
    <xf numFmtId="4" fontId="30" fillId="0" borderId="4" xfId="1" applyNumberFormat="1" applyFont="1" applyBorder="1" applyAlignment="1">
      <alignment horizontal="right" vertical="center"/>
    </xf>
    <xf numFmtId="166" fontId="95" fillId="0" borderId="8" xfId="1" applyNumberFormat="1" applyFont="1" applyBorder="1" applyAlignment="1">
      <alignment horizontal="right" vertical="center"/>
    </xf>
    <xf numFmtId="166" fontId="30" fillId="0" borderId="21" xfId="1" applyNumberFormat="1" applyFont="1" applyBorder="1" applyAlignment="1">
      <alignment horizontal="right" vertical="center"/>
    </xf>
    <xf numFmtId="39" fontId="95" fillId="0" borderId="12" xfId="0" applyNumberFormat="1" applyFont="1" applyBorder="1" applyAlignment="1">
      <alignment horizontal="right" vertical="center"/>
    </xf>
    <xf numFmtId="39" fontId="30" fillId="0" borderId="4" xfId="0" applyNumberFormat="1" applyFont="1" applyBorder="1" applyAlignment="1">
      <alignment horizontal="right" vertical="center"/>
    </xf>
    <xf numFmtId="4" fontId="95" fillId="0" borderId="8" xfId="0" applyNumberFormat="1" applyFont="1" applyFill="1" applyBorder="1" applyAlignment="1">
      <alignment horizontal="right" vertical="center"/>
    </xf>
    <xf numFmtId="166" fontId="95" fillId="0" borderId="8" xfId="1" applyNumberFormat="1" applyFont="1" applyFill="1" applyBorder="1" applyAlignment="1">
      <alignment horizontal="right" vertical="center"/>
    </xf>
    <xf numFmtId="4" fontId="30" fillId="0" borderId="21" xfId="0" applyNumberFormat="1" applyFont="1" applyFill="1" applyBorder="1" applyAlignment="1">
      <alignment horizontal="right" vertical="center"/>
    </xf>
    <xf numFmtId="4" fontId="30" fillId="0" borderId="12" xfId="0" applyNumberFormat="1" applyFont="1" applyBorder="1" applyAlignment="1">
      <alignment horizontal="right" vertical="center"/>
    </xf>
    <xf numFmtId="4" fontId="95" fillId="0" borderId="12" xfId="0" applyNumberFormat="1" applyFont="1" applyBorder="1" applyAlignment="1">
      <alignment horizontal="right" vertical="center"/>
    </xf>
    <xf numFmtId="4" fontId="95" fillId="0" borderId="8" xfId="0" applyNumberFormat="1" applyFont="1" applyBorder="1" applyAlignment="1">
      <alignment horizontal="right" vertical="center"/>
    </xf>
    <xf numFmtId="4" fontId="30" fillId="0" borderId="11" xfId="0" applyNumberFormat="1" applyFont="1" applyBorder="1" applyAlignment="1">
      <alignment horizontal="right" vertical="center"/>
    </xf>
    <xf numFmtId="4" fontId="95" fillId="0" borderId="25" xfId="0" applyNumberFormat="1" applyFont="1" applyFill="1" applyBorder="1" applyAlignment="1">
      <alignment horizontal="right" vertical="center"/>
    </xf>
    <xf numFmtId="167" fontId="95" fillId="0" borderId="4" xfId="15" applyNumberFormat="1" applyFont="1" applyFill="1" applyBorder="1" applyAlignment="1">
      <alignment horizontal="right" vertical="center" wrapText="1"/>
    </xf>
    <xf numFmtId="39" fontId="30" fillId="0" borderId="12" xfId="0" applyNumberFormat="1" applyFont="1" applyBorder="1" applyAlignment="1">
      <alignment horizontal="right" vertical="center"/>
    </xf>
    <xf numFmtId="4" fontId="30" fillId="6" borderId="11" xfId="0" applyNumberFormat="1" applyFont="1" applyFill="1" applyBorder="1" applyAlignment="1">
      <alignment horizontal="right" vertical="center"/>
    </xf>
    <xf numFmtId="4" fontId="30" fillId="6" borderId="4" xfId="0" applyNumberFormat="1" applyFont="1" applyFill="1" applyBorder="1" applyAlignment="1">
      <alignment horizontal="right" vertical="center"/>
    </xf>
    <xf numFmtId="4" fontId="30" fillId="6" borderId="7" xfId="0" applyNumberFormat="1" applyFont="1" applyFill="1" applyBorder="1" applyAlignment="1">
      <alignment horizontal="right" vertical="center"/>
    </xf>
    <xf numFmtId="166" fontId="95" fillId="0" borderId="12" xfId="1" applyNumberFormat="1" applyFont="1" applyFill="1" applyBorder="1" applyAlignment="1">
      <alignment horizontal="right" vertical="center"/>
    </xf>
    <xf numFmtId="39" fontId="95" fillId="0" borderId="4" xfId="0" applyNumberFormat="1" applyFont="1" applyFill="1" applyBorder="1" applyAlignment="1">
      <alignment horizontal="right" vertical="center"/>
    </xf>
    <xf numFmtId="39" fontId="30" fillId="0" borderId="4" xfId="0" applyNumberFormat="1" applyFont="1" applyFill="1" applyBorder="1" applyAlignment="1">
      <alignment horizontal="right" vertical="center"/>
    </xf>
    <xf numFmtId="39" fontId="30" fillId="0" borderId="21" xfId="0" applyNumberFormat="1" applyFont="1" applyFill="1" applyBorder="1" applyAlignment="1">
      <alignment horizontal="right" vertical="center"/>
    </xf>
    <xf numFmtId="39" fontId="95" fillId="0" borderId="7" xfId="0" applyNumberFormat="1" applyFont="1" applyFill="1" applyBorder="1" applyAlignment="1">
      <alignment horizontal="right" vertical="center"/>
    </xf>
    <xf numFmtId="166" fontId="30" fillId="6" borderId="4" xfId="1" applyNumberFormat="1" applyFont="1" applyFill="1" applyBorder="1" applyAlignment="1">
      <alignment horizontal="right" vertical="center"/>
    </xf>
    <xf numFmtId="166" fontId="30" fillId="0" borderId="4" xfId="0" applyNumberFormat="1" applyFont="1" applyBorder="1" applyAlignment="1">
      <alignment horizontal="right" vertical="center"/>
    </xf>
    <xf numFmtId="166" fontId="30" fillId="0" borderId="21" xfId="1" applyNumberFormat="1" applyFont="1" applyBorder="1" applyAlignment="1">
      <alignment vertical="center"/>
    </xf>
    <xf numFmtId="39" fontId="95" fillId="0" borderId="4" xfId="0" applyNumberFormat="1" applyFont="1" applyBorder="1" applyAlignment="1">
      <alignment vertical="center"/>
    </xf>
    <xf numFmtId="4" fontId="95" fillId="0" borderId="4" xfId="0" applyNumberFormat="1" applyFont="1" applyFill="1" applyBorder="1" applyAlignment="1">
      <alignment vertical="center"/>
    </xf>
    <xf numFmtId="43" fontId="95" fillId="0" borderId="4" xfId="2" applyFont="1" applyFill="1" applyBorder="1" applyAlignment="1">
      <alignment horizontal="right" vertical="center" wrapText="1"/>
    </xf>
    <xf numFmtId="4" fontId="95" fillId="0" borderId="8" xfId="0" applyNumberFormat="1" applyFont="1" applyFill="1" applyBorder="1" applyAlignment="1">
      <alignment vertical="center"/>
    </xf>
    <xf numFmtId="166" fontId="30" fillId="0" borderId="4" xfId="1" applyNumberFormat="1" applyFont="1" applyBorder="1" applyAlignment="1">
      <alignment vertical="center"/>
    </xf>
    <xf numFmtId="4" fontId="95" fillId="0" borderId="8" xfId="0" applyNumberFormat="1" applyFont="1" applyBorder="1" applyAlignment="1">
      <alignment vertical="center"/>
    </xf>
    <xf numFmtId="167" fontId="95" fillId="0" borderId="4" xfId="1" applyNumberFormat="1" applyFont="1" applyBorder="1" applyAlignment="1">
      <alignment vertical="center"/>
    </xf>
    <xf numFmtId="43" fontId="95" fillId="0" borderId="4" xfId="2" applyFont="1" applyFill="1" applyBorder="1" applyAlignment="1">
      <alignment vertical="center" wrapText="1"/>
    </xf>
    <xf numFmtId="4" fontId="95" fillId="0" borderId="4" xfId="0" applyNumberFormat="1" applyFont="1" applyBorder="1" applyAlignment="1">
      <alignment vertical="center"/>
    </xf>
    <xf numFmtId="167" fontId="78" fillId="0" borderId="4" xfId="1" applyNumberFormat="1" applyFont="1" applyBorder="1" applyAlignment="1">
      <alignment vertical="center"/>
    </xf>
    <xf numFmtId="39" fontId="30" fillId="0" borderId="4" xfId="0" applyNumberFormat="1" applyFont="1" applyBorder="1" applyAlignment="1">
      <alignment vertical="center"/>
    </xf>
    <xf numFmtId="4" fontId="95" fillId="0" borderId="12" xfId="0" applyNumberFormat="1" applyFont="1" applyBorder="1" applyAlignment="1">
      <alignment vertical="center"/>
    </xf>
    <xf numFmtId="4" fontId="30" fillId="0" borderId="4" xfId="0" applyNumberFormat="1" applyFont="1" applyBorder="1" applyAlignment="1">
      <alignment vertical="center"/>
    </xf>
    <xf numFmtId="43" fontId="30" fillId="0" borderId="4" xfId="2" applyFont="1" applyFill="1" applyBorder="1" applyAlignment="1">
      <alignment horizontal="right" vertical="center" wrapText="1"/>
    </xf>
    <xf numFmtId="166" fontId="30" fillId="0" borderId="4" xfId="1" applyNumberFormat="1" applyFont="1" applyFill="1" applyBorder="1" applyAlignment="1">
      <alignment vertical="center"/>
    </xf>
    <xf numFmtId="4" fontId="95" fillId="0" borderId="7" xfId="0" applyNumberFormat="1" applyFont="1" applyFill="1" applyBorder="1" applyAlignment="1">
      <alignment vertical="center"/>
    </xf>
    <xf numFmtId="4" fontId="30" fillId="0" borderId="4" xfId="0" applyNumberFormat="1" applyFont="1" applyFill="1" applyBorder="1" applyAlignment="1">
      <alignment vertical="center"/>
    </xf>
    <xf numFmtId="166" fontId="95" fillId="0" borderId="4" xfId="1" applyNumberFormat="1" applyFont="1" applyFill="1" applyBorder="1" applyAlignment="1">
      <alignment vertical="center"/>
    </xf>
    <xf numFmtId="166" fontId="95" fillId="0" borderId="4" xfId="0" applyNumberFormat="1" applyFont="1" applyBorder="1" applyAlignment="1">
      <alignment horizontal="right" vertical="center"/>
    </xf>
    <xf numFmtId="0" fontId="78" fillId="0" borderId="0" xfId="0" applyFont="1"/>
    <xf numFmtId="166" fontId="30" fillId="0" borderId="8" xfId="1" applyNumberFormat="1" applyFont="1" applyFill="1" applyBorder="1" applyAlignment="1">
      <alignment horizontal="right" vertical="center"/>
    </xf>
    <xf numFmtId="43" fontId="95" fillId="0" borderId="8" xfId="2" applyFont="1" applyBorder="1" applyAlignment="1">
      <alignment horizontal="right" vertical="center" wrapText="1"/>
    </xf>
    <xf numFmtId="166" fontId="30" fillId="0" borderId="7" xfId="1" applyNumberFormat="1" applyFont="1" applyFill="1" applyBorder="1" applyAlignment="1">
      <alignment horizontal="right" vertical="center"/>
    </xf>
    <xf numFmtId="39" fontId="95" fillId="0" borderId="8" xfId="0" applyNumberFormat="1" applyFont="1" applyBorder="1" applyAlignment="1">
      <alignment horizontal="right" vertical="center"/>
    </xf>
    <xf numFmtId="166" fontId="95" fillId="0" borderId="4" xfId="1" applyNumberFormat="1" applyFont="1" applyFill="1" applyBorder="1" applyAlignment="1">
      <alignment horizontal="right" vertical="center" wrapText="1"/>
    </xf>
    <xf numFmtId="4" fontId="95" fillId="0" borderId="4" xfId="0" applyNumberFormat="1" applyFont="1" applyFill="1" applyBorder="1" applyAlignment="1">
      <alignment horizontal="right" vertical="center" wrapText="1"/>
    </xf>
    <xf numFmtId="166" fontId="95" fillId="0" borderId="4" xfId="0" applyNumberFormat="1" applyFont="1" applyFill="1" applyBorder="1" applyAlignment="1">
      <alignment horizontal="right" vertical="center" wrapText="1"/>
    </xf>
    <xf numFmtId="167" fontId="95" fillId="0" borderId="4" xfId="0" applyNumberFormat="1" applyFont="1" applyFill="1" applyBorder="1" applyAlignment="1">
      <alignment horizontal="right" vertical="center" wrapText="1"/>
    </xf>
    <xf numFmtId="166" fontId="30" fillId="0" borderId="4" xfId="1" applyNumberFormat="1" applyFont="1" applyFill="1" applyBorder="1" applyAlignment="1">
      <alignment horizontal="right" vertical="center" wrapText="1"/>
    </xf>
    <xf numFmtId="0" fontId="103" fillId="0" borderId="0" xfId="0" applyFont="1" applyFill="1"/>
    <xf numFmtId="0" fontId="104" fillId="0" borderId="0" xfId="0" applyFont="1" applyFill="1"/>
    <xf numFmtId="166" fontId="104" fillId="0" borderId="0" xfId="1" applyNumberFormat="1" applyFont="1" applyFill="1"/>
    <xf numFmtId="0" fontId="78" fillId="0" borderId="0" xfId="0" applyFont="1" applyAlignment="1">
      <alignment horizontal="center" vertical="center"/>
    </xf>
    <xf numFmtId="49" fontId="78" fillId="0" borderId="10" xfId="1" quotePrefix="1" applyNumberFormat="1" applyFont="1" applyBorder="1" applyAlignment="1">
      <alignment horizontal="center" vertical="center"/>
    </xf>
    <xf numFmtId="166" fontId="30" fillId="2" borderId="7" xfId="1" applyNumberFormat="1" applyFont="1" applyFill="1" applyBorder="1" applyAlignment="1">
      <alignment vertical="center"/>
    </xf>
    <xf numFmtId="166" fontId="30" fillId="0" borderId="8" xfId="1" applyNumberFormat="1" applyFont="1" applyFill="1" applyBorder="1" applyAlignment="1">
      <alignment vertical="center"/>
    </xf>
    <xf numFmtId="166" fontId="30" fillId="0" borderId="11" xfId="1" applyNumberFormat="1" applyFont="1" applyFill="1" applyBorder="1" applyAlignment="1">
      <alignment vertical="center"/>
    </xf>
    <xf numFmtId="4" fontId="30" fillId="0" borderId="11" xfId="0" applyNumberFormat="1" applyFont="1" applyBorder="1" applyAlignment="1">
      <alignment vertical="center"/>
    </xf>
    <xf numFmtId="166" fontId="30" fillId="0" borderId="12" xfId="1" applyNumberFormat="1" applyFont="1" applyBorder="1" applyAlignment="1">
      <alignment vertical="center"/>
    </xf>
    <xf numFmtId="166" fontId="95" fillId="0" borderId="4" xfId="1" applyNumberFormat="1" applyFont="1" applyBorder="1" applyAlignment="1">
      <alignment vertical="center"/>
    </xf>
    <xf numFmtId="166" fontId="30" fillId="5" borderId="11" xfId="1" applyNumberFormat="1" applyFont="1" applyFill="1" applyBorder="1" applyAlignment="1">
      <alignment horizontal="right" vertical="center"/>
    </xf>
    <xf numFmtId="166" fontId="95" fillId="0" borderId="8" xfId="1" applyNumberFormat="1" applyFont="1" applyFill="1" applyBorder="1" applyAlignment="1">
      <alignment vertical="center"/>
    </xf>
    <xf numFmtId="166" fontId="95" fillId="0" borderId="4" xfId="7" applyNumberFormat="1" applyFont="1" applyBorder="1" applyAlignment="1">
      <alignment horizontal="left" vertical="center"/>
    </xf>
    <xf numFmtId="166" fontId="95" fillId="0" borderId="7" xfId="1" applyNumberFormat="1" applyFont="1" applyFill="1" applyBorder="1" applyAlignment="1">
      <alignment horizontal="right" vertical="center"/>
    </xf>
    <xf numFmtId="166" fontId="95" fillId="0" borderId="8" xfId="1" applyNumberFormat="1" applyFont="1" applyBorder="1" applyAlignment="1">
      <alignment horizontal="left" vertical="center"/>
    </xf>
    <xf numFmtId="166" fontId="30" fillId="0" borderId="21" xfId="1" applyNumberFormat="1" applyFont="1" applyFill="1" applyBorder="1" applyAlignment="1">
      <alignment vertical="center"/>
    </xf>
    <xf numFmtId="166" fontId="78" fillId="0" borderId="4" xfId="1" applyNumberFormat="1" applyFont="1" applyFill="1" applyBorder="1" applyAlignment="1">
      <alignment vertical="center"/>
    </xf>
    <xf numFmtId="166" fontId="95" fillId="0" borderId="4" xfId="0" applyNumberFormat="1" applyFont="1" applyFill="1" applyBorder="1" applyAlignment="1">
      <alignment horizontal="right" vertical="center"/>
    </xf>
    <xf numFmtId="166" fontId="30" fillId="0" borderId="12" xfId="1" applyNumberFormat="1" applyFont="1" applyFill="1" applyBorder="1" applyAlignment="1">
      <alignment vertical="center"/>
    </xf>
    <xf numFmtId="4" fontId="30" fillId="5" borderId="11" xfId="0" applyNumberFormat="1" applyFont="1" applyFill="1" applyBorder="1" applyAlignment="1">
      <alignment vertical="center"/>
    </xf>
    <xf numFmtId="166" fontId="95" fillId="0" borderId="7" xfId="1" applyNumberFormat="1" applyFont="1" applyFill="1" applyBorder="1" applyAlignment="1">
      <alignment vertical="center"/>
    </xf>
    <xf numFmtId="166" fontId="95" fillId="6" borderId="4" xfId="0" applyNumberFormat="1" applyFont="1" applyFill="1" applyBorder="1" applyAlignment="1">
      <alignment horizontal="right" vertical="center"/>
    </xf>
    <xf numFmtId="166" fontId="95" fillId="0" borderId="7" xfId="1" applyNumberFormat="1" applyFont="1" applyBorder="1" applyAlignment="1">
      <alignment vertical="center"/>
    </xf>
    <xf numFmtId="166" fontId="95" fillId="0" borderId="8" xfId="1" applyNumberFormat="1" applyFont="1" applyBorder="1" applyAlignment="1">
      <alignment vertical="center"/>
    </xf>
    <xf numFmtId="166" fontId="95" fillId="0" borderId="4" xfId="1" applyNumberFormat="1" applyFont="1" applyFill="1" applyBorder="1" applyAlignment="1">
      <alignment vertical="top"/>
    </xf>
    <xf numFmtId="166" fontId="95" fillId="0" borderId="7" xfId="1" applyNumberFormat="1" applyFont="1" applyFill="1" applyBorder="1" applyAlignment="1">
      <alignment vertical="top"/>
    </xf>
    <xf numFmtId="166" fontId="30" fillId="0" borderId="7" xfId="1" applyNumberFormat="1" applyFont="1" applyBorder="1" applyAlignment="1">
      <alignment vertical="center"/>
    </xf>
    <xf numFmtId="166" fontId="30" fillId="0" borderId="11" xfId="1" applyNumberFormat="1" applyFont="1" applyBorder="1" applyAlignment="1">
      <alignment vertical="center"/>
    </xf>
    <xf numFmtId="4" fontId="95" fillId="0" borderId="7" xfId="0" applyNumberFormat="1" applyFont="1" applyBorder="1" applyAlignment="1">
      <alignment horizontal="right" vertical="center"/>
    </xf>
    <xf numFmtId="166" fontId="30" fillId="5" borderId="11" xfId="1" applyNumberFormat="1" applyFont="1" applyFill="1" applyBorder="1" applyAlignment="1">
      <alignment vertical="center"/>
    </xf>
    <xf numFmtId="166" fontId="95" fillId="0" borderId="11" xfId="1" applyNumberFormat="1" applyFont="1" applyBorder="1" applyAlignment="1">
      <alignment horizontal="right" vertical="center"/>
    </xf>
    <xf numFmtId="166" fontId="30" fillId="0" borderId="8" xfId="1" applyNumberFormat="1" applyFont="1" applyBorder="1" applyAlignment="1">
      <alignment vertical="center"/>
    </xf>
    <xf numFmtId="166" fontId="78" fillId="0" borderId="4" xfId="1" applyNumberFormat="1" applyFont="1" applyBorder="1" applyAlignment="1">
      <alignment vertical="center"/>
    </xf>
    <xf numFmtId="166" fontId="78" fillId="0" borderId="7" xfId="1" applyNumberFormat="1" applyFont="1" applyBorder="1" applyAlignment="1">
      <alignment vertical="center"/>
    </xf>
    <xf numFmtId="166" fontId="78" fillId="0" borderId="8" xfId="1" applyNumberFormat="1" applyFont="1" applyBorder="1" applyAlignment="1">
      <alignment vertical="center"/>
    </xf>
    <xf numFmtId="166" fontId="96" fillId="0" borderId="4" xfId="1" applyNumberFormat="1" applyFont="1" applyFill="1" applyBorder="1" applyAlignment="1">
      <alignment horizontal="right" vertical="center"/>
    </xf>
    <xf numFmtId="49" fontId="30" fillId="0" borderId="11" xfId="0" applyNumberFormat="1" applyFont="1" applyBorder="1" applyAlignment="1">
      <alignment horizontal="center" vertical="center"/>
    </xf>
    <xf numFmtId="166" fontId="78" fillId="0" borderId="0" xfId="1" applyNumberFormat="1" applyFont="1"/>
    <xf numFmtId="49" fontId="30" fillId="0" borderId="8" xfId="0" applyNumberFormat="1" applyFont="1" applyBorder="1" applyAlignment="1">
      <alignment horizontal="center" vertical="center"/>
    </xf>
    <xf numFmtId="39" fontId="30" fillId="0" borderId="12" xfId="0" applyNumberFormat="1" applyFont="1" applyBorder="1" applyAlignment="1">
      <alignment vertical="top"/>
    </xf>
    <xf numFmtId="39" fontId="95" fillId="0" borderId="7" xfId="0" applyNumberFormat="1" applyFont="1" applyBorder="1" applyAlignment="1">
      <alignment horizontal="right" vertical="center"/>
    </xf>
    <xf numFmtId="0" fontId="78" fillId="0" borderId="0" xfId="0" applyFont="1" applyFill="1" applyAlignment="1">
      <alignment horizontal="center"/>
    </xf>
    <xf numFmtId="166" fontId="78" fillId="0" borderId="0" xfId="1" applyNumberFormat="1" applyFont="1" applyFill="1"/>
    <xf numFmtId="166" fontId="30" fillId="0" borderId="8" xfId="1" applyNumberFormat="1" applyFont="1" applyFill="1" applyBorder="1" applyAlignment="1">
      <alignment horizontal="center" vertical="center" wrapText="1"/>
    </xf>
    <xf numFmtId="49" fontId="78" fillId="0" borderId="10" xfId="1" quotePrefix="1" applyNumberFormat="1" applyFont="1" applyFill="1" applyBorder="1" applyAlignment="1">
      <alignment horizontal="center" vertical="center"/>
    </xf>
    <xf numFmtId="43" fontId="30" fillId="0" borderId="11" xfId="0" applyNumberFormat="1" applyFont="1" applyBorder="1" applyAlignment="1">
      <alignment horizontal="left" vertical="center" indent="1"/>
    </xf>
    <xf numFmtId="43" fontId="30" fillId="0" borderId="8" xfId="0" applyNumberFormat="1" applyFont="1" applyFill="1" applyBorder="1" applyAlignment="1">
      <alignment horizontal="left" vertical="center" indent="1"/>
    </xf>
    <xf numFmtId="43" fontId="30" fillId="0" borderId="4" xfId="0" applyNumberFormat="1" applyFont="1" applyFill="1" applyBorder="1" applyAlignment="1">
      <alignment horizontal="left" vertical="center" indent="1"/>
    </xf>
    <xf numFmtId="166" fontId="95" fillId="0" borderId="11" xfId="1" applyNumberFormat="1" applyFont="1" applyFill="1" applyBorder="1" applyAlignment="1">
      <alignment vertical="center"/>
    </xf>
    <xf numFmtId="43" fontId="30" fillId="2" borderId="4" xfId="0" applyNumberFormat="1" applyFont="1" applyFill="1" applyBorder="1" applyAlignment="1">
      <alignment horizontal="left" vertical="center" indent="1"/>
    </xf>
    <xf numFmtId="43" fontId="97" fillId="5" borderId="11" xfId="0" applyNumberFormat="1" applyFont="1" applyFill="1" applyBorder="1" applyAlignment="1">
      <alignment horizontal="left" vertical="center" indent="1"/>
    </xf>
    <xf numFmtId="166" fontId="30" fillId="0" borderId="12" xfId="3" applyNumberFormat="1" applyFont="1" applyBorder="1" applyAlignment="1">
      <alignment vertical="center" wrapText="1"/>
    </xf>
    <xf numFmtId="166" fontId="30" fillId="0" borderId="4" xfId="4" applyNumberFormat="1" applyFont="1" applyBorder="1" applyAlignment="1">
      <alignment vertical="center" wrapText="1"/>
    </xf>
    <xf numFmtId="166" fontId="95" fillId="0" borderId="4" xfId="64" applyNumberFormat="1" applyFont="1" applyBorder="1" applyAlignment="1">
      <alignment horizontal="left" vertical="center"/>
    </xf>
    <xf numFmtId="166" fontId="95" fillId="0" borderId="4" xfId="7" applyNumberFormat="1" applyFont="1" applyFill="1" applyBorder="1" applyAlignment="1">
      <alignment horizontal="left" vertical="center"/>
    </xf>
    <xf numFmtId="166" fontId="30" fillId="0" borderId="4" xfId="3" applyNumberFormat="1" applyFont="1" applyBorder="1" applyAlignment="1">
      <alignment vertical="center" wrapText="1"/>
    </xf>
    <xf numFmtId="43" fontId="30" fillId="0" borderId="11" xfId="0" applyNumberFormat="1" applyFont="1" applyFill="1" applyBorder="1" applyAlignment="1">
      <alignment horizontal="left" vertical="center" indent="1"/>
    </xf>
    <xf numFmtId="166" fontId="30" fillId="0" borderId="21" xfId="3" applyNumberFormat="1" applyFont="1" applyBorder="1" applyAlignment="1">
      <alignment vertical="center" wrapText="1"/>
    </xf>
    <xf numFmtId="166" fontId="95" fillId="0" borderId="4" xfId="1" applyNumberFormat="1" applyFont="1" applyBorder="1" applyAlignment="1">
      <alignment horizontal="left" vertical="center"/>
    </xf>
    <xf numFmtId="166" fontId="95" fillId="0" borderId="11" xfId="1" applyNumberFormat="1" applyFont="1" applyBorder="1" applyAlignment="1">
      <alignment horizontal="left" vertical="center"/>
    </xf>
    <xf numFmtId="166" fontId="78" fillId="0" borderId="8" xfId="1" applyNumberFormat="1" applyFont="1" applyFill="1" applyBorder="1" applyAlignment="1">
      <alignment vertical="center"/>
    </xf>
    <xf numFmtId="43" fontId="97" fillId="8" borderId="11" xfId="0" applyNumberFormat="1" applyFont="1" applyFill="1" applyBorder="1" applyAlignment="1">
      <alignment horizontal="right" vertical="center"/>
    </xf>
    <xf numFmtId="166" fontId="100" fillId="0" borderId="8" xfId="1" applyNumberFormat="1" applyFont="1" applyFill="1" applyBorder="1" applyAlignment="1">
      <alignment vertical="center"/>
    </xf>
    <xf numFmtId="43" fontId="97" fillId="0" borderId="11" xfId="0" applyNumberFormat="1" applyFont="1" applyFill="1" applyBorder="1" applyAlignment="1">
      <alignment horizontal="left" vertical="center" indent="1"/>
    </xf>
    <xf numFmtId="166" fontId="78" fillId="0" borderId="4" xfId="1" applyNumberFormat="1" applyFont="1" applyBorder="1"/>
    <xf numFmtId="43" fontId="30" fillId="0" borderId="7" xfId="0" applyNumberFormat="1" applyFont="1" applyFill="1" applyBorder="1" applyAlignment="1">
      <alignment horizontal="left" vertical="center" indent="1"/>
    </xf>
    <xf numFmtId="43" fontId="95" fillId="0" borderId="7" xfId="0" applyNumberFormat="1" applyFont="1" applyFill="1" applyBorder="1" applyAlignment="1">
      <alignment horizontal="left" vertical="center" indent="1"/>
    </xf>
    <xf numFmtId="43" fontId="95" fillId="0" borderId="4" xfId="0" applyNumberFormat="1" applyFont="1" applyFill="1" applyBorder="1" applyAlignment="1">
      <alignment horizontal="left" vertical="center" indent="1"/>
    </xf>
    <xf numFmtId="43" fontId="95" fillId="0" borderId="7" xfId="0" applyNumberFormat="1" applyFont="1" applyBorder="1" applyAlignment="1">
      <alignment horizontal="left" vertical="center" indent="1"/>
    </xf>
    <xf numFmtId="43" fontId="95" fillId="0" borderId="11" xfId="0" applyNumberFormat="1" applyFont="1" applyBorder="1" applyAlignment="1">
      <alignment horizontal="left" vertical="center" indent="1"/>
    </xf>
    <xf numFmtId="43" fontId="95" fillId="0" borderId="8" xfId="0" applyNumberFormat="1" applyFont="1" applyBorder="1" applyAlignment="1">
      <alignment horizontal="left" vertical="center" indent="1"/>
    </xf>
    <xf numFmtId="43" fontId="97" fillId="5" borderId="11" xfId="0" applyNumberFormat="1" applyFont="1" applyFill="1" applyBorder="1" applyAlignment="1">
      <alignment horizontal="right" vertical="center"/>
    </xf>
    <xf numFmtId="166" fontId="30" fillId="0" borderId="11" xfId="1" applyNumberFormat="1" applyFont="1" applyFill="1" applyBorder="1"/>
    <xf numFmtId="166" fontId="30" fillId="0" borderId="21" xfId="1" applyNumberFormat="1" applyFont="1" applyFill="1" applyBorder="1"/>
    <xf numFmtId="166" fontId="95" fillId="0" borderId="4" xfId="1" applyNumberFormat="1" applyFont="1" applyFill="1" applyBorder="1"/>
    <xf numFmtId="166" fontId="78" fillId="0" borderId="4" xfId="1" applyNumberFormat="1" applyFont="1" applyFill="1" applyBorder="1"/>
    <xf numFmtId="166" fontId="30" fillId="0" borderId="4" xfId="1" applyNumberFormat="1" applyFont="1" applyFill="1" applyBorder="1"/>
    <xf numFmtId="166" fontId="95" fillId="0" borderId="12" xfId="1" applyNumberFormat="1" applyFont="1" applyFill="1" applyBorder="1"/>
    <xf numFmtId="0" fontId="78" fillId="0" borderId="4" xfId="0" applyFont="1" applyFill="1" applyBorder="1"/>
    <xf numFmtId="43" fontId="95" fillId="0" borderId="8" xfId="0" applyNumberFormat="1" applyFont="1" applyFill="1" applyBorder="1" applyAlignment="1">
      <alignment horizontal="left" vertical="center" indent="1"/>
    </xf>
    <xf numFmtId="166" fontId="95" fillId="0" borderId="25" xfId="1" applyNumberFormat="1" applyFont="1" applyFill="1" applyBorder="1" applyAlignment="1">
      <alignment horizontal="left" vertical="center" indent="1"/>
    </xf>
    <xf numFmtId="166" fontId="30" fillId="0" borderId="17" xfId="1" applyNumberFormat="1" applyFont="1" applyFill="1" applyBorder="1"/>
    <xf numFmtId="43" fontId="97" fillId="0" borderId="11" xfId="0" applyNumberFormat="1" applyFont="1" applyFill="1" applyBorder="1" applyAlignment="1">
      <alignment horizontal="right" vertical="center"/>
    </xf>
    <xf numFmtId="43" fontId="101" fillId="0" borderId="12" xfId="0" applyNumberFormat="1" applyFont="1" applyFill="1" applyBorder="1" applyAlignment="1">
      <alignment horizontal="left" vertical="center" indent="1"/>
    </xf>
    <xf numFmtId="43" fontId="30" fillId="0" borderId="12" xfId="0" applyNumberFormat="1" applyFont="1" applyFill="1" applyBorder="1" applyAlignment="1">
      <alignment horizontal="left" vertical="center" indent="1"/>
    </xf>
    <xf numFmtId="4" fontId="97" fillId="5" borderId="11" xfId="0" applyNumberFormat="1" applyFont="1" applyFill="1" applyBorder="1" applyAlignment="1">
      <alignment vertical="center"/>
    </xf>
    <xf numFmtId="43" fontId="102" fillId="0" borderId="8" xfId="0" applyNumberFormat="1" applyFont="1" applyFill="1" applyBorder="1" applyAlignment="1">
      <alignment horizontal="left" vertical="center" indent="1"/>
    </xf>
    <xf numFmtId="166" fontId="30" fillId="0" borderId="4" xfId="0" applyNumberFormat="1" applyFont="1" applyFill="1" applyBorder="1" applyAlignment="1">
      <alignment horizontal="right" vertical="center"/>
    </xf>
    <xf numFmtId="166" fontId="78" fillId="0" borderId="4" xfId="0" applyNumberFormat="1" applyFont="1" applyFill="1" applyBorder="1" applyAlignment="1">
      <alignment horizontal="right" vertical="center"/>
    </xf>
    <xf numFmtId="166" fontId="30" fillId="0" borderId="4" xfId="0" applyNumberFormat="1" applyFont="1" applyBorder="1" applyAlignment="1">
      <alignment vertical="center"/>
    </xf>
    <xf numFmtId="166" fontId="30" fillId="0" borderId="4" xfId="0" applyNumberFormat="1" applyFont="1" applyBorder="1" applyAlignment="1">
      <alignment vertical="center" wrapText="1"/>
    </xf>
    <xf numFmtId="41" fontId="95" fillId="0" borderId="4" xfId="0" applyNumberFormat="1" applyFont="1" applyBorder="1" applyAlignment="1">
      <alignment horizontal="right" vertical="center"/>
    </xf>
    <xf numFmtId="166" fontId="100" fillId="0" borderId="7" xfId="1" applyNumberFormat="1" applyFont="1" applyFill="1" applyBorder="1" applyAlignment="1">
      <alignment vertical="center"/>
    </xf>
    <xf numFmtId="43" fontId="30" fillId="0" borderId="11" xfId="0" applyNumberFormat="1" applyFont="1" applyFill="1" applyBorder="1" applyAlignment="1">
      <alignment vertical="top" wrapText="1"/>
    </xf>
    <xf numFmtId="39" fontId="30" fillId="0" borderId="21" xfId="0" applyNumberFormat="1" applyFont="1" applyFill="1" applyBorder="1" applyAlignment="1">
      <alignment vertical="center"/>
    </xf>
    <xf numFmtId="39" fontId="95" fillId="0" borderId="4" xfId="0" applyNumberFormat="1" applyFont="1" applyFill="1" applyBorder="1" applyAlignment="1">
      <alignment horizontal="right" vertical="top"/>
    </xf>
    <xf numFmtId="39" fontId="95" fillId="0" borderId="8" xfId="0" applyNumberFormat="1" applyFont="1" applyFill="1" applyBorder="1" applyAlignment="1">
      <alignment horizontal="right" vertical="top"/>
    </xf>
    <xf numFmtId="39" fontId="95" fillId="0" borderId="4" xfId="0" applyNumberFormat="1" applyFont="1" applyFill="1" applyBorder="1" applyAlignment="1">
      <alignment vertical="top"/>
    </xf>
    <xf numFmtId="39" fontId="97" fillId="5" borderId="11" xfId="0" applyNumberFormat="1" applyFont="1" applyFill="1" applyBorder="1" applyAlignment="1">
      <alignment vertical="top"/>
    </xf>
    <xf numFmtId="4" fontId="97" fillId="0" borderId="11" xfId="0" applyNumberFormat="1" applyFont="1" applyFill="1" applyBorder="1" applyAlignment="1">
      <alignment horizontal="right" vertical="center"/>
    </xf>
    <xf numFmtId="166" fontId="95" fillId="0" borderId="4" xfId="1" applyNumberFormat="1" applyFont="1" applyBorder="1" applyAlignment="1">
      <alignment horizontal="left" vertical="center" indent="1"/>
    </xf>
    <xf numFmtId="166" fontId="30" fillId="0" borderId="4" xfId="1" applyNumberFormat="1" applyFont="1" applyBorder="1" applyAlignment="1">
      <alignment horizontal="left" vertical="center" indent="1"/>
    </xf>
    <xf numFmtId="41" fontId="95" fillId="0" borderId="4" xfId="1" applyFont="1" applyBorder="1" applyAlignment="1">
      <alignment horizontal="left" vertical="center" indent="1"/>
    </xf>
    <xf numFmtId="166" fontId="95" fillId="0" borderId="7" xfId="1" applyNumberFormat="1" applyFont="1" applyBorder="1" applyAlignment="1">
      <alignment horizontal="left" vertical="center" indent="1"/>
    </xf>
    <xf numFmtId="39" fontId="95" fillId="0" borderId="7" xfId="0" applyNumberFormat="1" applyFont="1" applyFill="1" applyBorder="1" applyAlignment="1">
      <alignment vertical="top"/>
    </xf>
    <xf numFmtId="39" fontId="30" fillId="0" borderId="4" xfId="0" applyNumberFormat="1" applyFont="1" applyFill="1" applyBorder="1" applyAlignment="1">
      <alignment vertical="top"/>
    </xf>
    <xf numFmtId="4" fontId="97" fillId="6" borderId="11" xfId="0" applyNumberFormat="1" applyFont="1" applyFill="1" applyBorder="1" applyAlignment="1">
      <alignment horizontal="right" vertical="center"/>
    </xf>
    <xf numFmtId="4" fontId="95" fillId="0" borderId="11" xfId="0" applyNumberFormat="1" applyFont="1" applyBorder="1" applyAlignment="1">
      <alignment horizontal="right" vertical="center"/>
    </xf>
    <xf numFmtId="43" fontId="97" fillId="5" borderId="11" xfId="2" applyFont="1" applyFill="1" applyBorder="1" applyAlignment="1">
      <alignment horizontal="right" vertical="center"/>
    </xf>
    <xf numFmtId="43" fontId="95" fillId="0" borderId="7" xfId="2" applyFont="1" applyBorder="1" applyAlignment="1">
      <alignment horizontal="left" vertical="center" indent="1"/>
    </xf>
    <xf numFmtId="4" fontId="95" fillId="0" borderId="11" xfId="0" applyNumberFormat="1" applyFont="1" applyFill="1" applyBorder="1" applyAlignment="1">
      <alignment horizontal="right" vertical="center"/>
    </xf>
    <xf numFmtId="4" fontId="95" fillId="0" borderId="21" xfId="0" applyNumberFormat="1" applyFont="1" applyFill="1" applyBorder="1" applyAlignment="1">
      <alignment horizontal="right" vertical="center"/>
    </xf>
    <xf numFmtId="43" fontId="101" fillId="0" borderId="8" xfId="2" applyFont="1" applyBorder="1" applyAlignment="1">
      <alignment vertical="center"/>
    </xf>
    <xf numFmtId="43" fontId="30" fillId="0" borderId="11" xfId="2" applyFont="1" applyBorder="1" applyAlignment="1">
      <alignment horizontal="left" vertical="center" indent="1"/>
    </xf>
    <xf numFmtId="43" fontId="30" fillId="0" borderId="8" xfId="2" applyFont="1" applyBorder="1" applyAlignment="1">
      <alignment horizontal="left" vertical="center" indent="1"/>
    </xf>
    <xf numFmtId="43" fontId="95" fillId="0" borderId="4" xfId="2" applyFont="1" applyBorder="1" applyAlignment="1">
      <alignment horizontal="left" vertical="center" indent="1"/>
    </xf>
    <xf numFmtId="43" fontId="30" fillId="0" borderId="4" xfId="2" applyFont="1" applyBorder="1" applyAlignment="1">
      <alignment horizontal="left" vertical="center" indent="1"/>
    </xf>
    <xf numFmtId="43" fontId="78" fillId="0" borderId="4" xfId="2" applyFont="1" applyBorder="1" applyAlignment="1">
      <alignment horizontal="left" vertical="center" indent="1"/>
    </xf>
    <xf numFmtId="43" fontId="95" fillId="0" borderId="7" xfId="2" applyFont="1" applyBorder="1" applyAlignment="1">
      <alignment vertical="center"/>
    </xf>
    <xf numFmtId="43" fontId="95" fillId="0" borderId="4" xfId="2" applyFont="1" applyBorder="1" applyAlignment="1">
      <alignment vertical="center"/>
    </xf>
    <xf numFmtId="43" fontId="95" fillId="0" borderId="12" xfId="2" applyFont="1" applyBorder="1" applyAlignment="1">
      <alignment vertical="center"/>
    </xf>
    <xf numFmtId="43" fontId="95" fillId="0" borderId="8" xfId="2" applyFont="1" applyBorder="1" applyAlignment="1">
      <alignment vertical="center"/>
    </xf>
    <xf numFmtId="43" fontId="30" fillId="0" borderId="12" xfId="2" applyFont="1" applyBorder="1" applyAlignment="1">
      <alignment horizontal="left" vertical="center" indent="1"/>
    </xf>
    <xf numFmtId="43" fontId="95" fillId="0" borderId="11" xfId="2" applyFont="1" applyBorder="1" applyAlignment="1">
      <alignment vertical="center"/>
    </xf>
    <xf numFmtId="43" fontId="97" fillId="0" borderId="8" xfId="0" applyNumberFormat="1" applyFont="1" applyFill="1" applyBorder="1" applyAlignment="1">
      <alignment horizontal="left" vertical="center" indent="1"/>
    </xf>
    <xf numFmtId="43" fontId="95" fillId="0" borderId="4" xfId="0" applyNumberFormat="1" applyFont="1" applyBorder="1" applyAlignment="1">
      <alignment horizontal="left" vertical="center" indent="1"/>
    </xf>
    <xf numFmtId="43" fontId="30" fillId="0" borderId="4" xfId="0" applyNumberFormat="1" applyFont="1" applyBorder="1" applyAlignment="1">
      <alignment horizontal="left" vertical="center" indent="1"/>
    </xf>
    <xf numFmtId="39" fontId="30" fillId="0" borderId="4" xfId="0" applyNumberFormat="1" applyFont="1" applyBorder="1" applyAlignment="1">
      <alignment vertical="top"/>
    </xf>
    <xf numFmtId="39" fontId="95" fillId="0" borderId="4" xfId="0" applyNumberFormat="1" applyFont="1" applyBorder="1" applyAlignment="1">
      <alignment vertical="top"/>
    </xf>
    <xf numFmtId="39" fontId="95" fillId="0" borderId="11" xfId="0" applyNumberFormat="1" applyFont="1" applyBorder="1" applyAlignment="1">
      <alignment vertical="top"/>
    </xf>
    <xf numFmtId="39" fontId="95" fillId="0" borderId="8" xfId="0" applyNumberFormat="1" applyFont="1" applyFill="1" applyBorder="1" applyAlignment="1">
      <alignment vertical="top"/>
    </xf>
    <xf numFmtId="0" fontId="78" fillId="0" borderId="11" xfId="0" applyFont="1" applyBorder="1"/>
    <xf numFmtId="0" fontId="78" fillId="0" borderId="7" xfId="0" applyFont="1" applyBorder="1"/>
    <xf numFmtId="0" fontId="30" fillId="0" borderId="11" xfId="0" applyFont="1" applyBorder="1"/>
    <xf numFmtId="0" fontId="30" fillId="0" borderId="12" xfId="0" applyFont="1" applyBorder="1"/>
    <xf numFmtId="0" fontId="95" fillId="0" borderId="4" xfId="0" applyFont="1" applyBorder="1"/>
    <xf numFmtId="0" fontId="95" fillId="0" borderId="7" xfId="0" applyFont="1" applyBorder="1"/>
    <xf numFmtId="0" fontId="78" fillId="0" borderId="8" xfId="0" applyFont="1" applyBorder="1"/>
    <xf numFmtId="0" fontId="30" fillId="0" borderId="8" xfId="0" applyFont="1" applyBorder="1"/>
    <xf numFmtId="166" fontId="78" fillId="0" borderId="7" xfId="1" applyNumberFormat="1" applyFont="1" applyFill="1" applyBorder="1" applyAlignment="1">
      <alignment vertical="center"/>
    </xf>
    <xf numFmtId="166" fontId="30" fillId="0" borderId="45" xfId="1" applyNumberFormat="1" applyFont="1" applyBorder="1"/>
    <xf numFmtId="0" fontId="78" fillId="0" borderId="0" xfId="0" applyFont="1" applyFill="1" applyBorder="1" applyAlignment="1">
      <alignment horizontal="left" vertical="top"/>
    </xf>
    <xf numFmtId="166" fontId="78" fillId="0" borderId="0" xfId="1" applyNumberFormat="1" applyFont="1" applyFill="1" applyBorder="1" applyAlignment="1">
      <alignment vertical="top"/>
    </xf>
    <xf numFmtId="166" fontId="96" fillId="0" borderId="4" xfId="1" applyNumberFormat="1" applyFont="1" applyBorder="1" applyAlignment="1">
      <alignment vertical="center"/>
    </xf>
    <xf numFmtId="39" fontId="30" fillId="0" borderId="21" xfId="0" applyNumberFormat="1" applyFont="1" applyBorder="1" applyAlignment="1">
      <alignment vertical="top"/>
    </xf>
    <xf numFmtId="39" fontId="78" fillId="0" borderId="4" xfId="0" applyNumberFormat="1" applyFont="1" applyBorder="1" applyAlignment="1">
      <alignment vertical="top"/>
    </xf>
    <xf numFmtId="0" fontId="30" fillId="0" borderId="4" xfId="0" applyFont="1" applyBorder="1"/>
    <xf numFmtId="4" fontId="30" fillId="0" borderId="12" xfId="0" applyNumberFormat="1" applyFont="1" applyBorder="1" applyAlignment="1">
      <alignment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4" fontId="30" fillId="6" borderId="11" xfId="1" applyNumberFormat="1" applyFont="1" applyFill="1" applyBorder="1" applyAlignment="1">
      <alignment horizontal="right" vertical="center"/>
    </xf>
    <xf numFmtId="41" fontId="69" fillId="0" borderId="4" xfId="58" applyFont="1" applyFill="1" applyBorder="1" applyAlignment="1">
      <alignment vertical="center"/>
    </xf>
    <xf numFmtId="41" fontId="69" fillId="0" borderId="4" xfId="58" applyFont="1" applyBorder="1" applyAlignment="1">
      <alignment vertical="center"/>
    </xf>
    <xf numFmtId="41" fontId="64" fillId="0" borderId="4" xfId="58" applyFont="1" applyFill="1" applyBorder="1"/>
    <xf numFmtId="41" fontId="70" fillId="0" borderId="4" xfId="58" applyFont="1" applyFill="1" applyBorder="1"/>
    <xf numFmtId="4" fontId="43" fillId="6" borderId="8" xfId="0" applyNumberFormat="1" applyFont="1" applyFill="1" applyBorder="1" applyAlignment="1">
      <alignment vertical="center"/>
    </xf>
    <xf numFmtId="0" fontId="0" fillId="0" borderId="16" xfId="0" applyBorder="1"/>
    <xf numFmtId="0" fontId="7" fillId="0" borderId="19" xfId="0" applyFont="1" applyBorder="1"/>
    <xf numFmtId="4" fontId="44" fillId="0" borderId="12" xfId="1" applyNumberFormat="1" applyFont="1" applyBorder="1" applyAlignment="1">
      <alignment vertical="center"/>
    </xf>
    <xf numFmtId="0" fontId="22" fillId="4" borderId="4" xfId="0" applyFont="1" applyFill="1" applyBorder="1" applyAlignment="1">
      <alignment vertical="center" wrapText="1"/>
    </xf>
    <xf numFmtId="166" fontId="22" fillId="0" borderId="4" xfId="0" applyNumberFormat="1" applyFont="1" applyBorder="1" applyAlignment="1">
      <alignment horizontal="right" vertical="center"/>
    </xf>
    <xf numFmtId="0" fontId="43" fillId="0" borderId="7" xfId="3" applyFont="1" applyBorder="1" applyAlignment="1">
      <alignment vertical="center" wrapText="1"/>
    </xf>
    <xf numFmtId="0" fontId="39" fillId="0" borderId="7" xfId="3" applyFont="1" applyBorder="1" applyAlignment="1">
      <alignment vertical="center" wrapText="1"/>
    </xf>
    <xf numFmtId="0" fontId="47" fillId="0" borderId="7" xfId="0" applyFont="1" applyFill="1" applyBorder="1" applyAlignment="1">
      <alignment vertical="center" wrapText="1"/>
    </xf>
    <xf numFmtId="0" fontId="39" fillId="0" borderId="8" xfId="0" applyFont="1" applyFill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21" fontId="43" fillId="0" borderId="4" xfId="0" applyNumberFormat="1" applyFont="1" applyBorder="1" applyAlignment="1">
      <alignment horizontal="left" vertical="center" wrapText="1"/>
    </xf>
    <xf numFmtId="4" fontId="43" fillId="0" borderId="12" xfId="1" applyNumberFormat="1" applyFont="1" applyBorder="1" applyAlignment="1">
      <alignment horizontal="right" vertical="center"/>
    </xf>
    <xf numFmtId="167" fontId="43" fillId="0" borderId="8" xfId="1" applyNumberFormat="1" applyFont="1" applyBorder="1" applyAlignment="1">
      <alignment vertical="center"/>
    </xf>
    <xf numFmtId="39" fontId="31" fillId="0" borderId="4" xfId="0" applyNumberFormat="1" applyFont="1" applyFill="1" applyBorder="1" applyAlignment="1">
      <alignment vertical="center"/>
    </xf>
    <xf numFmtId="166" fontId="39" fillId="0" borderId="3" xfId="1" applyNumberFormat="1" applyFont="1" applyBorder="1" applyAlignment="1">
      <alignment horizontal="center" vertical="center" wrapText="1"/>
    </xf>
    <xf numFmtId="4" fontId="39" fillId="0" borderId="3" xfId="1" applyNumberFormat="1" applyFont="1" applyBorder="1" applyAlignment="1">
      <alignment horizontal="center" vertical="center" wrapText="1"/>
    </xf>
    <xf numFmtId="166" fontId="49" fillId="0" borderId="3" xfId="1" applyNumberFormat="1" applyFont="1" applyBorder="1" applyAlignment="1">
      <alignment horizontal="center" vertical="center" wrapText="1"/>
    </xf>
    <xf numFmtId="4" fontId="43" fillId="0" borderId="10" xfId="1" quotePrefix="1" applyNumberFormat="1" applyFont="1" applyBorder="1" applyAlignment="1">
      <alignment horizontal="center" vertical="center"/>
    </xf>
    <xf numFmtId="0" fontId="49" fillId="0" borderId="4" xfId="0" applyFont="1" applyBorder="1"/>
    <xf numFmtId="0" fontId="49" fillId="0" borderId="4" xfId="0" applyFont="1" applyFill="1" applyBorder="1"/>
    <xf numFmtId="0" fontId="52" fillId="0" borderId="4" xfId="0" applyFont="1" applyBorder="1"/>
    <xf numFmtId="166" fontId="48" fillId="0" borderId="12" xfId="1" applyNumberFormat="1" applyFont="1" applyBorder="1" applyAlignment="1">
      <alignment vertical="center"/>
    </xf>
    <xf numFmtId="4" fontId="30" fillId="0" borderId="8" xfId="0" applyNumberFormat="1" applyFont="1" applyFill="1" applyBorder="1" applyAlignment="1">
      <alignment vertical="center"/>
    </xf>
    <xf numFmtId="166" fontId="53" fillId="0" borderId="7" xfId="1" applyNumberFormat="1" applyFont="1" applyFill="1" applyBorder="1" applyAlignment="1">
      <alignment vertical="center"/>
    </xf>
    <xf numFmtId="166" fontId="47" fillId="0" borderId="7" xfId="1" applyNumberFormat="1" applyFont="1" applyFill="1" applyBorder="1" applyAlignment="1">
      <alignment vertical="center"/>
    </xf>
    <xf numFmtId="0" fontId="92" fillId="0" borderId="7" xfId="0" applyFont="1" applyBorder="1"/>
    <xf numFmtId="166" fontId="53" fillId="0" borderId="8" xfId="1" applyNumberFormat="1" applyFont="1" applyFill="1" applyBorder="1" applyAlignment="1">
      <alignment vertical="center"/>
    </xf>
    <xf numFmtId="166" fontId="95" fillId="0" borderId="12" xfId="1" applyNumberFormat="1" applyFont="1" applyBorder="1" applyAlignment="1">
      <alignment vertical="center"/>
    </xf>
    <xf numFmtId="166" fontId="49" fillId="0" borderId="8" xfId="1" applyNumberFormat="1" applyFont="1" applyBorder="1" applyAlignment="1">
      <alignment vertical="center"/>
    </xf>
    <xf numFmtId="166" fontId="48" fillId="0" borderId="8" xfId="1" applyNumberFormat="1" applyFont="1" applyBorder="1" applyAlignment="1">
      <alignment vertical="center"/>
    </xf>
    <xf numFmtId="43" fontId="43" fillId="0" borderId="7" xfId="2" applyFont="1" applyBorder="1" applyAlignment="1">
      <alignment horizontal="left" vertical="center" indent="1"/>
    </xf>
    <xf numFmtId="43" fontId="30" fillId="0" borderId="7" xfId="2" applyFont="1" applyBorder="1" applyAlignment="1">
      <alignment horizontal="left" vertical="center" indent="1"/>
    </xf>
    <xf numFmtId="43" fontId="43" fillId="0" borderId="8" xfId="2" applyFont="1" applyBorder="1" applyAlignment="1">
      <alignment horizontal="right" vertical="center" wrapText="1"/>
    </xf>
    <xf numFmtId="0" fontId="92" fillId="0" borderId="12" xfId="0" applyFont="1" applyBorder="1"/>
    <xf numFmtId="4" fontId="53" fillId="0" borderId="8" xfId="0" applyNumberFormat="1" applyFont="1" applyFill="1" applyBorder="1" applyAlignment="1">
      <alignment horizontal="right" vertical="center"/>
    </xf>
    <xf numFmtId="4" fontId="39" fillId="5" borderId="11" xfId="1" applyNumberFormat="1" applyFont="1" applyFill="1" applyBorder="1" applyAlignment="1">
      <alignment vertical="center"/>
    </xf>
    <xf numFmtId="4" fontId="47" fillId="0" borderId="7" xfId="1" applyNumberFormat="1" applyFont="1" applyFill="1" applyBorder="1" applyAlignment="1">
      <alignment vertical="center"/>
    </xf>
    <xf numFmtId="0" fontId="47" fillId="0" borderId="4" xfId="0" applyFont="1" applyFill="1" applyBorder="1"/>
    <xf numFmtId="0" fontId="53" fillId="0" borderId="4" xfId="0" applyFont="1" applyFill="1" applyBorder="1"/>
    <xf numFmtId="0" fontId="78" fillId="0" borderId="8" xfId="0" applyFont="1" applyFill="1" applyBorder="1"/>
    <xf numFmtId="0" fontId="78" fillId="0" borderId="7" xfId="0" applyFont="1" applyFill="1" applyBorder="1"/>
    <xf numFmtId="166" fontId="30" fillId="0" borderId="8" xfId="1" applyNumberFormat="1" applyFont="1" applyFill="1" applyBorder="1"/>
    <xf numFmtId="166" fontId="95" fillId="0" borderId="8" xfId="0" applyNumberFormat="1" applyFont="1" applyFill="1" applyBorder="1" applyAlignment="1">
      <alignment horizontal="left" vertical="center" indent="1"/>
    </xf>
    <xf numFmtId="4" fontId="47" fillId="0" borderId="8" xfId="1" applyNumberFormat="1" applyFont="1" applyFill="1" applyBorder="1" applyAlignment="1">
      <alignment vertical="center"/>
    </xf>
    <xf numFmtId="0" fontId="92" fillId="0" borderId="4" xfId="0" applyFont="1" applyFill="1" applyBorder="1"/>
    <xf numFmtId="166" fontId="47" fillId="0" borderId="8" xfId="1" applyNumberFormat="1" applyFont="1" applyFill="1" applyBorder="1" applyAlignment="1">
      <alignment vertical="center"/>
    </xf>
    <xf numFmtId="166" fontId="49" fillId="0" borderId="11" xfId="1" applyNumberFormat="1" applyFont="1" applyFill="1" applyBorder="1" applyAlignment="1">
      <alignment vertical="center"/>
    </xf>
    <xf numFmtId="166" fontId="47" fillId="0" borderId="4" xfId="1" applyNumberFormat="1" applyFont="1" applyFill="1" applyBorder="1" applyAlignment="1">
      <alignment vertical="center"/>
    </xf>
    <xf numFmtId="166" fontId="39" fillId="12" borderId="11" xfId="1" applyNumberFormat="1" applyFont="1" applyFill="1" applyBorder="1" applyAlignment="1">
      <alignment vertical="center"/>
    </xf>
    <xf numFmtId="166" fontId="48" fillId="0" borderId="8" xfId="1" applyNumberFormat="1" applyFont="1" applyFill="1" applyBorder="1" applyAlignment="1">
      <alignment vertical="center"/>
    </xf>
    <xf numFmtId="166" fontId="22" fillId="0" borderId="12" xfId="1" applyNumberFormat="1" applyFont="1" applyFill="1" applyBorder="1" applyAlignment="1">
      <alignment vertical="center"/>
    </xf>
    <xf numFmtId="166" fontId="48" fillId="0" borderId="12" xfId="1" applyNumberFormat="1" applyFont="1" applyFill="1" applyBorder="1" applyAlignment="1">
      <alignment vertical="center"/>
    </xf>
    <xf numFmtId="166" fontId="78" fillId="0" borderId="4" xfId="0" applyNumberFormat="1" applyFont="1" applyBorder="1" applyAlignment="1">
      <alignment horizontal="right" vertical="center"/>
    </xf>
    <xf numFmtId="166" fontId="95" fillId="0" borderId="8" xfId="0" applyNumberFormat="1" applyFont="1" applyFill="1" applyBorder="1" applyAlignment="1">
      <alignment horizontal="right" vertical="center"/>
    </xf>
    <xf numFmtId="0" fontId="48" fillId="0" borderId="12" xfId="0" applyFont="1" applyFill="1" applyBorder="1"/>
    <xf numFmtId="39" fontId="102" fillId="0" borderId="8" xfId="0" applyNumberFormat="1" applyFont="1" applyFill="1" applyBorder="1" applyAlignment="1">
      <alignment vertical="top"/>
    </xf>
    <xf numFmtId="166" fontId="49" fillId="0" borderId="11" xfId="1" applyNumberFormat="1" applyFont="1" applyBorder="1" applyAlignment="1">
      <alignment vertical="center"/>
    </xf>
    <xf numFmtId="166" fontId="95" fillId="0" borderId="8" xfId="1" applyNumberFormat="1" applyFont="1" applyBorder="1" applyAlignment="1">
      <alignment horizontal="left" vertical="center" indent="1"/>
    </xf>
    <xf numFmtId="4" fontId="49" fillId="0" borderId="12" xfId="0" applyNumberFormat="1" applyFont="1" applyFill="1" applyBorder="1" applyAlignment="1">
      <alignment horizontal="right" vertical="center"/>
    </xf>
    <xf numFmtId="166" fontId="48" fillId="0" borderId="25" xfId="1" applyNumberFormat="1" applyFont="1" applyBorder="1" applyAlignment="1">
      <alignment vertical="center"/>
    </xf>
    <xf numFmtId="39" fontId="102" fillId="0" borderId="8" xfId="0" applyNumberFormat="1" applyFont="1" applyBorder="1" applyAlignment="1">
      <alignment vertical="top"/>
    </xf>
    <xf numFmtId="166" fontId="44" fillId="0" borderId="7" xfId="1" applyNumberFormat="1" applyFont="1" applyBorder="1" applyAlignment="1">
      <alignment vertical="center"/>
    </xf>
    <xf numFmtId="4" fontId="48" fillId="0" borderId="7" xfId="1" applyNumberFormat="1" applyFont="1" applyBorder="1" applyAlignment="1">
      <alignment vertical="center"/>
    </xf>
    <xf numFmtId="166" fontId="30" fillId="0" borderId="4" xfId="0" applyNumberFormat="1" applyFont="1" applyBorder="1"/>
    <xf numFmtId="166" fontId="39" fillId="0" borderId="4" xfId="1" applyNumberFormat="1" applyFont="1" applyFill="1" applyBorder="1" applyAlignment="1">
      <alignment horizontal="right" vertical="center" wrapText="1"/>
    </xf>
    <xf numFmtId="166" fontId="78" fillId="0" borderId="4" xfId="1" applyNumberFormat="1" applyFont="1" applyFill="1" applyBorder="1" applyAlignment="1">
      <alignment horizontal="right" vertical="center" wrapText="1"/>
    </xf>
    <xf numFmtId="41" fontId="78" fillId="0" borderId="4" xfId="1" applyFont="1" applyFill="1" applyBorder="1" applyAlignment="1">
      <alignment horizontal="right" vertical="center" wrapText="1"/>
    </xf>
    <xf numFmtId="4" fontId="95" fillId="0" borderId="4" xfId="0" applyNumberFormat="1" applyFont="1" applyFill="1" applyBorder="1" applyAlignment="1">
      <alignment vertical="center" wrapText="1"/>
    </xf>
    <xf numFmtId="39" fontId="95" fillId="0" borderId="8" xfId="0" applyNumberFormat="1" applyFont="1" applyBorder="1" applyAlignment="1">
      <alignment vertical="top"/>
    </xf>
    <xf numFmtId="166" fontId="97" fillId="5" borderId="11" xfId="1" applyNumberFormat="1" applyFont="1" applyFill="1" applyBorder="1" applyAlignment="1">
      <alignment horizontal="right" vertical="center"/>
    </xf>
    <xf numFmtId="4" fontId="49" fillId="0" borderId="11" xfId="1" applyNumberFormat="1" applyFont="1" applyBorder="1" applyAlignment="1">
      <alignment vertical="center"/>
    </xf>
    <xf numFmtId="166" fontId="43" fillId="4" borderId="4" xfId="0" applyNumberFormat="1" applyFont="1" applyFill="1" applyBorder="1"/>
    <xf numFmtId="4" fontId="47" fillId="0" borderId="8" xfId="1" applyNumberFormat="1" applyFont="1" applyBorder="1" applyAlignment="1">
      <alignment vertical="center"/>
    </xf>
    <xf numFmtId="4" fontId="30" fillId="5" borderId="11" xfId="0" applyNumberFormat="1" applyFont="1" applyFill="1" applyBorder="1" applyAlignment="1">
      <alignment horizontal="right" vertical="center"/>
    </xf>
    <xf numFmtId="0" fontId="42" fillId="0" borderId="4" xfId="0" applyFont="1" applyBorder="1"/>
    <xf numFmtId="0" fontId="41" fillId="0" borderId="4" xfId="0" applyFont="1" applyBorder="1"/>
    <xf numFmtId="166" fontId="43" fillId="6" borderId="8" xfId="1" applyNumberFormat="1" applyFont="1" applyFill="1" applyBorder="1" applyAlignment="1">
      <alignment horizontal="right" vertical="center"/>
    </xf>
    <xf numFmtId="166" fontId="39" fillId="0" borderId="8" xfId="1" applyNumberFormat="1" applyFont="1" applyFill="1" applyBorder="1" applyAlignment="1">
      <alignment horizontal="right" vertical="center"/>
    </xf>
    <xf numFmtId="0" fontId="47" fillId="0" borderId="12" xfId="0" applyFont="1" applyBorder="1"/>
    <xf numFmtId="0" fontId="78" fillId="0" borderId="0" xfId="0" applyFont="1" applyAlignment="1">
      <alignment horizontal="center"/>
    </xf>
    <xf numFmtId="4" fontId="78" fillId="0" borderId="0" xfId="0" applyNumberFormat="1" applyFont="1" applyFill="1" applyAlignment="1">
      <alignment horizontal="center"/>
    </xf>
    <xf numFmtId="4" fontId="95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78" fillId="0" borderId="0" xfId="0" applyFont="1" applyAlignment="1">
      <alignment horizontal="left"/>
    </xf>
    <xf numFmtId="0" fontId="78" fillId="0" borderId="0" xfId="0" applyFont="1" applyAlignment="1">
      <alignment horizontal="left" vertical="center"/>
    </xf>
    <xf numFmtId="4" fontId="78" fillId="0" borderId="0" xfId="1" applyNumberFormat="1" applyFont="1" applyFill="1"/>
    <xf numFmtId="4" fontId="95" fillId="0" borderId="0" xfId="1" applyNumberFormat="1" applyFont="1"/>
    <xf numFmtId="4" fontId="30" fillId="0" borderId="3" xfId="1" applyNumberFormat="1" applyFont="1" applyFill="1" applyBorder="1" applyAlignment="1">
      <alignment horizontal="center" vertical="center" wrapText="1"/>
    </xf>
    <xf numFmtId="166" fontId="30" fillId="0" borderId="3" xfId="1" applyNumberFormat="1" applyFont="1" applyBorder="1" applyAlignment="1">
      <alignment horizontal="center" vertical="center" wrapText="1"/>
    </xf>
    <xf numFmtId="4" fontId="30" fillId="0" borderId="3" xfId="1" applyNumberFormat="1" applyFont="1" applyBorder="1" applyAlignment="1">
      <alignment horizontal="center" vertical="center" wrapText="1"/>
    </xf>
    <xf numFmtId="166" fontId="41" fillId="0" borderId="3" xfId="1" applyNumberFormat="1" applyFont="1" applyBorder="1" applyAlignment="1">
      <alignment horizontal="center" vertical="center" wrapText="1"/>
    </xf>
    <xf numFmtId="0" fontId="78" fillId="0" borderId="10" xfId="0" quotePrefix="1" applyFont="1" applyBorder="1" applyAlignment="1">
      <alignment horizontal="center" vertical="center"/>
    </xf>
    <xf numFmtId="4" fontId="78" fillId="0" borderId="10" xfId="1" quotePrefix="1" applyNumberFormat="1" applyFont="1" applyFill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center" vertical="center"/>
    </xf>
    <xf numFmtId="4" fontId="30" fillId="2" borderId="7" xfId="0" applyNumberFormat="1" applyFont="1" applyFill="1" applyBorder="1" applyAlignment="1">
      <alignment horizontal="right" vertical="center"/>
    </xf>
    <xf numFmtId="166" fontId="41" fillId="2" borderId="7" xfId="1" applyNumberFormat="1" applyFont="1" applyFill="1" applyBorder="1" applyAlignment="1">
      <alignment vertical="center"/>
    </xf>
    <xf numFmtId="49" fontId="41" fillId="0" borderId="7" xfId="0" applyNumberFormat="1" applyFont="1" applyFill="1" applyBorder="1" applyAlignment="1">
      <alignment horizontal="center" vertical="center"/>
    </xf>
    <xf numFmtId="166" fontId="41" fillId="0" borderId="8" xfId="1" applyNumberFormat="1" applyFont="1" applyFill="1" applyBorder="1" applyAlignment="1">
      <alignment vertical="center"/>
    </xf>
    <xf numFmtId="0" fontId="41" fillId="0" borderId="4" xfId="0" applyFont="1" applyFill="1" applyBorder="1"/>
    <xf numFmtId="49" fontId="30" fillId="0" borderId="7" xfId="0" applyNumberFormat="1" applyFont="1" applyBorder="1" applyAlignment="1">
      <alignment horizontal="center" vertical="center"/>
    </xf>
    <xf numFmtId="4" fontId="30" fillId="0" borderId="11" xfId="0" applyNumberFormat="1" applyFont="1" applyFill="1" applyBorder="1" applyAlignment="1">
      <alignment horizontal="right" vertical="center" indent="1"/>
    </xf>
    <xf numFmtId="0" fontId="97" fillId="0" borderId="4" xfId="0" applyFont="1" applyBorder="1"/>
    <xf numFmtId="0" fontId="97" fillId="0" borderId="8" xfId="0" applyFont="1" applyBorder="1"/>
    <xf numFmtId="0" fontId="100" fillId="0" borderId="4" xfId="0" applyFont="1" applyBorder="1"/>
    <xf numFmtId="4" fontId="95" fillId="0" borderId="4" xfId="1" applyNumberFormat="1" applyFont="1" applyFill="1" applyBorder="1" applyAlignment="1">
      <alignment vertical="center"/>
    </xf>
    <xf numFmtId="49" fontId="78" fillId="0" borderId="12" xfId="0" applyNumberFormat="1" applyFont="1" applyBorder="1" applyAlignment="1">
      <alignment horizontal="center" vertical="center"/>
    </xf>
    <xf numFmtId="4" fontId="95" fillId="0" borderId="7" xfId="1" applyNumberFormat="1" applyFont="1" applyFill="1" applyBorder="1" applyAlignment="1">
      <alignment vertical="center"/>
    </xf>
    <xf numFmtId="4" fontId="95" fillId="0" borderId="7" xfId="1" applyNumberFormat="1" applyFont="1" applyBorder="1" applyAlignment="1">
      <alignment vertical="center"/>
    </xf>
    <xf numFmtId="166" fontId="42" fillId="0" borderId="7" xfId="1" applyNumberFormat="1" applyFont="1" applyBorder="1" applyAlignment="1">
      <alignment vertical="center"/>
    </xf>
    <xf numFmtId="0" fontId="42" fillId="0" borderId="7" xfId="0" applyFont="1" applyBorder="1"/>
    <xf numFmtId="166" fontId="78" fillId="0" borderId="11" xfId="1" applyNumberFormat="1" applyFont="1" applyBorder="1" applyAlignment="1">
      <alignment vertical="center"/>
    </xf>
    <xf numFmtId="4" fontId="95" fillId="0" borderId="11" xfId="1" applyNumberFormat="1" applyFont="1" applyBorder="1" applyAlignment="1">
      <alignment vertical="center"/>
    </xf>
    <xf numFmtId="166" fontId="42" fillId="0" borderId="11" xfId="1" applyNumberFormat="1" applyFont="1" applyBorder="1" applyAlignment="1">
      <alignment vertical="center"/>
    </xf>
    <xf numFmtId="0" fontId="42" fillId="0" borderId="11" xfId="0" applyFont="1" applyBorder="1"/>
    <xf numFmtId="4" fontId="95" fillId="0" borderId="12" xfId="1" applyNumberFormat="1" applyFont="1" applyFill="1" applyBorder="1" applyAlignment="1">
      <alignment vertical="center"/>
    </xf>
    <xf numFmtId="4" fontId="95" fillId="0" borderId="12" xfId="1" applyNumberFormat="1" applyFont="1" applyBorder="1" applyAlignment="1">
      <alignment vertical="center"/>
    </xf>
    <xf numFmtId="166" fontId="78" fillId="0" borderId="12" xfId="1" applyNumberFormat="1" applyFont="1" applyBorder="1" applyAlignment="1">
      <alignment vertical="center"/>
    </xf>
    <xf numFmtId="0" fontId="42" fillId="0" borderId="12" xfId="0" applyFont="1" applyBorder="1"/>
    <xf numFmtId="4" fontId="95" fillId="0" borderId="4" xfId="1" applyNumberFormat="1" applyFont="1" applyBorder="1" applyAlignment="1">
      <alignment vertical="center"/>
    </xf>
    <xf numFmtId="166" fontId="42" fillId="0" borderId="4" xfId="1" applyNumberFormat="1" applyFont="1" applyBorder="1" applyAlignment="1">
      <alignment vertical="center"/>
    </xf>
    <xf numFmtId="166" fontId="30" fillId="2" borderId="4" xfId="1" applyNumberFormat="1" applyFont="1" applyFill="1" applyBorder="1" applyAlignment="1">
      <alignment vertical="center"/>
    </xf>
    <xf numFmtId="43" fontId="41" fillId="2" borderId="4" xfId="0" applyNumberFormat="1" applyFont="1" applyFill="1" applyBorder="1" applyAlignment="1">
      <alignment horizontal="left" vertical="center" indent="1"/>
    </xf>
    <xf numFmtId="49" fontId="41" fillId="0" borderId="7" xfId="0" applyNumberFormat="1" applyFont="1" applyBorder="1" applyAlignment="1">
      <alignment horizontal="center" vertical="center"/>
    </xf>
    <xf numFmtId="49" fontId="41" fillId="5" borderId="11" xfId="0" applyNumberFormat="1" applyFont="1" applyFill="1" applyBorder="1" applyAlignment="1">
      <alignment horizontal="center" vertical="center"/>
    </xf>
    <xf numFmtId="43" fontId="30" fillId="5" borderId="11" xfId="0" applyNumberFormat="1" applyFont="1" applyFill="1" applyBorder="1" applyAlignment="1">
      <alignment horizontal="left" vertical="center" indent="1"/>
    </xf>
    <xf numFmtId="43" fontId="41" fillId="5" borderId="11" xfId="0" applyNumberFormat="1" applyFont="1" applyFill="1" applyBorder="1" applyAlignment="1">
      <alignment horizontal="left" vertical="center" indent="1"/>
    </xf>
    <xf numFmtId="0" fontId="42" fillId="5" borderId="4" xfId="0" applyFont="1" applyFill="1" applyBorder="1"/>
    <xf numFmtId="49" fontId="41" fillId="0" borderId="8" xfId="0" applyNumberFormat="1" applyFont="1" applyBorder="1" applyAlignment="1">
      <alignment horizontal="center" vertical="center"/>
    </xf>
    <xf numFmtId="49" fontId="97" fillId="0" borderId="11" xfId="0" applyNumberFormat="1" applyFont="1" applyBorder="1" applyAlignment="1">
      <alignment horizontal="center" vertical="center"/>
    </xf>
    <xf numFmtId="166" fontId="97" fillId="0" borderId="11" xfId="1" applyNumberFormat="1" applyFont="1" applyFill="1" applyBorder="1" applyAlignment="1">
      <alignment vertical="center"/>
    </xf>
    <xf numFmtId="166" fontId="95" fillId="0" borderId="4" xfId="7" applyNumberFormat="1" applyFont="1" applyBorder="1" applyAlignment="1">
      <alignment vertical="center"/>
    </xf>
    <xf numFmtId="166" fontId="95" fillId="0" borderId="4" xfId="64" applyNumberFormat="1" applyFont="1" applyBorder="1" applyAlignment="1">
      <alignment vertical="center"/>
    </xf>
    <xf numFmtId="166" fontId="95" fillId="0" borderId="4" xfId="7" applyNumberFormat="1" applyFont="1" applyFill="1" applyBorder="1" applyAlignment="1">
      <alignment vertical="center"/>
    </xf>
    <xf numFmtId="49" fontId="97" fillId="0" borderId="8" xfId="0" applyNumberFormat="1" applyFont="1" applyBorder="1" applyAlignment="1">
      <alignment horizontal="center" vertical="center"/>
    </xf>
    <xf numFmtId="166" fontId="102" fillId="0" borderId="7" xfId="1" applyNumberFormat="1" applyFont="1" applyFill="1" applyBorder="1" applyAlignment="1">
      <alignment vertical="center"/>
    </xf>
    <xf numFmtId="166" fontId="81" fillId="0" borderId="7" xfId="1" applyNumberFormat="1" applyFont="1" applyFill="1" applyBorder="1" applyAlignment="1">
      <alignment vertical="center"/>
    </xf>
    <xf numFmtId="166" fontId="97" fillId="0" borderId="11" xfId="1" applyNumberFormat="1" applyFont="1" applyBorder="1" applyAlignment="1">
      <alignment vertical="center"/>
    </xf>
    <xf numFmtId="0" fontId="100" fillId="0" borderId="11" xfId="0" applyFont="1" applyBorder="1"/>
    <xf numFmtId="0" fontId="100" fillId="0" borderId="7" xfId="0" applyFont="1" applyBorder="1"/>
    <xf numFmtId="166" fontId="95" fillId="0" borderId="11" xfId="1" applyNumberFormat="1" applyFont="1" applyBorder="1" applyAlignment="1">
      <alignment vertical="center"/>
    </xf>
    <xf numFmtId="166" fontId="102" fillId="0" borderId="11" xfId="1" applyNumberFormat="1" applyFont="1" applyFill="1" applyBorder="1" applyAlignment="1">
      <alignment vertical="center"/>
    </xf>
    <xf numFmtId="166" fontId="102" fillId="0" borderId="8" xfId="1" applyNumberFormat="1" applyFont="1" applyFill="1" applyBorder="1" applyAlignment="1">
      <alignment vertical="center"/>
    </xf>
    <xf numFmtId="0" fontId="100" fillId="0" borderId="8" xfId="0" applyFont="1" applyBorder="1"/>
    <xf numFmtId="166" fontId="102" fillId="0" borderId="4" xfId="1" applyNumberFormat="1" applyFont="1" applyFill="1" applyBorder="1" applyAlignment="1">
      <alignment vertical="center"/>
    </xf>
    <xf numFmtId="49" fontId="41" fillId="0" borderId="11" xfId="0" applyNumberFormat="1" applyFont="1" applyBorder="1" applyAlignment="1">
      <alignment horizontal="center" vertical="center"/>
    </xf>
    <xf numFmtId="166" fontId="41" fillId="0" borderId="8" xfId="1" applyNumberFormat="1" applyFont="1" applyBorder="1" applyAlignment="1">
      <alignment vertical="center"/>
    </xf>
    <xf numFmtId="166" fontId="42" fillId="0" borderId="8" xfId="1" applyNumberFormat="1" applyFont="1" applyBorder="1" applyAlignment="1">
      <alignment vertical="center"/>
    </xf>
    <xf numFmtId="166" fontId="41" fillId="5" borderId="11" xfId="1" applyNumberFormat="1" applyFont="1" applyFill="1" applyBorder="1" applyAlignment="1">
      <alignment vertical="center"/>
    </xf>
    <xf numFmtId="43" fontId="30" fillId="0" borderId="11" xfId="0" applyNumberFormat="1" applyFont="1" applyFill="1" applyBorder="1" applyAlignment="1">
      <alignment horizontal="right" vertical="center" indent="1"/>
    </xf>
    <xf numFmtId="4" fontId="97" fillId="0" borderId="8" xfId="0" applyNumberFormat="1" applyFont="1" applyFill="1" applyBorder="1" applyAlignment="1">
      <alignment horizontal="right" vertical="center"/>
    </xf>
    <xf numFmtId="39" fontId="102" fillId="0" borderId="4" xfId="0" applyNumberFormat="1" applyFont="1" applyBorder="1" applyAlignment="1">
      <alignment horizontal="right" vertical="center"/>
    </xf>
    <xf numFmtId="166" fontId="78" fillId="0" borderId="8" xfId="1" applyNumberFormat="1" applyFont="1" applyBorder="1"/>
    <xf numFmtId="4" fontId="102" fillId="0" borderId="4" xfId="0" applyNumberFormat="1" applyFont="1" applyFill="1" applyBorder="1" applyAlignment="1">
      <alignment horizontal="right" vertical="center"/>
    </xf>
    <xf numFmtId="166" fontId="97" fillId="0" borderId="4" xfId="1" applyNumberFormat="1" applyFont="1" applyBorder="1" applyAlignment="1">
      <alignment vertical="center"/>
    </xf>
    <xf numFmtId="166" fontId="102" fillId="0" borderId="4" xfId="1" applyNumberFormat="1" applyFont="1" applyBorder="1" applyAlignment="1">
      <alignment vertical="center"/>
    </xf>
    <xf numFmtId="4" fontId="97" fillId="0" borderId="4" xfId="0" applyNumberFormat="1" applyFont="1" applyFill="1" applyBorder="1" applyAlignment="1">
      <alignment horizontal="right" vertical="center"/>
    </xf>
    <xf numFmtId="43" fontId="97" fillId="0" borderId="4" xfId="2" applyFont="1" applyBorder="1" applyAlignment="1">
      <alignment horizontal="left" vertical="center" indent="1"/>
    </xf>
    <xf numFmtId="4" fontId="81" fillId="0" borderId="7" xfId="0" applyNumberFormat="1" applyFont="1" applyFill="1" applyBorder="1" applyAlignment="1">
      <alignment horizontal="right" vertical="center"/>
    </xf>
    <xf numFmtId="49" fontId="97" fillId="0" borderId="12" xfId="0" applyNumberFormat="1" applyFont="1" applyBorder="1" applyAlignment="1">
      <alignment horizontal="center" vertical="center"/>
    </xf>
    <xf numFmtId="43" fontId="30" fillId="0" borderId="21" xfId="2" applyFont="1" applyBorder="1" applyAlignment="1">
      <alignment horizontal="left" vertical="center" indent="1"/>
    </xf>
    <xf numFmtId="0" fontId="100" fillId="0" borderId="12" xfId="0" applyFont="1" applyBorder="1"/>
    <xf numFmtId="49" fontId="97" fillId="0" borderId="4" xfId="0" applyNumberFormat="1" applyFont="1" applyBorder="1" applyAlignment="1">
      <alignment horizontal="center" vertical="center"/>
    </xf>
    <xf numFmtId="49" fontId="97" fillId="0" borderId="7" xfId="0" applyNumberFormat="1" applyFont="1" applyBorder="1" applyAlignment="1">
      <alignment horizontal="center" vertical="center"/>
    </xf>
    <xf numFmtId="4" fontId="102" fillId="0" borderId="7" xfId="0" applyNumberFormat="1" applyFont="1" applyFill="1" applyBorder="1" applyAlignment="1">
      <alignment horizontal="right" vertical="center"/>
    </xf>
    <xf numFmtId="4" fontId="102" fillId="0" borderId="11" xfId="0" applyNumberFormat="1" applyFont="1" applyFill="1" applyBorder="1" applyAlignment="1">
      <alignment horizontal="right" vertical="center"/>
    </xf>
    <xf numFmtId="4" fontId="102" fillId="0" borderId="8" xfId="0" applyNumberFormat="1" applyFont="1" applyFill="1" applyBorder="1" applyAlignment="1">
      <alignment horizontal="right" vertical="center"/>
    </xf>
    <xf numFmtId="4" fontId="81" fillId="0" borderId="8" xfId="0" applyNumberFormat="1" applyFont="1" applyFill="1" applyBorder="1" applyAlignment="1">
      <alignment horizontal="right" vertical="center"/>
    </xf>
    <xf numFmtId="49" fontId="106" fillId="5" borderId="11" xfId="0" applyNumberFormat="1" applyFont="1" applyFill="1" applyBorder="1" applyAlignment="1">
      <alignment horizontal="center" vertical="center"/>
    </xf>
    <xf numFmtId="4" fontId="30" fillId="5" borderId="11" xfId="1" applyNumberFormat="1" applyFont="1" applyFill="1" applyBorder="1" applyAlignment="1">
      <alignment vertical="center"/>
    </xf>
    <xf numFmtId="4" fontId="41" fillId="5" borderId="11" xfId="1" applyNumberFormat="1" applyFont="1" applyFill="1" applyBorder="1" applyAlignment="1">
      <alignment vertical="center"/>
    </xf>
    <xf numFmtId="0" fontId="81" fillId="5" borderId="4" xfId="0" applyFont="1" applyFill="1" applyBorder="1"/>
    <xf numFmtId="49" fontId="106" fillId="0" borderId="7" xfId="0" applyNumberFormat="1" applyFont="1" applyFill="1" applyBorder="1" applyAlignment="1">
      <alignment horizontal="center" vertical="center"/>
    </xf>
    <xf numFmtId="4" fontId="81" fillId="0" borderId="7" xfId="1" applyNumberFormat="1" applyFont="1" applyFill="1" applyBorder="1" applyAlignment="1">
      <alignment vertical="center"/>
    </xf>
    <xf numFmtId="0" fontId="81" fillId="0" borderId="4" xfId="0" applyFont="1" applyFill="1" applyBorder="1"/>
    <xf numFmtId="49" fontId="101" fillId="0" borderId="11" xfId="0" applyNumberFormat="1" applyFont="1" applyFill="1" applyBorder="1" applyAlignment="1">
      <alignment horizontal="center" vertical="center"/>
    </xf>
    <xf numFmtId="4" fontId="30" fillId="0" borderId="11" xfId="1" applyNumberFormat="1" applyFont="1" applyFill="1" applyBorder="1" applyAlignment="1">
      <alignment vertical="center"/>
    </xf>
    <xf numFmtId="4" fontId="97" fillId="0" borderId="11" xfId="1" applyNumberFormat="1" applyFont="1" applyFill="1" applyBorder="1" applyAlignment="1">
      <alignment vertical="center"/>
    </xf>
    <xf numFmtId="0" fontId="102" fillId="0" borderId="4" xfId="0" applyFont="1" applyFill="1" applyBorder="1"/>
    <xf numFmtId="49" fontId="101" fillId="0" borderId="8" xfId="0" applyNumberFormat="1" applyFont="1" applyFill="1" applyBorder="1" applyAlignment="1">
      <alignment horizontal="center" vertical="center"/>
    </xf>
    <xf numFmtId="4" fontId="30" fillId="0" borderId="4" xfId="1" applyNumberFormat="1" applyFont="1" applyFill="1" applyBorder="1" applyAlignment="1">
      <alignment vertical="center"/>
    </xf>
    <xf numFmtId="4" fontId="30" fillId="0" borderId="21" xfId="1" applyNumberFormat="1" applyFont="1" applyFill="1" applyBorder="1" applyAlignment="1">
      <alignment vertical="center"/>
    </xf>
    <xf numFmtId="4" fontId="30" fillId="0" borderId="21" xfId="1" applyNumberFormat="1" applyFont="1" applyFill="1" applyBorder="1" applyAlignment="1">
      <alignment horizontal="right" vertical="center"/>
    </xf>
    <xf numFmtId="4" fontId="97" fillId="0" borderId="21" xfId="1" applyNumberFormat="1" applyFont="1" applyFill="1" applyBorder="1" applyAlignment="1">
      <alignment vertical="center"/>
    </xf>
    <xf numFmtId="4" fontId="102" fillId="0" borderId="4" xfId="1" applyNumberFormat="1" applyFont="1" applyFill="1" applyBorder="1" applyAlignment="1">
      <alignment vertical="center"/>
    </xf>
    <xf numFmtId="166" fontId="78" fillId="0" borderId="4" xfId="7" applyNumberFormat="1" applyFont="1" applyFill="1" applyBorder="1" applyAlignment="1">
      <alignment vertical="center"/>
    </xf>
    <xf numFmtId="166" fontId="30" fillId="0" borderId="4" xfId="7" applyNumberFormat="1" applyFont="1" applyFill="1" applyBorder="1" applyAlignment="1">
      <alignment horizontal="center" vertical="center"/>
    </xf>
    <xf numFmtId="4" fontId="97" fillId="0" borderId="4" xfId="1" applyNumberFormat="1" applyFont="1" applyFill="1" applyBorder="1" applyAlignment="1">
      <alignment vertical="center"/>
    </xf>
    <xf numFmtId="166" fontId="96" fillId="0" borderId="4" xfId="7" applyNumberFormat="1" applyFont="1" applyFill="1" applyBorder="1" applyAlignment="1">
      <alignment horizontal="right" vertical="center"/>
    </xf>
    <xf numFmtId="166" fontId="97" fillId="0" borderId="4" xfId="1" applyNumberFormat="1" applyFont="1" applyFill="1" applyBorder="1" applyAlignment="1">
      <alignment horizontal="right" vertical="center"/>
    </xf>
    <xf numFmtId="166" fontId="102" fillId="0" borderId="4" xfId="1" applyNumberFormat="1" applyFont="1" applyFill="1" applyBorder="1" applyAlignment="1">
      <alignment horizontal="right" vertical="center"/>
    </xf>
    <xf numFmtId="166" fontId="30" fillId="0" borderId="4" xfId="7" applyNumberFormat="1" applyFont="1" applyFill="1" applyBorder="1" applyAlignment="1">
      <alignment horizontal="right" vertical="center"/>
    </xf>
    <xf numFmtId="166" fontId="78" fillId="0" borderId="7" xfId="7" applyNumberFormat="1" applyFont="1" applyFill="1" applyBorder="1" applyAlignment="1">
      <alignment vertical="center"/>
    </xf>
    <xf numFmtId="166" fontId="95" fillId="0" borderId="8" xfId="1" applyNumberFormat="1" applyFont="1" applyFill="1" applyBorder="1"/>
    <xf numFmtId="49" fontId="106" fillId="0" borderId="8" xfId="0" applyNumberFormat="1" applyFont="1" applyFill="1" applyBorder="1" applyAlignment="1">
      <alignment horizontal="center" vertical="center"/>
    </xf>
    <xf numFmtId="4" fontId="95" fillId="0" borderId="8" xfId="1" applyNumberFormat="1" applyFont="1" applyFill="1" applyBorder="1" applyAlignment="1">
      <alignment vertical="center"/>
    </xf>
    <xf numFmtId="4" fontId="81" fillId="0" borderId="8" xfId="1" applyNumberFormat="1" applyFont="1" applyFill="1" applyBorder="1" applyAlignment="1">
      <alignment vertical="center"/>
    </xf>
    <xf numFmtId="49" fontId="101" fillId="0" borderId="17" xfId="0" applyNumberFormat="1" applyFont="1" applyFill="1" applyBorder="1" applyAlignment="1">
      <alignment horizontal="center" vertical="center"/>
    </xf>
    <xf numFmtId="4" fontId="30" fillId="0" borderId="12" xfId="1" applyNumberFormat="1" applyFont="1" applyFill="1" applyBorder="1" applyAlignment="1">
      <alignment vertical="center"/>
    </xf>
    <xf numFmtId="166" fontId="97" fillId="0" borderId="4" xfId="1" applyNumberFormat="1" applyFont="1" applyFill="1" applyBorder="1" applyAlignment="1">
      <alignment vertical="center"/>
    </xf>
    <xf numFmtId="166" fontId="95" fillId="0" borderId="7" xfId="1" applyNumberFormat="1" applyFont="1" applyFill="1" applyBorder="1"/>
    <xf numFmtId="49" fontId="41" fillId="0" borderId="8" xfId="0" applyNumberFormat="1" applyFont="1" applyFill="1" applyBorder="1" applyAlignment="1">
      <alignment horizontal="center" vertical="center"/>
    </xf>
    <xf numFmtId="0" fontId="42" fillId="0" borderId="4" xfId="0" applyFont="1" applyFill="1" applyBorder="1"/>
    <xf numFmtId="0" fontId="100" fillId="0" borderId="4" xfId="0" applyFont="1" applyFill="1" applyBorder="1"/>
    <xf numFmtId="49" fontId="97" fillId="0" borderId="8" xfId="0" applyNumberFormat="1" applyFont="1" applyFill="1" applyBorder="1" applyAlignment="1">
      <alignment horizontal="center" vertical="center"/>
    </xf>
    <xf numFmtId="166" fontId="81" fillId="0" borderId="8" xfId="1" applyNumberFormat="1" applyFont="1" applyFill="1" applyBorder="1" applyAlignment="1">
      <alignment vertical="center"/>
    </xf>
    <xf numFmtId="49" fontId="41" fillId="0" borderId="11" xfId="0" applyNumberFormat="1" applyFont="1" applyFill="1" applyBorder="1" applyAlignment="1">
      <alignment horizontal="center" vertical="center"/>
    </xf>
    <xf numFmtId="166" fontId="30" fillId="0" borderId="11" xfId="0" applyNumberFormat="1" applyFont="1" applyFill="1" applyBorder="1" applyAlignment="1">
      <alignment vertical="center"/>
    </xf>
    <xf numFmtId="166" fontId="41" fillId="0" borderId="11" xfId="1" applyNumberFormat="1" applyFont="1" applyFill="1" applyBorder="1" applyAlignment="1">
      <alignment vertical="center"/>
    </xf>
    <xf numFmtId="166" fontId="81" fillId="0" borderId="4" xfId="1" applyNumberFormat="1" applyFont="1" applyFill="1" applyBorder="1" applyAlignment="1">
      <alignment vertical="center"/>
    </xf>
    <xf numFmtId="166" fontId="78" fillId="0" borderId="8" xfId="7" applyNumberFormat="1" applyFont="1" applyFill="1" applyBorder="1" applyAlignment="1">
      <alignment vertical="center"/>
    </xf>
    <xf numFmtId="49" fontId="41" fillId="12" borderId="11" xfId="0" applyNumberFormat="1" applyFont="1" applyFill="1" applyBorder="1" applyAlignment="1">
      <alignment horizontal="center" vertical="center"/>
    </xf>
    <xf numFmtId="43" fontId="30" fillId="12" borderId="11" xfId="0" applyNumberFormat="1" applyFont="1" applyFill="1" applyBorder="1" applyAlignment="1">
      <alignment horizontal="left" vertical="center" indent="1"/>
    </xf>
    <xf numFmtId="166" fontId="30" fillId="12" borderId="11" xfId="1" applyNumberFormat="1" applyFont="1" applyFill="1" applyBorder="1" applyAlignment="1">
      <alignment vertical="center"/>
    </xf>
    <xf numFmtId="4" fontId="30" fillId="12" borderId="11" xfId="1" applyNumberFormat="1" applyFont="1" applyFill="1" applyBorder="1" applyAlignment="1">
      <alignment vertical="center"/>
    </xf>
    <xf numFmtId="166" fontId="41" fillId="12" borderId="4" xfId="1" applyNumberFormat="1" applyFont="1" applyFill="1" applyBorder="1" applyAlignment="1">
      <alignment vertical="center"/>
    </xf>
    <xf numFmtId="0" fontId="41" fillId="12" borderId="4" xfId="0" applyFont="1" applyFill="1" applyBorder="1"/>
    <xf numFmtId="4" fontId="41" fillId="0" borderId="11" xfId="1" applyNumberFormat="1" applyFont="1" applyFill="1" applyBorder="1" applyAlignment="1">
      <alignment vertical="center"/>
    </xf>
    <xf numFmtId="49" fontId="41" fillId="0" borderId="12" xfId="0" applyNumberFormat="1" applyFont="1" applyFill="1" applyBorder="1" applyAlignment="1">
      <alignment horizontal="center" vertical="center"/>
    </xf>
    <xf numFmtId="4" fontId="41" fillId="0" borderId="4" xfId="1" applyNumberFormat="1" applyFont="1" applyFill="1" applyBorder="1" applyAlignment="1">
      <alignment vertical="center"/>
    </xf>
    <xf numFmtId="4" fontId="81" fillId="0" borderId="4" xfId="1" applyNumberFormat="1" applyFont="1" applyFill="1" applyBorder="1" applyAlignment="1">
      <alignment vertical="center"/>
    </xf>
    <xf numFmtId="43" fontId="96" fillId="0" borderId="4" xfId="0" applyNumberFormat="1" applyFont="1" applyFill="1" applyBorder="1" applyAlignment="1">
      <alignment horizontal="left" vertical="center" indent="1"/>
    </xf>
    <xf numFmtId="4" fontId="96" fillId="0" borderId="4" xfId="1" applyNumberFormat="1" applyFont="1" applyFill="1" applyBorder="1" applyAlignment="1">
      <alignment vertical="center"/>
    </xf>
    <xf numFmtId="4" fontId="106" fillId="0" borderId="4" xfId="1" applyNumberFormat="1" applyFont="1" applyFill="1" applyBorder="1" applyAlignment="1">
      <alignment vertical="center"/>
    </xf>
    <xf numFmtId="166" fontId="42" fillId="0" borderId="4" xfId="1" applyNumberFormat="1" applyFont="1" applyFill="1" applyBorder="1" applyAlignment="1">
      <alignment vertical="center"/>
    </xf>
    <xf numFmtId="166" fontId="41" fillId="0" borderId="4" xfId="1" applyNumberFormat="1" applyFont="1" applyFill="1" applyBorder="1" applyAlignment="1">
      <alignment vertical="center"/>
    </xf>
    <xf numFmtId="166" fontId="42" fillId="0" borderId="8" xfId="1" applyNumberFormat="1" applyFont="1" applyFill="1" applyBorder="1" applyAlignment="1">
      <alignment vertical="center"/>
    </xf>
    <xf numFmtId="4" fontId="41" fillId="0" borderId="12" xfId="1" applyNumberFormat="1" applyFont="1" applyFill="1" applyBorder="1" applyAlignment="1">
      <alignment vertical="center"/>
    </xf>
    <xf numFmtId="0" fontId="78" fillId="0" borderId="8" xfId="0" applyFont="1" applyFill="1" applyBorder="1" applyAlignment="1">
      <alignment horizontal="left" vertical="center"/>
    </xf>
    <xf numFmtId="166" fontId="78" fillId="0" borderId="12" xfId="1" applyNumberFormat="1" applyFont="1" applyFill="1" applyBorder="1" applyAlignment="1">
      <alignment vertical="center"/>
    </xf>
    <xf numFmtId="166" fontId="42" fillId="0" borderId="12" xfId="1" applyNumberFormat="1" applyFont="1" applyFill="1" applyBorder="1" applyAlignment="1">
      <alignment vertical="center"/>
    </xf>
    <xf numFmtId="4" fontId="30" fillId="0" borderId="11" xfId="0" applyNumberFormat="1" applyFont="1" applyFill="1" applyBorder="1" applyAlignment="1">
      <alignment vertical="center"/>
    </xf>
    <xf numFmtId="4" fontId="30" fillId="0" borderId="7" xfId="1" applyNumberFormat="1" applyFont="1" applyFill="1" applyBorder="1"/>
    <xf numFmtId="166" fontId="30" fillId="0" borderId="21" xfId="0" applyNumberFormat="1" applyFont="1" applyBorder="1" applyAlignment="1">
      <alignment vertical="center"/>
    </xf>
    <xf numFmtId="167" fontId="95" fillId="4" borderId="4" xfId="0" applyNumberFormat="1" applyFont="1" applyFill="1" applyBorder="1" applyAlignment="1">
      <alignment vertical="center" wrapText="1"/>
    </xf>
    <xf numFmtId="166" fontId="30" fillId="0" borderId="4" xfId="0" applyNumberFormat="1" applyFont="1" applyFill="1" applyBorder="1" applyAlignment="1">
      <alignment vertical="center"/>
    </xf>
    <xf numFmtId="166" fontId="95" fillId="0" borderId="4" xfId="0" applyNumberFormat="1" applyFont="1" applyBorder="1" applyAlignment="1">
      <alignment vertical="center"/>
    </xf>
    <xf numFmtId="167" fontId="95" fillId="4" borderId="4" xfId="0" applyNumberFormat="1" applyFont="1" applyFill="1" applyBorder="1" applyAlignment="1">
      <alignment vertical="center"/>
    </xf>
    <xf numFmtId="166" fontId="95" fillId="6" borderId="4" xfId="0" applyNumberFormat="1" applyFont="1" applyFill="1" applyBorder="1" applyAlignment="1">
      <alignment vertical="center"/>
    </xf>
    <xf numFmtId="166" fontId="100" fillId="0" borderId="4" xfId="1" applyNumberFormat="1" applyFont="1" applyFill="1" applyBorder="1" applyAlignment="1">
      <alignment vertical="center"/>
    </xf>
    <xf numFmtId="49" fontId="97" fillId="0" borderId="7" xfId="0" applyNumberFormat="1" applyFont="1" applyFill="1" applyBorder="1" applyAlignment="1">
      <alignment horizontal="center" vertical="center"/>
    </xf>
    <xf numFmtId="49" fontId="41" fillId="0" borderId="22" xfId="0" applyNumberFormat="1" applyFont="1" applyFill="1" applyBorder="1" applyAlignment="1">
      <alignment horizontal="center" vertical="center"/>
    </xf>
    <xf numFmtId="166" fontId="78" fillId="0" borderId="22" xfId="1" applyNumberFormat="1" applyFont="1" applyFill="1" applyBorder="1" applyAlignment="1">
      <alignment vertical="center"/>
    </xf>
    <xf numFmtId="166" fontId="95" fillId="0" borderId="22" xfId="1" applyNumberFormat="1" applyFont="1" applyFill="1" applyBorder="1" applyAlignment="1">
      <alignment vertical="center"/>
    </xf>
    <xf numFmtId="0" fontId="42" fillId="0" borderId="8" xfId="0" applyFont="1" applyFill="1" applyBorder="1"/>
    <xf numFmtId="0" fontId="42" fillId="0" borderId="11" xfId="0" applyFont="1" applyFill="1" applyBorder="1"/>
    <xf numFmtId="166" fontId="41" fillId="0" borderId="12" xfId="1" applyNumberFormat="1" applyFont="1" applyFill="1" applyBorder="1" applyAlignment="1">
      <alignment vertical="center"/>
    </xf>
    <xf numFmtId="0" fontId="42" fillId="0" borderId="12" xfId="0" applyFont="1" applyFill="1" applyBorder="1"/>
    <xf numFmtId="166" fontId="78" fillId="0" borderId="4" xfId="1" applyNumberFormat="1" applyFont="1" applyFill="1" applyBorder="1" applyAlignment="1">
      <alignment vertical="top"/>
    </xf>
    <xf numFmtId="4" fontId="41" fillId="0" borderId="8" xfId="0" applyNumberFormat="1" applyFont="1" applyFill="1" applyBorder="1" applyAlignment="1">
      <alignment horizontal="right" vertical="center"/>
    </xf>
    <xf numFmtId="4" fontId="81" fillId="0" borderId="4" xfId="0" applyNumberFormat="1" applyFont="1" applyFill="1" applyBorder="1" applyAlignment="1">
      <alignment horizontal="right" vertical="center"/>
    </xf>
    <xf numFmtId="39" fontId="30" fillId="5" borderId="11" xfId="0" applyNumberFormat="1" applyFont="1" applyFill="1" applyBorder="1" applyAlignment="1">
      <alignment vertical="top"/>
    </xf>
    <xf numFmtId="0" fontId="42" fillId="5" borderId="11" xfId="0" applyFont="1" applyFill="1" applyBorder="1"/>
    <xf numFmtId="166" fontId="41" fillId="0" borderId="11" xfId="1" applyNumberFormat="1" applyFont="1" applyBorder="1" applyAlignment="1">
      <alignment vertical="center"/>
    </xf>
    <xf numFmtId="4" fontId="30" fillId="0" borderId="12" xfId="0" applyNumberFormat="1" applyFont="1" applyFill="1" applyBorder="1" applyAlignment="1">
      <alignment vertical="center"/>
    </xf>
    <xf numFmtId="167" fontId="95" fillId="0" borderId="4" xfId="67" applyNumberFormat="1" applyFont="1" applyBorder="1" applyAlignment="1">
      <alignment vertical="center"/>
    </xf>
    <xf numFmtId="166" fontId="30" fillId="0" borderId="7" xfId="1" applyNumberFormat="1" applyFont="1" applyBorder="1" applyAlignment="1">
      <alignment horizontal="center" vertical="center"/>
    </xf>
    <xf numFmtId="167" fontId="30" fillId="0" borderId="4" xfId="67" applyNumberFormat="1" applyFont="1" applyBorder="1" applyAlignment="1">
      <alignment vertical="center"/>
    </xf>
    <xf numFmtId="49" fontId="95" fillId="0" borderId="8" xfId="0" applyNumberFormat="1" applyFont="1" applyBorder="1" applyAlignment="1">
      <alignment horizontal="center" vertical="center"/>
    </xf>
    <xf numFmtId="0" fontId="81" fillId="0" borderId="4" xfId="0" applyFont="1" applyBorder="1"/>
    <xf numFmtId="41" fontId="95" fillId="0" borderId="4" xfId="1" applyFont="1" applyBorder="1" applyAlignment="1">
      <alignment vertical="center"/>
    </xf>
    <xf numFmtId="4" fontId="41" fillId="0" borderId="11" xfId="0" applyNumberFormat="1" applyFont="1" applyFill="1" applyBorder="1" applyAlignment="1">
      <alignment horizontal="right" vertical="center"/>
    </xf>
    <xf numFmtId="49" fontId="41" fillId="0" borderId="17" xfId="0" applyNumberFormat="1" applyFont="1" applyBorder="1" applyAlignment="1">
      <alignment horizontal="center" vertical="center"/>
    </xf>
    <xf numFmtId="4" fontId="30" fillId="0" borderId="17" xfId="0" applyNumberFormat="1" applyFont="1" applyFill="1" applyBorder="1" applyAlignment="1">
      <alignment horizontal="right" vertical="center"/>
    </xf>
    <xf numFmtId="4" fontId="41" fillId="0" borderId="12" xfId="0" applyNumberFormat="1" applyFont="1" applyFill="1" applyBorder="1" applyAlignment="1">
      <alignment horizontal="right" vertical="center"/>
    </xf>
    <xf numFmtId="167" fontId="95" fillId="0" borderId="7" xfId="67" applyNumberFormat="1" applyFont="1" applyBorder="1" applyAlignment="1">
      <alignment vertical="center"/>
    </xf>
    <xf numFmtId="49" fontId="106" fillId="0" borderId="8" xfId="0" applyNumberFormat="1" applyFont="1" applyBorder="1" applyAlignment="1">
      <alignment horizontal="center" vertical="center"/>
    </xf>
    <xf numFmtId="166" fontId="78" fillId="0" borderId="25" xfId="1" applyNumberFormat="1" applyFont="1" applyBorder="1" applyAlignment="1">
      <alignment vertical="center"/>
    </xf>
    <xf numFmtId="166" fontId="95" fillId="0" borderId="25" xfId="1" applyNumberFormat="1" applyFont="1" applyBorder="1" applyAlignment="1">
      <alignment vertical="center"/>
    </xf>
    <xf numFmtId="166" fontId="42" fillId="0" borderId="25" xfId="1" applyNumberFormat="1" applyFont="1" applyBorder="1" applyAlignment="1">
      <alignment vertical="center"/>
    </xf>
    <xf numFmtId="0" fontId="42" fillId="0" borderId="8" xfId="0" applyFont="1" applyBorder="1"/>
    <xf numFmtId="165" fontId="95" fillId="0" borderId="7" xfId="0" applyNumberFormat="1" applyFont="1" applyBorder="1" applyAlignment="1">
      <alignment horizontal="right" vertical="center"/>
    </xf>
    <xf numFmtId="166" fontId="81" fillId="0" borderId="7" xfId="1" applyNumberFormat="1" applyFont="1" applyBorder="1" applyAlignment="1">
      <alignment vertical="center"/>
    </xf>
    <xf numFmtId="165" fontId="95" fillId="0" borderId="8" xfId="0" applyNumberFormat="1" applyFont="1" applyBorder="1" applyAlignment="1">
      <alignment horizontal="right" vertical="center"/>
    </xf>
    <xf numFmtId="166" fontId="81" fillId="0" borderId="8" xfId="1" applyNumberFormat="1" applyFont="1" applyBorder="1" applyAlignment="1">
      <alignment vertical="center"/>
    </xf>
    <xf numFmtId="165" fontId="95" fillId="0" borderId="4" xfId="0" applyNumberFormat="1" applyFont="1" applyBorder="1" applyAlignment="1">
      <alignment horizontal="right" vertical="center"/>
    </xf>
    <xf numFmtId="166" fontId="81" fillId="0" borderId="4" xfId="1" applyNumberFormat="1" applyFont="1" applyBorder="1" applyAlignment="1">
      <alignment vertical="center"/>
    </xf>
    <xf numFmtId="39" fontId="95" fillId="0" borderId="11" xfId="0" applyNumberFormat="1" applyFont="1" applyBorder="1" applyAlignment="1">
      <alignment horizontal="right" vertical="center"/>
    </xf>
    <xf numFmtId="165" fontId="95" fillId="0" borderId="11" xfId="0" applyNumberFormat="1" applyFont="1" applyBorder="1" applyAlignment="1">
      <alignment horizontal="right" vertical="center"/>
    </xf>
    <xf numFmtId="166" fontId="81" fillId="0" borderId="11" xfId="1" applyNumberFormat="1" applyFont="1" applyBorder="1" applyAlignment="1">
      <alignment vertical="center"/>
    </xf>
    <xf numFmtId="165" fontId="95" fillId="0" borderId="12" xfId="0" applyNumberFormat="1" applyFont="1" applyBorder="1" applyAlignment="1">
      <alignment horizontal="right" vertical="center"/>
    </xf>
    <xf numFmtId="166" fontId="81" fillId="0" borderId="12" xfId="1" applyNumberFormat="1" applyFont="1" applyBorder="1" applyAlignment="1">
      <alignment vertical="center"/>
    </xf>
    <xf numFmtId="4" fontId="30" fillId="5" borderId="22" xfId="1" applyNumberFormat="1" applyFont="1" applyFill="1" applyBorder="1" applyAlignment="1">
      <alignment vertical="center"/>
    </xf>
    <xf numFmtId="43" fontId="30" fillId="5" borderId="22" xfId="2" applyFont="1" applyFill="1" applyBorder="1" applyAlignment="1">
      <alignment horizontal="left" vertical="center" indent="1"/>
    </xf>
    <xf numFmtId="166" fontId="30" fillId="5" borderId="22" xfId="1" applyNumberFormat="1" applyFont="1" applyFill="1" applyBorder="1" applyAlignment="1">
      <alignment vertical="center"/>
    </xf>
    <xf numFmtId="4" fontId="41" fillId="5" borderId="22" xfId="1" applyNumberFormat="1" applyFont="1" applyFill="1" applyBorder="1" applyAlignment="1">
      <alignment vertical="center"/>
    </xf>
    <xf numFmtId="0" fontId="42" fillId="5" borderId="12" xfId="0" applyFont="1" applyFill="1" applyBorder="1"/>
    <xf numFmtId="166" fontId="96" fillId="0" borderId="7" xfId="1" applyNumberFormat="1" applyFont="1" applyBorder="1" applyAlignment="1">
      <alignment vertical="center"/>
    </xf>
    <xf numFmtId="4" fontId="78" fillId="0" borderId="7" xfId="1" applyNumberFormat="1" applyFont="1" applyBorder="1" applyAlignment="1">
      <alignment vertical="center"/>
    </xf>
    <xf numFmtId="4" fontId="42" fillId="0" borderId="7" xfId="1" applyNumberFormat="1" applyFont="1" applyBorder="1" applyAlignment="1">
      <alignment vertical="center"/>
    </xf>
    <xf numFmtId="39" fontId="30" fillId="0" borderId="11" xfId="0" applyNumberFormat="1" applyFont="1" applyBorder="1" applyAlignment="1">
      <alignment vertical="top"/>
    </xf>
    <xf numFmtId="43" fontId="41" fillId="0" borderId="11" xfId="2" applyFont="1" applyBorder="1" applyAlignment="1">
      <alignment horizontal="left" vertical="center" indent="1"/>
    </xf>
    <xf numFmtId="43" fontId="41" fillId="0" borderId="12" xfId="2" applyFont="1" applyBorder="1" applyAlignment="1">
      <alignment horizontal="left" vertical="center" indent="1"/>
    </xf>
    <xf numFmtId="4" fontId="81" fillId="0" borderId="4" xfId="1" applyNumberFormat="1" applyFont="1" applyBorder="1" applyAlignment="1">
      <alignment vertical="center"/>
    </xf>
    <xf numFmtId="39" fontId="95" fillId="0" borderId="4" xfId="0" applyNumberFormat="1" applyFont="1" applyBorder="1" applyAlignment="1">
      <alignment horizontal="right" vertical="top"/>
    </xf>
    <xf numFmtId="39" fontId="81" fillId="0" borderId="4" xfId="0" applyNumberFormat="1" applyFont="1" applyBorder="1" applyAlignment="1">
      <alignment vertical="top"/>
    </xf>
    <xf numFmtId="43" fontId="41" fillId="0" borderId="8" xfId="2" applyFont="1" applyBorder="1" applyAlignment="1">
      <alignment horizontal="left" vertical="center" indent="1"/>
    </xf>
    <xf numFmtId="4" fontId="41" fillId="0" borderId="4" xfId="1" applyNumberFormat="1" applyFont="1" applyBorder="1" applyAlignment="1">
      <alignment vertical="center"/>
    </xf>
    <xf numFmtId="4" fontId="42" fillId="0" borderId="4" xfId="1" applyNumberFormat="1" applyFont="1" applyBorder="1" applyAlignment="1">
      <alignment vertical="center"/>
    </xf>
    <xf numFmtId="167" fontId="95" fillId="0" borderId="4" xfId="0" applyNumberFormat="1" applyFont="1" applyFill="1" applyBorder="1" applyAlignment="1">
      <alignment horizontal="right" vertical="center"/>
    </xf>
    <xf numFmtId="167" fontId="95" fillId="0" borderId="4" xfId="0" applyNumberFormat="1" applyFont="1" applyFill="1" applyBorder="1" applyAlignment="1">
      <alignment vertical="center"/>
    </xf>
    <xf numFmtId="39" fontId="81" fillId="0" borderId="4" xfId="0" applyNumberFormat="1" applyFont="1" applyBorder="1" applyAlignment="1">
      <alignment vertical="center"/>
    </xf>
    <xf numFmtId="166" fontId="41" fillId="0" borderId="4" xfId="1" applyNumberFormat="1" applyFont="1" applyBorder="1" applyAlignment="1">
      <alignment horizontal="right" vertical="center"/>
    </xf>
    <xf numFmtId="39" fontId="95" fillId="0" borderId="4" xfId="0" applyNumberFormat="1" applyFont="1" applyBorder="1" applyAlignment="1">
      <alignment horizontal="right"/>
    </xf>
    <xf numFmtId="166" fontId="81" fillId="0" borderId="4" xfId="1" applyNumberFormat="1" applyFont="1" applyBorder="1" applyAlignment="1">
      <alignment horizontal="right" vertical="center"/>
    </xf>
    <xf numFmtId="166" fontId="78" fillId="0" borderId="21" xfId="1" applyNumberFormat="1" applyFont="1" applyBorder="1" applyAlignment="1">
      <alignment vertical="center"/>
    </xf>
    <xf numFmtId="166" fontId="95" fillId="0" borderId="21" xfId="1" applyNumberFormat="1" applyFont="1" applyBorder="1" applyAlignment="1">
      <alignment vertical="center"/>
    </xf>
    <xf numFmtId="166" fontId="42" fillId="0" borderId="21" xfId="1" applyNumberFormat="1" applyFont="1" applyBorder="1" applyAlignment="1">
      <alignment vertical="center"/>
    </xf>
    <xf numFmtId="0" fontId="42" fillId="0" borderId="21" xfId="0" applyFont="1" applyBorder="1"/>
    <xf numFmtId="166" fontId="96" fillId="0" borderId="8" xfId="1" applyNumberFormat="1" applyFont="1" applyBorder="1" applyAlignment="1">
      <alignment vertical="center"/>
    </xf>
    <xf numFmtId="43" fontId="96" fillId="0" borderId="8" xfId="2" applyFont="1" applyBorder="1" applyAlignment="1">
      <alignment vertical="center"/>
    </xf>
    <xf numFmtId="4" fontId="30" fillId="6" borderId="11" xfId="0" applyNumberFormat="1" applyFont="1" applyFill="1" applyBorder="1" applyAlignment="1">
      <alignment vertical="center"/>
    </xf>
    <xf numFmtId="4" fontId="30" fillId="0" borderId="11" xfId="1" applyNumberFormat="1" applyFont="1" applyBorder="1" applyAlignment="1">
      <alignment vertical="center"/>
    </xf>
    <xf numFmtId="4" fontId="41" fillId="0" borderId="11" xfId="1" applyNumberFormat="1" applyFont="1" applyBorder="1" applyAlignment="1">
      <alignment vertical="center"/>
    </xf>
    <xf numFmtId="4" fontId="30" fillId="6" borderId="4" xfId="0" applyNumberFormat="1" applyFont="1" applyFill="1" applyBorder="1" applyAlignment="1">
      <alignment vertical="center"/>
    </xf>
    <xf numFmtId="166" fontId="95" fillId="0" borderId="4" xfId="0" applyNumberFormat="1" applyFont="1" applyBorder="1"/>
    <xf numFmtId="4" fontId="95" fillId="6" borderId="4" xfId="0" applyNumberFormat="1" applyFont="1" applyFill="1" applyBorder="1" applyAlignment="1">
      <alignment vertical="center"/>
    </xf>
    <xf numFmtId="166" fontId="95" fillId="4" borderId="4" xfId="0" applyNumberFormat="1" applyFont="1" applyFill="1" applyBorder="1"/>
    <xf numFmtId="43" fontId="78" fillId="0" borderId="4" xfId="2" applyFont="1" applyBorder="1" applyAlignment="1">
      <alignment vertical="center"/>
    </xf>
    <xf numFmtId="4" fontId="98" fillId="6" borderId="4" xfId="0" applyNumberFormat="1" applyFont="1" applyFill="1" applyBorder="1" applyAlignment="1">
      <alignment vertical="center"/>
    </xf>
    <xf numFmtId="4" fontId="99" fillId="6" borderId="4" xfId="0" applyNumberFormat="1" applyFont="1" applyFill="1" applyBorder="1" applyAlignment="1">
      <alignment vertical="center"/>
    </xf>
    <xf numFmtId="43" fontId="41" fillId="0" borderId="4" xfId="2" applyFont="1" applyBorder="1" applyAlignment="1">
      <alignment horizontal="left" vertical="center" indent="1"/>
    </xf>
    <xf numFmtId="166" fontId="95" fillId="4" borderId="4" xfId="0" applyNumberFormat="1" applyFont="1" applyFill="1" applyBorder="1" applyAlignment="1">
      <alignment horizontal="center"/>
    </xf>
    <xf numFmtId="166" fontId="95" fillId="0" borderId="4" xfId="0" applyNumberFormat="1" applyFont="1" applyBorder="1" applyAlignment="1">
      <alignment horizontal="center"/>
    </xf>
    <xf numFmtId="4" fontId="81" fillId="0" borderId="7" xfId="1" applyNumberFormat="1" applyFont="1" applyBorder="1" applyAlignment="1">
      <alignment vertical="center"/>
    </xf>
    <xf numFmtId="4" fontId="81" fillId="0" borderId="12" xfId="1" applyNumberFormat="1" applyFont="1" applyBorder="1" applyAlignment="1">
      <alignment vertical="center"/>
    </xf>
    <xf numFmtId="4" fontId="95" fillId="0" borderId="8" xfId="1" applyNumberFormat="1" applyFont="1" applyBorder="1" applyAlignment="1">
      <alignment vertical="center"/>
    </xf>
    <xf numFmtId="4" fontId="81" fillId="0" borderId="8" xfId="1" applyNumberFormat="1" applyFont="1" applyBorder="1" applyAlignment="1">
      <alignment vertical="center"/>
    </xf>
    <xf numFmtId="4" fontId="30" fillId="0" borderId="12" xfId="1" applyNumberFormat="1" applyFont="1" applyBorder="1" applyAlignment="1">
      <alignment vertical="center"/>
    </xf>
    <xf numFmtId="166" fontId="30" fillId="0" borderId="17" xfId="1" applyNumberFormat="1" applyFont="1" applyBorder="1"/>
    <xf numFmtId="4" fontId="30" fillId="6" borderId="17" xfId="0" applyNumberFormat="1" applyFont="1" applyFill="1" applyBorder="1" applyAlignment="1">
      <alignment horizontal="right" vertical="center"/>
    </xf>
    <xf numFmtId="4" fontId="41" fillId="0" borderId="12" xfId="1" applyNumberFormat="1" applyFont="1" applyBorder="1" applyAlignment="1">
      <alignment vertical="center"/>
    </xf>
    <xf numFmtId="4" fontId="95" fillId="0" borderId="11" xfId="0" applyNumberFormat="1" applyFont="1" applyBorder="1" applyAlignment="1">
      <alignment vertical="center"/>
    </xf>
    <xf numFmtId="4" fontId="95" fillId="0" borderId="7" xfId="0" applyNumberFormat="1" applyFont="1" applyBorder="1" applyAlignment="1">
      <alignment vertical="center"/>
    </xf>
    <xf numFmtId="43" fontId="98" fillId="5" borderId="11" xfId="0" applyNumberFormat="1" applyFont="1" applyFill="1" applyBorder="1" applyAlignment="1">
      <alignment horizontal="left" vertical="center" indent="1"/>
    </xf>
    <xf numFmtId="43" fontId="30" fillId="0" borderId="8" xfId="0" applyNumberFormat="1" applyFont="1" applyBorder="1" applyAlignment="1">
      <alignment horizontal="left" vertical="center" indent="1"/>
    </xf>
    <xf numFmtId="166" fontId="41" fillId="0" borderId="12" xfId="1" applyNumberFormat="1" applyFont="1" applyBorder="1" applyAlignment="1">
      <alignment vertical="center"/>
    </xf>
    <xf numFmtId="165" fontId="95" fillId="0" borderId="4" xfId="22" applyFont="1" applyBorder="1" applyAlignment="1">
      <alignment vertical="center"/>
    </xf>
    <xf numFmtId="165" fontId="95" fillId="0" borderId="4" xfId="22" applyFont="1" applyBorder="1" applyAlignment="1">
      <alignment horizontal="right" vertical="center"/>
    </xf>
    <xf numFmtId="43" fontId="95" fillId="0" borderId="12" xfId="0" applyNumberFormat="1" applyFont="1" applyBorder="1" applyAlignment="1">
      <alignment horizontal="left" vertical="center" indent="1"/>
    </xf>
    <xf numFmtId="43" fontId="30" fillId="0" borderId="7" xfId="0" applyNumberFormat="1" applyFont="1" applyBorder="1" applyAlignment="1">
      <alignment horizontal="left" vertical="center" indent="1"/>
    </xf>
    <xf numFmtId="166" fontId="41" fillId="0" borderId="4" xfId="1" applyNumberFormat="1" applyFont="1" applyBorder="1" applyAlignment="1">
      <alignment vertical="center"/>
    </xf>
    <xf numFmtId="165" fontId="95" fillId="0" borderId="4" xfId="23" applyFont="1" applyBorder="1" applyAlignment="1">
      <alignment vertical="center"/>
    </xf>
    <xf numFmtId="165" fontId="95" fillId="0" borderId="4" xfId="23" applyFont="1" applyBorder="1" applyAlignment="1">
      <alignment horizontal="right" vertical="center"/>
    </xf>
    <xf numFmtId="43" fontId="30" fillId="0" borderId="12" xfId="0" applyNumberFormat="1" applyFont="1" applyBorder="1" applyAlignment="1">
      <alignment horizontal="left" vertical="center" indent="1"/>
    </xf>
    <xf numFmtId="49" fontId="81" fillId="0" borderId="8" xfId="0" applyNumberFormat="1" applyFont="1" applyBorder="1" applyAlignment="1">
      <alignment horizontal="center" vertical="center"/>
    </xf>
    <xf numFmtId="165" fontId="95" fillId="0" borderId="4" xfId="24" applyFont="1" applyBorder="1" applyAlignment="1">
      <alignment vertical="center"/>
    </xf>
    <xf numFmtId="165" fontId="95" fillId="0" borderId="4" xfId="24" applyFont="1" applyBorder="1" applyAlignment="1">
      <alignment horizontal="right" vertical="center"/>
    </xf>
    <xf numFmtId="165" fontId="95" fillId="0" borderId="4" xfId="25" applyFont="1" applyBorder="1" applyAlignment="1">
      <alignment vertical="center"/>
    </xf>
    <xf numFmtId="165" fontId="95" fillId="0" borderId="4" xfId="25" applyFont="1" applyBorder="1" applyAlignment="1">
      <alignment horizontal="right" vertical="center"/>
    </xf>
    <xf numFmtId="165" fontId="95" fillId="0" borderId="4" xfId="26" applyFont="1" applyBorder="1" applyAlignment="1">
      <alignment vertical="center"/>
    </xf>
    <xf numFmtId="165" fontId="95" fillId="0" borderId="4" xfId="26" applyFont="1" applyBorder="1" applyAlignment="1">
      <alignment horizontal="right" vertical="center"/>
    </xf>
    <xf numFmtId="4" fontId="30" fillId="0" borderId="4" xfId="1" applyNumberFormat="1" applyFont="1" applyBorder="1" applyAlignment="1">
      <alignment vertical="center"/>
    </xf>
    <xf numFmtId="165" fontId="95" fillId="0" borderId="4" xfId="27" applyFont="1" applyBorder="1" applyAlignment="1">
      <alignment vertical="center"/>
    </xf>
    <xf numFmtId="165" fontId="95" fillId="0" borderId="4" xfId="27" applyFont="1" applyBorder="1" applyAlignment="1">
      <alignment horizontal="right" vertical="center"/>
    </xf>
    <xf numFmtId="166" fontId="95" fillId="6" borderId="8" xfId="1" applyNumberFormat="1" applyFont="1" applyFill="1" applyBorder="1" applyAlignment="1">
      <alignment horizontal="right" vertical="center"/>
    </xf>
    <xf numFmtId="166" fontId="30" fillId="0" borderId="4" xfId="7" applyNumberFormat="1" applyFont="1" applyBorder="1" applyAlignment="1">
      <alignment vertical="center"/>
    </xf>
    <xf numFmtId="39" fontId="81" fillId="0" borderId="4" xfId="0" applyNumberFormat="1" applyFont="1" applyFill="1" applyBorder="1" applyAlignment="1">
      <alignment horizontal="right" vertical="center"/>
    </xf>
    <xf numFmtId="166" fontId="95" fillId="6" borderId="4" xfId="1" applyNumberFormat="1" applyFont="1" applyFill="1" applyBorder="1" applyAlignment="1">
      <alignment horizontal="right" vertical="center"/>
    </xf>
    <xf numFmtId="166" fontId="95" fillId="0" borderId="4" xfId="1" applyNumberFormat="1" applyFont="1" applyFill="1" applyBorder="1" applyAlignment="1" applyProtection="1">
      <alignment horizontal="left" vertical="center" indent="1"/>
    </xf>
    <xf numFmtId="166" fontId="95" fillId="0" borderId="4" xfId="1" applyNumberFormat="1" applyFont="1" applyBorder="1" applyAlignment="1" applyProtection="1">
      <alignment vertical="center"/>
    </xf>
    <xf numFmtId="166" fontId="106" fillId="0" borderId="4" xfId="1" applyNumberFormat="1" applyFont="1" applyBorder="1" applyAlignment="1">
      <alignment vertical="center"/>
    </xf>
    <xf numFmtId="4" fontId="96" fillId="0" borderId="4" xfId="0" applyNumberFormat="1" applyFont="1" applyFill="1" applyBorder="1" applyAlignment="1">
      <alignment horizontal="right" vertical="center"/>
    </xf>
    <xf numFmtId="4" fontId="106" fillId="0" borderId="4" xfId="0" applyNumberFormat="1" applyFont="1" applyFill="1" applyBorder="1" applyAlignment="1">
      <alignment horizontal="right" vertical="center"/>
    </xf>
    <xf numFmtId="166" fontId="95" fillId="0" borderId="11" xfId="1" applyNumberFormat="1" applyFont="1" applyFill="1" applyBorder="1" applyAlignment="1">
      <alignment horizontal="right" vertical="center"/>
    </xf>
    <xf numFmtId="0" fontId="41" fillId="0" borderId="11" xfId="0" applyFont="1" applyBorder="1"/>
    <xf numFmtId="0" fontId="41" fillId="0" borderId="12" xfId="0" applyFont="1" applyBorder="1"/>
    <xf numFmtId="49" fontId="96" fillId="0" borderId="8" xfId="0" applyNumberFormat="1" applyFont="1" applyBorder="1" applyAlignment="1">
      <alignment horizontal="center" vertical="center"/>
    </xf>
    <xf numFmtId="0" fontId="81" fillId="0" borderId="7" xfId="0" applyFont="1" applyBorder="1"/>
    <xf numFmtId="166" fontId="96" fillId="0" borderId="11" xfId="1" applyNumberFormat="1" applyFont="1" applyFill="1" applyBorder="1" applyAlignment="1">
      <alignment horizontal="right" vertical="center"/>
    </xf>
    <xf numFmtId="166" fontId="96" fillId="0" borderId="11" xfId="1" applyNumberFormat="1" applyFont="1" applyBorder="1" applyAlignment="1">
      <alignment vertical="center"/>
    </xf>
    <xf numFmtId="166" fontId="96" fillId="0" borderId="12" xfId="1" applyNumberFormat="1" applyFont="1" applyFill="1" applyBorder="1" applyAlignment="1">
      <alignment horizontal="right" vertical="center"/>
    </xf>
    <xf numFmtId="166" fontId="96" fillId="0" borderId="12" xfId="1" applyNumberFormat="1" applyFont="1" applyBorder="1" applyAlignment="1">
      <alignment vertical="center"/>
    </xf>
    <xf numFmtId="0" fontId="81" fillId="0" borderId="12" xfId="0" applyFont="1" applyBorder="1"/>
    <xf numFmtId="166" fontId="96" fillId="0" borderId="8" xfId="1" applyNumberFormat="1" applyFont="1" applyFill="1" applyBorder="1" applyAlignment="1">
      <alignment horizontal="right" vertical="center"/>
    </xf>
    <xf numFmtId="166" fontId="30" fillId="0" borderId="11" xfId="7" applyNumberFormat="1" applyFont="1" applyBorder="1" applyAlignment="1">
      <alignment vertical="center"/>
    </xf>
    <xf numFmtId="49" fontId="30" fillId="0" borderId="17" xfId="0" applyNumberFormat="1" applyFont="1" applyBorder="1" applyAlignment="1">
      <alignment horizontal="center" vertical="center"/>
    </xf>
    <xf numFmtId="166" fontId="30" fillId="0" borderId="12" xfId="7" applyNumberFormat="1" applyFont="1" applyBorder="1" applyAlignment="1">
      <alignment vertical="center"/>
    </xf>
    <xf numFmtId="49" fontId="78" fillId="0" borderId="7" xfId="0" applyNumberFormat="1" applyFont="1" applyBorder="1" applyAlignment="1">
      <alignment horizontal="center" vertical="center"/>
    </xf>
    <xf numFmtId="4" fontId="78" fillId="0" borderId="7" xfId="1" applyNumberFormat="1" applyFont="1" applyFill="1" applyBorder="1" applyAlignment="1">
      <alignment vertical="center"/>
    </xf>
    <xf numFmtId="0" fontId="30" fillId="0" borderId="7" xfId="0" applyFont="1" applyBorder="1" applyAlignment="1">
      <alignment vertical="center"/>
    </xf>
    <xf numFmtId="0" fontId="30" fillId="0" borderId="7" xfId="0" applyFont="1" applyBorder="1"/>
    <xf numFmtId="166" fontId="96" fillId="0" borderId="7" xfId="1" applyNumberFormat="1" applyFont="1" applyFill="1" applyBorder="1" applyAlignment="1">
      <alignment horizontal="right" vertical="center"/>
    </xf>
    <xf numFmtId="0" fontId="42" fillId="0" borderId="7" xfId="0" applyFont="1" applyBorder="1" applyAlignment="1"/>
    <xf numFmtId="0" fontId="78" fillId="0" borderId="45" xfId="0" applyNumberFormat="1" applyFont="1" applyBorder="1" applyAlignment="1">
      <alignment horizontal="center" vertical="center"/>
    </xf>
    <xf numFmtId="4" fontId="41" fillId="0" borderId="45" xfId="1" applyNumberFormat="1" applyFont="1" applyBorder="1"/>
    <xf numFmtId="0" fontId="42" fillId="0" borderId="45" xfId="0" applyFont="1" applyBorder="1"/>
    <xf numFmtId="49" fontId="78" fillId="0" borderId="0" xfId="0" applyNumberFormat="1" applyFont="1" applyBorder="1" applyAlignment="1">
      <alignment horizontal="center" vertical="center"/>
    </xf>
    <xf numFmtId="4" fontId="78" fillId="0" borderId="0" xfId="1" applyNumberFormat="1" applyFont="1" applyFill="1" applyBorder="1" applyAlignment="1">
      <alignment vertical="top"/>
    </xf>
    <xf numFmtId="166" fontId="78" fillId="0" borderId="0" xfId="1" applyNumberFormat="1" applyFont="1" applyBorder="1" applyAlignment="1">
      <alignment vertical="top"/>
    </xf>
    <xf numFmtId="4" fontId="96" fillId="0" borderId="0" xfId="0" applyNumberFormat="1" applyFont="1" applyBorder="1" applyAlignment="1">
      <alignment horizontal="center" vertical="center"/>
    </xf>
    <xf numFmtId="166" fontId="78" fillId="0" borderId="0" xfId="1" applyNumberFormat="1" applyFont="1" applyBorder="1"/>
    <xf numFmtId="166" fontId="42" fillId="0" borderId="0" xfId="1" applyNumberFormat="1" applyFont="1" applyBorder="1"/>
    <xf numFmtId="0" fontId="78" fillId="0" borderId="0" xfId="0" applyFont="1" applyBorder="1"/>
    <xf numFmtId="0" fontId="41" fillId="0" borderId="0" xfId="0" applyNumberFormat="1" applyFont="1" applyBorder="1" applyAlignment="1">
      <alignment horizontal="left" vertical="center"/>
    </xf>
    <xf numFmtId="4" fontId="95" fillId="0" borderId="0" xfId="1" applyNumberFormat="1" applyFont="1" applyBorder="1"/>
    <xf numFmtId="166" fontId="41" fillId="0" borderId="0" xfId="1" applyNumberFormat="1" applyFont="1" applyAlignment="1">
      <alignment horizontal="center"/>
    </xf>
    <xf numFmtId="166" fontId="30" fillId="0" borderId="0" xfId="7" applyNumberFormat="1" applyFont="1" applyBorder="1" applyAlignment="1">
      <alignment horizontal="center"/>
    </xf>
    <xf numFmtId="0" fontId="78" fillId="0" borderId="0" xfId="0" applyFont="1" applyBorder="1" applyAlignment="1">
      <alignment vertical="top"/>
    </xf>
    <xf numFmtId="0" fontId="41" fillId="0" borderId="0" xfId="0" applyFont="1" applyAlignment="1">
      <alignment vertical="center"/>
    </xf>
    <xf numFmtId="39" fontId="30" fillId="0" borderId="4" xfId="0" applyNumberFormat="1" applyFont="1" applyBorder="1" applyAlignment="1">
      <alignment horizontal="right" vertical="top"/>
    </xf>
    <xf numFmtId="39" fontId="96" fillId="0" borderId="4" xfId="0" applyNumberFormat="1" applyFont="1" applyBorder="1" applyAlignment="1">
      <alignment horizontal="right" vertical="top"/>
    </xf>
    <xf numFmtId="167" fontId="30" fillId="0" borderId="12" xfId="1" applyNumberFormat="1" applyFont="1" applyBorder="1" applyAlignment="1">
      <alignment vertical="center"/>
    </xf>
    <xf numFmtId="167" fontId="30" fillId="0" borderId="8" xfId="1" applyNumberFormat="1" applyFont="1" applyBorder="1" applyAlignment="1">
      <alignment vertical="center"/>
    </xf>
    <xf numFmtId="39" fontId="95" fillId="0" borderId="12" xfId="0" applyNumberFormat="1" applyFont="1" applyBorder="1" applyAlignment="1">
      <alignment vertical="top"/>
    </xf>
    <xf numFmtId="39" fontId="95" fillId="0" borderId="8" xfId="0" applyNumberFormat="1" applyFont="1" applyBorder="1" applyAlignment="1">
      <alignment horizontal="right" vertical="top"/>
    </xf>
    <xf numFmtId="2" fontId="30" fillId="6" borderId="11" xfId="0" applyNumberFormat="1" applyFont="1" applyFill="1" applyBorder="1" applyAlignment="1">
      <alignment vertical="center"/>
    </xf>
    <xf numFmtId="0" fontId="30" fillId="6" borderId="11" xfId="0" applyFont="1" applyFill="1" applyBorder="1" applyAlignment="1">
      <alignment vertical="center"/>
    </xf>
    <xf numFmtId="39" fontId="30" fillId="0" borderId="17" xfId="0" applyNumberFormat="1" applyFont="1" applyBorder="1" applyAlignment="1">
      <alignment vertical="top"/>
    </xf>
    <xf numFmtId="167" fontId="78" fillId="0" borderId="8" xfId="1" applyNumberFormat="1" applyFont="1" applyBorder="1" applyAlignment="1">
      <alignment vertical="center"/>
    </xf>
    <xf numFmtId="167" fontId="78" fillId="0" borderId="12" xfId="1" applyNumberFormat="1" applyFont="1" applyBorder="1" applyAlignment="1">
      <alignment vertical="center"/>
    </xf>
    <xf numFmtId="4" fontId="95" fillId="0" borderId="12" xfId="0" applyNumberFormat="1" applyFont="1" applyFill="1" applyBorder="1" applyAlignment="1">
      <alignment vertical="center"/>
    </xf>
    <xf numFmtId="167" fontId="95" fillId="0" borderId="8" xfId="1" applyNumberFormat="1" applyFont="1" applyBorder="1" applyAlignment="1">
      <alignment vertical="center"/>
    </xf>
    <xf numFmtId="167" fontId="95" fillId="0" borderId="7" xfId="1" applyNumberFormat="1" applyFont="1" applyBorder="1" applyAlignment="1">
      <alignment vertical="center"/>
    </xf>
    <xf numFmtId="166" fontId="30" fillId="0" borderId="12" xfId="1" applyNumberFormat="1" applyFont="1" applyBorder="1" applyAlignment="1">
      <alignment horizontal="right" vertical="center" indent="1"/>
    </xf>
    <xf numFmtId="4" fontId="78" fillId="0" borderId="4" xfId="0" applyNumberFormat="1" applyFont="1" applyFill="1" applyBorder="1" applyAlignment="1">
      <alignment horizontal="right" vertical="center"/>
    </xf>
    <xf numFmtId="4" fontId="78" fillId="0" borderId="4" xfId="0" applyNumberFormat="1" applyFont="1" applyFill="1" applyBorder="1" applyAlignment="1">
      <alignment vertical="center"/>
    </xf>
    <xf numFmtId="4" fontId="96" fillId="0" borderId="4" xfId="0" applyNumberFormat="1" applyFont="1" applyFill="1" applyBorder="1" applyAlignment="1">
      <alignment vertical="center"/>
    </xf>
    <xf numFmtId="164" fontId="22" fillId="0" borderId="4" xfId="0" applyNumberFormat="1" applyFont="1" applyBorder="1" applyAlignment="1">
      <alignment vertical="center"/>
    </xf>
    <xf numFmtId="164" fontId="39" fillId="0" borderId="4" xfId="0" applyNumberFormat="1" applyFont="1" applyBorder="1" applyAlignment="1">
      <alignment vertical="center"/>
    </xf>
    <xf numFmtId="0" fontId="22" fillId="0" borderId="0" xfId="0" applyFont="1" applyAlignment="1">
      <alignment horizontal="center" wrapText="1"/>
    </xf>
    <xf numFmtId="4" fontId="22" fillId="0" borderId="0" xfId="0" applyNumberFormat="1" applyFont="1" applyAlignment="1">
      <alignment horizontal="right"/>
    </xf>
    <xf numFmtId="0" fontId="22" fillId="0" borderId="0" xfId="0" applyFont="1" applyFill="1" applyAlignment="1">
      <alignment horizontal="right"/>
    </xf>
    <xf numFmtId="4" fontId="22" fillId="0" borderId="0" xfId="0" applyNumberFormat="1" applyFont="1" applyFill="1" applyAlignment="1">
      <alignment horizontal="right"/>
    </xf>
    <xf numFmtId="4" fontId="22" fillId="0" borderId="0" xfId="1" applyNumberFormat="1" applyFont="1" applyAlignment="1">
      <alignment horizontal="right"/>
    </xf>
    <xf numFmtId="166" fontId="22" fillId="0" borderId="0" xfId="1" applyNumberFormat="1" applyFont="1" applyFill="1" applyAlignment="1">
      <alignment horizontal="right"/>
    </xf>
    <xf numFmtId="4" fontId="22" fillId="0" borderId="0" xfId="1" applyNumberFormat="1" applyFont="1" applyFill="1" applyAlignment="1">
      <alignment horizontal="right"/>
    </xf>
    <xf numFmtId="166" fontId="22" fillId="0" borderId="0" xfId="1" applyNumberFormat="1" applyFont="1" applyAlignment="1">
      <alignment horizontal="right"/>
    </xf>
    <xf numFmtId="166" fontId="39" fillId="0" borderId="45" xfId="1" applyNumberFormat="1" applyFont="1" applyBorder="1" applyAlignment="1">
      <alignment horizontal="center" vertical="center" wrapText="1"/>
    </xf>
    <xf numFmtId="4" fontId="39" fillId="0" borderId="45" xfId="1" applyNumberFormat="1" applyFont="1" applyBorder="1" applyAlignment="1">
      <alignment horizontal="center" vertical="center" wrapText="1"/>
    </xf>
    <xf numFmtId="166" fontId="39" fillId="0" borderId="45" xfId="1" applyNumberFormat="1" applyFont="1" applyFill="1" applyBorder="1" applyAlignment="1">
      <alignment horizontal="center" vertical="center" wrapText="1"/>
    </xf>
    <xf numFmtId="4" fontId="22" fillId="0" borderId="10" xfId="1" quotePrefix="1" applyNumberFormat="1" applyFont="1" applyBorder="1" applyAlignment="1">
      <alignment horizontal="center" vertical="center"/>
    </xf>
    <xf numFmtId="49" fontId="22" fillId="0" borderId="10" xfId="1" quotePrefix="1" applyNumberFormat="1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left" vertical="center" wrapText="1"/>
    </xf>
    <xf numFmtId="166" fontId="39" fillId="2" borderId="8" xfId="1" applyNumberFormat="1" applyFont="1" applyFill="1" applyBorder="1" applyAlignment="1">
      <alignment vertical="center"/>
    </xf>
    <xf numFmtId="166" fontId="39" fillId="2" borderId="7" xfId="1" applyNumberFormat="1" applyFont="1" applyFill="1" applyBorder="1" applyAlignment="1">
      <alignment horizontal="right" vertical="center"/>
    </xf>
    <xf numFmtId="166" fontId="39" fillId="3" borderId="7" xfId="1" applyNumberFormat="1" applyFont="1" applyFill="1" applyBorder="1" applyAlignment="1">
      <alignment vertical="center"/>
    </xf>
    <xf numFmtId="166" fontId="39" fillId="3" borderId="7" xfId="1" applyNumberFormat="1" applyFont="1" applyFill="1" applyBorder="1" applyAlignment="1">
      <alignment horizontal="right" vertical="center"/>
    </xf>
    <xf numFmtId="0" fontId="39" fillId="0" borderId="4" xfId="0" applyFont="1" applyBorder="1"/>
    <xf numFmtId="49" fontId="39" fillId="0" borderId="4" xfId="0" applyNumberFormat="1" applyFont="1" applyBorder="1" applyAlignment="1">
      <alignment horizontal="center" vertical="center"/>
    </xf>
    <xf numFmtId="4" fontId="39" fillId="0" borderId="11" xfId="1" applyNumberFormat="1" applyFont="1" applyFill="1" applyBorder="1" applyAlignment="1">
      <alignment horizontal="right" vertical="center" indent="1"/>
    </xf>
    <xf numFmtId="4" fontId="39" fillId="0" borderId="17" xfId="1" applyNumberFormat="1" applyFont="1" applyBorder="1" applyAlignment="1">
      <alignment horizontal="right" vertical="center"/>
    </xf>
    <xf numFmtId="0" fontId="52" fillId="0" borderId="12" xfId="0" applyFont="1" applyBorder="1"/>
    <xf numFmtId="4" fontId="43" fillId="0" borderId="8" xfId="0" applyNumberFormat="1" applyFont="1" applyBorder="1" applyAlignment="1">
      <alignment horizontal="right" vertical="center" wrapText="1"/>
    </xf>
    <xf numFmtId="4" fontId="43" fillId="0" borderId="7" xfId="1" applyNumberFormat="1" applyFont="1" applyBorder="1" applyAlignment="1">
      <alignment horizontal="right" vertical="center"/>
    </xf>
    <xf numFmtId="4" fontId="43" fillId="0" borderId="4" xfId="0" applyNumberFormat="1" applyFont="1" applyBorder="1" applyAlignment="1">
      <alignment vertical="center" wrapText="1"/>
    </xf>
    <xf numFmtId="0" fontId="53" fillId="0" borderId="4" xfId="0" applyFont="1" applyBorder="1"/>
    <xf numFmtId="4" fontId="43" fillId="0" borderId="4" xfId="0" applyNumberFormat="1" applyFont="1" applyBorder="1" applyAlignment="1"/>
    <xf numFmtId="4" fontId="39" fillId="0" borderId="7" xfId="1" applyNumberFormat="1" applyFont="1" applyBorder="1" applyAlignment="1">
      <alignment horizontal="right" vertical="center"/>
    </xf>
    <xf numFmtId="49" fontId="22" fillId="0" borderId="8" xfId="0" applyNumberFormat="1" applyFont="1" applyBorder="1" applyAlignment="1">
      <alignment horizontal="center" vertical="center"/>
    </xf>
    <xf numFmtId="166" fontId="44" fillId="0" borderId="4" xfId="1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right"/>
    </xf>
    <xf numFmtId="4" fontId="43" fillId="0" borderId="25" xfId="0" applyNumberFormat="1" applyFont="1" applyBorder="1" applyAlignment="1">
      <alignment horizontal="right" vertical="center"/>
    </xf>
    <xf numFmtId="43" fontId="43" fillId="0" borderId="25" xfId="0" applyNumberFormat="1" applyFont="1" applyFill="1" applyBorder="1" applyAlignment="1">
      <alignment horizontal="left" vertical="center" indent="1"/>
    </xf>
    <xf numFmtId="4" fontId="43" fillId="4" borderId="25" xfId="0" applyNumberFormat="1" applyFont="1" applyFill="1" applyBorder="1" applyAlignment="1">
      <alignment vertical="center"/>
    </xf>
    <xf numFmtId="166" fontId="43" fillId="0" borderId="25" xfId="1" applyNumberFormat="1" applyFont="1" applyBorder="1" applyAlignment="1">
      <alignment horizontal="right" vertical="center"/>
    </xf>
    <xf numFmtId="43" fontId="39" fillId="0" borderId="11" xfId="0" applyNumberFormat="1" applyFont="1" applyFill="1" applyBorder="1" applyAlignment="1">
      <alignment horizontal="right" vertical="center"/>
    </xf>
    <xf numFmtId="0" fontId="39" fillId="0" borderId="12" xfId="0" applyFont="1" applyBorder="1" applyAlignment="1">
      <alignment horizontal="left" vertical="top" wrapText="1"/>
    </xf>
    <xf numFmtId="4" fontId="39" fillId="0" borderId="4" xfId="0" applyNumberFormat="1" applyFont="1" applyBorder="1" applyAlignment="1">
      <alignment horizontal="right" vertical="center" wrapText="1"/>
    </xf>
    <xf numFmtId="4" fontId="39" fillId="0" borderId="8" xfId="1" applyNumberFormat="1" applyFont="1" applyBorder="1" applyAlignment="1">
      <alignment horizontal="right" vertical="center"/>
    </xf>
    <xf numFmtId="4" fontId="43" fillId="0" borderId="4" xfId="0" applyNumberFormat="1" applyFont="1" applyBorder="1" applyAlignment="1">
      <alignment horizontal="right" vertical="center" wrapText="1"/>
    </xf>
    <xf numFmtId="4" fontId="43" fillId="0" borderId="8" xfId="1" applyNumberFormat="1" applyFont="1" applyBorder="1" applyAlignment="1">
      <alignment horizontal="right" vertical="center"/>
    </xf>
    <xf numFmtId="43" fontId="43" fillId="0" borderId="12" xfId="0" applyNumberFormat="1" applyFont="1" applyFill="1" applyBorder="1" applyAlignment="1">
      <alignment horizontal="left" vertical="center" indent="1"/>
    </xf>
    <xf numFmtId="43" fontId="43" fillId="0" borderId="12" xfId="0" applyNumberFormat="1" applyFont="1" applyFill="1" applyBorder="1" applyAlignment="1">
      <alignment horizontal="right" vertical="center"/>
    </xf>
    <xf numFmtId="166" fontId="22" fillId="0" borderId="12" xfId="1" applyNumberFormat="1" applyFont="1" applyBorder="1" applyAlignment="1">
      <alignment horizontal="right" vertical="center"/>
    </xf>
    <xf numFmtId="0" fontId="39" fillId="0" borderId="4" xfId="0" applyFont="1" applyBorder="1" applyAlignment="1">
      <alignment horizontal="left" vertical="top" wrapText="1"/>
    </xf>
    <xf numFmtId="43" fontId="39" fillId="0" borderId="4" xfId="0" applyNumberFormat="1" applyFont="1" applyFill="1" applyBorder="1" applyAlignment="1">
      <alignment horizontal="right" vertical="center"/>
    </xf>
    <xf numFmtId="4" fontId="22" fillId="0" borderId="4" xfId="1" applyNumberFormat="1" applyFont="1" applyBorder="1" applyAlignment="1">
      <alignment horizontal="right" vertical="center"/>
    </xf>
    <xf numFmtId="43" fontId="39" fillId="2" borderId="4" xfId="0" applyNumberFormat="1" applyFont="1" applyFill="1" applyBorder="1" applyAlignment="1">
      <alignment horizontal="right" vertical="center"/>
    </xf>
    <xf numFmtId="0" fontId="39" fillId="0" borderId="4" xfId="0" applyFont="1" applyFill="1" applyBorder="1"/>
    <xf numFmtId="166" fontId="22" fillId="0" borderId="7" xfId="1" applyNumberFormat="1" applyFont="1" applyBorder="1" applyAlignment="1">
      <alignment horizontal="right" vertical="center"/>
    </xf>
    <xf numFmtId="49" fontId="39" fillId="8" borderId="11" xfId="0" applyNumberFormat="1" applyFont="1" applyFill="1" applyBorder="1" applyAlignment="1">
      <alignment horizontal="center" vertical="center"/>
    </xf>
    <xf numFmtId="0" fontId="39" fillId="8" borderId="11" xfId="0" applyFont="1" applyFill="1" applyBorder="1" applyAlignment="1">
      <alignment horizontal="left" vertical="center" wrapText="1"/>
    </xf>
    <xf numFmtId="43" fontId="39" fillId="8" borderId="11" xfId="0" applyNumberFormat="1" applyFont="1" applyFill="1" applyBorder="1" applyAlignment="1">
      <alignment horizontal="left" vertical="center" indent="1"/>
    </xf>
    <xf numFmtId="166" fontId="39" fillId="8" borderId="11" xfId="1" applyNumberFormat="1" applyFont="1" applyFill="1" applyBorder="1" applyAlignment="1">
      <alignment vertical="center"/>
    </xf>
    <xf numFmtId="43" fontId="39" fillId="8" borderId="11" xfId="0" applyNumberFormat="1" applyFont="1" applyFill="1" applyBorder="1" applyAlignment="1">
      <alignment horizontal="right" vertical="center"/>
    </xf>
    <xf numFmtId="0" fontId="39" fillId="0" borderId="11" xfId="3" applyFont="1" applyBorder="1" applyAlignment="1">
      <alignment vertical="center" wrapText="1"/>
    </xf>
    <xf numFmtId="166" fontId="43" fillId="0" borderId="4" xfId="64" applyNumberFormat="1" applyFont="1" applyBorder="1" applyAlignment="1">
      <alignment horizontal="left" vertical="center"/>
    </xf>
    <xf numFmtId="0" fontId="43" fillId="0" borderId="4" xfId="65" applyFont="1" applyBorder="1" applyAlignment="1">
      <alignment vertical="center" wrapText="1"/>
    </xf>
    <xf numFmtId="43" fontId="44" fillId="0" borderId="8" xfId="0" applyNumberFormat="1" applyFont="1" applyFill="1" applyBorder="1" applyAlignment="1">
      <alignment horizontal="left" vertical="center" indent="1"/>
    </xf>
    <xf numFmtId="3" fontId="44" fillId="0" borderId="7" xfId="0" applyNumberFormat="1" applyFont="1" applyFill="1" applyBorder="1" applyAlignment="1">
      <alignment horizontal="right" vertical="center"/>
    </xf>
    <xf numFmtId="166" fontId="44" fillId="0" borderId="7" xfId="1" applyNumberFormat="1" applyFont="1" applyBorder="1" applyAlignment="1">
      <alignment horizontal="right" vertical="center"/>
    </xf>
    <xf numFmtId="166" fontId="44" fillId="0" borderId="4" xfId="1" applyNumberFormat="1" applyFont="1" applyFill="1" applyBorder="1" applyAlignment="1">
      <alignment vertical="center"/>
    </xf>
    <xf numFmtId="4" fontId="44" fillId="0" borderId="4" xfId="0" applyNumberFormat="1" applyFont="1" applyFill="1" applyBorder="1" applyAlignment="1">
      <alignment vertical="center"/>
    </xf>
    <xf numFmtId="165" fontId="44" fillId="0" borderId="4" xfId="0" applyNumberFormat="1" applyFont="1" applyFill="1" applyBorder="1" applyAlignment="1">
      <alignment vertical="center"/>
    </xf>
    <xf numFmtId="0" fontId="94" fillId="0" borderId="4" xfId="0" applyFont="1" applyBorder="1"/>
    <xf numFmtId="3" fontId="39" fillId="0" borderId="4" xfId="0" applyNumberFormat="1" applyFont="1" applyFill="1" applyBorder="1" applyAlignment="1">
      <alignment horizontal="right" vertical="center"/>
    </xf>
    <xf numFmtId="165" fontId="39" fillId="0" borderId="8" xfId="0" applyNumberFormat="1" applyFont="1" applyFill="1" applyBorder="1" applyAlignment="1">
      <alignment vertical="center"/>
    </xf>
    <xf numFmtId="3" fontId="39" fillId="0" borderId="8" xfId="0" applyNumberFormat="1" applyFont="1" applyFill="1" applyBorder="1" applyAlignment="1">
      <alignment horizontal="right" vertical="center"/>
    </xf>
    <xf numFmtId="166" fontId="43" fillId="0" borderId="7" xfId="64" applyNumberFormat="1" applyFont="1" applyBorder="1" applyAlignment="1">
      <alignment horizontal="left" vertical="center"/>
    </xf>
    <xf numFmtId="166" fontId="22" fillId="0" borderId="8" xfId="1" applyNumberFormat="1" applyFont="1" applyFill="1" applyBorder="1" applyAlignment="1">
      <alignment horizontal="right" vertical="center"/>
    </xf>
    <xf numFmtId="166" fontId="22" fillId="0" borderId="8" xfId="1" applyNumberFormat="1" applyFont="1" applyBorder="1" applyAlignment="1">
      <alignment horizontal="right" vertical="center"/>
    </xf>
    <xf numFmtId="0" fontId="39" fillId="0" borderId="4" xfId="4" applyFont="1" applyBorder="1" applyAlignment="1">
      <alignment horizontal="left" vertical="center" wrapText="1"/>
    </xf>
    <xf numFmtId="166" fontId="39" fillId="0" borderId="21" xfId="65" applyNumberFormat="1" applyFont="1" applyBorder="1" applyAlignment="1">
      <alignment horizontal="right" vertical="center" wrapText="1"/>
    </xf>
    <xf numFmtId="0" fontId="43" fillId="0" borderId="8" xfId="65" applyFont="1" applyBorder="1" applyAlignment="1">
      <alignment vertical="center" wrapText="1"/>
    </xf>
    <xf numFmtId="166" fontId="43" fillId="0" borderId="8" xfId="64" applyNumberFormat="1" applyFont="1" applyBorder="1" applyAlignment="1">
      <alignment horizontal="left" vertical="center"/>
    </xf>
    <xf numFmtId="166" fontId="43" fillId="0" borderId="8" xfId="64" applyNumberFormat="1" applyFont="1" applyBorder="1" applyAlignment="1">
      <alignment vertical="center"/>
    </xf>
    <xf numFmtId="166" fontId="52" fillId="0" borderId="11" xfId="1" applyNumberFormat="1" applyFont="1" applyBorder="1" applyAlignment="1">
      <alignment horizontal="right" vertical="center"/>
    </xf>
    <xf numFmtId="43" fontId="43" fillId="0" borderId="4" xfId="2" applyFont="1" applyBorder="1" applyAlignment="1">
      <alignment horizontal="right" vertical="center"/>
    </xf>
    <xf numFmtId="43" fontId="43" fillId="0" borderId="4" xfId="2" applyFont="1" applyBorder="1" applyAlignment="1">
      <alignment horizontal="right" vertical="center" wrapText="1"/>
    </xf>
    <xf numFmtId="43" fontId="43" fillId="0" borderId="7" xfId="2" applyFont="1" applyBorder="1" applyAlignment="1">
      <alignment horizontal="right" vertical="center" wrapText="1"/>
    </xf>
    <xf numFmtId="43" fontId="22" fillId="0" borderId="8" xfId="2" applyFont="1" applyBorder="1" applyAlignment="1">
      <alignment horizontal="right" vertical="center" wrapText="1"/>
    </xf>
    <xf numFmtId="43" fontId="39" fillId="0" borderId="4" xfId="2" applyFont="1" applyBorder="1" applyAlignment="1">
      <alignment horizontal="right" vertical="center" wrapText="1"/>
    </xf>
    <xf numFmtId="166" fontId="43" fillId="0" borderId="8" xfId="1" applyNumberFormat="1" applyFont="1" applyBorder="1" applyAlignment="1">
      <alignment horizontal="right"/>
    </xf>
    <xf numFmtId="166" fontId="43" fillId="0" borderId="4" xfId="1" applyNumberFormat="1" applyFont="1" applyBorder="1" applyAlignment="1">
      <alignment horizontal="right"/>
    </xf>
    <xf numFmtId="43" fontId="43" fillId="0" borderId="4" xfId="0" applyNumberFormat="1" applyFont="1" applyFill="1" applyBorder="1" applyAlignment="1">
      <alignment horizontal="right" vertical="center"/>
    </xf>
    <xf numFmtId="166" fontId="22" fillId="0" borderId="4" xfId="1" applyNumberFormat="1" applyFont="1" applyFill="1" applyBorder="1" applyAlignment="1">
      <alignment horizontal="right" vertical="center"/>
    </xf>
    <xf numFmtId="39" fontId="43" fillId="0" borderId="7" xfId="9" applyNumberFormat="1" applyFont="1" applyBorder="1" applyAlignment="1">
      <alignment horizontal="right" vertical="top"/>
    </xf>
    <xf numFmtId="39" fontId="43" fillId="0" borderId="4" xfId="9" applyNumberFormat="1" applyFont="1" applyBorder="1" applyAlignment="1">
      <alignment horizontal="right" vertical="top"/>
    </xf>
    <xf numFmtId="39" fontId="43" fillId="0" borderId="12" xfId="9" applyNumberFormat="1" applyFont="1" applyBorder="1" applyAlignment="1">
      <alignment horizontal="right" vertical="top"/>
    </xf>
    <xf numFmtId="43" fontId="43" fillId="0" borderId="7" xfId="2" applyFont="1" applyBorder="1" applyAlignment="1">
      <alignment horizontal="right" vertical="center"/>
    </xf>
    <xf numFmtId="43" fontId="43" fillId="0" borderId="12" xfId="2" applyFont="1" applyBorder="1" applyAlignment="1">
      <alignment horizontal="right" vertical="center" wrapText="1"/>
    </xf>
    <xf numFmtId="43" fontId="43" fillId="0" borderId="7" xfId="0" applyNumberFormat="1" applyFont="1" applyFill="1" applyBorder="1" applyAlignment="1">
      <alignment horizontal="right" vertical="center"/>
    </xf>
    <xf numFmtId="166" fontId="22" fillId="0" borderId="7" xfId="1" applyNumberFormat="1" applyFont="1" applyFill="1" applyBorder="1" applyAlignment="1">
      <alignment horizontal="right" vertical="center"/>
    </xf>
    <xf numFmtId="43" fontId="39" fillId="0" borderId="7" xfId="0" applyNumberFormat="1" applyFont="1" applyFill="1" applyBorder="1" applyAlignment="1">
      <alignment horizontal="right" vertical="center"/>
    </xf>
    <xf numFmtId="0" fontId="39" fillId="0" borderId="11" xfId="9" applyFont="1" applyBorder="1" applyAlignment="1">
      <alignment vertical="top" wrapText="1"/>
    </xf>
    <xf numFmtId="43" fontId="39" fillId="0" borderId="11" xfId="9" applyNumberFormat="1" applyFont="1" applyBorder="1" applyAlignment="1">
      <alignment horizontal="right" vertical="top" wrapText="1"/>
    </xf>
    <xf numFmtId="43" fontId="39" fillId="0" borderId="8" xfId="2" applyFont="1" applyBorder="1" applyAlignment="1">
      <alignment horizontal="right" vertical="center" wrapText="1"/>
    </xf>
    <xf numFmtId="43" fontId="43" fillId="0" borderId="4" xfId="0" applyNumberFormat="1" applyFont="1" applyBorder="1" applyAlignment="1">
      <alignment horizontal="right" vertical="center" indent="1"/>
    </xf>
    <xf numFmtId="43" fontId="39" fillId="0" borderId="11" xfId="2" applyFont="1" applyBorder="1" applyAlignment="1">
      <alignment horizontal="right" vertical="center" wrapText="1"/>
    </xf>
    <xf numFmtId="43" fontId="39" fillId="0" borderId="21" xfId="2" applyFont="1" applyBorder="1" applyAlignment="1">
      <alignment horizontal="right" vertical="center" wrapText="1"/>
    </xf>
    <xf numFmtId="43" fontId="22" fillId="0" borderId="4" xfId="2" applyFont="1" applyBorder="1" applyAlignment="1">
      <alignment horizontal="left" vertical="center" indent="1"/>
    </xf>
    <xf numFmtId="43" fontId="22" fillId="0" borderId="4" xfId="2" applyFont="1" applyBorder="1" applyAlignment="1">
      <alignment horizontal="right" vertical="center"/>
    </xf>
    <xf numFmtId="43" fontId="39" fillId="0" borderId="11" xfId="2" applyFont="1" applyBorder="1" applyAlignment="1">
      <alignment horizontal="right" vertical="center"/>
    </xf>
    <xf numFmtId="43" fontId="39" fillId="0" borderId="17" xfId="2" applyFont="1" applyBorder="1" applyAlignment="1">
      <alignment horizontal="right" vertical="center" wrapText="1"/>
    </xf>
    <xf numFmtId="49" fontId="54" fillId="0" borderId="11" xfId="0" applyNumberFormat="1" applyFont="1" applyFill="1" applyBorder="1" applyAlignment="1">
      <alignment horizontal="center" vertical="center"/>
    </xf>
    <xf numFmtId="0" fontId="60" fillId="0" borderId="4" xfId="0" applyFont="1" applyFill="1" applyBorder="1"/>
    <xf numFmtId="49" fontId="54" fillId="0" borderId="8" xfId="0" applyNumberFormat="1" applyFont="1" applyFill="1" applyBorder="1" applyAlignment="1">
      <alignment horizontal="center" vertical="center"/>
    </xf>
    <xf numFmtId="49" fontId="39" fillId="0" borderId="12" xfId="0" applyNumberFormat="1" applyFont="1" applyBorder="1" applyAlignment="1">
      <alignment horizontal="center" vertical="center"/>
    </xf>
    <xf numFmtId="43" fontId="39" fillId="0" borderId="8" xfId="2" applyFont="1" applyBorder="1" applyAlignment="1">
      <alignment horizontal="right" vertical="center"/>
    </xf>
    <xf numFmtId="43" fontId="43" fillId="0" borderId="4" xfId="2" applyFont="1" applyFill="1" applyBorder="1" applyAlignment="1">
      <alignment horizontal="right" vertical="center"/>
    </xf>
    <xf numFmtId="4" fontId="43" fillId="0" borderId="7" xfId="1" applyNumberFormat="1" applyFont="1" applyFill="1" applyBorder="1" applyAlignment="1">
      <alignment horizontal="right" vertical="center"/>
    </xf>
    <xf numFmtId="49" fontId="44" fillId="5" borderId="11" xfId="0" applyNumberFormat="1" applyFont="1" applyFill="1" applyBorder="1" applyAlignment="1">
      <alignment horizontal="center" vertical="center"/>
    </xf>
    <xf numFmtId="0" fontId="39" fillId="5" borderId="11" xfId="0" applyFont="1" applyFill="1" applyBorder="1" applyAlignment="1">
      <alignment horizontal="left" vertical="center" wrapText="1"/>
    </xf>
    <xf numFmtId="43" fontId="52" fillId="5" borderId="11" xfId="0" applyNumberFormat="1" applyFont="1" applyFill="1" applyBorder="1" applyAlignment="1">
      <alignment horizontal="right" vertical="center"/>
    </xf>
    <xf numFmtId="43" fontId="39" fillId="5" borderId="11" xfId="0" applyNumberFormat="1" applyFont="1" applyFill="1" applyBorder="1" applyAlignment="1">
      <alignment horizontal="right" vertical="center"/>
    </xf>
    <xf numFmtId="49" fontId="44" fillId="0" borderId="8" xfId="0" applyNumberFormat="1" applyFont="1" applyFill="1" applyBorder="1" applyAlignment="1">
      <alignment horizontal="center" vertical="center"/>
    </xf>
    <xf numFmtId="43" fontId="39" fillId="0" borderId="22" xfId="0" applyNumberFormat="1" applyFont="1" applyFill="1" applyBorder="1" applyAlignment="1">
      <alignment horizontal="left" vertical="center" indent="1"/>
    </xf>
    <xf numFmtId="43" fontId="52" fillId="0" borderId="22" xfId="0" applyNumberFormat="1" applyFont="1" applyFill="1" applyBorder="1" applyAlignment="1">
      <alignment horizontal="right" vertical="center"/>
    </xf>
    <xf numFmtId="43" fontId="39" fillId="0" borderId="22" xfId="0" applyNumberFormat="1" applyFont="1" applyFill="1" applyBorder="1" applyAlignment="1">
      <alignment horizontal="right" vertical="center"/>
    </xf>
    <xf numFmtId="4" fontId="39" fillId="0" borderId="22" xfId="1" applyNumberFormat="1" applyFont="1" applyFill="1" applyBorder="1" applyAlignment="1">
      <alignment vertical="center"/>
    </xf>
    <xf numFmtId="0" fontId="43" fillId="0" borderId="4" xfId="0" applyFont="1" applyFill="1" applyBorder="1"/>
    <xf numFmtId="49" fontId="44" fillId="0" borderId="11" xfId="0" applyNumberFormat="1" applyFont="1" applyBorder="1" applyAlignment="1">
      <alignment horizontal="center" vertical="center"/>
    </xf>
    <xf numFmtId="4" fontId="39" fillId="0" borderId="22" xfId="1" applyNumberFormat="1" applyFont="1" applyBorder="1" applyAlignment="1">
      <alignment horizontal="right" vertical="center" indent="1"/>
    </xf>
    <xf numFmtId="43" fontId="39" fillId="0" borderId="22" xfId="0" applyNumberFormat="1" applyFont="1" applyBorder="1" applyAlignment="1">
      <alignment horizontal="right" vertical="center"/>
    </xf>
    <xf numFmtId="4" fontId="39" fillId="0" borderId="22" xfId="1" applyNumberFormat="1" applyFont="1" applyBorder="1" applyAlignment="1">
      <alignment vertical="center"/>
    </xf>
    <xf numFmtId="43" fontId="39" fillId="0" borderId="22" xfId="0" applyNumberFormat="1" applyFont="1" applyBorder="1" applyAlignment="1">
      <alignment horizontal="left" vertical="center" indent="1"/>
    </xf>
    <xf numFmtId="49" fontId="44" fillId="0" borderId="12" xfId="0" applyNumberFormat="1" applyFont="1" applyBorder="1" applyAlignment="1">
      <alignment horizontal="center" vertical="center"/>
    </xf>
    <xf numFmtId="0" fontId="39" fillId="0" borderId="8" xfId="0" applyFont="1" applyBorder="1" applyAlignment="1">
      <alignment wrapText="1"/>
    </xf>
    <xf numFmtId="4" fontId="39" fillId="0" borderId="12" xfId="1" applyNumberFormat="1" applyFont="1" applyBorder="1" applyAlignment="1">
      <alignment horizontal="right" vertical="center" indent="1"/>
    </xf>
    <xf numFmtId="49" fontId="44" fillId="0" borderId="4" xfId="0" applyNumberFormat="1" applyFont="1" applyBorder="1" applyAlignment="1">
      <alignment horizontal="center" vertical="center"/>
    </xf>
    <xf numFmtId="0" fontId="43" fillId="0" borderId="8" xfId="0" applyFont="1" applyBorder="1" applyAlignment="1">
      <alignment wrapText="1"/>
    </xf>
    <xf numFmtId="4" fontId="43" fillId="0" borderId="12" xfId="1" applyNumberFormat="1" applyFont="1" applyBorder="1" applyAlignment="1">
      <alignment horizontal="right" vertical="center" indent="1"/>
    </xf>
    <xf numFmtId="0" fontId="39" fillId="0" borderId="4" xfId="0" applyFont="1" applyBorder="1" applyAlignment="1">
      <alignment wrapText="1"/>
    </xf>
    <xf numFmtId="43" fontId="39" fillId="0" borderId="4" xfId="0" applyNumberFormat="1" applyFont="1" applyBorder="1" applyAlignment="1">
      <alignment horizontal="right" vertical="center"/>
    </xf>
    <xf numFmtId="0" fontId="43" fillId="0" borderId="4" xfId="0" applyFont="1" applyBorder="1" applyAlignment="1">
      <alignment wrapText="1"/>
    </xf>
    <xf numFmtId="166" fontId="39" fillId="0" borderId="7" xfId="1" applyNumberFormat="1" applyFont="1" applyBorder="1" applyAlignment="1">
      <alignment horizontal="right"/>
    </xf>
    <xf numFmtId="166" fontId="39" fillId="0" borderId="4" xfId="1" applyNumberFormat="1" applyFont="1" applyBorder="1" applyAlignment="1">
      <alignment horizontal="center" vertical="center"/>
    </xf>
    <xf numFmtId="166" fontId="43" fillId="0" borderId="4" xfId="1" applyNumberFormat="1" applyFont="1" applyBorder="1" applyAlignment="1">
      <alignment horizontal="center" vertical="center"/>
    </xf>
    <xf numFmtId="166" fontId="39" fillId="0" borderId="4" xfId="1" applyNumberFormat="1" applyFont="1" applyBorder="1" applyAlignment="1">
      <alignment horizontal="right"/>
    </xf>
    <xf numFmtId="166" fontId="43" fillId="0" borderId="7" xfId="0" applyNumberFormat="1" applyFont="1" applyBorder="1" applyAlignment="1">
      <alignment horizontal="right" vertical="center"/>
    </xf>
    <xf numFmtId="166" fontId="39" fillId="0" borderId="8" xfId="1" applyNumberFormat="1" applyFont="1" applyBorder="1" applyAlignment="1">
      <alignment horizontal="right"/>
    </xf>
    <xf numFmtId="4" fontId="43" fillId="0" borderId="8" xfId="1" applyNumberFormat="1" applyFont="1" applyBorder="1" applyAlignment="1">
      <alignment horizontal="right" vertical="center" indent="1"/>
    </xf>
    <xf numFmtId="0" fontId="39" fillId="0" borderId="11" xfId="0" applyFont="1" applyBorder="1" applyAlignment="1">
      <alignment wrapText="1"/>
    </xf>
    <xf numFmtId="4" fontId="39" fillId="0" borderId="11" xfId="1" applyNumberFormat="1" applyFont="1" applyBorder="1" applyAlignment="1">
      <alignment horizontal="right" vertical="center" indent="1"/>
    </xf>
    <xf numFmtId="4" fontId="43" fillId="0" borderId="11" xfId="1" applyNumberFormat="1" applyFont="1" applyFill="1" applyBorder="1" applyAlignment="1">
      <alignment horizontal="right" vertical="center"/>
    </xf>
    <xf numFmtId="166" fontId="43" fillId="0" borderId="7" xfId="1" applyNumberFormat="1" applyFont="1" applyBorder="1" applyAlignment="1"/>
    <xf numFmtId="4" fontId="22" fillId="0" borderId="8" xfId="1" applyNumberFormat="1" applyFont="1" applyBorder="1" applyAlignment="1">
      <alignment horizontal="right" vertical="center"/>
    </xf>
    <xf numFmtId="43" fontId="43" fillId="0" borderId="8" xfId="0" applyNumberFormat="1" applyFont="1" applyBorder="1" applyAlignment="1">
      <alignment horizontal="right" vertical="center"/>
    </xf>
    <xf numFmtId="49" fontId="39" fillId="5" borderId="11" xfId="0" applyNumberFormat="1" applyFont="1" applyFill="1" applyBorder="1" applyAlignment="1">
      <alignment horizontal="center" vertical="center"/>
    </xf>
    <xf numFmtId="43" fontId="52" fillId="0" borderId="11" xfId="0" applyNumberFormat="1" applyFont="1" applyBorder="1" applyAlignment="1">
      <alignment horizontal="left" vertical="center" indent="1"/>
    </xf>
    <xf numFmtId="4" fontId="39" fillId="0" borderId="12" xfId="1" applyNumberFormat="1" applyFont="1" applyBorder="1" applyAlignment="1">
      <alignment horizontal="right" vertical="center"/>
    </xf>
    <xf numFmtId="43" fontId="43" fillId="0" borderId="11" xfId="0" applyNumberFormat="1" applyFont="1" applyBorder="1" applyAlignment="1">
      <alignment horizontal="right" vertical="center"/>
    </xf>
    <xf numFmtId="4" fontId="39" fillId="0" borderId="8" xfId="1" applyNumberFormat="1" applyFont="1" applyBorder="1" applyAlignment="1">
      <alignment horizontal="right" vertical="center" indent="1"/>
    </xf>
    <xf numFmtId="43" fontId="39" fillId="0" borderId="21" xfId="0" applyNumberFormat="1" applyFont="1" applyBorder="1" applyAlignment="1">
      <alignment horizontal="left" vertical="center" indent="1"/>
    </xf>
    <xf numFmtId="43" fontId="43" fillId="0" borderId="21" xfId="0" applyNumberFormat="1" applyFont="1" applyBorder="1" applyAlignment="1">
      <alignment horizontal="right" vertical="center"/>
    </xf>
    <xf numFmtId="4" fontId="43" fillId="0" borderId="21" xfId="1" applyNumberFormat="1" applyFont="1" applyFill="1" applyBorder="1" applyAlignment="1">
      <alignment horizontal="right" vertical="center"/>
    </xf>
    <xf numFmtId="4" fontId="43" fillId="0" borderId="21" xfId="1" applyNumberFormat="1" applyFont="1" applyBorder="1" applyAlignment="1">
      <alignment vertical="center"/>
    </xf>
    <xf numFmtId="4" fontId="52" fillId="5" borderId="11" xfId="0" applyNumberFormat="1" applyFont="1" applyFill="1" applyBorder="1" applyAlignment="1">
      <alignment horizontal="right" vertical="center"/>
    </xf>
    <xf numFmtId="4" fontId="39" fillId="5" borderId="11" xfId="1" applyNumberFormat="1" applyFont="1" applyFill="1" applyBorder="1"/>
    <xf numFmtId="4" fontId="52" fillId="0" borderId="22" xfId="0" applyNumberFormat="1" applyFont="1" applyFill="1" applyBorder="1" applyAlignment="1">
      <alignment horizontal="right" vertical="center"/>
    </xf>
    <xf numFmtId="4" fontId="39" fillId="0" borderId="22" xfId="1" applyNumberFormat="1" applyFont="1" applyFill="1" applyBorder="1"/>
    <xf numFmtId="167" fontId="39" fillId="4" borderId="22" xfId="0" applyNumberFormat="1" applyFont="1" applyFill="1" applyBorder="1" applyAlignment="1">
      <alignment horizontal="right" vertical="center"/>
    </xf>
    <xf numFmtId="4" fontId="39" fillId="0" borderId="4" xfId="1" applyNumberFormat="1" applyFont="1" applyFill="1" applyBorder="1" applyAlignment="1">
      <alignment horizontal="right"/>
    </xf>
    <xf numFmtId="4" fontId="39" fillId="0" borderId="4" xfId="1" applyNumberFormat="1" applyFont="1" applyFill="1" applyBorder="1"/>
    <xf numFmtId="166" fontId="43" fillId="6" borderId="4" xfId="1" applyNumberFormat="1" applyFont="1" applyFill="1" applyBorder="1" applyAlignment="1">
      <alignment vertical="center"/>
    </xf>
    <xf numFmtId="4" fontId="43" fillId="0" borderId="4" xfId="1" applyNumberFormat="1" applyFont="1" applyFill="1" applyBorder="1"/>
    <xf numFmtId="4" fontId="43" fillId="0" borderId="4" xfId="1" applyNumberFormat="1" applyFont="1" applyFill="1" applyBorder="1" applyAlignment="1">
      <alignment horizontal="right"/>
    </xf>
    <xf numFmtId="167" fontId="43" fillId="0" borderId="4" xfId="11" applyNumberFormat="1" applyFont="1" applyBorder="1" applyAlignment="1">
      <alignment vertical="center"/>
    </xf>
    <xf numFmtId="4" fontId="43" fillId="0" borderId="12" xfId="1" applyNumberFormat="1" applyFont="1" applyFill="1" applyBorder="1"/>
    <xf numFmtId="4" fontId="43" fillId="0" borderId="4" xfId="1" applyNumberFormat="1" applyFont="1" applyFill="1" applyBorder="1" applyAlignment="1"/>
    <xf numFmtId="166" fontId="43" fillId="6" borderId="7" xfId="1" applyNumberFormat="1" applyFont="1" applyFill="1" applyBorder="1" applyAlignment="1">
      <alignment vertical="center"/>
    </xf>
    <xf numFmtId="166" fontId="43" fillId="6" borderId="7" xfId="0" applyNumberFormat="1" applyFont="1" applyFill="1" applyBorder="1" applyAlignment="1">
      <alignment horizontal="right" vertical="center"/>
    </xf>
    <xf numFmtId="4" fontId="43" fillId="0" borderId="7" xfId="1" applyNumberFormat="1" applyFont="1" applyFill="1" applyBorder="1"/>
    <xf numFmtId="4" fontId="43" fillId="0" borderId="7" xfId="1" applyNumberFormat="1" applyFont="1" applyFill="1" applyBorder="1" applyAlignment="1">
      <alignment horizontal="right"/>
    </xf>
    <xf numFmtId="4" fontId="43" fillId="0" borderId="8" xfId="1" applyNumberFormat="1" applyFont="1" applyFill="1" applyBorder="1"/>
    <xf numFmtId="166" fontId="39" fillId="6" borderId="7" xfId="0" applyNumberFormat="1" applyFont="1" applyFill="1" applyBorder="1" applyAlignment="1">
      <alignment horizontal="right" vertical="center"/>
    </xf>
    <xf numFmtId="166" fontId="39" fillId="6" borderId="4" xfId="0" applyNumberFormat="1" applyFont="1" applyFill="1" applyBorder="1" applyAlignment="1">
      <alignment horizontal="right" vertical="center"/>
    </xf>
    <xf numFmtId="166" fontId="39" fillId="6" borderId="4" xfId="0" applyNumberFormat="1" applyFont="1" applyFill="1" applyBorder="1" applyAlignment="1">
      <alignment vertical="center"/>
    </xf>
    <xf numFmtId="4" fontId="43" fillId="0" borderId="7" xfId="1" applyNumberFormat="1" applyFont="1" applyFill="1" applyBorder="1" applyAlignment="1"/>
    <xf numFmtId="166" fontId="39" fillId="6" borderId="7" xfId="0" applyNumberFormat="1" applyFont="1" applyFill="1" applyBorder="1" applyAlignment="1">
      <alignment vertical="center"/>
    </xf>
    <xf numFmtId="0" fontId="57" fillId="0" borderId="4" xfId="0" applyFont="1" applyFill="1" applyBorder="1" applyAlignment="1">
      <alignment vertical="center"/>
    </xf>
    <xf numFmtId="39" fontId="57" fillId="0" borderId="4" xfId="15" applyNumberFormat="1" applyFont="1" applyFill="1" applyBorder="1" applyAlignment="1">
      <alignment horizontal="right" vertical="center"/>
    </xf>
    <xf numFmtId="4" fontId="39" fillId="0" borderId="4" xfId="1" applyNumberFormat="1" applyFont="1" applyFill="1" applyBorder="1" applyAlignment="1"/>
    <xf numFmtId="166" fontId="43" fillId="0" borderId="22" xfId="1" applyNumberFormat="1" applyFont="1" applyBorder="1" applyAlignment="1">
      <alignment horizontal="right" vertical="center"/>
    </xf>
    <xf numFmtId="166" fontId="43" fillId="0" borderId="21" xfId="0" applyNumberFormat="1" applyFont="1" applyBorder="1" applyAlignment="1">
      <alignment horizontal="right" vertical="center"/>
    </xf>
    <xf numFmtId="167" fontId="43" fillId="4" borderId="21" xfId="0" applyNumberFormat="1" applyFont="1" applyFill="1" applyBorder="1" applyAlignment="1">
      <alignment horizontal="right" vertical="center"/>
    </xf>
    <xf numFmtId="166" fontId="43" fillId="0" borderId="21" xfId="1" applyNumberFormat="1" applyFont="1" applyBorder="1" applyAlignment="1">
      <alignment horizontal="right" vertical="center"/>
    </xf>
    <xf numFmtId="49" fontId="39" fillId="12" borderId="11" xfId="0" applyNumberFormat="1" applyFont="1" applyFill="1" applyBorder="1" applyAlignment="1">
      <alignment horizontal="center" vertical="center"/>
    </xf>
    <xf numFmtId="0" fontId="39" fillId="12" borderId="11" xfId="0" applyFont="1" applyFill="1" applyBorder="1" applyAlignment="1">
      <alignment horizontal="left" vertical="center" wrapText="1"/>
    </xf>
    <xf numFmtId="43" fontId="52" fillId="12" borderId="11" xfId="0" applyNumberFormat="1" applyFont="1" applyFill="1" applyBorder="1" applyAlignment="1">
      <alignment horizontal="right" vertical="center"/>
    </xf>
    <xf numFmtId="43" fontId="39" fillId="12" borderId="11" xfId="0" applyNumberFormat="1" applyFont="1" applyFill="1" applyBorder="1" applyAlignment="1">
      <alignment horizontal="right" vertical="center"/>
    </xf>
    <xf numFmtId="43" fontId="52" fillId="0" borderId="22" xfId="0" applyNumberFormat="1" applyFont="1" applyBorder="1" applyAlignment="1">
      <alignment horizontal="right" vertical="center"/>
    </xf>
    <xf numFmtId="39" fontId="39" fillId="0" borderId="21" xfId="0" applyNumberFormat="1" applyFont="1" applyBorder="1" applyAlignment="1">
      <alignment horizontal="right" vertical="top" wrapText="1"/>
    </xf>
    <xf numFmtId="39" fontId="39" fillId="0" borderId="21" xfId="0" applyNumberFormat="1" applyFont="1" applyBorder="1" applyAlignment="1">
      <alignment vertical="top" wrapText="1"/>
    </xf>
    <xf numFmtId="39" fontId="39" fillId="0" borderId="4" xfId="0" applyNumberFormat="1" applyFont="1" applyBorder="1" applyAlignment="1">
      <alignment horizontal="right" vertical="top"/>
    </xf>
    <xf numFmtId="39" fontId="43" fillId="0" borderId="12" xfId="0" applyNumberFormat="1" applyFont="1" applyBorder="1" applyAlignment="1">
      <alignment horizontal="right" vertical="top"/>
    </xf>
    <xf numFmtId="39" fontId="39" fillId="0" borderId="4" xfId="0" applyNumberFormat="1" applyFont="1" applyBorder="1" applyAlignment="1">
      <alignment horizontal="right" vertical="top" wrapText="1"/>
    </xf>
    <xf numFmtId="39" fontId="39" fillId="0" borderId="4" xfId="0" applyNumberFormat="1" applyFont="1" applyBorder="1" applyAlignment="1">
      <alignment vertical="top" wrapText="1"/>
    </xf>
    <xf numFmtId="39" fontId="39" fillId="0" borderId="12" xfId="0" applyNumberFormat="1" applyFont="1" applyBorder="1" applyAlignment="1">
      <alignment horizontal="right" vertical="top"/>
    </xf>
    <xf numFmtId="0" fontId="44" fillId="0" borderId="8" xfId="0" applyFont="1" applyBorder="1" applyAlignment="1">
      <alignment horizontal="right" vertical="top" wrapText="1"/>
    </xf>
    <xf numFmtId="39" fontId="43" fillId="0" borderId="8" xfId="0" applyNumberFormat="1" applyFont="1" applyBorder="1" applyAlignment="1">
      <alignment horizontal="right" vertical="top"/>
    </xf>
    <xf numFmtId="39" fontId="43" fillId="0" borderId="8" xfId="0" applyNumberFormat="1" applyFont="1" applyBorder="1" applyAlignment="1">
      <alignment vertical="top"/>
    </xf>
    <xf numFmtId="39" fontId="39" fillId="0" borderId="11" xfId="0" applyNumberFormat="1" applyFont="1" applyBorder="1" applyAlignment="1">
      <alignment horizontal="right" vertical="top"/>
    </xf>
    <xf numFmtId="39" fontId="43" fillId="6" borderId="4" xfId="0" applyNumberFormat="1" applyFont="1" applyFill="1" applyBorder="1" applyAlignment="1">
      <alignment horizontal="right" vertical="center"/>
    </xf>
    <xf numFmtId="39" fontId="43" fillId="6" borderId="12" xfId="0" applyNumberFormat="1" applyFont="1" applyFill="1" applyBorder="1" applyAlignment="1">
      <alignment horizontal="right" vertical="center"/>
    </xf>
    <xf numFmtId="39" fontId="43" fillId="6" borderId="12" xfId="0" applyNumberFormat="1" applyFont="1" applyFill="1" applyBorder="1" applyAlignment="1">
      <alignment horizontal="right" vertical="top"/>
    </xf>
    <xf numFmtId="39" fontId="43" fillId="6" borderId="8" xfId="0" applyNumberFormat="1" applyFont="1" applyFill="1" applyBorder="1" applyAlignment="1">
      <alignment vertical="top"/>
    </xf>
    <xf numFmtId="166" fontId="39" fillId="5" borderId="17" xfId="1" applyNumberFormat="1" applyFont="1" applyFill="1" applyBorder="1" applyAlignment="1">
      <alignment vertical="center"/>
    </xf>
    <xf numFmtId="39" fontId="52" fillId="5" borderId="17" xfId="0" applyNumberFormat="1" applyFont="1" applyFill="1" applyBorder="1" applyAlignment="1">
      <alignment horizontal="right" vertical="top"/>
    </xf>
    <xf numFmtId="39" fontId="39" fillId="5" borderId="17" xfId="0" applyNumberFormat="1" applyFont="1" applyFill="1" applyBorder="1" applyAlignment="1">
      <alignment horizontal="right" vertical="top"/>
    </xf>
    <xf numFmtId="166" fontId="39" fillId="5" borderId="17" xfId="1" applyNumberFormat="1" applyFont="1" applyFill="1" applyBorder="1" applyAlignment="1">
      <alignment horizontal="right" vertical="center"/>
    </xf>
    <xf numFmtId="39" fontId="39" fillId="5" borderId="17" xfId="0" applyNumberFormat="1" applyFont="1" applyFill="1" applyBorder="1" applyAlignment="1">
      <alignment vertical="top"/>
    </xf>
    <xf numFmtId="49" fontId="39" fillId="0" borderId="8" xfId="0" applyNumberFormat="1" applyFont="1" applyFill="1" applyBorder="1" applyAlignment="1">
      <alignment horizontal="center" vertical="center"/>
    </xf>
    <xf numFmtId="166" fontId="39" fillId="0" borderId="17" xfId="1" applyNumberFormat="1" applyFont="1" applyFill="1" applyBorder="1" applyAlignment="1">
      <alignment vertical="center"/>
    </xf>
    <xf numFmtId="39" fontId="52" fillId="0" borderId="17" xfId="0" applyNumberFormat="1" applyFont="1" applyFill="1" applyBorder="1" applyAlignment="1">
      <alignment horizontal="right" vertical="top"/>
    </xf>
    <xf numFmtId="39" fontId="39" fillId="0" borderId="17" xfId="0" applyNumberFormat="1" applyFont="1" applyFill="1" applyBorder="1" applyAlignment="1">
      <alignment horizontal="right" vertical="top"/>
    </xf>
    <xf numFmtId="166" fontId="39" fillId="0" borderId="17" xfId="1" applyNumberFormat="1" applyFont="1" applyFill="1" applyBorder="1" applyAlignment="1">
      <alignment horizontal="right" vertical="center"/>
    </xf>
    <xf numFmtId="39" fontId="39" fillId="0" borderId="17" xfId="0" applyNumberFormat="1" applyFont="1" applyFill="1" applyBorder="1" applyAlignment="1">
      <alignment vertical="top"/>
    </xf>
    <xf numFmtId="0" fontId="22" fillId="0" borderId="4" xfId="0" applyFont="1" applyFill="1" applyBorder="1"/>
    <xf numFmtId="49" fontId="39" fillId="0" borderId="22" xfId="0" applyNumberFormat="1" applyFont="1" applyBorder="1" applyAlignment="1">
      <alignment horizontal="center" vertical="center"/>
    </xf>
    <xf numFmtId="166" fontId="43" fillId="0" borderId="4" xfId="1" applyNumberFormat="1" applyFont="1" applyBorder="1" applyAlignment="1">
      <alignment horizontal="left" vertical="center" indent="1"/>
    </xf>
    <xf numFmtId="167" fontId="43" fillId="0" borderId="4" xfId="66" applyNumberFormat="1" applyFont="1" applyBorder="1" applyAlignment="1">
      <alignment vertical="center"/>
    </xf>
    <xf numFmtId="39" fontId="43" fillId="0" borderId="22" xfId="0" applyNumberFormat="1" applyFont="1" applyFill="1" applyBorder="1" applyAlignment="1">
      <alignment horizontal="right" vertical="top"/>
    </xf>
    <xf numFmtId="39" fontId="43" fillId="0" borderId="22" xfId="0" applyNumberFormat="1" applyFont="1" applyFill="1" applyBorder="1" applyAlignment="1">
      <alignment vertical="top"/>
    </xf>
    <xf numFmtId="39" fontId="52" fillId="5" borderId="11" xfId="0" applyNumberFormat="1" applyFont="1" applyFill="1" applyBorder="1" applyAlignment="1">
      <alignment horizontal="right" vertical="top"/>
    </xf>
    <xf numFmtId="39" fontId="39" fillId="5" borderId="11" xfId="0" applyNumberFormat="1" applyFont="1" applyFill="1" applyBorder="1" applyAlignment="1">
      <alignment horizontal="right" vertical="top"/>
    </xf>
    <xf numFmtId="4" fontId="22" fillId="0" borderId="4" xfId="0" applyNumberFormat="1" applyFont="1" applyBorder="1" applyAlignment="1">
      <alignment horizontal="right" vertical="center"/>
    </xf>
    <xf numFmtId="167" fontId="43" fillId="0" borderId="4" xfId="1" applyNumberFormat="1" applyFont="1" applyBorder="1" applyAlignment="1">
      <alignment horizontal="right" vertical="center"/>
    </xf>
    <xf numFmtId="4" fontId="39" fillId="0" borderId="7" xfId="0" applyNumberFormat="1" applyFont="1" applyBorder="1" applyAlignment="1">
      <alignment horizontal="right" vertical="center"/>
    </xf>
    <xf numFmtId="0" fontId="47" fillId="0" borderId="4" xfId="0" applyFont="1" applyBorder="1" applyAlignment="1">
      <alignment vertical="center"/>
    </xf>
    <xf numFmtId="167" fontId="43" fillId="0" borderId="12" xfId="1" applyNumberFormat="1" applyFont="1" applyBorder="1" applyAlignment="1">
      <alignment horizontal="right" vertical="center"/>
    </xf>
    <xf numFmtId="167" fontId="22" fillId="0" borderId="12" xfId="1" applyNumberFormat="1" applyFont="1" applyBorder="1" applyAlignment="1">
      <alignment horizontal="right" vertical="center"/>
    </xf>
    <xf numFmtId="166" fontId="39" fillId="6" borderId="8" xfId="1" applyNumberFormat="1" applyFont="1" applyFill="1" applyBorder="1" applyAlignment="1">
      <alignment horizontal="right" vertical="center"/>
    </xf>
    <xf numFmtId="167" fontId="39" fillId="6" borderId="8" xfId="1" applyNumberFormat="1" applyFont="1" applyFill="1" applyBorder="1" applyAlignment="1">
      <alignment horizontal="right" vertical="center"/>
    </xf>
    <xf numFmtId="4" fontId="22" fillId="6" borderId="8" xfId="0" applyNumberFormat="1" applyFont="1" applyFill="1" applyBorder="1" applyAlignment="1">
      <alignment vertical="center"/>
    </xf>
    <xf numFmtId="2" fontId="22" fillId="6" borderId="8" xfId="0" applyNumberFormat="1" applyFont="1" applyFill="1" applyBorder="1" applyAlignment="1">
      <alignment vertical="center"/>
    </xf>
    <xf numFmtId="4" fontId="43" fillId="6" borderId="8" xfId="1" applyNumberFormat="1" applyFont="1" applyFill="1" applyBorder="1" applyAlignment="1">
      <alignment horizontal="right" vertical="center"/>
    </xf>
    <xf numFmtId="167" fontId="39" fillId="6" borderId="4" xfId="1" applyNumberFormat="1" applyFont="1" applyFill="1" applyBorder="1" applyAlignment="1">
      <alignment horizontal="right" vertical="center"/>
    </xf>
    <xf numFmtId="4" fontId="22" fillId="6" borderId="4" xfId="0" applyNumberFormat="1" applyFont="1" applyFill="1" applyBorder="1" applyAlignment="1">
      <alignment vertical="center"/>
    </xf>
    <xf numFmtId="2" fontId="22" fillId="6" borderId="4" xfId="0" applyNumberFormat="1" applyFont="1" applyFill="1" applyBorder="1" applyAlignment="1">
      <alignment vertical="center"/>
    </xf>
    <xf numFmtId="4" fontId="43" fillId="6" borderId="4" xfId="1" applyNumberFormat="1" applyFont="1" applyFill="1" applyBorder="1" applyAlignment="1">
      <alignment horizontal="right" vertical="center"/>
    </xf>
    <xf numFmtId="2" fontId="39" fillId="6" borderId="4" xfId="0" applyNumberFormat="1" applyFont="1" applyFill="1" applyBorder="1" applyAlignment="1">
      <alignment vertical="center"/>
    </xf>
    <xf numFmtId="4" fontId="39" fillId="6" borderId="11" xfId="1" applyNumberFormat="1" applyFont="1" applyFill="1" applyBorder="1" applyAlignment="1">
      <alignment horizontal="right" vertical="center"/>
    </xf>
    <xf numFmtId="2" fontId="39" fillId="6" borderId="11" xfId="0" applyNumberFormat="1" applyFont="1" applyFill="1" applyBorder="1" applyAlignment="1">
      <alignment vertical="center"/>
    </xf>
    <xf numFmtId="0" fontId="39" fillId="6" borderId="11" xfId="0" applyFont="1" applyFill="1" applyBorder="1" applyAlignment="1">
      <alignment vertical="center"/>
    </xf>
    <xf numFmtId="4" fontId="39" fillId="6" borderId="4" xfId="1" applyNumberFormat="1" applyFont="1" applyFill="1" applyBorder="1" applyAlignment="1">
      <alignment horizontal="right" vertical="center"/>
    </xf>
    <xf numFmtId="166" fontId="43" fillId="6" borderId="12" xfId="1" applyNumberFormat="1" applyFont="1" applyFill="1" applyBorder="1" applyAlignment="1">
      <alignment vertical="center"/>
    </xf>
    <xf numFmtId="166" fontId="39" fillId="6" borderId="25" xfId="1" applyNumberFormat="1" applyFont="1" applyFill="1" applyBorder="1" applyAlignment="1">
      <alignment horizontal="right" vertical="center"/>
    </xf>
    <xf numFmtId="167" fontId="39" fillId="6" borderId="25" xfId="1" applyNumberFormat="1" applyFont="1" applyFill="1" applyBorder="1" applyAlignment="1">
      <alignment horizontal="right" vertical="center"/>
    </xf>
    <xf numFmtId="4" fontId="22" fillId="6" borderId="25" xfId="0" applyNumberFormat="1" applyFont="1" applyFill="1" applyBorder="1" applyAlignment="1">
      <alignment vertical="center"/>
    </xf>
    <xf numFmtId="2" fontId="22" fillId="6" borderId="25" xfId="0" applyNumberFormat="1" applyFont="1" applyFill="1" applyBorder="1" applyAlignment="1">
      <alignment vertical="center"/>
    </xf>
    <xf numFmtId="166" fontId="39" fillId="6" borderId="11" xfId="1" applyNumberFormat="1" applyFont="1" applyFill="1" applyBorder="1" applyAlignment="1">
      <alignment horizontal="right" vertical="center"/>
    </xf>
    <xf numFmtId="167" fontId="39" fillId="6" borderId="11" xfId="1" applyNumberFormat="1" applyFont="1" applyFill="1" applyBorder="1" applyAlignment="1">
      <alignment horizontal="right" vertical="center"/>
    </xf>
    <xf numFmtId="4" fontId="39" fillId="6" borderId="12" xfId="1" applyNumberFormat="1" applyFont="1" applyFill="1" applyBorder="1" applyAlignment="1">
      <alignment horizontal="right" vertical="center"/>
    </xf>
    <xf numFmtId="166" fontId="39" fillId="6" borderId="12" xfId="1" applyNumberFormat="1" applyFont="1" applyFill="1" applyBorder="1" applyAlignment="1">
      <alignment horizontal="right" vertical="center"/>
    </xf>
    <xf numFmtId="167" fontId="39" fillId="6" borderId="12" xfId="1" applyNumberFormat="1" applyFont="1" applyFill="1" applyBorder="1" applyAlignment="1">
      <alignment horizontal="right" vertical="center"/>
    </xf>
    <xf numFmtId="4" fontId="22" fillId="6" borderId="12" xfId="0" applyNumberFormat="1" applyFont="1" applyFill="1" applyBorder="1" applyAlignment="1">
      <alignment vertical="center"/>
    </xf>
    <xf numFmtId="2" fontId="22" fillId="6" borderId="12" xfId="0" applyNumberFormat="1" applyFont="1" applyFill="1" applyBorder="1" applyAlignment="1">
      <alignment vertical="center"/>
    </xf>
    <xf numFmtId="43" fontId="52" fillId="5" borderId="11" xfId="2" applyFont="1" applyFill="1" applyBorder="1" applyAlignment="1">
      <alignment horizontal="right" vertical="center"/>
    </xf>
    <xf numFmtId="43" fontId="39" fillId="5" borderId="11" xfId="2" applyFont="1" applyFill="1" applyBorder="1" applyAlignment="1">
      <alignment horizontal="right" vertical="center"/>
    </xf>
    <xf numFmtId="49" fontId="39" fillId="0" borderId="22" xfId="0" applyNumberFormat="1" applyFont="1" applyFill="1" applyBorder="1" applyAlignment="1">
      <alignment horizontal="center" vertical="center"/>
    </xf>
    <xf numFmtId="43" fontId="52" fillId="0" borderId="22" xfId="2" applyFont="1" applyFill="1" applyBorder="1" applyAlignment="1">
      <alignment horizontal="right" vertical="center"/>
    </xf>
    <xf numFmtId="43" fontId="39" fillId="0" borderId="22" xfId="2" applyFont="1" applyFill="1" applyBorder="1" applyAlignment="1">
      <alignment horizontal="right" vertical="center"/>
    </xf>
    <xf numFmtId="4" fontId="39" fillId="0" borderId="22" xfId="0" applyNumberFormat="1" applyFont="1" applyBorder="1" applyAlignment="1">
      <alignment horizontal="right" vertical="center" indent="1"/>
    </xf>
    <xf numFmtId="43" fontId="39" fillId="0" borderId="22" xfId="2" applyFont="1" applyBorder="1" applyAlignment="1">
      <alignment horizontal="right" vertical="center"/>
    </xf>
    <xf numFmtId="43" fontId="39" fillId="0" borderId="22" xfId="2" applyFont="1" applyBorder="1" applyAlignment="1">
      <alignment horizontal="left" vertical="center" indent="1"/>
    </xf>
    <xf numFmtId="4" fontId="39" fillId="0" borderId="94" xfId="0" applyNumberFormat="1" applyFont="1" applyBorder="1" applyAlignment="1">
      <alignment horizontal="right" vertical="center" indent="1"/>
    </xf>
    <xf numFmtId="43" fontId="39" fillId="0" borderId="4" xfId="2" applyFont="1" applyBorder="1" applyAlignment="1">
      <alignment horizontal="right" vertical="center"/>
    </xf>
    <xf numFmtId="0" fontId="43" fillId="0" borderId="4" xfId="0" applyFont="1" applyFill="1" applyBorder="1" applyAlignment="1">
      <alignment vertical="center" wrapText="1"/>
    </xf>
    <xf numFmtId="4" fontId="43" fillId="0" borderId="94" xfId="0" applyNumberFormat="1" applyFont="1" applyBorder="1" applyAlignment="1">
      <alignment horizontal="right" vertical="center" indent="1"/>
    </xf>
    <xf numFmtId="166" fontId="43" fillId="0" borderId="4" xfId="1" applyNumberFormat="1" applyFont="1" applyFill="1" applyBorder="1" applyAlignment="1">
      <alignment horizontal="right" vertical="center" wrapText="1"/>
    </xf>
    <xf numFmtId="166" fontId="43" fillId="0" borderId="4" xfId="7" applyNumberFormat="1" applyFont="1" applyFill="1" applyBorder="1" applyAlignment="1">
      <alignment horizontal="right" vertical="center"/>
    </xf>
    <xf numFmtId="41" fontId="43" fillId="0" borderId="4" xfId="1" applyFont="1" applyFill="1" applyBorder="1" applyAlignment="1">
      <alignment horizontal="right" vertical="center" wrapText="1"/>
    </xf>
    <xf numFmtId="0" fontId="22" fillId="0" borderId="4" xfId="0" applyFont="1" applyFill="1" applyBorder="1" applyAlignment="1">
      <alignment vertical="center" wrapText="1"/>
    </xf>
    <xf numFmtId="166" fontId="22" fillId="0" borderId="4" xfId="1" applyNumberFormat="1" applyFont="1" applyFill="1" applyBorder="1" applyAlignment="1">
      <alignment horizontal="right" vertical="center" wrapText="1"/>
    </xf>
    <xf numFmtId="166" fontId="43" fillId="0" borderId="4" xfId="7" applyNumberFormat="1" applyFont="1" applyFill="1" applyBorder="1" applyAlignment="1">
      <alignment horizontal="right" vertical="center" wrapText="1"/>
    </xf>
    <xf numFmtId="0" fontId="43" fillId="0" borderId="8" xfId="0" applyFont="1" applyFill="1" applyBorder="1" applyAlignment="1">
      <alignment vertical="center" wrapText="1"/>
    </xf>
    <xf numFmtId="4" fontId="43" fillId="0" borderId="8" xfId="0" applyNumberFormat="1" applyFont="1" applyBorder="1" applyAlignment="1">
      <alignment horizontal="right" vertical="center" indent="1"/>
    </xf>
    <xf numFmtId="43" fontId="43" fillId="0" borderId="8" xfId="2" applyFont="1" applyBorder="1" applyAlignment="1">
      <alignment horizontal="right" vertical="center"/>
    </xf>
    <xf numFmtId="4" fontId="39" fillId="0" borderId="11" xfId="0" applyNumberFormat="1" applyFont="1" applyBorder="1" applyAlignment="1">
      <alignment horizontal="right" vertical="center" indent="1"/>
    </xf>
    <xf numFmtId="43" fontId="43" fillId="0" borderId="8" xfId="2" applyFont="1" applyBorder="1" applyAlignment="1">
      <alignment horizontal="left" vertical="center" indent="1"/>
    </xf>
    <xf numFmtId="167" fontId="43" fillId="0" borderId="8" xfId="0" applyNumberFormat="1" applyFont="1" applyFill="1" applyBorder="1" applyAlignment="1">
      <alignment horizontal="right" vertical="center" wrapText="1"/>
    </xf>
    <xf numFmtId="43" fontId="43" fillId="0" borderId="11" xfId="2" applyFont="1" applyBorder="1" applyAlignment="1">
      <alignment horizontal="right" vertical="center"/>
    </xf>
    <xf numFmtId="39" fontId="43" fillId="0" borderId="11" xfId="0" applyNumberFormat="1" applyFont="1" applyBorder="1" applyAlignment="1">
      <alignment horizontal="right" vertical="top"/>
    </xf>
    <xf numFmtId="39" fontId="43" fillId="0" borderId="11" xfId="0" applyNumberFormat="1" applyFont="1" applyBorder="1" applyAlignment="1">
      <alignment vertical="top"/>
    </xf>
    <xf numFmtId="43" fontId="43" fillId="0" borderId="11" xfId="2" applyFont="1" applyBorder="1" applyAlignment="1">
      <alignment horizontal="left" vertical="center" indent="1"/>
    </xf>
    <xf numFmtId="167" fontId="43" fillId="0" borderId="11" xfId="0" applyNumberFormat="1" applyFont="1" applyFill="1" applyBorder="1" applyAlignment="1">
      <alignment horizontal="right" vertical="center" wrapText="1"/>
    </xf>
    <xf numFmtId="4" fontId="43" fillId="0" borderId="7" xfId="0" applyNumberFormat="1" applyFont="1" applyBorder="1" applyAlignment="1">
      <alignment horizontal="right" vertical="center" indent="1"/>
    </xf>
    <xf numFmtId="4" fontId="39" fillId="0" borderId="4" xfId="0" applyNumberFormat="1" applyFont="1" applyBorder="1" applyAlignment="1">
      <alignment horizontal="right" vertical="center" indent="1"/>
    </xf>
    <xf numFmtId="166" fontId="39" fillId="0" borderId="12" xfId="1" applyNumberFormat="1" applyFont="1" applyFill="1" applyBorder="1" applyAlignment="1">
      <alignment vertical="center" wrapText="1"/>
    </xf>
    <xf numFmtId="166" fontId="22" fillId="0" borderId="22" xfId="1" applyNumberFormat="1" applyFont="1" applyBorder="1" applyAlignment="1">
      <alignment horizontal="right" vertical="center"/>
    </xf>
    <xf numFmtId="166" fontId="52" fillId="5" borderId="11" xfId="1" applyNumberFormat="1" applyFont="1" applyFill="1" applyBorder="1" applyAlignment="1">
      <alignment horizontal="right" vertical="center"/>
    </xf>
    <xf numFmtId="166" fontId="39" fillId="5" borderId="11" xfId="1" applyNumberFormat="1" applyFont="1" applyFill="1" applyBorder="1" applyAlignment="1">
      <alignment horizontal="right"/>
    </xf>
    <xf numFmtId="4" fontId="39" fillId="11" borderId="39" xfId="0" applyNumberFormat="1" applyFont="1" applyFill="1" applyBorder="1" applyAlignment="1">
      <alignment horizontal="right" vertical="center"/>
    </xf>
    <xf numFmtId="166" fontId="39" fillId="11" borderId="39" xfId="1" applyNumberFormat="1" applyFont="1" applyFill="1" applyBorder="1" applyAlignment="1">
      <alignment vertical="center"/>
    </xf>
    <xf numFmtId="4" fontId="44" fillId="0" borderId="8" xfId="0" applyNumberFormat="1" applyFont="1" applyBorder="1" applyAlignment="1">
      <alignment horizontal="right" vertical="center" indent="1"/>
    </xf>
    <xf numFmtId="43" fontId="94" fillId="0" borderId="8" xfId="2" applyFont="1" applyBorder="1" applyAlignment="1">
      <alignment horizontal="right" vertical="center"/>
    </xf>
    <xf numFmtId="166" fontId="44" fillId="0" borderId="8" xfId="1" applyNumberFormat="1" applyFont="1" applyBorder="1" applyAlignment="1">
      <alignment horizontal="right" vertical="center"/>
    </xf>
    <xf numFmtId="43" fontId="39" fillId="0" borderId="4" xfId="2" applyNumberFormat="1" applyFont="1" applyBorder="1" applyAlignment="1">
      <alignment horizontal="right" vertical="center"/>
    </xf>
    <xf numFmtId="4" fontId="43" fillId="0" borderId="4" xfId="0" applyNumberFormat="1" applyFont="1" applyBorder="1" applyAlignment="1">
      <alignment horizontal="right" vertical="center" indent="1"/>
    </xf>
    <xf numFmtId="43" fontId="43" fillId="4" borderId="4" xfId="0" applyNumberFormat="1" applyFont="1" applyFill="1" applyBorder="1" applyAlignment="1">
      <alignment horizontal="right"/>
    </xf>
    <xf numFmtId="166" fontId="22" fillId="0" borderId="8" xfId="1" applyNumberFormat="1" applyFont="1" applyBorder="1" applyAlignment="1">
      <alignment horizontal="right"/>
    </xf>
    <xf numFmtId="166" fontId="22" fillId="0" borderId="4" xfId="1" applyNumberFormat="1" applyFont="1" applyBorder="1"/>
    <xf numFmtId="166" fontId="43" fillId="4" borderId="4" xfId="0" applyNumberFormat="1" applyFont="1" applyFill="1" applyBorder="1" applyAlignment="1">
      <alignment horizontal="right"/>
    </xf>
    <xf numFmtId="166" fontId="43" fillId="4" borderId="7" xfId="0" applyNumberFormat="1" applyFont="1" applyFill="1" applyBorder="1" applyAlignment="1">
      <alignment horizontal="right"/>
    </xf>
    <xf numFmtId="166" fontId="43" fillId="0" borderId="4" xfId="0" applyNumberFormat="1" applyFont="1" applyBorder="1" applyAlignment="1">
      <alignment horizontal="right"/>
    </xf>
    <xf numFmtId="165" fontId="43" fillId="0" borderId="8" xfId="17" applyFont="1" applyBorder="1" applyAlignment="1">
      <alignment vertical="center"/>
    </xf>
    <xf numFmtId="39" fontId="43" fillId="0" borderId="7" xfId="0" applyNumberFormat="1" applyFont="1" applyBorder="1" applyAlignment="1">
      <alignment horizontal="right" vertical="top"/>
    </xf>
    <xf numFmtId="4" fontId="43" fillId="6" borderId="7" xfId="0" applyNumberFormat="1" applyFont="1" applyFill="1" applyBorder="1" applyAlignment="1">
      <alignment vertical="center"/>
    </xf>
    <xf numFmtId="166" fontId="43" fillId="0" borderId="7" xfId="0" applyNumberFormat="1" applyFont="1" applyBorder="1" applyAlignment="1">
      <alignment horizontal="right"/>
    </xf>
    <xf numFmtId="165" fontId="39" fillId="0" borderId="11" xfId="17" applyFont="1" applyBorder="1" applyAlignment="1">
      <alignment vertical="center"/>
    </xf>
    <xf numFmtId="4" fontId="43" fillId="6" borderId="11" xfId="0" applyNumberFormat="1" applyFont="1" applyFill="1" applyBorder="1" applyAlignment="1">
      <alignment vertical="center"/>
    </xf>
    <xf numFmtId="166" fontId="43" fillId="0" borderId="11" xfId="0" applyNumberFormat="1" applyFont="1" applyBorder="1" applyAlignment="1">
      <alignment horizontal="right"/>
    </xf>
    <xf numFmtId="166" fontId="43" fillId="0" borderId="8" xfId="0" applyNumberFormat="1" applyFont="1" applyBorder="1" applyAlignment="1">
      <alignment horizontal="right"/>
    </xf>
    <xf numFmtId="0" fontId="47" fillId="0" borderId="4" xfId="0" applyFont="1" applyFill="1" applyBorder="1" applyAlignment="1">
      <alignment vertical="top" wrapText="1"/>
    </xf>
    <xf numFmtId="43" fontId="43" fillId="0" borderId="11" xfId="2" applyFont="1" applyBorder="1" applyAlignment="1">
      <alignment vertical="center"/>
    </xf>
    <xf numFmtId="0" fontId="47" fillId="0" borderId="4" xfId="0" applyFont="1" applyBorder="1" applyAlignment="1">
      <alignment vertical="top"/>
    </xf>
    <xf numFmtId="0" fontId="39" fillId="0" borderId="12" xfId="0" applyFont="1" applyBorder="1" applyAlignment="1">
      <alignment wrapText="1"/>
    </xf>
    <xf numFmtId="43" fontId="43" fillId="0" borderId="25" xfId="2" applyFont="1" applyBorder="1" applyAlignment="1">
      <alignment horizontal="right" vertical="center"/>
    </xf>
    <xf numFmtId="166" fontId="22" fillId="0" borderId="25" xfId="1" applyNumberFormat="1" applyFont="1" applyBorder="1" applyAlignment="1">
      <alignment horizontal="right" vertical="center"/>
    </xf>
    <xf numFmtId="0" fontId="39" fillId="0" borderId="22" xfId="0" applyFont="1" applyBorder="1" applyAlignment="1">
      <alignment vertical="top" wrapText="1"/>
    </xf>
    <xf numFmtId="39" fontId="39" fillId="0" borderId="22" xfId="0" applyNumberFormat="1" applyFont="1" applyBorder="1" applyAlignment="1">
      <alignment horizontal="right" vertical="top"/>
    </xf>
    <xf numFmtId="39" fontId="39" fillId="0" borderId="22" xfId="0" applyNumberFormat="1" applyFont="1" applyBorder="1" applyAlignment="1">
      <alignment vertical="top"/>
    </xf>
    <xf numFmtId="39" fontId="39" fillId="0" borderId="21" xfId="0" applyNumberFormat="1" applyFont="1" applyBorder="1" applyAlignment="1">
      <alignment vertical="top"/>
    </xf>
    <xf numFmtId="4" fontId="39" fillId="0" borderId="8" xfId="0" applyNumberFormat="1" applyFont="1" applyBorder="1" applyAlignment="1">
      <alignment vertical="center"/>
    </xf>
    <xf numFmtId="43" fontId="43" fillId="0" borderId="4" xfId="2" applyFont="1" applyFill="1" applyBorder="1" applyAlignment="1">
      <alignment horizontal="left" vertical="center" wrapText="1" indent="1"/>
    </xf>
    <xf numFmtId="167" fontId="43" fillId="0" borderId="12" xfId="1" applyNumberFormat="1" applyFont="1" applyBorder="1" applyAlignment="1">
      <alignment vertical="center"/>
    </xf>
    <xf numFmtId="170" fontId="43" fillId="0" borderId="4" xfId="0" applyNumberFormat="1" applyFont="1" applyFill="1" applyBorder="1" applyAlignment="1">
      <alignment horizontal="left" vertical="center" wrapText="1"/>
    </xf>
    <xf numFmtId="170" fontId="43" fillId="0" borderId="7" xfId="0" applyNumberFormat="1" applyFont="1" applyFill="1" applyBorder="1" applyAlignment="1">
      <alignment horizontal="left" vertical="center" wrapText="1"/>
    </xf>
    <xf numFmtId="170" fontId="39" fillId="0" borderId="7" xfId="0" applyNumberFormat="1" applyFont="1" applyFill="1" applyBorder="1" applyAlignment="1">
      <alignment horizontal="left" vertical="center" wrapText="1"/>
    </xf>
    <xf numFmtId="0" fontId="54" fillId="0" borderId="4" xfId="0" applyFont="1" applyFill="1" applyBorder="1"/>
    <xf numFmtId="0" fontId="49" fillId="0" borderId="7" xfId="0" applyFont="1" applyBorder="1"/>
    <xf numFmtId="4" fontId="39" fillId="0" borderId="11" xfId="1" applyNumberFormat="1" applyFont="1" applyFill="1" applyBorder="1"/>
    <xf numFmtId="166" fontId="39" fillId="0" borderId="11" xfId="1" applyNumberFormat="1" applyFont="1" applyBorder="1" applyAlignment="1">
      <alignment horizontal="right"/>
    </xf>
    <xf numFmtId="4" fontId="22" fillId="0" borderId="4" xfId="1" applyNumberFormat="1" applyFont="1" applyFill="1" applyBorder="1"/>
    <xf numFmtId="166" fontId="22" fillId="0" borderId="4" xfId="1" applyNumberFormat="1" applyFont="1" applyBorder="1" applyAlignment="1">
      <alignment horizontal="right"/>
    </xf>
    <xf numFmtId="39" fontId="43" fillId="0" borderId="7" xfId="0" applyNumberFormat="1" applyFont="1" applyBorder="1" applyAlignment="1">
      <alignment vertical="top"/>
    </xf>
    <xf numFmtId="4" fontId="22" fillId="0" borderId="7" xfId="1" applyNumberFormat="1" applyFont="1" applyFill="1" applyBorder="1"/>
    <xf numFmtId="166" fontId="22" fillId="0" borderId="7" xfId="1" applyNumberFormat="1" applyFont="1" applyBorder="1" applyAlignment="1">
      <alignment horizontal="right"/>
    </xf>
    <xf numFmtId="39" fontId="39" fillId="0" borderId="8" xfId="0" applyNumberFormat="1" applyFont="1" applyBorder="1" applyAlignment="1">
      <alignment vertical="top"/>
    </xf>
    <xf numFmtId="4" fontId="39" fillId="0" borderId="8" xfId="1" applyNumberFormat="1" applyFont="1" applyFill="1" applyBorder="1"/>
    <xf numFmtId="39" fontId="39" fillId="0" borderId="7" xfId="0" applyNumberFormat="1" applyFont="1" applyBorder="1" applyAlignment="1">
      <alignment vertical="top"/>
    </xf>
    <xf numFmtId="43" fontId="43" fillId="0" borderId="4" xfId="2" applyFont="1" applyFill="1" applyBorder="1" applyAlignment="1">
      <alignment horizontal="left" vertical="center" wrapText="1"/>
    </xf>
    <xf numFmtId="43" fontId="52" fillId="5" borderId="11" xfId="0" applyNumberFormat="1" applyFont="1" applyFill="1" applyBorder="1" applyAlignment="1">
      <alignment horizontal="right" vertical="center" indent="1"/>
    </xf>
    <xf numFmtId="43" fontId="52" fillId="0" borderId="8" xfId="0" applyNumberFormat="1" applyFont="1" applyBorder="1" applyAlignment="1">
      <alignment horizontal="right" vertical="center"/>
    </xf>
    <xf numFmtId="43" fontId="39" fillId="0" borderId="8" xfId="0" applyNumberFormat="1" applyFont="1" applyBorder="1" applyAlignment="1">
      <alignment horizontal="right" vertical="center"/>
    </xf>
    <xf numFmtId="43" fontId="39" fillId="0" borderId="7" xfId="0" applyNumberFormat="1" applyFont="1" applyBorder="1" applyAlignment="1">
      <alignment horizontal="right" vertical="center"/>
    </xf>
    <xf numFmtId="165" fontId="43" fillId="0" borderId="4" xfId="18" applyFont="1" applyBorder="1" applyAlignment="1">
      <alignment horizontal="right" vertical="center"/>
    </xf>
    <xf numFmtId="165" fontId="39" fillId="0" borderId="4" xfId="18" applyFont="1" applyBorder="1" applyAlignment="1">
      <alignment vertical="center"/>
    </xf>
    <xf numFmtId="165" fontId="39" fillId="0" borderId="4" xfId="18" applyFont="1" applyBorder="1" applyAlignment="1">
      <alignment horizontal="right" vertical="center"/>
    </xf>
    <xf numFmtId="165" fontId="43" fillId="0" borderId="4" xfId="20" applyFont="1" applyBorder="1" applyAlignment="1">
      <alignment horizontal="right" vertical="center"/>
    </xf>
    <xf numFmtId="165" fontId="39" fillId="0" borderId="4" xfId="20" applyFont="1" applyBorder="1" applyAlignment="1">
      <alignment vertical="center"/>
    </xf>
    <xf numFmtId="165" fontId="39" fillId="0" borderId="4" xfId="20" applyFont="1" applyBorder="1" applyAlignment="1">
      <alignment horizontal="right" vertical="center"/>
    </xf>
    <xf numFmtId="43" fontId="43" fillId="0" borderId="25" xfId="0" applyNumberFormat="1" applyFont="1" applyBorder="1" applyAlignment="1">
      <alignment horizontal="left" vertical="center" indent="1"/>
    </xf>
    <xf numFmtId="43" fontId="43" fillId="0" borderId="25" xfId="0" applyNumberFormat="1" applyFont="1" applyBorder="1" applyAlignment="1">
      <alignment horizontal="right" vertical="center"/>
    </xf>
    <xf numFmtId="166" fontId="43" fillId="0" borderId="25" xfId="1" quotePrefix="1" applyNumberFormat="1" applyFont="1" applyBorder="1" applyAlignment="1">
      <alignment horizontal="right" vertical="center"/>
    </xf>
    <xf numFmtId="165" fontId="43" fillId="0" borderId="4" xfId="54" applyFont="1" applyBorder="1" applyAlignment="1">
      <alignment vertical="center"/>
    </xf>
    <xf numFmtId="165" fontId="43" fillId="0" borderId="4" xfId="54" applyFont="1" applyBorder="1" applyAlignment="1">
      <alignment horizontal="right" vertical="center"/>
    </xf>
    <xf numFmtId="165" fontId="43" fillId="0" borderId="4" xfId="53" applyFont="1" applyBorder="1" applyAlignment="1">
      <alignment horizontal="right" vertical="center"/>
    </xf>
    <xf numFmtId="39" fontId="39" fillId="12" borderId="11" xfId="0" applyNumberFormat="1" applyFont="1" applyFill="1" applyBorder="1" applyAlignment="1">
      <alignment horizontal="right" vertical="center"/>
    </xf>
    <xf numFmtId="39" fontId="39" fillId="12" borderId="11" xfId="0" applyNumberFormat="1" applyFont="1" applyFill="1" applyBorder="1" applyAlignment="1">
      <alignment horizontal="right" vertical="top"/>
    </xf>
    <xf numFmtId="166" fontId="39" fillId="12" borderId="11" xfId="1" applyNumberFormat="1" applyFont="1" applyFill="1" applyBorder="1" applyAlignment="1">
      <alignment horizontal="right" vertical="center"/>
    </xf>
    <xf numFmtId="0" fontId="22" fillId="0" borderId="22" xfId="0" applyFont="1" applyBorder="1" applyAlignment="1">
      <alignment horizontal="right"/>
    </xf>
    <xf numFmtId="39" fontId="52" fillId="0" borderId="11" xfId="0" applyNumberFormat="1" applyFont="1" applyBorder="1" applyAlignment="1">
      <alignment horizontal="right" vertical="top"/>
    </xf>
    <xf numFmtId="166" fontId="43" fillId="6" borderId="12" xfId="1" applyNumberFormat="1" applyFont="1" applyFill="1" applyBorder="1" applyAlignment="1">
      <alignment horizontal="right" vertical="center"/>
    </xf>
    <xf numFmtId="166" fontId="43" fillId="0" borderId="4" xfId="1" applyNumberFormat="1" applyFont="1" applyBorder="1" applyAlignment="1" applyProtection="1">
      <alignment horizontal="left" vertical="center" indent="1"/>
    </xf>
    <xf numFmtId="43" fontId="43" fillId="0" borderId="7" xfId="2" applyFont="1" applyBorder="1" applyAlignment="1">
      <alignment horizontal="right"/>
    </xf>
    <xf numFmtId="166" fontId="39" fillId="0" borderId="4" xfId="7" applyNumberFormat="1" applyFont="1" applyBorder="1" applyAlignment="1">
      <alignment horizontal="right" vertical="center"/>
    </xf>
    <xf numFmtId="0" fontId="22" fillId="0" borderId="7" xfId="0" applyFont="1" applyBorder="1" applyAlignment="1">
      <alignment horizontal="right"/>
    </xf>
    <xf numFmtId="0" fontId="22" fillId="0" borderId="8" xfId="0" applyFont="1" applyBorder="1" applyAlignment="1">
      <alignment horizontal="right"/>
    </xf>
    <xf numFmtId="41" fontId="22" fillId="0" borderId="4" xfId="1" applyFont="1" applyFill="1" applyBorder="1" applyAlignment="1" applyProtection="1">
      <alignment horizontal="left" vertical="center" indent="1"/>
    </xf>
    <xf numFmtId="166" fontId="22" fillId="0" borderId="4" xfId="1" applyNumberFormat="1" applyFont="1" applyBorder="1" applyAlignment="1" applyProtection="1">
      <alignment vertical="center"/>
    </xf>
    <xf numFmtId="0" fontId="22" fillId="0" borderId="46" xfId="0" applyNumberFormat="1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 wrapText="1"/>
    </xf>
    <xf numFmtId="166" fontId="39" fillId="0" borderId="46" xfId="1" applyNumberFormat="1" applyFont="1" applyBorder="1" applyAlignment="1">
      <alignment horizontal="center" vertical="center"/>
    </xf>
    <xf numFmtId="166" fontId="39" fillId="0" borderId="46" xfId="1" applyNumberFormat="1" applyFont="1" applyFill="1" applyBorder="1" applyAlignment="1">
      <alignment horizontal="center" vertical="center"/>
    </xf>
    <xf numFmtId="166" fontId="39" fillId="0" borderId="46" xfId="1" applyNumberFormat="1" applyFont="1" applyBorder="1" applyAlignment="1">
      <alignment horizontal="right" vertical="center"/>
    </xf>
    <xf numFmtId="166" fontId="39" fillId="0" borderId="46" xfId="1" applyNumberFormat="1" applyFont="1" applyBorder="1" applyAlignment="1">
      <alignment vertical="center"/>
    </xf>
    <xf numFmtId="0" fontId="22" fillId="0" borderId="46" xfId="0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43" fontId="39" fillId="0" borderId="0" xfId="2" applyFont="1" applyBorder="1" applyAlignment="1">
      <alignment horizontal="left" vertical="center"/>
    </xf>
    <xf numFmtId="4" fontId="22" fillId="0" borderId="0" xfId="0" applyNumberFormat="1" applyFont="1" applyBorder="1" applyAlignment="1">
      <alignment horizontal="right" vertical="top"/>
    </xf>
    <xf numFmtId="166" fontId="22" fillId="0" borderId="0" xfId="1" applyNumberFormat="1" applyFont="1" applyFill="1" applyBorder="1" applyAlignment="1">
      <alignment horizontal="right" vertical="top"/>
    </xf>
    <xf numFmtId="4" fontId="22" fillId="0" borderId="0" xfId="1" applyNumberFormat="1" applyFont="1" applyFill="1" applyBorder="1" applyAlignment="1">
      <alignment horizontal="right" vertical="top"/>
    </xf>
    <xf numFmtId="166" fontId="22" fillId="0" borderId="0" xfId="1" applyNumberFormat="1" applyFont="1" applyBorder="1" applyAlignment="1">
      <alignment horizontal="right"/>
    </xf>
    <xf numFmtId="0" fontId="39" fillId="0" borderId="0" xfId="0" applyNumberFormat="1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 wrapText="1"/>
    </xf>
    <xf numFmtId="166" fontId="22" fillId="0" borderId="0" xfId="1" applyNumberFormat="1" applyFont="1" applyBorder="1" applyAlignment="1">
      <alignment horizontal="left" vertical="center"/>
    </xf>
    <xf numFmtId="4" fontId="22" fillId="0" borderId="0" xfId="1" applyNumberFormat="1" applyFont="1" applyBorder="1" applyAlignment="1">
      <alignment horizontal="right" vertical="top"/>
    </xf>
    <xf numFmtId="166" fontId="39" fillId="0" borderId="0" xfId="1" applyNumberFormat="1" applyFont="1" applyAlignment="1">
      <alignment vertical="center"/>
    </xf>
    <xf numFmtId="166" fontId="39" fillId="0" borderId="0" xfId="1" applyNumberFormat="1" applyFont="1" applyAlignment="1"/>
    <xf numFmtId="0" fontId="22" fillId="0" borderId="0" xfId="0" applyFont="1" applyFill="1" applyBorder="1" applyAlignment="1">
      <alignment horizontal="right" vertical="top"/>
    </xf>
    <xf numFmtId="0" fontId="22" fillId="0" borderId="0" xfId="0" applyFont="1" applyAlignment="1"/>
    <xf numFmtId="0" fontId="39" fillId="0" borderId="0" xfId="0" applyFont="1" applyAlignment="1"/>
    <xf numFmtId="166" fontId="22" fillId="0" borderId="0" xfId="1" applyNumberFormat="1" applyFont="1" applyBorder="1" applyAlignment="1">
      <alignment vertical="top" wrapText="1"/>
    </xf>
    <xf numFmtId="0" fontId="39" fillId="0" borderId="7" xfId="0" applyFont="1" applyFill="1" applyBorder="1"/>
    <xf numFmtId="0" fontId="54" fillId="0" borderId="12" xfId="0" applyFont="1" applyFill="1" applyBorder="1"/>
    <xf numFmtId="4" fontId="54" fillId="0" borderId="4" xfId="0" applyNumberFormat="1" applyFont="1" applyFill="1" applyBorder="1" applyAlignment="1">
      <alignment vertical="center"/>
    </xf>
    <xf numFmtId="4" fontId="57" fillId="0" borderId="4" xfId="0" applyNumberFormat="1" applyFont="1" applyFill="1" applyBorder="1" applyAlignment="1">
      <alignment vertical="center"/>
    </xf>
    <xf numFmtId="4" fontId="57" fillId="0" borderId="4" xfId="0" applyNumberFormat="1" applyFont="1" applyBorder="1" applyAlignment="1">
      <alignment vertical="center"/>
    </xf>
    <xf numFmtId="4" fontId="60" fillId="0" borderId="4" xfId="0" applyNumberFormat="1" applyFont="1" applyBorder="1" applyAlignment="1">
      <alignment vertical="center"/>
    </xf>
    <xf numFmtId="166" fontId="60" fillId="0" borderId="4" xfId="1" applyNumberFormat="1" applyFont="1" applyBorder="1" applyAlignment="1">
      <alignment vertical="center"/>
    </xf>
    <xf numFmtId="166" fontId="57" fillId="0" borderId="4" xfId="1" applyNumberFormat="1" applyFont="1" applyBorder="1" applyAlignment="1">
      <alignment vertical="center"/>
    </xf>
    <xf numFmtId="4" fontId="54" fillId="0" borderId="4" xfId="1" applyNumberFormat="1" applyFont="1" applyFill="1" applyBorder="1" applyAlignment="1">
      <alignment vertical="center"/>
    </xf>
    <xf numFmtId="4" fontId="57" fillId="0" borderId="11" xfId="0" quotePrefix="1" applyNumberFormat="1" applyFont="1" applyFill="1" applyBorder="1" applyAlignment="1">
      <alignment horizontal="right" vertical="center"/>
    </xf>
    <xf numFmtId="4" fontId="57" fillId="0" borderId="12" xfId="0" quotePrefix="1" applyNumberFormat="1" applyFont="1" applyFill="1" applyBorder="1" applyAlignment="1">
      <alignment horizontal="right" vertical="center"/>
    </xf>
    <xf numFmtId="4" fontId="57" fillId="0" borderId="4" xfId="1" quotePrefix="1" applyNumberFormat="1" applyFont="1" applyFill="1" applyBorder="1" applyAlignment="1">
      <alignment horizontal="right" vertical="center"/>
    </xf>
    <xf numFmtId="49" fontId="22" fillId="0" borderId="4" xfId="0" applyNumberFormat="1" applyFont="1" applyBorder="1" applyAlignment="1">
      <alignment horizontal="center" vertical="center"/>
    </xf>
    <xf numFmtId="49" fontId="49" fillId="7" borderId="11" xfId="0" applyNumberFormat="1" applyFont="1" applyFill="1" applyBorder="1" applyAlignment="1">
      <alignment horizontal="center" vertical="center"/>
    </xf>
    <xf numFmtId="43" fontId="39" fillId="7" borderId="11" xfId="0" applyNumberFormat="1" applyFont="1" applyFill="1" applyBorder="1" applyAlignment="1">
      <alignment horizontal="left" vertical="center"/>
    </xf>
    <xf numFmtId="43" fontId="49" fillId="7" borderId="11" xfId="0" applyNumberFormat="1" applyFont="1" applyFill="1" applyBorder="1" applyAlignment="1">
      <alignment horizontal="left" vertical="center" indent="1"/>
    </xf>
    <xf numFmtId="166" fontId="57" fillId="0" borderId="4" xfId="5" applyNumberFormat="1" applyFont="1" applyBorder="1" applyAlignment="1">
      <alignment vertical="center"/>
    </xf>
    <xf numFmtId="49" fontId="43" fillId="0" borderId="12" xfId="4" applyNumberFormat="1" applyFont="1" applyBorder="1" applyAlignment="1">
      <alignment horizontal="left" vertical="center" wrapText="1"/>
    </xf>
    <xf numFmtId="0" fontId="43" fillId="0" borderId="8" xfId="3" applyFont="1" applyBorder="1" applyAlignment="1">
      <alignment vertical="center" wrapText="1"/>
    </xf>
    <xf numFmtId="43" fontId="54" fillId="0" borderId="11" xfId="0" applyNumberFormat="1" applyFont="1" applyFill="1" applyBorder="1" applyAlignment="1">
      <alignment vertical="center"/>
    </xf>
    <xf numFmtId="166" fontId="54" fillId="0" borderId="11" xfId="1" applyNumberFormat="1" applyFont="1" applyFill="1" applyBorder="1" applyAlignment="1">
      <alignment vertical="center"/>
    </xf>
    <xf numFmtId="166" fontId="54" fillId="0" borderId="8" xfId="1" applyNumberFormat="1" applyFont="1" applyFill="1" applyBorder="1" applyAlignment="1">
      <alignment vertical="center"/>
    </xf>
    <xf numFmtId="166" fontId="57" fillId="0" borderId="12" xfId="5" applyNumberFormat="1" applyFont="1" applyBorder="1" applyAlignment="1">
      <alignment vertical="center"/>
    </xf>
    <xf numFmtId="166" fontId="49" fillId="7" borderId="11" xfId="1" applyNumberFormat="1" applyFont="1" applyFill="1" applyBorder="1" applyAlignment="1">
      <alignment vertical="center"/>
    </xf>
    <xf numFmtId="43" fontId="57" fillId="0" borderId="4" xfId="2" applyFont="1" applyBorder="1" applyAlignment="1">
      <alignment vertical="center"/>
    </xf>
    <xf numFmtId="4" fontId="57" fillId="0" borderId="8" xfId="0" applyNumberFormat="1" applyFont="1" applyFill="1" applyBorder="1" applyAlignment="1">
      <alignment vertical="center"/>
    </xf>
    <xf numFmtId="43" fontId="54" fillId="0" borderId="4" xfId="2" applyFont="1" applyBorder="1" applyAlignment="1">
      <alignment vertical="center"/>
    </xf>
    <xf numFmtId="43" fontId="57" fillId="0" borderId="8" xfId="2" applyFont="1" applyBorder="1" applyAlignment="1">
      <alignment vertical="center" wrapText="1"/>
    </xf>
    <xf numFmtId="43" fontId="54" fillId="0" borderId="11" xfId="0" applyNumberFormat="1" applyFont="1" applyBorder="1" applyAlignment="1">
      <alignment vertical="center"/>
    </xf>
    <xf numFmtId="43" fontId="54" fillId="0" borderId="8" xfId="2" applyFont="1" applyBorder="1" applyAlignment="1">
      <alignment vertical="center"/>
    </xf>
    <xf numFmtId="43" fontId="54" fillId="0" borderId="12" xfId="2" applyFont="1" applyBorder="1" applyAlignment="1">
      <alignment vertical="center"/>
    </xf>
    <xf numFmtId="43" fontId="39" fillId="0" borderId="8" xfId="0" applyNumberFormat="1" applyFont="1" applyBorder="1" applyAlignment="1">
      <alignment horizontal="left" vertical="center"/>
    </xf>
    <xf numFmtId="43" fontId="57" fillId="0" borderId="4" xfId="0" applyNumberFormat="1" applyFont="1" applyBorder="1" applyAlignment="1">
      <alignment vertical="center"/>
    </xf>
    <xf numFmtId="43" fontId="43" fillId="0" borderId="8" xfId="0" applyNumberFormat="1" applyFont="1" applyBorder="1" applyAlignment="1">
      <alignment horizontal="left" vertical="center"/>
    </xf>
    <xf numFmtId="43" fontId="39" fillId="0" borderId="11" xfId="0" applyNumberFormat="1" applyFont="1" applyBorder="1" applyAlignment="1">
      <alignment horizontal="left" vertical="center"/>
    </xf>
    <xf numFmtId="49" fontId="93" fillId="7" borderId="11" xfId="0" applyNumberFormat="1" applyFont="1" applyFill="1" applyBorder="1" applyAlignment="1">
      <alignment horizontal="center" vertical="center"/>
    </xf>
    <xf numFmtId="4" fontId="49" fillId="7" borderId="11" xfId="1" applyNumberFormat="1" applyFont="1" applyFill="1" applyBorder="1" applyAlignment="1">
      <alignment vertical="center"/>
    </xf>
    <xf numFmtId="43" fontId="43" fillId="0" borderId="7" xfId="0" applyNumberFormat="1" applyFont="1" applyFill="1" applyBorder="1" applyAlignment="1">
      <alignment horizontal="left" vertical="center"/>
    </xf>
    <xf numFmtId="166" fontId="49" fillId="4" borderId="12" xfId="58" applyNumberFormat="1" applyFont="1" applyFill="1" applyBorder="1" applyAlignment="1">
      <alignment horizontal="right" vertical="center"/>
    </xf>
    <xf numFmtId="166" fontId="49" fillId="4" borderId="4" xfId="58" applyNumberFormat="1" applyFont="1" applyFill="1" applyBorder="1" applyAlignment="1">
      <alignment horizontal="right" vertical="center"/>
    </xf>
    <xf numFmtId="166" fontId="47" fillId="4" borderId="4" xfId="61" applyNumberFormat="1" applyFont="1" applyFill="1" applyBorder="1" applyAlignment="1">
      <alignment vertical="center"/>
    </xf>
    <xf numFmtId="0" fontId="39" fillId="0" borderId="12" xfId="0" applyFont="1" applyFill="1" applyBorder="1" applyAlignment="1">
      <alignment vertical="center" wrapText="1"/>
    </xf>
    <xf numFmtId="0" fontId="92" fillId="0" borderId="12" xfId="0" applyFont="1" applyFill="1" applyBorder="1"/>
    <xf numFmtId="166" fontId="47" fillId="4" borderId="4" xfId="58" applyNumberFormat="1" applyFont="1" applyFill="1" applyBorder="1" applyAlignment="1">
      <alignment vertical="center"/>
    </xf>
    <xf numFmtId="41" fontId="52" fillId="0" borderId="4" xfId="58" applyFont="1" applyFill="1" applyBorder="1"/>
    <xf numFmtId="0" fontId="57" fillId="0" borderId="4" xfId="0" applyFont="1" applyFill="1" applyBorder="1"/>
    <xf numFmtId="0" fontId="54" fillId="0" borderId="7" xfId="0" applyFont="1" applyFill="1" applyBorder="1"/>
    <xf numFmtId="4" fontId="39" fillId="7" borderId="11" xfId="0" applyNumberFormat="1" applyFont="1" applyFill="1" applyBorder="1" applyAlignment="1">
      <alignment vertical="center"/>
    </xf>
    <xf numFmtId="4" fontId="39" fillId="7" borderId="11" xfId="0" applyNumberFormat="1" applyFont="1" applyFill="1" applyBorder="1" applyAlignment="1">
      <alignment horizontal="right" vertical="center"/>
    </xf>
    <xf numFmtId="166" fontId="48" fillId="0" borderId="7" xfId="1" applyNumberFormat="1" applyFont="1" applyFill="1" applyBorder="1" applyAlignment="1">
      <alignment vertical="center"/>
    </xf>
    <xf numFmtId="166" fontId="57" fillId="0" borderId="7" xfId="1" applyNumberFormat="1" applyFont="1" applyBorder="1" applyAlignment="1">
      <alignment vertical="center"/>
    </xf>
    <xf numFmtId="39" fontId="54" fillId="6" borderId="4" xfId="0" applyNumberFormat="1" applyFont="1" applyFill="1" applyBorder="1" applyAlignment="1">
      <alignment vertical="center"/>
    </xf>
    <xf numFmtId="39" fontId="57" fillId="6" borderId="4" xfId="0" applyNumberFormat="1" applyFont="1" applyFill="1" applyBorder="1" applyAlignment="1">
      <alignment vertical="center"/>
    </xf>
    <xf numFmtId="39" fontId="39" fillId="7" borderId="11" xfId="0" applyNumberFormat="1" applyFont="1" applyFill="1" applyBorder="1" applyAlignment="1">
      <alignment vertical="center"/>
    </xf>
    <xf numFmtId="39" fontId="43" fillId="0" borderId="8" xfId="0" applyNumberFormat="1" applyFont="1" applyFill="1" applyBorder="1" applyAlignment="1">
      <alignment vertical="center"/>
    </xf>
    <xf numFmtId="39" fontId="54" fillId="0" borderId="4" xfId="0" applyNumberFormat="1" applyFont="1" applyFill="1" applyBorder="1" applyAlignment="1">
      <alignment vertical="center"/>
    </xf>
    <xf numFmtId="166" fontId="54" fillId="0" borderId="4" xfId="1" applyNumberFormat="1" applyFont="1" applyFill="1" applyBorder="1" applyAlignment="1">
      <alignment vertical="center"/>
    </xf>
    <xf numFmtId="39" fontId="57" fillId="0" borderId="4" xfId="0" applyNumberFormat="1" applyFont="1" applyFill="1" applyBorder="1" applyAlignment="1">
      <alignment vertical="center"/>
    </xf>
    <xf numFmtId="39" fontId="44" fillId="0" borderId="11" xfId="0" applyNumberFormat="1" applyFont="1" applyFill="1" applyBorder="1" applyAlignment="1">
      <alignment vertical="center"/>
    </xf>
    <xf numFmtId="39" fontId="44" fillId="0" borderId="12" xfId="0" applyNumberFormat="1" applyFont="1" applyFill="1" applyBorder="1" applyAlignment="1">
      <alignment vertical="center"/>
    </xf>
    <xf numFmtId="167" fontId="57" fillId="0" borderId="7" xfId="13" applyNumberFormat="1" applyFont="1" applyBorder="1" applyAlignment="1">
      <alignment vertical="center"/>
    </xf>
    <xf numFmtId="166" fontId="54" fillId="0" borderId="11" xfId="1" applyNumberFormat="1" applyFont="1" applyBorder="1" applyAlignment="1">
      <alignment vertical="center"/>
    </xf>
    <xf numFmtId="4" fontId="54" fillId="0" borderId="4" xfId="0" applyNumberFormat="1" applyFont="1" applyBorder="1" applyAlignment="1">
      <alignment vertical="center"/>
    </xf>
    <xf numFmtId="49" fontId="54" fillId="4" borderId="11" xfId="0" applyNumberFormat="1" applyFont="1" applyFill="1" applyBorder="1" applyAlignment="1">
      <alignment horizontal="center" vertical="center"/>
    </xf>
    <xf numFmtId="170" fontId="54" fillId="4" borderId="11" xfId="0" applyNumberFormat="1" applyFont="1" applyFill="1" applyBorder="1" applyAlignment="1">
      <alignment horizontal="left" vertical="center" wrapText="1"/>
    </xf>
    <xf numFmtId="166" fontId="54" fillId="4" borderId="11" xfId="1" applyNumberFormat="1" applyFont="1" applyFill="1" applyBorder="1" applyAlignment="1">
      <alignment vertical="center"/>
    </xf>
    <xf numFmtId="0" fontId="60" fillId="4" borderId="4" xfId="0" applyFont="1" applyFill="1" applyBorder="1"/>
    <xf numFmtId="49" fontId="49" fillId="4" borderId="11" xfId="0" applyNumberFormat="1" applyFont="1" applyFill="1" applyBorder="1" applyAlignment="1">
      <alignment horizontal="center" vertical="center"/>
    </xf>
    <xf numFmtId="170" fontId="39" fillId="4" borderId="11" xfId="0" applyNumberFormat="1" applyFont="1" applyFill="1" applyBorder="1" applyAlignment="1">
      <alignment horizontal="left" vertical="center" wrapText="1"/>
    </xf>
    <xf numFmtId="4" fontId="39" fillId="4" borderId="11" xfId="0" applyNumberFormat="1" applyFont="1" applyFill="1" applyBorder="1" applyAlignment="1">
      <alignment horizontal="right" vertical="center"/>
    </xf>
    <xf numFmtId="166" fontId="39" fillId="4" borderId="11" xfId="1" applyNumberFormat="1" applyFont="1" applyFill="1" applyBorder="1" applyAlignment="1">
      <alignment horizontal="right" vertical="center"/>
    </xf>
    <xf numFmtId="166" fontId="49" fillId="4" borderId="11" xfId="1" applyNumberFormat="1" applyFont="1" applyFill="1" applyBorder="1" applyAlignment="1">
      <alignment vertical="center"/>
    </xf>
    <xf numFmtId="0" fontId="48" fillId="4" borderId="4" xfId="0" applyFont="1" applyFill="1" applyBorder="1"/>
    <xf numFmtId="4" fontId="54" fillId="6" borderId="7" xfId="1" applyNumberFormat="1" applyFont="1" applyFill="1" applyBorder="1" applyAlignment="1">
      <alignment vertical="center"/>
    </xf>
    <xf numFmtId="4" fontId="57" fillId="6" borderId="4" xfId="1" applyNumberFormat="1" applyFont="1" applyFill="1" applyBorder="1" applyAlignment="1">
      <alignment vertical="center"/>
    </xf>
    <xf numFmtId="0" fontId="43" fillId="0" borderId="22" xfId="0" applyFont="1" applyFill="1" applyBorder="1" applyAlignment="1">
      <alignment horizontal="left" vertical="center" wrapText="1"/>
    </xf>
    <xf numFmtId="43" fontId="39" fillId="7" borderId="11" xfId="2" applyFont="1" applyFill="1" applyBorder="1" applyAlignment="1">
      <alignment horizontal="left" vertical="center"/>
    </xf>
    <xf numFmtId="166" fontId="39" fillId="7" borderId="22" xfId="1" applyNumberFormat="1" applyFont="1" applyFill="1" applyBorder="1" applyAlignment="1">
      <alignment vertical="center"/>
    </xf>
    <xf numFmtId="4" fontId="49" fillId="7" borderId="22" xfId="1" applyNumberFormat="1" applyFont="1" applyFill="1" applyBorder="1" applyAlignment="1">
      <alignment vertical="center"/>
    </xf>
    <xf numFmtId="166" fontId="49" fillId="0" borderId="21" xfId="1" applyNumberFormat="1" applyFont="1" applyBorder="1" applyAlignment="1">
      <alignment vertical="center"/>
    </xf>
    <xf numFmtId="20" fontId="43" fillId="0" borderId="4" xfId="0" applyNumberFormat="1" applyFont="1" applyBorder="1" applyAlignment="1">
      <alignment horizontal="left" vertical="center" wrapText="1"/>
    </xf>
    <xf numFmtId="20" fontId="43" fillId="0" borderId="8" xfId="0" applyNumberFormat="1" applyFont="1" applyBorder="1" applyAlignment="1">
      <alignment horizontal="left" vertical="center" wrapText="1"/>
    </xf>
    <xf numFmtId="0" fontId="39" fillId="7" borderId="11" xfId="0" applyFont="1" applyFill="1" applyBorder="1" applyAlignment="1">
      <alignment vertical="center" wrapText="1"/>
    </xf>
    <xf numFmtId="41" fontId="60" fillId="0" borderId="4" xfId="58" applyFont="1" applyFill="1" applyBorder="1"/>
    <xf numFmtId="43" fontId="54" fillId="0" borderId="11" xfId="2" applyFont="1" applyBorder="1" applyAlignment="1">
      <alignment vertical="center"/>
    </xf>
    <xf numFmtId="4" fontId="49" fillId="7" borderId="11" xfId="0" applyNumberFormat="1" applyFont="1" applyFill="1" applyBorder="1" applyAlignment="1">
      <alignment horizontal="right" vertical="center"/>
    </xf>
    <xf numFmtId="43" fontId="54" fillId="7" borderId="11" xfId="0" applyNumberFormat="1" applyFont="1" applyFill="1" applyBorder="1" applyAlignment="1">
      <alignment horizontal="left" vertical="center" indent="1"/>
    </xf>
    <xf numFmtId="166" fontId="54" fillId="0" borderId="7" xfId="1" applyNumberFormat="1" applyFont="1" applyBorder="1" applyAlignment="1">
      <alignment vertical="center"/>
    </xf>
    <xf numFmtId="166" fontId="54" fillId="0" borderId="8" xfId="1" applyNumberFormat="1" applyFont="1" applyBorder="1" applyAlignment="1">
      <alignment vertical="center"/>
    </xf>
    <xf numFmtId="0" fontId="22" fillId="0" borderId="0" xfId="0" applyNumberFormat="1" applyFont="1" applyBorder="1" applyAlignment="1">
      <alignment horizontal="left" vertical="center" wrapText="1"/>
    </xf>
    <xf numFmtId="166" fontId="22" fillId="0" borderId="0" xfId="1" applyNumberFormat="1" applyFont="1" applyBorder="1" applyAlignment="1">
      <alignment vertical="center" wrapText="1"/>
    </xf>
    <xf numFmtId="0" fontId="54" fillId="0" borderId="8" xfId="0" applyFont="1" applyFill="1" applyBorder="1" applyAlignment="1">
      <alignment vertical="center" wrapText="1"/>
    </xf>
    <xf numFmtId="165" fontId="43" fillId="4" borderId="4" xfId="0" applyNumberFormat="1" applyFont="1" applyFill="1" applyBorder="1" applyAlignment="1">
      <alignment vertical="center"/>
    </xf>
    <xf numFmtId="4" fontId="22" fillId="0" borderId="4" xfId="14" applyNumberFormat="1" applyFont="1" applyBorder="1" applyAlignment="1">
      <alignment vertical="center"/>
    </xf>
    <xf numFmtId="4" fontId="43" fillId="0" borderId="8" xfId="14" applyNumberFormat="1" applyFont="1" applyBorder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4" fontId="39" fillId="0" borderId="12" xfId="0" quotePrefix="1" applyNumberFormat="1" applyFont="1" applyFill="1" applyBorder="1" applyAlignment="1">
      <alignment horizontal="right" vertical="center"/>
    </xf>
    <xf numFmtId="4" fontId="43" fillId="4" borderId="4" xfId="0" applyNumberFormat="1" applyFont="1" applyFill="1" applyBorder="1" applyAlignment="1">
      <alignment horizontal="right" vertical="center"/>
    </xf>
    <xf numFmtId="4" fontId="43" fillId="4" borderId="12" xfId="0" applyNumberFormat="1" applyFont="1" applyFill="1" applyBorder="1" applyAlignment="1">
      <alignment horizontal="right" vertical="center"/>
    </xf>
    <xf numFmtId="4" fontId="43" fillId="4" borderId="22" xfId="0" applyNumberFormat="1" applyFont="1" applyFill="1" applyBorder="1" applyAlignment="1">
      <alignment horizontal="right" vertical="center"/>
    </xf>
    <xf numFmtId="166" fontId="39" fillId="0" borderId="7" xfId="1" applyNumberFormat="1" applyFont="1" applyBorder="1" applyAlignment="1">
      <alignment horizontal="right" vertical="center"/>
    </xf>
    <xf numFmtId="43" fontId="39" fillId="7" borderId="11" xfId="0" applyNumberFormat="1" applyFont="1" applyFill="1" applyBorder="1" applyAlignment="1">
      <alignment horizontal="right" vertical="center"/>
    </xf>
    <xf numFmtId="166" fontId="43" fillId="0" borderId="4" xfId="5" applyNumberFormat="1" applyFont="1" applyBorder="1" applyAlignment="1">
      <alignment horizontal="right" vertical="center"/>
    </xf>
    <xf numFmtId="166" fontId="39" fillId="0" borderId="21" xfId="6" applyNumberFormat="1" applyFont="1" applyBorder="1" applyAlignment="1">
      <alignment horizontal="right" vertical="center" wrapText="1"/>
    </xf>
    <xf numFmtId="0" fontId="43" fillId="0" borderId="7" xfId="6" applyFont="1" applyBorder="1" applyAlignment="1">
      <alignment vertical="center" wrapText="1"/>
    </xf>
    <xf numFmtId="166" fontId="43" fillId="0" borderId="7" xfId="5" applyNumberFormat="1" applyFont="1" applyBorder="1" applyAlignment="1">
      <alignment horizontal="right" vertical="center"/>
    </xf>
    <xf numFmtId="43" fontId="39" fillId="0" borderId="11" xfId="9" applyNumberFormat="1" applyFont="1" applyBorder="1" applyAlignment="1">
      <alignment horizontal="right" vertical="center" wrapText="1"/>
    </xf>
    <xf numFmtId="4" fontId="39" fillId="7" borderId="11" xfId="1" applyNumberFormat="1" applyFont="1" applyFill="1" applyBorder="1" applyAlignment="1">
      <alignment horizontal="right" vertical="center"/>
    </xf>
    <xf numFmtId="4" fontId="39" fillId="0" borderId="22" xfId="1" applyNumberFormat="1" applyFont="1" applyBorder="1" applyAlignment="1">
      <alignment horizontal="right" vertical="center"/>
    </xf>
    <xf numFmtId="166" fontId="39" fillId="4" borderId="4" xfId="57" applyNumberFormat="1" applyFont="1" applyFill="1" applyBorder="1" applyAlignment="1">
      <alignment horizontal="right" vertical="center"/>
    </xf>
    <xf numFmtId="166" fontId="43" fillId="4" borderId="12" xfId="58" applyNumberFormat="1" applyFont="1" applyFill="1" applyBorder="1" applyAlignment="1">
      <alignment horizontal="right" vertical="center"/>
    </xf>
    <xf numFmtId="166" fontId="39" fillId="4" borderId="12" xfId="0" applyNumberFormat="1" applyFont="1" applyFill="1" applyBorder="1" applyAlignment="1">
      <alignment horizontal="right" vertical="center"/>
    </xf>
    <xf numFmtId="166" fontId="43" fillId="4" borderId="4" xfId="61" applyNumberFormat="1" applyFont="1" applyFill="1" applyBorder="1" applyAlignment="1">
      <alignment horizontal="right" vertical="center"/>
    </xf>
    <xf numFmtId="0" fontId="22" fillId="0" borderId="22" xfId="0" applyFont="1" applyBorder="1" applyAlignment="1">
      <alignment horizontal="left" vertical="center" wrapText="1"/>
    </xf>
    <xf numFmtId="166" fontId="22" fillId="0" borderId="11" xfId="1" applyNumberFormat="1" applyFont="1" applyBorder="1" applyAlignment="1">
      <alignment horizontal="right" vertical="center"/>
    </xf>
    <xf numFmtId="167" fontId="43" fillId="0" borderId="4" xfId="0" applyNumberFormat="1" applyFont="1" applyBorder="1" applyAlignment="1">
      <alignment horizontal="right" vertical="center"/>
    </xf>
    <xf numFmtId="164" fontId="22" fillId="0" borderId="4" xfId="0" applyNumberFormat="1" applyFont="1" applyBorder="1" applyAlignment="1">
      <alignment horizontal="right" vertical="center"/>
    </xf>
    <xf numFmtId="167" fontId="43" fillId="4" borderId="7" xfId="0" applyNumberFormat="1" applyFont="1" applyFill="1" applyBorder="1" applyAlignment="1">
      <alignment horizontal="right" vertical="center"/>
    </xf>
    <xf numFmtId="0" fontId="39" fillId="7" borderId="22" xfId="0" applyFont="1" applyFill="1" applyBorder="1" applyAlignment="1">
      <alignment horizontal="left" vertical="center" wrapText="1"/>
    </xf>
    <xf numFmtId="43" fontId="39" fillId="7" borderId="22" xfId="0" applyNumberFormat="1" applyFont="1" applyFill="1" applyBorder="1" applyAlignment="1">
      <alignment horizontal="right" vertical="center"/>
    </xf>
    <xf numFmtId="166" fontId="39" fillId="7" borderId="22" xfId="1" applyNumberFormat="1" applyFont="1" applyFill="1" applyBorder="1" applyAlignment="1">
      <alignment horizontal="right" vertical="center"/>
    </xf>
    <xf numFmtId="39" fontId="39" fillId="7" borderId="11" xfId="0" applyNumberFormat="1" applyFont="1" applyFill="1" applyBorder="1" applyAlignment="1">
      <alignment horizontal="right" vertical="center"/>
    </xf>
    <xf numFmtId="166" fontId="39" fillId="7" borderId="17" xfId="1" applyNumberFormat="1" applyFont="1" applyFill="1" applyBorder="1" applyAlignment="1">
      <alignment horizontal="right" vertical="center"/>
    </xf>
    <xf numFmtId="39" fontId="39" fillId="0" borderId="17" xfId="0" applyNumberFormat="1" applyFont="1" applyFill="1" applyBorder="1" applyAlignment="1">
      <alignment horizontal="right" vertical="center"/>
    </xf>
    <xf numFmtId="167" fontId="43" fillId="0" borderId="4" xfId="12" applyNumberFormat="1" applyFont="1" applyBorder="1" applyAlignment="1">
      <alignment horizontal="right" vertical="center"/>
    </xf>
    <xf numFmtId="166" fontId="39" fillId="0" borderId="4" xfId="58" applyNumberFormat="1" applyFont="1" applyBorder="1" applyAlignment="1">
      <alignment horizontal="right" vertical="center"/>
    </xf>
    <xf numFmtId="168" fontId="43" fillId="0" borderId="4" xfId="1" applyNumberFormat="1" applyFont="1" applyBorder="1" applyAlignment="1">
      <alignment horizontal="right" vertical="center"/>
    </xf>
    <xf numFmtId="168" fontId="43" fillId="0" borderId="4" xfId="12" applyNumberFormat="1" applyFont="1" applyBorder="1" applyAlignment="1">
      <alignment horizontal="right" vertical="center"/>
    </xf>
    <xf numFmtId="169" fontId="43" fillId="0" borderId="4" xfId="12" applyNumberFormat="1" applyFont="1" applyBorder="1" applyAlignment="1">
      <alignment horizontal="right" vertical="center"/>
    </xf>
    <xf numFmtId="169" fontId="39" fillId="0" borderId="4" xfId="12" applyNumberFormat="1" applyFont="1" applyBorder="1" applyAlignment="1">
      <alignment horizontal="right" vertical="center"/>
    </xf>
    <xf numFmtId="167" fontId="43" fillId="0" borderId="7" xfId="13" applyNumberFormat="1" applyFont="1" applyBorder="1" applyAlignment="1">
      <alignment horizontal="right" vertical="center"/>
    </xf>
    <xf numFmtId="49" fontId="39" fillId="0" borderId="12" xfId="3" applyNumberFormat="1" applyFont="1" applyBorder="1" applyAlignment="1">
      <alignment vertical="center" wrapText="1"/>
    </xf>
    <xf numFmtId="166" fontId="39" fillId="0" borderId="12" xfId="58" applyNumberFormat="1" applyFont="1" applyBorder="1" applyAlignment="1">
      <alignment horizontal="right" vertical="center"/>
    </xf>
    <xf numFmtId="166" fontId="39" fillId="0" borderId="21" xfId="58" applyNumberFormat="1" applyFont="1" applyBorder="1" applyAlignment="1">
      <alignment horizontal="right" vertical="center"/>
    </xf>
    <xf numFmtId="0" fontId="43" fillId="0" borderId="12" xfId="3" applyFont="1" applyBorder="1" applyAlignment="1">
      <alignment vertical="center" wrapText="1"/>
    </xf>
    <xf numFmtId="166" fontId="43" fillId="0" borderId="8" xfId="58" applyNumberFormat="1" applyFont="1" applyBorder="1" applyAlignment="1">
      <alignment horizontal="right" vertical="center"/>
    </xf>
    <xf numFmtId="166" fontId="43" fillId="0" borderId="12" xfId="58" applyNumberFormat="1" applyFont="1" applyBorder="1" applyAlignment="1">
      <alignment horizontal="right" vertical="center"/>
    </xf>
    <xf numFmtId="39" fontId="43" fillId="0" borderId="25" xfId="0" applyNumberFormat="1" applyFont="1" applyFill="1" applyBorder="1" applyAlignment="1">
      <alignment horizontal="right" vertical="center"/>
    </xf>
    <xf numFmtId="166" fontId="43" fillId="0" borderId="25" xfId="1" applyNumberFormat="1" applyFont="1" applyFill="1" applyBorder="1" applyAlignment="1">
      <alignment horizontal="right" vertical="center"/>
    </xf>
    <xf numFmtId="39" fontId="39" fillId="0" borderId="8" xfId="0" applyNumberFormat="1" applyFont="1" applyFill="1" applyBorder="1" applyAlignment="1">
      <alignment horizontal="right" vertical="center"/>
    </xf>
    <xf numFmtId="39" fontId="43" fillId="0" borderId="22" xfId="0" applyNumberFormat="1" applyFont="1" applyFill="1" applyBorder="1" applyAlignment="1">
      <alignment horizontal="right" vertical="center"/>
    </xf>
    <xf numFmtId="166" fontId="43" fillId="0" borderId="7" xfId="58" applyNumberFormat="1" applyFont="1" applyBorder="1" applyAlignment="1">
      <alignment horizontal="right" vertical="center"/>
    </xf>
    <xf numFmtId="0" fontId="107" fillId="0" borderId="22" xfId="0" applyFont="1" applyFill="1" applyBorder="1" applyAlignment="1">
      <alignment horizontal="left" vertical="center" wrapText="1"/>
    </xf>
    <xf numFmtId="39" fontId="39" fillId="0" borderId="22" xfId="0" applyNumberFormat="1" applyFont="1" applyFill="1" applyBorder="1" applyAlignment="1">
      <alignment horizontal="right" vertical="center"/>
    </xf>
    <xf numFmtId="166" fontId="39" fillId="0" borderId="11" xfId="58" applyNumberFormat="1" applyFont="1" applyFill="1" applyBorder="1" applyAlignment="1">
      <alignment horizontal="right" vertical="center"/>
    </xf>
    <xf numFmtId="43" fontId="39" fillId="7" borderId="11" xfId="2" applyFont="1" applyFill="1" applyBorder="1" applyAlignment="1">
      <alignment horizontal="right" vertical="center"/>
    </xf>
    <xf numFmtId="4" fontId="39" fillId="0" borderId="4" xfId="0" applyNumberFormat="1" applyFont="1" applyFill="1" applyBorder="1" applyAlignment="1">
      <alignment horizontal="right" vertical="center" wrapText="1"/>
    </xf>
    <xf numFmtId="4" fontId="43" fillId="0" borderId="4" xfId="0" applyNumberFormat="1" applyFont="1" applyFill="1" applyBorder="1" applyAlignment="1">
      <alignment horizontal="right" vertical="center" wrapText="1"/>
    </xf>
    <xf numFmtId="166" fontId="39" fillId="0" borderId="17" xfId="1" applyNumberFormat="1" applyFont="1" applyBorder="1" applyAlignment="1">
      <alignment horizontal="right" vertical="center"/>
    </xf>
    <xf numFmtId="0" fontId="39" fillId="7" borderId="11" xfId="0" applyFont="1" applyFill="1" applyBorder="1" applyAlignment="1">
      <alignment wrapText="1"/>
    </xf>
    <xf numFmtId="43" fontId="44" fillId="0" borderId="8" xfId="2" applyFont="1" applyBorder="1" applyAlignment="1">
      <alignment horizontal="right" vertical="center"/>
    </xf>
    <xf numFmtId="49" fontId="39" fillId="0" borderId="4" xfId="0" applyNumberFormat="1" applyFont="1" applyFill="1" applyBorder="1" applyAlignment="1">
      <alignment horizontal="center" vertical="center"/>
    </xf>
    <xf numFmtId="165" fontId="39" fillId="0" borderId="11" xfId="17" applyFont="1" applyBorder="1" applyAlignment="1">
      <alignment horizontal="right" vertical="center"/>
    </xf>
    <xf numFmtId="4" fontId="43" fillId="6" borderId="7" xfId="0" applyNumberFormat="1" applyFont="1" applyFill="1" applyBorder="1" applyAlignment="1">
      <alignment horizontal="right" vertical="center"/>
    </xf>
    <xf numFmtId="4" fontId="39" fillId="6" borderId="7" xfId="0" applyNumberFormat="1" applyFont="1" applyFill="1" applyBorder="1" applyAlignment="1">
      <alignment horizontal="right" vertical="center"/>
    </xf>
    <xf numFmtId="166" fontId="43" fillId="0" borderId="8" xfId="0" applyNumberFormat="1" applyFont="1" applyBorder="1" applyAlignment="1">
      <alignment horizontal="right" vertical="center"/>
    </xf>
    <xf numFmtId="166" fontId="43" fillId="0" borderId="25" xfId="0" applyNumberFormat="1" applyFont="1" applyBorder="1" applyAlignment="1">
      <alignment horizontal="right" vertical="center"/>
    </xf>
    <xf numFmtId="4" fontId="43" fillId="6" borderId="25" xfId="0" applyNumberFormat="1" applyFont="1" applyFill="1" applyBorder="1" applyAlignment="1">
      <alignment horizontal="right" vertical="center"/>
    </xf>
    <xf numFmtId="49" fontId="39" fillId="0" borderId="12" xfId="0" applyNumberFormat="1" applyFont="1" applyFill="1" applyBorder="1" applyAlignment="1">
      <alignment horizontal="center" vertical="center"/>
    </xf>
    <xf numFmtId="43" fontId="39" fillId="0" borderId="21" xfId="0" applyNumberFormat="1" applyFont="1" applyBorder="1" applyAlignment="1">
      <alignment horizontal="right" vertical="center"/>
    </xf>
    <xf numFmtId="165" fontId="43" fillId="0" borderId="4" xfId="21" applyFont="1" applyBorder="1" applyAlignment="1">
      <alignment horizontal="right" vertical="center"/>
    </xf>
    <xf numFmtId="43" fontId="43" fillId="0" borderId="22" xfId="0" applyNumberFormat="1" applyFont="1" applyBorder="1" applyAlignment="1">
      <alignment horizontal="right" vertical="center"/>
    </xf>
    <xf numFmtId="166" fontId="43" fillId="0" borderId="22" xfId="1" quotePrefix="1" applyNumberFormat="1" applyFont="1" applyBorder="1" applyAlignment="1">
      <alignment horizontal="right" vertical="center"/>
    </xf>
    <xf numFmtId="166" fontId="43" fillId="0" borderId="8" xfId="1" applyNumberFormat="1" applyFont="1" applyFill="1" applyBorder="1" applyAlignment="1" applyProtection="1">
      <alignment horizontal="right" vertical="center"/>
    </xf>
    <xf numFmtId="166" fontId="39" fillId="0" borderId="11" xfId="58" applyNumberFormat="1" applyFont="1" applyBorder="1" applyAlignment="1">
      <alignment horizontal="right" vertical="center"/>
    </xf>
    <xf numFmtId="165" fontId="39" fillId="0" borderId="7" xfId="1" applyNumberFormat="1" applyFont="1" applyFill="1" applyBorder="1" applyAlignment="1">
      <alignment horizontal="right" vertical="center"/>
    </xf>
    <xf numFmtId="166" fontId="39" fillId="0" borderId="21" xfId="1" applyNumberFormat="1" applyFont="1" applyFill="1" applyBorder="1" applyAlignment="1">
      <alignment horizontal="right" vertical="center"/>
    </xf>
    <xf numFmtId="166" fontId="43" fillId="0" borderId="4" xfId="1" applyNumberFormat="1" applyFont="1" applyFill="1" applyBorder="1" applyAlignment="1" applyProtection="1">
      <alignment horizontal="right" vertical="center"/>
    </xf>
    <xf numFmtId="166" fontId="39" fillId="0" borderId="4" xfId="1" applyNumberFormat="1" applyFont="1" applyFill="1" applyBorder="1" applyAlignment="1" applyProtection="1">
      <alignment horizontal="right" vertical="center"/>
    </xf>
    <xf numFmtId="166" fontId="22" fillId="0" borderId="0" xfId="1" applyNumberFormat="1" applyFont="1" applyBorder="1" applyAlignment="1">
      <alignment horizontal="right" vertical="center"/>
    </xf>
    <xf numFmtId="0" fontId="22" fillId="0" borderId="15" xfId="0" applyFont="1" applyBorder="1"/>
    <xf numFmtId="0" fontId="22" fillId="0" borderId="1" xfId="0" applyFont="1" applyBorder="1" applyAlignment="1">
      <alignment vertical="top" wrapText="1"/>
    </xf>
    <xf numFmtId="0" fontId="53" fillId="0" borderId="0" xfId="0" applyFont="1"/>
    <xf numFmtId="0" fontId="49" fillId="2" borderId="0" xfId="0" applyFont="1" applyFill="1"/>
    <xf numFmtId="49" fontId="39" fillId="7" borderId="11" xfId="0" applyNumberFormat="1" applyFont="1" applyFill="1" applyBorder="1" applyAlignment="1">
      <alignment horizontal="center" vertical="center"/>
    </xf>
    <xf numFmtId="0" fontId="60" fillId="0" borderId="0" xfId="0" applyFont="1" applyFill="1"/>
    <xf numFmtId="49" fontId="44" fillId="7" borderId="11" xfId="0" applyNumberFormat="1" applyFont="1" applyFill="1" applyBorder="1" applyAlignment="1">
      <alignment horizontal="center" vertical="center"/>
    </xf>
    <xf numFmtId="0" fontId="53" fillId="0" borderId="36" xfId="0" applyFont="1" applyBorder="1"/>
    <xf numFmtId="49" fontId="39" fillId="7" borderId="22" xfId="0" applyNumberFormat="1" applyFont="1" applyFill="1" applyBorder="1" applyAlignment="1">
      <alignment horizontal="center" vertical="center"/>
    </xf>
    <xf numFmtId="49" fontId="39" fillId="0" borderId="21" xfId="0" applyNumberFormat="1" applyFont="1" applyBorder="1" applyAlignment="1">
      <alignment horizontal="center" vertical="center"/>
    </xf>
    <xf numFmtId="49" fontId="107" fillId="0" borderId="22" xfId="0" applyNumberFormat="1" applyFont="1" applyFill="1" applyBorder="1" applyAlignment="1">
      <alignment horizontal="center" vertical="center"/>
    </xf>
    <xf numFmtId="166" fontId="43" fillId="4" borderId="8" xfId="0" applyNumberFormat="1" applyFont="1" applyFill="1" applyBorder="1"/>
    <xf numFmtId="0" fontId="22" fillId="0" borderId="24" xfId="0" applyNumberFormat="1" applyFont="1" applyBorder="1" applyAlignment="1">
      <alignment horizontal="center" vertical="center"/>
    </xf>
    <xf numFmtId="0" fontId="39" fillId="0" borderId="24" xfId="0" applyNumberFormat="1" applyFont="1" applyBorder="1" applyAlignment="1">
      <alignment horizontal="left" vertical="center"/>
    </xf>
    <xf numFmtId="0" fontId="22" fillId="0" borderId="24" xfId="0" applyFont="1" applyBorder="1" applyAlignment="1">
      <alignment vertical="top"/>
    </xf>
    <xf numFmtId="0" fontId="22" fillId="0" borderId="5" xfId="0" applyFont="1" applyBorder="1" applyAlignment="1">
      <alignment vertical="top"/>
    </xf>
    <xf numFmtId="0" fontId="34" fillId="0" borderId="0" xfId="0" applyFont="1" applyAlignment="1">
      <alignment horizontal="center" vertical="center" wrapText="1"/>
    </xf>
    <xf numFmtId="0" fontId="108" fillId="0" borderId="0" xfId="0" applyFont="1" applyAlignment="1">
      <alignment horizontal="left" vertical="center" wrapText="1"/>
    </xf>
    <xf numFmtId="0" fontId="34" fillId="0" borderId="10" xfId="0" quotePrefix="1" applyFont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61" fillId="0" borderId="4" xfId="0" applyFont="1" applyBorder="1" applyAlignment="1">
      <alignment horizontal="left" vertical="center" wrapText="1"/>
    </xf>
    <xf numFmtId="0" fontId="31" fillId="0" borderId="4" xfId="0" applyFont="1" applyBorder="1" applyAlignment="1">
      <alignment horizontal="left" vertical="center" wrapText="1"/>
    </xf>
    <xf numFmtId="0" fontId="61" fillId="0" borderId="8" xfId="0" applyFont="1" applyBorder="1" applyAlignment="1">
      <alignment horizontal="left" vertical="center" wrapText="1"/>
    </xf>
    <xf numFmtId="0" fontId="61" fillId="0" borderId="7" xfId="0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8" xfId="0" applyFont="1" applyBorder="1" applyAlignment="1">
      <alignment horizontal="left" vertical="center" wrapText="1"/>
    </xf>
    <xf numFmtId="0" fontId="61" fillId="0" borderId="12" xfId="0" applyFont="1" applyBorder="1" applyAlignment="1">
      <alignment horizontal="left" vertical="center" wrapText="1"/>
    </xf>
    <xf numFmtId="0" fontId="31" fillId="2" borderId="4" xfId="0" applyFont="1" applyFill="1" applyBorder="1" applyAlignment="1">
      <alignment horizontal="left" vertical="center" wrapText="1"/>
    </xf>
    <xf numFmtId="0" fontId="31" fillId="8" borderId="11" xfId="0" applyFont="1" applyFill="1" applyBorder="1" applyAlignment="1">
      <alignment horizontal="left" vertical="center" wrapText="1"/>
    </xf>
    <xf numFmtId="0" fontId="31" fillId="0" borderId="8" xfId="0" applyFont="1" applyFill="1" applyBorder="1" applyAlignment="1">
      <alignment horizontal="left" vertical="center" wrapText="1"/>
    </xf>
    <xf numFmtId="0" fontId="31" fillId="0" borderId="11" xfId="3" applyFont="1" applyBorder="1" applyAlignment="1">
      <alignment vertical="center" wrapText="1"/>
    </xf>
    <xf numFmtId="0" fontId="31" fillId="0" borderId="8" xfId="3" applyFont="1" applyBorder="1" applyAlignment="1">
      <alignment vertical="center" wrapText="1"/>
    </xf>
    <xf numFmtId="0" fontId="61" fillId="0" borderId="4" xfId="4" applyFont="1" applyBorder="1" applyAlignment="1">
      <alignment horizontal="left" vertical="center" wrapText="1"/>
    </xf>
    <xf numFmtId="0" fontId="61" fillId="0" borderId="4" xfId="65" applyFont="1" applyBorder="1" applyAlignment="1">
      <alignment vertical="center" wrapText="1"/>
    </xf>
    <xf numFmtId="21" fontId="61" fillId="0" borderId="8" xfId="3" applyNumberFormat="1" applyFont="1" applyBorder="1" applyAlignment="1">
      <alignment vertical="center" wrapText="1"/>
    </xf>
    <xf numFmtId="21" fontId="61" fillId="0" borderId="4" xfId="3" applyNumberFormat="1" applyFont="1" applyBorder="1" applyAlignment="1">
      <alignment vertical="center" wrapText="1"/>
    </xf>
    <xf numFmtId="0" fontId="61" fillId="0" borderId="4" xfId="3" applyFont="1" applyBorder="1" applyAlignment="1">
      <alignment vertical="center" wrapText="1"/>
    </xf>
    <xf numFmtId="0" fontId="31" fillId="0" borderId="4" xfId="3" applyFont="1" applyBorder="1" applyAlignment="1">
      <alignment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61" fillId="0" borderId="4" xfId="4" applyFont="1" applyBorder="1" applyAlignment="1">
      <alignment vertical="center" wrapText="1"/>
    </xf>
    <xf numFmtId="0" fontId="61" fillId="0" borderId="12" xfId="65" applyFont="1" applyBorder="1" applyAlignment="1">
      <alignment vertical="center" wrapText="1"/>
    </xf>
    <xf numFmtId="0" fontId="61" fillId="0" borderId="4" xfId="0" applyFont="1" applyFill="1" applyBorder="1" applyAlignment="1">
      <alignment horizontal="left" vertical="center" wrapText="1"/>
    </xf>
    <xf numFmtId="0" fontId="61" fillId="0" borderId="7" xfId="0" applyFont="1" applyFill="1" applyBorder="1" applyAlignment="1">
      <alignment horizontal="left" vertical="center" wrapText="1"/>
    </xf>
    <xf numFmtId="0" fontId="31" fillId="0" borderId="7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center" wrapText="1"/>
    </xf>
    <xf numFmtId="49" fontId="31" fillId="0" borderId="4" xfId="3" applyNumberFormat="1" applyFont="1" applyBorder="1" applyAlignment="1">
      <alignment horizontal="left" vertical="center" wrapText="1"/>
    </xf>
    <xf numFmtId="49" fontId="31" fillId="0" borderId="4" xfId="4" applyNumberFormat="1" applyFont="1" applyBorder="1" applyAlignment="1">
      <alignment horizontal="left" vertical="center" wrapText="1"/>
    </xf>
    <xf numFmtId="49" fontId="61" fillId="0" borderId="4" xfId="4" applyNumberFormat="1" applyFont="1" applyBorder="1" applyAlignment="1">
      <alignment horizontal="left" vertical="center" wrapText="1"/>
    </xf>
    <xf numFmtId="49" fontId="61" fillId="0" borderId="8" xfId="4" applyNumberFormat="1" applyFont="1" applyBorder="1" applyAlignment="1">
      <alignment horizontal="left" vertical="center" wrapText="1"/>
    </xf>
    <xf numFmtId="49" fontId="31" fillId="0" borderId="21" xfId="3" applyNumberFormat="1" applyFont="1" applyBorder="1" applyAlignment="1">
      <alignment horizontal="left" vertical="center" wrapText="1"/>
    </xf>
    <xf numFmtId="0" fontId="31" fillId="0" borderId="22" xfId="0" applyFont="1" applyFill="1" applyBorder="1" applyAlignment="1">
      <alignment horizontal="left" vertical="center" wrapText="1"/>
    </xf>
    <xf numFmtId="49" fontId="61" fillId="0" borderId="12" xfId="4" applyNumberFormat="1" applyFont="1" applyBorder="1" applyAlignment="1">
      <alignment horizontal="left" vertical="center" wrapText="1"/>
    </xf>
    <xf numFmtId="0" fontId="31" fillId="0" borderId="4" xfId="4" applyFont="1" applyBorder="1" applyAlignment="1">
      <alignment horizontal="left" vertical="center" wrapText="1"/>
    </xf>
    <xf numFmtId="0" fontId="61" fillId="0" borderId="8" xfId="0" applyFont="1" applyFill="1" applyBorder="1" applyAlignment="1">
      <alignment horizontal="left" vertical="center" wrapText="1"/>
    </xf>
    <xf numFmtId="49" fontId="31" fillId="0" borderId="11" xfId="4" applyNumberFormat="1" applyFont="1" applyBorder="1" applyAlignment="1">
      <alignment horizontal="left" vertical="center" wrapText="1"/>
    </xf>
    <xf numFmtId="49" fontId="31" fillId="0" borderId="12" xfId="4" applyNumberFormat="1" applyFont="1" applyBorder="1" applyAlignment="1">
      <alignment horizontal="left" vertical="center" wrapText="1"/>
    </xf>
    <xf numFmtId="0" fontId="31" fillId="0" borderId="12" xfId="4" applyFont="1" applyBorder="1" applyAlignment="1">
      <alignment horizontal="left" vertical="center" wrapText="1"/>
    </xf>
    <xf numFmtId="0" fontId="61" fillId="0" borderId="25" xfId="0" applyFont="1" applyFill="1" applyBorder="1" applyAlignment="1">
      <alignment horizontal="left" vertical="center" wrapText="1"/>
    </xf>
    <xf numFmtId="0" fontId="61" fillId="0" borderId="7" xfId="65" applyFont="1" applyBorder="1" applyAlignment="1">
      <alignment vertical="center" wrapText="1"/>
    </xf>
    <xf numFmtId="0" fontId="61" fillId="0" borderId="8" xfId="4" applyFont="1" applyBorder="1" applyAlignment="1">
      <alignment vertical="center" wrapText="1"/>
    </xf>
    <xf numFmtId="0" fontId="31" fillId="0" borderId="4" xfId="4" applyFont="1" applyBorder="1" applyAlignment="1">
      <alignment vertical="center" wrapText="1"/>
    </xf>
    <xf numFmtId="0" fontId="31" fillId="0" borderId="8" xfId="4" applyFont="1" applyBorder="1" applyAlignment="1">
      <alignment vertical="center" wrapText="1"/>
    </xf>
    <xf numFmtId="0" fontId="61" fillId="0" borderId="8" xfId="9" applyFont="1" applyBorder="1" applyAlignment="1">
      <alignment horizontal="left" vertical="center" wrapText="1"/>
    </xf>
    <xf numFmtId="0" fontId="61" fillId="0" borderId="4" xfId="9" applyFont="1" applyBorder="1" applyAlignment="1">
      <alignment horizontal="left" vertical="center" wrapText="1"/>
    </xf>
    <xf numFmtId="0" fontId="34" fillId="0" borderId="4" xfId="0" applyFont="1" applyBorder="1" applyAlignment="1">
      <alignment horizontal="left" vertical="center" wrapText="1"/>
    </xf>
    <xf numFmtId="0" fontId="61" fillId="0" borderId="25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31" fillId="0" borderId="11" xfId="9" applyFont="1" applyBorder="1" applyAlignment="1">
      <alignment vertical="center" wrapText="1"/>
    </xf>
    <xf numFmtId="0" fontId="31" fillId="0" borderId="8" xfId="0" applyFont="1" applyBorder="1" applyAlignment="1">
      <alignment vertical="center" wrapText="1"/>
    </xf>
    <xf numFmtId="0" fontId="31" fillId="5" borderId="11" xfId="0" applyFont="1" applyFill="1" applyBorder="1" applyAlignment="1">
      <alignment horizontal="left" vertical="center" wrapText="1"/>
    </xf>
    <xf numFmtId="0" fontId="31" fillId="0" borderId="22" xfId="0" applyFont="1" applyBorder="1" applyAlignment="1">
      <alignment horizontal="left" vertical="center" wrapText="1"/>
    </xf>
    <xf numFmtId="0" fontId="61" fillId="0" borderId="4" xfId="0" applyFont="1" applyBorder="1" applyAlignment="1">
      <alignment vertical="center" wrapText="1"/>
    </xf>
    <xf numFmtId="0" fontId="31" fillId="0" borderId="4" xfId="0" applyFont="1" applyBorder="1" applyAlignment="1">
      <alignment vertical="center" wrapText="1"/>
    </xf>
    <xf numFmtId="0" fontId="61" fillId="0" borderId="8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61" fillId="0" borderId="12" xfId="0" applyFont="1" applyBorder="1" applyAlignment="1">
      <alignment vertical="center" wrapText="1"/>
    </xf>
    <xf numFmtId="166" fontId="31" fillId="0" borderId="11" xfId="1" applyNumberFormat="1" applyFont="1" applyBorder="1" applyAlignment="1">
      <alignment vertical="center" wrapText="1"/>
    </xf>
    <xf numFmtId="0" fontId="34" fillId="0" borderId="8" xfId="0" applyFont="1" applyBorder="1" applyAlignment="1">
      <alignment horizontal="left" vertical="center" wrapText="1"/>
    </xf>
    <xf numFmtId="0" fontId="31" fillId="0" borderId="11" xfId="0" applyFont="1" applyBorder="1" applyAlignment="1">
      <alignment vertical="center" wrapText="1"/>
    </xf>
    <xf numFmtId="0" fontId="61" fillId="0" borderId="7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34" fillId="0" borderId="7" xfId="0" applyFont="1" applyBorder="1" applyAlignment="1">
      <alignment vertical="center" wrapText="1"/>
    </xf>
    <xf numFmtId="0" fontId="31" fillId="0" borderId="21" xfId="0" applyFont="1" applyBorder="1" applyAlignment="1">
      <alignment vertical="center" wrapText="1"/>
    </xf>
    <xf numFmtId="0" fontId="31" fillId="0" borderId="4" xfId="10" applyFont="1" applyBorder="1" applyAlignment="1">
      <alignment vertical="center" wrapText="1"/>
    </xf>
    <xf numFmtId="0" fontId="31" fillId="0" borderId="12" xfId="0" applyFont="1" applyBorder="1" applyAlignment="1">
      <alignment vertical="center" wrapText="1"/>
    </xf>
    <xf numFmtId="0" fontId="61" fillId="0" borderId="25" xfId="0" applyFont="1" applyBorder="1" applyAlignment="1">
      <alignment vertical="center" wrapText="1"/>
    </xf>
    <xf numFmtId="0" fontId="31" fillId="0" borderId="12" xfId="10" applyFont="1" applyBorder="1" applyAlignment="1">
      <alignment vertical="center" wrapText="1"/>
    </xf>
    <xf numFmtId="0" fontId="34" fillId="0" borderId="25" xfId="0" applyFont="1" applyBorder="1" applyAlignment="1">
      <alignment horizontal="left" vertical="center" wrapText="1"/>
    </xf>
    <xf numFmtId="43" fontId="61" fillId="0" borderId="4" xfId="2" applyFont="1" applyFill="1" applyBorder="1" applyAlignment="1">
      <alignment horizontal="left" vertical="center" wrapText="1"/>
    </xf>
    <xf numFmtId="0" fontId="31" fillId="0" borderId="22" xfId="0" applyFont="1" applyFill="1" applyBorder="1" applyAlignment="1">
      <alignment vertical="center" wrapText="1"/>
    </xf>
    <xf numFmtId="0" fontId="61" fillId="6" borderId="4" xfId="0" applyFont="1" applyFill="1" applyBorder="1" applyAlignment="1">
      <alignment horizontal="left" vertical="center" wrapText="1"/>
    </xf>
    <xf numFmtId="0" fontId="31" fillId="6" borderId="4" xfId="0" applyFont="1" applyFill="1" applyBorder="1" applyAlignment="1">
      <alignment horizontal="left" vertical="center" wrapText="1"/>
    </xf>
    <xf numFmtId="0" fontId="61" fillId="6" borderId="7" xfId="0" applyFont="1" applyFill="1" applyBorder="1" applyAlignment="1">
      <alignment horizontal="left" vertical="center" wrapText="1"/>
    </xf>
    <xf numFmtId="0" fontId="69" fillId="0" borderId="4" xfId="0" applyFont="1" applyFill="1" applyBorder="1" applyAlignment="1">
      <alignment vertical="center"/>
    </xf>
    <xf numFmtId="164" fontId="34" fillId="0" borderId="4" xfId="0" applyNumberFormat="1" applyFont="1" applyBorder="1" applyAlignment="1">
      <alignment vertical="center"/>
    </xf>
    <xf numFmtId="164" fontId="31" fillId="0" borderId="4" xfId="0" applyNumberFormat="1" applyFont="1" applyBorder="1" applyAlignment="1">
      <alignment vertical="center"/>
    </xf>
    <xf numFmtId="0" fontId="62" fillId="0" borderId="17" xfId="0" applyFont="1" applyBorder="1" applyAlignment="1">
      <alignment horizontal="left" vertical="center" wrapText="1"/>
    </xf>
    <xf numFmtId="0" fontId="34" fillId="0" borderId="4" xfId="0" applyFont="1" applyFill="1" applyBorder="1" applyAlignment="1">
      <alignment horizontal="left" vertical="center" wrapText="1"/>
    </xf>
    <xf numFmtId="20" fontId="31" fillId="0" borderId="4" xfId="0" applyNumberFormat="1" applyFont="1" applyFill="1" applyBorder="1" applyAlignment="1">
      <alignment horizontal="left" vertical="center" wrapText="1"/>
    </xf>
    <xf numFmtId="0" fontId="34" fillId="4" borderId="4" xfId="0" applyFont="1" applyFill="1" applyBorder="1" applyAlignment="1">
      <alignment vertical="center" wrapText="1"/>
    </xf>
    <xf numFmtId="0" fontId="61" fillId="6" borderId="4" xfId="0" applyFont="1" applyFill="1" applyBorder="1" applyAlignment="1">
      <alignment vertical="center" wrapText="1"/>
    </xf>
    <xf numFmtId="0" fontId="31" fillId="0" borderId="21" xfId="0" applyFont="1" applyBorder="1" applyAlignment="1">
      <alignment horizontal="left" vertical="center" wrapText="1"/>
    </xf>
    <xf numFmtId="0" fontId="34" fillId="0" borderId="8" xfId="0" applyFont="1" applyFill="1" applyBorder="1" applyAlignment="1">
      <alignment horizontal="left" vertical="center" wrapText="1"/>
    </xf>
    <xf numFmtId="0" fontId="31" fillId="4" borderId="4" xfId="0" applyFont="1" applyFill="1" applyBorder="1" applyAlignment="1">
      <alignment vertical="center" wrapText="1"/>
    </xf>
    <xf numFmtId="0" fontId="61" fillId="0" borderId="22" xfId="0" applyFont="1" applyFill="1" applyBorder="1" applyAlignment="1">
      <alignment horizontal="left" vertical="center" wrapText="1"/>
    </xf>
    <xf numFmtId="0" fontId="34" fillId="0" borderId="22" xfId="0" applyFont="1" applyBorder="1" applyAlignment="1">
      <alignment vertical="center" wrapText="1"/>
    </xf>
    <xf numFmtId="0" fontId="61" fillId="4" borderId="4" xfId="0" applyFont="1" applyFill="1" applyBorder="1" applyAlignment="1">
      <alignment vertical="center" wrapText="1"/>
    </xf>
    <xf numFmtId="0" fontId="31" fillId="0" borderId="38" xfId="0" applyFont="1" applyBorder="1" applyAlignment="1">
      <alignment horizontal="left" vertical="center" wrapText="1"/>
    </xf>
    <xf numFmtId="0" fontId="31" fillId="5" borderId="39" xfId="0" applyFont="1" applyFill="1" applyBorder="1" applyAlignment="1">
      <alignment horizontal="left" vertical="center" wrapText="1"/>
    </xf>
    <xf numFmtId="0" fontId="61" fillId="0" borderId="22" xfId="0" applyFont="1" applyBorder="1" applyAlignment="1">
      <alignment horizontal="left" vertical="center" wrapText="1"/>
    </xf>
    <xf numFmtId="0" fontId="62" fillId="0" borderId="7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left" vertical="center" wrapText="1"/>
    </xf>
    <xf numFmtId="0" fontId="61" fillId="6" borderId="8" xfId="0" applyFont="1" applyFill="1" applyBorder="1" applyAlignment="1">
      <alignment vertical="center" wrapText="1"/>
    </xf>
    <xf numFmtId="0" fontId="61" fillId="6" borderId="7" xfId="0" applyFont="1" applyFill="1" applyBorder="1" applyAlignment="1">
      <alignment vertical="center" wrapText="1"/>
    </xf>
    <xf numFmtId="0" fontId="31" fillId="6" borderId="7" xfId="0" applyFont="1" applyFill="1" applyBorder="1" applyAlignment="1">
      <alignment vertical="center" wrapText="1"/>
    </xf>
    <xf numFmtId="0" fontId="31" fillId="0" borderId="12" xfId="0" applyFont="1" applyFill="1" applyBorder="1" applyAlignment="1">
      <alignment horizontal="left" vertical="center" wrapText="1"/>
    </xf>
    <xf numFmtId="0" fontId="61" fillId="0" borderId="7" xfId="3" applyFont="1" applyBorder="1" applyAlignment="1">
      <alignment vertical="center" wrapText="1"/>
    </xf>
    <xf numFmtId="0" fontId="31" fillId="0" borderId="7" xfId="3" applyFont="1" applyBorder="1" applyAlignment="1">
      <alignment vertical="center" wrapText="1"/>
    </xf>
    <xf numFmtId="0" fontId="109" fillId="0" borderId="4" xfId="3" applyFont="1" applyBorder="1" applyAlignment="1">
      <alignment vertical="center" wrapText="1"/>
    </xf>
    <xf numFmtId="0" fontId="109" fillId="0" borderId="8" xfId="3" applyFont="1" applyBorder="1" applyAlignment="1">
      <alignment vertical="center" wrapText="1"/>
    </xf>
    <xf numFmtId="0" fontId="61" fillId="0" borderId="8" xfId="3" applyFont="1" applyBorder="1" applyAlignment="1">
      <alignment vertical="center" wrapText="1"/>
    </xf>
    <xf numFmtId="170" fontId="31" fillId="0" borderId="22" xfId="0" applyNumberFormat="1" applyFont="1" applyFill="1" applyBorder="1" applyAlignment="1">
      <alignment horizontal="left" vertical="center" wrapText="1"/>
    </xf>
    <xf numFmtId="170" fontId="31" fillId="0" borderId="4" xfId="0" applyNumberFormat="1" applyFont="1" applyBorder="1" applyAlignment="1">
      <alignment horizontal="left" vertical="center" wrapText="1"/>
    </xf>
    <xf numFmtId="170" fontId="61" fillId="0" borderId="4" xfId="0" applyNumberFormat="1" applyFont="1" applyBorder="1" applyAlignment="1">
      <alignment horizontal="left" vertical="center" wrapText="1"/>
    </xf>
    <xf numFmtId="0" fontId="110" fillId="0" borderId="4" xfId="0" applyFont="1" applyBorder="1" applyAlignment="1">
      <alignment vertical="center"/>
    </xf>
    <xf numFmtId="170" fontId="31" fillId="6" borderId="11" xfId="0" applyNumberFormat="1" applyFont="1" applyFill="1" applyBorder="1" applyAlignment="1">
      <alignment horizontal="left" vertical="center" wrapText="1"/>
    </xf>
    <xf numFmtId="170" fontId="31" fillId="6" borderId="4" xfId="0" applyNumberFormat="1" applyFont="1" applyFill="1" applyBorder="1" applyAlignment="1">
      <alignment horizontal="left" vertical="center" wrapText="1"/>
    </xf>
    <xf numFmtId="170" fontId="61" fillId="0" borderId="12" xfId="0" applyNumberFormat="1" applyFont="1" applyBorder="1" applyAlignment="1">
      <alignment horizontal="left" vertical="center" wrapText="1"/>
    </xf>
    <xf numFmtId="170" fontId="31" fillId="6" borderId="12" xfId="0" applyNumberFormat="1" applyFont="1" applyFill="1" applyBorder="1" applyAlignment="1">
      <alignment horizontal="left" vertical="center" wrapText="1"/>
    </xf>
    <xf numFmtId="170" fontId="61" fillId="0" borderId="25" xfId="0" applyNumberFormat="1" applyFont="1" applyBorder="1" applyAlignment="1">
      <alignment horizontal="left" vertical="center" wrapText="1"/>
    </xf>
    <xf numFmtId="170" fontId="31" fillId="0" borderId="11" xfId="0" applyNumberFormat="1" applyFont="1" applyBorder="1" applyAlignment="1">
      <alignment horizontal="left" vertical="center" wrapText="1"/>
    </xf>
    <xf numFmtId="170" fontId="61" fillId="0" borderId="8" xfId="0" applyNumberFormat="1" applyFont="1" applyBorder="1" applyAlignment="1">
      <alignment horizontal="left" vertical="center" wrapText="1"/>
    </xf>
    <xf numFmtId="170" fontId="31" fillId="0" borderId="8" xfId="0" applyNumberFormat="1" applyFont="1" applyBorder="1" applyAlignment="1">
      <alignment horizontal="left" vertical="center" wrapText="1"/>
    </xf>
    <xf numFmtId="170" fontId="31" fillId="0" borderId="7" xfId="0" applyNumberFormat="1" applyFont="1" applyBorder="1" applyAlignment="1">
      <alignment horizontal="left" vertical="center" wrapText="1"/>
    </xf>
    <xf numFmtId="170" fontId="34" fillId="0" borderId="4" xfId="0" applyNumberFormat="1" applyFont="1" applyBorder="1" applyAlignment="1">
      <alignment horizontal="left" vertical="center" wrapText="1"/>
    </xf>
    <xf numFmtId="170" fontId="34" fillId="0" borderId="8" xfId="0" applyNumberFormat="1" applyFont="1" applyBorder="1" applyAlignment="1">
      <alignment horizontal="left" vertical="center" wrapText="1"/>
    </xf>
    <xf numFmtId="170" fontId="61" fillId="6" borderId="4" xfId="0" applyNumberFormat="1" applyFont="1" applyFill="1" applyBorder="1" applyAlignment="1">
      <alignment horizontal="left" vertical="center" wrapText="1"/>
    </xf>
    <xf numFmtId="170" fontId="61" fillId="6" borderId="8" xfId="0" applyNumberFormat="1" applyFont="1" applyFill="1" applyBorder="1" applyAlignment="1">
      <alignment horizontal="left" vertical="center" wrapText="1"/>
    </xf>
    <xf numFmtId="170" fontId="31" fillId="0" borderId="12" xfId="0" applyNumberFormat="1" applyFont="1" applyBorder="1" applyAlignment="1">
      <alignment horizontal="left" vertical="center" wrapText="1"/>
    </xf>
    <xf numFmtId="170" fontId="61" fillId="0" borderId="7" xfId="0" applyNumberFormat="1" applyFont="1" applyBorder="1" applyAlignment="1">
      <alignment horizontal="left" vertical="center" wrapText="1"/>
    </xf>
    <xf numFmtId="170" fontId="31" fillId="6" borderId="7" xfId="0" applyNumberFormat="1" applyFont="1" applyFill="1" applyBorder="1" applyAlignment="1">
      <alignment horizontal="left" vertical="center" wrapText="1"/>
    </xf>
    <xf numFmtId="170" fontId="31" fillId="6" borderId="25" xfId="0" applyNumberFormat="1" applyFont="1" applyFill="1" applyBorder="1" applyAlignment="1">
      <alignment horizontal="left" vertical="center" wrapText="1"/>
    </xf>
    <xf numFmtId="170" fontId="31" fillId="6" borderId="8" xfId="0" applyNumberFormat="1" applyFont="1" applyFill="1" applyBorder="1" applyAlignment="1">
      <alignment horizontal="left" vertical="center" wrapText="1"/>
    </xf>
    <xf numFmtId="170" fontId="61" fillId="6" borderId="7" xfId="0" applyNumberFormat="1" applyFont="1" applyFill="1" applyBorder="1" applyAlignment="1">
      <alignment horizontal="left" vertical="center" wrapText="1"/>
    </xf>
    <xf numFmtId="0" fontId="31" fillId="5" borderId="39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vertical="center" wrapText="1"/>
    </xf>
    <xf numFmtId="0" fontId="61" fillId="0" borderId="4" xfId="0" applyFont="1" applyFill="1" applyBorder="1" applyAlignment="1">
      <alignment vertical="center" wrapText="1"/>
    </xf>
    <xf numFmtId="0" fontId="34" fillId="0" borderId="4" xfId="0" applyFont="1" applyFill="1" applyBorder="1" applyAlignment="1">
      <alignment vertical="center" wrapText="1"/>
    </xf>
    <xf numFmtId="20" fontId="61" fillId="0" borderId="4" xfId="0" applyNumberFormat="1" applyFont="1" applyBorder="1" applyAlignment="1">
      <alignment horizontal="left" vertical="center" wrapText="1"/>
    </xf>
    <xf numFmtId="0" fontId="31" fillId="0" borderId="21" xfId="0" applyFont="1" applyFill="1" applyBorder="1" applyAlignment="1">
      <alignment horizontal="left" vertical="center" wrapText="1"/>
    </xf>
    <xf numFmtId="0" fontId="34" fillId="0" borderId="7" xfId="0" applyFont="1" applyFill="1" applyBorder="1" applyAlignment="1">
      <alignment horizontal="left" vertical="center" wrapText="1"/>
    </xf>
    <xf numFmtId="0" fontId="34" fillId="0" borderId="7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34" fillId="0" borderId="8" xfId="0" applyFont="1" applyFill="1" applyBorder="1" applyAlignment="1">
      <alignment vertical="center" wrapText="1"/>
    </xf>
    <xf numFmtId="0" fontId="64" fillId="0" borderId="8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vertical="center" wrapText="1"/>
    </xf>
    <xf numFmtId="0" fontId="110" fillId="0" borderId="7" xfId="0" applyFont="1" applyFill="1" applyBorder="1" applyAlignment="1">
      <alignment vertical="center" wrapText="1"/>
    </xf>
    <xf numFmtId="0" fontId="110" fillId="0" borderId="4" xfId="0" applyFont="1" applyFill="1" applyBorder="1" applyAlignment="1">
      <alignment vertical="center" wrapText="1"/>
    </xf>
    <xf numFmtId="0" fontId="38" fillId="0" borderId="4" xfId="0" applyFont="1" applyFill="1" applyBorder="1" applyAlignment="1">
      <alignment vertical="center" wrapText="1"/>
    </xf>
    <xf numFmtId="0" fontId="50" fillId="0" borderId="4" xfId="0" applyFont="1" applyFill="1" applyBorder="1" applyAlignment="1">
      <alignment vertical="center" wrapText="1"/>
    </xf>
    <xf numFmtId="0" fontId="110" fillId="0" borderId="4" xfId="0" applyFont="1" applyBorder="1" applyAlignment="1">
      <alignment vertical="center" wrapText="1"/>
    </xf>
    <xf numFmtId="21" fontId="61" fillId="0" borderId="4" xfId="0" applyNumberFormat="1" applyFont="1" applyBorder="1" applyAlignment="1">
      <alignment horizontal="left" vertical="center" wrapText="1"/>
    </xf>
    <xf numFmtId="21" fontId="61" fillId="0" borderId="4" xfId="0" applyNumberFormat="1" applyFont="1" applyFill="1" applyBorder="1" applyAlignment="1">
      <alignment horizontal="left" vertical="center" wrapText="1"/>
    </xf>
    <xf numFmtId="0" fontId="50" fillId="0" borderId="4" xfId="0" applyFont="1" applyFill="1" applyBorder="1" applyAlignment="1">
      <alignment vertical="center"/>
    </xf>
    <xf numFmtId="0" fontId="111" fillId="0" borderId="22" xfId="0" applyFont="1" applyFill="1" applyBorder="1" applyAlignment="1">
      <alignment horizontal="left" vertical="center" wrapText="1"/>
    </xf>
    <xf numFmtId="170" fontId="31" fillId="0" borderId="4" xfId="0" applyNumberFormat="1" applyFont="1" applyFill="1" applyBorder="1" applyAlignment="1">
      <alignment horizontal="left" vertical="center" wrapText="1"/>
    </xf>
    <xf numFmtId="170" fontId="61" fillId="0" borderId="4" xfId="0" applyNumberFormat="1" applyFont="1" applyFill="1" applyBorder="1" applyAlignment="1">
      <alignment horizontal="left" vertical="center" wrapText="1"/>
    </xf>
    <xf numFmtId="170" fontId="61" fillId="0" borderId="7" xfId="0" applyNumberFormat="1" applyFont="1" applyFill="1" applyBorder="1" applyAlignment="1">
      <alignment horizontal="left" vertical="center" wrapText="1"/>
    </xf>
    <xf numFmtId="170" fontId="31" fillId="0" borderId="7" xfId="0" applyNumberFormat="1" applyFont="1" applyFill="1" applyBorder="1" applyAlignment="1">
      <alignment horizontal="left" vertical="center" wrapText="1"/>
    </xf>
    <xf numFmtId="170" fontId="61" fillId="0" borderId="22" xfId="0" applyNumberFormat="1" applyFont="1" applyBorder="1" applyAlignment="1">
      <alignment horizontal="left" vertical="center" wrapText="1"/>
    </xf>
    <xf numFmtId="170" fontId="31" fillId="0" borderId="11" xfId="0" applyNumberFormat="1" applyFont="1" applyFill="1" applyBorder="1" applyAlignment="1">
      <alignment horizontal="left" vertical="center" wrapText="1"/>
    </xf>
    <xf numFmtId="0" fontId="108" fillId="0" borderId="8" xfId="0" applyFont="1" applyBorder="1" applyAlignment="1">
      <alignment vertical="center" wrapText="1"/>
    </xf>
    <xf numFmtId="0" fontId="34" fillId="0" borderId="25" xfId="0" applyFont="1" applyBorder="1" applyAlignment="1">
      <alignment vertical="center" wrapText="1"/>
    </xf>
    <xf numFmtId="20" fontId="31" fillId="0" borderId="11" xfId="0" applyNumberFormat="1" applyFont="1" applyBorder="1" applyAlignment="1">
      <alignment horizontal="left" vertical="center" wrapText="1"/>
    </xf>
    <xf numFmtId="0" fontId="112" fillId="0" borderId="4" xfId="19" applyFont="1" applyFill="1" applyBorder="1" applyAlignment="1">
      <alignment horizontal="left" vertical="center" wrapText="1"/>
    </xf>
    <xf numFmtId="0" fontId="113" fillId="0" borderId="4" xfId="19" applyFont="1" applyBorder="1" applyAlignment="1">
      <alignment horizontal="left" vertical="center" wrapText="1"/>
    </xf>
    <xf numFmtId="0" fontId="113" fillId="0" borderId="4" xfId="19" applyFont="1" applyFill="1" applyBorder="1" applyAlignment="1">
      <alignment horizontal="left" vertical="center" wrapText="1"/>
    </xf>
    <xf numFmtId="0" fontId="31" fillId="0" borderId="8" xfId="0" applyFont="1" applyFill="1" applyBorder="1" applyAlignment="1">
      <alignment horizontal="right" vertical="center" wrapText="1"/>
    </xf>
    <xf numFmtId="0" fontId="64" fillId="0" borderId="11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right" vertical="center" wrapText="1"/>
    </xf>
    <xf numFmtId="0" fontId="34" fillId="0" borderId="0" xfId="0" applyFont="1" applyFill="1" applyBorder="1" applyAlignment="1">
      <alignment horizontal="right" vertical="center" wrapText="1"/>
    </xf>
    <xf numFmtId="166" fontId="34" fillId="0" borderId="0" xfId="1" applyNumberFormat="1" applyFont="1" applyAlignment="1">
      <alignment vertical="center"/>
    </xf>
    <xf numFmtId="4" fontId="34" fillId="0" borderId="0" xfId="0" applyNumberFormat="1" applyFont="1" applyAlignment="1">
      <alignment horizontal="right" vertical="center"/>
    </xf>
    <xf numFmtId="4" fontId="34" fillId="0" borderId="0" xfId="0" applyNumberFormat="1" applyFont="1" applyFill="1" applyAlignment="1">
      <alignment horizontal="center"/>
    </xf>
    <xf numFmtId="0" fontId="34" fillId="0" borderId="0" xfId="0" applyFont="1" applyAlignment="1">
      <alignment horizontal="right"/>
    </xf>
    <xf numFmtId="4" fontId="61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4" fontId="34" fillId="0" borderId="0" xfId="0" applyNumberFormat="1" applyFont="1" applyFill="1" applyAlignment="1">
      <alignment horizontal="center" vertical="top"/>
    </xf>
    <xf numFmtId="0" fontId="34" fillId="0" borderId="0" xfId="0" applyFont="1" applyAlignment="1">
      <alignment horizontal="right" vertical="top"/>
    </xf>
    <xf numFmtId="4" fontId="61" fillId="0" borderId="0" xfId="0" applyNumberFormat="1" applyFont="1" applyAlignment="1">
      <alignment horizontal="left" vertical="top"/>
    </xf>
    <xf numFmtId="0" fontId="34" fillId="0" borderId="0" xfId="0" applyFont="1" applyAlignment="1">
      <alignment vertical="top"/>
    </xf>
    <xf numFmtId="0" fontId="64" fillId="0" borderId="0" xfId="0" applyFont="1" applyAlignment="1">
      <alignment horizontal="right" vertical="center"/>
    </xf>
    <xf numFmtId="4" fontId="34" fillId="0" borderId="0" xfId="1" applyNumberFormat="1" applyFont="1" applyAlignment="1">
      <alignment horizontal="right" vertical="center"/>
    </xf>
    <xf numFmtId="43" fontId="31" fillId="0" borderId="1" xfId="0" applyNumberFormat="1" applyFont="1" applyFill="1" applyBorder="1" applyAlignment="1">
      <alignment horizontal="left" vertical="center" indent="1"/>
    </xf>
    <xf numFmtId="166" fontId="34" fillId="0" borderId="0" xfId="1" applyNumberFormat="1" applyFont="1" applyAlignment="1">
      <alignment horizontal="right"/>
    </xf>
    <xf numFmtId="4" fontId="61" fillId="0" borderId="0" xfId="1" applyNumberFormat="1" applyFont="1"/>
    <xf numFmtId="166" fontId="34" fillId="0" borderId="0" xfId="1" applyNumberFormat="1" applyFont="1" applyAlignment="1"/>
    <xf numFmtId="166" fontId="34" fillId="0" borderId="0" xfId="1" applyNumberFormat="1" applyFont="1"/>
    <xf numFmtId="0" fontId="34" fillId="0" borderId="0" xfId="0" applyFont="1" applyAlignment="1">
      <alignment horizontal="right" vertical="center"/>
    </xf>
    <xf numFmtId="166" fontId="31" fillId="0" borderId="8" xfId="1" applyNumberFormat="1" applyFont="1" applyBorder="1" applyAlignment="1">
      <alignment horizontal="center" vertical="center" wrapText="1"/>
    </xf>
    <xf numFmtId="4" fontId="31" fillId="0" borderId="8" xfId="1" applyNumberFormat="1" applyFont="1" applyBorder="1" applyAlignment="1">
      <alignment horizontal="center" vertical="center" wrapText="1"/>
    </xf>
    <xf numFmtId="4" fontId="31" fillId="0" borderId="3" xfId="1" applyNumberFormat="1" applyFont="1" applyFill="1" applyBorder="1" applyAlignment="1">
      <alignment horizontal="center" vertical="center" wrapText="1"/>
    </xf>
    <xf numFmtId="166" fontId="31" fillId="0" borderId="3" xfId="1" applyNumberFormat="1" applyFont="1" applyBorder="1" applyAlignment="1">
      <alignment horizontal="center" vertical="center" wrapText="1"/>
    </xf>
    <xf numFmtId="4" fontId="31" fillId="0" borderId="3" xfId="1" applyNumberFormat="1" applyFont="1" applyBorder="1" applyAlignment="1">
      <alignment horizontal="center" vertical="center" wrapText="1"/>
    </xf>
    <xf numFmtId="166" fontId="34" fillId="0" borderId="10" xfId="1" quotePrefix="1" applyNumberFormat="1" applyFont="1" applyBorder="1" applyAlignment="1">
      <alignment horizontal="center" vertical="center"/>
    </xf>
    <xf numFmtId="4" fontId="34" fillId="0" borderId="10" xfId="1" quotePrefix="1" applyNumberFormat="1" applyFont="1" applyBorder="1" applyAlignment="1">
      <alignment horizontal="center" vertical="center"/>
    </xf>
    <xf numFmtId="4" fontId="34" fillId="0" borderId="10" xfId="1" quotePrefix="1" applyNumberFormat="1" applyFont="1" applyFill="1" applyBorder="1" applyAlignment="1">
      <alignment horizontal="center" vertical="center"/>
    </xf>
    <xf numFmtId="49" fontId="34" fillId="0" borderId="10" xfId="1" quotePrefix="1" applyNumberFormat="1" applyFont="1" applyBorder="1" applyAlignment="1">
      <alignment horizontal="center" vertical="center"/>
    </xf>
    <xf numFmtId="49" fontId="31" fillId="2" borderId="7" xfId="0" applyNumberFormat="1" applyFont="1" applyFill="1" applyBorder="1" applyAlignment="1">
      <alignment horizontal="center" vertical="center"/>
    </xf>
    <xf numFmtId="166" fontId="31" fillId="2" borderId="7" xfId="1" applyNumberFormat="1" applyFont="1" applyFill="1" applyBorder="1" applyAlignment="1">
      <alignment vertical="center"/>
    </xf>
    <xf numFmtId="166" fontId="31" fillId="2" borderId="8" xfId="1" applyNumberFormat="1" applyFont="1" applyFill="1" applyBorder="1" applyAlignment="1">
      <alignment horizontal="right" vertical="center"/>
    </xf>
    <xf numFmtId="166" fontId="31" fillId="3" borderId="7" xfId="1" applyNumberFormat="1" applyFont="1" applyFill="1" applyBorder="1" applyAlignment="1">
      <alignment horizontal="right" vertical="center"/>
    </xf>
    <xf numFmtId="0" fontId="50" fillId="0" borderId="7" xfId="0" applyFont="1" applyBorder="1"/>
    <xf numFmtId="166" fontId="31" fillId="0" borderId="11" xfId="1" applyNumberFormat="1" applyFont="1" applyFill="1" applyBorder="1" applyAlignment="1">
      <alignment vertical="center"/>
    </xf>
    <xf numFmtId="4" fontId="31" fillId="0" borderId="11" xfId="1" applyNumberFormat="1" applyFont="1" applyBorder="1" applyAlignment="1">
      <alignment horizontal="right" vertical="center"/>
    </xf>
    <xf numFmtId="43" fontId="31" fillId="0" borderId="11" xfId="1" applyNumberFormat="1" applyFont="1" applyFill="1" applyBorder="1" applyAlignment="1">
      <alignment horizontal="left" vertical="center" indent="1"/>
    </xf>
    <xf numFmtId="166" fontId="31" fillId="0" borderId="11" xfId="1" applyNumberFormat="1" applyFont="1" applyBorder="1" applyAlignment="1">
      <alignment horizontal="right" vertical="center"/>
    </xf>
    <xf numFmtId="43" fontId="31" fillId="0" borderId="11" xfId="1" applyNumberFormat="1" applyFont="1" applyFill="1" applyBorder="1" applyAlignment="1">
      <alignment horizontal="right" vertical="center"/>
    </xf>
    <xf numFmtId="4" fontId="31" fillId="0" borderId="11" xfId="1" applyNumberFormat="1" applyFont="1" applyFill="1" applyBorder="1" applyAlignment="1">
      <alignment vertical="center"/>
    </xf>
    <xf numFmtId="0" fontId="63" fillId="0" borderId="11" xfId="0" applyFont="1" applyBorder="1"/>
    <xf numFmtId="166" fontId="31" fillId="0" borderId="12" xfId="1" applyNumberFormat="1" applyFont="1" applyFill="1" applyBorder="1" applyAlignment="1">
      <alignment vertical="center"/>
    </xf>
    <xf numFmtId="4" fontId="31" fillId="0" borderId="12" xfId="1" applyNumberFormat="1" applyFont="1" applyBorder="1" applyAlignment="1">
      <alignment horizontal="right" vertical="center"/>
    </xf>
    <xf numFmtId="0" fontId="63" fillId="0" borderId="8" xfId="0" applyFont="1" applyBorder="1"/>
    <xf numFmtId="4" fontId="31" fillId="0" borderId="4" xfId="0" applyNumberFormat="1" applyFont="1" applyFill="1" applyBorder="1" applyAlignment="1">
      <alignment horizontal="right" vertical="center"/>
    </xf>
    <xf numFmtId="4" fontId="31" fillId="0" borderId="12" xfId="0" applyNumberFormat="1" applyFont="1" applyFill="1" applyBorder="1" applyAlignment="1">
      <alignment vertical="center"/>
    </xf>
    <xf numFmtId="0" fontId="63" fillId="0" borderId="12" xfId="0" applyFont="1" applyBorder="1"/>
    <xf numFmtId="166" fontId="61" fillId="0" borderId="8" xfId="1" applyNumberFormat="1" applyFont="1" applyBorder="1" applyAlignment="1">
      <alignment vertical="center" wrapText="1"/>
    </xf>
    <xf numFmtId="4" fontId="61" fillId="0" borderId="12" xfId="1" applyNumberFormat="1" applyFont="1" applyBorder="1" applyAlignment="1">
      <alignment horizontal="right" vertical="center"/>
    </xf>
    <xf numFmtId="43" fontId="31" fillId="0" borderId="4" xfId="0" applyNumberFormat="1" applyFont="1" applyFill="1" applyBorder="1" applyAlignment="1">
      <alignment horizontal="left" vertical="center" indent="1"/>
    </xf>
    <xf numFmtId="4" fontId="61" fillId="0" borderId="4" xfId="0" applyNumberFormat="1" applyFont="1" applyFill="1" applyBorder="1" applyAlignment="1">
      <alignment horizontal="right" vertical="center"/>
    </xf>
    <xf numFmtId="4" fontId="61" fillId="0" borderId="4" xfId="0" applyNumberFormat="1" applyFont="1" applyBorder="1" applyAlignment="1">
      <alignment vertical="center"/>
    </xf>
    <xf numFmtId="0" fontId="109" fillId="0" borderId="4" xfId="0" applyFont="1" applyBorder="1"/>
    <xf numFmtId="4" fontId="61" fillId="0" borderId="4" xfId="0" applyNumberFormat="1" applyFont="1" applyBorder="1" applyAlignment="1">
      <alignment horizontal="right" vertical="center"/>
    </xf>
    <xf numFmtId="0" fontId="61" fillId="0" borderId="4" xfId="0" applyFont="1" applyBorder="1"/>
    <xf numFmtId="166" fontId="61" fillId="0" borderId="4" xfId="1" applyNumberFormat="1" applyFont="1" applyBorder="1" applyAlignment="1">
      <alignment horizontal="right" vertical="center"/>
    </xf>
    <xf numFmtId="4" fontId="61" fillId="0" borderId="4" xfId="0" applyNumberFormat="1" applyFont="1" applyBorder="1" applyAlignment="1"/>
    <xf numFmtId="166" fontId="31" fillId="0" borderId="4" xfId="1" applyNumberFormat="1" applyFont="1" applyFill="1" applyBorder="1" applyAlignment="1">
      <alignment vertical="center"/>
    </xf>
    <xf numFmtId="4" fontId="31" fillId="0" borderId="4" xfId="0" applyNumberFormat="1" applyFont="1" applyBorder="1" applyAlignment="1">
      <alignment horizontal="right" vertical="center"/>
    </xf>
    <xf numFmtId="4" fontId="31" fillId="0" borderId="4" xfId="0" applyNumberFormat="1" applyFont="1" applyFill="1" applyBorder="1" applyAlignment="1">
      <alignment vertical="center"/>
    </xf>
    <xf numFmtId="166" fontId="31" fillId="0" borderId="4" xfId="1" applyNumberFormat="1" applyFont="1" applyBorder="1" applyAlignment="1">
      <alignment horizontal="right" vertical="center"/>
    </xf>
    <xf numFmtId="43" fontId="31" fillId="0" borderId="4" xfId="0" applyNumberFormat="1" applyFont="1" applyFill="1" applyBorder="1" applyAlignment="1">
      <alignment horizontal="left" vertical="center"/>
    </xf>
    <xf numFmtId="0" fontId="63" fillId="0" borderId="4" xfId="0" applyFont="1" applyBorder="1"/>
    <xf numFmtId="166" fontId="61" fillId="0" borderId="4" xfId="1" applyNumberFormat="1" applyFont="1" applyFill="1" applyBorder="1" applyAlignment="1">
      <alignment vertical="center"/>
    </xf>
    <xf numFmtId="43" fontId="61" fillId="0" borderId="4" xfId="0" applyNumberFormat="1" applyFont="1" applyFill="1" applyBorder="1" applyAlignment="1">
      <alignment horizontal="left" vertical="center" indent="1"/>
    </xf>
    <xf numFmtId="4" fontId="61" fillId="0" borderId="4" xfId="0" applyNumberFormat="1" applyFont="1" applyFill="1" applyBorder="1" applyAlignment="1">
      <alignment vertical="center"/>
    </xf>
    <xf numFmtId="0" fontId="108" fillId="0" borderId="4" xfId="0" applyFont="1" applyBorder="1"/>
    <xf numFmtId="166" fontId="62" fillId="0" borderId="4" xfId="1" applyNumberFormat="1" applyFont="1" applyBorder="1" applyAlignment="1">
      <alignment horizontal="right" vertical="center"/>
    </xf>
    <xf numFmtId="4" fontId="61" fillId="4" borderId="4" xfId="0" applyNumberFormat="1" applyFont="1" applyFill="1" applyBorder="1" applyAlignment="1">
      <alignment vertical="center"/>
    </xf>
    <xf numFmtId="0" fontId="34" fillId="0" borderId="4" xfId="0" applyFont="1" applyBorder="1"/>
    <xf numFmtId="4" fontId="34" fillId="0" borderId="4" xfId="0" applyNumberFormat="1" applyFont="1" applyBorder="1" applyAlignment="1"/>
    <xf numFmtId="166" fontId="61" fillId="0" borderId="7" xfId="1" applyNumberFormat="1" applyFont="1" applyFill="1" applyBorder="1" applyAlignment="1">
      <alignment vertical="center"/>
    </xf>
    <xf numFmtId="4" fontId="61" fillId="0" borderId="7" xfId="0" applyNumberFormat="1" applyFont="1" applyBorder="1" applyAlignment="1">
      <alignment horizontal="right" vertical="center"/>
    </xf>
    <xf numFmtId="4" fontId="61" fillId="0" borderId="7" xfId="0" applyNumberFormat="1" applyFont="1" applyFill="1" applyBorder="1" applyAlignment="1">
      <alignment horizontal="right" vertical="center"/>
    </xf>
    <xf numFmtId="166" fontId="61" fillId="0" borderId="7" xfId="1" applyNumberFormat="1" applyFont="1" applyBorder="1" applyAlignment="1">
      <alignment vertical="center"/>
    </xf>
    <xf numFmtId="166" fontId="61" fillId="0" borderId="7" xfId="1" applyNumberFormat="1" applyFont="1" applyBorder="1" applyAlignment="1">
      <alignment horizontal="right" vertical="center"/>
    </xf>
    <xf numFmtId="0" fontId="108" fillId="0" borderId="7" xfId="0" applyFont="1" applyBorder="1"/>
    <xf numFmtId="166" fontId="31" fillId="0" borderId="7" xfId="1" applyNumberFormat="1" applyFont="1" applyFill="1" applyBorder="1" applyAlignment="1">
      <alignment vertical="center"/>
    </xf>
    <xf numFmtId="43" fontId="34" fillId="0" borderId="7" xfId="1" applyNumberFormat="1" applyFont="1" applyFill="1" applyBorder="1" applyAlignment="1">
      <alignment vertical="center"/>
    </xf>
    <xf numFmtId="4" fontId="61" fillId="0" borderId="7" xfId="0" applyNumberFormat="1" applyFont="1" applyBorder="1" applyAlignment="1">
      <alignment vertical="center"/>
    </xf>
    <xf numFmtId="4" fontId="34" fillId="0" borderId="7" xfId="1" applyNumberFormat="1" applyFont="1" applyFill="1" applyBorder="1" applyAlignment="1">
      <alignment vertical="center"/>
    </xf>
    <xf numFmtId="0" fontId="34" fillId="0" borderId="7" xfId="0" applyFont="1" applyBorder="1"/>
    <xf numFmtId="4" fontId="31" fillId="0" borderId="11" xfId="0" applyNumberFormat="1" applyFont="1" applyBorder="1" applyAlignment="1">
      <alignment horizontal="right" vertical="center"/>
    </xf>
    <xf numFmtId="43" fontId="31" fillId="0" borderId="11" xfId="0" applyNumberFormat="1" applyFont="1" applyFill="1" applyBorder="1" applyAlignment="1">
      <alignment horizontal="left" vertical="center" indent="1"/>
    </xf>
    <xf numFmtId="4" fontId="31" fillId="0" borderId="11" xfId="0" applyNumberFormat="1" applyFont="1" applyFill="1" applyBorder="1" applyAlignment="1">
      <alignment horizontal="right" vertical="center"/>
    </xf>
    <xf numFmtId="4" fontId="31" fillId="0" borderId="11" xfId="0" applyNumberFormat="1" applyFont="1" applyFill="1" applyBorder="1" applyAlignment="1">
      <alignment vertical="center"/>
    </xf>
    <xf numFmtId="166" fontId="31" fillId="0" borderId="8" xfId="1" applyNumberFormat="1" applyFont="1" applyFill="1" applyBorder="1" applyAlignment="1">
      <alignment vertical="center"/>
    </xf>
    <xf numFmtId="4" fontId="31" fillId="0" borderId="8" xfId="0" applyNumberFormat="1" applyFont="1" applyFill="1" applyBorder="1" applyAlignment="1">
      <alignment horizontal="right" vertical="center"/>
    </xf>
    <xf numFmtId="4" fontId="31" fillId="0" borderId="8" xfId="0" applyNumberFormat="1" applyFont="1" applyFill="1" applyBorder="1" applyAlignment="1">
      <alignment vertical="center"/>
    </xf>
    <xf numFmtId="166" fontId="61" fillId="0" borderId="8" xfId="1" applyNumberFormat="1" applyFont="1" applyFill="1" applyBorder="1" applyAlignment="1">
      <alignment vertical="center"/>
    </xf>
    <xf numFmtId="4" fontId="31" fillId="0" borderId="12" xfId="0" applyNumberFormat="1" applyFont="1" applyFill="1" applyBorder="1" applyAlignment="1">
      <alignment horizontal="right" vertical="center"/>
    </xf>
    <xf numFmtId="4" fontId="61" fillId="0" borderId="4" xfId="1" applyNumberFormat="1" applyFont="1" applyFill="1" applyBorder="1" applyAlignment="1">
      <alignment vertical="center"/>
    </xf>
    <xf numFmtId="166" fontId="62" fillId="0" borderId="11" xfId="1" applyNumberFormat="1" applyFont="1" applyBorder="1" applyAlignment="1">
      <alignment horizontal="right" vertical="center"/>
    </xf>
    <xf numFmtId="166" fontId="34" fillId="0" borderId="7" xfId="1" applyNumberFormat="1" applyFont="1" applyFill="1" applyBorder="1" applyAlignment="1">
      <alignment vertical="center"/>
    </xf>
    <xf numFmtId="43" fontId="31" fillId="0" borderId="12" xfId="0" applyNumberFormat="1" applyFont="1" applyFill="1" applyBorder="1" applyAlignment="1">
      <alignment horizontal="left" vertical="center" indent="1"/>
    </xf>
    <xf numFmtId="166" fontId="61" fillId="0" borderId="12" xfId="1" applyNumberFormat="1" applyFont="1" applyFill="1" applyBorder="1" applyAlignment="1">
      <alignment vertical="center"/>
    </xf>
    <xf numFmtId="4" fontId="61" fillId="0" borderId="12" xfId="0" applyNumberFormat="1" applyFont="1" applyFill="1" applyBorder="1" applyAlignment="1">
      <alignment vertical="center"/>
    </xf>
    <xf numFmtId="4" fontId="31" fillId="0" borderId="12" xfId="0" applyNumberFormat="1" applyFont="1" applyBorder="1" applyAlignment="1">
      <alignment vertical="center"/>
    </xf>
    <xf numFmtId="43" fontId="31" fillId="0" borderId="11" xfId="0" applyNumberFormat="1" applyFont="1" applyFill="1" applyBorder="1" applyAlignment="1">
      <alignment horizontal="left" vertical="center"/>
    </xf>
    <xf numFmtId="166" fontId="31" fillId="0" borderId="12" xfId="1" applyNumberFormat="1" applyFont="1" applyBorder="1" applyAlignment="1">
      <alignment horizontal="right" vertical="center"/>
    </xf>
    <xf numFmtId="43" fontId="31" fillId="0" borderId="12" xfId="0" applyNumberFormat="1" applyFont="1" applyFill="1" applyBorder="1" applyAlignment="1">
      <alignment horizontal="left" vertical="center"/>
    </xf>
    <xf numFmtId="43" fontId="61" fillId="0" borderId="12" xfId="0" applyNumberFormat="1" applyFont="1" applyFill="1" applyBorder="1" applyAlignment="1">
      <alignment horizontal="right" vertical="center" indent="1"/>
    </xf>
    <xf numFmtId="49" fontId="34" fillId="0" borderId="4" xfId="0" applyNumberFormat="1" applyFont="1" applyBorder="1" applyAlignment="1">
      <alignment horizontal="center" vertical="center"/>
    </xf>
    <xf numFmtId="49" fontId="34" fillId="0" borderId="7" xfId="0" applyNumberFormat="1" applyFont="1" applyBorder="1" applyAlignment="1">
      <alignment horizontal="center" vertical="center"/>
    </xf>
    <xf numFmtId="4" fontId="61" fillId="0" borderId="7" xfId="1" applyNumberFormat="1" applyFont="1" applyFill="1" applyBorder="1" applyAlignment="1">
      <alignment vertical="center"/>
    </xf>
    <xf numFmtId="4" fontId="62" fillId="0" borderId="12" xfId="0" applyNumberFormat="1" applyFont="1" applyFill="1" applyBorder="1" applyAlignment="1">
      <alignment horizontal="right" vertical="center"/>
    </xf>
    <xf numFmtId="4" fontId="61" fillId="0" borderId="11" xfId="0" applyNumberFormat="1" applyFont="1" applyFill="1" applyBorder="1" applyAlignment="1">
      <alignment horizontal="right" vertical="center"/>
    </xf>
    <xf numFmtId="4" fontId="61" fillId="0" borderId="7" xfId="1" applyNumberFormat="1" applyFont="1" applyBorder="1" applyAlignment="1">
      <alignment vertical="center"/>
    </xf>
    <xf numFmtId="0" fontId="38" fillId="0" borderId="7" xfId="0" applyFont="1" applyBorder="1"/>
    <xf numFmtId="166" fontId="31" fillId="0" borderId="11" xfId="1" applyNumberFormat="1" applyFont="1" applyBorder="1" applyAlignment="1">
      <alignment vertical="center"/>
    </xf>
    <xf numFmtId="166" fontId="61" fillId="0" borderId="11" xfId="1" applyNumberFormat="1" applyFont="1" applyFill="1" applyBorder="1" applyAlignment="1">
      <alignment vertical="center"/>
    </xf>
    <xf numFmtId="166" fontId="61" fillId="0" borderId="11" xfId="1" applyNumberFormat="1" applyFont="1" applyBorder="1" applyAlignment="1">
      <alignment horizontal="right" vertical="center"/>
    </xf>
    <xf numFmtId="4" fontId="61" fillId="0" borderId="11" xfId="1" applyNumberFormat="1" applyFont="1" applyBorder="1" applyAlignment="1">
      <alignment vertical="center"/>
    </xf>
    <xf numFmtId="4" fontId="61" fillId="0" borderId="11" xfId="1" applyNumberFormat="1" applyFont="1" applyFill="1" applyBorder="1" applyAlignment="1">
      <alignment vertical="center"/>
    </xf>
    <xf numFmtId="166" fontId="34" fillId="0" borderId="11" xfId="1" applyNumberFormat="1" applyFont="1" applyBorder="1" applyAlignment="1">
      <alignment vertical="center"/>
    </xf>
    <xf numFmtId="0" fontId="38" fillId="0" borderId="11" xfId="0" applyFont="1" applyBorder="1"/>
    <xf numFmtId="166" fontId="31" fillId="0" borderId="8" xfId="1" applyNumberFormat="1" applyFont="1" applyBorder="1" applyAlignment="1">
      <alignment vertical="center"/>
    </xf>
    <xf numFmtId="166" fontId="61" fillId="0" borderId="8" xfId="1" applyNumberFormat="1" applyFont="1" applyBorder="1" applyAlignment="1">
      <alignment horizontal="right" vertical="center"/>
    </xf>
    <xf numFmtId="4" fontId="61" fillId="0" borderId="8" xfId="1" applyNumberFormat="1" applyFont="1" applyBorder="1" applyAlignment="1">
      <alignment vertical="center"/>
    </xf>
    <xf numFmtId="4" fontId="61" fillId="0" borderId="8" xfId="1" applyNumberFormat="1" applyFont="1" applyFill="1" applyBorder="1" applyAlignment="1">
      <alignment vertical="center"/>
    </xf>
    <xf numFmtId="166" fontId="34" fillId="0" borderId="8" xfId="1" applyNumberFormat="1" applyFont="1" applyBorder="1" applyAlignment="1">
      <alignment vertical="center"/>
    </xf>
    <xf numFmtId="0" fontId="38" fillId="0" borderId="8" xfId="0" applyFont="1" applyBorder="1"/>
    <xf numFmtId="4" fontId="61" fillId="0" borderId="4" xfId="1" applyNumberFormat="1" applyFont="1" applyBorder="1" applyAlignment="1">
      <alignment vertical="center"/>
    </xf>
    <xf numFmtId="4" fontId="61" fillId="0" borderId="8" xfId="0" applyNumberFormat="1" applyFont="1" applyBorder="1" applyAlignment="1">
      <alignment horizontal="right" vertical="center"/>
    </xf>
    <xf numFmtId="166" fontId="31" fillId="0" borderId="12" xfId="1" applyNumberFormat="1" applyFont="1" applyBorder="1" applyAlignment="1">
      <alignment vertical="center"/>
    </xf>
    <xf numFmtId="166" fontId="61" fillId="0" borderId="12" xfId="1" applyNumberFormat="1" applyFont="1" applyBorder="1" applyAlignment="1">
      <alignment horizontal="right" vertical="center"/>
    </xf>
    <xf numFmtId="4" fontId="61" fillId="0" borderId="12" xfId="1" applyNumberFormat="1" applyFont="1" applyBorder="1" applyAlignment="1">
      <alignment vertical="center"/>
    </xf>
    <xf numFmtId="4" fontId="61" fillId="0" borderId="12" xfId="1" applyNumberFormat="1" applyFont="1" applyFill="1" applyBorder="1" applyAlignment="1">
      <alignment vertical="center"/>
    </xf>
    <xf numFmtId="4" fontId="61" fillId="0" borderId="12" xfId="0" applyNumberFormat="1" applyFont="1" applyBorder="1" applyAlignment="1">
      <alignment horizontal="right" vertical="center"/>
    </xf>
    <xf numFmtId="4" fontId="31" fillId="0" borderId="12" xfId="0" applyNumberFormat="1" applyFont="1" applyBorder="1" applyAlignment="1">
      <alignment horizontal="right" vertical="center"/>
    </xf>
    <xf numFmtId="4" fontId="31" fillId="0" borderId="8" xfId="0" applyNumberFormat="1" applyFont="1" applyBorder="1" applyAlignment="1">
      <alignment horizontal="right" vertical="center"/>
    </xf>
    <xf numFmtId="4" fontId="31" fillId="0" borderId="7" xfId="1" applyNumberFormat="1" applyFont="1" applyFill="1" applyBorder="1" applyAlignment="1">
      <alignment vertical="center"/>
    </xf>
    <xf numFmtId="166" fontId="31" fillId="0" borderId="7" xfId="1" applyNumberFormat="1" applyFont="1" applyBorder="1" applyAlignment="1">
      <alignment vertical="center"/>
    </xf>
    <xf numFmtId="0" fontId="38" fillId="0" borderId="4" xfId="0" applyFont="1" applyBorder="1"/>
    <xf numFmtId="166" fontId="61" fillId="0" borderId="8" xfId="1" applyNumberFormat="1" applyFont="1" applyBorder="1" applyAlignment="1">
      <alignment vertical="center"/>
    </xf>
    <xf numFmtId="43" fontId="31" fillId="0" borderId="11" xfId="0" applyNumberFormat="1" applyFont="1" applyFill="1" applyBorder="1" applyAlignment="1">
      <alignment vertical="center"/>
    </xf>
    <xf numFmtId="0" fontId="50" fillId="0" borderId="11" xfId="0" applyFont="1" applyBorder="1"/>
    <xf numFmtId="4" fontId="31" fillId="0" borderId="17" xfId="0" applyNumberFormat="1" applyFont="1" applyBorder="1" applyAlignment="1">
      <alignment horizontal="right" vertical="center"/>
    </xf>
    <xf numFmtId="0" fontId="50" fillId="0" borderId="12" xfId="0" applyFont="1" applyBorder="1"/>
    <xf numFmtId="43" fontId="61" fillId="0" borderId="4" xfId="0" applyNumberFormat="1" applyFont="1" applyFill="1" applyBorder="1" applyAlignment="1">
      <alignment vertical="center"/>
    </xf>
    <xf numFmtId="43" fontId="31" fillId="0" borderId="4" xfId="0" applyNumberFormat="1" applyFont="1" applyFill="1" applyBorder="1" applyAlignment="1">
      <alignment vertical="center"/>
    </xf>
    <xf numFmtId="166" fontId="31" fillId="2" borderId="7" xfId="1" applyNumberFormat="1" applyFont="1" applyFill="1" applyBorder="1" applyAlignment="1">
      <alignment horizontal="right" vertical="center"/>
    </xf>
    <xf numFmtId="41" fontId="50" fillId="0" borderId="4" xfId="1" applyFont="1" applyFill="1" applyBorder="1"/>
    <xf numFmtId="166" fontId="34" fillId="0" borderId="7" xfId="1" applyNumberFormat="1" applyFont="1" applyBorder="1" applyAlignment="1">
      <alignment horizontal="right" vertical="center"/>
    </xf>
    <xf numFmtId="49" fontId="31" fillId="8" borderId="11" xfId="0" applyNumberFormat="1" applyFont="1" applyFill="1" applyBorder="1" applyAlignment="1">
      <alignment horizontal="center" vertical="center"/>
    </xf>
    <xf numFmtId="166" fontId="31" fillId="8" borderId="11" xfId="1" applyNumberFormat="1" applyFont="1" applyFill="1" applyBorder="1" applyAlignment="1">
      <alignment vertical="center"/>
    </xf>
    <xf numFmtId="166" fontId="31" fillId="8" borderId="11" xfId="1" applyNumberFormat="1" applyFont="1" applyFill="1" applyBorder="1" applyAlignment="1">
      <alignment horizontal="right" vertical="center"/>
    </xf>
    <xf numFmtId="43" fontId="31" fillId="8" borderId="11" xfId="0" applyNumberFormat="1" applyFont="1" applyFill="1" applyBorder="1" applyAlignment="1">
      <alignment horizontal="left" vertical="center" indent="1"/>
    </xf>
    <xf numFmtId="43" fontId="31" fillId="8" borderId="11" xfId="0" applyNumberFormat="1" applyFont="1" applyFill="1" applyBorder="1" applyAlignment="1">
      <alignment vertical="center"/>
    </xf>
    <xf numFmtId="166" fontId="34" fillId="0" borderId="8" xfId="1" applyNumberFormat="1" applyFont="1" applyBorder="1" applyAlignment="1">
      <alignment horizontal="right" vertical="center"/>
    </xf>
    <xf numFmtId="166" fontId="31" fillId="0" borderId="8" xfId="1" applyNumberFormat="1" applyFont="1" applyBorder="1" applyAlignment="1">
      <alignment horizontal="right" vertical="center"/>
    </xf>
    <xf numFmtId="166" fontId="31" fillId="0" borderId="11" xfId="1" applyNumberFormat="1" applyFont="1" applyFill="1" applyBorder="1" applyAlignment="1">
      <alignment horizontal="right" vertical="center"/>
    </xf>
    <xf numFmtId="2" fontId="31" fillId="0" borderId="8" xfId="0" applyNumberFormat="1" applyFont="1" applyFill="1" applyBorder="1" applyAlignment="1">
      <alignment horizontal="right" vertical="center"/>
    </xf>
    <xf numFmtId="43" fontId="31" fillId="0" borderId="8" xfId="0" applyNumberFormat="1" applyFont="1" applyFill="1" applyBorder="1" applyAlignment="1">
      <alignment vertical="center"/>
    </xf>
    <xf numFmtId="2" fontId="61" fillId="0" borderId="4" xfId="0" applyNumberFormat="1" applyFont="1" applyFill="1" applyBorder="1" applyAlignment="1">
      <alignment horizontal="right" vertical="center"/>
    </xf>
    <xf numFmtId="165" fontId="61" fillId="0" borderId="4" xfId="0" applyNumberFormat="1" applyFont="1" applyFill="1" applyBorder="1" applyAlignment="1">
      <alignment vertical="center"/>
    </xf>
    <xf numFmtId="3" fontId="62" fillId="0" borderId="7" xfId="0" applyNumberFormat="1" applyFont="1" applyFill="1" applyBorder="1" applyAlignment="1">
      <alignment horizontal="right" vertical="center"/>
    </xf>
    <xf numFmtId="166" fontId="62" fillId="0" borderId="7" xfId="1" applyNumberFormat="1" applyFont="1" applyBorder="1" applyAlignment="1">
      <alignment horizontal="right" vertical="center"/>
    </xf>
    <xf numFmtId="166" fontId="62" fillId="0" borderId="4" xfId="1" applyNumberFormat="1" applyFont="1" applyFill="1" applyBorder="1" applyAlignment="1">
      <alignment vertical="center"/>
    </xf>
    <xf numFmtId="4" fontId="62" fillId="0" borderId="4" xfId="0" applyNumberFormat="1" applyFont="1" applyFill="1" applyBorder="1" applyAlignment="1">
      <alignment vertical="center"/>
    </xf>
    <xf numFmtId="165" fontId="62" fillId="0" borderId="4" xfId="0" applyNumberFormat="1" applyFont="1" applyFill="1" applyBorder="1" applyAlignment="1">
      <alignment vertical="center"/>
    </xf>
    <xf numFmtId="166" fontId="62" fillId="0" borderId="4" xfId="1" applyNumberFormat="1" applyFont="1" applyBorder="1" applyAlignment="1">
      <alignment vertical="center"/>
    </xf>
    <xf numFmtId="0" fontId="114" fillId="0" borderId="4" xfId="0" applyFont="1" applyBorder="1"/>
    <xf numFmtId="3" fontId="31" fillId="0" borderId="4" xfId="0" applyNumberFormat="1" applyFont="1" applyFill="1" applyBorder="1" applyAlignment="1">
      <alignment horizontal="right" vertical="center"/>
    </xf>
    <xf numFmtId="165" fontId="31" fillId="0" borderId="4" xfId="0" applyNumberFormat="1" applyFont="1" applyFill="1" applyBorder="1" applyAlignment="1">
      <alignment vertical="center"/>
    </xf>
    <xf numFmtId="2" fontId="31" fillId="0" borderId="4" xfId="0" applyNumberFormat="1" applyFont="1" applyFill="1" applyBorder="1" applyAlignment="1">
      <alignment horizontal="right" vertical="center"/>
    </xf>
    <xf numFmtId="166" fontId="31" fillId="0" borderId="8" xfId="1" applyNumberFormat="1" applyFont="1" applyFill="1" applyBorder="1" applyAlignment="1">
      <alignment horizontal="right" vertical="center"/>
    </xf>
    <xf numFmtId="3" fontId="31" fillId="0" borderId="8" xfId="0" applyNumberFormat="1" applyFont="1" applyFill="1" applyBorder="1" applyAlignment="1">
      <alignment horizontal="right" vertical="center"/>
    </xf>
    <xf numFmtId="166" fontId="61" fillId="0" borderId="12" xfId="7" applyNumberFormat="1" applyFont="1" applyBorder="1" applyAlignment="1">
      <alignment horizontal="left" vertical="center"/>
    </xf>
    <xf numFmtId="4" fontId="61" fillId="0" borderId="12" xfId="0" applyNumberFormat="1" applyFont="1" applyFill="1" applyBorder="1" applyAlignment="1">
      <alignment horizontal="right" vertical="center"/>
    </xf>
    <xf numFmtId="166" fontId="34" fillId="0" borderId="4" xfId="1" applyNumberFormat="1" applyFont="1" applyFill="1" applyBorder="1" applyAlignment="1">
      <alignment vertical="center"/>
    </xf>
    <xf numFmtId="166" fontId="34" fillId="0" borderId="8" xfId="1" applyNumberFormat="1" applyFont="1" applyFill="1" applyBorder="1" applyAlignment="1">
      <alignment vertical="center"/>
    </xf>
    <xf numFmtId="172" fontId="61" fillId="0" borderId="4" xfId="0" applyNumberFormat="1" applyFont="1" applyFill="1" applyBorder="1" applyAlignment="1">
      <alignment horizontal="right" vertical="center"/>
    </xf>
    <xf numFmtId="166" fontId="31" fillId="0" borderId="12" xfId="1" applyNumberFormat="1" applyFont="1" applyBorder="1" applyAlignment="1">
      <alignment vertical="center" wrapText="1"/>
    </xf>
    <xf numFmtId="166" fontId="31" fillId="0" borderId="12" xfId="3" applyNumberFormat="1" applyFont="1" applyBorder="1" applyAlignment="1">
      <alignment vertical="center" wrapText="1"/>
    </xf>
    <xf numFmtId="166" fontId="61" fillId="0" borderId="4" xfId="1" applyNumberFormat="1" applyFont="1" applyFill="1" applyBorder="1" applyAlignment="1">
      <alignment horizontal="right" vertical="center"/>
    </xf>
    <xf numFmtId="166" fontId="61" fillId="0" borderId="4" xfId="7" applyNumberFormat="1" applyFont="1" applyBorder="1" applyAlignment="1">
      <alignment vertical="center"/>
    </xf>
    <xf numFmtId="166" fontId="31" fillId="0" borderId="4" xfId="1" applyNumberFormat="1" applyFont="1" applyBorder="1" applyAlignment="1">
      <alignment vertical="center" wrapText="1"/>
    </xf>
    <xf numFmtId="166" fontId="31" fillId="0" borderId="4" xfId="1" applyNumberFormat="1" applyFont="1" applyFill="1" applyBorder="1" applyAlignment="1">
      <alignment horizontal="right" vertical="center"/>
    </xf>
    <xf numFmtId="166" fontId="31" fillId="0" borderId="4" xfId="4" applyNumberFormat="1" applyFont="1" applyBorder="1" applyAlignment="1">
      <alignment vertical="center" wrapText="1"/>
    </xf>
    <xf numFmtId="166" fontId="61" fillId="0" borderId="4" xfId="64" applyNumberFormat="1" applyFont="1" applyBorder="1" applyAlignment="1">
      <alignment vertical="center"/>
    </xf>
    <xf numFmtId="166" fontId="61" fillId="0" borderId="4" xfId="7" applyNumberFormat="1" applyFont="1" applyFill="1" applyBorder="1" applyAlignment="1">
      <alignment vertical="center"/>
    </xf>
    <xf numFmtId="166" fontId="31" fillId="0" borderId="4" xfId="3" applyNumberFormat="1" applyFont="1" applyBorder="1" applyAlignment="1">
      <alignment vertical="center" wrapText="1"/>
    </xf>
    <xf numFmtId="166" fontId="61" fillId="0" borderId="7" xfId="1" applyNumberFormat="1" applyFont="1" applyFill="1" applyBorder="1" applyAlignment="1">
      <alignment horizontal="right" vertical="center"/>
    </xf>
    <xf numFmtId="166" fontId="61" fillId="0" borderId="8" xfId="7" applyNumberFormat="1" applyFont="1" applyFill="1" applyBorder="1" applyAlignment="1">
      <alignment vertical="center"/>
    </xf>
    <xf numFmtId="166" fontId="34" fillId="0" borderId="7" xfId="1" applyNumberFormat="1" applyFont="1" applyFill="1" applyBorder="1" applyAlignment="1">
      <alignment horizontal="right" vertical="center"/>
    </xf>
    <xf numFmtId="166" fontId="31" fillId="0" borderId="7" xfId="1" applyNumberFormat="1" applyFont="1" applyBorder="1" applyAlignment="1">
      <alignment horizontal="right" vertical="center"/>
    </xf>
    <xf numFmtId="166" fontId="31" fillId="0" borderId="21" xfId="1" applyNumberFormat="1" applyFont="1" applyBorder="1" applyAlignment="1">
      <alignment vertical="center" wrapText="1"/>
    </xf>
    <xf numFmtId="166" fontId="31" fillId="0" borderId="21" xfId="3" applyNumberFormat="1" applyFont="1" applyBorder="1" applyAlignment="1">
      <alignment vertical="center" wrapText="1"/>
    </xf>
    <xf numFmtId="166" fontId="31" fillId="0" borderId="21" xfId="1" applyNumberFormat="1" applyFont="1" applyBorder="1" applyAlignment="1">
      <alignment horizontal="right" vertical="center"/>
    </xf>
    <xf numFmtId="166" fontId="31" fillId="0" borderId="21" xfId="1" applyNumberFormat="1" applyFont="1" applyFill="1" applyBorder="1" applyAlignment="1">
      <alignment vertical="center"/>
    </xf>
    <xf numFmtId="166" fontId="31" fillId="0" borderId="21" xfId="1" applyNumberFormat="1" applyFont="1" applyBorder="1" applyAlignment="1">
      <alignment vertical="center"/>
    </xf>
    <xf numFmtId="166" fontId="61" fillId="0" borderId="22" xfId="1" applyNumberFormat="1" applyFont="1" applyFill="1" applyBorder="1" applyAlignment="1">
      <alignment vertical="center"/>
    </xf>
    <xf numFmtId="166" fontId="34" fillId="0" borderId="8" xfId="1" applyNumberFormat="1" applyFont="1" applyFill="1" applyBorder="1" applyAlignment="1">
      <alignment horizontal="right" vertical="center"/>
    </xf>
    <xf numFmtId="166" fontId="61" fillId="0" borderId="12" xfId="64" applyNumberFormat="1" applyFont="1" applyBorder="1" applyAlignment="1">
      <alignment vertical="center"/>
    </xf>
    <xf numFmtId="4" fontId="61" fillId="0" borderId="8" xfId="0" applyNumberFormat="1" applyFont="1" applyFill="1" applyBorder="1" applyAlignment="1">
      <alignment horizontal="right" vertical="center"/>
    </xf>
    <xf numFmtId="4" fontId="61" fillId="0" borderId="7" xfId="0" applyNumberFormat="1" applyFont="1" applyFill="1" applyBorder="1" applyAlignment="1">
      <alignment vertical="center"/>
    </xf>
    <xf numFmtId="43" fontId="31" fillId="0" borderId="11" xfId="2" applyFont="1" applyFill="1" applyBorder="1" applyAlignment="1">
      <alignment vertical="center"/>
    </xf>
    <xf numFmtId="166" fontId="31" fillId="0" borderId="12" xfId="4" applyNumberFormat="1" applyFont="1" applyBorder="1" applyAlignment="1">
      <alignment vertical="center" wrapText="1"/>
    </xf>
    <xf numFmtId="4" fontId="61" fillId="0" borderId="8" xfId="0" applyNumberFormat="1" applyFont="1" applyFill="1" applyBorder="1" applyAlignment="1">
      <alignment vertical="center"/>
    </xf>
    <xf numFmtId="166" fontId="61" fillId="0" borderId="8" xfId="64" applyNumberFormat="1" applyFont="1" applyBorder="1" applyAlignment="1">
      <alignment vertical="center"/>
    </xf>
    <xf numFmtId="41" fontId="34" fillId="0" borderId="8" xfId="64" applyFont="1" applyBorder="1" applyAlignment="1">
      <alignment vertical="center"/>
    </xf>
    <xf numFmtId="0" fontId="50" fillId="0" borderId="4" xfId="0" applyFont="1" applyBorder="1"/>
    <xf numFmtId="166" fontId="61" fillId="0" borderId="25" xfId="1" applyNumberFormat="1" applyFont="1" applyFill="1" applyBorder="1" applyAlignment="1">
      <alignment vertical="center"/>
    </xf>
    <xf numFmtId="166" fontId="31" fillId="0" borderId="21" xfId="65" applyNumberFormat="1" applyFont="1" applyBorder="1" applyAlignment="1">
      <alignment vertical="center" wrapText="1"/>
    </xf>
    <xf numFmtId="166" fontId="61" fillId="0" borderId="8" xfId="1" applyNumberFormat="1" applyFont="1" applyFill="1" applyBorder="1" applyAlignment="1">
      <alignment horizontal="right" vertical="center"/>
    </xf>
    <xf numFmtId="166" fontId="61" fillId="0" borderId="7" xfId="64" applyNumberFormat="1" applyFont="1" applyBorder="1" applyAlignment="1">
      <alignment vertical="center"/>
    </xf>
    <xf numFmtId="43" fontId="31" fillId="0" borderId="21" xfId="4" applyNumberFormat="1" applyFont="1" applyBorder="1" applyAlignment="1">
      <alignment vertical="center" wrapText="1"/>
    </xf>
    <xf numFmtId="43" fontId="61" fillId="0" borderId="4" xfId="8" applyNumberFormat="1" applyFont="1" applyBorder="1" applyAlignment="1">
      <alignment vertical="center"/>
    </xf>
    <xf numFmtId="166" fontId="34" fillId="0" borderId="4" xfId="1" applyNumberFormat="1" applyFont="1" applyFill="1" applyBorder="1" applyAlignment="1">
      <alignment horizontal="right" vertical="center"/>
    </xf>
    <xf numFmtId="43" fontId="61" fillId="0" borderId="4" xfId="1" applyNumberFormat="1" applyFont="1" applyBorder="1" applyAlignment="1">
      <alignment vertical="center"/>
    </xf>
    <xf numFmtId="166" fontId="31" fillId="0" borderId="21" xfId="4" applyNumberFormat="1" applyFont="1" applyBorder="1" applyAlignment="1">
      <alignment vertical="center" wrapText="1"/>
    </xf>
    <xf numFmtId="166" fontId="61" fillId="0" borderId="8" xfId="0" applyNumberFormat="1" applyFont="1" applyFill="1" applyBorder="1" applyAlignment="1">
      <alignment vertical="center"/>
    </xf>
    <xf numFmtId="166" fontId="31" fillId="0" borderId="11" xfId="4" applyNumberFormat="1" applyFont="1" applyBorder="1" applyAlignment="1">
      <alignment vertical="center" wrapText="1"/>
    </xf>
    <xf numFmtId="166" fontId="61" fillId="0" borderId="8" xfId="7" applyNumberFormat="1" applyFont="1" applyBorder="1" applyAlignment="1">
      <alignment vertical="center"/>
    </xf>
    <xf numFmtId="43" fontId="61" fillId="0" borderId="8" xfId="0" applyNumberFormat="1" applyFont="1" applyFill="1" applyBorder="1" applyAlignment="1">
      <alignment vertical="center"/>
    </xf>
    <xf numFmtId="43" fontId="61" fillId="0" borderId="4" xfId="2" applyFont="1" applyBorder="1" applyAlignment="1">
      <alignment vertical="center"/>
    </xf>
    <xf numFmtId="39" fontId="61" fillId="0" borderId="4" xfId="0" applyNumberFormat="1" applyFont="1" applyBorder="1" applyAlignment="1">
      <alignment vertical="center"/>
    </xf>
    <xf numFmtId="166" fontId="61" fillId="0" borderId="4" xfId="1" applyNumberFormat="1" applyFont="1" applyBorder="1" applyAlignment="1">
      <alignment vertical="center" wrapText="1"/>
    </xf>
    <xf numFmtId="43" fontId="61" fillId="0" borderId="4" xfId="2" applyFont="1" applyBorder="1" applyAlignment="1">
      <alignment vertical="center" wrapText="1"/>
    </xf>
    <xf numFmtId="39" fontId="61" fillId="0" borderId="4" xfId="0" applyNumberFormat="1" applyFont="1" applyBorder="1" applyAlignment="1">
      <alignment horizontal="right" vertical="center"/>
    </xf>
    <xf numFmtId="43" fontId="61" fillId="0" borderId="8" xfId="2" applyFont="1" applyBorder="1" applyAlignment="1">
      <alignment vertical="center" wrapText="1"/>
    </xf>
    <xf numFmtId="39" fontId="61" fillId="0" borderId="12" xfId="0" applyNumberFormat="1" applyFont="1" applyBorder="1" applyAlignment="1">
      <alignment vertical="center"/>
    </xf>
    <xf numFmtId="166" fontId="34" fillId="0" borderId="8" xfId="1" applyNumberFormat="1" applyFont="1" applyBorder="1" applyAlignment="1">
      <alignment vertical="center" wrapText="1"/>
    </xf>
    <xf numFmtId="43" fontId="34" fillId="0" borderId="8" xfId="2" applyFont="1" applyBorder="1" applyAlignment="1">
      <alignment vertical="center" wrapText="1"/>
    </xf>
    <xf numFmtId="43" fontId="31" fillId="0" borderId="4" xfId="2" applyFont="1" applyBorder="1" applyAlignment="1">
      <alignment horizontal="right" vertical="center" wrapText="1"/>
    </xf>
    <xf numFmtId="43" fontId="31" fillId="0" borderId="4" xfId="2" applyFont="1" applyBorder="1" applyAlignment="1">
      <alignment vertical="center" wrapText="1"/>
    </xf>
    <xf numFmtId="166" fontId="61" fillId="0" borderId="8" xfId="1" applyNumberFormat="1" applyFont="1" applyBorder="1"/>
    <xf numFmtId="166" fontId="61" fillId="0" borderId="8" xfId="1" applyNumberFormat="1" applyFont="1" applyBorder="1" applyAlignment="1"/>
    <xf numFmtId="166" fontId="61" fillId="0" borderId="4" xfId="1" applyNumberFormat="1" applyFont="1" applyBorder="1"/>
    <xf numFmtId="43" fontId="63" fillId="0" borderId="4" xfId="0" applyNumberFormat="1" applyFont="1" applyFill="1" applyBorder="1" applyAlignment="1">
      <alignment horizontal="left" vertical="center" indent="1"/>
    </xf>
    <xf numFmtId="39" fontId="61" fillId="0" borderId="7" xfId="9" applyNumberFormat="1" applyFont="1" applyBorder="1" applyAlignment="1">
      <alignment vertical="top"/>
    </xf>
    <xf numFmtId="39" fontId="61" fillId="0" borderId="4" xfId="9" applyNumberFormat="1" applyFont="1" applyBorder="1" applyAlignment="1">
      <alignment vertical="top"/>
    </xf>
    <xf numFmtId="166" fontId="34" fillId="0" borderId="12" xfId="1" applyNumberFormat="1" applyFont="1" applyFill="1" applyBorder="1" applyAlignment="1">
      <alignment horizontal="right" vertical="center"/>
    </xf>
    <xf numFmtId="39" fontId="61" fillId="0" borderId="12" xfId="9" applyNumberFormat="1" applyFont="1" applyBorder="1" applyAlignment="1">
      <alignment vertical="top"/>
    </xf>
    <xf numFmtId="43" fontId="61" fillId="0" borderId="7" xfId="2" applyFont="1" applyBorder="1" applyAlignment="1">
      <alignment horizontal="left" vertical="center" indent="1"/>
    </xf>
    <xf numFmtId="43" fontId="61" fillId="0" borderId="7" xfId="2" applyFont="1" applyBorder="1" applyAlignment="1">
      <alignment vertical="center"/>
    </xf>
    <xf numFmtId="43" fontId="61" fillId="0" borderId="7" xfId="0" applyNumberFormat="1" applyFont="1" applyFill="1" applyBorder="1" applyAlignment="1">
      <alignment vertical="center"/>
    </xf>
    <xf numFmtId="166" fontId="31" fillId="0" borderId="7" xfId="1" applyNumberFormat="1" applyFont="1" applyFill="1" applyBorder="1" applyAlignment="1">
      <alignment horizontal="right" vertical="center"/>
    </xf>
    <xf numFmtId="43" fontId="31" fillId="0" borderId="7" xfId="0" applyNumberFormat="1" applyFont="1" applyFill="1" applyBorder="1" applyAlignment="1">
      <alignment horizontal="left" vertical="center" indent="1"/>
    </xf>
    <xf numFmtId="43" fontId="31" fillId="0" borderId="7" xfId="0" applyNumberFormat="1" applyFont="1" applyFill="1" applyBorder="1" applyAlignment="1">
      <alignment vertical="center"/>
    </xf>
    <xf numFmtId="43" fontId="31" fillId="0" borderId="7" xfId="2" applyFont="1" applyBorder="1" applyAlignment="1">
      <alignment vertical="center" wrapText="1"/>
    </xf>
    <xf numFmtId="0" fontId="38" fillId="0" borderId="12" xfId="0" applyFont="1" applyBorder="1"/>
    <xf numFmtId="43" fontId="61" fillId="0" borderId="4" xfId="2" applyFont="1" applyBorder="1" applyAlignment="1">
      <alignment horizontal="left" vertical="center" indent="1"/>
    </xf>
    <xf numFmtId="166" fontId="61" fillId="0" borderId="12" xfId="1" applyNumberFormat="1" applyFont="1" applyFill="1" applyBorder="1" applyAlignment="1">
      <alignment horizontal="right" vertical="center"/>
    </xf>
    <xf numFmtId="166" fontId="34" fillId="0" borderId="8" xfId="1" applyNumberFormat="1" applyFont="1" applyBorder="1"/>
    <xf numFmtId="166" fontId="34" fillId="0" borderId="8" xfId="1" applyNumberFormat="1" applyFont="1" applyBorder="1" applyAlignment="1"/>
    <xf numFmtId="43" fontId="31" fillId="0" borderId="7" xfId="2" applyFont="1" applyBorder="1" applyAlignment="1">
      <alignment vertical="center"/>
    </xf>
    <xf numFmtId="43" fontId="31" fillId="0" borderId="4" xfId="2" applyFont="1" applyBorder="1" applyAlignment="1">
      <alignment vertical="center"/>
    </xf>
    <xf numFmtId="43" fontId="31" fillId="0" borderId="4" xfId="2" applyFont="1" applyBorder="1" applyAlignment="1">
      <alignment horizontal="left" vertical="center" indent="1"/>
    </xf>
    <xf numFmtId="43" fontId="63" fillId="0" borderId="7" xfId="2" applyFont="1" applyBorder="1" applyAlignment="1">
      <alignment horizontal="left" vertical="center" indent="1"/>
    </xf>
    <xf numFmtId="43" fontId="31" fillId="0" borderId="11" xfId="0" applyNumberFormat="1" applyFont="1" applyBorder="1" applyAlignment="1">
      <alignment horizontal="left" vertical="center" indent="1"/>
    </xf>
    <xf numFmtId="43" fontId="31" fillId="0" borderId="11" xfId="0" applyNumberFormat="1" applyFont="1" applyBorder="1" applyAlignment="1">
      <alignment vertical="center"/>
    </xf>
    <xf numFmtId="43" fontId="31" fillId="0" borderId="8" xfId="2" applyFont="1" applyBorder="1" applyAlignment="1">
      <alignment horizontal="left" vertical="center" indent="1"/>
    </xf>
    <xf numFmtId="43" fontId="31" fillId="0" borderId="8" xfId="2" applyFont="1" applyBorder="1" applyAlignment="1">
      <alignment vertical="center"/>
    </xf>
    <xf numFmtId="43" fontId="31" fillId="0" borderId="21" xfId="2" applyFont="1" applyBorder="1" applyAlignment="1">
      <alignment vertical="center"/>
    </xf>
    <xf numFmtId="43" fontId="61" fillId="0" borderId="8" xfId="0" applyNumberFormat="1" applyFont="1" applyBorder="1" applyAlignment="1">
      <alignment vertical="center"/>
    </xf>
    <xf numFmtId="43" fontId="31" fillId="0" borderId="17" xfId="2" applyFont="1" applyBorder="1" applyAlignment="1">
      <alignment vertical="center"/>
    </xf>
    <xf numFmtId="43" fontId="34" fillId="0" borderId="7" xfId="2" applyFont="1" applyBorder="1" applyAlignment="1">
      <alignment vertical="center"/>
    </xf>
    <xf numFmtId="166" fontId="61" fillId="0" borderId="25" xfId="1" applyNumberFormat="1" applyFont="1" applyBorder="1" applyAlignment="1">
      <alignment vertical="center"/>
    </xf>
    <xf numFmtId="166" fontId="61" fillId="0" borderId="25" xfId="1" applyNumberFormat="1" applyFont="1" applyFill="1" applyBorder="1" applyAlignment="1">
      <alignment horizontal="right" vertical="center"/>
    </xf>
    <xf numFmtId="43" fontId="61" fillId="0" borderId="25" xfId="2" applyFont="1" applyBorder="1" applyAlignment="1">
      <alignment vertical="center"/>
    </xf>
    <xf numFmtId="4" fontId="61" fillId="0" borderId="25" xfId="0" applyNumberFormat="1" applyFont="1" applyFill="1" applyBorder="1" applyAlignment="1">
      <alignment vertical="center"/>
    </xf>
    <xf numFmtId="0" fontId="108" fillId="0" borderId="8" xfId="0" applyFont="1" applyBorder="1"/>
    <xf numFmtId="43" fontId="31" fillId="0" borderId="8" xfId="0" applyNumberFormat="1" applyFont="1" applyBorder="1" applyAlignment="1">
      <alignment horizontal="left" vertical="center" indent="1"/>
    </xf>
    <xf numFmtId="4" fontId="31" fillId="0" borderId="21" xfId="0" applyNumberFormat="1" applyFont="1" applyFill="1" applyBorder="1" applyAlignment="1">
      <alignment horizontal="right" vertical="center"/>
    </xf>
    <xf numFmtId="43" fontId="31" fillId="0" borderId="8" xfId="0" applyNumberFormat="1" applyFont="1" applyBorder="1" applyAlignment="1">
      <alignment vertical="center"/>
    </xf>
    <xf numFmtId="43" fontId="61" fillId="0" borderId="7" xfId="0" applyNumberFormat="1" applyFont="1" applyBorder="1" applyAlignment="1">
      <alignment horizontal="left" vertical="center" indent="1"/>
    </xf>
    <xf numFmtId="43" fontId="61" fillId="0" borderId="7" xfId="0" applyNumberFormat="1" applyFont="1" applyBorder="1" applyAlignment="1">
      <alignment vertical="center"/>
    </xf>
    <xf numFmtId="43" fontId="31" fillId="0" borderId="7" xfId="0" applyNumberFormat="1" applyFont="1" applyBorder="1" applyAlignment="1">
      <alignment horizontal="left" vertical="center" indent="1"/>
    </xf>
    <xf numFmtId="43" fontId="31" fillId="0" borderId="7" xfId="0" applyNumberFormat="1" applyFont="1" applyBorder="1" applyAlignment="1">
      <alignment vertical="center"/>
    </xf>
    <xf numFmtId="165" fontId="31" fillId="0" borderId="11" xfId="2" applyNumberFormat="1" applyFont="1" applyBorder="1" applyAlignment="1">
      <alignment horizontal="left" vertical="center" indent="1"/>
    </xf>
    <xf numFmtId="165" fontId="31" fillId="0" borderId="11" xfId="2" applyNumberFormat="1" applyFont="1" applyBorder="1" applyAlignment="1">
      <alignment vertical="center"/>
    </xf>
    <xf numFmtId="43" fontId="31" fillId="0" borderId="17" xfId="2" applyFont="1" applyBorder="1" applyAlignment="1">
      <alignment horizontal="left" vertical="center" indent="1"/>
    </xf>
    <xf numFmtId="43" fontId="31" fillId="0" borderId="11" xfId="2" applyFont="1" applyBorder="1" applyAlignment="1">
      <alignment horizontal="left" vertical="center" indent="1"/>
    </xf>
    <xf numFmtId="43" fontId="31" fillId="0" borderId="11" xfId="2" applyFont="1" applyBorder="1" applyAlignment="1">
      <alignment vertical="center"/>
    </xf>
    <xf numFmtId="4" fontId="61" fillId="0" borderId="25" xfId="0" applyNumberFormat="1" applyFont="1" applyFill="1" applyBorder="1" applyAlignment="1">
      <alignment horizontal="right" vertical="center"/>
    </xf>
    <xf numFmtId="43" fontId="34" fillId="0" borderId="4" xfId="2" applyFont="1" applyBorder="1" applyAlignment="1">
      <alignment vertical="center"/>
    </xf>
    <xf numFmtId="43" fontId="61" fillId="0" borderId="8" xfId="2" applyFont="1" applyBorder="1" applyAlignment="1">
      <alignment vertical="center"/>
    </xf>
    <xf numFmtId="165" fontId="31" fillId="0" borderId="11" xfId="9" applyNumberFormat="1" applyFont="1" applyBorder="1" applyAlignment="1">
      <alignment vertical="top" wrapText="1"/>
    </xf>
    <xf numFmtId="43" fontId="31" fillId="0" borderId="12" xfId="2" applyFont="1" applyBorder="1" applyAlignment="1">
      <alignment horizontal="left" vertical="center" indent="1"/>
    </xf>
    <xf numFmtId="43" fontId="31" fillId="0" borderId="12" xfId="2" applyFont="1" applyBorder="1" applyAlignment="1">
      <alignment vertical="center"/>
    </xf>
    <xf numFmtId="43" fontId="31" fillId="0" borderId="11" xfId="2" applyFont="1" applyBorder="1" applyAlignment="1">
      <alignment vertical="center" wrapText="1"/>
    </xf>
    <xf numFmtId="39" fontId="61" fillId="0" borderId="4" xfId="0" applyNumberFormat="1" applyFont="1" applyFill="1" applyBorder="1" applyAlignment="1">
      <alignment vertical="center"/>
    </xf>
    <xf numFmtId="43" fontId="61" fillId="0" borderId="4" xfId="0" applyNumberFormat="1" applyFont="1" applyBorder="1" applyAlignment="1">
      <alignment horizontal="left" vertical="center" indent="1"/>
    </xf>
    <xf numFmtId="43" fontId="61" fillId="0" borderId="4" xfId="0" applyNumberFormat="1" applyFont="1" applyBorder="1" applyAlignment="1">
      <alignment vertical="center"/>
    </xf>
    <xf numFmtId="43" fontId="31" fillId="0" borderId="4" xfId="0" applyNumberFormat="1" applyFont="1" applyBorder="1" applyAlignment="1">
      <alignment horizontal="left" vertical="center" indent="1"/>
    </xf>
    <xf numFmtId="39" fontId="61" fillId="0" borderId="8" xfId="0" applyNumberFormat="1" applyFont="1" applyBorder="1" applyAlignment="1">
      <alignment vertical="center"/>
    </xf>
    <xf numFmtId="39" fontId="61" fillId="0" borderId="7" xfId="0" applyNumberFormat="1" applyFont="1" applyBorder="1" applyAlignment="1">
      <alignment horizontal="right" vertical="center"/>
    </xf>
    <xf numFmtId="39" fontId="61" fillId="0" borderId="8" xfId="0" applyNumberFormat="1" applyFont="1" applyBorder="1" applyAlignment="1">
      <alignment horizontal="right" vertical="center"/>
    </xf>
    <xf numFmtId="43" fontId="61" fillId="0" borderId="25" xfId="0" applyNumberFormat="1" applyFont="1" applyBorder="1" applyAlignment="1">
      <alignment vertical="center"/>
    </xf>
    <xf numFmtId="4" fontId="61" fillId="0" borderId="22" xfId="0" applyNumberFormat="1" applyFont="1" applyFill="1" applyBorder="1" applyAlignment="1">
      <alignment vertical="center"/>
    </xf>
    <xf numFmtId="39" fontId="34" fillId="0" borderId="4" xfId="0" applyNumberFormat="1" applyFont="1" applyBorder="1" applyAlignment="1">
      <alignment vertical="center"/>
    </xf>
    <xf numFmtId="39" fontId="34" fillId="0" borderId="4" xfId="0" applyNumberFormat="1" applyFont="1" applyBorder="1" applyAlignment="1">
      <alignment horizontal="right" vertical="center"/>
    </xf>
    <xf numFmtId="43" fontId="31" fillId="0" borderId="12" xfId="0" applyNumberFormat="1" applyFont="1" applyBorder="1" applyAlignment="1">
      <alignment horizontal="left" vertical="center" indent="1"/>
    </xf>
    <xf numFmtId="43" fontId="31" fillId="0" borderId="12" xfId="0" applyNumberFormat="1" applyFont="1" applyBorder="1" applyAlignment="1">
      <alignment vertical="center"/>
    </xf>
    <xf numFmtId="166" fontId="31" fillId="0" borderId="8" xfId="1" applyNumberFormat="1" applyFont="1" applyBorder="1" applyAlignment="1">
      <alignment vertical="center" wrapText="1"/>
    </xf>
    <xf numFmtId="43" fontId="31" fillId="0" borderId="8" xfId="2" applyFont="1" applyBorder="1" applyAlignment="1">
      <alignment horizontal="right" vertical="center" wrapText="1"/>
    </xf>
    <xf numFmtId="43" fontId="31" fillId="0" borderId="8" xfId="2" applyFont="1" applyBorder="1" applyAlignment="1">
      <alignment vertical="center" wrapText="1"/>
    </xf>
    <xf numFmtId="4" fontId="31" fillId="0" borderId="7" xfId="0" applyNumberFormat="1" applyFont="1" applyFill="1" applyBorder="1" applyAlignment="1">
      <alignment horizontal="right" vertical="center"/>
    </xf>
    <xf numFmtId="4" fontId="31" fillId="0" borderId="7" xfId="0" applyNumberFormat="1" applyFont="1" applyFill="1" applyBorder="1" applyAlignment="1">
      <alignment vertical="center"/>
    </xf>
    <xf numFmtId="43" fontId="31" fillId="0" borderId="11" xfId="2" applyFont="1" applyBorder="1" applyAlignment="1">
      <alignment horizontal="right" vertical="center" wrapText="1"/>
    </xf>
    <xf numFmtId="4" fontId="34" fillId="0" borderId="8" xfId="0" applyNumberFormat="1" applyFont="1" applyFill="1" applyBorder="1" applyAlignment="1">
      <alignment horizontal="right" vertical="center"/>
    </xf>
    <xf numFmtId="43" fontId="31" fillId="0" borderId="8" xfId="0" applyNumberFormat="1" applyFont="1" applyBorder="1" applyAlignment="1">
      <alignment horizontal="right" vertical="center"/>
    </xf>
    <xf numFmtId="4" fontId="31" fillId="0" borderId="17" xfId="0" applyNumberFormat="1" applyFont="1" applyFill="1" applyBorder="1" applyAlignment="1">
      <alignment horizontal="right" vertical="center"/>
    </xf>
    <xf numFmtId="43" fontId="61" fillId="0" borderId="12" xfId="0" applyNumberFormat="1" applyFont="1" applyBorder="1" applyAlignment="1">
      <alignment horizontal="right" vertical="center"/>
    </xf>
    <xf numFmtId="43" fontId="61" fillId="0" borderId="4" xfId="2" applyFont="1" applyFill="1" applyBorder="1" applyAlignment="1">
      <alignment vertical="center"/>
    </xf>
    <xf numFmtId="43" fontId="31" fillId="0" borderId="12" xfId="0" applyNumberFormat="1" applyFont="1" applyBorder="1" applyAlignment="1">
      <alignment horizontal="right" vertical="center"/>
    </xf>
    <xf numFmtId="43" fontId="61" fillId="0" borderId="8" xfId="0" applyNumberFormat="1" applyFont="1" applyBorder="1" applyAlignment="1">
      <alignment horizontal="right" vertical="center"/>
    </xf>
    <xf numFmtId="49" fontId="62" fillId="5" borderId="11" xfId="0" applyNumberFormat="1" applyFont="1" applyFill="1" applyBorder="1" applyAlignment="1">
      <alignment horizontal="center" vertical="center"/>
    </xf>
    <xf numFmtId="166" fontId="31" fillId="5" borderId="11" xfId="1" applyNumberFormat="1" applyFont="1" applyFill="1" applyBorder="1" applyAlignment="1">
      <alignment vertical="center"/>
    </xf>
    <xf numFmtId="4" fontId="31" fillId="5" borderId="11" xfId="1" applyNumberFormat="1" applyFont="1" applyFill="1" applyBorder="1" applyAlignment="1">
      <alignment horizontal="right" vertical="center"/>
    </xf>
    <xf numFmtId="43" fontId="31" fillId="5" borderId="11" xfId="0" applyNumberFormat="1" applyFont="1" applyFill="1" applyBorder="1" applyAlignment="1">
      <alignment horizontal="left" vertical="center" indent="1"/>
    </xf>
    <xf numFmtId="166" fontId="31" fillId="5" borderId="11" xfId="1" applyNumberFormat="1" applyFont="1" applyFill="1" applyBorder="1" applyAlignment="1">
      <alignment horizontal="right" vertical="center"/>
    </xf>
    <xf numFmtId="4" fontId="31" fillId="5" borderId="11" xfId="1" applyNumberFormat="1" applyFont="1" applyFill="1" applyBorder="1" applyAlignment="1">
      <alignment vertical="center"/>
    </xf>
    <xf numFmtId="43" fontId="31" fillId="5" borderId="11" xfId="0" applyNumberFormat="1" applyFont="1" applyFill="1" applyBorder="1" applyAlignment="1">
      <alignment vertical="center"/>
    </xf>
    <xf numFmtId="0" fontId="110" fillId="0" borderId="4" xfId="0" applyFont="1" applyBorder="1"/>
    <xf numFmtId="166" fontId="31" fillId="0" borderId="22" xfId="1" applyNumberFormat="1" applyFont="1" applyFill="1" applyBorder="1" applyAlignment="1">
      <alignment vertical="center"/>
    </xf>
    <xf numFmtId="4" fontId="31" fillId="0" borderId="22" xfId="1" applyNumberFormat="1" applyFont="1" applyFill="1" applyBorder="1" applyAlignment="1">
      <alignment horizontal="right" vertical="center"/>
    </xf>
    <xf numFmtId="43" fontId="31" fillId="0" borderId="22" xfId="0" applyNumberFormat="1" applyFont="1" applyFill="1" applyBorder="1" applyAlignment="1">
      <alignment horizontal="left" vertical="center" indent="1"/>
    </xf>
    <xf numFmtId="166" fontId="31" fillId="0" borderId="22" xfId="1" applyNumberFormat="1" applyFont="1" applyFill="1" applyBorder="1" applyAlignment="1">
      <alignment horizontal="right" vertical="center"/>
    </xf>
    <xf numFmtId="4" fontId="31" fillId="0" borderId="22" xfId="1" applyNumberFormat="1" applyFont="1" applyFill="1" applyBorder="1" applyAlignment="1">
      <alignment vertical="center"/>
    </xf>
    <xf numFmtId="43" fontId="31" fillId="0" borderId="22" xfId="0" applyNumberFormat="1" applyFont="1" applyFill="1" applyBorder="1" applyAlignment="1">
      <alignment vertical="center"/>
    </xf>
    <xf numFmtId="0" fontId="110" fillId="0" borderId="4" xfId="0" applyFont="1" applyFill="1" applyBorder="1"/>
    <xf numFmtId="166" fontId="31" fillId="0" borderId="22" xfId="1" applyNumberFormat="1" applyFont="1" applyBorder="1" applyAlignment="1">
      <alignment vertical="center"/>
    </xf>
    <xf numFmtId="4" fontId="31" fillId="0" borderId="22" xfId="1" applyNumberFormat="1" applyFont="1" applyBorder="1" applyAlignment="1">
      <alignment horizontal="right" vertical="center"/>
    </xf>
    <xf numFmtId="43" fontId="31" fillId="0" borderId="22" xfId="0" applyNumberFormat="1" applyFont="1" applyBorder="1" applyAlignment="1">
      <alignment horizontal="left" vertical="center" indent="1"/>
    </xf>
    <xf numFmtId="166" fontId="31" fillId="0" borderId="22" xfId="1" applyNumberFormat="1" applyFont="1" applyBorder="1" applyAlignment="1">
      <alignment horizontal="right" vertical="center"/>
    </xf>
    <xf numFmtId="4" fontId="31" fillId="0" borderId="22" xfId="1" applyNumberFormat="1" applyFont="1" applyBorder="1" applyAlignment="1">
      <alignment vertical="center"/>
    </xf>
    <xf numFmtId="43" fontId="31" fillId="0" borderId="22" xfId="0" applyNumberFormat="1" applyFont="1" applyBorder="1" applyAlignment="1">
      <alignment vertical="center"/>
    </xf>
    <xf numFmtId="4" fontId="31" fillId="0" borderId="4" xfId="1" applyNumberFormat="1" applyFont="1" applyFill="1" applyBorder="1" applyAlignment="1">
      <alignment vertical="center"/>
    </xf>
    <xf numFmtId="4" fontId="31" fillId="0" borderId="4" xfId="1" applyNumberFormat="1" applyFont="1" applyFill="1" applyBorder="1" applyAlignment="1">
      <alignment horizontal="right" vertical="center"/>
    </xf>
    <xf numFmtId="4" fontId="61" fillId="0" borderId="4" xfId="1" applyNumberFormat="1" applyFont="1" applyBorder="1" applyAlignment="1">
      <alignment horizontal="right" vertical="center"/>
    </xf>
    <xf numFmtId="4" fontId="61" fillId="0" borderId="4" xfId="1" applyNumberFormat="1" applyFont="1" applyFill="1" applyBorder="1" applyAlignment="1">
      <alignment horizontal="right" vertical="center"/>
    </xf>
    <xf numFmtId="4" fontId="31" fillId="0" borderId="4" xfId="1" applyNumberFormat="1" applyFont="1" applyBorder="1" applyAlignment="1">
      <alignment horizontal="right" vertical="center"/>
    </xf>
    <xf numFmtId="4" fontId="31" fillId="0" borderId="4" xfId="1" applyNumberFormat="1" applyFont="1" applyBorder="1" applyAlignment="1">
      <alignment vertical="center"/>
    </xf>
    <xf numFmtId="166" fontId="61" fillId="0" borderId="4" xfId="0" applyNumberFormat="1" applyFont="1" applyBorder="1" applyAlignment="1">
      <alignment horizontal="right" vertical="center"/>
    </xf>
    <xf numFmtId="166" fontId="61" fillId="0" borderId="4" xfId="0" applyNumberFormat="1" applyFont="1" applyBorder="1" applyAlignment="1">
      <alignment vertical="center"/>
    </xf>
    <xf numFmtId="166" fontId="31" fillId="0" borderId="7" xfId="1" applyNumberFormat="1" applyFont="1" applyBorder="1"/>
    <xf numFmtId="166" fontId="31" fillId="0" borderId="7" xfId="1" applyNumberFormat="1" applyFont="1" applyBorder="1" applyAlignment="1"/>
    <xf numFmtId="166" fontId="61" fillId="0" borderId="4" xfId="1" applyNumberFormat="1" applyFont="1" applyBorder="1" applyAlignment="1"/>
    <xf numFmtId="4" fontId="31" fillId="0" borderId="7" xfId="1" applyNumberFormat="1" applyFont="1" applyBorder="1" applyAlignment="1">
      <alignment horizontal="right" vertical="center"/>
    </xf>
    <xf numFmtId="166" fontId="31" fillId="0" borderId="8" xfId="1" applyNumberFormat="1" applyFont="1" applyBorder="1"/>
    <xf numFmtId="166" fontId="31" fillId="0" borderId="8" xfId="1" applyNumberFormat="1" applyFont="1" applyBorder="1" applyAlignment="1"/>
    <xf numFmtId="166" fontId="61" fillId="0" borderId="12" xfId="1" applyNumberFormat="1" applyFont="1" applyBorder="1" applyAlignment="1"/>
    <xf numFmtId="166" fontId="34" fillId="0" borderId="4" xfId="1" applyNumberFormat="1" applyFont="1" applyBorder="1"/>
    <xf numFmtId="166" fontId="34" fillId="0" borderId="4" xfId="1" applyNumberFormat="1" applyFont="1" applyBorder="1" applyAlignment="1"/>
    <xf numFmtId="166" fontId="31" fillId="0" borderId="4" xfId="1" applyNumberFormat="1" applyFont="1" applyBorder="1"/>
    <xf numFmtId="166" fontId="31" fillId="0" borderId="4" xfId="1" applyNumberFormat="1" applyFont="1" applyBorder="1" applyAlignment="1"/>
    <xf numFmtId="4" fontId="62" fillId="0" borderId="4" xfId="1" applyNumberFormat="1" applyFont="1" applyBorder="1" applyAlignment="1">
      <alignment horizontal="right" vertical="center"/>
    </xf>
    <xf numFmtId="4" fontId="61" fillId="0" borderId="7" xfId="1" applyNumberFormat="1" applyFont="1" applyBorder="1" applyAlignment="1">
      <alignment horizontal="right" vertical="center"/>
    </xf>
    <xf numFmtId="166" fontId="31" fillId="0" borderId="11" xfId="1" applyNumberFormat="1" applyFont="1" applyBorder="1"/>
    <xf numFmtId="4" fontId="31" fillId="0" borderId="11" xfId="1" applyNumberFormat="1" applyFont="1" applyBorder="1" applyAlignment="1">
      <alignment vertical="center"/>
    </xf>
    <xf numFmtId="166" fontId="31" fillId="0" borderId="11" xfId="1" applyNumberFormat="1" applyFont="1" applyBorder="1" applyAlignment="1"/>
    <xf numFmtId="4" fontId="31" fillId="0" borderId="21" xfId="1" applyNumberFormat="1" applyFont="1" applyFill="1" applyBorder="1" applyAlignment="1">
      <alignment vertical="center"/>
    </xf>
    <xf numFmtId="4" fontId="31" fillId="0" borderId="21" xfId="1" applyNumberFormat="1" applyFont="1" applyFill="1" applyBorder="1" applyAlignment="1">
      <alignment horizontal="right" vertical="center"/>
    </xf>
    <xf numFmtId="0" fontId="34" fillId="0" borderId="8" xfId="0" applyFont="1" applyBorder="1"/>
    <xf numFmtId="0" fontId="34" fillId="0" borderId="8" xfId="0" applyFont="1" applyBorder="1" applyAlignment="1"/>
    <xf numFmtId="4" fontId="61" fillId="0" borderId="8" xfId="1" applyNumberFormat="1" applyFont="1" applyBorder="1" applyAlignment="1">
      <alignment horizontal="right" vertical="center"/>
    </xf>
    <xf numFmtId="4" fontId="31" fillId="0" borderId="8" xfId="1" applyNumberFormat="1" applyFont="1" applyFill="1" applyBorder="1" applyAlignment="1">
      <alignment vertical="center"/>
    </xf>
    <xf numFmtId="4" fontId="31" fillId="0" borderId="12" xfId="1" applyNumberFormat="1" applyFont="1" applyFill="1" applyBorder="1" applyAlignment="1">
      <alignment vertical="center"/>
    </xf>
    <xf numFmtId="4" fontId="31" fillId="0" borderId="11" xfId="1" applyNumberFormat="1" applyFont="1" applyFill="1" applyBorder="1" applyAlignment="1">
      <alignment horizontal="right" vertical="center"/>
    </xf>
    <xf numFmtId="4" fontId="31" fillId="0" borderId="12" xfId="1" applyNumberFormat="1" applyFont="1" applyFill="1" applyBorder="1" applyAlignment="1">
      <alignment horizontal="right" vertical="center"/>
    </xf>
    <xf numFmtId="166" fontId="61" fillId="0" borderId="7" xfId="1" applyNumberFormat="1" applyFont="1" applyBorder="1" applyAlignment="1"/>
    <xf numFmtId="4" fontId="61" fillId="0" borderId="7" xfId="1" applyNumberFormat="1" applyFont="1" applyFill="1" applyBorder="1" applyAlignment="1">
      <alignment horizontal="right" vertical="center"/>
    </xf>
    <xf numFmtId="4" fontId="31" fillId="0" borderId="7" xfId="1" applyNumberFormat="1" applyFont="1" applyFill="1" applyBorder="1" applyAlignment="1">
      <alignment horizontal="right" vertical="center"/>
    </xf>
    <xf numFmtId="4" fontId="31" fillId="0" borderId="7" xfId="1" applyNumberFormat="1" applyFont="1" applyBorder="1" applyAlignment="1">
      <alignment vertical="center"/>
    </xf>
    <xf numFmtId="4" fontId="31" fillId="0" borderId="8" xfId="1" applyNumberFormat="1" applyFont="1" applyBorder="1" applyAlignment="1">
      <alignment horizontal="right" vertical="center"/>
    </xf>
    <xf numFmtId="166" fontId="31" fillId="0" borderId="17" xfId="1" applyNumberFormat="1" applyFont="1" applyBorder="1" applyAlignment="1">
      <alignment horizontal="right" vertical="center"/>
    </xf>
    <xf numFmtId="4" fontId="31" fillId="0" borderId="21" xfId="1" applyNumberFormat="1" applyFont="1" applyBorder="1" applyAlignment="1">
      <alignment vertical="center"/>
    </xf>
    <xf numFmtId="4" fontId="31" fillId="0" borderId="12" xfId="1" applyNumberFormat="1" applyFont="1" applyBorder="1" applyAlignment="1">
      <alignment vertical="center"/>
    </xf>
    <xf numFmtId="166" fontId="34" fillId="0" borderId="25" xfId="1" applyNumberFormat="1" applyFont="1" applyBorder="1" applyAlignment="1">
      <alignment vertical="center"/>
    </xf>
    <xf numFmtId="4" fontId="61" fillId="0" borderId="22" xfId="1" applyNumberFormat="1" applyFont="1" applyFill="1" applyBorder="1" applyAlignment="1">
      <alignment vertical="center"/>
    </xf>
    <xf numFmtId="4" fontId="61" fillId="0" borderId="22" xfId="1" applyNumberFormat="1" applyFont="1" applyBorder="1" applyAlignment="1">
      <alignment vertical="center"/>
    </xf>
    <xf numFmtId="4" fontId="31" fillId="0" borderId="8" xfId="1" applyNumberFormat="1" applyFont="1" applyBorder="1" applyAlignment="1">
      <alignment vertical="center"/>
    </xf>
    <xf numFmtId="4" fontId="62" fillId="0" borderId="12" xfId="1" applyNumberFormat="1" applyFont="1" applyBorder="1" applyAlignment="1">
      <alignment horizontal="right" vertical="center"/>
    </xf>
    <xf numFmtId="166" fontId="31" fillId="0" borderId="11" xfId="1" applyNumberFormat="1" applyFont="1" applyBorder="1" applyAlignment="1">
      <alignment horizontal="center" vertical="center"/>
    </xf>
    <xf numFmtId="166" fontId="31" fillId="0" borderId="21" xfId="1" applyNumberFormat="1" applyFont="1" applyBorder="1"/>
    <xf numFmtId="166" fontId="31" fillId="0" borderId="21" xfId="1" applyNumberFormat="1" applyFont="1" applyBorder="1" applyAlignment="1"/>
    <xf numFmtId="4" fontId="61" fillId="0" borderId="12" xfId="1" applyNumberFormat="1" applyFont="1" applyFill="1" applyBorder="1" applyAlignment="1">
      <alignment horizontal="right" vertical="center"/>
    </xf>
    <xf numFmtId="166" fontId="31" fillId="0" borderId="4" xfId="1" applyNumberFormat="1" applyFont="1" applyBorder="1" applyAlignment="1">
      <alignment horizontal="center" vertical="center"/>
    </xf>
    <xf numFmtId="166" fontId="34" fillId="0" borderId="12" xfId="1" applyNumberFormat="1" applyFont="1" applyBorder="1" applyAlignment="1"/>
    <xf numFmtId="43" fontId="62" fillId="0" borderId="4" xfId="0" applyNumberFormat="1" applyFont="1" applyBorder="1" applyAlignment="1">
      <alignment horizontal="left" vertical="center" indent="1"/>
    </xf>
    <xf numFmtId="4" fontId="62" fillId="0" borderId="4" xfId="1" applyNumberFormat="1" applyFont="1" applyFill="1" applyBorder="1" applyAlignment="1">
      <alignment vertical="center"/>
    </xf>
    <xf numFmtId="4" fontId="62" fillId="0" borderId="4" xfId="1" applyNumberFormat="1" applyFont="1" applyFill="1" applyBorder="1" applyAlignment="1">
      <alignment horizontal="right" vertical="center"/>
    </xf>
    <xf numFmtId="43" fontId="62" fillId="0" borderId="4" xfId="0" applyNumberFormat="1" applyFont="1" applyBorder="1" applyAlignment="1">
      <alignment vertical="center"/>
    </xf>
    <xf numFmtId="4" fontId="31" fillId="0" borderId="8" xfId="1" applyNumberFormat="1" applyFont="1" applyFill="1" applyBorder="1" applyAlignment="1">
      <alignment horizontal="right" vertical="center"/>
    </xf>
    <xf numFmtId="4" fontId="61" fillId="0" borderId="8" xfId="1" applyNumberFormat="1" applyFont="1" applyFill="1" applyBorder="1" applyAlignment="1">
      <alignment horizontal="right" vertical="center"/>
    </xf>
    <xf numFmtId="4" fontId="61" fillId="0" borderId="22" xfId="1" applyNumberFormat="1" applyFont="1" applyBorder="1" applyAlignment="1">
      <alignment horizontal="right" vertical="center"/>
    </xf>
    <xf numFmtId="166" fontId="61" fillId="0" borderId="22" xfId="1" applyNumberFormat="1" applyFont="1" applyBorder="1" applyAlignment="1">
      <alignment horizontal="right" vertical="center"/>
    </xf>
    <xf numFmtId="166" fontId="61" fillId="0" borderId="22" xfId="1" applyNumberFormat="1" applyFont="1" applyBorder="1" applyAlignment="1">
      <alignment vertical="center"/>
    </xf>
    <xf numFmtId="4" fontId="61" fillId="0" borderId="25" xfId="1" applyNumberFormat="1" applyFont="1" applyBorder="1" applyAlignment="1">
      <alignment vertical="center"/>
    </xf>
    <xf numFmtId="4" fontId="34" fillId="0" borderId="7" xfId="1" applyNumberFormat="1" applyFont="1" applyBorder="1" applyAlignment="1">
      <alignment horizontal="right" vertical="center"/>
    </xf>
    <xf numFmtId="166" fontId="31" fillId="0" borderId="11" xfId="7" applyNumberFormat="1" applyFont="1" applyBorder="1" applyAlignment="1">
      <alignment horizontal="center" vertical="center"/>
    </xf>
    <xf numFmtId="166" fontId="31" fillId="0" borderId="12" xfId="7" applyNumberFormat="1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/>
    </xf>
    <xf numFmtId="166" fontId="62" fillId="0" borderId="12" xfId="1" applyNumberFormat="1" applyFont="1" applyBorder="1" applyAlignment="1">
      <alignment vertical="center"/>
    </xf>
    <xf numFmtId="166" fontId="34" fillId="0" borderId="4" xfId="7" applyNumberFormat="1" applyFont="1" applyBorder="1" applyAlignment="1">
      <alignment vertical="center"/>
    </xf>
    <xf numFmtId="0" fontId="34" fillId="0" borderId="7" xfId="0" applyFont="1" applyBorder="1" applyAlignment="1">
      <alignment horizontal="center" vertical="center"/>
    </xf>
    <xf numFmtId="166" fontId="31" fillId="0" borderId="4" xfId="7" applyNumberFormat="1" applyFont="1" applyBorder="1" applyAlignment="1">
      <alignment horizontal="center" vertical="center"/>
    </xf>
    <xf numFmtId="166" fontId="34" fillId="0" borderId="4" xfId="1" applyNumberFormat="1" applyFont="1" applyBorder="1" applyAlignment="1">
      <alignment horizontal="right" vertical="center"/>
    </xf>
    <xf numFmtId="4" fontId="34" fillId="0" borderId="8" xfId="1" applyNumberFormat="1" applyFont="1" applyBorder="1" applyAlignment="1">
      <alignment horizontal="right" vertical="center"/>
    </xf>
    <xf numFmtId="4" fontId="34" fillId="0" borderId="4" xfId="1" applyNumberFormat="1" applyFont="1" applyBorder="1" applyAlignment="1">
      <alignment horizontal="right" vertical="center"/>
    </xf>
    <xf numFmtId="166" fontId="31" fillId="0" borderId="11" xfId="10" applyNumberFormat="1" applyFont="1" applyBorder="1" applyAlignment="1">
      <alignment vertical="center"/>
    </xf>
    <xf numFmtId="166" fontId="31" fillId="0" borderId="12" xfId="10" applyNumberFormat="1" applyFont="1" applyBorder="1" applyAlignment="1">
      <alignment vertical="center"/>
    </xf>
    <xf numFmtId="4" fontId="62" fillId="0" borderId="7" xfId="1" applyNumberFormat="1" applyFont="1" applyFill="1" applyBorder="1" applyAlignment="1">
      <alignment vertical="center"/>
    </xf>
    <xf numFmtId="166" fontId="62" fillId="0" borderId="12" xfId="1" applyNumberFormat="1" applyFont="1" applyBorder="1" applyAlignment="1">
      <alignment horizontal="right" vertical="center"/>
    </xf>
    <xf numFmtId="4" fontId="62" fillId="0" borderId="4" xfId="1" applyNumberFormat="1" applyFont="1" applyBorder="1" applyAlignment="1">
      <alignment vertical="center"/>
    </xf>
    <xf numFmtId="4" fontId="62" fillId="0" borderId="12" xfId="1" applyNumberFormat="1" applyFont="1" applyBorder="1" applyAlignment="1">
      <alignment vertical="center"/>
    </xf>
    <xf numFmtId="4" fontId="62" fillId="0" borderId="8" xfId="1" applyNumberFormat="1" applyFont="1" applyFill="1" applyBorder="1" applyAlignment="1">
      <alignment vertical="center"/>
    </xf>
    <xf numFmtId="165" fontId="31" fillId="0" borderId="4" xfId="1" applyNumberFormat="1" applyFont="1" applyBorder="1" applyAlignment="1">
      <alignment vertical="center"/>
    </xf>
    <xf numFmtId="4" fontId="34" fillId="0" borderId="4" xfId="1" applyNumberFormat="1" applyFont="1" applyFill="1" applyBorder="1"/>
    <xf numFmtId="4" fontId="34" fillId="0" borderId="4" xfId="1" applyNumberFormat="1" applyFont="1" applyFill="1" applyBorder="1" applyAlignment="1"/>
    <xf numFmtId="4" fontId="31" fillId="0" borderId="4" xfId="1" applyNumberFormat="1" applyFont="1" applyFill="1" applyBorder="1"/>
    <xf numFmtId="4" fontId="31" fillId="0" borderId="4" xfId="1" applyNumberFormat="1" applyFont="1" applyFill="1" applyBorder="1" applyAlignment="1"/>
    <xf numFmtId="4" fontId="61" fillId="0" borderId="4" xfId="1" applyNumberFormat="1" applyFont="1" applyFill="1" applyBorder="1"/>
    <xf numFmtId="4" fontId="61" fillId="0" borderId="4" xfId="1" applyNumberFormat="1" applyFont="1" applyFill="1" applyBorder="1" applyAlignment="1"/>
    <xf numFmtId="4" fontId="61" fillId="0" borderId="25" xfId="1" applyNumberFormat="1" applyFont="1" applyBorder="1" applyAlignment="1">
      <alignment horizontal="right" vertical="center"/>
    </xf>
    <xf numFmtId="4" fontId="61" fillId="0" borderId="25" xfId="1" applyNumberFormat="1" applyFont="1" applyFill="1" applyBorder="1"/>
    <xf numFmtId="166" fontId="61" fillId="0" borderId="25" xfId="1" applyNumberFormat="1" applyFont="1" applyBorder="1" applyAlignment="1">
      <alignment horizontal="right" vertical="center"/>
    </xf>
    <xf numFmtId="4" fontId="61" fillId="0" borderId="25" xfId="1" applyNumberFormat="1" applyFont="1" applyFill="1" applyBorder="1" applyAlignment="1"/>
    <xf numFmtId="0" fontId="61" fillId="0" borderId="8" xfId="0" applyFont="1" applyBorder="1"/>
    <xf numFmtId="0" fontId="61" fillId="0" borderId="12" xfId="0" applyFont="1" applyBorder="1"/>
    <xf numFmtId="4" fontId="34" fillId="0" borderId="25" xfId="1" applyNumberFormat="1" applyFont="1" applyBorder="1" applyAlignment="1">
      <alignment horizontal="right" vertical="center"/>
    </xf>
    <xf numFmtId="4" fontId="61" fillId="0" borderId="25" xfId="1" applyNumberFormat="1" applyFont="1" applyFill="1" applyBorder="1" applyAlignment="1">
      <alignment vertical="center"/>
    </xf>
    <xf numFmtId="166" fontId="34" fillId="0" borderId="25" xfId="1" applyNumberFormat="1" applyFont="1" applyBorder="1" applyAlignment="1">
      <alignment horizontal="right" vertical="center"/>
    </xf>
    <xf numFmtId="166" fontId="31" fillId="0" borderId="11" xfId="7" applyNumberFormat="1" applyFont="1" applyBorder="1" applyAlignment="1">
      <alignment horizontal="right" vertical="center"/>
    </xf>
    <xf numFmtId="166" fontId="31" fillId="0" borderId="12" xfId="7" applyNumberFormat="1" applyFont="1" applyBorder="1" applyAlignment="1">
      <alignment horizontal="right" vertical="center"/>
    </xf>
    <xf numFmtId="166" fontId="31" fillId="0" borderId="4" xfId="0" applyNumberFormat="1" applyFont="1" applyBorder="1" applyAlignment="1">
      <alignment vertical="center"/>
    </xf>
    <xf numFmtId="166" fontId="31" fillId="0" borderId="4" xfId="7" applyNumberFormat="1" applyFont="1" applyBorder="1" applyAlignment="1">
      <alignment vertical="center"/>
    </xf>
    <xf numFmtId="4" fontId="34" fillId="0" borderId="12" xfId="1" applyNumberFormat="1" applyFont="1" applyBorder="1" applyAlignment="1">
      <alignment horizontal="right" vertical="center"/>
    </xf>
    <xf numFmtId="166" fontId="62" fillId="0" borderId="4" xfId="0" applyNumberFormat="1" applyFont="1" applyBorder="1" applyAlignment="1">
      <alignment vertical="center"/>
    </xf>
    <xf numFmtId="166" fontId="61" fillId="0" borderId="12" xfId="1" applyNumberFormat="1" applyFont="1" applyBorder="1"/>
    <xf numFmtId="166" fontId="34" fillId="0" borderId="7" xfId="1" applyNumberFormat="1" applyFont="1" applyBorder="1" applyAlignment="1"/>
    <xf numFmtId="4" fontId="62" fillId="0" borderId="12" xfId="1" applyNumberFormat="1" applyFont="1" applyFill="1" applyBorder="1" applyAlignment="1">
      <alignment vertical="center"/>
    </xf>
    <xf numFmtId="4" fontId="62" fillId="0" borderId="12" xfId="1" applyNumberFormat="1" applyFont="1" applyFill="1" applyBorder="1" applyAlignment="1">
      <alignment horizontal="right" vertical="center"/>
    </xf>
    <xf numFmtId="166" fontId="62" fillId="0" borderId="12" xfId="1" applyNumberFormat="1" applyFont="1" applyBorder="1" applyAlignment="1"/>
    <xf numFmtId="166" fontId="31" fillId="0" borderId="12" xfId="1" applyNumberFormat="1" applyFont="1" applyBorder="1"/>
    <xf numFmtId="166" fontId="31" fillId="0" borderId="12" xfId="1" applyNumberFormat="1" applyFont="1" applyBorder="1" applyAlignment="1"/>
    <xf numFmtId="0" fontId="61" fillId="0" borderId="4" xfId="0" applyFont="1" applyBorder="1" applyAlignment="1"/>
    <xf numFmtId="49" fontId="31" fillId="5" borderId="11" xfId="0" applyNumberFormat="1" applyFont="1" applyFill="1" applyBorder="1" applyAlignment="1">
      <alignment horizontal="center" vertical="center"/>
    </xf>
    <xf numFmtId="43" fontId="31" fillId="5" borderId="11" xfId="0" applyNumberFormat="1" applyFont="1" applyFill="1" applyBorder="1" applyAlignment="1">
      <alignment horizontal="right" vertical="center" indent="1"/>
    </xf>
    <xf numFmtId="166" fontId="31" fillId="5" borderId="4" xfId="1" applyNumberFormat="1" applyFont="1" applyFill="1" applyBorder="1" applyAlignment="1">
      <alignment vertical="center"/>
    </xf>
    <xf numFmtId="0" fontId="50" fillId="5" borderId="4" xfId="0" applyFont="1" applyFill="1" applyBorder="1"/>
    <xf numFmtId="4" fontId="61" fillId="0" borderId="4" xfId="2" applyNumberFormat="1" applyFont="1" applyFill="1" applyBorder="1" applyAlignment="1"/>
    <xf numFmtId="4" fontId="31" fillId="0" borderId="17" xfId="1" applyNumberFormat="1" applyFont="1" applyFill="1" applyBorder="1" applyAlignment="1">
      <alignment vertical="center"/>
    </xf>
    <xf numFmtId="4" fontId="34" fillId="0" borderId="4" xfId="1" applyNumberFormat="1" applyFont="1" applyFill="1" applyBorder="1" applyAlignment="1">
      <alignment vertical="center"/>
    </xf>
    <xf numFmtId="4" fontId="62" fillId="0" borderId="11" xfId="1" applyNumberFormat="1" applyFont="1" applyFill="1" applyBorder="1" applyAlignment="1">
      <alignment vertical="center"/>
    </xf>
    <xf numFmtId="4" fontId="62" fillId="0" borderId="11" xfId="1" applyNumberFormat="1" applyFont="1" applyBorder="1" applyAlignment="1">
      <alignment vertical="center"/>
    </xf>
    <xf numFmtId="166" fontId="62" fillId="0" borderId="8" xfId="1" applyNumberFormat="1" applyFont="1" applyBorder="1" applyAlignment="1">
      <alignment horizontal="right" vertical="center"/>
    </xf>
    <xf numFmtId="4" fontId="62" fillId="0" borderId="8" xfId="1" applyNumberFormat="1" applyFont="1" applyBorder="1" applyAlignment="1">
      <alignment vertical="center"/>
    </xf>
    <xf numFmtId="49" fontId="31" fillId="10" borderId="22" xfId="0" applyNumberFormat="1" applyFont="1" applyFill="1" applyBorder="1" applyAlignment="1">
      <alignment horizontal="center" vertical="center"/>
    </xf>
    <xf numFmtId="2" fontId="31" fillId="8" borderId="11" xfId="0" applyNumberFormat="1" applyFont="1" applyFill="1" applyBorder="1" applyAlignment="1">
      <alignment horizontal="right" vertical="center"/>
    </xf>
    <xf numFmtId="4" fontId="63" fillId="8" borderId="11" xfId="0" applyNumberFormat="1" applyFont="1" applyFill="1" applyBorder="1" applyAlignment="1">
      <alignment vertical="center"/>
    </xf>
    <xf numFmtId="4" fontId="31" fillId="8" borderId="11" xfId="0" applyNumberFormat="1" applyFont="1" applyFill="1" applyBorder="1" applyAlignment="1">
      <alignment vertical="center"/>
    </xf>
    <xf numFmtId="166" fontId="31" fillId="10" borderId="11" xfId="1" applyNumberFormat="1" applyFont="1" applyFill="1" applyBorder="1" applyAlignment="1">
      <alignment vertical="center"/>
    </xf>
    <xf numFmtId="0" fontId="34" fillId="0" borderId="4" xfId="0" applyFont="1" applyFill="1" applyBorder="1"/>
    <xf numFmtId="2" fontId="31" fillId="0" borderId="22" xfId="0" applyNumberFormat="1" applyFont="1" applyFill="1" applyBorder="1" applyAlignment="1">
      <alignment horizontal="right" vertical="center"/>
    </xf>
    <xf numFmtId="4" fontId="63" fillId="0" borderId="22" xfId="0" applyNumberFormat="1" applyFont="1" applyFill="1" applyBorder="1" applyAlignment="1">
      <alignment vertical="center"/>
    </xf>
    <xf numFmtId="4" fontId="31" fillId="0" borderId="22" xfId="0" applyNumberFormat="1" applyFont="1" applyFill="1" applyBorder="1" applyAlignment="1">
      <alignment vertical="center"/>
    </xf>
    <xf numFmtId="4" fontId="31" fillId="0" borderId="22" xfId="0" applyNumberFormat="1" applyFont="1" applyFill="1" applyBorder="1" applyAlignment="1">
      <alignment horizontal="right" vertical="center"/>
    </xf>
    <xf numFmtId="4" fontId="31" fillId="0" borderId="4" xfId="1" applyNumberFormat="1" applyFont="1" applyFill="1" applyBorder="1" applyAlignment="1">
      <alignment horizontal="right"/>
    </xf>
    <xf numFmtId="166" fontId="61" fillId="6" borderId="4" xfId="1" applyNumberFormat="1" applyFont="1" applyFill="1" applyBorder="1" applyAlignment="1">
      <alignment vertical="center"/>
    </xf>
    <xf numFmtId="166" fontId="61" fillId="6" borderId="4" xfId="0" applyNumberFormat="1" applyFont="1" applyFill="1" applyBorder="1" applyAlignment="1">
      <alignment horizontal="right" vertical="center"/>
    </xf>
    <xf numFmtId="4" fontId="61" fillId="0" borderId="4" xfId="1" applyNumberFormat="1" applyFont="1" applyFill="1" applyBorder="1" applyAlignment="1">
      <alignment horizontal="right"/>
    </xf>
    <xf numFmtId="167" fontId="61" fillId="0" borderId="4" xfId="11" applyNumberFormat="1" applyFont="1" applyBorder="1" applyAlignment="1">
      <alignment vertical="center"/>
    </xf>
    <xf numFmtId="167" fontId="61" fillId="0" borderId="4" xfId="0" applyNumberFormat="1" applyFont="1" applyBorder="1" applyAlignment="1">
      <alignment vertical="center"/>
    </xf>
    <xf numFmtId="4" fontId="61" fillId="0" borderId="12" xfId="1" applyNumberFormat="1" applyFont="1" applyFill="1" applyBorder="1"/>
    <xf numFmtId="166" fontId="31" fillId="6" borderId="4" xfId="1" applyNumberFormat="1" applyFont="1" applyFill="1" applyBorder="1" applyAlignment="1">
      <alignment vertical="center"/>
    </xf>
    <xf numFmtId="166" fontId="61" fillId="6" borderId="7" xfId="1" applyNumberFormat="1" applyFont="1" applyFill="1" applyBorder="1" applyAlignment="1">
      <alignment vertical="center"/>
    </xf>
    <xf numFmtId="4" fontId="61" fillId="0" borderId="7" xfId="1" applyNumberFormat="1" applyFont="1" applyFill="1" applyBorder="1"/>
    <xf numFmtId="4" fontId="61" fillId="0" borderId="7" xfId="1" applyNumberFormat="1" applyFont="1" applyFill="1" applyBorder="1" applyAlignment="1">
      <alignment horizontal="right"/>
    </xf>
    <xf numFmtId="4" fontId="61" fillId="0" borderId="8" xfId="1" applyNumberFormat="1" applyFont="1" applyFill="1" applyBorder="1"/>
    <xf numFmtId="4" fontId="34" fillId="0" borderId="7" xfId="1" applyNumberFormat="1" applyFont="1" applyFill="1" applyBorder="1" applyAlignment="1">
      <alignment horizontal="right" vertical="center"/>
    </xf>
    <xf numFmtId="166" fontId="31" fillId="6" borderId="7" xfId="1" applyNumberFormat="1" applyFont="1" applyFill="1" applyBorder="1" applyAlignment="1">
      <alignment vertical="center"/>
    </xf>
    <xf numFmtId="166" fontId="31" fillId="6" borderId="4" xfId="0" applyNumberFormat="1" applyFont="1" applyFill="1" applyBorder="1" applyAlignment="1">
      <alignment horizontal="right" vertical="center"/>
    </xf>
    <xf numFmtId="166" fontId="31" fillId="6" borderId="4" xfId="0" applyNumberFormat="1" applyFont="1" applyFill="1" applyBorder="1" applyAlignment="1">
      <alignment vertical="center"/>
    </xf>
    <xf numFmtId="4" fontId="61" fillId="0" borderId="7" xfId="1" applyNumberFormat="1" applyFont="1" applyFill="1" applyBorder="1" applyAlignment="1"/>
    <xf numFmtId="4" fontId="31" fillId="0" borderId="7" xfId="1" applyNumberFormat="1" applyFont="1" applyFill="1" applyBorder="1"/>
    <xf numFmtId="166" fontId="31" fillId="6" borderId="7" xfId="0" applyNumberFormat="1" applyFont="1" applyFill="1" applyBorder="1" applyAlignment="1">
      <alignment vertical="center"/>
    </xf>
    <xf numFmtId="0" fontId="31" fillId="0" borderId="4" xfId="0" applyFont="1" applyBorder="1"/>
    <xf numFmtId="166" fontId="31" fillId="0" borderId="4" xfId="0" applyNumberFormat="1" applyFont="1" applyBorder="1" applyAlignment="1">
      <alignment horizontal="right" vertical="center"/>
    </xf>
    <xf numFmtId="0" fontId="34" fillId="0" borderId="7" xfId="0" applyFont="1" applyBorder="1" applyAlignment="1">
      <alignment horizontal="left" vertical="center"/>
    </xf>
    <xf numFmtId="166" fontId="31" fillId="0" borderId="21" xfId="0" applyNumberFormat="1" applyFont="1" applyBorder="1" applyAlignment="1">
      <alignment vertical="center"/>
    </xf>
    <xf numFmtId="167" fontId="61" fillId="4" borderId="4" xfId="0" applyNumberFormat="1" applyFont="1" applyFill="1" applyBorder="1" applyAlignment="1">
      <alignment vertical="center" wrapText="1"/>
    </xf>
    <xf numFmtId="4" fontId="34" fillId="0" borderId="8" xfId="1" applyNumberFormat="1" applyFont="1" applyFill="1" applyBorder="1" applyAlignment="1">
      <alignment horizontal="right" vertical="center"/>
    </xf>
    <xf numFmtId="4" fontId="34" fillId="0" borderId="4" xfId="1" applyNumberFormat="1" applyFont="1" applyFill="1" applyBorder="1" applyAlignment="1">
      <alignment horizontal="right" vertical="center"/>
    </xf>
    <xf numFmtId="166" fontId="31" fillId="0" borderId="4" xfId="0" applyNumberFormat="1" applyFont="1" applyFill="1" applyBorder="1" applyAlignment="1">
      <alignment horizontal="right" vertical="center"/>
    </xf>
    <xf numFmtId="166" fontId="31" fillId="0" borderId="4" xfId="0" applyNumberFormat="1" applyFont="1" applyFill="1" applyBorder="1" applyAlignment="1">
      <alignment vertical="center"/>
    </xf>
    <xf numFmtId="167" fontId="61" fillId="4" borderId="4" xfId="0" applyNumberFormat="1" applyFont="1" applyFill="1" applyBorder="1" applyAlignment="1">
      <alignment vertical="center"/>
    </xf>
    <xf numFmtId="166" fontId="31" fillId="0" borderId="4" xfId="0" applyNumberFormat="1" applyFont="1" applyBorder="1" applyAlignment="1">
      <alignment vertical="center" wrapText="1"/>
    </xf>
    <xf numFmtId="166" fontId="61" fillId="6" borderId="4" xfId="0" applyNumberFormat="1" applyFont="1" applyFill="1" applyBorder="1" applyAlignment="1">
      <alignment vertical="center"/>
    </xf>
    <xf numFmtId="4" fontId="61" fillId="0" borderId="8" xfId="0" applyNumberFormat="1" applyFont="1" applyBorder="1" applyAlignment="1"/>
    <xf numFmtId="166" fontId="31" fillId="0" borderId="11" xfId="0" applyNumberFormat="1" applyFont="1" applyBorder="1" applyAlignment="1">
      <alignment vertical="center"/>
    </xf>
    <xf numFmtId="166" fontId="31" fillId="0" borderId="12" xfId="0" applyNumberFormat="1" applyFont="1" applyBorder="1" applyAlignment="1">
      <alignment vertical="center"/>
    </xf>
    <xf numFmtId="4" fontId="31" fillId="0" borderId="4" xfId="0" applyNumberFormat="1" applyFont="1" applyBorder="1" applyAlignment="1">
      <alignment vertical="center" wrapText="1"/>
    </xf>
    <xf numFmtId="167" fontId="61" fillId="4" borderId="4" xfId="11" applyNumberFormat="1" applyFont="1" applyFill="1" applyBorder="1" applyAlignment="1">
      <alignment vertical="center"/>
    </xf>
    <xf numFmtId="4" fontId="61" fillId="0" borderId="22" xfId="0" applyNumberFormat="1" applyFont="1" applyFill="1" applyBorder="1" applyAlignment="1">
      <alignment horizontal="right" vertical="center"/>
    </xf>
    <xf numFmtId="166" fontId="31" fillId="4" borderId="21" xfId="1" applyNumberFormat="1" applyFont="1" applyFill="1" applyBorder="1" applyAlignment="1">
      <alignment vertical="center" wrapText="1"/>
    </xf>
    <xf numFmtId="166" fontId="61" fillId="6" borderId="8" xfId="1" applyNumberFormat="1" applyFont="1" applyFill="1" applyBorder="1" applyAlignment="1">
      <alignment vertical="center"/>
    </xf>
    <xf numFmtId="167" fontId="61" fillId="4" borderId="8" xfId="0" applyNumberFormat="1" applyFont="1" applyFill="1" applyBorder="1" applyAlignment="1">
      <alignment vertical="center"/>
    </xf>
    <xf numFmtId="167" fontId="61" fillId="4" borderId="7" xfId="0" applyNumberFormat="1" applyFont="1" applyFill="1" applyBorder="1" applyAlignment="1">
      <alignment vertical="center"/>
    </xf>
    <xf numFmtId="4" fontId="34" fillId="0" borderId="22" xfId="1" applyNumberFormat="1" applyFont="1" applyFill="1" applyBorder="1" applyAlignment="1">
      <alignment horizontal="right" vertical="center"/>
    </xf>
    <xf numFmtId="4" fontId="61" fillId="0" borderId="22" xfId="1" applyNumberFormat="1" applyFont="1" applyFill="1" applyBorder="1" applyAlignment="1">
      <alignment horizontal="right" vertical="center"/>
    </xf>
    <xf numFmtId="166" fontId="34" fillId="0" borderId="22" xfId="1" applyNumberFormat="1" applyFont="1" applyBorder="1" applyAlignment="1">
      <alignment vertical="center"/>
    </xf>
    <xf numFmtId="43" fontId="61" fillId="0" borderId="4" xfId="0" applyNumberFormat="1" applyFont="1" applyBorder="1" applyAlignment="1">
      <alignment horizontal="right" vertical="center"/>
    </xf>
    <xf numFmtId="167" fontId="61" fillId="4" borderId="4" xfId="11" applyNumberFormat="1" applyFont="1" applyFill="1" applyBorder="1" applyAlignment="1">
      <alignment vertical="center" wrapText="1"/>
    </xf>
    <xf numFmtId="166" fontId="62" fillId="0" borderId="17" xfId="0" applyNumberFormat="1" applyFont="1" applyBorder="1" applyAlignment="1">
      <alignment vertical="center" wrapText="1"/>
    </xf>
    <xf numFmtId="167" fontId="31" fillId="4" borderId="4" xfId="0" applyNumberFormat="1" applyFont="1" applyFill="1" applyBorder="1" applyAlignment="1">
      <alignment vertical="center"/>
    </xf>
    <xf numFmtId="166" fontId="61" fillId="0" borderId="4" xfId="0" applyNumberFormat="1" applyFont="1" applyBorder="1" applyAlignment="1">
      <alignment vertical="center" wrapText="1"/>
    </xf>
    <xf numFmtId="4" fontId="34" fillId="0" borderId="4" xfId="0" applyNumberFormat="1" applyFont="1" applyFill="1" applyBorder="1" applyAlignment="1">
      <alignment horizontal="right" vertical="center"/>
    </xf>
    <xf numFmtId="166" fontId="61" fillId="0" borderId="8" xfId="0" applyNumberFormat="1" applyFont="1" applyBorder="1" applyAlignment="1">
      <alignment vertical="center" wrapText="1"/>
    </xf>
    <xf numFmtId="167" fontId="61" fillId="4" borderId="7" xfId="0" applyNumberFormat="1" applyFont="1" applyFill="1" applyBorder="1" applyAlignment="1">
      <alignment vertical="center" wrapText="1"/>
    </xf>
    <xf numFmtId="167" fontId="61" fillId="4" borderId="11" xfId="0" applyNumberFormat="1" applyFont="1" applyFill="1" applyBorder="1" applyAlignment="1">
      <alignment vertical="center" wrapText="1"/>
    </xf>
    <xf numFmtId="166" fontId="61" fillId="0" borderId="11" xfId="1" applyNumberFormat="1" applyFont="1" applyBorder="1" applyAlignment="1">
      <alignment vertical="center"/>
    </xf>
    <xf numFmtId="167" fontId="61" fillId="4" borderId="12" xfId="0" applyNumberFormat="1" applyFont="1" applyFill="1" applyBorder="1" applyAlignment="1">
      <alignment vertical="center" wrapText="1"/>
    </xf>
    <xf numFmtId="4" fontId="61" fillId="0" borderId="17" xfId="0" applyNumberFormat="1" applyFont="1" applyFill="1" applyBorder="1" applyAlignment="1">
      <alignment horizontal="right" vertical="center"/>
    </xf>
    <xf numFmtId="167" fontId="61" fillId="4" borderId="17" xfId="0" applyNumberFormat="1" applyFont="1" applyFill="1" applyBorder="1" applyAlignment="1">
      <alignment vertical="center"/>
    </xf>
    <xf numFmtId="166" fontId="34" fillId="0" borderId="38" xfId="1" applyNumberFormat="1" applyFont="1" applyBorder="1" applyAlignment="1">
      <alignment horizontal="right" vertical="center"/>
    </xf>
    <xf numFmtId="166" fontId="34" fillId="0" borderId="38" xfId="1" applyNumberFormat="1" applyFont="1" applyBorder="1" applyAlignment="1">
      <alignment vertical="center"/>
    </xf>
    <xf numFmtId="49" fontId="31" fillId="5" borderId="39" xfId="0" applyNumberFormat="1" applyFont="1" applyFill="1" applyBorder="1" applyAlignment="1">
      <alignment horizontal="center" vertical="center"/>
    </xf>
    <xf numFmtId="166" fontId="31" fillId="5" borderId="39" xfId="1" applyNumberFormat="1" applyFont="1" applyFill="1" applyBorder="1" applyAlignment="1">
      <alignment vertical="center"/>
    </xf>
    <xf numFmtId="166" fontId="31" fillId="5" borderId="39" xfId="1" applyNumberFormat="1" applyFont="1" applyFill="1" applyBorder="1" applyAlignment="1">
      <alignment horizontal="right" vertical="center"/>
    </xf>
    <xf numFmtId="43" fontId="31" fillId="5" borderId="39" xfId="0" applyNumberFormat="1" applyFont="1" applyFill="1" applyBorder="1" applyAlignment="1">
      <alignment horizontal="left" vertical="center" indent="1"/>
    </xf>
    <xf numFmtId="43" fontId="31" fillId="5" borderId="39" xfId="0" applyNumberFormat="1" applyFont="1" applyFill="1" applyBorder="1" applyAlignment="1">
      <alignment vertical="center"/>
    </xf>
    <xf numFmtId="39" fontId="31" fillId="0" borderId="21" xfId="0" applyNumberFormat="1" applyFont="1" applyBorder="1" applyAlignment="1">
      <alignment vertical="top" wrapText="1"/>
    </xf>
    <xf numFmtId="39" fontId="61" fillId="0" borderId="4" xfId="0" applyNumberFormat="1" applyFont="1" applyBorder="1" applyAlignment="1">
      <alignment vertical="top"/>
    </xf>
    <xf numFmtId="39" fontId="61" fillId="0" borderId="4" xfId="0" applyNumberFormat="1" applyFont="1" applyBorder="1" applyAlignment="1">
      <alignment horizontal="right" vertical="top"/>
    </xf>
    <xf numFmtId="39" fontId="31" fillId="0" borderId="4" xfId="0" applyNumberFormat="1" applyFont="1" applyBorder="1" applyAlignment="1">
      <alignment vertical="top"/>
    </xf>
    <xf numFmtId="39" fontId="61" fillId="0" borderId="12" xfId="0" applyNumberFormat="1" applyFont="1" applyBorder="1" applyAlignment="1">
      <alignment horizontal="right" vertical="top"/>
    </xf>
    <xf numFmtId="39" fontId="61" fillId="0" borderId="12" xfId="0" applyNumberFormat="1" applyFont="1" applyBorder="1" applyAlignment="1">
      <alignment vertical="top"/>
    </xf>
    <xf numFmtId="39" fontId="31" fillId="0" borderId="4" xfId="0" applyNumberFormat="1" applyFont="1" applyBorder="1" applyAlignment="1">
      <alignment horizontal="right" vertical="top"/>
    </xf>
    <xf numFmtId="39" fontId="31" fillId="0" borderId="7" xfId="0" applyNumberFormat="1" applyFont="1" applyBorder="1" applyAlignment="1">
      <alignment vertical="top"/>
    </xf>
    <xf numFmtId="39" fontId="31" fillId="0" borderId="21" xfId="0" applyNumberFormat="1" applyFont="1" applyBorder="1" applyAlignment="1">
      <alignment vertical="top"/>
    </xf>
    <xf numFmtId="39" fontId="61" fillId="0" borderId="8" xfId="0" applyNumberFormat="1" applyFont="1" applyBorder="1" applyAlignment="1">
      <alignment horizontal="right" vertical="top"/>
    </xf>
    <xf numFmtId="39" fontId="61" fillId="0" borderId="8" xfId="0" applyNumberFormat="1" applyFont="1" applyBorder="1" applyAlignment="1">
      <alignment vertical="top"/>
    </xf>
    <xf numFmtId="43" fontId="31" fillId="0" borderId="11" xfId="0" applyNumberFormat="1" applyFont="1" applyBorder="1" applyAlignment="1">
      <alignment vertical="top" wrapText="1"/>
    </xf>
    <xf numFmtId="39" fontId="31" fillId="0" borderId="21" xfId="0" applyNumberFormat="1" applyFont="1" applyBorder="1" applyAlignment="1">
      <alignment vertical="center"/>
    </xf>
    <xf numFmtId="166" fontId="61" fillId="0" borderId="7" xfId="1" applyNumberFormat="1" applyFont="1" applyBorder="1" applyAlignment="1">
      <alignment vertical="top"/>
    </xf>
    <xf numFmtId="39" fontId="61" fillId="0" borderId="7" xfId="0" applyNumberFormat="1" applyFont="1" applyBorder="1" applyAlignment="1">
      <alignment vertical="top"/>
    </xf>
    <xf numFmtId="39" fontId="34" fillId="0" borderId="8" xfId="0" applyNumberFormat="1" applyFont="1" applyBorder="1" applyAlignment="1">
      <alignment vertical="top"/>
    </xf>
    <xf numFmtId="166" fontId="34" fillId="0" borderId="7" xfId="1" applyNumberFormat="1" applyFont="1" applyBorder="1" applyAlignment="1">
      <alignment vertical="top"/>
    </xf>
    <xf numFmtId="166" fontId="34" fillId="0" borderId="12" xfId="1" applyNumberFormat="1" applyFont="1" applyBorder="1" applyAlignment="1">
      <alignment vertical="top"/>
    </xf>
    <xf numFmtId="39" fontId="31" fillId="0" borderId="12" xfId="0" applyNumberFormat="1" applyFont="1" applyBorder="1" applyAlignment="1">
      <alignment vertical="top"/>
    </xf>
    <xf numFmtId="0" fontId="31" fillId="0" borderId="4" xfId="0" applyFont="1" applyBorder="1" applyAlignment="1">
      <alignment vertical="top" wrapText="1"/>
    </xf>
    <xf numFmtId="39" fontId="31" fillId="0" borderId="4" xfId="0" applyNumberFormat="1" applyFont="1" applyBorder="1" applyAlignment="1">
      <alignment vertical="center"/>
    </xf>
    <xf numFmtId="39" fontId="31" fillId="0" borderId="11" xfId="0" applyNumberFormat="1" applyFont="1" applyBorder="1" applyAlignment="1">
      <alignment vertical="top"/>
    </xf>
    <xf numFmtId="39" fontId="61" fillId="0" borderId="7" xfId="0" applyNumberFormat="1" applyFont="1" applyBorder="1" applyAlignment="1">
      <alignment horizontal="right" vertical="top"/>
    </xf>
    <xf numFmtId="39" fontId="31" fillId="0" borderId="7" xfId="0" applyNumberFormat="1" applyFont="1" applyBorder="1" applyAlignment="1">
      <alignment horizontal="right" vertical="top"/>
    </xf>
    <xf numFmtId="166" fontId="34" fillId="0" borderId="11" xfId="1" applyNumberFormat="1" applyFont="1" applyBorder="1" applyAlignment="1">
      <alignment horizontal="right" vertical="center"/>
    </xf>
    <xf numFmtId="166" fontId="34" fillId="0" borderId="12" xfId="1" applyNumberFormat="1" applyFont="1" applyBorder="1" applyAlignment="1">
      <alignment horizontal="right" vertical="center"/>
    </xf>
    <xf numFmtId="39" fontId="34" fillId="0" borderId="12" xfId="0" applyNumberFormat="1" applyFont="1" applyBorder="1" applyAlignment="1">
      <alignment vertical="top"/>
    </xf>
    <xf numFmtId="166" fontId="31" fillId="0" borderId="11" xfId="1" quotePrefix="1" applyNumberFormat="1" applyFont="1" applyBorder="1" applyAlignment="1">
      <alignment horizontal="right" vertical="center"/>
    </xf>
    <xf numFmtId="166" fontId="31" fillId="0" borderId="17" xfId="1" applyNumberFormat="1" applyFont="1" applyBorder="1" applyAlignment="1">
      <alignment vertical="center"/>
    </xf>
    <xf numFmtId="39" fontId="31" fillId="0" borderId="17" xfId="0" applyNumberFormat="1" applyFont="1" applyBorder="1" applyAlignment="1">
      <alignment vertical="top"/>
    </xf>
    <xf numFmtId="166" fontId="34" fillId="0" borderId="8" xfId="1" applyNumberFormat="1" applyFont="1" applyBorder="1" applyAlignment="1">
      <alignment horizontal="right"/>
    </xf>
    <xf numFmtId="166" fontId="34" fillId="0" borderId="12" xfId="1" applyNumberFormat="1" applyFont="1" applyBorder="1"/>
    <xf numFmtId="43" fontId="31" fillId="0" borderId="11" xfId="0" applyNumberFormat="1" applyFont="1" applyBorder="1" applyAlignment="1">
      <alignment horizontal="right" vertical="center"/>
    </xf>
    <xf numFmtId="39" fontId="31" fillId="0" borderId="8" xfId="0" applyNumberFormat="1" applyFont="1" applyBorder="1" applyAlignment="1">
      <alignment vertical="top"/>
    </xf>
    <xf numFmtId="166" fontId="31" fillId="0" borderId="25" xfId="1" applyNumberFormat="1" applyFont="1" applyBorder="1" applyAlignment="1">
      <alignment horizontal="right" vertical="center"/>
    </xf>
    <xf numFmtId="39" fontId="61" fillId="0" borderId="25" xfId="0" applyNumberFormat="1" applyFont="1" applyBorder="1" applyAlignment="1">
      <alignment vertical="top"/>
    </xf>
    <xf numFmtId="39" fontId="31" fillId="0" borderId="11" xfId="0" applyNumberFormat="1" applyFont="1" applyBorder="1" applyAlignment="1">
      <alignment horizontal="right" vertical="top"/>
    </xf>
    <xf numFmtId="39" fontId="31" fillId="0" borderId="8" xfId="0" applyNumberFormat="1" applyFont="1" applyBorder="1" applyAlignment="1">
      <alignment horizontal="right" vertical="top"/>
    </xf>
    <xf numFmtId="39" fontId="31" fillId="0" borderId="4" xfId="0" applyNumberFormat="1" applyFont="1" applyBorder="1" applyAlignment="1">
      <alignment vertical="top" wrapText="1"/>
    </xf>
    <xf numFmtId="39" fontId="31" fillId="0" borderId="7" xfId="0" applyNumberFormat="1" applyFont="1" applyBorder="1" applyAlignment="1">
      <alignment vertical="top" wrapText="1"/>
    </xf>
    <xf numFmtId="166" fontId="62" fillId="0" borderId="11" xfId="1" applyNumberFormat="1" applyFont="1" applyBorder="1" applyAlignment="1">
      <alignment vertical="center"/>
    </xf>
    <xf numFmtId="4" fontId="62" fillId="0" borderId="11" xfId="0" applyNumberFormat="1" applyFont="1" applyFill="1" applyBorder="1" applyAlignment="1">
      <alignment horizontal="right" vertical="center"/>
    </xf>
    <xf numFmtId="39" fontId="62" fillId="0" borderId="11" xfId="0" applyNumberFormat="1" applyFont="1" applyBorder="1" applyAlignment="1">
      <alignment vertical="top"/>
    </xf>
    <xf numFmtId="4" fontId="62" fillId="0" borderId="11" xfId="0" applyNumberFormat="1" applyFont="1" applyFill="1" applyBorder="1" applyAlignment="1">
      <alignment vertical="center"/>
    </xf>
    <xf numFmtId="39" fontId="61" fillId="0" borderId="17" xfId="0" applyNumberFormat="1" applyFont="1" applyBorder="1" applyAlignment="1">
      <alignment vertical="top"/>
    </xf>
    <xf numFmtId="4" fontId="61" fillId="0" borderId="17" xfId="0" applyNumberFormat="1" applyFont="1" applyFill="1" applyBorder="1" applyAlignment="1">
      <alignment vertical="center"/>
    </xf>
    <xf numFmtId="39" fontId="61" fillId="0" borderId="11" xfId="0" applyNumberFormat="1" applyFont="1" applyBorder="1" applyAlignment="1">
      <alignment vertical="top"/>
    </xf>
    <xf numFmtId="4" fontId="61" fillId="0" borderId="11" xfId="0" applyNumberFormat="1" applyFont="1" applyFill="1" applyBorder="1" applyAlignment="1">
      <alignment vertical="center"/>
    </xf>
    <xf numFmtId="39" fontId="61" fillId="0" borderId="22" xfId="0" applyNumberFormat="1" applyFont="1" applyBorder="1" applyAlignment="1">
      <alignment vertical="top"/>
    </xf>
    <xf numFmtId="39" fontId="61" fillId="6" borderId="4" xfId="0" applyNumberFormat="1" applyFont="1" applyFill="1" applyBorder="1" applyAlignment="1">
      <alignment vertical="center"/>
    </xf>
    <xf numFmtId="166" fontId="61" fillId="6" borderId="12" xfId="1" applyNumberFormat="1" applyFont="1" applyFill="1" applyBorder="1" applyAlignment="1">
      <alignment vertical="center"/>
    </xf>
    <xf numFmtId="39" fontId="61" fillId="6" borderId="8" xfId="0" applyNumberFormat="1" applyFont="1" applyFill="1" applyBorder="1" applyAlignment="1">
      <alignment vertical="top"/>
    </xf>
    <xf numFmtId="39" fontId="61" fillId="6" borderId="4" xfId="0" applyNumberFormat="1" applyFont="1" applyFill="1" applyBorder="1" applyAlignment="1">
      <alignment vertical="top"/>
    </xf>
    <xf numFmtId="39" fontId="31" fillId="5" borderId="39" xfId="0" applyNumberFormat="1" applyFont="1" applyFill="1" applyBorder="1" applyAlignment="1">
      <alignment vertical="top"/>
    </xf>
    <xf numFmtId="166" fontId="31" fillId="0" borderId="12" xfId="1" applyNumberFormat="1" applyFont="1" applyFill="1" applyBorder="1" applyAlignment="1">
      <alignment horizontal="right" vertical="center"/>
    </xf>
    <xf numFmtId="167" fontId="61" fillId="0" borderId="4" xfId="66" applyNumberFormat="1" applyFont="1" applyBorder="1" applyAlignment="1">
      <alignment vertical="center"/>
    </xf>
    <xf numFmtId="39" fontId="61" fillId="0" borderId="4" xfId="0" applyNumberFormat="1" applyFont="1" applyFill="1" applyBorder="1" applyAlignment="1">
      <alignment horizontal="right" vertical="center"/>
    </xf>
    <xf numFmtId="39" fontId="31" fillId="0" borderId="4" xfId="0" applyNumberFormat="1" applyFont="1" applyFill="1" applyBorder="1" applyAlignment="1">
      <alignment horizontal="right" vertical="center"/>
    </xf>
    <xf numFmtId="39" fontId="61" fillId="0" borderId="8" xfId="0" applyNumberFormat="1" applyFont="1" applyFill="1" applyBorder="1" applyAlignment="1">
      <alignment vertical="top"/>
    </xf>
    <xf numFmtId="39" fontId="61" fillId="0" borderId="25" xfId="0" applyNumberFormat="1" applyFont="1" applyFill="1" applyBorder="1" applyAlignment="1">
      <alignment vertical="top"/>
    </xf>
    <xf numFmtId="167" fontId="61" fillId="0" borderId="4" xfId="67" applyNumberFormat="1" applyFont="1" applyBorder="1" applyAlignment="1">
      <alignment vertical="center"/>
    </xf>
    <xf numFmtId="166" fontId="31" fillId="0" borderId="7" xfId="1" applyNumberFormat="1" applyFont="1" applyBorder="1" applyAlignment="1">
      <alignment horizontal="center" vertical="center"/>
    </xf>
    <xf numFmtId="167" fontId="31" fillId="0" borderId="4" xfId="67" applyNumberFormat="1" applyFont="1" applyBorder="1" applyAlignment="1">
      <alignment vertical="center"/>
    </xf>
    <xf numFmtId="41" fontId="61" fillId="0" borderId="4" xfId="1" applyFont="1" applyBorder="1" applyAlignment="1">
      <alignment vertical="center"/>
    </xf>
    <xf numFmtId="39" fontId="61" fillId="0" borderId="4" xfId="0" applyNumberFormat="1" applyFont="1" applyFill="1" applyBorder="1" applyAlignment="1">
      <alignment vertical="top"/>
    </xf>
    <xf numFmtId="39" fontId="61" fillId="0" borderId="7" xfId="0" applyNumberFormat="1" applyFont="1" applyFill="1" applyBorder="1" applyAlignment="1">
      <alignment vertical="top"/>
    </xf>
    <xf numFmtId="166" fontId="61" fillId="0" borderId="22" xfId="1" applyNumberFormat="1" applyFont="1" applyFill="1" applyBorder="1" applyAlignment="1">
      <alignment horizontal="right" vertical="center"/>
    </xf>
    <xf numFmtId="39" fontId="61" fillId="0" borderId="22" xfId="0" applyNumberFormat="1" applyFont="1" applyFill="1" applyBorder="1" applyAlignment="1">
      <alignment vertical="top"/>
    </xf>
    <xf numFmtId="166" fontId="109" fillId="0" borderId="4" xfId="1" applyNumberFormat="1" applyFont="1" applyFill="1" applyBorder="1" applyAlignment="1">
      <alignment vertical="center"/>
    </xf>
    <xf numFmtId="166" fontId="109" fillId="0" borderId="4" xfId="1" applyNumberFormat="1" applyFont="1" applyFill="1" applyBorder="1" applyAlignment="1">
      <alignment horizontal="right" vertical="center"/>
    </xf>
    <xf numFmtId="39" fontId="109" fillId="0" borderId="4" xfId="0" applyNumberFormat="1" applyFont="1" applyFill="1" applyBorder="1" applyAlignment="1">
      <alignment vertical="top"/>
    </xf>
    <xf numFmtId="166" fontId="108" fillId="0" borderId="4" xfId="1" applyNumberFormat="1" applyFont="1" applyBorder="1" applyAlignment="1">
      <alignment vertical="center"/>
    </xf>
    <xf numFmtId="39" fontId="109" fillId="0" borderId="8" xfId="0" applyNumberFormat="1" applyFont="1" applyFill="1" applyBorder="1" applyAlignment="1">
      <alignment vertical="top"/>
    </xf>
    <xf numFmtId="166" fontId="109" fillId="0" borderId="8" xfId="1" applyNumberFormat="1" applyFont="1" applyFill="1" applyBorder="1" applyAlignment="1">
      <alignment horizontal="right" vertical="center"/>
    </xf>
    <xf numFmtId="166" fontId="108" fillId="0" borderId="8" xfId="1" applyNumberFormat="1" applyFont="1" applyBorder="1" applyAlignment="1">
      <alignment vertical="center"/>
    </xf>
    <xf numFmtId="166" fontId="109" fillId="0" borderId="8" xfId="1" applyNumberFormat="1" applyFont="1" applyFill="1" applyBorder="1" applyAlignment="1">
      <alignment vertical="center"/>
    </xf>
    <xf numFmtId="167" fontId="61" fillId="0" borderId="7" xfId="67" applyNumberFormat="1" applyFont="1" applyBorder="1" applyAlignment="1">
      <alignment vertical="center"/>
    </xf>
    <xf numFmtId="166" fontId="31" fillId="0" borderId="4" xfId="14" applyNumberFormat="1" applyFont="1" applyFill="1" applyBorder="1" applyAlignment="1">
      <alignment horizontal="right" vertical="center"/>
    </xf>
    <xf numFmtId="41" fontId="61" fillId="0" borderId="7" xfId="1" applyFont="1" applyBorder="1" applyAlignment="1">
      <alignment vertical="center"/>
    </xf>
    <xf numFmtId="166" fontId="31" fillId="0" borderId="12" xfId="1" applyNumberFormat="1" applyFont="1" applyFill="1" applyBorder="1" applyAlignment="1">
      <alignment horizontal="center" vertical="center"/>
    </xf>
    <xf numFmtId="166" fontId="31" fillId="0" borderId="12" xfId="1" applyNumberFormat="1" applyFont="1" applyBorder="1" applyAlignment="1">
      <alignment horizontal="center" vertical="center"/>
    </xf>
    <xf numFmtId="4" fontId="31" fillId="5" borderId="39" xfId="0" applyNumberFormat="1" applyFont="1" applyFill="1" applyBorder="1" applyAlignment="1">
      <alignment vertical="center"/>
    </xf>
    <xf numFmtId="39" fontId="31" fillId="0" borderId="22" xfId="0" applyNumberFormat="1" applyFont="1" applyFill="1" applyBorder="1" applyAlignment="1">
      <alignment vertical="top"/>
    </xf>
    <xf numFmtId="4" fontId="61" fillId="0" borderId="12" xfId="0" applyNumberFormat="1" applyFont="1" applyBorder="1" applyAlignment="1">
      <alignment vertical="center"/>
    </xf>
    <xf numFmtId="167" fontId="61" fillId="0" borderId="4" xfId="1" applyNumberFormat="1" applyFont="1" applyBorder="1" applyAlignment="1">
      <alignment vertical="center"/>
    </xf>
    <xf numFmtId="167" fontId="61" fillId="0" borderId="7" xfId="1" applyNumberFormat="1" applyFont="1" applyBorder="1" applyAlignment="1">
      <alignment vertical="center"/>
    </xf>
    <xf numFmtId="4" fontId="31" fillId="0" borderId="7" xfId="0" applyNumberFormat="1" applyFont="1" applyBorder="1" applyAlignment="1">
      <alignment horizontal="right" vertical="center"/>
    </xf>
    <xf numFmtId="4" fontId="31" fillId="0" borderId="4" xfId="0" applyNumberFormat="1" applyFont="1" applyBorder="1" applyAlignment="1">
      <alignment vertical="center"/>
    </xf>
    <xf numFmtId="4" fontId="61" fillId="0" borderId="8" xfId="0" applyNumberFormat="1" applyFont="1" applyBorder="1" applyAlignment="1">
      <alignment vertical="center"/>
    </xf>
    <xf numFmtId="167" fontId="61" fillId="0" borderId="12" xfId="1" applyNumberFormat="1" applyFont="1" applyBorder="1" applyAlignment="1">
      <alignment vertical="center"/>
    </xf>
    <xf numFmtId="39" fontId="31" fillId="0" borderId="4" xfId="0" applyNumberFormat="1" applyFont="1" applyBorder="1" applyAlignment="1">
      <alignment horizontal="right" vertical="center"/>
    </xf>
    <xf numFmtId="167" fontId="34" fillId="0" borderId="12" xfId="1" applyNumberFormat="1" applyFont="1" applyBorder="1" applyAlignment="1">
      <alignment vertical="center"/>
    </xf>
    <xf numFmtId="166" fontId="31" fillId="6" borderId="11" xfId="1" applyNumberFormat="1" applyFont="1" applyFill="1" applyBorder="1" applyAlignment="1">
      <alignment vertical="center"/>
    </xf>
    <xf numFmtId="4" fontId="62" fillId="0" borderId="11" xfId="0" applyNumberFormat="1" applyFont="1" applyBorder="1" applyAlignment="1">
      <alignment horizontal="right" vertical="center"/>
    </xf>
    <xf numFmtId="4" fontId="31" fillId="6" borderId="11" xfId="0" applyNumberFormat="1" applyFont="1" applyFill="1" applyBorder="1" applyAlignment="1">
      <alignment horizontal="right" vertical="center"/>
    </xf>
    <xf numFmtId="4" fontId="31" fillId="6" borderId="11" xfId="0" applyNumberFormat="1" applyFont="1" applyFill="1" applyBorder="1" applyAlignment="1">
      <alignment vertical="center"/>
    </xf>
    <xf numFmtId="4" fontId="31" fillId="0" borderId="11" xfId="0" applyNumberFormat="1" applyFont="1" applyBorder="1" applyAlignment="1">
      <alignment vertical="center"/>
    </xf>
    <xf numFmtId="4" fontId="31" fillId="6" borderId="4" xfId="0" applyNumberFormat="1" applyFont="1" applyFill="1" applyBorder="1" applyAlignment="1">
      <alignment horizontal="right" vertical="center"/>
    </xf>
    <xf numFmtId="39" fontId="62" fillId="0" borderId="4" xfId="0" applyNumberFormat="1" applyFont="1" applyBorder="1" applyAlignment="1">
      <alignment horizontal="right" vertical="top"/>
    </xf>
    <xf numFmtId="4" fontId="31" fillId="6" borderId="4" xfId="0" applyNumberFormat="1" applyFont="1" applyFill="1" applyBorder="1" applyAlignment="1">
      <alignment vertical="center"/>
    </xf>
    <xf numFmtId="167" fontId="31" fillId="0" borderId="12" xfId="1" applyNumberFormat="1" applyFont="1" applyBorder="1" applyAlignment="1">
      <alignment vertical="center"/>
    </xf>
    <xf numFmtId="167" fontId="31" fillId="0" borderId="8" xfId="1" applyNumberFormat="1" applyFont="1" applyBorder="1" applyAlignment="1">
      <alignment vertical="center"/>
    </xf>
    <xf numFmtId="4" fontId="31" fillId="6" borderId="7" xfId="0" applyNumberFormat="1" applyFont="1" applyFill="1" applyBorder="1" applyAlignment="1">
      <alignment horizontal="right" vertical="center"/>
    </xf>
    <xf numFmtId="4" fontId="61" fillId="0" borderId="25" xfId="0" applyNumberFormat="1" applyFont="1" applyBorder="1" applyAlignment="1">
      <alignment horizontal="right" vertical="center"/>
    </xf>
    <xf numFmtId="167" fontId="31" fillId="0" borderId="25" xfId="1" applyNumberFormat="1" applyFont="1" applyBorder="1" applyAlignment="1">
      <alignment vertical="center"/>
    </xf>
    <xf numFmtId="4" fontId="61" fillId="0" borderId="25" xfId="0" applyNumberFormat="1" applyFont="1" applyBorder="1" applyAlignment="1">
      <alignment vertical="center"/>
    </xf>
    <xf numFmtId="4" fontId="31" fillId="0" borderId="8" xfId="0" applyNumberFormat="1" applyFont="1" applyBorder="1" applyAlignment="1">
      <alignment vertical="center"/>
    </xf>
    <xf numFmtId="4" fontId="62" fillId="0" borderId="8" xfId="0" applyNumberFormat="1" applyFont="1" applyBorder="1" applyAlignment="1">
      <alignment horizontal="right" vertical="center"/>
    </xf>
    <xf numFmtId="167" fontId="61" fillId="0" borderId="8" xfId="1" applyNumberFormat="1" applyFont="1" applyBorder="1" applyAlignment="1">
      <alignment vertical="center"/>
    </xf>
    <xf numFmtId="167" fontId="31" fillId="0" borderId="4" xfId="1" applyNumberFormat="1" applyFont="1" applyBorder="1" applyAlignment="1">
      <alignment vertical="center"/>
    </xf>
    <xf numFmtId="4" fontId="31" fillId="0" borderId="7" xfId="0" applyNumberFormat="1" applyFont="1" applyBorder="1" applyAlignment="1">
      <alignment vertical="center"/>
    </xf>
    <xf numFmtId="167" fontId="34" fillId="0" borderId="8" xfId="1" applyNumberFormat="1" applyFont="1" applyBorder="1" applyAlignment="1">
      <alignment vertical="center"/>
    </xf>
    <xf numFmtId="4" fontId="34" fillId="0" borderId="7" xfId="0" applyNumberFormat="1" applyFont="1" applyBorder="1" applyAlignment="1">
      <alignment vertical="center"/>
    </xf>
    <xf numFmtId="4" fontId="34" fillId="0" borderId="8" xfId="0" applyNumberFormat="1" applyFont="1" applyBorder="1" applyAlignment="1">
      <alignment vertical="center"/>
    </xf>
    <xf numFmtId="39" fontId="34" fillId="0" borderId="4" xfId="0" applyNumberFormat="1" applyFont="1" applyBorder="1" applyAlignment="1">
      <alignment vertical="top"/>
    </xf>
    <xf numFmtId="4" fontId="61" fillId="6" borderId="4" xfId="0" applyNumberFormat="1" applyFont="1" applyFill="1" applyBorder="1" applyAlignment="1">
      <alignment horizontal="right" vertical="center"/>
    </xf>
    <xf numFmtId="4" fontId="61" fillId="6" borderId="4" xfId="0" applyNumberFormat="1" applyFont="1" applyFill="1" applyBorder="1" applyAlignment="1">
      <alignment vertical="center"/>
    </xf>
    <xf numFmtId="167" fontId="31" fillId="0" borderId="4" xfId="1" applyNumberFormat="1" applyFont="1" applyBorder="1" applyAlignment="1">
      <alignment horizontal="right" vertical="center"/>
    </xf>
    <xf numFmtId="4" fontId="61" fillId="6" borderId="8" xfId="0" applyNumberFormat="1" applyFont="1" applyFill="1" applyBorder="1" applyAlignment="1">
      <alignment horizontal="right" vertical="center"/>
    </xf>
    <xf numFmtId="167" fontId="31" fillId="0" borderId="8" xfId="1" applyNumberFormat="1" applyFont="1" applyBorder="1" applyAlignment="1">
      <alignment horizontal="right" vertical="center"/>
    </xf>
    <xf numFmtId="166" fontId="31" fillId="6" borderId="12" xfId="1" applyNumberFormat="1" applyFont="1" applyFill="1" applyBorder="1" applyAlignment="1">
      <alignment vertical="center"/>
    </xf>
    <xf numFmtId="4" fontId="31" fillId="6" borderId="12" xfId="0" applyNumberFormat="1" applyFont="1" applyFill="1" applyBorder="1" applyAlignment="1">
      <alignment horizontal="right" vertical="center"/>
    </xf>
    <xf numFmtId="4" fontId="31" fillId="6" borderId="12" xfId="0" applyNumberFormat="1" applyFont="1" applyFill="1" applyBorder="1" applyAlignment="1">
      <alignment vertical="center"/>
    </xf>
    <xf numFmtId="4" fontId="31" fillId="6" borderId="7" xfId="1" applyNumberFormat="1" applyFont="1" applyFill="1" applyBorder="1" applyAlignment="1">
      <alignment vertical="center"/>
    </xf>
    <xf numFmtId="4" fontId="31" fillId="6" borderId="4" xfId="1" applyNumberFormat="1" applyFont="1" applyFill="1" applyBorder="1" applyAlignment="1">
      <alignment horizontal="right" vertical="center"/>
    </xf>
    <xf numFmtId="167" fontId="34" fillId="6" borderId="4" xfId="1" applyNumberFormat="1" applyFont="1" applyFill="1" applyBorder="1" applyAlignment="1">
      <alignment vertical="center"/>
    </xf>
    <xf numFmtId="4" fontId="31" fillId="6" borderId="4" xfId="1" applyNumberFormat="1" applyFont="1" applyFill="1" applyBorder="1" applyAlignment="1">
      <alignment vertical="center"/>
    </xf>
    <xf numFmtId="166" fontId="31" fillId="6" borderId="25" xfId="1" applyNumberFormat="1" applyFont="1" applyFill="1" applyBorder="1" applyAlignment="1">
      <alignment vertical="center"/>
    </xf>
    <xf numFmtId="0" fontId="61" fillId="0" borderId="7" xfId="0" applyFont="1" applyBorder="1"/>
    <xf numFmtId="4" fontId="34" fillId="6" borderId="7" xfId="0" applyNumberFormat="1" applyFont="1" applyFill="1" applyBorder="1" applyAlignment="1">
      <alignment horizontal="right" vertical="center"/>
    </xf>
    <xf numFmtId="2" fontId="34" fillId="6" borderId="7" xfId="0" applyNumberFormat="1" applyFont="1" applyFill="1" applyBorder="1" applyAlignment="1">
      <alignment vertical="center"/>
    </xf>
    <xf numFmtId="0" fontId="34" fillId="6" borderId="7" xfId="0" applyFont="1" applyFill="1" applyBorder="1" applyAlignment="1">
      <alignment vertical="center"/>
    </xf>
    <xf numFmtId="4" fontId="31" fillId="6" borderId="11" xfId="1" applyNumberFormat="1" applyFont="1" applyFill="1" applyBorder="1" applyAlignment="1">
      <alignment horizontal="right" vertical="center"/>
    </xf>
    <xf numFmtId="0" fontId="31" fillId="0" borderId="11" xfId="0" applyFont="1" applyBorder="1"/>
    <xf numFmtId="2" fontId="31" fillId="6" borderId="11" xfId="0" applyNumberFormat="1" applyFont="1" applyFill="1" applyBorder="1" applyAlignment="1">
      <alignment vertical="center"/>
    </xf>
    <xf numFmtId="0" fontId="31" fillId="6" borderId="11" xfId="0" applyFont="1" applyFill="1" applyBorder="1" applyAlignment="1">
      <alignment vertical="center"/>
    </xf>
    <xf numFmtId="166" fontId="31" fillId="6" borderId="8" xfId="1" applyNumberFormat="1" applyFont="1" applyFill="1" applyBorder="1" applyAlignment="1">
      <alignment vertical="center"/>
    </xf>
    <xf numFmtId="0" fontId="31" fillId="0" borderId="8" xfId="0" applyFont="1" applyBorder="1"/>
    <xf numFmtId="4" fontId="31" fillId="6" borderId="8" xfId="0" applyNumberFormat="1" applyFont="1" applyFill="1" applyBorder="1" applyAlignment="1">
      <alignment horizontal="right" vertical="center"/>
    </xf>
    <xf numFmtId="2" fontId="31" fillId="6" borderId="8" xfId="0" applyNumberFormat="1" applyFont="1" applyFill="1" applyBorder="1" applyAlignment="1">
      <alignment vertical="center"/>
    </xf>
    <xf numFmtId="0" fontId="31" fillId="6" borderId="8" xfId="0" applyFont="1" applyFill="1" applyBorder="1" applyAlignment="1">
      <alignment vertical="center"/>
    </xf>
    <xf numFmtId="4" fontId="34" fillId="6" borderId="4" xfId="0" applyNumberFormat="1" applyFont="1" applyFill="1" applyBorder="1" applyAlignment="1">
      <alignment horizontal="right" vertical="center"/>
    </xf>
    <xf numFmtId="2" fontId="34" fillId="6" borderId="4" xfId="0" applyNumberFormat="1" applyFont="1" applyFill="1" applyBorder="1" applyAlignment="1">
      <alignment vertical="center"/>
    </xf>
    <xf numFmtId="0" fontId="34" fillId="6" borderId="4" xfId="0" applyFont="1" applyFill="1" applyBorder="1" applyAlignment="1">
      <alignment vertical="center"/>
    </xf>
    <xf numFmtId="2" fontId="31" fillId="6" borderId="4" xfId="0" applyNumberFormat="1" applyFont="1" applyFill="1" applyBorder="1" applyAlignment="1">
      <alignment vertical="center"/>
    </xf>
    <xf numFmtId="0" fontId="31" fillId="6" borderId="4" xfId="0" applyFont="1" applyFill="1" applyBorder="1" applyAlignment="1">
      <alignment vertical="center"/>
    </xf>
    <xf numFmtId="0" fontId="61" fillId="0" borderId="11" xfId="0" applyFont="1" applyBorder="1"/>
    <xf numFmtId="4" fontId="34" fillId="6" borderId="11" xfId="0" applyNumberFormat="1" applyFont="1" applyFill="1" applyBorder="1" applyAlignment="1">
      <alignment horizontal="right" vertical="center"/>
    </xf>
    <xf numFmtId="2" fontId="34" fillId="6" borderId="11" xfId="0" applyNumberFormat="1" applyFont="1" applyFill="1" applyBorder="1" applyAlignment="1">
      <alignment vertical="center"/>
    </xf>
    <xf numFmtId="0" fontId="34" fillId="6" borderId="11" xfId="0" applyFont="1" applyFill="1" applyBorder="1" applyAlignment="1">
      <alignment vertical="center"/>
    </xf>
    <xf numFmtId="0" fontId="31" fillId="0" borderId="12" xfId="0" applyFont="1" applyBorder="1"/>
    <xf numFmtId="2" fontId="31" fillId="6" borderId="12" xfId="0" applyNumberFormat="1" applyFont="1" applyFill="1" applyBorder="1" applyAlignment="1">
      <alignment vertical="center"/>
    </xf>
    <xf numFmtId="0" fontId="31" fillId="6" borderId="12" xfId="0" applyFont="1" applyFill="1" applyBorder="1" applyAlignment="1">
      <alignment vertical="center"/>
    </xf>
    <xf numFmtId="4" fontId="34" fillId="6" borderId="12" xfId="0" applyNumberFormat="1" applyFont="1" applyFill="1" applyBorder="1" applyAlignment="1">
      <alignment horizontal="right" vertical="center"/>
    </xf>
    <xf numFmtId="2" fontId="34" fillId="6" borderId="12" xfId="0" applyNumberFormat="1" applyFont="1" applyFill="1" applyBorder="1" applyAlignment="1">
      <alignment vertical="center"/>
    </xf>
    <xf numFmtId="0" fontId="34" fillId="6" borderId="12" xfId="0" applyFont="1" applyFill="1" applyBorder="1" applyAlignment="1">
      <alignment vertical="center"/>
    </xf>
    <xf numFmtId="0" fontId="61" fillId="0" borderId="22" xfId="0" applyFont="1" applyBorder="1"/>
    <xf numFmtId="4" fontId="34" fillId="6" borderId="8" xfId="0" applyNumberFormat="1" applyFont="1" applyFill="1" applyBorder="1" applyAlignment="1">
      <alignment horizontal="right" vertical="center"/>
    </xf>
    <xf numFmtId="2" fontId="34" fillId="6" borderId="8" xfId="0" applyNumberFormat="1" applyFont="1" applyFill="1" applyBorder="1" applyAlignment="1">
      <alignment vertical="center"/>
    </xf>
    <xf numFmtId="0" fontId="34" fillId="6" borderId="8" xfId="0" applyFont="1" applyFill="1" applyBorder="1" applyAlignment="1">
      <alignment vertical="center"/>
    </xf>
    <xf numFmtId="4" fontId="31" fillId="6" borderId="11" xfId="1" applyNumberFormat="1" applyFont="1" applyFill="1" applyBorder="1" applyAlignment="1">
      <alignment vertical="center"/>
    </xf>
    <xf numFmtId="173" fontId="31" fillId="0" borderId="12" xfId="2" applyNumberFormat="1" applyFont="1" applyBorder="1" applyAlignment="1">
      <alignment vertical="top"/>
    </xf>
    <xf numFmtId="4" fontId="31" fillId="6" borderId="8" xfId="1" applyNumberFormat="1" applyFont="1" applyFill="1" applyBorder="1" applyAlignment="1">
      <alignment vertical="center"/>
    </xf>
    <xf numFmtId="4" fontId="61" fillId="6" borderId="7" xfId="1" applyNumberFormat="1" applyFont="1" applyFill="1" applyBorder="1" applyAlignment="1">
      <alignment vertical="center"/>
    </xf>
    <xf numFmtId="4" fontId="31" fillId="6" borderId="8" xfId="0" applyNumberFormat="1" applyFont="1" applyFill="1" applyBorder="1" applyAlignment="1">
      <alignment vertical="center"/>
    </xf>
    <xf numFmtId="4" fontId="61" fillId="6" borderId="8" xfId="0" applyNumberFormat="1" applyFont="1" applyFill="1" applyBorder="1" applyAlignment="1">
      <alignment vertical="center"/>
    </xf>
    <xf numFmtId="165" fontId="31" fillId="5" borderId="39" xfId="0" applyNumberFormat="1" applyFont="1" applyFill="1" applyBorder="1" applyAlignment="1">
      <alignment horizontal="right" vertical="center"/>
    </xf>
    <xf numFmtId="166" fontId="31" fillId="5" borderId="39" xfId="1" applyNumberFormat="1" applyFont="1" applyFill="1" applyBorder="1"/>
    <xf numFmtId="4" fontId="31" fillId="5" borderId="39" xfId="0" applyNumberFormat="1" applyFont="1" applyFill="1" applyBorder="1" applyAlignment="1">
      <alignment horizontal="right"/>
    </xf>
    <xf numFmtId="165" fontId="31" fillId="5" borderId="39" xfId="0" applyNumberFormat="1" applyFont="1" applyFill="1" applyBorder="1"/>
    <xf numFmtId="166" fontId="31" fillId="5" borderId="39" xfId="1" applyNumberFormat="1" applyFont="1" applyFill="1" applyBorder="1" applyAlignment="1"/>
    <xf numFmtId="166" fontId="61" fillId="0" borderId="4" xfId="1" applyNumberFormat="1" applyFont="1" applyFill="1" applyBorder="1" applyAlignment="1">
      <alignment vertical="center" wrapText="1"/>
    </xf>
    <xf numFmtId="167" fontId="61" fillId="0" borderId="4" xfId="0" applyNumberFormat="1" applyFont="1" applyFill="1" applyBorder="1" applyAlignment="1">
      <alignment vertical="center"/>
    </xf>
    <xf numFmtId="167" fontId="61" fillId="0" borderId="4" xfId="0" applyNumberFormat="1" applyFont="1" applyFill="1" applyBorder="1" applyAlignment="1">
      <alignment vertical="center" wrapText="1"/>
    </xf>
    <xf numFmtId="0" fontId="34" fillId="0" borderId="4" xfId="0" applyFont="1" applyBorder="1" applyAlignment="1">
      <alignment horizontal="right" vertical="center"/>
    </xf>
    <xf numFmtId="4" fontId="34" fillId="0" borderId="4" xfId="1" applyNumberFormat="1" applyFont="1" applyBorder="1" applyAlignment="1">
      <alignment vertical="center"/>
    </xf>
    <xf numFmtId="166" fontId="61" fillId="0" borderId="4" xfId="1" applyNumberFormat="1" applyFont="1" applyFill="1" applyBorder="1" applyAlignment="1">
      <alignment horizontal="right" vertical="center" wrapText="1"/>
    </xf>
    <xf numFmtId="166" fontId="61" fillId="0" borderId="4" xfId="7" applyNumberFormat="1" applyFont="1" applyFill="1" applyBorder="1" applyAlignment="1">
      <alignment horizontal="right" vertical="center" wrapText="1"/>
    </xf>
    <xf numFmtId="167" fontId="61" fillId="0" borderId="4" xfId="15" applyNumberFormat="1" applyFont="1" applyFill="1" applyBorder="1" applyAlignment="1">
      <alignment vertical="center" wrapText="1"/>
    </xf>
    <xf numFmtId="43" fontId="62" fillId="0" borderId="4" xfId="2" applyFont="1" applyBorder="1" applyAlignment="1">
      <alignment horizontal="left" vertical="center" indent="1"/>
    </xf>
    <xf numFmtId="43" fontId="62" fillId="0" borderId="4" xfId="2" applyFont="1" applyBorder="1" applyAlignment="1">
      <alignment vertical="center"/>
    </xf>
    <xf numFmtId="0" fontId="34" fillId="0" borderId="8" xfId="0" applyFont="1" applyBorder="1" applyAlignment="1">
      <alignment horizontal="right" vertical="center"/>
    </xf>
    <xf numFmtId="4" fontId="34" fillId="0" borderId="8" xfId="1" applyNumberFormat="1" applyFont="1" applyBorder="1" applyAlignment="1">
      <alignment vertical="center"/>
    </xf>
    <xf numFmtId="166" fontId="62" fillId="0" borderId="8" xfId="1" applyNumberFormat="1" applyFont="1" applyBorder="1" applyAlignment="1">
      <alignment vertical="center"/>
    </xf>
    <xf numFmtId="39" fontId="31" fillId="0" borderId="11" xfId="0" applyNumberFormat="1" applyFont="1" applyBorder="1" applyAlignment="1">
      <alignment vertical="center"/>
    </xf>
    <xf numFmtId="39" fontId="31" fillId="0" borderId="11" xfId="0" applyNumberFormat="1" applyFont="1" applyBorder="1" applyAlignment="1">
      <alignment horizontal="right" vertical="center"/>
    </xf>
    <xf numFmtId="166" fontId="31" fillId="0" borderId="4" xfId="0" applyNumberFormat="1" applyFont="1" applyBorder="1" applyAlignment="1"/>
    <xf numFmtId="4" fontId="34" fillId="0" borderId="7" xfId="1" applyNumberFormat="1" applyFont="1" applyBorder="1" applyAlignment="1">
      <alignment vertical="center"/>
    </xf>
    <xf numFmtId="166" fontId="31" fillId="0" borderId="4" xfId="1" applyNumberFormat="1" applyFont="1" applyFill="1" applyBorder="1" applyAlignment="1">
      <alignment vertical="center" wrapText="1"/>
    </xf>
    <xf numFmtId="0" fontId="34" fillId="0" borderId="12" xfId="0" applyFont="1" applyBorder="1" applyAlignment="1">
      <alignment horizontal="right" vertical="center"/>
    </xf>
    <xf numFmtId="166" fontId="34" fillId="0" borderId="4" xfId="1" applyNumberFormat="1" applyFont="1" applyFill="1" applyBorder="1" applyAlignment="1">
      <alignment vertical="center" wrapText="1"/>
    </xf>
    <xf numFmtId="4" fontId="61" fillId="0" borderId="4" xfId="0" applyNumberFormat="1" applyFont="1" applyFill="1" applyBorder="1" applyAlignment="1">
      <alignment vertical="center" wrapText="1"/>
    </xf>
    <xf numFmtId="0" fontId="34" fillId="0" borderId="7" xfId="0" applyFont="1" applyBorder="1" applyAlignment="1">
      <alignment horizontal="right" vertical="center"/>
    </xf>
    <xf numFmtId="4" fontId="31" fillId="0" borderId="4" xfId="0" applyNumberFormat="1" applyFont="1" applyBorder="1" applyAlignment="1"/>
    <xf numFmtId="165" fontId="61" fillId="0" borderId="4" xfId="0" applyNumberFormat="1" applyFont="1" applyBorder="1" applyAlignment="1">
      <alignment horizontal="right" vertical="center"/>
    </xf>
    <xf numFmtId="166" fontId="62" fillId="0" borderId="7" xfId="1" applyNumberFormat="1" applyFont="1" applyBorder="1" applyAlignment="1">
      <alignment vertical="center"/>
    </xf>
    <xf numFmtId="165" fontId="31" fillId="0" borderId="4" xfId="0" applyNumberFormat="1" applyFont="1" applyBorder="1" applyAlignment="1">
      <alignment horizontal="right" vertical="center"/>
    </xf>
    <xf numFmtId="0" fontId="34" fillId="0" borderId="22" xfId="0" applyFont="1" applyBorder="1" applyAlignment="1">
      <alignment horizontal="right" vertical="center"/>
    </xf>
    <xf numFmtId="166" fontId="62" fillId="0" borderId="22" xfId="1" applyNumberFormat="1" applyFont="1" applyBorder="1" applyAlignment="1">
      <alignment horizontal="right" vertical="center"/>
    </xf>
    <xf numFmtId="4" fontId="34" fillId="0" borderId="22" xfId="1" applyNumberFormat="1" applyFont="1" applyBorder="1" applyAlignment="1">
      <alignment vertical="center"/>
    </xf>
    <xf numFmtId="43" fontId="61" fillId="0" borderId="22" xfId="2" applyFont="1" applyBorder="1" applyAlignment="1">
      <alignment vertical="center"/>
    </xf>
    <xf numFmtId="166" fontId="62" fillId="0" borderId="22" xfId="1" applyNumberFormat="1" applyFont="1" applyBorder="1" applyAlignment="1">
      <alignment vertical="center"/>
    </xf>
    <xf numFmtId="167" fontId="61" fillId="0" borderId="4" xfId="68" applyNumberFormat="1" applyFont="1" applyFill="1" applyBorder="1" applyAlignment="1">
      <alignment vertical="center"/>
    </xf>
    <xf numFmtId="166" fontId="61" fillId="0" borderId="4" xfId="0" applyNumberFormat="1" applyFont="1" applyFill="1" applyBorder="1" applyAlignment="1">
      <alignment horizontal="right" vertical="center" wrapText="1"/>
    </xf>
    <xf numFmtId="166" fontId="61" fillId="0" borderId="4" xfId="0" applyNumberFormat="1" applyFont="1" applyFill="1" applyBorder="1" applyAlignment="1">
      <alignment vertical="center" wrapText="1"/>
    </xf>
    <xf numFmtId="4" fontId="31" fillId="0" borderId="4" xfId="0" applyNumberFormat="1" applyFont="1" applyFill="1" applyBorder="1" applyAlignment="1">
      <alignment vertical="center" wrapText="1"/>
    </xf>
    <xf numFmtId="43" fontId="31" fillId="0" borderId="21" xfId="2" applyFont="1" applyBorder="1" applyAlignment="1">
      <alignment horizontal="right" vertical="center"/>
    </xf>
    <xf numFmtId="165" fontId="61" fillId="0" borderId="8" xfId="0" applyNumberFormat="1" applyFont="1" applyBorder="1" applyAlignment="1">
      <alignment horizontal="right" vertical="center"/>
    </xf>
    <xf numFmtId="4" fontId="31" fillId="0" borderId="4" xfId="2" applyNumberFormat="1" applyFont="1" applyBorder="1" applyAlignment="1">
      <alignment horizontal="right" vertical="center"/>
    </xf>
    <xf numFmtId="4" fontId="31" fillId="0" borderId="4" xfId="2" applyNumberFormat="1" applyFont="1" applyBorder="1" applyAlignment="1">
      <alignment vertical="center"/>
    </xf>
    <xf numFmtId="166" fontId="31" fillId="0" borderId="21" xfId="1" applyNumberFormat="1" applyFont="1" applyFill="1" applyBorder="1" applyAlignment="1">
      <alignment vertical="center" wrapText="1"/>
    </xf>
    <xf numFmtId="4" fontId="31" fillId="0" borderId="21" xfId="0" applyNumberFormat="1" applyFont="1" applyFill="1" applyBorder="1" applyAlignment="1">
      <alignment vertical="center" wrapText="1"/>
    </xf>
    <xf numFmtId="4" fontId="34" fillId="0" borderId="4" xfId="0" applyNumberFormat="1" applyFont="1" applyFill="1" applyBorder="1" applyAlignment="1">
      <alignment vertical="center" wrapText="1"/>
    </xf>
    <xf numFmtId="39" fontId="31" fillId="0" borderId="8" xfId="0" applyNumberFormat="1" applyFont="1" applyBorder="1" applyAlignment="1">
      <alignment horizontal="right" vertical="center"/>
    </xf>
    <xf numFmtId="166" fontId="31" fillId="0" borderId="7" xfId="1" applyNumberFormat="1" applyFont="1" applyFill="1" applyBorder="1" applyAlignment="1">
      <alignment vertical="center" wrapText="1"/>
    </xf>
    <xf numFmtId="167" fontId="31" fillId="0" borderId="7" xfId="0" applyNumberFormat="1" applyFont="1" applyFill="1" applyBorder="1" applyAlignment="1">
      <alignment vertical="center" wrapText="1"/>
    </xf>
    <xf numFmtId="43" fontId="62" fillId="0" borderId="12" xfId="2" applyFont="1" applyBorder="1" applyAlignment="1">
      <alignment horizontal="left" vertical="center" indent="1"/>
    </xf>
    <xf numFmtId="166" fontId="34" fillId="0" borderId="7" xfId="1" applyNumberFormat="1" applyFont="1" applyFill="1" applyBorder="1" applyAlignment="1">
      <alignment vertical="center" wrapText="1"/>
    </xf>
    <xf numFmtId="166" fontId="31" fillId="0" borderId="11" xfId="1" applyNumberFormat="1" applyFont="1" applyFill="1" applyBorder="1" applyAlignment="1">
      <alignment vertical="center" wrapText="1"/>
    </xf>
    <xf numFmtId="0" fontId="34" fillId="0" borderId="11" xfId="0" applyFont="1" applyBorder="1"/>
    <xf numFmtId="4" fontId="61" fillId="0" borderId="11" xfId="1" applyNumberFormat="1" applyFont="1" applyBorder="1" applyAlignment="1">
      <alignment horizontal="right" vertical="center"/>
    </xf>
    <xf numFmtId="43" fontId="61" fillId="0" borderId="11" xfId="2" applyFont="1" applyBorder="1" applyAlignment="1">
      <alignment vertical="center"/>
    </xf>
    <xf numFmtId="4" fontId="34" fillId="0" borderId="11" xfId="1" applyNumberFormat="1" applyFont="1" applyBorder="1" applyAlignment="1">
      <alignment vertical="center"/>
    </xf>
    <xf numFmtId="166" fontId="31" fillId="0" borderId="8" xfId="1" applyNumberFormat="1" applyFont="1" applyFill="1" applyBorder="1" applyAlignment="1">
      <alignment vertical="center" wrapText="1"/>
    </xf>
    <xf numFmtId="4" fontId="62" fillId="0" borderId="8" xfId="1" applyNumberFormat="1" applyFont="1" applyBorder="1" applyAlignment="1">
      <alignment horizontal="right" vertical="center"/>
    </xf>
    <xf numFmtId="43" fontId="62" fillId="0" borderId="8" xfId="2" applyFont="1" applyBorder="1" applyAlignment="1">
      <alignment vertical="center"/>
    </xf>
    <xf numFmtId="166" fontId="34" fillId="0" borderId="8" xfId="1" applyNumberFormat="1" applyFont="1" applyFill="1" applyBorder="1" applyAlignment="1">
      <alignment vertical="center" wrapText="1"/>
    </xf>
    <xf numFmtId="43" fontId="62" fillId="0" borderId="11" xfId="2" applyFont="1" applyBorder="1" applyAlignment="1">
      <alignment horizontal="left" vertical="center" indent="1"/>
    </xf>
    <xf numFmtId="39" fontId="31" fillId="0" borderId="12" xfId="0" applyNumberFormat="1" applyFont="1" applyBorder="1" applyAlignment="1">
      <alignment horizontal="right" vertical="top"/>
    </xf>
    <xf numFmtId="43" fontId="31" fillId="0" borderId="17" xfId="0" applyNumberFormat="1" applyFont="1" applyBorder="1" applyAlignment="1"/>
    <xf numFmtId="4" fontId="31" fillId="5" borderId="39" xfId="0" applyNumberFormat="1" applyFont="1" applyFill="1" applyBorder="1" applyAlignment="1">
      <alignment horizontal="right" vertical="center"/>
    </xf>
    <xf numFmtId="4" fontId="31" fillId="11" borderId="39" xfId="0" applyNumberFormat="1" applyFont="1" applyFill="1" applyBorder="1" applyAlignment="1">
      <alignment horizontal="right" vertical="center"/>
    </xf>
    <xf numFmtId="166" fontId="31" fillId="11" borderId="39" xfId="1" applyNumberFormat="1" applyFont="1" applyFill="1" applyBorder="1" applyAlignment="1">
      <alignment vertical="center"/>
    </xf>
    <xf numFmtId="166" fontId="64" fillId="0" borderId="4" xfId="1" applyNumberFormat="1" applyFont="1" applyFill="1" applyBorder="1" applyAlignment="1">
      <alignment vertical="center"/>
    </xf>
    <xf numFmtId="165" fontId="31" fillId="0" borderId="4" xfId="17" applyFont="1" applyBorder="1" applyAlignment="1">
      <alignment horizontal="left" vertical="center" indent="1"/>
    </xf>
    <xf numFmtId="165" fontId="31" fillId="0" borderId="4" xfId="17" applyFont="1" applyBorder="1" applyAlignment="1">
      <alignment vertical="center"/>
    </xf>
    <xf numFmtId="165" fontId="31" fillId="0" borderId="4" xfId="17" applyNumberFormat="1" applyFont="1" applyBorder="1" applyAlignment="1">
      <alignment vertical="center"/>
    </xf>
    <xf numFmtId="166" fontId="61" fillId="4" borderId="4" xfId="1" applyNumberFormat="1" applyFont="1" applyFill="1" applyBorder="1" applyAlignment="1">
      <alignment vertical="center"/>
    </xf>
    <xf numFmtId="165" fontId="61" fillId="0" borderId="4" xfId="17" applyFont="1" applyBorder="1" applyAlignment="1">
      <alignment vertical="center"/>
    </xf>
    <xf numFmtId="165" fontId="61" fillId="4" borderId="4" xfId="0" applyNumberFormat="1" applyFont="1" applyFill="1" applyBorder="1" applyAlignment="1"/>
    <xf numFmtId="166" fontId="61" fillId="0" borderId="4" xfId="14" applyNumberFormat="1" applyFont="1" applyBorder="1" applyAlignment="1">
      <alignment vertical="center"/>
    </xf>
    <xf numFmtId="166" fontId="62" fillId="0" borderId="4" xfId="14" applyNumberFormat="1" applyFont="1" applyBorder="1" applyAlignment="1">
      <alignment horizontal="right" vertical="center"/>
    </xf>
    <xf numFmtId="4" fontId="34" fillId="0" borderId="4" xfId="14" applyNumberFormat="1" applyFont="1" applyBorder="1" applyAlignment="1">
      <alignment vertical="center"/>
    </xf>
    <xf numFmtId="4" fontId="31" fillId="0" borderId="4" xfId="14" applyNumberFormat="1" applyFont="1" applyBorder="1" applyAlignment="1">
      <alignment vertical="center"/>
    </xf>
    <xf numFmtId="4" fontId="61" fillId="0" borderId="4" xfId="14" applyNumberFormat="1" applyFont="1" applyBorder="1" applyAlignment="1">
      <alignment vertical="center"/>
    </xf>
    <xf numFmtId="166" fontId="61" fillId="4" borderId="4" xfId="0" applyNumberFormat="1" applyFont="1" applyFill="1" applyBorder="1" applyAlignment="1"/>
    <xf numFmtId="166" fontId="69" fillId="4" borderId="4" xfId="1" applyNumberFormat="1" applyFont="1" applyFill="1" applyBorder="1" applyAlignment="1">
      <alignment vertical="center"/>
    </xf>
    <xf numFmtId="166" fontId="61" fillId="0" borderId="4" xfId="14" applyNumberFormat="1" applyFont="1" applyBorder="1" applyAlignment="1">
      <alignment horizontal="right" vertical="center"/>
    </xf>
    <xf numFmtId="166" fontId="61" fillId="0" borderId="4" xfId="0" applyNumberFormat="1" applyFont="1" applyBorder="1" applyAlignment="1"/>
    <xf numFmtId="4" fontId="61" fillId="6" borderId="7" xfId="0" applyNumberFormat="1" applyFont="1" applyFill="1" applyBorder="1" applyAlignment="1">
      <alignment horizontal="right" vertical="center"/>
    </xf>
    <xf numFmtId="0" fontId="34" fillId="0" borderId="25" xfId="0" applyFont="1" applyBorder="1"/>
    <xf numFmtId="165" fontId="31" fillId="0" borderId="11" xfId="0" applyNumberFormat="1" applyFont="1" applyBorder="1" applyAlignment="1">
      <alignment horizontal="right" vertical="center"/>
    </xf>
    <xf numFmtId="165" fontId="31" fillId="0" borderId="8" xfId="0" applyNumberFormat="1" applyFont="1" applyBorder="1" applyAlignment="1">
      <alignment horizontal="right" vertical="center"/>
    </xf>
    <xf numFmtId="165" fontId="34" fillId="0" borderId="4" xfId="0" applyNumberFormat="1" applyFont="1" applyBorder="1" applyAlignment="1">
      <alignment horizontal="right" vertical="center"/>
    </xf>
    <xf numFmtId="166" fontId="31" fillId="0" borderId="11" xfId="1" applyNumberFormat="1" applyFont="1" applyBorder="1" applyAlignment="1">
      <alignment horizontal="left" vertical="center"/>
    </xf>
    <xf numFmtId="43" fontId="34" fillId="0" borderId="8" xfId="2" applyFont="1" applyBorder="1" applyAlignment="1">
      <alignment vertical="center"/>
    </xf>
    <xf numFmtId="166" fontId="61" fillId="4" borderId="4" xfId="0" applyNumberFormat="1" applyFont="1" applyFill="1" applyBorder="1" applyAlignment="1">
      <alignment vertical="center"/>
    </xf>
    <xf numFmtId="0" fontId="34" fillId="0" borderId="8" xfId="0" applyFont="1" applyBorder="1" applyAlignment="1">
      <alignment horizontal="right"/>
    </xf>
    <xf numFmtId="43" fontId="31" fillId="0" borderId="11" xfId="0" applyNumberFormat="1" applyFont="1" applyBorder="1"/>
    <xf numFmtId="4" fontId="61" fillId="6" borderId="7" xfId="0" applyNumberFormat="1" applyFont="1" applyFill="1" applyBorder="1" applyAlignment="1">
      <alignment vertical="center"/>
    </xf>
    <xf numFmtId="0" fontId="34" fillId="0" borderId="22" xfId="0" applyFont="1" applyBorder="1"/>
    <xf numFmtId="4" fontId="31" fillId="5" borderId="11" xfId="0" applyNumberFormat="1" applyFont="1" applyFill="1" applyBorder="1" applyAlignment="1">
      <alignment horizontal="right" vertical="center"/>
    </xf>
    <xf numFmtId="4" fontId="31" fillId="8" borderId="11" xfId="0" applyNumberFormat="1" applyFont="1" applyFill="1" applyBorder="1" applyAlignment="1">
      <alignment horizontal="right" vertical="center"/>
    </xf>
    <xf numFmtId="4" fontId="31" fillId="5" borderId="11" xfId="0" applyNumberFormat="1" applyFont="1" applyFill="1" applyBorder="1" applyAlignment="1">
      <alignment vertical="center"/>
    </xf>
    <xf numFmtId="49" fontId="111" fillId="0" borderId="11" xfId="0" applyNumberFormat="1" applyFont="1" applyFill="1" applyBorder="1" applyAlignment="1">
      <alignment horizontal="center" vertical="center"/>
    </xf>
    <xf numFmtId="166" fontId="111" fillId="0" borderId="22" xfId="1" applyNumberFormat="1" applyFont="1" applyFill="1" applyBorder="1" applyAlignment="1">
      <alignment horizontal="right" vertical="center"/>
    </xf>
    <xf numFmtId="4" fontId="111" fillId="0" borderId="22" xfId="0" applyNumberFormat="1" applyFont="1" applyFill="1" applyBorder="1" applyAlignment="1">
      <alignment horizontal="right" vertical="center"/>
    </xf>
    <xf numFmtId="4" fontId="111" fillId="0" borderId="11" xfId="0" applyNumberFormat="1" applyFont="1" applyFill="1" applyBorder="1" applyAlignment="1">
      <alignment horizontal="right" vertical="center"/>
    </xf>
    <xf numFmtId="4" fontId="111" fillId="0" borderId="22" xfId="0" applyNumberFormat="1" applyFont="1" applyFill="1" applyBorder="1" applyAlignment="1">
      <alignment vertical="center"/>
    </xf>
    <xf numFmtId="0" fontId="115" fillId="0" borderId="4" xfId="0" applyFont="1" applyFill="1" applyBorder="1"/>
    <xf numFmtId="43" fontId="31" fillId="0" borderId="11" xfId="2" applyFont="1" applyFill="1" applyBorder="1" applyAlignment="1">
      <alignment horizontal="right" vertical="center" wrapText="1"/>
    </xf>
    <xf numFmtId="43" fontId="31" fillId="0" borderId="12" xfId="2" applyFont="1" applyFill="1" applyBorder="1" applyAlignment="1">
      <alignment horizontal="right" vertical="center" wrapText="1"/>
    </xf>
    <xf numFmtId="2" fontId="61" fillId="0" borderId="4" xfId="0" applyNumberFormat="1" applyFont="1" applyFill="1" applyBorder="1" applyAlignment="1">
      <alignment horizontal="right" vertical="center" wrapText="1"/>
    </xf>
    <xf numFmtId="43" fontId="61" fillId="0" borderId="4" xfId="2" applyFont="1" applyFill="1" applyBorder="1" applyAlignment="1">
      <alignment vertical="center" wrapText="1"/>
    </xf>
    <xf numFmtId="43" fontId="61" fillId="0" borderId="4" xfId="2" applyFont="1" applyFill="1" applyBorder="1" applyAlignment="1">
      <alignment horizontal="right" vertical="center" wrapText="1"/>
    </xf>
    <xf numFmtId="43" fontId="31" fillId="0" borderId="4" xfId="2" applyFont="1" applyFill="1" applyBorder="1" applyAlignment="1">
      <alignment horizontal="right" vertical="center" wrapText="1"/>
    </xf>
    <xf numFmtId="166" fontId="61" fillId="0" borderId="4" xfId="1" applyNumberFormat="1" applyFont="1" applyBorder="1" applyAlignment="1">
      <alignment horizontal="center" vertical="center"/>
    </xf>
    <xf numFmtId="167" fontId="34" fillId="0" borderId="4" xfId="1" applyNumberFormat="1" applyFont="1" applyBorder="1" applyAlignment="1">
      <alignment vertical="center"/>
    </xf>
    <xf numFmtId="43" fontId="61" fillId="0" borderId="4" xfId="2" applyFont="1" applyFill="1" applyBorder="1" applyAlignment="1">
      <alignment horizontal="left" vertical="center" wrapText="1" indent="1"/>
    </xf>
    <xf numFmtId="0" fontId="70" fillId="0" borderId="4" xfId="0" applyFont="1" applyFill="1" applyBorder="1"/>
    <xf numFmtId="0" fontId="64" fillId="0" borderId="4" xfId="0" applyFont="1" applyFill="1" applyBorder="1"/>
    <xf numFmtId="167" fontId="61" fillId="0" borderId="22" xfId="1" applyNumberFormat="1" applyFont="1" applyBorder="1" applyAlignment="1">
      <alignment vertical="center"/>
    </xf>
    <xf numFmtId="166" fontId="62" fillId="0" borderId="4" xfId="1" applyNumberFormat="1" applyFont="1" applyFill="1" applyBorder="1" applyAlignment="1">
      <alignment horizontal="right" vertical="center"/>
    </xf>
    <xf numFmtId="166" fontId="31" fillId="0" borderId="12" xfId="1" applyNumberFormat="1" applyFont="1" applyBorder="1" applyAlignment="1">
      <alignment horizontal="right" vertical="center" indent="1"/>
    </xf>
    <xf numFmtId="4" fontId="34" fillId="0" borderId="4" xfId="0" applyNumberFormat="1" applyFont="1" applyFill="1" applyBorder="1" applyAlignment="1">
      <alignment vertical="center"/>
    </xf>
    <xf numFmtId="4" fontId="62" fillId="0" borderId="4" xfId="0" applyNumberFormat="1" applyFont="1" applyFill="1" applyBorder="1" applyAlignment="1">
      <alignment horizontal="right" vertical="center"/>
    </xf>
    <xf numFmtId="43" fontId="61" fillId="0" borderId="7" xfId="2" applyFont="1" applyFill="1" applyBorder="1" applyAlignment="1">
      <alignment horizontal="right" vertical="center" wrapText="1"/>
    </xf>
    <xf numFmtId="39" fontId="61" fillId="0" borderId="7" xfId="0" applyNumberFormat="1" applyFont="1" applyBorder="1" applyAlignment="1">
      <alignment vertical="center"/>
    </xf>
    <xf numFmtId="43" fontId="61" fillId="0" borderId="12" xfId="2" applyFont="1" applyFill="1" applyBorder="1" applyAlignment="1">
      <alignment horizontal="right" vertical="center" wrapText="1"/>
    </xf>
    <xf numFmtId="0" fontId="110" fillId="0" borderId="7" xfId="0" applyFont="1" applyBorder="1"/>
    <xf numFmtId="49" fontId="62" fillId="0" borderId="7" xfId="0" applyNumberFormat="1" applyFont="1" applyBorder="1" applyAlignment="1">
      <alignment horizontal="center" vertical="center"/>
    </xf>
    <xf numFmtId="39" fontId="31" fillId="0" borderId="7" xfId="0" applyNumberFormat="1" applyFont="1" applyFill="1" applyBorder="1" applyAlignment="1">
      <alignment vertical="top"/>
    </xf>
    <xf numFmtId="0" fontId="38" fillId="0" borderId="25" xfId="0" applyFont="1" applyBorder="1"/>
    <xf numFmtId="4" fontId="31" fillId="0" borderId="11" xfId="1" applyNumberFormat="1" applyFont="1" applyFill="1" applyBorder="1"/>
    <xf numFmtId="166" fontId="31" fillId="0" borderId="11" xfId="1" applyNumberFormat="1" applyFont="1" applyBorder="1" applyAlignment="1">
      <alignment horizontal="right"/>
    </xf>
    <xf numFmtId="4" fontId="31" fillId="0" borderId="12" xfId="1" applyNumberFormat="1" applyFont="1" applyFill="1" applyBorder="1"/>
    <xf numFmtId="166" fontId="31" fillId="0" borderId="12" xfId="1" applyNumberFormat="1" applyFont="1" applyBorder="1" applyAlignment="1">
      <alignment horizontal="right"/>
    </xf>
    <xf numFmtId="166" fontId="34" fillId="0" borderId="4" xfId="1" applyNumberFormat="1" applyFont="1" applyBorder="1" applyAlignment="1">
      <alignment horizontal="right"/>
    </xf>
    <xf numFmtId="4" fontId="34" fillId="0" borderId="7" xfId="1" applyNumberFormat="1" applyFont="1" applyFill="1" applyBorder="1"/>
    <xf numFmtId="166" fontId="34" fillId="0" borderId="7" xfId="1" applyNumberFormat="1" applyFont="1" applyBorder="1" applyAlignment="1">
      <alignment horizontal="right"/>
    </xf>
    <xf numFmtId="166" fontId="31" fillId="0" borderId="4" xfId="1" applyNumberFormat="1" applyFont="1" applyBorder="1" applyAlignment="1">
      <alignment horizontal="right"/>
    </xf>
    <xf numFmtId="166" fontId="31" fillId="0" borderId="7" xfId="1" applyNumberFormat="1" applyFont="1" applyBorder="1" applyAlignment="1">
      <alignment horizontal="right"/>
    </xf>
    <xf numFmtId="4" fontId="34" fillId="0" borderId="8" xfId="1" applyNumberFormat="1" applyFont="1" applyFill="1" applyBorder="1"/>
    <xf numFmtId="4" fontId="31" fillId="0" borderId="8" xfId="1" applyNumberFormat="1" applyFont="1" applyFill="1" applyBorder="1"/>
    <xf numFmtId="166" fontId="31" fillId="0" borderId="8" xfId="1" applyNumberFormat="1" applyFont="1" applyBorder="1" applyAlignment="1">
      <alignment horizontal="right"/>
    </xf>
    <xf numFmtId="166" fontId="61" fillId="0" borderId="7" xfId="1" applyNumberFormat="1" applyFont="1" applyBorder="1" applyAlignment="1">
      <alignment horizontal="right"/>
    </xf>
    <xf numFmtId="0" fontId="110" fillId="0" borderId="12" xfId="0" applyFont="1" applyBorder="1"/>
    <xf numFmtId="4" fontId="34" fillId="0" borderId="25" xfId="1" applyNumberFormat="1" applyFont="1" applyFill="1" applyBorder="1"/>
    <xf numFmtId="166" fontId="34" fillId="0" borderId="25" xfId="1" applyNumberFormat="1" applyFont="1" applyBorder="1" applyAlignment="1">
      <alignment horizontal="right"/>
    </xf>
    <xf numFmtId="165" fontId="31" fillId="5" borderId="11" xfId="0" applyNumberFormat="1" applyFont="1" applyFill="1" applyBorder="1" applyAlignment="1">
      <alignment horizontal="right" vertical="center"/>
    </xf>
    <xf numFmtId="43" fontId="31" fillId="0" borderId="21" xfId="0" applyNumberFormat="1" applyFont="1" applyBorder="1" applyAlignment="1">
      <alignment vertical="center"/>
    </xf>
    <xf numFmtId="165" fontId="61" fillId="0" borderId="4" xfId="18" applyFont="1" applyBorder="1" applyAlignment="1">
      <alignment vertical="center"/>
    </xf>
    <xf numFmtId="166" fontId="112" fillId="0" borderId="4" xfId="1" applyNumberFormat="1" applyFont="1" applyFill="1" applyBorder="1" applyAlignment="1">
      <alignment vertical="center"/>
    </xf>
    <xf numFmtId="166" fontId="113" fillId="0" borderId="4" xfId="1" applyNumberFormat="1" applyFont="1" applyBorder="1" applyAlignment="1">
      <alignment vertical="center"/>
    </xf>
    <xf numFmtId="165" fontId="61" fillId="0" borderId="4" xfId="20" applyFont="1" applyBorder="1" applyAlignment="1">
      <alignment vertical="center"/>
    </xf>
    <xf numFmtId="166" fontId="113" fillId="0" borderId="4" xfId="1" applyNumberFormat="1" applyFont="1" applyFill="1" applyBorder="1" applyAlignment="1">
      <alignment vertical="center"/>
    </xf>
    <xf numFmtId="39" fontId="61" fillId="0" borderId="12" xfId="0" applyNumberFormat="1" applyFont="1" applyFill="1" applyBorder="1" applyAlignment="1">
      <alignment vertical="center"/>
    </xf>
    <xf numFmtId="39" fontId="61" fillId="0" borderId="8" xfId="0" applyNumberFormat="1" applyFont="1" applyFill="1" applyBorder="1" applyAlignment="1">
      <alignment vertical="center"/>
    </xf>
    <xf numFmtId="4" fontId="31" fillId="0" borderId="17" xfId="0" applyNumberFormat="1" applyFont="1" applyFill="1" applyBorder="1" applyAlignment="1">
      <alignment vertical="center"/>
    </xf>
    <xf numFmtId="165" fontId="61" fillId="0" borderId="4" xfId="22" applyFont="1" applyBorder="1" applyAlignment="1">
      <alignment vertical="center"/>
    </xf>
    <xf numFmtId="165" fontId="61" fillId="0" borderId="4" xfId="23" applyFont="1" applyBorder="1" applyAlignment="1">
      <alignment vertical="center"/>
    </xf>
    <xf numFmtId="165" fontId="61" fillId="0" borderId="4" xfId="24" applyFont="1" applyBorder="1" applyAlignment="1">
      <alignment vertical="center"/>
    </xf>
    <xf numFmtId="165" fontId="61" fillId="0" borderId="4" xfId="25" applyFont="1" applyBorder="1" applyAlignment="1">
      <alignment vertical="center"/>
    </xf>
    <xf numFmtId="165" fontId="61" fillId="0" borderId="4" xfId="26" applyFont="1" applyBorder="1" applyAlignment="1">
      <alignment vertical="center"/>
    </xf>
    <xf numFmtId="165" fontId="61" fillId="0" borderId="4" xfId="27" applyFont="1" applyBorder="1" applyAlignment="1">
      <alignment vertical="center"/>
    </xf>
    <xf numFmtId="4" fontId="31" fillId="0" borderId="21" xfId="0" applyNumberFormat="1" applyFont="1" applyFill="1" applyBorder="1" applyAlignment="1">
      <alignment vertical="center"/>
    </xf>
    <xf numFmtId="165" fontId="61" fillId="0" borderId="4" xfId="28" applyFont="1" applyBorder="1" applyAlignment="1">
      <alignment vertical="center"/>
    </xf>
    <xf numFmtId="165" fontId="61" fillId="0" borderId="4" xfId="29" applyFont="1" applyBorder="1" applyAlignment="1">
      <alignment vertical="center"/>
    </xf>
    <xf numFmtId="165" fontId="61" fillId="0" borderId="4" xfId="30" applyFont="1" applyBorder="1" applyAlignment="1">
      <alignment vertical="center"/>
    </xf>
    <xf numFmtId="39" fontId="31" fillId="0" borderId="12" xfId="0" applyNumberFormat="1" applyFont="1" applyFill="1" applyBorder="1" applyAlignment="1">
      <alignment vertical="center"/>
    </xf>
    <xf numFmtId="165" fontId="61" fillId="0" borderId="7" xfId="31" applyFont="1" applyBorder="1" applyAlignment="1">
      <alignment vertical="center"/>
    </xf>
    <xf numFmtId="165" fontId="61" fillId="0" borderId="4" xfId="32" applyFont="1" applyBorder="1" applyAlignment="1">
      <alignment vertical="center"/>
    </xf>
    <xf numFmtId="165" fontId="61" fillId="0" borderId="4" xfId="33" applyFont="1" applyBorder="1" applyAlignment="1">
      <alignment vertical="center"/>
    </xf>
    <xf numFmtId="0" fontId="34" fillId="0" borderId="12" xfId="0" applyFont="1" applyBorder="1"/>
    <xf numFmtId="0" fontId="34" fillId="0" borderId="12" xfId="0" applyFont="1" applyBorder="1" applyAlignment="1">
      <alignment horizontal="right"/>
    </xf>
    <xf numFmtId="165" fontId="61" fillId="0" borderId="4" xfId="34" applyFont="1" applyBorder="1" applyAlignment="1">
      <alignment vertical="center"/>
    </xf>
    <xf numFmtId="166" fontId="34" fillId="0" borderId="22" xfId="1" applyNumberFormat="1" applyFont="1" applyBorder="1" applyAlignment="1">
      <alignment horizontal="right" vertical="center"/>
    </xf>
    <xf numFmtId="165" fontId="61" fillId="0" borderId="4" xfId="36" applyFont="1" applyBorder="1" applyAlignment="1">
      <alignment vertical="center"/>
    </xf>
    <xf numFmtId="165" fontId="61" fillId="0" borderId="4" xfId="37" applyFont="1" applyBorder="1" applyAlignment="1">
      <alignment vertical="center"/>
    </xf>
    <xf numFmtId="165" fontId="61" fillId="0" borderId="4" xfId="38" applyFont="1" applyBorder="1" applyAlignment="1">
      <alignment vertical="center"/>
    </xf>
    <xf numFmtId="0" fontId="34" fillId="0" borderId="4" xfId="0" applyFont="1" applyBorder="1" applyAlignment="1">
      <alignment horizontal="right"/>
    </xf>
    <xf numFmtId="43" fontId="31" fillId="0" borderId="11" xfId="0" applyNumberFormat="1" applyFont="1" applyBorder="1" applyAlignment="1">
      <alignment horizontal="right" vertical="center" indent="1"/>
    </xf>
    <xf numFmtId="165" fontId="61" fillId="0" borderId="4" xfId="40" applyFont="1" applyBorder="1" applyAlignment="1">
      <alignment vertical="center"/>
    </xf>
    <xf numFmtId="165" fontId="61" fillId="0" borderId="4" xfId="41" applyFont="1" applyBorder="1" applyAlignment="1">
      <alignment vertical="center"/>
    </xf>
    <xf numFmtId="165" fontId="61" fillId="0" borderId="4" xfId="42" applyFont="1" applyBorder="1" applyAlignment="1">
      <alignment vertical="center"/>
    </xf>
    <xf numFmtId="165" fontId="61" fillId="0" borderId="4" xfId="43" applyFont="1" applyBorder="1" applyAlignment="1">
      <alignment vertical="center"/>
    </xf>
    <xf numFmtId="165" fontId="61" fillId="0" borderId="8" xfId="43" applyFont="1" applyBorder="1" applyAlignment="1">
      <alignment vertical="center"/>
    </xf>
    <xf numFmtId="165" fontId="61" fillId="0" borderId="4" xfId="44" applyFont="1" applyBorder="1" applyAlignment="1">
      <alignment vertical="center"/>
    </xf>
    <xf numFmtId="166" fontId="31" fillId="0" borderId="17" xfId="1" applyNumberFormat="1" applyFont="1" applyBorder="1" applyAlignment="1"/>
    <xf numFmtId="165" fontId="61" fillId="0" borderId="4" xfId="45" applyFont="1" applyFill="1" applyBorder="1" applyAlignment="1">
      <alignment vertical="center"/>
    </xf>
    <xf numFmtId="165" fontId="61" fillId="0" borderId="4" xfId="45" applyFont="1" applyBorder="1" applyAlignment="1">
      <alignment vertical="center"/>
    </xf>
    <xf numFmtId="165" fontId="61" fillId="0" borderId="12" xfId="45" applyFont="1" applyFill="1" applyBorder="1" applyAlignment="1">
      <alignment vertical="center"/>
    </xf>
    <xf numFmtId="165" fontId="61" fillId="0" borderId="12" xfId="45" applyFont="1" applyBorder="1" applyAlignment="1">
      <alignment vertical="center"/>
    </xf>
    <xf numFmtId="165" fontId="31" fillId="0" borderId="12" xfId="45" applyFont="1" applyFill="1" applyBorder="1" applyAlignment="1">
      <alignment vertical="center"/>
    </xf>
    <xf numFmtId="165" fontId="31" fillId="0" borderId="12" xfId="45" applyFont="1" applyBorder="1" applyAlignment="1">
      <alignment vertical="center"/>
    </xf>
    <xf numFmtId="0" fontId="61" fillId="0" borderId="4" xfId="0" applyFont="1" applyBorder="1" applyAlignment="1">
      <alignment horizontal="right"/>
    </xf>
    <xf numFmtId="166" fontId="61" fillId="0" borderId="12" xfId="1" quotePrefix="1" applyNumberFormat="1" applyFont="1" applyBorder="1" applyAlignment="1">
      <alignment vertical="center"/>
    </xf>
    <xf numFmtId="165" fontId="34" fillId="0" borderId="4" xfId="46" applyFont="1" applyBorder="1" applyAlignment="1">
      <alignment vertical="center"/>
    </xf>
    <xf numFmtId="166" fontId="61" fillId="0" borderId="4" xfId="1" quotePrefix="1" applyNumberFormat="1" applyFont="1" applyBorder="1" applyAlignment="1">
      <alignment vertical="center"/>
    </xf>
    <xf numFmtId="165" fontId="31" fillId="0" borderId="4" xfId="47" applyFont="1" applyBorder="1" applyAlignment="1">
      <alignment vertical="center"/>
    </xf>
    <xf numFmtId="166" fontId="31" fillId="0" borderId="4" xfId="1" quotePrefix="1" applyNumberFormat="1" applyFont="1" applyBorder="1" applyAlignment="1">
      <alignment vertical="center"/>
    </xf>
    <xf numFmtId="166" fontId="31" fillId="0" borderId="4" xfId="1" quotePrefix="1" applyNumberFormat="1" applyFont="1" applyBorder="1" applyAlignment="1">
      <alignment horizontal="right" vertical="center"/>
    </xf>
    <xf numFmtId="39" fontId="31" fillId="0" borderId="12" xfId="0" applyNumberFormat="1" applyFont="1" applyFill="1" applyBorder="1" applyAlignment="1">
      <alignment horizontal="right" vertical="center"/>
    </xf>
    <xf numFmtId="165" fontId="61" fillId="0" borderId="4" xfId="48" applyFont="1" applyBorder="1" applyAlignment="1">
      <alignment vertical="center"/>
    </xf>
    <xf numFmtId="43" fontId="31" fillId="0" borderId="17" xfId="0" applyNumberFormat="1" applyFont="1" applyBorder="1" applyAlignment="1">
      <alignment vertical="center"/>
    </xf>
    <xf numFmtId="165" fontId="61" fillId="0" borderId="4" xfId="49" applyFont="1" applyBorder="1" applyAlignment="1">
      <alignment vertical="center"/>
    </xf>
    <xf numFmtId="165" fontId="61" fillId="0" borderId="4" xfId="50" applyFont="1" applyBorder="1" applyAlignment="1">
      <alignment vertical="center"/>
    </xf>
    <xf numFmtId="165" fontId="61" fillId="0" borderId="4" xfId="51" applyFont="1" applyBorder="1" applyAlignment="1">
      <alignment vertical="center"/>
    </xf>
    <xf numFmtId="0" fontId="34" fillId="0" borderId="12" xfId="0" applyFont="1" applyBorder="1" applyAlignment="1"/>
    <xf numFmtId="165" fontId="61" fillId="0" borderId="4" xfId="52" applyFont="1" applyBorder="1" applyAlignment="1">
      <alignment vertical="center"/>
    </xf>
    <xf numFmtId="166" fontId="31" fillId="5" borderId="11" xfId="1" applyNumberFormat="1" applyFont="1" applyFill="1" applyBorder="1"/>
    <xf numFmtId="166" fontId="61" fillId="6" borderId="8" xfId="1" applyNumberFormat="1" applyFont="1" applyFill="1" applyBorder="1" applyAlignment="1">
      <alignment horizontal="right" vertical="center"/>
    </xf>
    <xf numFmtId="166" fontId="31" fillId="6" borderId="11" xfId="1" applyNumberFormat="1" applyFont="1" applyFill="1" applyBorder="1" applyAlignment="1">
      <alignment horizontal="right" vertical="center"/>
    </xf>
    <xf numFmtId="166" fontId="31" fillId="6" borderId="12" xfId="1" applyNumberFormat="1" applyFont="1" applyFill="1" applyBorder="1" applyAlignment="1">
      <alignment horizontal="right" vertical="center"/>
    </xf>
    <xf numFmtId="166" fontId="61" fillId="0" borderId="4" xfId="1" applyNumberFormat="1" applyFont="1" applyFill="1" applyBorder="1" applyAlignment="1" applyProtection="1">
      <alignment horizontal="left" vertical="center" indent="1"/>
    </xf>
    <xf numFmtId="166" fontId="61" fillId="0" borderId="4" xfId="1" applyNumberFormat="1" applyFont="1" applyBorder="1" applyAlignment="1" applyProtection="1">
      <alignment vertical="center"/>
    </xf>
    <xf numFmtId="166" fontId="61" fillId="6" borderId="12" xfId="1" applyNumberFormat="1" applyFont="1" applyFill="1" applyBorder="1" applyAlignment="1">
      <alignment horizontal="right" vertical="center"/>
    </xf>
    <xf numFmtId="166" fontId="61" fillId="0" borderId="4" xfId="1" applyNumberFormat="1" applyFont="1" applyBorder="1" applyAlignment="1" applyProtection="1">
      <alignment horizontal="left" vertical="center" indent="1"/>
    </xf>
    <xf numFmtId="166" fontId="61" fillId="0" borderId="8" xfId="1" applyNumberFormat="1" applyFont="1" applyFill="1" applyBorder="1" applyAlignment="1" applyProtection="1">
      <alignment horizontal="left" vertical="center" indent="1"/>
    </xf>
    <xf numFmtId="166" fontId="61" fillId="0" borderId="8" xfId="1" applyNumberFormat="1" applyFont="1" applyBorder="1" applyAlignment="1" applyProtection="1">
      <alignment vertical="center"/>
    </xf>
    <xf numFmtId="166" fontId="31" fillId="6" borderId="4" xfId="1" applyNumberFormat="1" applyFont="1" applyFill="1" applyBorder="1" applyAlignment="1">
      <alignment horizontal="right" vertical="center"/>
    </xf>
    <xf numFmtId="166" fontId="61" fillId="6" borderId="4" xfId="1" applyNumberFormat="1" applyFont="1" applyFill="1" applyBorder="1" applyAlignment="1">
      <alignment horizontal="right" vertical="center"/>
    </xf>
    <xf numFmtId="39" fontId="61" fillId="0" borderId="8" xfId="0" applyNumberFormat="1" applyFont="1" applyFill="1" applyBorder="1" applyAlignment="1">
      <alignment horizontal="right" vertical="center"/>
    </xf>
    <xf numFmtId="39" fontId="61" fillId="0" borderId="7" xfId="0" applyNumberFormat="1" applyFont="1" applyFill="1" applyBorder="1" applyAlignment="1">
      <alignment horizontal="right" vertical="center"/>
    </xf>
    <xf numFmtId="166" fontId="61" fillId="0" borderId="11" xfId="1" applyNumberFormat="1" applyFont="1" applyFill="1" applyBorder="1" applyAlignment="1">
      <alignment horizontal="right" vertical="center"/>
    </xf>
    <xf numFmtId="166" fontId="62" fillId="0" borderId="11" xfId="1" applyNumberFormat="1" applyFont="1" applyFill="1" applyBorder="1" applyAlignment="1">
      <alignment horizontal="right" vertical="center"/>
    </xf>
    <xf numFmtId="166" fontId="62" fillId="0" borderId="12" xfId="1" applyNumberFormat="1" applyFont="1" applyFill="1" applyBorder="1" applyAlignment="1">
      <alignment horizontal="right" vertical="center"/>
    </xf>
    <xf numFmtId="166" fontId="62" fillId="0" borderId="8" xfId="1" applyNumberFormat="1" applyFont="1" applyFill="1" applyBorder="1" applyAlignment="1">
      <alignment horizontal="right" vertical="center"/>
    </xf>
    <xf numFmtId="166" fontId="31" fillId="0" borderId="11" xfId="7" applyNumberFormat="1" applyFont="1" applyBorder="1" applyAlignment="1">
      <alignment vertical="center"/>
    </xf>
    <xf numFmtId="166" fontId="31" fillId="0" borderId="12" xfId="7" applyNumberFormat="1" applyFont="1" applyBorder="1" applyAlignment="1">
      <alignment vertical="center"/>
    </xf>
    <xf numFmtId="39" fontId="31" fillId="0" borderId="11" xfId="0" applyNumberFormat="1" applyFont="1" applyFill="1" applyBorder="1" applyAlignment="1">
      <alignment horizontal="right" vertical="center"/>
    </xf>
    <xf numFmtId="39" fontId="62" fillId="0" borderId="12" xfId="0" applyNumberFormat="1" applyFont="1" applyFill="1" applyBorder="1" applyAlignment="1">
      <alignment horizontal="right" vertical="center"/>
    </xf>
    <xf numFmtId="39" fontId="31" fillId="0" borderId="8" xfId="0" applyNumberFormat="1" applyFont="1" applyFill="1" applyBorder="1" applyAlignment="1">
      <alignment horizontal="right" vertical="center"/>
    </xf>
    <xf numFmtId="39" fontId="31" fillId="0" borderId="7" xfId="0" applyNumberFormat="1" applyFont="1" applyFill="1" applyBorder="1" applyAlignment="1">
      <alignment horizontal="right" vertical="center"/>
    </xf>
    <xf numFmtId="39" fontId="34" fillId="0" borderId="4" xfId="0" applyNumberFormat="1" applyFont="1" applyFill="1" applyBorder="1" applyAlignment="1">
      <alignment horizontal="right" vertical="center"/>
    </xf>
    <xf numFmtId="39" fontId="62" fillId="0" borderId="4" xfId="0" applyNumberFormat="1" applyFont="1" applyFill="1" applyBorder="1" applyAlignment="1">
      <alignment horizontal="right" vertical="center"/>
    </xf>
    <xf numFmtId="39" fontId="61" fillId="0" borderId="12" xfId="0" applyNumberFormat="1" applyFont="1" applyFill="1" applyBorder="1" applyAlignment="1">
      <alignment horizontal="right" vertical="center"/>
    </xf>
    <xf numFmtId="166" fontId="61" fillId="0" borderId="7" xfId="1" applyNumberFormat="1" applyFont="1" applyBorder="1" applyAlignment="1" applyProtection="1">
      <alignment vertical="center"/>
    </xf>
    <xf numFmtId="4" fontId="34" fillId="0" borderId="25" xfId="1" applyNumberFormat="1" applyFont="1" applyBorder="1" applyAlignment="1">
      <alignment vertical="center"/>
    </xf>
    <xf numFmtId="39" fontId="61" fillId="0" borderId="4" xfId="1" applyNumberFormat="1" applyFont="1" applyBorder="1" applyAlignment="1" applyProtection="1">
      <alignment vertical="center"/>
    </xf>
    <xf numFmtId="171" fontId="61" fillId="0" borderId="8" xfId="0" applyNumberFormat="1" applyFont="1" applyFill="1" applyBorder="1" applyAlignment="1">
      <alignment vertical="top"/>
    </xf>
    <xf numFmtId="39" fontId="61" fillId="0" borderId="4" xfId="1" applyNumberFormat="1" applyFont="1" applyBorder="1" applyAlignment="1">
      <alignment vertical="center"/>
    </xf>
    <xf numFmtId="166" fontId="61" fillId="0" borderId="7" xfId="1" applyNumberFormat="1" applyFont="1" applyFill="1" applyBorder="1" applyAlignment="1" applyProtection="1">
      <alignment horizontal="left" vertical="center" indent="1"/>
    </xf>
    <xf numFmtId="166" fontId="31" fillId="2" borderId="4" xfId="1" applyNumberFormat="1" applyFont="1" applyFill="1" applyBorder="1" applyAlignment="1">
      <alignment horizontal="right" vertical="center"/>
    </xf>
    <xf numFmtId="0" fontId="34" fillId="0" borderId="46" xfId="0" applyFont="1" applyBorder="1"/>
    <xf numFmtId="166" fontId="31" fillId="0" borderId="46" xfId="1" applyNumberFormat="1" applyFont="1" applyBorder="1" applyAlignment="1">
      <alignment vertical="center"/>
    </xf>
    <xf numFmtId="165" fontId="31" fillId="0" borderId="46" xfId="0" applyNumberFormat="1" applyFont="1" applyBorder="1" applyAlignment="1">
      <alignment horizontal="right" vertical="center"/>
    </xf>
    <xf numFmtId="165" fontId="31" fillId="0" borderId="46" xfId="0" applyNumberFormat="1" applyFont="1" applyBorder="1" applyAlignment="1">
      <alignment vertical="center"/>
    </xf>
    <xf numFmtId="4" fontId="31" fillId="0" borderId="46" xfId="1" applyNumberFormat="1" applyFont="1" applyBorder="1" applyAlignment="1">
      <alignment horizontal="right" vertical="center"/>
    </xf>
    <xf numFmtId="4" fontId="31" fillId="0" borderId="46" xfId="1" applyNumberFormat="1" applyFont="1" applyFill="1" applyBorder="1" applyAlignment="1">
      <alignment vertical="center"/>
    </xf>
    <xf numFmtId="0" fontId="38" fillId="0" borderId="46" xfId="0" applyFont="1" applyBorder="1"/>
    <xf numFmtId="166" fontId="61" fillId="0" borderId="0" xfId="1" applyNumberFormat="1" applyFont="1" applyBorder="1" applyAlignment="1">
      <alignment vertical="center"/>
    </xf>
    <xf numFmtId="166" fontId="34" fillId="0" borderId="0" xfId="1" applyNumberFormat="1" applyFont="1" applyBorder="1" applyAlignment="1">
      <alignment horizontal="right" vertical="top"/>
    </xf>
    <xf numFmtId="4" fontId="62" fillId="0" borderId="0" xfId="0" applyNumberFormat="1" applyFont="1" applyBorder="1" applyAlignment="1">
      <alignment horizontal="center" vertical="center"/>
    </xf>
    <xf numFmtId="166" fontId="34" fillId="0" borderId="0" xfId="1" applyNumberFormat="1" applyFont="1" applyBorder="1" applyAlignment="1"/>
    <xf numFmtId="166" fontId="34" fillId="0" borderId="0" xfId="1" applyNumberFormat="1" applyFont="1" applyBorder="1"/>
    <xf numFmtId="0" fontId="34" fillId="0" borderId="0" xfId="0" applyFont="1" applyBorder="1"/>
    <xf numFmtId="0" fontId="34" fillId="0" borderId="0" xfId="0" applyFont="1" applyBorder="1" applyAlignment="1">
      <alignment horizontal="right" vertical="top"/>
    </xf>
    <xf numFmtId="4" fontId="61" fillId="0" borderId="0" xfId="1" applyNumberFormat="1" applyFont="1" applyBorder="1"/>
    <xf numFmtId="166" fontId="34" fillId="0" borderId="0" xfId="1" applyNumberFormat="1" applyFont="1" applyBorder="1" applyAlignment="1">
      <alignment vertical="center"/>
    </xf>
    <xf numFmtId="166" fontId="31" fillId="0" borderId="0" xfId="1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50" fillId="0" borderId="0" xfId="0" applyFont="1" applyAlignment="1"/>
    <xf numFmtId="4" fontId="34" fillId="0" borderId="0" xfId="1" applyNumberFormat="1" applyFont="1" applyFill="1"/>
    <xf numFmtId="0" fontId="34" fillId="0" borderId="0" xfId="0" applyFont="1" applyAlignment="1">
      <alignment horizontal="center" vertical="center"/>
    </xf>
    <xf numFmtId="0" fontId="31" fillId="2" borderId="46" xfId="0" applyFont="1" applyFill="1" applyBorder="1" applyAlignment="1">
      <alignment horizontal="left" vertical="center" wrapText="1"/>
    </xf>
    <xf numFmtId="166" fontId="31" fillId="3" borderId="46" xfId="1" applyNumberFormat="1" applyFont="1" applyFill="1" applyBorder="1" applyAlignment="1">
      <alignment horizontal="right" vertical="center"/>
    </xf>
    <xf numFmtId="4" fontId="61" fillId="0" borderId="4" xfId="0" quotePrefix="1" applyNumberFormat="1" applyFont="1" applyBorder="1" applyAlignment="1">
      <alignment horizontal="right" vertical="center" wrapText="1"/>
    </xf>
    <xf numFmtId="4" fontId="61" fillId="0" borderId="4" xfId="0" quotePrefix="1" applyNumberFormat="1" applyFont="1" applyFill="1" applyBorder="1" applyAlignment="1">
      <alignment horizontal="right" vertical="center"/>
    </xf>
    <xf numFmtId="4" fontId="61" fillId="0" borderId="4" xfId="1" quotePrefix="1" applyNumberFormat="1" applyFont="1" applyFill="1" applyBorder="1" applyAlignment="1">
      <alignment horizontal="right" vertical="center"/>
    </xf>
    <xf numFmtId="20" fontId="31" fillId="0" borderId="4" xfId="0" applyNumberFormat="1" applyFont="1" applyBorder="1" applyAlignment="1">
      <alignment horizontal="left" vertical="center" wrapText="1"/>
    </xf>
    <xf numFmtId="4" fontId="61" fillId="0" borderId="4" xfId="1" quotePrefix="1" applyNumberFormat="1" applyFont="1" applyFill="1" applyBorder="1" applyAlignment="1">
      <alignment horizontal="right" vertical="center" indent="1"/>
    </xf>
    <xf numFmtId="39" fontId="61" fillId="0" borderId="4" xfId="0" applyNumberFormat="1" applyFont="1" applyBorder="1" applyAlignment="1">
      <alignment horizontal="right" vertical="center"/>
    </xf>
    <xf numFmtId="39" fontId="61" fillId="0" borderId="4" xfId="0" applyNumberFormat="1" applyFont="1" applyBorder="1" applyAlignment="1">
      <alignment horizontal="right" vertical="top"/>
    </xf>
    <xf numFmtId="43" fontId="31" fillId="0" borderId="8" xfId="0" applyNumberFormat="1" applyFont="1" applyFill="1" applyBorder="1" applyAlignment="1">
      <alignment horizontal="left" vertical="center"/>
    </xf>
    <xf numFmtId="4" fontId="61" fillId="0" borderId="7" xfId="0" quotePrefix="1" applyNumberFormat="1" applyFont="1" applyFill="1" applyBorder="1" applyAlignment="1">
      <alignment horizontal="right" vertical="center"/>
    </xf>
    <xf numFmtId="43" fontId="31" fillId="2" borderId="4" xfId="0" applyNumberFormat="1" applyFont="1" applyFill="1" applyBorder="1" applyAlignment="1">
      <alignment horizontal="left" vertical="center"/>
    </xf>
    <xf numFmtId="0" fontId="31" fillId="7" borderId="11" xfId="0" applyFont="1" applyFill="1" applyBorder="1" applyAlignment="1">
      <alignment horizontal="left" vertical="center" wrapText="1"/>
    </xf>
    <xf numFmtId="166" fontId="61" fillId="0" borderId="8" xfId="1" quotePrefix="1" applyNumberFormat="1" applyFont="1" applyBorder="1" applyAlignment="1">
      <alignment horizontal="right" vertical="center"/>
    </xf>
    <xf numFmtId="0" fontId="61" fillId="0" borderId="4" xfId="6" applyFont="1" applyBorder="1" applyAlignment="1">
      <alignment vertical="center" wrapText="1"/>
    </xf>
    <xf numFmtId="0" fontId="61" fillId="0" borderId="12" xfId="6" applyFont="1" applyBorder="1" applyAlignment="1">
      <alignment vertical="center" wrapText="1"/>
    </xf>
    <xf numFmtId="166" fontId="61" fillId="0" borderId="12" xfId="7" applyNumberFormat="1" applyFont="1" applyBorder="1" applyAlignment="1">
      <alignment horizontal="right" vertical="center"/>
    </xf>
    <xf numFmtId="0" fontId="61" fillId="0" borderId="4" xfId="0" applyFont="1" applyBorder="1" applyAlignment="1">
      <alignment vertical="center"/>
    </xf>
    <xf numFmtId="0" fontId="61" fillId="0" borderId="7" xfId="0" applyFont="1" applyBorder="1" applyAlignment="1">
      <alignment vertical="center"/>
    </xf>
    <xf numFmtId="0" fontId="61" fillId="0" borderId="12" xfId="0" applyFont="1" applyBorder="1" applyAlignment="1">
      <alignment vertical="center"/>
    </xf>
    <xf numFmtId="43" fontId="61" fillId="4" borderId="4" xfId="60" applyNumberFormat="1" applyFont="1" applyFill="1" applyBorder="1" applyAlignment="1">
      <alignment horizontal="right" vertical="center"/>
    </xf>
    <xf numFmtId="0" fontId="110" fillId="4" borderId="4" xfId="0" applyFont="1" applyFill="1" applyBorder="1" applyAlignment="1">
      <alignment vertical="center"/>
    </xf>
    <xf numFmtId="0" fontId="110" fillId="4" borderId="4" xfId="0" applyFont="1" applyFill="1" applyBorder="1" applyAlignment="1">
      <alignment horizontal="left" vertical="center" wrapText="1"/>
    </xf>
    <xf numFmtId="166" fontId="61" fillId="0" borderId="4" xfId="5" applyNumberFormat="1" applyFont="1" applyBorder="1" applyAlignment="1">
      <alignment vertical="center"/>
    </xf>
    <xf numFmtId="166" fontId="61" fillId="0" borderId="7" xfId="7" applyNumberFormat="1" applyFont="1" applyFill="1" applyBorder="1" applyAlignment="1">
      <alignment vertical="center"/>
    </xf>
    <xf numFmtId="166" fontId="61" fillId="0" borderId="12" xfId="7" applyNumberFormat="1" applyFont="1" applyFill="1" applyBorder="1" applyAlignment="1">
      <alignment vertical="center"/>
    </xf>
    <xf numFmtId="49" fontId="31" fillId="0" borderId="7" xfId="4" applyNumberFormat="1" applyFont="1" applyBorder="1" applyAlignment="1">
      <alignment horizontal="left" vertical="center" wrapText="1"/>
    </xf>
    <xf numFmtId="0" fontId="61" fillId="0" borderId="12" xfId="4" applyFont="1" applyBorder="1" applyAlignment="1">
      <alignment vertical="center" wrapText="1"/>
    </xf>
    <xf numFmtId="21" fontId="61" fillId="0" borderId="8" xfId="4" applyNumberFormat="1" applyFont="1" applyBorder="1" applyAlignment="1">
      <alignment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61" fillId="0" borderId="7" xfId="9" applyFont="1" applyBorder="1" applyAlignment="1">
      <alignment horizontal="left" vertical="center" wrapText="1"/>
    </xf>
    <xf numFmtId="39" fontId="61" fillId="0" borderId="12" xfId="0" applyNumberFormat="1" applyFont="1" applyBorder="1" applyAlignment="1">
      <alignment horizontal="right" vertical="center"/>
    </xf>
    <xf numFmtId="43" fontId="31" fillId="0" borderId="4" xfId="2" applyFont="1" applyBorder="1" applyAlignment="1">
      <alignment horizontal="left" vertical="center"/>
    </xf>
    <xf numFmtId="0" fontId="61" fillId="0" borderId="12" xfId="0" applyFont="1" applyFill="1" applyBorder="1" applyAlignment="1">
      <alignment horizontal="left" vertical="center" wrapText="1"/>
    </xf>
    <xf numFmtId="166" fontId="61" fillId="4" borderId="4" xfId="0" applyNumberFormat="1" applyFont="1" applyFill="1" applyBorder="1" applyAlignment="1">
      <alignment horizontal="right" vertical="center"/>
    </xf>
    <xf numFmtId="0" fontId="69" fillId="4" borderId="4" xfId="9" applyFont="1" applyFill="1" applyBorder="1" applyAlignment="1">
      <alignment vertical="center" wrapText="1"/>
    </xf>
    <xf numFmtId="166" fontId="61" fillId="4" borderId="4" xfId="58" applyNumberFormat="1" applyFont="1" applyFill="1" applyBorder="1" applyAlignment="1">
      <alignment horizontal="right" vertical="center"/>
    </xf>
    <xf numFmtId="166" fontId="61" fillId="4" borderId="7" xfId="0" applyNumberFormat="1" applyFont="1" applyFill="1" applyBorder="1" applyAlignment="1">
      <alignment horizontal="right" vertical="center"/>
    </xf>
    <xf numFmtId="0" fontId="34" fillId="0" borderId="8" xfId="0" applyFont="1" applyBorder="1" applyAlignment="1">
      <alignment vertical="center"/>
    </xf>
    <xf numFmtId="166" fontId="61" fillId="4" borderId="7" xfId="58" applyNumberFormat="1" applyFont="1" applyFill="1" applyBorder="1" applyAlignment="1">
      <alignment horizontal="right" vertical="center"/>
    </xf>
    <xf numFmtId="166" fontId="31" fillId="4" borderId="11" xfId="58" applyNumberFormat="1" applyFont="1" applyFill="1" applyBorder="1" applyAlignment="1">
      <alignment horizontal="right" vertical="center"/>
    </xf>
    <xf numFmtId="166" fontId="31" fillId="4" borderId="12" xfId="58" applyNumberFormat="1" applyFont="1" applyFill="1" applyBorder="1" applyAlignment="1">
      <alignment horizontal="right" vertical="center"/>
    </xf>
    <xf numFmtId="166" fontId="31" fillId="4" borderId="4" xfId="58" applyNumberFormat="1" applyFont="1" applyFill="1" applyBorder="1" applyAlignment="1">
      <alignment horizontal="right" vertical="center"/>
    </xf>
    <xf numFmtId="166" fontId="62" fillId="4" borderId="4" xfId="58" applyNumberFormat="1" applyFont="1" applyFill="1" applyBorder="1" applyAlignment="1">
      <alignment horizontal="right" vertical="center"/>
    </xf>
    <xf numFmtId="166" fontId="34" fillId="4" borderId="4" xfId="58" applyNumberFormat="1" applyFont="1" applyFill="1" applyBorder="1" applyAlignment="1">
      <alignment horizontal="right" vertical="center"/>
    </xf>
    <xf numFmtId="166" fontId="31" fillId="4" borderId="11" xfId="58" applyNumberFormat="1" applyFont="1" applyFill="1" applyBorder="1" applyAlignment="1">
      <alignment horizontal="right" vertical="center" wrapText="1"/>
    </xf>
    <xf numFmtId="166" fontId="31" fillId="4" borderId="12" xfId="58" applyNumberFormat="1" applyFont="1" applyFill="1" applyBorder="1" applyAlignment="1">
      <alignment horizontal="right" vertical="center" wrapText="1"/>
    </xf>
    <xf numFmtId="166" fontId="31" fillId="4" borderId="4" xfId="58" applyNumberFormat="1" applyFont="1" applyFill="1" applyBorder="1" applyAlignment="1">
      <alignment horizontal="right" vertical="center" wrapText="1"/>
    </xf>
    <xf numFmtId="0" fontId="34" fillId="0" borderId="12" xfId="0" applyFont="1" applyBorder="1" applyAlignment="1">
      <alignment vertical="center" wrapText="1"/>
    </xf>
    <xf numFmtId="0" fontId="31" fillId="0" borderId="22" xfId="0" applyFont="1" applyBorder="1" applyAlignment="1">
      <alignment vertical="center" wrapText="1"/>
    </xf>
    <xf numFmtId="166" fontId="31" fillId="4" borderId="39" xfId="58" applyNumberFormat="1" applyFont="1" applyFill="1" applyBorder="1" applyAlignment="1">
      <alignment horizontal="right" vertical="center" wrapText="1"/>
    </xf>
    <xf numFmtId="166" fontId="61" fillId="4" borderId="4" xfId="58" applyNumberFormat="1" applyFont="1" applyFill="1" applyBorder="1" applyAlignment="1">
      <alignment horizontal="right" vertical="center" wrapText="1"/>
    </xf>
    <xf numFmtId="43" fontId="61" fillId="0" borderId="7" xfId="0" applyNumberFormat="1" applyFont="1" applyBorder="1" applyAlignment="1">
      <alignment horizontal="left" vertical="center"/>
    </xf>
    <xf numFmtId="43" fontId="61" fillId="0" borderId="4" xfId="0" applyNumberFormat="1" applyFont="1" applyBorder="1" applyAlignment="1">
      <alignment horizontal="left" vertical="center"/>
    </xf>
    <xf numFmtId="41" fontId="69" fillId="0" borderId="4" xfId="58" applyFont="1" applyFill="1" applyBorder="1" applyAlignment="1">
      <alignment horizontal="right" vertical="center"/>
    </xf>
    <xf numFmtId="43" fontId="31" fillId="0" borderId="12" xfId="0" quotePrefix="1" applyNumberFormat="1" applyFont="1" applyBorder="1" applyAlignment="1">
      <alignment horizontal="right" vertical="center"/>
    </xf>
    <xf numFmtId="43" fontId="34" fillId="0" borderId="12" xfId="0" quotePrefix="1" applyNumberFormat="1" applyFont="1" applyBorder="1" applyAlignment="1">
      <alignment horizontal="right" vertical="center"/>
    </xf>
    <xf numFmtId="43" fontId="61" fillId="0" borderId="8" xfId="0" quotePrefix="1" applyNumberFormat="1" applyFont="1" applyBorder="1" applyAlignment="1">
      <alignment horizontal="right" vertical="center"/>
    </xf>
    <xf numFmtId="43" fontId="61" fillId="0" borderId="12" xfId="0" quotePrefix="1" applyNumberFormat="1" applyFont="1" applyBorder="1" applyAlignment="1">
      <alignment horizontal="right" vertical="center"/>
    </xf>
    <xf numFmtId="43" fontId="61" fillId="0" borderId="7" xfId="0" applyNumberFormat="1" applyFont="1" applyBorder="1" applyAlignment="1">
      <alignment horizontal="right" vertical="center"/>
    </xf>
    <xf numFmtId="43" fontId="61" fillId="0" borderId="4" xfId="0" quotePrefix="1" applyNumberFormat="1" applyFont="1" applyBorder="1" applyAlignment="1">
      <alignment horizontal="right" vertical="center"/>
    </xf>
    <xf numFmtId="166" fontId="31" fillId="0" borderId="11" xfId="1" applyNumberFormat="1" applyFont="1" applyFill="1" applyBorder="1" applyAlignment="1">
      <alignment horizontal="right" vertical="center" indent="2"/>
    </xf>
    <xf numFmtId="0" fontId="62" fillId="0" borderId="12" xfId="0" applyFont="1" applyBorder="1" applyAlignment="1">
      <alignment horizontal="left" vertical="center" wrapText="1"/>
    </xf>
    <xf numFmtId="166" fontId="61" fillId="4" borderId="4" xfId="0" applyNumberFormat="1" applyFont="1" applyFill="1" applyBorder="1" applyAlignment="1">
      <alignment horizontal="right" vertical="center" wrapText="1"/>
    </xf>
    <xf numFmtId="0" fontId="31" fillId="7" borderId="39" xfId="0" applyFont="1" applyFill="1" applyBorder="1" applyAlignment="1">
      <alignment horizontal="left" vertical="center" wrapText="1"/>
    </xf>
    <xf numFmtId="0" fontId="63" fillId="4" borderId="8" xfId="0" applyFont="1" applyFill="1" applyBorder="1" applyAlignment="1">
      <alignment horizontal="left" vertical="center" wrapText="1"/>
    </xf>
    <xf numFmtId="39" fontId="61" fillId="0" borderId="4" xfId="0" quotePrefix="1" applyNumberFormat="1" applyFont="1" applyBorder="1" applyAlignment="1">
      <alignment horizontal="right" vertical="center"/>
    </xf>
    <xf numFmtId="39" fontId="31" fillId="0" borderId="12" xfId="0" applyNumberFormat="1" applyFont="1" applyBorder="1" applyAlignment="1">
      <alignment vertical="center"/>
    </xf>
    <xf numFmtId="39" fontId="61" fillId="0" borderId="7" xfId="0" quotePrefix="1" applyNumberFormat="1" applyFont="1" applyBorder="1" applyAlignment="1">
      <alignment horizontal="right" vertical="center"/>
    </xf>
    <xf numFmtId="39" fontId="31" fillId="0" borderId="7" xfId="0" quotePrefix="1" applyNumberFormat="1" applyFont="1" applyBorder="1" applyAlignment="1">
      <alignment horizontal="right" vertical="center"/>
    </xf>
    <xf numFmtId="43" fontId="31" fillId="0" borderId="11" xfId="0" quotePrefix="1" applyNumberFormat="1" applyFont="1" applyBorder="1" applyAlignment="1">
      <alignment horizontal="right" vertical="center"/>
    </xf>
    <xf numFmtId="43" fontId="31" fillId="0" borderId="17" xfId="0" quotePrefix="1" applyNumberFormat="1" applyFont="1" applyBorder="1" applyAlignment="1">
      <alignment horizontal="right" vertical="center"/>
    </xf>
    <xf numFmtId="41" fontId="70" fillId="0" borderId="4" xfId="58" applyFont="1" applyFill="1" applyBorder="1" applyAlignment="1">
      <alignment horizontal="right" vertical="center"/>
    </xf>
    <xf numFmtId="4" fontId="31" fillId="0" borderId="7" xfId="0" quotePrefix="1" applyNumberFormat="1" applyFont="1" applyFill="1" applyBorder="1" applyAlignment="1">
      <alignment horizontal="right" vertical="center"/>
    </xf>
    <xf numFmtId="39" fontId="61" fillId="0" borderId="4" xfId="0" quotePrefix="1" applyNumberFormat="1" applyFont="1" applyFill="1" applyBorder="1" applyAlignment="1">
      <alignment horizontal="right" vertical="center"/>
    </xf>
    <xf numFmtId="166" fontId="61" fillId="0" borderId="4" xfId="1" quotePrefix="1" applyNumberFormat="1" applyFont="1" applyBorder="1" applyAlignment="1">
      <alignment horizontal="right" vertical="center"/>
    </xf>
    <xf numFmtId="49" fontId="31" fillId="0" borderId="11" xfId="3" applyNumberFormat="1" applyFont="1" applyBorder="1" applyAlignment="1">
      <alignment horizontal="left" vertical="center" wrapText="1"/>
    </xf>
    <xf numFmtId="49" fontId="31" fillId="0" borderId="21" xfId="3" applyNumberFormat="1" applyFont="1" applyBorder="1" applyAlignment="1">
      <alignment horizontal="left" vertical="center"/>
    </xf>
    <xf numFmtId="49" fontId="31" fillId="0" borderId="4" xfId="3" applyNumberFormat="1" applyFont="1" applyBorder="1" applyAlignment="1">
      <alignment vertical="center" wrapText="1"/>
    </xf>
    <xf numFmtId="49" fontId="31" fillId="0" borderId="11" xfId="3" applyNumberFormat="1" applyFont="1" applyBorder="1" applyAlignment="1">
      <alignment horizontal="left" vertical="center"/>
    </xf>
    <xf numFmtId="4" fontId="61" fillId="0" borderId="4" xfId="0" quotePrefix="1" applyNumberFormat="1" applyFont="1" applyBorder="1" applyAlignment="1">
      <alignment horizontal="right" vertical="center"/>
    </xf>
    <xf numFmtId="170" fontId="61" fillId="6" borderId="12" xfId="0" applyNumberFormat="1" applyFont="1" applyFill="1" applyBorder="1" applyAlignment="1">
      <alignment horizontal="left" vertical="center" wrapText="1"/>
    </xf>
    <xf numFmtId="4" fontId="61" fillId="6" borderId="4" xfId="0" quotePrefix="1" applyNumberFormat="1" applyFont="1" applyFill="1" applyBorder="1" applyAlignment="1">
      <alignment horizontal="right" vertical="center"/>
    </xf>
    <xf numFmtId="41" fontId="69" fillId="0" borderId="4" xfId="58" quotePrefix="1" applyFont="1" applyFill="1" applyBorder="1" applyAlignment="1">
      <alignment horizontal="right" vertical="center"/>
    </xf>
    <xf numFmtId="0" fontId="31" fillId="4" borderId="11" xfId="0" applyFont="1" applyFill="1" applyBorder="1" applyAlignment="1">
      <alignment horizontal="left" vertical="center"/>
    </xf>
    <xf numFmtId="0" fontId="50" fillId="0" borderId="12" xfId="0" applyFont="1" applyBorder="1" applyAlignment="1">
      <alignment horizontal="left" vertical="center" wrapText="1"/>
    </xf>
    <xf numFmtId="0" fontId="110" fillId="0" borderId="4" xfId="0" applyFont="1" applyBorder="1" applyAlignment="1">
      <alignment horizontal="left" vertical="center" wrapText="1"/>
    </xf>
    <xf numFmtId="4" fontId="61" fillId="6" borderId="7" xfId="1" quotePrefix="1" applyNumberFormat="1" applyFont="1" applyFill="1" applyBorder="1" applyAlignment="1">
      <alignment horizontal="right" vertical="center"/>
    </xf>
    <xf numFmtId="0" fontId="50" fillId="0" borderId="4" xfId="0" applyFont="1" applyBorder="1" applyAlignment="1">
      <alignment horizontal="left" vertical="center" wrapText="1"/>
    </xf>
    <xf numFmtId="170" fontId="31" fillId="6" borderId="22" xfId="0" applyNumberFormat="1" applyFont="1" applyFill="1" applyBorder="1" applyAlignment="1">
      <alignment horizontal="left" vertical="center" wrapText="1"/>
    </xf>
    <xf numFmtId="4" fontId="61" fillId="6" borderId="4" xfId="1" quotePrefix="1" applyNumberFormat="1" applyFont="1" applyFill="1" applyBorder="1" applyAlignment="1">
      <alignment horizontal="right" vertical="center"/>
    </xf>
    <xf numFmtId="170" fontId="64" fillId="6" borderId="11" xfId="0" applyNumberFormat="1" applyFont="1" applyFill="1" applyBorder="1" applyAlignment="1">
      <alignment horizontal="left" vertical="center" wrapText="1"/>
    </xf>
    <xf numFmtId="0" fontId="31" fillId="0" borderId="12" xfId="0" applyFont="1" applyBorder="1" applyAlignment="1">
      <alignment vertical="center"/>
    </xf>
    <xf numFmtId="0" fontId="31" fillId="0" borderId="4" xfId="0" applyFont="1" applyBorder="1" applyAlignment="1">
      <alignment horizontal="left" vertical="center"/>
    </xf>
    <xf numFmtId="0" fontId="110" fillId="0" borderId="4" xfId="0" quotePrefix="1" applyFont="1" applyBorder="1" applyAlignment="1">
      <alignment horizontal="left" vertical="center"/>
    </xf>
    <xf numFmtId="4" fontId="31" fillId="7" borderId="39" xfId="0" applyNumberFormat="1" applyFont="1" applyFill="1" applyBorder="1" applyAlignment="1">
      <alignment horizontal="right" vertical="center"/>
    </xf>
    <xf numFmtId="166" fontId="31" fillId="0" borderId="22" xfId="1" applyNumberFormat="1" applyFont="1" applyBorder="1" applyAlignment="1">
      <alignment horizontal="right" vertical="center" indent="1"/>
    </xf>
    <xf numFmtId="166" fontId="61" fillId="0" borderId="4" xfId="7" applyNumberFormat="1" applyFont="1" applyFill="1" applyBorder="1" applyAlignment="1">
      <alignment horizontal="right" vertical="center" indent="1"/>
    </xf>
    <xf numFmtId="43" fontId="31" fillId="0" borderId="11" xfId="2" applyFont="1" applyBorder="1" applyAlignment="1">
      <alignment horizontal="left" vertical="center"/>
    </xf>
    <xf numFmtId="39" fontId="62" fillId="0" borderId="4" xfId="0" applyNumberFormat="1" applyFont="1" applyBorder="1" applyAlignment="1">
      <alignment horizontal="right" vertical="center"/>
    </xf>
    <xf numFmtId="165" fontId="61" fillId="0" borderId="4" xfId="17" applyFont="1" applyBorder="1" applyAlignment="1">
      <alignment horizontal="right" vertical="center"/>
    </xf>
    <xf numFmtId="43" fontId="31" fillId="0" borderId="8" xfId="2" applyFont="1" applyBorder="1" applyAlignment="1">
      <alignment horizontal="left" vertical="center"/>
    </xf>
    <xf numFmtId="4" fontId="61" fillId="6" borderId="12" xfId="0" applyNumberFormat="1" applyFont="1" applyFill="1" applyBorder="1" applyAlignment="1">
      <alignment horizontal="right" vertical="center"/>
    </xf>
    <xf numFmtId="4" fontId="61" fillId="0" borderId="8" xfId="0" quotePrefix="1" applyNumberFormat="1" applyFont="1" applyBorder="1" applyAlignment="1">
      <alignment horizontal="right" vertical="center"/>
    </xf>
    <xf numFmtId="20" fontId="31" fillId="0" borderId="11" xfId="0" quotePrefix="1" applyNumberFormat="1" applyFont="1" applyBorder="1" applyAlignment="1">
      <alignment vertical="center" wrapText="1"/>
    </xf>
    <xf numFmtId="0" fontId="31" fillId="0" borderId="11" xfId="0" quotePrefix="1" applyFont="1" applyBorder="1" applyAlignment="1">
      <alignment vertical="center" wrapText="1"/>
    </xf>
    <xf numFmtId="0" fontId="64" fillId="0" borderId="11" xfId="0" applyFont="1" applyBorder="1" applyAlignment="1">
      <alignment horizontal="left" vertical="center" wrapText="1"/>
    </xf>
    <xf numFmtId="0" fontId="64" fillId="0" borderId="12" xfId="0" applyFont="1" applyBorder="1" applyAlignment="1">
      <alignment horizontal="left" vertical="center" wrapText="1"/>
    </xf>
    <xf numFmtId="4" fontId="64" fillId="0" borderId="12" xfId="0" applyNumberFormat="1" applyFont="1" applyFill="1" applyBorder="1" applyAlignment="1">
      <alignment horizontal="right" vertical="center"/>
    </xf>
    <xf numFmtId="4" fontId="69" fillId="0" borderId="4" xfId="0" applyNumberFormat="1" applyFont="1" applyFill="1" applyBorder="1" applyAlignment="1">
      <alignment horizontal="right" vertical="center"/>
    </xf>
    <xf numFmtId="0" fontId="50" fillId="0" borderId="11" xfId="0" applyFont="1" applyFill="1" applyBorder="1" applyAlignment="1">
      <alignment vertical="center" wrapText="1"/>
    </xf>
    <xf numFmtId="0" fontId="50" fillId="0" borderId="8" xfId="0" applyFont="1" applyFill="1" applyBorder="1" applyAlignment="1">
      <alignment vertical="center" wrapText="1"/>
    </xf>
    <xf numFmtId="4" fontId="31" fillId="0" borderId="17" xfId="0" quotePrefix="1" applyNumberFormat="1" applyFont="1" applyFill="1" applyBorder="1" applyAlignment="1">
      <alignment horizontal="right" vertical="center"/>
    </xf>
    <xf numFmtId="166" fontId="31" fillId="7" borderId="11" xfId="1" applyNumberFormat="1" applyFont="1" applyFill="1" applyBorder="1" applyAlignment="1">
      <alignment horizontal="right" vertical="center"/>
    </xf>
    <xf numFmtId="41" fontId="69" fillId="0" borderId="4" xfId="58" applyFont="1" applyFill="1" applyBorder="1" applyAlignment="1">
      <alignment horizontal="left" vertical="center" wrapText="1"/>
    </xf>
    <xf numFmtId="0" fontId="50" fillId="0" borderId="4" xfId="0" applyFont="1" applyFill="1" applyBorder="1" applyAlignment="1">
      <alignment horizontal="left" vertical="center" wrapText="1"/>
    </xf>
    <xf numFmtId="41" fontId="31" fillId="0" borderId="12" xfId="58" applyFont="1" applyFill="1" applyBorder="1" applyAlignment="1">
      <alignment vertical="center"/>
    </xf>
    <xf numFmtId="0" fontId="110" fillId="0" borderId="4" xfId="0" applyFont="1" applyFill="1" applyBorder="1" applyAlignment="1">
      <alignment horizontal="left" vertical="center" wrapText="1"/>
    </xf>
    <xf numFmtId="166" fontId="61" fillId="0" borderId="4" xfId="58" applyNumberFormat="1" applyFont="1" applyFill="1" applyBorder="1" applyAlignment="1">
      <alignment horizontal="right" vertical="center"/>
    </xf>
    <xf numFmtId="0" fontId="31" fillId="3" borderId="4" xfId="0" applyFont="1" applyFill="1" applyBorder="1" applyAlignment="1">
      <alignment horizontal="left" vertical="center" wrapText="1"/>
    </xf>
    <xf numFmtId="4" fontId="31" fillId="3" borderId="7" xfId="0" applyNumberFormat="1" applyFont="1" applyFill="1" applyBorder="1" applyAlignment="1">
      <alignment horizontal="right" vertical="center"/>
    </xf>
    <xf numFmtId="4" fontId="31" fillId="3" borderId="4" xfId="0" applyNumberFormat="1" applyFont="1" applyFill="1" applyBorder="1" applyAlignment="1">
      <alignment horizontal="right" vertical="center"/>
    </xf>
    <xf numFmtId="41" fontId="38" fillId="0" borderId="0" xfId="58" applyFont="1" applyAlignment="1">
      <alignment horizontal="center"/>
    </xf>
    <xf numFmtId="41" fontId="34" fillId="0" borderId="0" xfId="58" applyFont="1" applyAlignment="1">
      <alignment horizontal="right" vertical="center"/>
    </xf>
    <xf numFmtId="41" fontId="50" fillId="0" borderId="46" xfId="58" applyFont="1" applyBorder="1"/>
    <xf numFmtId="41" fontId="70" fillId="0" borderId="7" xfId="58" applyFont="1" applyFill="1" applyBorder="1"/>
    <xf numFmtId="41" fontId="70" fillId="0" borderId="12" xfId="58" applyFont="1" applyFill="1" applyBorder="1"/>
    <xf numFmtId="41" fontId="116" fillId="0" borderId="12" xfId="58" applyFont="1" applyFill="1" applyBorder="1"/>
    <xf numFmtId="41" fontId="64" fillId="0" borderId="4" xfId="58" applyFont="1" applyFill="1" applyBorder="1" applyAlignment="1">
      <alignment horizontal="left" vertical="center" indent="1"/>
    </xf>
    <xf numFmtId="41" fontId="69" fillId="0" borderId="4" xfId="58" applyFont="1" applyFill="1" applyBorder="1"/>
    <xf numFmtId="41" fontId="69" fillId="0" borderId="7" xfId="58" applyFont="1" applyFill="1" applyBorder="1"/>
    <xf numFmtId="41" fontId="69" fillId="0" borderId="12" xfId="58" applyFont="1" applyFill="1" applyBorder="1"/>
    <xf numFmtId="41" fontId="64" fillId="0" borderId="12" xfId="58" applyFont="1" applyFill="1" applyBorder="1"/>
    <xf numFmtId="41" fontId="64" fillId="0" borderId="7" xfId="58" applyFont="1" applyFill="1" applyBorder="1"/>
    <xf numFmtId="41" fontId="63" fillId="0" borderId="4" xfId="58" applyFont="1" applyFill="1" applyBorder="1"/>
    <xf numFmtId="41" fontId="64" fillId="0" borderId="4" xfId="58" applyFont="1" applyFill="1" applyBorder="1" applyAlignment="1">
      <alignment horizontal="right" vertical="center"/>
    </xf>
    <xf numFmtId="41" fontId="70" fillId="0" borderId="25" xfId="58" applyFont="1" applyFill="1" applyBorder="1"/>
    <xf numFmtId="41" fontId="108" fillId="0" borderId="4" xfId="58" applyFont="1" applyFill="1" applyBorder="1"/>
    <xf numFmtId="41" fontId="70" fillId="0" borderId="4" xfId="58" applyFont="1" applyFill="1" applyBorder="1" applyAlignment="1"/>
    <xf numFmtId="41" fontId="38" fillId="0" borderId="8" xfId="58" applyFont="1" applyBorder="1" applyAlignment="1"/>
    <xf numFmtId="41" fontId="34" fillId="0" borderId="0" xfId="58" applyFont="1"/>
    <xf numFmtId="0" fontId="7" fillId="0" borderId="31" xfId="0" applyFont="1" applyBorder="1"/>
    <xf numFmtId="41" fontId="34" fillId="0" borderId="10" xfId="58" quotePrefix="1" applyFont="1" applyBorder="1" applyAlignment="1">
      <alignment horizontal="center" vertical="center"/>
    </xf>
    <xf numFmtId="41" fontId="50" fillId="0" borderId="8" xfId="58" applyFont="1" applyBorder="1"/>
    <xf numFmtId="41" fontId="69" fillId="0" borderId="7" xfId="58" applyFont="1" applyFill="1" applyBorder="1" applyAlignment="1">
      <alignment horizontal="right" vertical="center"/>
    </xf>
    <xf numFmtId="0" fontId="61" fillId="0" borderId="8" xfId="6" applyFont="1" applyBorder="1" applyAlignment="1">
      <alignment vertical="center" wrapText="1"/>
    </xf>
    <xf numFmtId="0" fontId="31" fillId="0" borderId="8" xfId="0" applyFont="1" applyBorder="1" applyAlignment="1">
      <alignment vertical="center"/>
    </xf>
    <xf numFmtId="0" fontId="61" fillId="0" borderId="7" xfId="4" applyFont="1" applyBorder="1" applyAlignment="1">
      <alignment vertical="center" wrapText="1"/>
    </xf>
    <xf numFmtId="0" fontId="61" fillId="0" borderId="7" xfId="4" applyFont="1" applyBorder="1" applyAlignment="1">
      <alignment horizontal="left" vertical="center" wrapText="1"/>
    </xf>
    <xf numFmtId="0" fontId="61" fillId="0" borderId="7" xfId="6" applyFont="1" applyBorder="1" applyAlignment="1">
      <alignment vertical="center" wrapText="1"/>
    </xf>
    <xf numFmtId="166" fontId="34" fillId="4" borderId="8" xfId="0" applyNumberFormat="1" applyFont="1" applyFill="1" applyBorder="1" applyAlignment="1">
      <alignment horizontal="right" vertical="center"/>
    </xf>
    <xf numFmtId="0" fontId="61" fillId="4" borderId="12" xfId="11" applyFont="1" applyFill="1" applyBorder="1" applyAlignment="1">
      <alignment vertical="center" wrapText="1"/>
    </xf>
    <xf numFmtId="166" fontId="31" fillId="7" borderId="39" xfId="1" applyNumberFormat="1" applyFont="1" applyFill="1" applyBorder="1" applyAlignment="1">
      <alignment horizontal="right" vertical="center"/>
    </xf>
    <xf numFmtId="166" fontId="31" fillId="4" borderId="8" xfId="1" applyNumberFormat="1" applyFont="1" applyFill="1" applyBorder="1" applyAlignment="1">
      <alignment horizontal="right" vertical="center"/>
    </xf>
    <xf numFmtId="21" fontId="61" fillId="0" borderId="12" xfId="0" applyNumberFormat="1" applyFont="1" applyBorder="1" applyAlignment="1">
      <alignment horizontal="left" vertical="center" wrapText="1"/>
    </xf>
    <xf numFmtId="0" fontId="61" fillId="0" borderId="7" xfId="0" applyFont="1" applyBorder="1" applyAlignment="1">
      <alignment horizontal="left" vertical="top" wrapText="1"/>
    </xf>
    <xf numFmtId="39" fontId="31" fillId="0" borderId="8" xfId="0" applyNumberFormat="1" applyFont="1" applyFill="1" applyBorder="1" applyAlignment="1">
      <alignment vertical="center"/>
    </xf>
    <xf numFmtId="49" fontId="31" fillId="0" borderId="7" xfId="3" applyNumberFormat="1" applyFont="1" applyBorder="1" applyAlignment="1">
      <alignment vertical="center" wrapText="1"/>
    </xf>
    <xf numFmtId="4" fontId="62" fillId="0" borderId="7" xfId="0" applyNumberFormat="1" applyFont="1" applyFill="1" applyBorder="1" applyAlignment="1">
      <alignment horizontal="right" vertical="center"/>
    </xf>
    <xf numFmtId="0" fontId="38" fillId="0" borderId="8" xfId="0" applyFont="1" applyBorder="1" applyAlignment="1">
      <alignment horizontal="left" vertical="center" wrapText="1"/>
    </xf>
    <xf numFmtId="0" fontId="38" fillId="0" borderId="8" xfId="0" applyFont="1" applyBorder="1" applyAlignment="1">
      <alignment vertical="center"/>
    </xf>
    <xf numFmtId="0" fontId="31" fillId="7" borderId="39" xfId="0" applyFont="1" applyFill="1" applyBorder="1" applyAlignment="1">
      <alignment vertical="center" wrapText="1"/>
    </xf>
    <xf numFmtId="43" fontId="61" fillId="0" borderId="7" xfId="2" applyFont="1" applyBorder="1" applyAlignment="1">
      <alignment horizontal="left" vertical="center"/>
    </xf>
    <xf numFmtId="4" fontId="31" fillId="7" borderId="11" xfId="0" applyNumberFormat="1" applyFont="1" applyFill="1" applyBorder="1" applyAlignment="1">
      <alignment horizontal="right" vertical="center"/>
    </xf>
    <xf numFmtId="4" fontId="64" fillId="0" borderId="11" xfId="0" applyNumberFormat="1" applyFont="1" applyFill="1" applyBorder="1" applyAlignment="1">
      <alignment horizontal="right" vertical="center"/>
    </xf>
    <xf numFmtId="0" fontId="64" fillId="0" borderId="11" xfId="0" applyFont="1" applyFill="1" applyBorder="1" applyAlignment="1">
      <alignment horizontal="left" vertical="center" wrapText="1"/>
    </xf>
    <xf numFmtId="41" fontId="38" fillId="0" borderId="46" xfId="58" applyFont="1" applyBorder="1"/>
    <xf numFmtId="0" fontId="109" fillId="0" borderId="8" xfId="0" applyFont="1" applyBorder="1" applyAlignment="1">
      <alignment horizontal="left" vertical="center" wrapText="1"/>
    </xf>
    <xf numFmtId="165" fontId="61" fillId="0" borderId="7" xfId="0" applyNumberFormat="1" applyFont="1" applyBorder="1" applyAlignment="1">
      <alignment horizontal="right" vertical="center"/>
    </xf>
    <xf numFmtId="166" fontId="61" fillId="0" borderId="8" xfId="0" applyNumberFormat="1" applyFont="1" applyBorder="1" applyAlignment="1"/>
    <xf numFmtId="166" fontId="61" fillId="4" borderId="7" xfId="0" applyNumberFormat="1" applyFont="1" applyFill="1" applyBorder="1" applyAlignment="1"/>
    <xf numFmtId="166" fontId="61" fillId="0" borderId="27" xfId="0" applyNumberFormat="1" applyFont="1" applyBorder="1"/>
    <xf numFmtId="166" fontId="39" fillId="0" borderId="8" xfId="0" applyNumberFormat="1" applyFont="1" applyBorder="1" applyAlignment="1">
      <alignment horizontal="right"/>
    </xf>
    <xf numFmtId="4" fontId="39" fillId="6" borderId="8" xfId="0" applyNumberFormat="1" applyFont="1" applyFill="1" applyBorder="1" applyAlignment="1">
      <alignment vertical="center"/>
    </xf>
    <xf numFmtId="166" fontId="39" fillId="0" borderId="11" xfId="0" applyNumberFormat="1" applyFont="1" applyBorder="1" applyAlignment="1">
      <alignment horizontal="right"/>
    </xf>
    <xf numFmtId="43" fontId="43" fillId="0" borderId="22" xfId="2" applyFont="1" applyBorder="1" applyAlignment="1">
      <alignment horizontal="right" vertical="center"/>
    </xf>
    <xf numFmtId="43" fontId="43" fillId="0" borderId="22" xfId="2" applyFont="1" applyBorder="1" applyAlignment="1">
      <alignment vertical="center"/>
    </xf>
    <xf numFmtId="166" fontId="43" fillId="0" borderId="22" xfId="0" applyNumberFormat="1" applyFont="1" applyBorder="1" applyAlignment="1">
      <alignment horizontal="right"/>
    </xf>
    <xf numFmtId="4" fontId="43" fillId="6" borderId="22" xfId="0" applyNumberFormat="1" applyFont="1" applyFill="1" applyBorder="1" applyAlignment="1">
      <alignment vertical="center"/>
    </xf>
    <xf numFmtId="4" fontId="43" fillId="0" borderId="22" xfId="1" applyNumberFormat="1" applyFont="1" applyBorder="1" applyAlignment="1">
      <alignment vertical="center"/>
    </xf>
    <xf numFmtId="43" fontId="31" fillId="0" borderId="8" xfId="0" applyNumberFormat="1" applyFont="1" applyFill="1" applyBorder="1" applyAlignment="1">
      <alignment horizontal="right" vertical="center"/>
    </xf>
    <xf numFmtId="43" fontId="61" fillId="0" borderId="4" xfId="0" applyNumberFormat="1" applyFont="1" applyFill="1" applyBorder="1" applyAlignment="1">
      <alignment horizontal="right" vertical="center"/>
    </xf>
    <xf numFmtId="43" fontId="31" fillId="0" borderId="4" xfId="0" applyNumberFormat="1" applyFont="1" applyFill="1" applyBorder="1" applyAlignment="1">
      <alignment horizontal="right" vertical="center"/>
    </xf>
    <xf numFmtId="43" fontId="31" fillId="0" borderId="11" xfId="0" applyNumberFormat="1" applyFont="1" applyBorder="1" applyAlignment="1">
      <alignment horizontal="left" vertical="center"/>
    </xf>
    <xf numFmtId="43" fontId="31" fillId="5" borderId="11" xfId="0" applyNumberFormat="1" applyFont="1" applyFill="1" applyBorder="1" applyAlignment="1">
      <alignment horizontal="left" vertical="center"/>
    </xf>
    <xf numFmtId="166" fontId="61" fillId="0" borderId="8" xfId="1" applyNumberFormat="1" applyFont="1" applyBorder="1" applyAlignment="1">
      <alignment horizontal="left" vertical="center"/>
    </xf>
    <xf numFmtId="166" fontId="31" fillId="0" borderId="8" xfId="1" applyNumberFormat="1" applyFont="1" applyBorder="1" applyAlignment="1">
      <alignment horizontal="left" vertical="center"/>
    </xf>
    <xf numFmtId="43" fontId="61" fillId="0" borderId="8" xfId="0" applyNumberFormat="1" applyFont="1" applyFill="1" applyBorder="1" applyAlignment="1">
      <alignment horizontal="left" vertical="center"/>
    </xf>
    <xf numFmtId="43" fontId="61" fillId="0" borderId="8" xfId="0" applyNumberFormat="1" applyFont="1" applyBorder="1" applyAlignment="1">
      <alignment horizontal="left" vertical="center"/>
    </xf>
    <xf numFmtId="43" fontId="31" fillId="0" borderId="8" xfId="2" applyFont="1" applyBorder="1" applyAlignment="1">
      <alignment horizontal="right" vertical="center"/>
    </xf>
    <xf numFmtId="43" fontId="61" fillId="0" borderId="7" xfId="0" applyNumberFormat="1" applyFont="1" applyFill="1" applyBorder="1" applyAlignment="1">
      <alignment horizontal="left" vertical="center"/>
    </xf>
    <xf numFmtId="0" fontId="61" fillId="0" borderId="8" xfId="0" applyFont="1" applyFill="1" applyBorder="1" applyAlignment="1">
      <alignment vertical="center" wrapText="1"/>
    </xf>
    <xf numFmtId="166" fontId="61" fillId="0" borderId="25" xfId="1" applyNumberFormat="1" applyFont="1" applyFill="1" applyBorder="1" applyAlignment="1">
      <alignment horizontal="left" vertical="center"/>
    </xf>
    <xf numFmtId="166" fontId="31" fillId="0" borderId="17" xfId="1" applyNumberFormat="1" applyFont="1" applyFill="1" applyBorder="1" applyAlignment="1">
      <alignment vertical="center"/>
    </xf>
    <xf numFmtId="0" fontId="31" fillId="12" borderId="11" xfId="0" applyFont="1" applyFill="1" applyBorder="1" applyAlignment="1">
      <alignment horizontal="left" vertical="center" wrapText="1"/>
    </xf>
    <xf numFmtId="43" fontId="31" fillId="12" borderId="11" xfId="0" applyNumberFormat="1" applyFont="1" applyFill="1" applyBorder="1" applyAlignment="1">
      <alignment horizontal="left" vertical="center"/>
    </xf>
    <xf numFmtId="166" fontId="31" fillId="12" borderId="11" xfId="1" applyNumberFormat="1" applyFont="1" applyFill="1" applyBorder="1" applyAlignment="1">
      <alignment horizontal="right" vertical="center"/>
    </xf>
    <xf numFmtId="166" fontId="61" fillId="0" borderId="8" xfId="0" applyNumberFormat="1" applyFont="1" applyFill="1" applyBorder="1" applyAlignment="1">
      <alignment horizontal="right" vertical="center"/>
    </xf>
    <xf numFmtId="39" fontId="31" fillId="0" borderId="21" xfId="0" applyNumberFormat="1" applyFont="1" applyBorder="1" applyAlignment="1">
      <alignment horizontal="right" vertical="center"/>
    </xf>
    <xf numFmtId="39" fontId="34" fillId="0" borderId="8" xfId="0" applyNumberFormat="1" applyFont="1" applyBorder="1" applyAlignment="1">
      <alignment horizontal="right" vertical="center"/>
    </xf>
    <xf numFmtId="39" fontId="31" fillId="5" borderId="11" xfId="0" applyNumberFormat="1" applyFont="1" applyFill="1" applyBorder="1" applyAlignment="1">
      <alignment vertical="center"/>
    </xf>
    <xf numFmtId="0" fontId="62" fillId="0" borderId="7" xfId="3" applyFont="1" applyBorder="1" applyAlignment="1">
      <alignment vertical="center" wrapText="1"/>
    </xf>
    <xf numFmtId="43" fontId="31" fillId="5" borderId="11" xfId="2" applyFont="1" applyFill="1" applyBorder="1" applyAlignment="1">
      <alignment horizontal="left" vertical="center"/>
    </xf>
    <xf numFmtId="166" fontId="31" fillId="5" borderId="22" xfId="1" applyNumberFormat="1" applyFont="1" applyFill="1" applyBorder="1" applyAlignment="1">
      <alignment horizontal="right" vertical="center"/>
    </xf>
    <xf numFmtId="0" fontId="31" fillId="5" borderId="11" xfId="0" applyFont="1" applyFill="1" applyBorder="1" applyAlignment="1">
      <alignment vertical="center" wrapText="1"/>
    </xf>
    <xf numFmtId="43" fontId="62" fillId="0" borderId="8" xfId="2" applyFont="1" applyBorder="1" applyAlignment="1">
      <alignment horizontal="left" vertical="center"/>
    </xf>
    <xf numFmtId="43" fontId="61" fillId="0" borderId="8" xfId="2" applyFont="1" applyBorder="1" applyAlignment="1">
      <alignment horizontal="left" vertical="center"/>
    </xf>
    <xf numFmtId="4" fontId="31" fillId="0" borderId="11" xfId="56" applyNumberFormat="1" applyFont="1" applyFill="1" applyBorder="1" applyAlignment="1">
      <alignment vertical="center"/>
    </xf>
    <xf numFmtId="166" fontId="31" fillId="0" borderId="17" xfId="1" applyNumberFormat="1" applyFont="1" applyFill="1" applyBorder="1" applyAlignment="1">
      <alignment horizontal="right" vertical="center"/>
    </xf>
    <xf numFmtId="0" fontId="31" fillId="0" borderId="45" xfId="0" applyFont="1" applyBorder="1" applyAlignment="1">
      <alignment horizontal="center" vertical="center" wrapText="1"/>
    </xf>
    <xf numFmtId="166" fontId="31" fillId="0" borderId="45" xfId="1" applyNumberFormat="1" applyFont="1" applyBorder="1" applyAlignment="1">
      <alignment vertical="center"/>
    </xf>
    <xf numFmtId="166" fontId="31" fillId="0" borderId="45" xfId="1" applyNumberFormat="1" applyFont="1" applyFill="1" applyBorder="1" applyAlignment="1">
      <alignment horizontal="right" vertical="center"/>
    </xf>
    <xf numFmtId="0" fontId="34" fillId="0" borderId="0" xfId="0" applyNumberFormat="1" applyFont="1" applyBorder="1" applyAlignment="1">
      <alignment horizontal="left" vertical="center" wrapText="1"/>
    </xf>
    <xf numFmtId="43" fontId="61" fillId="0" borderId="0" xfId="0" applyNumberFormat="1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 wrapText="1"/>
    </xf>
    <xf numFmtId="166" fontId="34" fillId="0" borderId="0" xfId="1" applyNumberFormat="1" applyFont="1" applyBorder="1" applyAlignment="1">
      <alignment horizontal="left" vertical="center"/>
    </xf>
    <xf numFmtId="0" fontId="3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left" vertical="center"/>
    </xf>
    <xf numFmtId="166" fontId="34" fillId="0" borderId="0" xfId="1" applyNumberFormat="1" applyFont="1" applyBorder="1" applyAlignment="1">
      <alignment vertical="center" wrapText="1"/>
    </xf>
    <xf numFmtId="43" fontId="30" fillId="0" borderId="11" xfId="2" applyFont="1" applyBorder="1" applyAlignment="1">
      <alignment vertical="center"/>
    </xf>
    <xf numFmtId="0" fontId="110" fillId="0" borderId="20" xfId="0" applyFont="1" applyFill="1" applyBorder="1" applyAlignment="1">
      <alignment vertical="center"/>
    </xf>
    <xf numFmtId="4" fontId="34" fillId="0" borderId="0" xfId="0" applyNumberFormat="1" applyFont="1" applyBorder="1" applyAlignment="1">
      <alignment horizontal="right" vertical="center"/>
    </xf>
    <xf numFmtId="0" fontId="43" fillId="6" borderId="25" xfId="0" applyFont="1" applyFill="1" applyBorder="1" applyAlignment="1">
      <alignment vertical="top" wrapText="1"/>
    </xf>
    <xf numFmtId="0" fontId="63" fillId="0" borderId="8" xfId="0" applyFont="1" applyBorder="1" applyAlignment="1">
      <alignment horizontal="left" vertical="center" wrapText="1"/>
    </xf>
    <xf numFmtId="165" fontId="61" fillId="0" borderId="12" xfId="18" applyFont="1" applyBorder="1" applyAlignment="1">
      <alignment vertical="center"/>
    </xf>
    <xf numFmtId="165" fontId="61" fillId="0" borderId="8" xfId="32" applyFont="1" applyBorder="1" applyAlignment="1">
      <alignment vertical="center"/>
    </xf>
    <xf numFmtId="165" fontId="31" fillId="0" borderId="4" xfId="32" applyFont="1" applyBorder="1" applyAlignment="1">
      <alignment vertical="center"/>
    </xf>
    <xf numFmtId="165" fontId="61" fillId="0" borderId="8" xfId="34" applyFont="1" applyBorder="1" applyAlignment="1">
      <alignment vertical="center"/>
    </xf>
    <xf numFmtId="165" fontId="31" fillId="0" borderId="8" xfId="34" applyFont="1" applyBorder="1" applyAlignment="1">
      <alignment vertical="center"/>
    </xf>
    <xf numFmtId="165" fontId="61" fillId="0" borderId="7" xfId="35" applyFont="1" applyBorder="1" applyAlignment="1">
      <alignment vertical="center"/>
    </xf>
    <xf numFmtId="0" fontId="7" fillId="0" borderId="4" xfId="0" applyFont="1" applyBorder="1"/>
    <xf numFmtId="0" fontId="21" fillId="0" borderId="4" xfId="0" applyFont="1" applyBorder="1"/>
    <xf numFmtId="0" fontId="9" fillId="0" borderId="4" xfId="0" applyFont="1" applyBorder="1"/>
    <xf numFmtId="166" fontId="9" fillId="0" borderId="4" xfId="1" applyNumberFormat="1" applyFont="1" applyBorder="1"/>
    <xf numFmtId="49" fontId="61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166" fontId="5" fillId="0" borderId="4" xfId="1" applyNumberFormat="1" applyFont="1" applyBorder="1"/>
    <xf numFmtId="41" fontId="31" fillId="0" borderId="8" xfId="58" applyFont="1" applyFill="1" applyBorder="1" applyAlignment="1">
      <alignment horizontal="center" vertical="center" wrapText="1"/>
    </xf>
    <xf numFmtId="41" fontId="31" fillId="2" borderId="7" xfId="58" applyFont="1" applyFill="1" applyBorder="1" applyAlignment="1">
      <alignment vertical="center"/>
    </xf>
    <xf numFmtId="41" fontId="31" fillId="0" borderId="11" xfId="58" applyFont="1" applyFill="1" applyBorder="1" applyAlignment="1">
      <alignment horizontal="left" vertical="center" indent="1"/>
    </xf>
    <xf numFmtId="41" fontId="31" fillId="0" borderId="4" xfId="58" applyFont="1" applyFill="1" applyBorder="1" applyAlignment="1">
      <alignment horizontal="left" vertical="center" indent="1"/>
    </xf>
    <xf numFmtId="41" fontId="31" fillId="0" borderId="8" xfId="58" applyFont="1" applyFill="1" applyBorder="1" applyAlignment="1">
      <alignment horizontal="left" vertical="center" indent="1"/>
    </xf>
    <xf numFmtId="41" fontId="31" fillId="0" borderId="12" xfId="58" applyFont="1" applyFill="1" applyBorder="1" applyAlignment="1">
      <alignment horizontal="left" vertical="center" indent="1"/>
    </xf>
    <xf numFmtId="41" fontId="31" fillId="0" borderId="8" xfId="58" applyFont="1" applyFill="1" applyBorder="1" applyAlignment="1">
      <alignment vertical="center"/>
    </xf>
    <xf numFmtId="41" fontId="31" fillId="0" borderId="11" xfId="58" applyFont="1" applyFill="1" applyBorder="1" applyAlignment="1">
      <alignment vertical="center"/>
    </xf>
    <xf numFmtId="41" fontId="31" fillId="0" borderId="4" xfId="58" applyFont="1" applyFill="1" applyBorder="1" applyAlignment="1">
      <alignment vertical="center"/>
    </xf>
    <xf numFmtId="41" fontId="62" fillId="0" borderId="8" xfId="58" applyFont="1" applyFill="1" applyBorder="1" applyAlignment="1">
      <alignment horizontal="left" vertical="center" indent="1"/>
    </xf>
    <xf numFmtId="41" fontId="31" fillId="0" borderId="4" xfId="58" applyFont="1" applyFill="1" applyBorder="1" applyAlignment="1">
      <alignment horizontal="right" vertical="center"/>
    </xf>
    <xf numFmtId="41" fontId="31" fillId="0" borderId="11" xfId="58" applyFont="1" applyFill="1" applyBorder="1" applyAlignment="1">
      <alignment horizontal="right" vertical="center"/>
    </xf>
    <xf numFmtId="41" fontId="31" fillId="0" borderId="12" xfId="58" applyFont="1" applyBorder="1" applyAlignment="1">
      <alignment vertical="center" wrapText="1"/>
    </xf>
    <xf numFmtId="41" fontId="31" fillId="0" borderId="4" xfId="58" applyFont="1" applyBorder="1" applyAlignment="1">
      <alignment vertical="center" wrapText="1"/>
    </xf>
    <xf numFmtId="41" fontId="31" fillId="0" borderId="21" xfId="58" applyFont="1" applyBorder="1" applyAlignment="1">
      <alignment vertical="center" wrapText="1"/>
    </xf>
    <xf numFmtId="41" fontId="31" fillId="0" borderId="8" xfId="58" applyFont="1" applyFill="1" applyBorder="1" applyAlignment="1">
      <alignment horizontal="right" vertical="center"/>
    </xf>
    <xf numFmtId="41" fontId="31" fillId="0" borderId="12" xfId="58" applyFont="1" applyBorder="1" applyAlignment="1">
      <alignment horizontal="left" vertical="center" wrapText="1"/>
    </xf>
    <xf numFmtId="41" fontId="31" fillId="0" borderId="12" xfId="58" applyFont="1" applyFill="1" applyBorder="1" applyAlignment="1">
      <alignment horizontal="right" vertical="center"/>
    </xf>
    <xf numFmtId="41" fontId="31" fillId="0" borderId="21" xfId="58" applyFont="1" applyBorder="1" applyAlignment="1">
      <alignment horizontal="left" vertical="center" wrapText="1"/>
    </xf>
    <xf numFmtId="41" fontId="31" fillId="0" borderId="11" xfId="58" applyFont="1" applyBorder="1" applyAlignment="1">
      <alignment vertical="center" wrapText="1"/>
    </xf>
    <xf numFmtId="41" fontId="31" fillId="0" borderId="11" xfId="58" applyFont="1" applyBorder="1" applyAlignment="1">
      <alignment vertical="center"/>
    </xf>
    <xf numFmtId="41" fontId="31" fillId="0" borderId="8" xfId="58" applyFont="1" applyBorder="1" applyAlignment="1">
      <alignment horizontal="right" vertical="center"/>
    </xf>
    <xf numFmtId="41" fontId="31" fillId="0" borderId="4" xfId="58" applyFont="1" applyBorder="1" applyAlignment="1">
      <alignment horizontal="right" vertical="center" wrapText="1"/>
    </xf>
    <xf numFmtId="41" fontId="31" fillId="0" borderId="7" xfId="58" applyFont="1" applyFill="1" applyBorder="1" applyAlignment="1">
      <alignment horizontal="left" vertical="center" indent="1"/>
    </xf>
    <xf numFmtId="41" fontId="61" fillId="0" borderId="4" xfId="58" applyFont="1" applyBorder="1" applyAlignment="1">
      <alignment horizontal="left" vertical="center" indent="1"/>
    </xf>
    <xf numFmtId="41" fontId="31" fillId="0" borderId="7" xfId="58" applyFont="1" applyBorder="1" applyAlignment="1">
      <alignment horizontal="left" vertical="center" indent="1"/>
    </xf>
    <xf numFmtId="41" fontId="31" fillId="0" borderId="11" xfId="58" applyFont="1" applyBorder="1" applyAlignment="1">
      <alignment horizontal="left" vertical="center" indent="1"/>
    </xf>
    <xf numFmtId="41" fontId="31" fillId="0" borderId="8" xfId="58" applyFont="1" applyBorder="1" applyAlignment="1">
      <alignment horizontal="left" vertical="center" indent="1"/>
    </xf>
    <xf numFmtId="41" fontId="31" fillId="0" borderId="4" xfId="58" applyFont="1" applyBorder="1" applyAlignment="1">
      <alignment horizontal="right" vertical="center"/>
    </xf>
    <xf numFmtId="41" fontId="31" fillId="0" borderId="4" xfId="58" applyFont="1" applyBorder="1" applyAlignment="1">
      <alignment horizontal="left" vertical="center" indent="1"/>
    </xf>
    <xf numFmtId="41" fontId="31" fillId="0" borderId="11" xfId="58" applyFont="1" applyBorder="1" applyAlignment="1">
      <alignment vertical="top" wrapText="1"/>
    </xf>
    <xf numFmtId="41" fontId="31" fillId="0" borderId="12" xfId="58" applyFont="1" applyBorder="1" applyAlignment="1">
      <alignment horizontal="left" vertical="center" indent="1"/>
    </xf>
    <xf numFmtId="41" fontId="31" fillId="0" borderId="8" xfId="58" applyFont="1" applyBorder="1" applyAlignment="1">
      <alignment horizontal="right" vertical="center" wrapText="1"/>
    </xf>
    <xf numFmtId="41" fontId="31" fillId="0" borderId="11" xfId="58" applyFont="1" applyBorder="1" applyAlignment="1">
      <alignment horizontal="right" vertical="center" wrapText="1"/>
    </xf>
    <xf numFmtId="41" fontId="31" fillId="0" borderId="22" xfId="58" applyFont="1" applyBorder="1" applyAlignment="1">
      <alignment horizontal="left" vertical="center" indent="1"/>
    </xf>
    <xf numFmtId="41" fontId="31" fillId="0" borderId="7" xfId="58" applyFont="1" applyBorder="1"/>
    <xf numFmtId="41" fontId="31" fillId="0" borderId="8" xfId="58" applyFont="1" applyBorder="1"/>
    <xf numFmtId="41" fontId="31" fillId="0" borderId="4" xfId="58" applyFont="1" applyBorder="1" applyAlignment="1">
      <alignment vertical="center"/>
    </xf>
    <xf numFmtId="41" fontId="31" fillId="0" borderId="4" xfId="58" applyFont="1" applyBorder="1"/>
    <xf numFmtId="41" fontId="31" fillId="0" borderId="11" xfId="58" applyFont="1" applyBorder="1"/>
    <xf numFmtId="41" fontId="31" fillId="0" borderId="8" xfId="58" applyFont="1" applyBorder="1" applyAlignment="1">
      <alignment vertical="center"/>
    </xf>
    <xf numFmtId="41" fontId="31" fillId="0" borderId="12" xfId="58" applyFont="1" applyBorder="1" applyAlignment="1">
      <alignment vertical="center"/>
    </xf>
    <xf numFmtId="41" fontId="31" fillId="0" borderId="11" xfId="58" applyFont="1" applyBorder="1" applyAlignment="1">
      <alignment horizontal="center" vertical="center"/>
    </xf>
    <xf numFmtId="41" fontId="31" fillId="0" borderId="21" xfId="58" applyFont="1" applyBorder="1"/>
    <xf numFmtId="41" fontId="62" fillId="0" borderId="4" xfId="58" applyFont="1" applyBorder="1" applyAlignment="1">
      <alignment horizontal="left" vertical="center" indent="1"/>
    </xf>
    <xf numFmtId="41" fontId="62" fillId="0" borderId="12" xfId="58" applyFont="1" applyBorder="1"/>
    <xf numFmtId="41" fontId="31" fillId="0" borderId="12" xfId="58" applyFont="1" applyBorder="1"/>
    <xf numFmtId="41" fontId="62" fillId="0" borderId="11" xfId="58" applyFont="1" applyBorder="1" applyAlignment="1">
      <alignment horizontal="left" vertical="center" indent="1"/>
    </xf>
    <xf numFmtId="41" fontId="62" fillId="0" borderId="8" xfId="58" applyFont="1" applyBorder="1" applyAlignment="1">
      <alignment horizontal="left" vertical="center" indent="1"/>
    </xf>
    <xf numFmtId="41" fontId="31" fillId="6" borderId="7" xfId="58" applyFont="1" applyFill="1" applyBorder="1" applyAlignment="1">
      <alignment horizontal="right" vertical="center"/>
    </xf>
    <xf numFmtId="41" fontId="34" fillId="0" borderId="4" xfId="58" applyFont="1" applyBorder="1" applyAlignment="1">
      <alignment horizontal="right" vertical="center"/>
    </xf>
    <xf numFmtId="41" fontId="31" fillId="0" borderId="12" xfId="58" applyFont="1" applyBorder="1" applyAlignment="1">
      <alignment horizontal="right" vertical="center"/>
    </xf>
    <xf numFmtId="41" fontId="62" fillId="0" borderId="4" xfId="58" applyFont="1" applyFill="1" applyBorder="1" applyAlignment="1">
      <alignment horizontal="left" vertical="center" indent="1"/>
    </xf>
    <xf numFmtId="41" fontId="62" fillId="0" borderId="17" xfId="58" applyFont="1" applyBorder="1" applyAlignment="1">
      <alignment vertical="center" wrapText="1"/>
    </xf>
    <xf numFmtId="41" fontId="31" fillId="0" borderId="21" xfId="58" applyFont="1" applyBorder="1" applyAlignment="1">
      <alignment vertical="top" wrapText="1"/>
    </xf>
    <xf numFmtId="41" fontId="31" fillId="0" borderId="4" xfId="58" applyFont="1" applyBorder="1" applyAlignment="1">
      <alignment vertical="top"/>
    </xf>
    <xf numFmtId="41" fontId="31" fillId="0" borderId="4" xfId="58" applyFont="1" applyBorder="1" applyAlignment="1">
      <alignment horizontal="right" vertical="top"/>
    </xf>
    <xf numFmtId="41" fontId="31" fillId="0" borderId="7" xfId="58" applyFont="1" applyBorder="1" applyAlignment="1">
      <alignment vertical="top"/>
    </xf>
    <xf numFmtId="41" fontId="31" fillId="0" borderId="21" xfId="58" applyFont="1" applyBorder="1" applyAlignment="1">
      <alignment vertical="center"/>
    </xf>
    <xf numFmtId="41" fontId="31" fillId="0" borderId="21" xfId="58" applyFont="1" applyBorder="1" applyAlignment="1">
      <alignment vertical="top"/>
    </xf>
    <xf numFmtId="41" fontId="31" fillId="0" borderId="12" xfId="58" applyFont="1" applyBorder="1" applyAlignment="1">
      <alignment vertical="top"/>
    </xf>
    <xf numFmtId="41" fontId="31" fillId="0" borderId="4" xfId="58" applyFont="1" applyBorder="1" applyAlignment="1">
      <alignment vertical="top" wrapText="1"/>
    </xf>
    <xf numFmtId="41" fontId="31" fillId="0" borderId="11" xfId="58" applyFont="1" applyBorder="1" applyAlignment="1">
      <alignment vertical="top"/>
    </xf>
    <xf numFmtId="41" fontId="31" fillId="0" borderId="17" xfId="58" applyFont="1" applyBorder="1" applyAlignment="1">
      <alignment vertical="top"/>
    </xf>
    <xf numFmtId="41" fontId="31" fillId="0" borderId="11" xfId="58" applyFont="1" applyBorder="1" applyAlignment="1">
      <alignment horizontal="right" vertical="center"/>
    </xf>
    <xf numFmtId="41" fontId="31" fillId="0" borderId="8" xfId="58" applyFont="1" applyBorder="1" applyAlignment="1">
      <alignment vertical="top"/>
    </xf>
    <xf numFmtId="41" fontId="31" fillId="0" borderId="11" xfId="58" applyFont="1" applyBorder="1" applyAlignment="1">
      <alignment horizontal="right" vertical="top"/>
    </xf>
    <xf numFmtId="41" fontId="31" fillId="0" borderId="8" xfId="58" applyFont="1" applyBorder="1" applyAlignment="1">
      <alignment horizontal="right" vertical="top"/>
    </xf>
    <xf numFmtId="41" fontId="62" fillId="0" borderId="11" xfId="58" applyFont="1" applyBorder="1" applyAlignment="1">
      <alignment horizontal="right" vertical="top"/>
    </xf>
    <xf numFmtId="41" fontId="31" fillId="0" borderId="22" xfId="58" applyFont="1" applyFill="1" applyBorder="1" applyAlignment="1">
      <alignment horizontal="right" vertical="center"/>
    </xf>
    <xf numFmtId="41" fontId="31" fillId="0" borderId="4" xfId="58" applyFont="1" applyFill="1" applyBorder="1" applyAlignment="1">
      <alignment vertical="top"/>
    </xf>
    <xf numFmtId="41" fontId="63" fillId="0" borderId="4" xfId="58" applyFont="1" applyFill="1" applyBorder="1" applyAlignment="1">
      <alignment horizontal="right" vertical="center"/>
    </xf>
    <xf numFmtId="41" fontId="31" fillId="0" borderId="22" xfId="58" applyFont="1" applyFill="1" applyBorder="1" applyAlignment="1">
      <alignment vertical="top"/>
    </xf>
    <xf numFmtId="41" fontId="31" fillId="6" borderId="11" xfId="58" applyFont="1" applyFill="1" applyBorder="1" applyAlignment="1">
      <alignment horizontal="right" vertical="center"/>
    </xf>
    <xf numFmtId="41" fontId="31" fillId="6" borderId="4" xfId="58" applyFont="1" applyFill="1" applyBorder="1" applyAlignment="1">
      <alignment horizontal="right" vertical="center"/>
    </xf>
    <xf numFmtId="41" fontId="31" fillId="6" borderId="12" xfId="58" applyFont="1" applyFill="1" applyBorder="1" applyAlignment="1">
      <alignment horizontal="right" vertical="center"/>
    </xf>
    <xf numFmtId="41" fontId="31" fillId="6" borderId="8" xfId="58" applyFont="1" applyFill="1" applyBorder="1" applyAlignment="1">
      <alignment horizontal="right" vertical="center"/>
    </xf>
    <xf numFmtId="41" fontId="61" fillId="0" borderId="4" xfId="58" applyFont="1" applyFill="1" applyBorder="1" applyAlignment="1">
      <alignment vertical="center" wrapText="1"/>
    </xf>
    <xf numFmtId="41" fontId="31" fillId="0" borderId="4" xfId="58" applyFont="1" applyFill="1" applyBorder="1" applyAlignment="1">
      <alignment horizontal="right" vertical="center" wrapText="1"/>
    </xf>
    <xf numFmtId="41" fontId="62" fillId="0" borderId="4" xfId="58" applyFont="1" applyFill="1" applyBorder="1" applyAlignment="1">
      <alignment vertical="center" wrapText="1"/>
    </xf>
    <xf numFmtId="41" fontId="31" fillId="0" borderId="4" xfId="58" applyFont="1" applyFill="1" applyBorder="1" applyAlignment="1">
      <alignment vertical="center" wrapText="1"/>
    </xf>
    <xf numFmtId="41" fontId="31" fillId="0" borderId="21" xfId="58" applyFont="1" applyBorder="1" applyAlignment="1">
      <alignment horizontal="right" vertical="center"/>
    </xf>
    <xf numFmtId="41" fontId="31" fillId="0" borderId="21" xfId="58" applyFont="1" applyFill="1" applyBorder="1" applyAlignment="1">
      <alignment vertical="center" wrapText="1"/>
    </xf>
    <xf numFmtId="41" fontId="31" fillId="0" borderId="7" xfId="58" applyFont="1" applyFill="1" applyBorder="1" applyAlignment="1">
      <alignment vertical="center" wrapText="1"/>
    </xf>
    <xf numFmtId="41" fontId="31" fillId="0" borderId="8" xfId="58" applyFont="1" applyFill="1" applyBorder="1" applyAlignment="1">
      <alignment vertical="center" wrapText="1"/>
    </xf>
    <xf numFmtId="41" fontId="31" fillId="0" borderId="12" xfId="58" applyFont="1" applyFill="1" applyBorder="1" applyAlignment="1">
      <alignment vertical="center" wrapText="1"/>
    </xf>
    <xf numFmtId="41" fontId="31" fillId="0" borderId="17" xfId="58" applyFont="1" applyBorder="1"/>
    <xf numFmtId="41" fontId="31" fillId="0" borderId="11" xfId="58" applyFont="1" applyFill="1" applyBorder="1"/>
    <xf numFmtId="41" fontId="31" fillId="0" borderId="7" xfId="58" applyFont="1" applyFill="1" applyBorder="1" applyAlignment="1">
      <alignment horizontal="right" vertical="center"/>
    </xf>
    <xf numFmtId="41" fontId="31" fillId="0" borderId="7" xfId="58" applyFont="1" applyBorder="1" applyAlignment="1">
      <alignment horizontal="right" vertical="center"/>
    </xf>
    <xf numFmtId="41" fontId="31" fillId="0" borderId="21" xfId="58" applyFont="1" applyFill="1" applyBorder="1" applyAlignment="1">
      <alignment horizontal="right" vertical="center"/>
    </xf>
    <xf numFmtId="41" fontId="63" fillId="0" borderId="11" xfId="58" applyFont="1" applyBorder="1" applyAlignment="1">
      <alignment horizontal="left" vertical="center" indent="1"/>
    </xf>
    <xf numFmtId="41" fontId="31" fillId="0" borderId="8" xfId="58" applyFont="1" applyBorder="1" applyAlignment="1">
      <alignment horizontal="center" vertical="center"/>
    </xf>
    <xf numFmtId="41" fontId="31" fillId="0" borderId="11" xfId="58" applyFont="1" applyBorder="1" applyAlignment="1">
      <alignment horizontal="right" vertical="center" indent="1"/>
    </xf>
    <xf numFmtId="41" fontId="31" fillId="0" borderId="11" xfId="58" applyFont="1" applyBorder="1" applyAlignment="1">
      <alignment horizontal="right" vertical="center" indent="2"/>
    </xf>
    <xf numFmtId="41" fontId="31" fillId="0" borderId="46" xfId="58" applyFont="1" applyBorder="1" applyAlignment="1">
      <alignment vertical="center"/>
    </xf>
    <xf numFmtId="49" fontId="61" fillId="0" borderId="7" xfId="0" applyNumberFormat="1" applyFont="1" applyBorder="1" applyAlignment="1">
      <alignment horizontal="center" vertical="center"/>
    </xf>
    <xf numFmtId="0" fontId="61" fillId="0" borderId="8" xfId="0" applyFont="1" applyBorder="1" applyAlignment="1">
      <alignment horizontal="right"/>
    </xf>
    <xf numFmtId="166" fontId="61" fillId="0" borderId="8" xfId="1" quotePrefix="1" applyNumberFormat="1" applyFont="1" applyBorder="1" applyAlignment="1">
      <alignment vertical="center"/>
    </xf>
    <xf numFmtId="0" fontId="31" fillId="0" borderId="4" xfId="0" applyFont="1" applyBorder="1" applyAlignment="1">
      <alignment horizontal="right"/>
    </xf>
    <xf numFmtId="165" fontId="61" fillId="0" borderId="8" xfId="48" applyFont="1" applyBorder="1" applyAlignment="1">
      <alignment vertical="center"/>
    </xf>
    <xf numFmtId="165" fontId="31" fillId="0" borderId="4" xfId="48" applyFont="1" applyBorder="1" applyAlignment="1">
      <alignment vertical="center"/>
    </xf>
    <xf numFmtId="165" fontId="61" fillId="0" borderId="8" xfId="50" applyFont="1" applyBorder="1" applyAlignment="1">
      <alignment vertical="center"/>
    </xf>
    <xf numFmtId="165" fontId="31" fillId="0" borderId="4" xfId="50" applyFont="1" applyBorder="1" applyAlignment="1">
      <alignment vertical="center"/>
    </xf>
    <xf numFmtId="166" fontId="22" fillId="0" borderId="7" xfId="1" applyNumberFormat="1" applyFont="1" applyBorder="1"/>
    <xf numFmtId="4" fontId="22" fillId="0" borderId="7" xfId="0" applyNumberFormat="1" applyFont="1" applyFill="1" applyBorder="1" applyAlignment="1">
      <alignment horizontal="right" vertical="center"/>
    </xf>
    <xf numFmtId="166" fontId="22" fillId="0" borderId="8" xfId="1" applyNumberFormat="1" applyFont="1" applyBorder="1"/>
    <xf numFmtId="4" fontId="22" fillId="0" borderId="8" xfId="0" applyNumberFormat="1" applyFont="1" applyFill="1" applyBorder="1" applyAlignment="1">
      <alignment horizontal="right" vertical="center"/>
    </xf>
    <xf numFmtId="166" fontId="22" fillId="0" borderId="11" xfId="1" applyNumberFormat="1" applyFont="1" applyBorder="1" applyAlignment="1">
      <alignment horizontal="right"/>
    </xf>
    <xf numFmtId="166" fontId="22" fillId="0" borderId="11" xfId="1" applyNumberFormat="1" applyFont="1" applyBorder="1"/>
    <xf numFmtId="4" fontId="22" fillId="0" borderId="11" xfId="0" applyNumberFormat="1" applyFont="1" applyFill="1" applyBorder="1" applyAlignment="1">
      <alignment horizontal="right" vertical="center"/>
    </xf>
    <xf numFmtId="39" fontId="95" fillId="0" borderId="7" xfId="0" applyNumberFormat="1" applyFont="1" applyBorder="1" applyAlignment="1">
      <alignment vertical="top"/>
    </xf>
    <xf numFmtId="0" fontId="109" fillId="0" borderId="7" xfId="0" applyFont="1" applyBorder="1"/>
    <xf numFmtId="0" fontId="108" fillId="0" borderId="11" xfId="0" applyFont="1" applyBorder="1"/>
    <xf numFmtId="4" fontId="62" fillId="0" borderId="4" xfId="0" applyNumberFormat="1" applyFont="1" applyBorder="1" applyAlignment="1">
      <alignment horizontal="right" vertical="center"/>
    </xf>
    <xf numFmtId="166" fontId="92" fillId="11" borderId="11" xfId="1" applyNumberFormat="1" applyFont="1" applyFill="1" applyBorder="1" applyAlignment="1">
      <alignment horizontal="right"/>
    </xf>
    <xf numFmtId="39" fontId="43" fillId="0" borderId="7" xfId="0" applyNumberFormat="1" applyFont="1" applyBorder="1" applyAlignment="1">
      <alignment horizontal="right" vertical="center"/>
    </xf>
    <xf numFmtId="43" fontId="43" fillId="0" borderId="7" xfId="2" applyFont="1" applyFill="1" applyBorder="1" applyAlignment="1">
      <alignment horizontal="right" vertical="center"/>
    </xf>
    <xf numFmtId="43" fontId="43" fillId="0" borderId="8" xfId="2" applyFont="1" applyFill="1" applyBorder="1" applyAlignment="1">
      <alignment horizontal="right" vertical="center"/>
    </xf>
    <xf numFmtId="43" fontId="43" fillId="0" borderId="12" xfId="2" applyFont="1" applyFill="1" applyBorder="1" applyAlignment="1">
      <alignment horizontal="right" vertical="center"/>
    </xf>
    <xf numFmtId="43" fontId="43" fillId="0" borderId="11" xfId="2" applyFont="1" applyFill="1" applyBorder="1" applyAlignment="1">
      <alignment horizontal="right" vertical="center"/>
    </xf>
    <xf numFmtId="39" fontId="43" fillId="0" borderId="11" xfId="0" applyNumberFormat="1" applyFont="1" applyBorder="1" applyAlignment="1">
      <alignment horizontal="right" vertical="center"/>
    </xf>
    <xf numFmtId="166" fontId="22" fillId="0" borderId="22" xfId="1" applyNumberFormat="1" applyFont="1" applyFill="1" applyBorder="1" applyAlignment="1">
      <alignment horizontal="right" vertical="center"/>
    </xf>
    <xf numFmtId="166" fontId="22" fillId="0" borderId="22" xfId="1" applyNumberFormat="1" applyFont="1" applyFill="1" applyBorder="1" applyAlignment="1">
      <alignment vertical="center"/>
    </xf>
    <xf numFmtId="0" fontId="63" fillId="0" borderId="8" xfId="0" applyFont="1" applyFill="1" applyBorder="1" applyAlignment="1">
      <alignment horizontal="left" vertical="center" wrapText="1"/>
    </xf>
    <xf numFmtId="0" fontId="31" fillId="0" borderId="7" xfId="4" applyFont="1" applyBorder="1" applyAlignment="1">
      <alignment horizontal="left" vertical="center" wrapText="1"/>
    </xf>
    <xf numFmtId="0" fontId="31" fillId="0" borderId="4" xfId="65" applyFont="1" applyBorder="1" applyAlignment="1">
      <alignment vertical="center" wrapText="1"/>
    </xf>
    <xf numFmtId="0" fontId="31" fillId="0" borderId="7" xfId="65" applyFont="1" applyBorder="1" applyAlignment="1">
      <alignment vertical="center" wrapText="1"/>
    </xf>
    <xf numFmtId="39" fontId="61" fillId="0" borderId="4" xfId="15" applyNumberFormat="1" applyFont="1" applyFill="1" applyBorder="1" applyAlignment="1">
      <alignment horizontal="right" vertical="center"/>
    </xf>
    <xf numFmtId="43" fontId="52" fillId="8" borderId="11" xfId="0" applyNumberFormat="1" applyFont="1" applyFill="1" applyBorder="1" applyAlignment="1">
      <alignment horizontal="right" vertical="center"/>
    </xf>
    <xf numFmtId="166" fontId="61" fillId="0" borderId="4" xfId="1" applyNumberFormat="1" applyFont="1" applyBorder="1" applyAlignment="1">
      <alignment horizontal="left" vertical="center"/>
    </xf>
    <xf numFmtId="166" fontId="22" fillId="0" borderId="11" xfId="1" applyNumberFormat="1" applyFont="1" applyFill="1" applyBorder="1" applyAlignment="1">
      <alignment vertical="center"/>
    </xf>
    <xf numFmtId="166" fontId="22" fillId="0" borderId="11" xfId="1" applyNumberFormat="1" applyFont="1" applyFill="1" applyBorder="1" applyAlignment="1">
      <alignment horizontal="right" vertical="center"/>
    </xf>
    <xf numFmtId="0" fontId="31" fillId="0" borderId="8" xfId="4" applyFont="1" applyBorder="1" applyAlignment="1">
      <alignment horizontal="left" vertical="center" wrapText="1"/>
    </xf>
    <xf numFmtId="4" fontId="34" fillId="0" borderId="8" xfId="0" applyNumberFormat="1" applyFont="1" applyBorder="1"/>
    <xf numFmtId="0" fontId="38" fillId="0" borderId="8" xfId="0" applyFont="1" applyBorder="1" applyAlignment="1"/>
    <xf numFmtId="165" fontId="34" fillId="0" borderId="0" xfId="0" applyNumberFormat="1" applyFont="1" applyAlignment="1">
      <alignment horizontal="right" vertical="center"/>
    </xf>
    <xf numFmtId="41" fontId="109" fillId="0" borderId="4" xfId="58" applyFont="1" applyFill="1" applyBorder="1"/>
    <xf numFmtId="167" fontId="61" fillId="4" borderId="12" xfId="0" applyNumberFormat="1" applyFont="1" applyFill="1" applyBorder="1" applyAlignment="1">
      <alignment horizontal="right" vertical="center" wrapText="1"/>
    </xf>
    <xf numFmtId="166" fontId="34" fillId="0" borderId="0" xfId="1" applyNumberFormat="1" applyFont="1" applyAlignment="1">
      <alignment horizontal="right" vertical="center"/>
    </xf>
    <xf numFmtId="166" fontId="31" fillId="2" borderId="46" xfId="1" applyNumberFormat="1" applyFont="1" applyFill="1" applyBorder="1" applyAlignment="1">
      <alignment horizontal="right" vertical="center"/>
    </xf>
    <xf numFmtId="4" fontId="34" fillId="0" borderId="4" xfId="0" applyNumberFormat="1" applyFont="1" applyBorder="1" applyAlignment="1">
      <alignment horizontal="right" vertical="center"/>
    </xf>
    <xf numFmtId="4" fontId="34" fillId="0" borderId="7" xfId="0" applyNumberFormat="1" applyFont="1" applyBorder="1" applyAlignment="1">
      <alignment horizontal="right" vertical="center"/>
    </xf>
    <xf numFmtId="4" fontId="31" fillId="0" borderId="11" xfId="2" applyNumberFormat="1" applyFont="1" applyFill="1" applyBorder="1" applyAlignment="1">
      <alignment horizontal="right" vertical="center"/>
    </xf>
    <xf numFmtId="43" fontId="31" fillId="0" borderId="11" xfId="2" applyFont="1" applyFill="1" applyBorder="1" applyAlignment="1">
      <alignment horizontal="right" vertical="center"/>
    </xf>
    <xf numFmtId="4" fontId="31" fillId="0" borderId="12" xfId="2" applyNumberFormat="1" applyFont="1" applyFill="1" applyBorder="1" applyAlignment="1">
      <alignment horizontal="right" vertical="center"/>
    </xf>
    <xf numFmtId="43" fontId="31" fillId="0" borderId="11" xfId="0" applyNumberFormat="1" applyFont="1" applyFill="1" applyBorder="1" applyAlignment="1">
      <alignment horizontal="right" vertical="center"/>
    </xf>
    <xf numFmtId="43" fontId="31" fillId="0" borderId="12" xfId="0" applyNumberFormat="1" applyFont="1" applyFill="1" applyBorder="1" applyAlignment="1">
      <alignment horizontal="right" vertical="center"/>
    </xf>
    <xf numFmtId="166" fontId="31" fillId="0" borderId="12" xfId="0" applyNumberFormat="1" applyFont="1" applyFill="1" applyBorder="1" applyAlignment="1">
      <alignment horizontal="right" vertical="center"/>
    </xf>
    <xf numFmtId="43" fontId="31" fillId="2" borderId="4" xfId="0" applyNumberFormat="1" applyFont="1" applyFill="1" applyBorder="1" applyAlignment="1">
      <alignment horizontal="right" vertical="center"/>
    </xf>
    <xf numFmtId="166" fontId="61" fillId="0" borderId="4" xfId="5" applyNumberFormat="1" applyFont="1" applyBorder="1" applyAlignment="1">
      <alignment horizontal="right" vertical="center"/>
    </xf>
    <xf numFmtId="165" fontId="61" fillId="0" borderId="4" xfId="0" applyNumberFormat="1" applyFont="1" applyFill="1" applyBorder="1" applyAlignment="1">
      <alignment horizontal="right" vertical="center"/>
    </xf>
    <xf numFmtId="165" fontId="31" fillId="0" borderId="4" xfId="0" applyNumberFormat="1" applyFont="1" applyFill="1" applyBorder="1" applyAlignment="1">
      <alignment horizontal="right" vertical="center"/>
    </xf>
    <xf numFmtId="166" fontId="61" fillId="0" borderId="4" xfId="7" applyNumberFormat="1" applyFont="1" applyBorder="1" applyAlignment="1">
      <alignment horizontal="right" vertical="center"/>
    </xf>
    <xf numFmtId="166" fontId="31" fillId="0" borderId="4" xfId="1" applyNumberFormat="1" applyFont="1" applyBorder="1" applyAlignment="1">
      <alignment horizontal="right" vertical="center" wrapText="1"/>
    </xf>
    <xf numFmtId="166" fontId="61" fillId="0" borderId="4" xfId="7" applyNumberFormat="1" applyFont="1" applyFill="1" applyBorder="1" applyAlignment="1">
      <alignment horizontal="right" vertical="center"/>
    </xf>
    <xf numFmtId="166" fontId="31" fillId="0" borderId="21" xfId="1" applyNumberFormat="1" applyFont="1" applyBorder="1" applyAlignment="1">
      <alignment horizontal="right" vertical="center" wrapText="1"/>
    </xf>
    <xf numFmtId="166" fontId="61" fillId="0" borderId="7" xfId="5" applyNumberFormat="1" applyFont="1" applyBorder="1" applyAlignment="1">
      <alignment horizontal="right" vertical="center"/>
    </xf>
    <xf numFmtId="166" fontId="31" fillId="0" borderId="12" xfId="1" applyNumberFormat="1" applyFont="1" applyBorder="1" applyAlignment="1">
      <alignment horizontal="right" vertical="center" wrapText="1"/>
    </xf>
    <xf numFmtId="43" fontId="61" fillId="0" borderId="7" xfId="8" applyNumberFormat="1" applyFont="1" applyBorder="1" applyAlignment="1">
      <alignment horizontal="right" vertical="center"/>
    </xf>
    <xf numFmtId="166" fontId="31" fillId="0" borderId="21" xfId="4" applyNumberFormat="1" applyFont="1" applyBorder="1" applyAlignment="1">
      <alignment horizontal="right" vertical="center" wrapText="1"/>
    </xf>
    <xf numFmtId="166" fontId="31" fillId="0" borderId="11" xfId="1" applyNumberFormat="1" applyFont="1" applyBorder="1" applyAlignment="1">
      <alignment horizontal="right" vertical="center" wrapText="1"/>
    </xf>
    <xf numFmtId="43" fontId="61" fillId="0" borderId="4" xfId="2" applyFont="1" applyBorder="1" applyAlignment="1">
      <alignment horizontal="right" vertical="center"/>
    </xf>
    <xf numFmtId="43" fontId="61" fillId="0" borderId="4" xfId="2" applyFont="1" applyBorder="1" applyAlignment="1">
      <alignment horizontal="right" vertical="center" wrapText="1"/>
    </xf>
    <xf numFmtId="43" fontId="61" fillId="0" borderId="7" xfId="2" applyFont="1" applyBorder="1" applyAlignment="1">
      <alignment horizontal="right" vertical="center"/>
    </xf>
    <xf numFmtId="166" fontId="61" fillId="0" borderId="4" xfId="1" applyNumberFormat="1" applyFont="1" applyBorder="1" applyAlignment="1">
      <alignment horizontal="right" vertical="center" wrapText="1"/>
    </xf>
    <xf numFmtId="43" fontId="31" fillId="0" borderId="7" xfId="2" applyFont="1" applyBorder="1" applyAlignment="1">
      <alignment horizontal="right" vertical="center"/>
    </xf>
    <xf numFmtId="43" fontId="31" fillId="0" borderId="4" xfId="2" applyFont="1" applyBorder="1" applyAlignment="1">
      <alignment horizontal="right" vertical="center"/>
    </xf>
    <xf numFmtId="43" fontId="31" fillId="0" borderId="12" xfId="2" applyFont="1" applyBorder="1" applyAlignment="1">
      <alignment horizontal="right" vertical="center"/>
    </xf>
    <xf numFmtId="43" fontId="31" fillId="0" borderId="7" xfId="0" applyNumberFormat="1" applyFont="1" applyBorder="1" applyAlignment="1">
      <alignment horizontal="right" vertical="center"/>
    </xf>
    <xf numFmtId="43" fontId="61" fillId="0" borderId="8" xfId="2" applyFont="1" applyBorder="1" applyAlignment="1">
      <alignment horizontal="right" vertical="center"/>
    </xf>
    <xf numFmtId="165" fontId="31" fillId="0" borderId="11" xfId="2" applyNumberFormat="1" applyFont="1" applyBorder="1" applyAlignment="1">
      <alignment horizontal="right" vertical="center"/>
    </xf>
    <xf numFmtId="43" fontId="31" fillId="0" borderId="17" xfId="2" applyFont="1" applyBorder="1" applyAlignment="1">
      <alignment horizontal="right" vertical="center"/>
    </xf>
    <xf numFmtId="43" fontId="31" fillId="0" borderId="11" xfId="2" applyFont="1" applyBorder="1" applyAlignment="1">
      <alignment horizontal="right" vertical="center"/>
    </xf>
    <xf numFmtId="43" fontId="31" fillId="0" borderId="4" xfId="0" applyNumberFormat="1" applyFont="1" applyBorder="1" applyAlignment="1">
      <alignment horizontal="right" vertical="center"/>
    </xf>
    <xf numFmtId="166" fontId="31" fillId="0" borderId="22" xfId="1" applyNumberFormat="1" applyFont="1" applyBorder="1" applyAlignment="1">
      <alignment horizontal="right" vertical="center" wrapText="1"/>
    </xf>
    <xf numFmtId="166" fontId="31" fillId="0" borderId="17" xfId="1" applyNumberFormat="1" applyFont="1" applyBorder="1" applyAlignment="1">
      <alignment horizontal="right" vertical="center" wrapText="1"/>
    </xf>
    <xf numFmtId="166" fontId="61" fillId="0" borderId="7" xfId="1" applyNumberFormat="1" applyFont="1" applyBorder="1" applyAlignment="1">
      <alignment horizontal="right" vertical="center" wrapText="1"/>
    </xf>
    <xf numFmtId="166" fontId="31" fillId="0" borderId="8" xfId="1" applyNumberFormat="1" applyFont="1" applyBorder="1" applyAlignment="1">
      <alignment horizontal="right" vertical="center" wrapText="1"/>
    </xf>
    <xf numFmtId="4" fontId="31" fillId="7" borderId="11" xfId="1" applyNumberFormat="1" applyFont="1" applyFill="1" applyBorder="1" applyAlignment="1">
      <alignment horizontal="right" vertical="center"/>
    </xf>
    <xf numFmtId="43" fontId="31" fillId="0" borderId="22" xfId="0" applyNumberFormat="1" applyFont="1" applyFill="1" applyBorder="1" applyAlignment="1">
      <alignment horizontal="right" vertical="center"/>
    </xf>
    <xf numFmtId="166" fontId="31" fillId="4" borderId="4" xfId="57" applyNumberFormat="1" applyFont="1" applyFill="1" applyBorder="1" applyAlignment="1">
      <alignment horizontal="right" vertical="center"/>
    </xf>
    <xf numFmtId="166" fontId="31" fillId="4" borderId="7" xfId="0" applyNumberFormat="1" applyFont="1" applyFill="1" applyBorder="1" applyAlignment="1">
      <alignment horizontal="right" vertical="center"/>
    </xf>
    <xf numFmtId="166" fontId="61" fillId="4" borderId="8" xfId="58" applyNumberFormat="1" applyFont="1" applyFill="1" applyBorder="1" applyAlignment="1">
      <alignment horizontal="right" vertical="center"/>
    </xf>
    <xf numFmtId="166" fontId="61" fillId="4" borderId="4" xfId="57" applyNumberFormat="1" applyFont="1" applyFill="1" applyBorder="1" applyAlignment="1">
      <alignment horizontal="right" vertical="center"/>
    </xf>
    <xf numFmtId="166" fontId="61" fillId="4" borderId="7" xfId="58" quotePrefix="1" applyNumberFormat="1" applyFont="1" applyFill="1" applyBorder="1" applyAlignment="1">
      <alignment horizontal="right" vertical="center"/>
    </xf>
    <xf numFmtId="166" fontId="61" fillId="4" borderId="7" xfId="57" applyNumberFormat="1" applyFont="1" applyFill="1" applyBorder="1" applyAlignment="1">
      <alignment horizontal="right" vertical="center"/>
    </xf>
    <xf numFmtId="166" fontId="31" fillId="4" borderId="12" xfId="57" applyNumberFormat="1" applyFont="1" applyFill="1" applyBorder="1" applyAlignment="1">
      <alignment horizontal="right" vertical="center"/>
    </xf>
    <xf numFmtId="166" fontId="31" fillId="4" borderId="12" xfId="0" applyNumberFormat="1" applyFont="1" applyFill="1" applyBorder="1" applyAlignment="1">
      <alignment horizontal="right" vertical="center"/>
    </xf>
    <xf numFmtId="166" fontId="31" fillId="4" borderId="4" xfId="0" applyNumberFormat="1" applyFont="1" applyFill="1" applyBorder="1" applyAlignment="1">
      <alignment horizontal="right" vertical="center"/>
    </xf>
    <xf numFmtId="166" fontId="34" fillId="4" borderId="7" xfId="58" applyNumberFormat="1" applyFont="1" applyFill="1" applyBorder="1" applyAlignment="1">
      <alignment horizontal="right" vertical="center"/>
    </xf>
    <xf numFmtId="166" fontId="31" fillId="4" borderId="22" xfId="58" applyNumberFormat="1" applyFont="1" applyFill="1" applyBorder="1" applyAlignment="1">
      <alignment horizontal="right" vertical="center"/>
    </xf>
    <xf numFmtId="166" fontId="62" fillId="4" borderId="4" xfId="0" applyNumberFormat="1" applyFont="1" applyFill="1" applyBorder="1" applyAlignment="1">
      <alignment horizontal="right" vertical="center"/>
    </xf>
    <xf numFmtId="166" fontId="31" fillId="4" borderId="4" xfId="0" quotePrefix="1" applyNumberFormat="1" applyFont="1" applyFill="1" applyBorder="1" applyAlignment="1">
      <alignment horizontal="right" vertical="center"/>
    </xf>
    <xf numFmtId="166" fontId="31" fillId="4" borderId="8" xfId="0" applyNumberFormat="1" applyFont="1" applyFill="1" applyBorder="1" applyAlignment="1">
      <alignment horizontal="right" vertical="center"/>
    </xf>
    <xf numFmtId="166" fontId="61" fillId="4" borderId="4" xfId="19" applyNumberFormat="1" applyFont="1" applyFill="1" applyBorder="1" applyAlignment="1">
      <alignment horizontal="right" vertical="center"/>
    </xf>
    <xf numFmtId="166" fontId="31" fillId="4" borderId="12" xfId="0" quotePrefix="1" applyNumberFormat="1" applyFont="1" applyFill="1" applyBorder="1" applyAlignment="1">
      <alignment horizontal="right" vertical="center"/>
    </xf>
    <xf numFmtId="166" fontId="31" fillId="4" borderId="11" xfId="10" applyNumberFormat="1" applyFont="1" applyFill="1" applyBorder="1" applyAlignment="1">
      <alignment horizontal="right" vertical="center"/>
    </xf>
    <xf numFmtId="166" fontId="31" fillId="4" borderId="4" xfId="58" quotePrefix="1" applyNumberFormat="1" applyFont="1" applyFill="1" applyBorder="1" applyAlignment="1">
      <alignment horizontal="right" vertical="center"/>
    </xf>
    <xf numFmtId="165" fontId="31" fillId="0" borderId="4" xfId="1" applyNumberFormat="1" applyFont="1" applyBorder="1" applyAlignment="1">
      <alignment horizontal="right" vertical="center"/>
    </xf>
    <xf numFmtId="166" fontId="61" fillId="4" borderId="12" xfId="58" quotePrefix="1" applyNumberFormat="1" applyFont="1" applyFill="1" applyBorder="1" applyAlignment="1">
      <alignment horizontal="right" vertical="center"/>
    </xf>
    <xf numFmtId="166" fontId="34" fillId="4" borderId="12" xfId="58" quotePrefix="1" applyNumberFormat="1" applyFont="1" applyFill="1" applyBorder="1" applyAlignment="1">
      <alignment horizontal="right" vertical="center"/>
    </xf>
    <xf numFmtId="166" fontId="31" fillId="4" borderId="4" xfId="10" applyNumberFormat="1" applyFont="1" applyFill="1" applyBorder="1" applyAlignment="1">
      <alignment horizontal="right" vertical="center"/>
    </xf>
    <xf numFmtId="166" fontId="31" fillId="4" borderId="7" xfId="58" applyNumberFormat="1" applyFont="1" applyFill="1" applyBorder="1" applyAlignment="1">
      <alignment horizontal="right" vertical="center"/>
    </xf>
    <xf numFmtId="166" fontId="31" fillId="4" borderId="8" xfId="58" applyNumberFormat="1" applyFont="1" applyFill="1" applyBorder="1" applyAlignment="1">
      <alignment horizontal="right" vertical="center"/>
    </xf>
    <xf numFmtId="4" fontId="61" fillId="0" borderId="25" xfId="1" applyNumberFormat="1" applyFont="1" applyFill="1" applyBorder="1" applyAlignment="1">
      <alignment horizontal="right" vertical="center"/>
    </xf>
    <xf numFmtId="166" fontId="61" fillId="4" borderId="12" xfId="58" applyNumberFormat="1" applyFont="1" applyFill="1" applyBorder="1" applyAlignment="1">
      <alignment horizontal="right" vertical="center"/>
    </xf>
    <xf numFmtId="166" fontId="61" fillId="4" borderId="12" xfId="57" applyNumberFormat="1" applyFont="1" applyFill="1" applyBorder="1" applyAlignment="1">
      <alignment horizontal="right" vertical="center"/>
    </xf>
    <xf numFmtId="166" fontId="31" fillId="4" borderId="8" xfId="10" applyNumberFormat="1" applyFont="1" applyFill="1" applyBorder="1" applyAlignment="1">
      <alignment horizontal="right" vertical="center"/>
    </xf>
    <xf numFmtId="166" fontId="61" fillId="4" borderId="7" xfId="10" applyNumberFormat="1" applyFont="1" applyFill="1" applyBorder="1" applyAlignment="1">
      <alignment horizontal="right" vertical="center"/>
    </xf>
    <xf numFmtId="4" fontId="31" fillId="0" borderId="17" xfId="1" applyNumberFormat="1" applyFont="1" applyFill="1" applyBorder="1" applyAlignment="1">
      <alignment horizontal="right" vertical="center"/>
    </xf>
    <xf numFmtId="167" fontId="61" fillId="0" borderId="4" xfId="0" applyNumberFormat="1" applyFont="1" applyBorder="1" applyAlignment="1">
      <alignment horizontal="right" vertical="center"/>
    </xf>
    <xf numFmtId="165" fontId="61" fillId="4" borderId="4" xfId="0" applyNumberFormat="1" applyFont="1" applyFill="1" applyBorder="1" applyAlignment="1">
      <alignment horizontal="right" vertical="center"/>
    </xf>
    <xf numFmtId="165" fontId="61" fillId="4" borderId="7" xfId="0" applyNumberFormat="1" applyFont="1" applyFill="1" applyBorder="1" applyAlignment="1">
      <alignment horizontal="right" vertical="center"/>
    </xf>
    <xf numFmtId="167" fontId="61" fillId="4" borderId="4" xfId="0" applyNumberFormat="1" applyFont="1" applyFill="1" applyBorder="1" applyAlignment="1">
      <alignment horizontal="right" vertical="center" wrapText="1"/>
    </xf>
    <xf numFmtId="167" fontId="61" fillId="4" borderId="4" xfId="0" applyNumberFormat="1" applyFont="1" applyFill="1" applyBorder="1" applyAlignment="1">
      <alignment horizontal="right" vertical="center"/>
    </xf>
    <xf numFmtId="166" fontId="31" fillId="0" borderId="4" xfId="0" applyNumberFormat="1" applyFont="1" applyBorder="1" applyAlignment="1">
      <alignment horizontal="right" vertical="center" wrapText="1"/>
    </xf>
    <xf numFmtId="166" fontId="31" fillId="0" borderId="11" xfId="0" applyNumberFormat="1" applyFont="1" applyBorder="1" applyAlignment="1">
      <alignment horizontal="right" vertical="center"/>
    </xf>
    <xf numFmtId="166" fontId="31" fillId="0" borderId="12" xfId="0" applyNumberFormat="1" applyFont="1" applyBorder="1" applyAlignment="1">
      <alignment horizontal="right" vertical="center"/>
    </xf>
    <xf numFmtId="4" fontId="31" fillId="0" borderId="4" xfId="0" applyNumberFormat="1" applyFont="1" applyBorder="1" applyAlignment="1">
      <alignment horizontal="right" vertical="center" wrapText="1"/>
    </xf>
    <xf numFmtId="167" fontId="61" fillId="4" borderId="4" xfId="11" applyNumberFormat="1" applyFont="1" applyFill="1" applyBorder="1" applyAlignment="1">
      <alignment horizontal="right" vertical="center"/>
    </xf>
    <xf numFmtId="167" fontId="61" fillId="4" borderId="7" xfId="0" applyNumberFormat="1" applyFont="1" applyFill="1" applyBorder="1" applyAlignment="1">
      <alignment horizontal="right" vertical="center"/>
    </xf>
    <xf numFmtId="167" fontId="61" fillId="4" borderId="4" xfId="11" applyNumberFormat="1" applyFont="1" applyFill="1" applyBorder="1" applyAlignment="1">
      <alignment horizontal="right" vertical="center" wrapText="1"/>
    </xf>
    <xf numFmtId="167" fontId="61" fillId="4" borderId="7" xfId="0" applyNumberFormat="1" applyFont="1" applyFill="1" applyBorder="1" applyAlignment="1">
      <alignment horizontal="right" vertical="center" wrapText="1"/>
    </xf>
    <xf numFmtId="167" fontId="31" fillId="4" borderId="12" xfId="0" applyNumberFormat="1" applyFont="1" applyFill="1" applyBorder="1" applyAlignment="1">
      <alignment horizontal="right" vertical="center" wrapText="1"/>
    </xf>
    <xf numFmtId="166" fontId="108" fillId="0" borderId="38" xfId="1" applyNumberFormat="1" applyFont="1" applyBorder="1" applyAlignment="1">
      <alignment horizontal="right" vertical="center"/>
    </xf>
    <xf numFmtId="43" fontId="63" fillId="4" borderId="8" xfId="0" applyNumberFormat="1" applyFont="1" applyFill="1" applyBorder="1" applyAlignment="1">
      <alignment horizontal="right" vertical="center"/>
    </xf>
    <xf numFmtId="166" fontId="109" fillId="0" borderId="8" xfId="1" applyNumberFormat="1" applyFont="1" applyBorder="1" applyAlignment="1">
      <alignment horizontal="right" vertical="center"/>
    </xf>
    <xf numFmtId="4" fontId="109" fillId="0" borderId="4" xfId="1" applyNumberFormat="1" applyFont="1" applyFill="1" applyBorder="1" applyAlignment="1">
      <alignment horizontal="right" vertical="center"/>
    </xf>
    <xf numFmtId="166" fontId="108" fillId="0" borderId="22" xfId="1" applyNumberFormat="1" applyFont="1" applyBorder="1" applyAlignment="1">
      <alignment horizontal="right" vertical="center"/>
    </xf>
    <xf numFmtId="166" fontId="108" fillId="0" borderId="7" xfId="1" applyNumberFormat="1" applyFont="1" applyBorder="1" applyAlignment="1">
      <alignment horizontal="right" vertical="center"/>
    </xf>
    <xf numFmtId="39" fontId="31" fillId="0" borderId="12" xfId="0" applyNumberFormat="1" applyFont="1" applyBorder="1" applyAlignment="1">
      <alignment horizontal="right" vertical="center"/>
    </xf>
    <xf numFmtId="166" fontId="108" fillId="0" borderId="25" xfId="1" applyNumberFormat="1" applyFont="1" applyBorder="1" applyAlignment="1">
      <alignment horizontal="right" vertical="center"/>
    </xf>
    <xf numFmtId="39" fontId="31" fillId="0" borderId="7" xfId="0" applyNumberFormat="1" applyFont="1" applyBorder="1" applyAlignment="1">
      <alignment horizontal="right" vertical="center"/>
    </xf>
    <xf numFmtId="166" fontId="108" fillId="0" borderId="8" xfId="1" applyNumberFormat="1" applyFont="1" applyBorder="1" applyAlignment="1">
      <alignment horizontal="right" vertical="center"/>
    </xf>
    <xf numFmtId="4" fontId="109" fillId="0" borderId="7" xfId="0" applyNumberFormat="1" applyFont="1" applyFill="1" applyBorder="1" applyAlignment="1">
      <alignment horizontal="right" vertical="center"/>
    </xf>
    <xf numFmtId="39" fontId="61" fillId="0" borderId="7" xfId="0" applyNumberFormat="1" applyFont="1" applyBorder="1" applyAlignment="1">
      <alignment horizontal="right" vertical="center" wrapText="1"/>
    </xf>
    <xf numFmtId="4" fontId="109" fillId="0" borderId="8" xfId="0" applyNumberFormat="1" applyFont="1" applyFill="1" applyBorder="1" applyAlignment="1">
      <alignment horizontal="right" vertical="center"/>
    </xf>
    <xf numFmtId="39" fontId="61" fillId="6" borderId="4" xfId="0" applyNumberFormat="1" applyFont="1" applyFill="1" applyBorder="1" applyAlignment="1">
      <alignment horizontal="right" vertical="center"/>
    </xf>
    <xf numFmtId="166" fontId="34" fillId="0" borderId="58" xfId="1" applyNumberFormat="1" applyFont="1" applyBorder="1" applyAlignment="1">
      <alignment horizontal="right" vertical="center"/>
    </xf>
    <xf numFmtId="167" fontId="61" fillId="0" borderId="4" xfId="12" applyNumberFormat="1" applyFont="1" applyBorder="1" applyAlignment="1">
      <alignment horizontal="right" vertical="center"/>
    </xf>
    <xf numFmtId="166" fontId="31" fillId="0" borderId="4" xfId="58" applyNumberFormat="1" applyFont="1" applyBorder="1" applyAlignment="1">
      <alignment horizontal="right" vertical="center"/>
    </xf>
    <xf numFmtId="166" fontId="61" fillId="0" borderId="4" xfId="58" applyNumberFormat="1" applyFont="1" applyBorder="1" applyAlignment="1">
      <alignment horizontal="right" vertical="center"/>
    </xf>
    <xf numFmtId="169" fontId="31" fillId="0" borderId="4" xfId="12" applyNumberFormat="1" applyFont="1" applyBorder="1" applyAlignment="1">
      <alignment horizontal="right" vertical="center"/>
    </xf>
    <xf numFmtId="167" fontId="61" fillId="0" borderId="4" xfId="13" applyNumberFormat="1" applyFont="1" applyBorder="1" applyAlignment="1">
      <alignment horizontal="right" vertical="center"/>
    </xf>
    <xf numFmtId="39" fontId="31" fillId="0" borderId="21" xfId="0" applyNumberFormat="1" applyFont="1" applyFill="1" applyBorder="1" applyAlignment="1">
      <alignment horizontal="right" vertical="center"/>
    </xf>
    <xf numFmtId="167" fontId="61" fillId="0" borderId="7" xfId="13" applyNumberFormat="1" applyFont="1" applyBorder="1" applyAlignment="1">
      <alignment horizontal="right" vertical="center"/>
    </xf>
    <xf numFmtId="166" fontId="61" fillId="0" borderId="7" xfId="58" applyNumberFormat="1" applyFont="1" applyBorder="1" applyAlignment="1">
      <alignment horizontal="right" vertical="center"/>
    </xf>
    <xf numFmtId="166" fontId="31" fillId="0" borderId="12" xfId="58" applyNumberFormat="1" applyFont="1" applyBorder="1" applyAlignment="1">
      <alignment horizontal="right" vertical="center"/>
    </xf>
    <xf numFmtId="166" fontId="31" fillId="0" borderId="11" xfId="58" applyNumberFormat="1" applyFont="1" applyBorder="1" applyAlignment="1">
      <alignment horizontal="right" vertical="center" indent="1"/>
    </xf>
    <xf numFmtId="4" fontId="31" fillId="0" borderId="11" xfId="58" applyNumberFormat="1" applyFont="1" applyBorder="1" applyAlignment="1">
      <alignment horizontal="right" vertical="center" indent="1"/>
    </xf>
    <xf numFmtId="166" fontId="31" fillId="0" borderId="17" xfId="58" applyNumberFormat="1" applyFont="1" applyBorder="1" applyAlignment="1">
      <alignment horizontal="right" vertical="center" indent="1"/>
    </xf>
    <xf numFmtId="166" fontId="61" fillId="0" borderId="4" xfId="58" applyNumberFormat="1" applyFont="1" applyBorder="1" applyAlignment="1">
      <alignment horizontal="right" vertical="center" indent="1"/>
    </xf>
    <xf numFmtId="166" fontId="34" fillId="0" borderId="44" xfId="7" applyNumberFormat="1" applyFont="1" applyBorder="1" applyAlignment="1">
      <alignment horizontal="right" vertical="center"/>
    </xf>
    <xf numFmtId="166" fontId="34" fillId="0" borderId="44" xfId="58" applyNumberFormat="1" applyFont="1" applyBorder="1" applyAlignment="1">
      <alignment horizontal="right" vertical="center"/>
    </xf>
    <xf numFmtId="39" fontId="31" fillId="0" borderId="22" xfId="0" applyNumberFormat="1" applyFont="1" applyFill="1" applyBorder="1" applyAlignment="1">
      <alignment horizontal="right" vertical="center"/>
    </xf>
    <xf numFmtId="166" fontId="31" fillId="0" borderId="11" xfId="58" applyNumberFormat="1" applyFont="1" applyFill="1" applyBorder="1" applyAlignment="1">
      <alignment horizontal="right" vertical="center"/>
    </xf>
    <xf numFmtId="166" fontId="31" fillId="4" borderId="4" xfId="1" applyNumberFormat="1" applyFont="1" applyFill="1" applyBorder="1" applyAlignment="1">
      <alignment horizontal="right" vertical="center"/>
    </xf>
    <xf numFmtId="4" fontId="34" fillId="0" borderId="8" xfId="0" applyNumberFormat="1" applyFont="1" applyBorder="1" applyAlignment="1">
      <alignment horizontal="right" vertical="center"/>
    </xf>
    <xf numFmtId="166" fontId="31" fillId="4" borderId="11" xfId="1" applyNumberFormat="1" applyFont="1" applyFill="1" applyBorder="1" applyAlignment="1">
      <alignment horizontal="right" vertical="center"/>
    </xf>
    <xf numFmtId="166" fontId="31" fillId="4" borderId="12" xfId="1" applyNumberFormat="1" applyFont="1" applyFill="1" applyBorder="1" applyAlignment="1">
      <alignment horizontal="right" vertical="center"/>
    </xf>
    <xf numFmtId="4" fontId="31" fillId="6" borderId="7" xfId="1" applyNumberFormat="1" applyFont="1" applyFill="1" applyBorder="1" applyAlignment="1">
      <alignment horizontal="right" vertical="center"/>
    </xf>
    <xf numFmtId="4" fontId="61" fillId="6" borderId="4" xfId="1" applyNumberFormat="1" applyFont="1" applyFill="1" applyBorder="1" applyAlignment="1">
      <alignment horizontal="right" vertical="center"/>
    </xf>
    <xf numFmtId="4" fontId="61" fillId="6" borderId="7" xfId="1" applyNumberFormat="1" applyFont="1" applyFill="1" applyBorder="1" applyAlignment="1">
      <alignment horizontal="right" vertical="center"/>
    </xf>
    <xf numFmtId="166" fontId="31" fillId="6" borderId="7" xfId="1" applyNumberFormat="1" applyFont="1" applyFill="1" applyBorder="1" applyAlignment="1">
      <alignment horizontal="right" vertical="center"/>
    </xf>
    <xf numFmtId="4" fontId="31" fillId="6" borderId="8" xfId="1" applyNumberFormat="1" applyFont="1" applyFill="1" applyBorder="1" applyAlignment="1">
      <alignment horizontal="right" vertical="center"/>
    </xf>
    <xf numFmtId="165" fontId="31" fillId="7" borderId="39" xfId="0" applyNumberFormat="1" applyFont="1" applyFill="1" applyBorder="1" applyAlignment="1">
      <alignment horizontal="right" vertical="center"/>
    </xf>
    <xf numFmtId="43" fontId="31" fillId="0" borderId="22" xfId="2" applyFont="1" applyBorder="1" applyAlignment="1">
      <alignment horizontal="right" vertical="center"/>
    </xf>
    <xf numFmtId="167" fontId="61" fillId="0" borderId="4" xfId="15" applyNumberFormat="1" applyFont="1" applyFill="1" applyBorder="1" applyAlignment="1">
      <alignment horizontal="right" vertical="center" wrapText="1"/>
    </xf>
    <xf numFmtId="166" fontId="61" fillId="0" borderId="4" xfId="59" applyNumberFormat="1" applyFont="1" applyFill="1" applyBorder="1" applyAlignment="1">
      <alignment horizontal="right" vertical="center"/>
    </xf>
    <xf numFmtId="166" fontId="31" fillId="0" borderId="21" xfId="0" applyNumberFormat="1" applyFont="1" applyBorder="1" applyAlignment="1">
      <alignment horizontal="right" vertical="center"/>
    </xf>
    <xf numFmtId="166" fontId="31" fillId="0" borderId="4" xfId="1" applyNumberFormat="1" applyFont="1" applyFill="1" applyBorder="1" applyAlignment="1">
      <alignment horizontal="right" vertical="center" wrapText="1"/>
    </xf>
    <xf numFmtId="167" fontId="61" fillId="0" borderId="4" xfId="0" applyNumberFormat="1" applyFont="1" applyFill="1" applyBorder="1" applyAlignment="1">
      <alignment horizontal="right" vertical="center" wrapText="1"/>
    </xf>
    <xf numFmtId="167" fontId="61" fillId="0" borderId="4" xfId="0" applyNumberFormat="1" applyFont="1" applyFill="1" applyBorder="1" applyAlignment="1">
      <alignment horizontal="right" vertical="center"/>
    </xf>
    <xf numFmtId="4" fontId="34" fillId="0" borderId="22" xfId="1" applyNumberFormat="1" applyFont="1" applyBorder="1" applyAlignment="1">
      <alignment horizontal="right" vertical="center"/>
    </xf>
    <xf numFmtId="4" fontId="31" fillId="0" borderId="4" xfId="0" applyNumberFormat="1" applyFont="1" applyFill="1" applyBorder="1" applyAlignment="1">
      <alignment horizontal="right" vertical="center" wrapText="1"/>
    </xf>
    <xf numFmtId="4" fontId="31" fillId="0" borderId="21" xfId="1" applyNumberFormat="1" applyFont="1" applyBorder="1" applyAlignment="1">
      <alignment horizontal="right" vertical="center"/>
    </xf>
    <xf numFmtId="166" fontId="31" fillId="0" borderId="21" xfId="1" applyNumberFormat="1" applyFont="1" applyFill="1" applyBorder="1" applyAlignment="1">
      <alignment horizontal="right" vertical="center" wrapText="1"/>
    </xf>
    <xf numFmtId="166" fontId="31" fillId="0" borderId="7" xfId="1" applyNumberFormat="1" applyFont="1" applyFill="1" applyBorder="1" applyAlignment="1">
      <alignment horizontal="right" vertical="center" wrapText="1"/>
    </xf>
    <xf numFmtId="166" fontId="31" fillId="0" borderId="8" xfId="1" applyNumberFormat="1" applyFont="1" applyFill="1" applyBorder="1" applyAlignment="1">
      <alignment horizontal="right" vertical="center" wrapText="1"/>
    </xf>
    <xf numFmtId="43" fontId="62" fillId="0" borderId="12" xfId="2" applyFont="1" applyBorder="1" applyAlignment="1">
      <alignment horizontal="right" vertical="center"/>
    </xf>
    <xf numFmtId="4" fontId="31" fillId="0" borderId="8" xfId="0" applyNumberFormat="1" applyFont="1" applyFill="1" applyBorder="1" applyAlignment="1">
      <alignment horizontal="right" vertical="center" wrapText="1"/>
    </xf>
    <xf numFmtId="166" fontId="31" fillId="0" borderId="11" xfId="58" applyNumberFormat="1" applyFont="1" applyBorder="1" applyAlignment="1">
      <alignment horizontal="right" vertical="center"/>
    </xf>
    <xf numFmtId="4" fontId="34" fillId="0" borderId="4" xfId="14" applyNumberFormat="1" applyFont="1" applyBorder="1" applyAlignment="1">
      <alignment horizontal="right" vertical="center"/>
    </xf>
    <xf numFmtId="4" fontId="31" fillId="0" borderId="4" xfId="14" applyNumberFormat="1" applyFont="1" applyBorder="1" applyAlignment="1">
      <alignment horizontal="right" vertical="center"/>
    </xf>
    <xf numFmtId="4" fontId="61" fillId="0" borderId="4" xfId="14" applyNumberFormat="1" applyFont="1" applyBorder="1" applyAlignment="1">
      <alignment horizontal="right" vertical="center"/>
    </xf>
    <xf numFmtId="165" fontId="34" fillId="0" borderId="4" xfId="17" applyFont="1" applyBorder="1" applyAlignment="1">
      <alignment horizontal="right" vertical="center"/>
    </xf>
    <xf numFmtId="166" fontId="34" fillId="0" borderId="4" xfId="14" applyNumberFormat="1" applyFont="1" applyBorder="1" applyAlignment="1">
      <alignment horizontal="right" vertical="center"/>
    </xf>
    <xf numFmtId="4" fontId="61" fillId="0" borderId="8" xfId="14" applyNumberFormat="1" applyFont="1" applyBorder="1" applyAlignment="1">
      <alignment horizontal="right" vertical="center"/>
    </xf>
    <xf numFmtId="166" fontId="61" fillId="4" borderId="4" xfId="0" applyNumberFormat="1" applyFont="1" applyFill="1" applyBorder="1" applyAlignment="1">
      <alignment horizontal="right"/>
    </xf>
    <xf numFmtId="167" fontId="61" fillId="0" borderId="4" xfId="1" applyNumberFormat="1" applyFont="1" applyBorder="1" applyAlignment="1">
      <alignment horizontal="right" vertical="center"/>
    </xf>
    <xf numFmtId="167" fontId="34" fillId="0" borderId="4" xfId="1" applyNumberFormat="1" applyFont="1" applyBorder="1" applyAlignment="1">
      <alignment horizontal="right" vertical="center"/>
    </xf>
    <xf numFmtId="167" fontId="61" fillId="0" borderId="12" xfId="1" applyNumberFormat="1" applyFont="1" applyBorder="1" applyAlignment="1">
      <alignment horizontal="right" vertical="center"/>
    </xf>
    <xf numFmtId="167" fontId="61" fillId="0" borderId="25" xfId="1" applyNumberFormat="1" applyFont="1" applyBorder="1" applyAlignment="1">
      <alignment horizontal="right" vertical="center"/>
    </xf>
    <xf numFmtId="167" fontId="34" fillId="0" borderId="12" xfId="1" applyNumberFormat="1" applyFont="1" applyBorder="1" applyAlignment="1">
      <alignment horizontal="right" vertical="center"/>
    </xf>
    <xf numFmtId="167" fontId="61" fillId="0" borderId="8" xfId="1" applyNumberFormat="1" applyFont="1" applyBorder="1" applyAlignment="1">
      <alignment horizontal="right" vertical="center"/>
    </xf>
    <xf numFmtId="166" fontId="31" fillId="0" borderId="8" xfId="0" applyNumberFormat="1" applyFont="1" applyBorder="1" applyAlignment="1">
      <alignment horizontal="right" vertical="center"/>
    </xf>
    <xf numFmtId="39" fontId="31" fillId="4" borderId="21" xfId="0" applyNumberFormat="1" applyFont="1" applyFill="1" applyBorder="1" applyAlignment="1">
      <alignment horizontal="right" vertical="center"/>
    </xf>
    <xf numFmtId="39" fontId="64" fillId="0" borderId="11" xfId="0" applyNumberFormat="1" applyFont="1" applyBorder="1" applyAlignment="1">
      <alignment horizontal="right" vertical="center"/>
    </xf>
    <xf numFmtId="39" fontId="64" fillId="0" borderId="12" xfId="0" applyNumberFormat="1" applyFont="1" applyBorder="1" applyAlignment="1">
      <alignment horizontal="right" vertical="center"/>
    </xf>
    <xf numFmtId="167" fontId="61" fillId="0" borderId="7" xfId="1" applyNumberFormat="1" applyFont="1" applyBorder="1" applyAlignment="1">
      <alignment horizontal="right" vertical="center"/>
    </xf>
    <xf numFmtId="43" fontId="31" fillId="0" borderId="21" xfId="0" applyNumberFormat="1" applyFont="1" applyBorder="1" applyAlignment="1">
      <alignment horizontal="right" vertical="center"/>
    </xf>
    <xf numFmtId="165" fontId="61" fillId="0" borderId="4" xfId="18" applyFont="1" applyBorder="1" applyAlignment="1">
      <alignment horizontal="right" vertical="center"/>
    </xf>
    <xf numFmtId="165" fontId="61" fillId="0" borderId="4" xfId="20" applyFont="1" applyBorder="1" applyAlignment="1">
      <alignment horizontal="right" vertical="center"/>
    </xf>
    <xf numFmtId="165" fontId="61" fillId="0" borderId="4" xfId="21" applyFont="1" applyBorder="1" applyAlignment="1">
      <alignment horizontal="right" vertical="center"/>
    </xf>
    <xf numFmtId="165" fontId="61" fillId="0" borderId="4" xfId="22" applyFont="1" applyBorder="1" applyAlignment="1">
      <alignment horizontal="right" vertical="center"/>
    </xf>
    <xf numFmtId="165" fontId="61" fillId="0" borderId="4" xfId="23" applyFont="1" applyBorder="1" applyAlignment="1">
      <alignment horizontal="right" vertical="center"/>
    </xf>
    <xf numFmtId="165" fontId="61" fillId="0" borderId="4" xfId="24" applyFont="1" applyBorder="1" applyAlignment="1">
      <alignment horizontal="right" vertical="center"/>
    </xf>
    <xf numFmtId="165" fontId="61" fillId="0" borderId="4" xfId="25" applyFont="1" applyBorder="1" applyAlignment="1">
      <alignment horizontal="right" vertical="center"/>
    </xf>
    <xf numFmtId="165" fontId="61" fillId="0" borderId="4" xfId="26" applyFont="1" applyBorder="1" applyAlignment="1">
      <alignment horizontal="right" vertical="center"/>
    </xf>
    <xf numFmtId="165" fontId="61" fillId="0" borderId="4" xfId="27" applyFont="1" applyBorder="1" applyAlignment="1">
      <alignment horizontal="right" vertical="center"/>
    </xf>
    <xf numFmtId="165" fontId="61" fillId="0" borderId="4" xfId="29" applyFont="1" applyBorder="1" applyAlignment="1">
      <alignment horizontal="right" vertical="center"/>
    </xf>
    <xf numFmtId="165" fontId="61" fillId="0" borderId="4" xfId="30" applyFont="1" applyBorder="1" applyAlignment="1">
      <alignment horizontal="right" vertical="center"/>
    </xf>
    <xf numFmtId="165" fontId="61" fillId="0" borderId="7" xfId="31" applyFont="1" applyBorder="1" applyAlignment="1">
      <alignment horizontal="right" vertical="center"/>
    </xf>
    <xf numFmtId="166" fontId="31" fillId="0" borderId="21" xfId="1" applyNumberFormat="1" applyFont="1" applyFill="1" applyBorder="1" applyAlignment="1">
      <alignment horizontal="right" vertical="center"/>
    </xf>
    <xf numFmtId="165" fontId="61" fillId="0" borderId="4" xfId="36" applyFont="1" applyBorder="1" applyAlignment="1">
      <alignment horizontal="right" vertical="center"/>
    </xf>
    <xf numFmtId="165" fontId="61" fillId="0" borderId="4" xfId="37" applyFont="1" applyBorder="1" applyAlignment="1">
      <alignment horizontal="right" vertical="center"/>
    </xf>
    <xf numFmtId="165" fontId="61" fillId="0" borderId="8" xfId="38" applyFont="1" applyBorder="1" applyAlignment="1">
      <alignment horizontal="right" vertical="center"/>
    </xf>
    <xf numFmtId="165" fontId="31" fillId="0" borderId="4" xfId="40" applyFont="1" applyBorder="1" applyAlignment="1">
      <alignment horizontal="right" vertical="center"/>
    </xf>
    <xf numFmtId="165" fontId="61" fillId="0" borderId="4" xfId="41" applyFont="1" applyBorder="1" applyAlignment="1">
      <alignment horizontal="right" vertical="center"/>
    </xf>
    <xf numFmtId="165" fontId="61" fillId="0" borderId="4" xfId="42" applyFont="1" applyBorder="1" applyAlignment="1">
      <alignment horizontal="right" vertical="center"/>
    </xf>
    <xf numFmtId="165" fontId="31" fillId="0" borderId="4" xfId="42" applyFont="1" applyBorder="1" applyAlignment="1">
      <alignment horizontal="right" vertical="center"/>
    </xf>
    <xf numFmtId="165" fontId="61" fillId="0" borderId="4" xfId="43" applyFont="1" applyBorder="1" applyAlignment="1">
      <alignment horizontal="right" vertical="center"/>
    </xf>
    <xf numFmtId="165" fontId="61" fillId="0" borderId="8" xfId="43" applyFont="1" applyBorder="1" applyAlignment="1">
      <alignment horizontal="right" vertical="center"/>
    </xf>
    <xf numFmtId="2" fontId="61" fillId="0" borderId="4" xfId="0" applyNumberFormat="1" applyFont="1" applyBorder="1" applyAlignment="1">
      <alignment horizontal="right" vertical="center"/>
    </xf>
    <xf numFmtId="165" fontId="61" fillId="0" borderId="4" xfId="46" applyFont="1" applyBorder="1" applyAlignment="1">
      <alignment horizontal="right" vertical="center"/>
    </xf>
    <xf numFmtId="165" fontId="34" fillId="0" borderId="4" xfId="46" applyFont="1" applyBorder="1" applyAlignment="1">
      <alignment horizontal="right" vertical="center"/>
    </xf>
    <xf numFmtId="165" fontId="31" fillId="0" borderId="4" xfId="47" applyFont="1" applyBorder="1" applyAlignment="1">
      <alignment horizontal="right" vertical="center"/>
    </xf>
    <xf numFmtId="165" fontId="61" fillId="0" borderId="4" xfId="49" applyFont="1" applyBorder="1" applyAlignment="1">
      <alignment horizontal="right" vertical="center"/>
    </xf>
    <xf numFmtId="165" fontId="61" fillId="0" borderId="4" xfId="50" applyFont="1" applyBorder="1" applyAlignment="1">
      <alignment horizontal="right" vertical="center"/>
    </xf>
    <xf numFmtId="166" fontId="61" fillId="0" borderId="12" xfId="58" applyNumberFormat="1" applyFont="1" applyBorder="1" applyAlignment="1">
      <alignment horizontal="right" vertical="center"/>
    </xf>
    <xf numFmtId="165" fontId="61" fillId="0" borderId="4" xfId="53" applyFont="1" applyBorder="1" applyAlignment="1">
      <alignment horizontal="right" vertical="center"/>
    </xf>
    <xf numFmtId="166" fontId="61" fillId="0" borderId="8" xfId="1" applyNumberFormat="1" applyFont="1" applyBorder="1" applyAlignment="1" applyProtection="1">
      <alignment horizontal="right" vertical="center"/>
    </xf>
    <xf numFmtId="166" fontId="61" fillId="0" borderId="12" xfId="1" applyNumberFormat="1" applyFont="1" applyBorder="1" applyAlignment="1" applyProtection="1">
      <alignment horizontal="right" vertical="center"/>
    </xf>
    <xf numFmtId="166" fontId="31" fillId="0" borderId="12" xfId="58" applyNumberFormat="1" applyFont="1" applyFill="1" applyBorder="1" applyAlignment="1">
      <alignment horizontal="right" vertical="center"/>
    </xf>
    <xf numFmtId="166" fontId="31" fillId="0" borderId="4" xfId="58" applyNumberFormat="1" applyFont="1" applyFill="1" applyBorder="1" applyAlignment="1">
      <alignment horizontal="right" vertical="center"/>
    </xf>
    <xf numFmtId="166" fontId="61" fillId="0" borderId="7" xfId="1" applyNumberFormat="1" applyFont="1" applyBorder="1" applyAlignment="1" applyProtection="1">
      <alignment horizontal="right" vertical="center"/>
    </xf>
    <xf numFmtId="166" fontId="61" fillId="0" borderId="4" xfId="1" applyNumberFormat="1" applyFont="1" applyBorder="1" applyAlignment="1" applyProtection="1">
      <alignment horizontal="right" vertical="center"/>
    </xf>
    <xf numFmtId="166" fontId="31" fillId="0" borderId="4" xfId="1" applyNumberFormat="1" applyFont="1" applyFill="1" applyBorder="1" applyAlignment="1" applyProtection="1">
      <alignment horizontal="right" vertical="center"/>
    </xf>
    <xf numFmtId="39" fontId="61" fillId="0" borderId="4" xfId="1" applyNumberFormat="1" applyFont="1" applyBorder="1" applyAlignment="1" applyProtection="1">
      <alignment horizontal="right" vertical="center"/>
    </xf>
    <xf numFmtId="166" fontId="61" fillId="0" borderId="4" xfId="58" applyNumberFormat="1" applyFont="1" applyFill="1" applyBorder="1" applyAlignment="1" applyProtection="1">
      <alignment horizontal="right" vertical="center"/>
    </xf>
    <xf numFmtId="166" fontId="61" fillId="0" borderId="4" xfId="58" applyNumberFormat="1" applyFont="1" applyBorder="1" applyAlignment="1" applyProtection="1">
      <alignment horizontal="right" vertical="center"/>
    </xf>
    <xf numFmtId="166" fontId="31" fillId="3" borderId="4" xfId="58" applyNumberFormat="1" applyFont="1" applyFill="1" applyBorder="1" applyAlignment="1">
      <alignment horizontal="right" vertical="center"/>
    </xf>
    <xf numFmtId="2" fontId="31" fillId="3" borderId="4" xfId="0" applyNumberFormat="1" applyFont="1" applyFill="1" applyBorder="1" applyAlignment="1">
      <alignment horizontal="right" vertical="center"/>
    </xf>
    <xf numFmtId="166" fontId="31" fillId="0" borderId="46" xfId="1" applyNumberFormat="1" applyFont="1" applyBorder="1" applyAlignment="1">
      <alignment horizontal="right" vertical="center"/>
    </xf>
    <xf numFmtId="166" fontId="34" fillId="0" borderId="0" xfId="1" applyNumberFormat="1" applyFont="1" applyBorder="1" applyAlignment="1">
      <alignment horizontal="right" vertical="center"/>
    </xf>
    <xf numFmtId="39" fontId="69" fillId="0" borderId="4" xfId="0" quotePrefix="1" applyNumberFormat="1" applyFont="1" applyBorder="1" applyAlignment="1">
      <alignment horizontal="right" vertical="center"/>
    </xf>
    <xf numFmtId="165" fontId="34" fillId="0" borderId="0" xfId="0" applyNumberFormat="1" applyFont="1" applyAlignment="1"/>
    <xf numFmtId="0" fontId="34" fillId="0" borderId="0" xfId="0" applyFont="1" applyAlignment="1">
      <alignment horizontal="right" indent="1"/>
    </xf>
    <xf numFmtId="0" fontId="34" fillId="0" borderId="0" xfId="0" applyFont="1" applyAlignment="1">
      <alignment horizontal="right" vertical="center" wrapText="1" indent="1"/>
    </xf>
    <xf numFmtId="166" fontId="34" fillId="0" borderId="0" xfId="58" applyNumberFormat="1" applyFont="1" applyAlignment="1"/>
    <xf numFmtId="4" fontId="61" fillId="0" borderId="22" xfId="0" applyNumberFormat="1" applyFont="1" applyBorder="1" applyAlignment="1">
      <alignment horizontal="right" vertical="center"/>
    </xf>
    <xf numFmtId="41" fontId="31" fillId="6" borderId="22" xfId="58" applyFont="1" applyFill="1" applyBorder="1" applyAlignment="1">
      <alignment horizontal="right" vertical="center"/>
    </xf>
    <xf numFmtId="167" fontId="34" fillId="6" borderId="22" xfId="1" applyNumberFormat="1" applyFont="1" applyFill="1" applyBorder="1" applyAlignment="1">
      <alignment vertical="center"/>
    </xf>
    <xf numFmtId="4" fontId="31" fillId="6" borderId="22" xfId="1" applyNumberFormat="1" applyFont="1" applyFill="1" applyBorder="1" applyAlignment="1">
      <alignment vertical="center"/>
    </xf>
    <xf numFmtId="41" fontId="27" fillId="0" borderId="0" xfId="58" applyFont="1" applyAlignment="1">
      <alignment vertical="center"/>
    </xf>
    <xf numFmtId="166" fontId="57" fillId="0" borderId="4" xfId="58" applyNumberFormat="1" applyFont="1" applyBorder="1" applyAlignment="1">
      <alignment horizontal="right" vertical="center"/>
    </xf>
    <xf numFmtId="0" fontId="109" fillId="0" borderId="7" xfId="0" applyFont="1" applyBorder="1" applyAlignment="1">
      <alignment horizontal="left" vertical="center" wrapText="1"/>
    </xf>
    <xf numFmtId="0" fontId="28" fillId="0" borderId="4" xfId="0" applyFont="1" applyBorder="1" applyAlignment="1">
      <alignment vertical="center" wrapText="1"/>
    </xf>
    <xf numFmtId="0" fontId="64" fillId="0" borderId="20" xfId="9" applyFont="1" applyBorder="1" applyAlignment="1">
      <alignment horizontal="left" vertical="center"/>
    </xf>
    <xf numFmtId="0" fontId="50" fillId="0" borderId="4" xfId="0" applyFont="1" applyBorder="1" applyAlignment="1">
      <alignment vertical="center" wrapText="1"/>
    </xf>
    <xf numFmtId="0" fontId="110" fillId="0" borderId="20" xfId="0" applyFont="1" applyFill="1" applyBorder="1" applyAlignment="1">
      <alignment vertical="top"/>
    </xf>
    <xf numFmtId="0" fontId="110" fillId="0" borderId="4" xfId="0" applyFont="1" applyFill="1" applyBorder="1" applyAlignment="1">
      <alignment vertical="top"/>
    </xf>
    <xf numFmtId="4" fontId="61" fillId="0" borderId="4" xfId="0" applyNumberFormat="1" applyFont="1" applyBorder="1"/>
    <xf numFmtId="43" fontId="61" fillId="0" borderId="4" xfId="60" applyNumberFormat="1" applyFont="1" applyFill="1" applyBorder="1" applyAlignment="1">
      <alignment horizontal="left" vertical="center"/>
    </xf>
    <xf numFmtId="166" fontId="118" fillId="0" borderId="4" xfId="0" applyNumberFormat="1" applyFont="1" applyBorder="1" applyAlignment="1">
      <alignment vertical="center" wrapText="1"/>
    </xf>
    <xf numFmtId="166" fontId="110" fillId="0" borderId="4" xfId="0" applyNumberFormat="1" applyFont="1" applyBorder="1" applyAlignment="1">
      <alignment vertical="top"/>
    </xf>
    <xf numFmtId="166" fontId="61" fillId="0" borderId="7" xfId="7" applyNumberFormat="1" applyFont="1" applyBorder="1" applyAlignment="1">
      <alignment vertical="center"/>
    </xf>
    <xf numFmtId="0" fontId="61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119" fillId="0" borderId="4" xfId="0" applyFont="1" applyBorder="1" applyAlignment="1">
      <alignment horizontal="left" vertical="center" wrapText="1"/>
    </xf>
    <xf numFmtId="0" fontId="38" fillId="0" borderId="4" xfId="10" applyFont="1" applyBorder="1" applyAlignment="1">
      <alignment vertical="center" wrapText="1"/>
    </xf>
    <xf numFmtId="0" fontId="10" fillId="0" borderId="0" xfId="0" applyFont="1"/>
    <xf numFmtId="49" fontId="64" fillId="0" borderId="11" xfId="0" applyNumberFormat="1" applyFont="1" applyBorder="1" applyAlignment="1">
      <alignment horizontal="center" vertical="center"/>
    </xf>
    <xf numFmtId="166" fontId="64" fillId="0" borderId="11" xfId="1" applyNumberFormat="1" applyFont="1" applyBorder="1" applyAlignment="1">
      <alignment vertical="center"/>
    </xf>
    <xf numFmtId="4" fontId="64" fillId="0" borderId="11" xfId="1" applyNumberFormat="1" applyFont="1" applyBorder="1" applyAlignment="1">
      <alignment horizontal="right" vertical="center"/>
    </xf>
    <xf numFmtId="4" fontId="64" fillId="0" borderId="11" xfId="1" applyNumberFormat="1" applyFont="1" applyFill="1" applyBorder="1" applyAlignment="1">
      <alignment vertical="center"/>
    </xf>
    <xf numFmtId="4" fontId="64" fillId="0" borderId="11" xfId="1" applyNumberFormat="1" applyFont="1" applyFill="1" applyBorder="1" applyAlignment="1">
      <alignment horizontal="right" vertical="center"/>
    </xf>
    <xf numFmtId="166" fontId="64" fillId="0" borderId="11" xfId="1" applyNumberFormat="1" applyFont="1" applyBorder="1" applyAlignment="1"/>
    <xf numFmtId="0" fontId="64" fillId="0" borderId="4" xfId="0" applyFont="1" applyBorder="1"/>
    <xf numFmtId="0" fontId="120" fillId="0" borderId="0" xfId="0" applyFont="1"/>
    <xf numFmtId="166" fontId="120" fillId="0" borderId="0" xfId="1" applyNumberFormat="1" applyFont="1"/>
    <xf numFmtId="0" fontId="34" fillId="0" borderId="4" xfId="0" applyFont="1" applyBorder="1" applyAlignment="1"/>
    <xf numFmtId="4" fontId="22" fillId="0" borderId="25" xfId="1" applyNumberFormat="1" applyFont="1" applyBorder="1" applyAlignment="1">
      <alignment horizontal="right" vertical="center"/>
    </xf>
    <xf numFmtId="4" fontId="43" fillId="0" borderId="25" xfId="1" applyNumberFormat="1" applyFont="1" applyFill="1" applyBorder="1" applyAlignment="1">
      <alignment horizontal="right" vertical="center"/>
    </xf>
    <xf numFmtId="4" fontId="43" fillId="0" borderId="7" xfId="1" applyNumberFormat="1" applyFont="1" applyBorder="1" applyAlignment="1">
      <alignment horizontal="right" vertical="center" indent="1"/>
    </xf>
    <xf numFmtId="4" fontId="39" fillId="0" borderId="8" xfId="1" applyNumberFormat="1" applyFont="1" applyFill="1" applyBorder="1" applyAlignment="1">
      <alignment horizontal="right" vertical="center"/>
    </xf>
    <xf numFmtId="4" fontId="39" fillId="0" borderId="8" xfId="1" applyNumberFormat="1" applyFont="1" applyFill="1" applyBorder="1" applyAlignment="1">
      <alignment vertical="center"/>
    </xf>
    <xf numFmtId="41" fontId="18" fillId="0" borderId="0" xfId="1" applyFont="1"/>
    <xf numFmtId="41" fontId="9" fillId="0" borderId="0" xfId="1" applyFont="1"/>
    <xf numFmtId="43" fontId="43" fillId="0" borderId="25" xfId="0" applyNumberFormat="1" applyFont="1" applyFill="1" applyBorder="1" applyAlignment="1">
      <alignment horizontal="right" vertical="center"/>
    </xf>
    <xf numFmtId="43" fontId="43" fillId="0" borderId="12" xfId="0" applyNumberFormat="1" applyFont="1" applyBorder="1" applyAlignment="1">
      <alignment horizontal="left" vertical="center"/>
    </xf>
    <xf numFmtId="43" fontId="39" fillId="8" borderId="11" xfId="0" applyNumberFormat="1" applyFont="1" applyFill="1" applyBorder="1" applyAlignment="1">
      <alignment horizontal="left" vertical="center"/>
    </xf>
    <xf numFmtId="43" fontId="43" fillId="0" borderId="8" xfId="0" applyNumberFormat="1" applyFont="1" applyFill="1" applyBorder="1" applyAlignment="1">
      <alignment horizontal="left" vertical="center"/>
    </xf>
    <xf numFmtId="0" fontId="39" fillId="0" borderId="11" xfId="9" applyFont="1" applyBorder="1" applyAlignment="1">
      <alignment vertical="center" wrapText="1"/>
    </xf>
    <xf numFmtId="43" fontId="39" fillId="0" borderId="11" xfId="9" applyNumberFormat="1" applyFont="1" applyBorder="1" applyAlignment="1">
      <alignment vertical="center" wrapText="1"/>
    </xf>
    <xf numFmtId="43" fontId="39" fillId="5" borderId="11" xfId="0" applyNumberFormat="1" applyFont="1" applyFill="1" applyBorder="1" applyAlignment="1">
      <alignment horizontal="left" vertical="center"/>
    </xf>
    <xf numFmtId="43" fontId="39" fillId="0" borderId="22" xfId="0" applyNumberFormat="1" applyFont="1" applyFill="1" applyBorder="1" applyAlignment="1">
      <alignment horizontal="left" vertical="center"/>
    </xf>
    <xf numFmtId="43" fontId="43" fillId="0" borderId="25" xfId="0" applyNumberFormat="1" applyFont="1" applyBorder="1" applyAlignment="1">
      <alignment horizontal="left" vertical="center"/>
    </xf>
    <xf numFmtId="43" fontId="39" fillId="0" borderId="12" xfId="0" applyNumberFormat="1" applyFont="1" applyBorder="1" applyAlignment="1">
      <alignment horizontal="left" vertical="center"/>
    </xf>
    <xf numFmtId="43" fontId="39" fillId="0" borderId="4" xfId="0" applyNumberFormat="1" applyFont="1" applyBorder="1" applyAlignment="1">
      <alignment horizontal="left" vertical="center"/>
    </xf>
    <xf numFmtId="43" fontId="39" fillId="0" borderId="21" xfId="0" applyNumberFormat="1" applyFont="1" applyBorder="1" applyAlignment="1">
      <alignment horizontal="left" vertical="center"/>
    </xf>
    <xf numFmtId="43" fontId="39" fillId="12" borderId="11" xfId="0" applyNumberFormat="1" applyFont="1" applyFill="1" applyBorder="1" applyAlignment="1">
      <alignment horizontal="left" vertical="center"/>
    </xf>
    <xf numFmtId="39" fontId="39" fillId="0" borderId="11" xfId="0" applyNumberFormat="1" applyFont="1" applyBorder="1" applyAlignment="1">
      <alignment vertical="center"/>
    </xf>
    <xf numFmtId="0" fontId="43" fillId="6" borderId="8" xfId="0" applyFont="1" applyFill="1" applyBorder="1" applyAlignment="1">
      <alignment vertical="center" wrapText="1"/>
    </xf>
    <xf numFmtId="0" fontId="43" fillId="6" borderId="7" xfId="0" applyFont="1" applyFill="1" applyBorder="1" applyAlignment="1">
      <alignment vertical="center" wrapText="1"/>
    </xf>
    <xf numFmtId="39" fontId="39" fillId="5" borderId="11" xfId="0" applyNumberFormat="1" applyFont="1" applyFill="1" applyBorder="1" applyAlignment="1">
      <alignment vertical="center"/>
    </xf>
    <xf numFmtId="39" fontId="39" fillId="0" borderId="22" xfId="0" applyNumberFormat="1" applyFont="1" applyFill="1" applyBorder="1" applyAlignment="1">
      <alignment vertical="center"/>
    </xf>
    <xf numFmtId="43" fontId="39" fillId="5" borderId="11" xfId="2" applyFont="1" applyFill="1" applyBorder="1" applyAlignment="1">
      <alignment horizontal="left" vertical="center"/>
    </xf>
    <xf numFmtId="43" fontId="39" fillId="0" borderId="22" xfId="2" applyFont="1" applyFill="1" applyBorder="1" applyAlignment="1">
      <alignment horizontal="left" vertical="center"/>
    </xf>
    <xf numFmtId="0" fontId="39" fillId="5" borderId="11" xfId="0" applyFont="1" applyFill="1" applyBorder="1" applyAlignment="1">
      <alignment vertical="center" wrapText="1"/>
    </xf>
    <xf numFmtId="43" fontId="44" fillId="0" borderId="8" xfId="2" applyFont="1" applyBorder="1" applyAlignment="1">
      <alignment horizontal="left" vertical="center"/>
    </xf>
    <xf numFmtId="43" fontId="43" fillId="0" borderId="7" xfId="2" applyFont="1" applyBorder="1" applyAlignment="1">
      <alignment horizontal="left" vertical="center"/>
    </xf>
    <xf numFmtId="43" fontId="43" fillId="0" borderId="8" xfId="2" applyFont="1" applyBorder="1" applyAlignment="1">
      <alignment horizontal="left" vertical="center"/>
    </xf>
    <xf numFmtId="0" fontId="39" fillId="0" borderId="22" xfId="0" applyFont="1" applyBorder="1" applyAlignment="1">
      <alignment vertical="center" wrapText="1"/>
    </xf>
    <xf numFmtId="39" fontId="43" fillId="0" borderId="25" xfId="0" applyNumberFormat="1" applyFont="1" applyBorder="1" applyAlignment="1">
      <alignment vertical="center"/>
    </xf>
    <xf numFmtId="43" fontId="39" fillId="0" borderId="8" xfId="0" applyNumberFormat="1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166" fontId="121" fillId="0" borderId="0" xfId="58" applyNumberFormat="1" applyFont="1"/>
    <xf numFmtId="165" fontId="121" fillId="0" borderId="0" xfId="0" applyNumberFormat="1" applyFont="1"/>
    <xf numFmtId="166" fontId="5" fillId="0" borderId="0" xfId="0" applyNumberFormat="1" applyFont="1"/>
    <xf numFmtId="165" fontId="5" fillId="0" borderId="0" xfId="0" applyNumberFormat="1" applyFont="1"/>
    <xf numFmtId="166" fontId="50" fillId="0" borderId="0" xfId="1" applyNumberFormat="1" applyFont="1" applyAlignment="1">
      <alignment horizontal="center"/>
    </xf>
    <xf numFmtId="0" fontId="50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0" fontId="34" fillId="0" borderId="0" xfId="0" applyFont="1"/>
    <xf numFmtId="166" fontId="31" fillId="0" borderId="0" xfId="1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right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166" fontId="39" fillId="0" borderId="0" xfId="1" applyNumberFormat="1" applyFont="1" applyAlignment="1">
      <alignment horizontal="center"/>
    </xf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center"/>
    </xf>
    <xf numFmtId="0" fontId="23" fillId="0" borderId="65" xfId="0" applyFont="1" applyBorder="1" applyAlignment="1">
      <alignment horizontal="center" vertical="center"/>
    </xf>
    <xf numFmtId="0" fontId="29" fillId="0" borderId="75" xfId="0" quotePrefix="1" applyFont="1" applyBorder="1" applyAlignment="1">
      <alignment horizontal="center" vertical="center"/>
    </xf>
    <xf numFmtId="43" fontId="61" fillId="0" borderId="8" xfId="2" applyFont="1" applyFill="1" applyBorder="1" applyAlignment="1">
      <alignment vertical="center"/>
    </xf>
    <xf numFmtId="0" fontId="61" fillId="0" borderId="0" xfId="0" applyFont="1" applyAlignment="1">
      <alignment vertical="center" wrapText="1"/>
    </xf>
    <xf numFmtId="0" fontId="50" fillId="0" borderId="11" xfId="0" applyFont="1" applyFill="1" applyBorder="1" applyAlignment="1">
      <alignment vertical="top" wrapText="1"/>
    </xf>
    <xf numFmtId="0" fontId="31" fillId="6" borderId="4" xfId="0" applyFont="1" applyFill="1" applyBorder="1" applyAlignment="1">
      <alignment vertical="center" wrapText="1"/>
    </xf>
    <xf numFmtId="167" fontId="31" fillId="4" borderId="11" xfId="0" applyNumberFormat="1" applyFont="1" applyFill="1" applyBorder="1" applyAlignment="1">
      <alignment vertical="center"/>
    </xf>
    <xf numFmtId="39" fontId="78" fillId="0" borderId="4" xfId="0" applyNumberFormat="1" applyFont="1" applyFill="1" applyBorder="1" applyAlignment="1">
      <alignment vertical="top"/>
    </xf>
    <xf numFmtId="166" fontId="30" fillId="0" borderId="8" xfId="7" applyNumberFormat="1" applyFont="1" applyFill="1" applyBorder="1" applyAlignment="1">
      <alignment horizontal="right" vertical="center" wrapText="1"/>
    </xf>
    <xf numFmtId="166" fontId="30" fillId="0" borderId="7" xfId="1" applyNumberFormat="1" applyFont="1" applyFill="1" applyBorder="1" applyAlignment="1">
      <alignment vertical="center"/>
    </xf>
    <xf numFmtId="41" fontId="70" fillId="0" borderId="4" xfId="58" applyFont="1" applyFill="1" applyBorder="1" applyAlignment="1">
      <alignment horizontal="center"/>
    </xf>
    <xf numFmtId="39" fontId="61" fillId="0" borderId="12" xfId="0" quotePrefix="1" applyNumberFormat="1" applyFont="1" applyFill="1" applyBorder="1" applyAlignment="1">
      <alignment horizontal="right" vertical="center"/>
    </xf>
    <xf numFmtId="166" fontId="34" fillId="0" borderId="4" xfId="58" applyNumberFormat="1" applyFont="1" applyBorder="1" applyAlignment="1">
      <alignment horizontal="right" vertical="center"/>
    </xf>
    <xf numFmtId="41" fontId="34" fillId="0" borderId="7" xfId="58" applyFont="1" applyBorder="1" applyAlignment="1">
      <alignment horizontal="right" vertical="center"/>
    </xf>
    <xf numFmtId="166" fontId="34" fillId="0" borderId="0" xfId="58" applyNumberFormat="1" applyFont="1" applyAlignment="1">
      <alignment horizontal="right" vertical="center"/>
    </xf>
    <xf numFmtId="166" fontId="31" fillId="2" borderId="46" xfId="58" applyNumberFormat="1" applyFont="1" applyFill="1" applyBorder="1" applyAlignment="1">
      <alignment horizontal="right" vertical="center"/>
    </xf>
    <xf numFmtId="166" fontId="31" fillId="0" borderId="8" xfId="58" applyNumberFormat="1" applyFont="1" applyFill="1" applyBorder="1" applyAlignment="1">
      <alignment horizontal="right" vertical="center"/>
    </xf>
    <xf numFmtId="166" fontId="31" fillId="0" borderId="12" xfId="58" quotePrefix="1" applyNumberFormat="1" applyFont="1" applyFill="1" applyBorder="1" applyAlignment="1">
      <alignment horizontal="right" vertical="center"/>
    </xf>
    <xf numFmtId="166" fontId="61" fillId="0" borderId="4" xfId="58" quotePrefix="1" applyNumberFormat="1" applyFont="1" applyBorder="1" applyAlignment="1">
      <alignment horizontal="right" vertical="center" wrapText="1"/>
    </xf>
    <xf numFmtId="166" fontId="61" fillId="0" borderId="4" xfId="58" quotePrefix="1" applyNumberFormat="1" applyFont="1" applyFill="1" applyBorder="1" applyAlignment="1">
      <alignment horizontal="right" vertical="center"/>
    </xf>
    <xf numFmtId="166" fontId="34" fillId="0" borderId="7" xfId="58" applyNumberFormat="1" applyFont="1" applyFill="1" applyBorder="1" applyAlignment="1">
      <alignment horizontal="right" vertical="center"/>
    </xf>
    <xf numFmtId="166" fontId="34" fillId="0" borderId="7" xfId="58" applyNumberFormat="1" applyFont="1" applyBorder="1" applyAlignment="1">
      <alignment horizontal="right" vertical="center"/>
    </xf>
    <xf numFmtId="166" fontId="61" fillId="0" borderId="7" xfId="58" applyNumberFormat="1" applyFont="1" applyFill="1" applyBorder="1" applyAlignment="1">
      <alignment horizontal="right" vertical="center"/>
    </xf>
    <xf numFmtId="166" fontId="61" fillId="0" borderId="12" xfId="58" applyNumberFormat="1" applyFont="1" applyFill="1" applyBorder="1" applyAlignment="1">
      <alignment horizontal="right" vertical="center"/>
    </xf>
    <xf numFmtId="166" fontId="61" fillId="0" borderId="4" xfId="58" quotePrefix="1" applyNumberFormat="1" applyFont="1" applyFill="1" applyBorder="1" applyAlignment="1">
      <alignment horizontal="right" vertical="center" indent="1"/>
    </xf>
    <xf numFmtId="166" fontId="61" fillId="0" borderId="11" xfId="58" applyNumberFormat="1" applyFont="1" applyFill="1" applyBorder="1" applyAlignment="1">
      <alignment horizontal="right" vertical="center"/>
    </xf>
    <xf numFmtId="166" fontId="61" fillId="0" borderId="8" xfId="58" applyNumberFormat="1" applyFont="1" applyFill="1" applyBorder="1" applyAlignment="1">
      <alignment horizontal="right" vertical="center"/>
    </xf>
    <xf numFmtId="166" fontId="31" fillId="0" borderId="7" xfId="58" applyNumberFormat="1" applyFont="1" applyFill="1" applyBorder="1" applyAlignment="1">
      <alignment horizontal="right" vertical="center"/>
    </xf>
    <xf numFmtId="166" fontId="61" fillId="0" borderId="7" xfId="58" quotePrefix="1" applyNumberFormat="1" applyFont="1" applyFill="1" applyBorder="1" applyAlignment="1">
      <alignment horizontal="right" vertical="center"/>
    </xf>
    <xf numFmtId="166" fontId="31" fillId="2" borderId="4" xfId="58" applyNumberFormat="1" applyFont="1" applyFill="1" applyBorder="1" applyAlignment="1">
      <alignment horizontal="right" vertical="center"/>
    </xf>
    <xf numFmtId="166" fontId="31" fillId="7" borderId="11" xfId="58" applyNumberFormat="1" applyFont="1" applyFill="1" applyBorder="1" applyAlignment="1">
      <alignment horizontal="right" vertical="center"/>
    </xf>
    <xf numFmtId="166" fontId="61" fillId="0" borderId="8" xfId="58" quotePrefix="1" applyNumberFormat="1" applyFont="1" applyBorder="1" applyAlignment="1">
      <alignment horizontal="right" vertical="center"/>
    </xf>
    <xf numFmtId="166" fontId="31" fillId="0" borderId="12" xfId="58" applyNumberFormat="1" applyFont="1" applyBorder="1" applyAlignment="1">
      <alignment horizontal="right" vertical="center" wrapText="1"/>
    </xf>
    <xf numFmtId="166" fontId="31" fillId="0" borderId="4" xfId="58" applyNumberFormat="1" applyFont="1" applyBorder="1" applyAlignment="1">
      <alignment horizontal="right" vertical="center" wrapText="1"/>
    </xf>
    <xf numFmtId="166" fontId="31" fillId="0" borderId="21" xfId="58" applyNumberFormat="1" applyFont="1" applyBorder="1" applyAlignment="1">
      <alignment horizontal="right" vertical="center" wrapText="1"/>
    </xf>
    <xf numFmtId="166" fontId="34" fillId="0" borderId="8" xfId="58" applyNumberFormat="1" applyFont="1" applyBorder="1" applyAlignment="1">
      <alignment horizontal="right" vertical="center"/>
    </xf>
    <xf numFmtId="166" fontId="31" fillId="0" borderId="7" xfId="58" applyNumberFormat="1" applyFont="1" applyBorder="1" applyAlignment="1">
      <alignment horizontal="right" vertical="center"/>
    </xf>
    <xf numFmtId="166" fontId="61" fillId="0" borderId="8" xfId="58" applyNumberFormat="1" applyFont="1" applyBorder="1" applyAlignment="1">
      <alignment horizontal="right" vertical="center"/>
    </xf>
    <xf numFmtId="166" fontId="34" fillId="0" borderId="12" xfId="58" applyNumberFormat="1" applyFont="1" applyBorder="1" applyAlignment="1">
      <alignment horizontal="right" vertical="center"/>
    </xf>
    <xf numFmtId="166" fontId="31" fillId="0" borderId="22" xfId="58" applyNumberFormat="1" applyFont="1" applyFill="1" applyBorder="1" applyAlignment="1">
      <alignment horizontal="right" vertical="center"/>
    </xf>
    <xf numFmtId="166" fontId="31" fillId="0" borderId="11" xfId="58" applyNumberFormat="1" applyFont="1" applyBorder="1" applyAlignment="1">
      <alignment horizontal="right" vertical="center" wrapText="1"/>
    </xf>
    <xf numFmtId="166" fontId="31" fillId="0" borderId="8" xfId="58" applyNumberFormat="1" applyFont="1" applyBorder="1" applyAlignment="1">
      <alignment horizontal="right" vertical="center"/>
    </xf>
    <xf numFmtId="166" fontId="61" fillId="0" borderId="4" xfId="58" applyNumberFormat="1" applyFont="1" applyBorder="1" applyAlignment="1">
      <alignment horizontal="right" vertical="center" wrapText="1"/>
    </xf>
    <xf numFmtId="166" fontId="61" fillId="0" borderId="7" xfId="58" applyNumberFormat="1" applyFont="1" applyBorder="1" applyAlignment="1">
      <alignment horizontal="right" vertical="center" wrapText="1"/>
    </xf>
    <xf numFmtId="166" fontId="61" fillId="0" borderId="8" xfId="58" applyNumberFormat="1" applyFont="1" applyBorder="1" applyAlignment="1">
      <alignment horizontal="right" vertical="center" wrapText="1"/>
    </xf>
    <xf numFmtId="166" fontId="34" fillId="0" borderId="4" xfId="58" applyNumberFormat="1" applyFont="1" applyBorder="1" applyAlignment="1">
      <alignment horizontal="right" vertical="center" wrapText="1"/>
    </xf>
    <xf numFmtId="166" fontId="61" fillId="0" borderId="12" xfId="58" applyNumberFormat="1" applyFont="1" applyBorder="1" applyAlignment="1">
      <alignment horizontal="right" vertical="center" wrapText="1"/>
    </xf>
    <xf numFmtId="166" fontId="31" fillId="0" borderId="21" xfId="58" applyNumberFormat="1" applyFont="1" applyBorder="1" applyAlignment="1">
      <alignment horizontal="right" vertical="center"/>
    </xf>
    <xf numFmtId="166" fontId="61" fillId="0" borderId="25" xfId="58" applyNumberFormat="1" applyFont="1" applyBorder="1" applyAlignment="1">
      <alignment horizontal="right" vertical="center"/>
    </xf>
    <xf numFmtId="166" fontId="31" fillId="0" borderId="22" xfId="58" applyNumberFormat="1" applyFont="1" applyBorder="1" applyAlignment="1">
      <alignment horizontal="right" vertical="center"/>
    </xf>
    <xf numFmtId="166" fontId="31" fillId="0" borderId="8" xfId="58" applyNumberFormat="1" applyFont="1" applyBorder="1" applyAlignment="1">
      <alignment horizontal="right" vertical="center" wrapText="1"/>
    </xf>
    <xf numFmtId="166" fontId="31" fillId="0" borderId="22" xfId="58" applyNumberFormat="1" applyFont="1" applyBorder="1" applyAlignment="1">
      <alignment horizontal="right" vertical="center" wrapText="1"/>
    </xf>
    <xf numFmtId="166" fontId="31" fillId="0" borderId="17" xfId="58" applyNumberFormat="1" applyFont="1" applyBorder="1" applyAlignment="1">
      <alignment horizontal="right" vertical="center" wrapText="1"/>
    </xf>
    <xf numFmtId="166" fontId="61" fillId="0" borderId="22" xfId="58" applyNumberFormat="1" applyFont="1" applyFill="1" applyBorder="1" applyAlignment="1">
      <alignment horizontal="right" vertical="center"/>
    </xf>
    <xf numFmtId="166" fontId="31" fillId="0" borderId="12" xfId="58" quotePrefix="1" applyNumberFormat="1" applyFont="1" applyBorder="1" applyAlignment="1">
      <alignment horizontal="right" vertical="center"/>
    </xf>
    <xf numFmtId="166" fontId="34" fillId="0" borderId="12" xfId="58" quotePrefix="1" applyNumberFormat="1" applyFont="1" applyBorder="1" applyAlignment="1">
      <alignment horizontal="right" vertical="center"/>
    </xf>
    <xf numFmtId="166" fontId="61" fillId="0" borderId="12" xfId="58" quotePrefix="1" applyNumberFormat="1" applyFont="1" applyBorder="1" applyAlignment="1">
      <alignment horizontal="right" vertical="center"/>
    </xf>
    <xf numFmtId="166" fontId="61" fillId="0" borderId="4" xfId="58" quotePrefix="1" applyNumberFormat="1" applyFont="1" applyBorder="1" applyAlignment="1">
      <alignment horizontal="right" vertical="center"/>
    </xf>
    <xf numFmtId="166" fontId="34" fillId="0" borderId="25" xfId="58" applyNumberFormat="1" applyFont="1" applyBorder="1" applyAlignment="1">
      <alignment horizontal="right" vertical="center"/>
    </xf>
    <xf numFmtId="166" fontId="61" fillId="6" borderId="4" xfId="58" applyNumberFormat="1" applyFont="1" applyFill="1" applyBorder="1" applyAlignment="1">
      <alignment horizontal="right" vertical="center"/>
    </xf>
    <xf numFmtId="166" fontId="31" fillId="6" borderId="4" xfId="58" applyNumberFormat="1" applyFont="1" applyFill="1" applyBorder="1" applyAlignment="1">
      <alignment horizontal="right" vertical="center"/>
    </xf>
    <xf numFmtId="166" fontId="34" fillId="0" borderId="4" xfId="58" applyNumberFormat="1" applyFont="1" applyFill="1" applyBorder="1" applyAlignment="1">
      <alignment horizontal="right" vertical="center"/>
    </xf>
    <xf numFmtId="166" fontId="61" fillId="4" borderId="7" xfId="58" applyNumberFormat="1" applyFont="1" applyFill="1" applyBorder="1" applyAlignment="1">
      <alignment horizontal="right" vertical="center" wrapText="1"/>
    </xf>
    <xf numFmtId="166" fontId="61" fillId="4" borderId="12" xfId="58" applyNumberFormat="1" applyFont="1" applyFill="1" applyBorder="1" applyAlignment="1">
      <alignment horizontal="right" vertical="center" wrapText="1"/>
    </xf>
    <xf numFmtId="166" fontId="61" fillId="4" borderId="17" xfId="58" applyNumberFormat="1" applyFont="1" applyFill="1" applyBorder="1" applyAlignment="1">
      <alignment horizontal="right" vertical="center"/>
    </xf>
    <xf numFmtId="166" fontId="108" fillId="0" borderId="38" xfId="58" applyNumberFormat="1" applyFont="1" applyBorder="1" applyAlignment="1">
      <alignment horizontal="right" vertical="center"/>
    </xf>
    <xf numFmtId="166" fontId="31" fillId="7" borderId="39" xfId="58" applyNumberFormat="1" applyFont="1" applyFill="1" applyBorder="1" applyAlignment="1">
      <alignment horizontal="right" vertical="center"/>
    </xf>
    <xf numFmtId="166" fontId="63" fillId="4" borderId="8" xfId="58" applyNumberFormat="1" applyFont="1" applyFill="1" applyBorder="1" applyAlignment="1">
      <alignment horizontal="right" vertical="center"/>
    </xf>
    <xf numFmtId="166" fontId="109" fillId="0" borderId="8" xfId="58" applyNumberFormat="1" applyFont="1" applyBorder="1" applyAlignment="1">
      <alignment horizontal="right" vertical="center"/>
    </xf>
    <xf numFmtId="166" fontId="108" fillId="0" borderId="22" xfId="58" applyNumberFormat="1" applyFont="1" applyBorder="1" applyAlignment="1">
      <alignment horizontal="right" vertical="center"/>
    </xf>
    <xf numFmtId="166" fontId="108" fillId="0" borderId="7" xfId="58" applyNumberFormat="1" applyFont="1" applyBorder="1" applyAlignment="1">
      <alignment horizontal="right" vertical="center"/>
    </xf>
    <xf numFmtId="166" fontId="108" fillId="0" borderId="25" xfId="58" applyNumberFormat="1" applyFont="1" applyBorder="1" applyAlignment="1">
      <alignment horizontal="right" vertical="center"/>
    </xf>
    <xf numFmtId="166" fontId="61" fillId="0" borderId="7" xfId="58" quotePrefix="1" applyNumberFormat="1" applyFont="1" applyBorder="1" applyAlignment="1">
      <alignment horizontal="right" vertical="center"/>
    </xf>
    <xf numFmtId="166" fontId="31" fillId="0" borderId="7" xfId="58" quotePrefix="1" applyNumberFormat="1" applyFont="1" applyBorder="1" applyAlignment="1">
      <alignment horizontal="right" vertical="center"/>
    </xf>
    <xf numFmtId="166" fontId="108" fillId="0" borderId="8" xfId="58" applyNumberFormat="1" applyFont="1" applyBorder="1" applyAlignment="1">
      <alignment horizontal="right" vertical="center"/>
    </xf>
    <xf numFmtId="166" fontId="31" fillId="0" borderId="17" xfId="58" applyNumberFormat="1" applyFont="1" applyBorder="1" applyAlignment="1">
      <alignment horizontal="right" vertical="center"/>
    </xf>
    <xf numFmtId="166" fontId="117" fillId="0" borderId="27" xfId="58" applyNumberFormat="1" applyFont="1" applyBorder="1" applyAlignment="1">
      <alignment horizontal="right" vertical="top"/>
    </xf>
    <xf numFmtId="166" fontId="109" fillId="0" borderId="7" xfId="58" applyNumberFormat="1" applyFont="1" applyBorder="1" applyAlignment="1">
      <alignment horizontal="right" vertical="center"/>
    </xf>
    <xf numFmtId="166" fontId="61" fillId="0" borderId="22" xfId="58" applyNumberFormat="1" applyFont="1" applyBorder="1" applyAlignment="1">
      <alignment horizontal="right" vertical="center"/>
    </xf>
    <xf numFmtId="166" fontId="61" fillId="6" borderId="8" xfId="58" applyNumberFormat="1" applyFont="1" applyFill="1" applyBorder="1" applyAlignment="1">
      <alignment horizontal="right" vertical="center"/>
    </xf>
    <xf numFmtId="166" fontId="109" fillId="0" borderId="8" xfId="58" applyNumberFormat="1" applyFont="1" applyFill="1" applyBorder="1" applyAlignment="1">
      <alignment horizontal="right" vertical="center"/>
    </xf>
    <xf numFmtId="166" fontId="31" fillId="0" borderId="7" xfId="58" quotePrefix="1" applyNumberFormat="1" applyFont="1" applyFill="1" applyBorder="1" applyAlignment="1">
      <alignment horizontal="right" vertical="center"/>
    </xf>
    <xf numFmtId="166" fontId="109" fillId="0" borderId="7" xfId="58" applyNumberFormat="1" applyFont="1" applyFill="1" applyBorder="1" applyAlignment="1">
      <alignment horizontal="right" vertical="center"/>
    </xf>
    <xf numFmtId="166" fontId="61" fillId="0" borderId="25" xfId="58" applyNumberFormat="1" applyFont="1" applyFill="1" applyBorder="1" applyAlignment="1">
      <alignment horizontal="right" vertical="center"/>
    </xf>
    <xf numFmtId="166" fontId="31" fillId="0" borderId="21" xfId="58" applyNumberFormat="1" applyFont="1" applyFill="1" applyBorder="1" applyAlignment="1">
      <alignment horizontal="right" vertical="center"/>
    </xf>
    <xf numFmtId="166" fontId="31" fillId="6" borderId="11" xfId="58" applyNumberFormat="1" applyFont="1" applyFill="1" applyBorder="1" applyAlignment="1">
      <alignment horizontal="right" vertical="center"/>
    </xf>
    <xf numFmtId="166" fontId="61" fillId="6" borderId="4" xfId="58" quotePrefix="1" applyNumberFormat="1" applyFont="1" applyFill="1" applyBorder="1" applyAlignment="1">
      <alignment horizontal="right" vertical="center"/>
    </xf>
    <xf numFmtId="166" fontId="31" fillId="6" borderId="7" xfId="58" applyNumberFormat="1" applyFont="1" applyFill="1" applyBorder="1" applyAlignment="1">
      <alignment horizontal="right" vertical="center"/>
    </xf>
    <xf numFmtId="166" fontId="61" fillId="6" borderId="7" xfId="58" applyNumberFormat="1" applyFont="1" applyFill="1" applyBorder="1" applyAlignment="1">
      <alignment horizontal="right" vertical="center"/>
    </xf>
    <xf numFmtId="166" fontId="61" fillId="6" borderId="7" xfId="58" quotePrefix="1" applyNumberFormat="1" applyFont="1" applyFill="1" applyBorder="1" applyAlignment="1">
      <alignment horizontal="right" vertical="center"/>
    </xf>
    <xf numFmtId="166" fontId="61" fillId="6" borderId="22" xfId="58" applyNumberFormat="1" applyFont="1" applyFill="1" applyBorder="1" applyAlignment="1">
      <alignment horizontal="right" vertical="center"/>
    </xf>
    <xf numFmtId="166" fontId="34" fillId="6" borderId="7" xfId="58" applyNumberFormat="1" applyFont="1" applyFill="1" applyBorder="1" applyAlignment="1">
      <alignment horizontal="right" vertical="center"/>
    </xf>
    <xf numFmtId="166" fontId="31" fillId="6" borderId="8" xfId="58" applyNumberFormat="1" applyFont="1" applyFill="1" applyBorder="1" applyAlignment="1">
      <alignment horizontal="right" vertical="center"/>
    </xf>
    <xf numFmtId="166" fontId="61" fillId="0" borderId="4" xfId="58" applyNumberFormat="1" applyFont="1" applyFill="1" applyBorder="1" applyAlignment="1">
      <alignment horizontal="right" vertical="center" wrapText="1"/>
    </xf>
    <xf numFmtId="166" fontId="31" fillId="0" borderId="4" xfId="58" applyNumberFormat="1" applyFont="1" applyFill="1" applyBorder="1" applyAlignment="1">
      <alignment horizontal="right" vertical="center" wrapText="1"/>
    </xf>
    <xf numFmtId="166" fontId="31" fillId="0" borderId="21" xfId="58" applyNumberFormat="1" applyFont="1" applyFill="1" applyBorder="1" applyAlignment="1">
      <alignment horizontal="right" vertical="center" wrapText="1"/>
    </xf>
    <xf numFmtId="166" fontId="31" fillId="0" borderId="7" xfId="58" applyNumberFormat="1" applyFont="1" applyFill="1" applyBorder="1" applyAlignment="1">
      <alignment horizontal="right" vertical="center" wrapText="1"/>
    </xf>
    <xf numFmtId="166" fontId="62" fillId="0" borderId="4" xfId="58" applyNumberFormat="1" applyFont="1" applyBorder="1" applyAlignment="1">
      <alignment horizontal="right" vertical="center"/>
    </xf>
    <xf numFmtId="166" fontId="31" fillId="0" borderId="8" xfId="58" applyNumberFormat="1" applyFont="1" applyFill="1" applyBorder="1" applyAlignment="1">
      <alignment horizontal="right" vertical="center" wrapText="1"/>
    </xf>
    <xf numFmtId="166" fontId="62" fillId="0" borderId="12" xfId="58" applyNumberFormat="1" applyFont="1" applyBorder="1" applyAlignment="1">
      <alignment horizontal="right" vertical="center"/>
    </xf>
    <xf numFmtId="166" fontId="34" fillId="0" borderId="38" xfId="58" applyNumberFormat="1" applyFont="1" applyBorder="1" applyAlignment="1">
      <alignment horizontal="right" vertical="center"/>
    </xf>
    <xf numFmtId="166" fontId="62" fillId="0" borderId="8" xfId="58" applyNumberFormat="1" applyFont="1" applyBorder="1" applyAlignment="1">
      <alignment horizontal="right" vertical="center"/>
    </xf>
    <xf numFmtId="166" fontId="31" fillId="4" borderId="21" xfId="58" applyNumberFormat="1" applyFont="1" applyFill="1" applyBorder="1" applyAlignment="1">
      <alignment horizontal="right" vertical="center"/>
    </xf>
    <xf numFmtId="166" fontId="64" fillId="0" borderId="11" xfId="58" applyNumberFormat="1" applyFont="1" applyBorder="1" applyAlignment="1">
      <alignment horizontal="right" vertical="center"/>
    </xf>
    <xf numFmtId="166" fontId="64" fillId="0" borderId="12" xfId="58" applyNumberFormat="1" applyFont="1" applyBorder="1" applyAlignment="1">
      <alignment horizontal="right" vertical="center"/>
    </xf>
    <xf numFmtId="166" fontId="31" fillId="0" borderId="17" xfId="58" applyNumberFormat="1" applyFont="1" applyFill="1" applyBorder="1" applyAlignment="1">
      <alignment horizontal="right" vertical="center"/>
    </xf>
    <xf numFmtId="166" fontId="31" fillId="0" borderId="17" xfId="58" quotePrefix="1" applyNumberFormat="1" applyFont="1" applyFill="1" applyBorder="1" applyAlignment="1">
      <alignment horizontal="right" vertical="center"/>
    </xf>
    <xf numFmtId="166" fontId="34" fillId="0" borderId="22" xfId="58" applyNumberFormat="1" applyFont="1" applyBorder="1" applyAlignment="1">
      <alignment horizontal="right" vertical="center"/>
    </xf>
    <xf numFmtId="166" fontId="31" fillId="0" borderId="4" xfId="58" quotePrefix="1" applyNumberFormat="1" applyFont="1" applyFill="1" applyBorder="1" applyAlignment="1">
      <alignment horizontal="right" vertical="center"/>
    </xf>
    <xf numFmtId="166" fontId="61" fillId="0" borderId="8" xfId="58" applyNumberFormat="1" applyFont="1" applyFill="1" applyBorder="1" applyAlignment="1" applyProtection="1">
      <alignment horizontal="right" vertical="center"/>
    </xf>
    <xf numFmtId="166" fontId="61" fillId="0" borderId="12" xfId="58" quotePrefix="1" applyNumberFormat="1" applyFont="1" applyFill="1" applyBorder="1" applyAlignment="1">
      <alignment horizontal="right" vertical="center"/>
    </xf>
    <xf numFmtId="166" fontId="31" fillId="0" borderId="4" xfId="58" applyNumberFormat="1" applyFont="1" applyFill="1" applyBorder="1" applyAlignment="1" applyProtection="1">
      <alignment horizontal="right" vertical="center"/>
    </xf>
    <xf numFmtId="166" fontId="61" fillId="0" borderId="7" xfId="58" applyNumberFormat="1" applyFont="1" applyFill="1" applyBorder="1" applyAlignment="1" applyProtection="1">
      <alignment horizontal="right" vertical="center"/>
    </xf>
    <xf numFmtId="166" fontId="31" fillId="0" borderId="46" xfId="58" applyNumberFormat="1" applyFont="1" applyBorder="1" applyAlignment="1">
      <alignment horizontal="right" vertical="center"/>
    </xf>
    <xf numFmtId="166" fontId="34" fillId="0" borderId="0" xfId="58" applyNumberFormat="1" applyFont="1" applyBorder="1" applyAlignment="1">
      <alignment horizontal="right" vertical="center"/>
    </xf>
    <xf numFmtId="41" fontId="47" fillId="0" borderId="20" xfId="58" applyFont="1" applyBorder="1" applyAlignment="1">
      <alignment horizontal="left" vertical="center" wrapText="1"/>
    </xf>
    <xf numFmtId="41" fontId="62" fillId="0" borderId="8" xfId="58" applyFont="1" applyFill="1" applyBorder="1" applyAlignment="1">
      <alignment horizontal="right" vertical="center"/>
    </xf>
    <xf numFmtId="166" fontId="31" fillId="0" borderId="4" xfId="1" applyNumberFormat="1" applyFont="1" applyBorder="1" applyAlignment="1" applyProtection="1">
      <alignment vertical="center"/>
    </xf>
    <xf numFmtId="166" fontId="31" fillId="0" borderId="4" xfId="1" applyNumberFormat="1" applyFont="1" applyFill="1" applyBorder="1" applyAlignment="1" applyProtection="1">
      <alignment horizontal="left" vertical="center" indent="1"/>
    </xf>
    <xf numFmtId="4" fontId="62" fillId="0" borderId="8" xfId="0" applyNumberFormat="1" applyFont="1" applyFill="1" applyBorder="1" applyAlignment="1">
      <alignment horizontal="right" vertical="center"/>
    </xf>
    <xf numFmtId="41" fontId="62" fillId="0" borderId="4" xfId="58" applyFont="1" applyFill="1" applyBorder="1" applyAlignment="1">
      <alignment horizontal="right" vertical="center"/>
    </xf>
    <xf numFmtId="41" fontId="62" fillId="0" borderId="11" xfId="58" applyFont="1" applyFill="1" applyBorder="1" applyAlignment="1">
      <alignment horizontal="right" vertical="center"/>
    </xf>
    <xf numFmtId="0" fontId="5" fillId="0" borderId="96" xfId="0" applyFont="1" applyBorder="1"/>
    <xf numFmtId="166" fontId="43" fillId="0" borderId="11" xfId="1" applyNumberFormat="1" applyFont="1" applyFill="1" applyBorder="1" applyAlignment="1">
      <alignment horizontal="right" vertical="center"/>
    </xf>
    <xf numFmtId="39" fontId="95" fillId="0" borderId="8" xfId="0" applyNumberFormat="1" applyFont="1" applyFill="1" applyBorder="1" applyAlignment="1">
      <alignment horizontal="right" vertical="center"/>
    </xf>
    <xf numFmtId="166" fontId="95" fillId="0" borderId="8" xfId="1" applyNumberFormat="1" applyFont="1" applyFill="1" applyBorder="1" applyAlignment="1" applyProtection="1">
      <alignment horizontal="left" vertical="center" indent="1"/>
    </xf>
    <xf numFmtId="166" fontId="95" fillId="0" borderId="8" xfId="1" applyNumberFormat="1" applyFont="1" applyBorder="1" applyAlignment="1" applyProtection="1">
      <alignment vertical="center"/>
    </xf>
    <xf numFmtId="39" fontId="95" fillId="0" borderId="11" xfId="0" applyNumberFormat="1" applyFont="1" applyFill="1" applyBorder="1" applyAlignment="1">
      <alignment horizontal="right" vertical="center"/>
    </xf>
    <xf numFmtId="166" fontId="95" fillId="0" borderId="11" xfId="1" applyNumberFormat="1" applyFont="1" applyFill="1" applyBorder="1" applyAlignment="1" applyProtection="1">
      <alignment horizontal="left" vertical="center" indent="1"/>
    </xf>
    <xf numFmtId="166" fontId="95" fillId="0" borderId="11" xfId="1" applyNumberFormat="1" applyFont="1" applyBorder="1" applyAlignment="1" applyProtection="1">
      <alignment vertical="center"/>
    </xf>
    <xf numFmtId="166" fontId="95" fillId="0" borderId="7" xfId="1" applyNumberFormat="1" applyFont="1" applyFill="1" applyBorder="1" applyAlignment="1" applyProtection="1">
      <alignment horizontal="left" vertical="center" indent="1"/>
    </xf>
    <xf numFmtId="166" fontId="95" fillId="0" borderId="7" xfId="1" applyNumberFormat="1" applyFont="1" applyBorder="1" applyAlignment="1" applyProtection="1">
      <alignment vertical="center"/>
    </xf>
    <xf numFmtId="0" fontId="61" fillId="0" borderId="38" xfId="0" applyFont="1" applyFill="1" applyBorder="1" applyAlignment="1">
      <alignment horizontal="left" vertical="center" wrapText="1"/>
    </xf>
    <xf numFmtId="166" fontId="61" fillId="0" borderId="38" xfId="1" applyNumberFormat="1" applyFont="1" applyFill="1" applyBorder="1" applyAlignment="1">
      <alignment horizontal="right" vertical="center"/>
    </xf>
    <xf numFmtId="4" fontId="61" fillId="0" borderId="38" xfId="0" applyNumberFormat="1" applyFont="1" applyFill="1" applyBorder="1" applyAlignment="1">
      <alignment horizontal="right" vertical="center"/>
    </xf>
    <xf numFmtId="166" fontId="109" fillId="0" borderId="38" xfId="1" applyNumberFormat="1" applyFont="1" applyFill="1" applyBorder="1" applyAlignment="1">
      <alignment vertical="center"/>
    </xf>
    <xf numFmtId="41" fontId="31" fillId="5" borderId="11" xfId="58" applyFont="1" applyFill="1" applyBorder="1" applyAlignment="1">
      <alignment horizontal="left" vertical="center" indent="1"/>
    </xf>
    <xf numFmtId="41" fontId="31" fillId="0" borderId="22" xfId="58" applyFont="1" applyFill="1" applyBorder="1" applyAlignment="1">
      <alignment horizontal="left" vertical="center" indent="1"/>
    </xf>
    <xf numFmtId="41" fontId="31" fillId="5" borderId="39" xfId="58" applyFont="1" applyFill="1" applyBorder="1" applyAlignment="1">
      <alignment horizontal="left" vertical="center" indent="1"/>
    </xf>
    <xf numFmtId="41" fontId="31" fillId="8" borderId="11" xfId="58" applyFont="1" applyFill="1" applyBorder="1" applyAlignment="1">
      <alignment vertical="center"/>
    </xf>
    <xf numFmtId="41" fontId="31" fillId="0" borderId="22" xfId="58" applyFont="1" applyFill="1" applyBorder="1" applyAlignment="1">
      <alignment vertical="center"/>
    </xf>
    <xf numFmtId="41" fontId="31" fillId="5" borderId="39" xfId="58" applyFont="1" applyFill="1" applyBorder="1" applyAlignment="1">
      <alignment vertical="top"/>
    </xf>
    <xf numFmtId="41" fontId="31" fillId="5" borderId="39" xfId="58" applyFont="1" applyFill="1" applyBorder="1"/>
    <xf numFmtId="41" fontId="31" fillId="0" borderId="22" xfId="58" applyFont="1" applyFill="1" applyBorder="1" applyAlignment="1">
      <alignment horizontal="left" vertical="center"/>
    </xf>
    <xf numFmtId="41" fontId="31" fillId="5" borderId="11" xfId="58" applyFont="1" applyFill="1" applyBorder="1"/>
    <xf numFmtId="41" fontId="31" fillId="5" borderId="11" xfId="58" applyFont="1" applyFill="1" applyBorder="1" applyAlignment="1">
      <alignment vertical="center"/>
    </xf>
    <xf numFmtId="41" fontId="31" fillId="0" borderId="0" xfId="58" applyFont="1" applyFill="1" applyAlignment="1">
      <alignment horizontal="center"/>
    </xf>
    <xf numFmtId="41" fontId="31" fillId="0" borderId="0" xfId="58" applyFont="1" applyFill="1" applyAlignment="1">
      <alignment horizontal="left" vertical="top"/>
    </xf>
    <xf numFmtId="41" fontId="31" fillId="0" borderId="0" xfId="58" applyFont="1" applyFill="1"/>
    <xf numFmtId="41" fontId="31" fillId="0" borderId="10" xfId="58" quotePrefix="1" applyFont="1" applyFill="1" applyBorder="1" applyAlignment="1">
      <alignment horizontal="center" vertical="center"/>
    </xf>
    <xf numFmtId="41" fontId="62" fillId="0" borderId="4" xfId="58" applyFont="1" applyBorder="1"/>
    <xf numFmtId="41" fontId="31" fillId="0" borderId="7" xfId="58" applyFont="1" applyFill="1" applyBorder="1" applyAlignment="1">
      <alignment vertical="center"/>
    </xf>
    <xf numFmtId="41" fontId="62" fillId="0" borderId="12" xfId="58" applyFont="1" applyFill="1" applyBorder="1" applyAlignment="1">
      <alignment horizontal="left" vertical="center" indent="1"/>
    </xf>
    <xf numFmtId="41" fontId="62" fillId="0" borderId="4" xfId="58" applyFont="1" applyFill="1" applyBorder="1" applyAlignment="1">
      <alignment vertical="center"/>
    </xf>
    <xf numFmtId="41" fontId="62" fillId="0" borderId="7" xfId="58" applyFont="1" applyFill="1" applyBorder="1" applyAlignment="1">
      <alignment vertical="center"/>
    </xf>
    <xf numFmtId="41" fontId="62" fillId="0" borderId="11" xfId="58" applyFont="1" applyFill="1" applyBorder="1" applyAlignment="1">
      <alignment vertical="center"/>
    </xf>
    <xf numFmtId="41" fontId="62" fillId="0" borderId="8" xfId="58" applyFont="1" applyFill="1" applyBorder="1" applyAlignment="1">
      <alignment vertical="center"/>
    </xf>
    <xf numFmtId="41" fontId="62" fillId="0" borderId="12" xfId="58" applyFont="1" applyFill="1" applyBorder="1" applyAlignment="1">
      <alignment vertical="center"/>
    </xf>
    <xf numFmtId="41" fontId="31" fillId="0" borderId="7" xfId="58" applyFont="1" applyBorder="1" applyAlignment="1">
      <alignment vertical="center"/>
    </xf>
    <xf numFmtId="41" fontId="31" fillId="14" borderId="0" xfId="58" applyFont="1" applyFill="1"/>
    <xf numFmtId="41" fontId="62" fillId="0" borderId="4" xfId="58" applyFont="1" applyBorder="1" applyAlignment="1">
      <alignment horizontal="right" vertical="center" indent="1"/>
    </xf>
    <xf numFmtId="41" fontId="62" fillId="0" borderId="4" xfId="58" applyFont="1" applyBorder="1" applyAlignment="1">
      <alignment horizontal="right" vertical="center" wrapText="1"/>
    </xf>
    <xf numFmtId="41" fontId="62" fillId="0" borderId="8" xfId="58" applyFont="1" applyBorder="1"/>
    <xf numFmtId="41" fontId="62" fillId="0" borderId="7" xfId="58" applyFont="1" applyBorder="1" applyAlignment="1">
      <alignment horizontal="right" vertical="top"/>
    </xf>
    <xf numFmtId="41" fontId="62" fillId="0" borderId="4" xfId="58" applyFont="1" applyBorder="1" applyAlignment="1">
      <alignment horizontal="right" vertical="top"/>
    </xf>
    <xf numFmtId="41" fontId="62" fillId="0" borderId="12" xfId="58" applyFont="1" applyBorder="1" applyAlignment="1">
      <alignment horizontal="right" vertical="top"/>
    </xf>
    <xf numFmtId="41" fontId="62" fillId="0" borderId="7" xfId="58" applyFont="1" applyBorder="1" applyAlignment="1">
      <alignment horizontal="left" vertical="center" indent="1"/>
    </xf>
    <xf numFmtId="41" fontId="62" fillId="0" borderId="7" xfId="58" applyFont="1" applyFill="1" applyBorder="1" applyAlignment="1">
      <alignment horizontal="left" vertical="center" indent="1"/>
    </xf>
    <xf numFmtId="41" fontId="62" fillId="0" borderId="8" xfId="58" applyFont="1" applyBorder="1" applyAlignment="1">
      <alignment horizontal="right" vertical="center" wrapText="1"/>
    </xf>
    <xf numFmtId="41" fontId="62" fillId="0" borderId="25" xfId="58" applyFont="1" applyBorder="1" applyAlignment="1">
      <alignment horizontal="left" vertical="center" indent="1"/>
    </xf>
    <xf numFmtId="41" fontId="62" fillId="0" borderId="4" xfId="58" applyFont="1" applyFill="1" applyBorder="1" applyAlignment="1">
      <alignment horizontal="right"/>
    </xf>
    <xf numFmtId="41" fontId="62" fillId="0" borderId="12" xfId="58" applyFont="1" applyBorder="1" applyAlignment="1">
      <alignment horizontal="left" vertical="center" indent="1"/>
    </xf>
    <xf numFmtId="41" fontId="31" fillId="14" borderId="11" xfId="58" applyFont="1" applyFill="1" applyBorder="1"/>
    <xf numFmtId="41" fontId="62" fillId="0" borderId="4" xfId="58" applyFont="1" applyBorder="1" applyAlignment="1">
      <alignment horizontal="left" vertical="center"/>
    </xf>
    <xf numFmtId="41" fontId="62" fillId="0" borderId="12" xfId="58" applyFont="1" applyBorder="1" applyAlignment="1">
      <alignment horizontal="left" vertical="center"/>
    </xf>
    <xf numFmtId="41" fontId="62" fillId="0" borderId="12" xfId="58" applyFont="1" applyFill="1" applyBorder="1" applyAlignment="1">
      <alignment horizontal="right" vertical="center"/>
    </xf>
    <xf numFmtId="41" fontId="62" fillId="0" borderId="7" xfId="58" applyFont="1" applyBorder="1" applyAlignment="1">
      <alignment horizontal="left" vertical="center"/>
    </xf>
    <xf numFmtId="41" fontId="62" fillId="0" borderId="4" xfId="58" applyFont="1" applyFill="1" applyBorder="1" applyAlignment="1">
      <alignment horizontal="left" vertical="center"/>
    </xf>
    <xf numFmtId="41" fontId="62" fillId="0" borderId="8" xfId="58" applyFont="1" applyFill="1" applyBorder="1" applyAlignment="1">
      <alignment horizontal="left" vertical="center"/>
    </xf>
    <xf numFmtId="41" fontId="62" fillId="0" borderId="22" xfId="58" applyFont="1" applyFill="1" applyBorder="1" applyAlignment="1">
      <alignment horizontal="left" vertical="center" indent="1"/>
    </xf>
    <xf numFmtId="41" fontId="31" fillId="0" borderId="4" xfId="58" applyFont="1" applyBorder="1" applyAlignment="1">
      <alignment horizontal="left" vertical="center"/>
    </xf>
    <xf numFmtId="41" fontId="62" fillId="0" borderId="8" xfId="58" applyFont="1" applyBorder="1" applyAlignment="1">
      <alignment horizontal="left" vertical="center"/>
    </xf>
    <xf numFmtId="41" fontId="62" fillId="0" borderId="4" xfId="58" applyFont="1" applyBorder="1" applyAlignment="1">
      <alignment vertical="center"/>
    </xf>
    <xf numFmtId="41" fontId="62" fillId="0" borderId="7" xfId="58" applyFont="1" applyBorder="1" applyAlignment="1">
      <alignment vertical="center"/>
    </xf>
    <xf numFmtId="41" fontId="127" fillId="14" borderId="11" xfId="58" applyFont="1" applyFill="1" applyBorder="1"/>
    <xf numFmtId="41" fontId="62" fillId="0" borderId="4" xfId="58" applyFont="1" applyBorder="1" applyAlignment="1">
      <alignment horizontal="right" vertical="center"/>
    </xf>
    <xf numFmtId="41" fontId="62" fillId="0" borderId="12" xfId="58" applyFont="1" applyBorder="1" applyAlignment="1">
      <alignment horizontal="right" vertical="center"/>
    </xf>
    <xf numFmtId="41" fontId="62" fillId="0" borderId="8" xfId="58" applyFont="1" applyBorder="1" applyAlignment="1">
      <alignment horizontal="right" vertical="center"/>
    </xf>
    <xf numFmtId="41" fontId="62" fillId="0" borderId="7" xfId="58" applyFont="1" applyBorder="1"/>
    <xf numFmtId="41" fontId="62" fillId="0" borderId="8" xfId="58" applyFont="1" applyBorder="1" applyAlignment="1">
      <alignment vertical="center"/>
    </xf>
    <xf numFmtId="41" fontId="62" fillId="0" borderId="7" xfId="58" applyFont="1" applyBorder="1" applyAlignment="1">
      <alignment horizontal="right" vertical="center"/>
    </xf>
    <xf numFmtId="41" fontId="62" fillId="0" borderId="22" xfId="58" applyFont="1" applyFill="1" applyBorder="1" applyAlignment="1">
      <alignment vertical="center"/>
    </xf>
    <xf numFmtId="41" fontId="62" fillId="0" borderId="22" xfId="58" applyFont="1" applyBorder="1"/>
    <xf numFmtId="41" fontId="62" fillId="0" borderId="25" xfId="58" applyFont="1" applyBorder="1"/>
    <xf numFmtId="41" fontId="62" fillId="0" borderId="4" xfId="58" applyFont="1" applyBorder="1" applyAlignment="1">
      <alignment vertical="top"/>
    </xf>
    <xf numFmtId="41" fontId="62" fillId="0" borderId="8" xfId="58" applyFont="1" applyBorder="1" applyAlignment="1">
      <alignment vertical="top"/>
    </xf>
    <xf numFmtId="41" fontId="62" fillId="0" borderId="8" xfId="58" applyFont="1" applyBorder="1" applyAlignment="1">
      <alignment horizontal="right" vertical="top"/>
    </xf>
    <xf numFmtId="41" fontId="62" fillId="0" borderId="25" xfId="58" applyFont="1" applyBorder="1" applyAlignment="1">
      <alignment vertical="top"/>
    </xf>
    <xf numFmtId="41" fontId="62" fillId="6" borderId="4" xfId="58" applyFont="1" applyFill="1" applyBorder="1" applyAlignment="1">
      <alignment horizontal="right" vertical="center"/>
    </xf>
    <xf numFmtId="41" fontId="62" fillId="6" borderId="12" xfId="58" applyFont="1" applyFill="1" applyBorder="1" applyAlignment="1">
      <alignment vertical="top"/>
    </xf>
    <xf numFmtId="41" fontId="62" fillId="0" borderId="7" xfId="58" applyFont="1" applyFill="1" applyBorder="1" applyAlignment="1">
      <alignment horizontal="right" vertical="center"/>
    </xf>
    <xf numFmtId="41" fontId="62" fillId="6" borderId="7" xfId="58" applyFont="1" applyFill="1" applyBorder="1" applyAlignment="1">
      <alignment horizontal="right" vertical="center"/>
    </xf>
    <xf numFmtId="41" fontId="62" fillId="0" borderId="7" xfId="58" applyFont="1" applyFill="1" applyBorder="1"/>
    <xf numFmtId="41" fontId="62" fillId="6" borderId="8" xfId="58" applyFont="1" applyFill="1" applyBorder="1" applyAlignment="1">
      <alignment horizontal="right" vertical="center"/>
    </xf>
    <xf numFmtId="41" fontId="62" fillId="0" borderId="4" xfId="58" applyFont="1" applyBorder="1" applyAlignment="1">
      <alignment vertical="center" wrapText="1"/>
    </xf>
    <xf numFmtId="41" fontId="62" fillId="0" borderId="25" xfId="58" applyFont="1" applyFill="1" applyBorder="1" applyAlignment="1">
      <alignment vertical="center"/>
    </xf>
    <xf numFmtId="41" fontId="62" fillId="0" borderId="11" xfId="58" applyFont="1" applyBorder="1" applyAlignment="1">
      <alignment horizontal="right" vertical="center"/>
    </xf>
    <xf numFmtId="41" fontId="62" fillId="0" borderId="7" xfId="58" applyFont="1" applyBorder="1" applyAlignment="1">
      <alignment vertical="top"/>
    </xf>
    <xf numFmtId="41" fontId="62" fillId="0" borderId="8" xfId="58" applyFont="1" applyFill="1" applyBorder="1" applyAlignment="1">
      <alignment vertical="top"/>
    </xf>
    <xf numFmtId="41" fontId="62" fillId="0" borderId="4" xfId="58" applyFont="1" applyFill="1" applyBorder="1" applyAlignment="1">
      <alignment vertical="top"/>
    </xf>
    <xf numFmtId="41" fontId="62" fillId="0" borderId="7" xfId="58" applyFont="1" applyFill="1" applyBorder="1" applyAlignment="1">
      <alignment vertical="top"/>
    </xf>
    <xf numFmtId="41" fontId="62" fillId="0" borderId="25" xfId="58" applyFont="1" applyFill="1" applyBorder="1" applyAlignment="1">
      <alignment vertical="top"/>
    </xf>
    <xf numFmtId="41" fontId="62" fillId="0" borderId="22" xfId="58" applyFont="1" applyFill="1" applyBorder="1" applyAlignment="1">
      <alignment vertical="top"/>
    </xf>
    <xf numFmtId="41" fontId="62" fillId="0" borderId="38" xfId="58" applyFont="1" applyFill="1" applyBorder="1" applyAlignment="1">
      <alignment horizontal="right" vertical="center"/>
    </xf>
    <xf numFmtId="41" fontId="62" fillId="0" borderId="4" xfId="58" applyFont="1" applyFill="1" applyBorder="1" applyAlignment="1">
      <alignment horizontal="right" vertical="center" wrapText="1"/>
    </xf>
    <xf numFmtId="41" fontId="62" fillId="0" borderId="22" xfId="58" applyFont="1" applyBorder="1" applyAlignment="1">
      <alignment horizontal="left" vertical="center" indent="1"/>
    </xf>
    <xf numFmtId="41" fontId="31" fillId="0" borderId="11" xfId="58" applyFont="1" applyFill="1" applyBorder="1" applyAlignment="1">
      <alignment vertical="center" wrapText="1"/>
    </xf>
    <xf numFmtId="41" fontId="62" fillId="0" borderId="25" xfId="58" applyFont="1" applyBorder="1" applyAlignment="1">
      <alignment horizontal="right" vertical="center"/>
    </xf>
    <xf numFmtId="41" fontId="31" fillId="0" borderId="25" xfId="58" applyFont="1" applyBorder="1"/>
    <xf numFmtId="41" fontId="62" fillId="0" borderId="11" xfId="58" applyFont="1" applyBorder="1" applyAlignment="1">
      <alignment vertical="center"/>
    </xf>
    <xf numFmtId="41" fontId="31" fillId="0" borderId="22" xfId="58" applyFont="1" applyBorder="1"/>
    <xf numFmtId="41" fontId="62" fillId="0" borderId="25" xfId="58" applyFont="1" applyFill="1" applyBorder="1" applyAlignment="1">
      <alignment horizontal="right" vertical="center"/>
    </xf>
    <xf numFmtId="41" fontId="62" fillId="0" borderId="22" xfId="58" applyFont="1" applyBorder="1" applyAlignment="1">
      <alignment horizontal="right" vertical="center"/>
    </xf>
    <xf numFmtId="41" fontId="31" fillId="0" borderId="8" xfId="58" applyFont="1" applyFill="1" applyBorder="1"/>
    <xf numFmtId="41" fontId="31" fillId="0" borderId="0" xfId="58" applyFont="1"/>
    <xf numFmtId="166" fontId="31" fillId="0" borderId="0" xfId="58" applyNumberFormat="1" applyFont="1"/>
    <xf numFmtId="165" fontId="31" fillId="0" borderId="8" xfId="0" applyNumberFormat="1" applyFont="1" applyFill="1" applyBorder="1" applyAlignment="1">
      <alignment horizontal="right" vertical="center"/>
    </xf>
    <xf numFmtId="166" fontId="31" fillId="0" borderId="8" xfId="1" applyNumberFormat="1" applyFont="1" applyFill="1" applyBorder="1"/>
    <xf numFmtId="4" fontId="31" fillId="0" borderId="8" xfId="0" applyNumberFormat="1" applyFont="1" applyFill="1" applyBorder="1" applyAlignment="1">
      <alignment horizontal="right"/>
    </xf>
    <xf numFmtId="165" fontId="31" fillId="0" borderId="8" xfId="0" applyNumberFormat="1" applyFont="1" applyFill="1" applyBorder="1"/>
    <xf numFmtId="166" fontId="31" fillId="0" borderId="8" xfId="1" applyNumberFormat="1" applyFont="1" applyFill="1" applyBorder="1" applyAlignment="1"/>
    <xf numFmtId="0" fontId="34" fillId="0" borderId="8" xfId="0" applyFont="1" applyFill="1" applyBorder="1"/>
    <xf numFmtId="0" fontId="34" fillId="0" borderId="0" xfId="0" applyFont="1"/>
    <xf numFmtId="166" fontId="31" fillId="0" borderId="0" xfId="1" applyNumberFormat="1" applyFont="1" applyAlignment="1">
      <alignment horizontal="center"/>
    </xf>
    <xf numFmtId="166" fontId="31" fillId="0" borderId="4" xfId="0" applyNumberFormat="1" applyFont="1" applyFill="1" applyBorder="1" applyAlignment="1">
      <alignment horizontal="right" vertical="center" wrapText="1"/>
    </xf>
    <xf numFmtId="166" fontId="31" fillId="0" borderId="4" xfId="0" applyNumberFormat="1" applyFont="1" applyFill="1" applyBorder="1" applyAlignment="1">
      <alignment vertical="center" wrapText="1"/>
    </xf>
    <xf numFmtId="49" fontId="63" fillId="0" borderId="11" xfId="0" applyNumberFormat="1" applyFont="1" applyBorder="1" applyAlignment="1">
      <alignment horizontal="center" vertical="center"/>
    </xf>
    <xf numFmtId="43" fontId="63" fillId="0" borderId="11" xfId="2" applyFont="1" applyBorder="1" applyAlignment="1">
      <alignment horizontal="left" vertical="center" indent="1"/>
    </xf>
    <xf numFmtId="4" fontId="63" fillId="0" borderId="11" xfId="1" applyNumberFormat="1" applyFont="1" applyBorder="1" applyAlignment="1">
      <alignment horizontal="right" vertical="center"/>
    </xf>
    <xf numFmtId="4" fontId="63" fillId="0" borderId="11" xfId="1" applyNumberFormat="1" applyFont="1" applyBorder="1" applyAlignment="1">
      <alignment vertical="center"/>
    </xf>
    <xf numFmtId="43" fontId="63" fillId="0" borderId="11" xfId="2" applyFont="1" applyBorder="1" applyAlignment="1">
      <alignment vertical="center"/>
    </xf>
    <xf numFmtId="0" fontId="85" fillId="0" borderId="34" xfId="62" applyFont="1" applyBorder="1" applyAlignment="1">
      <alignment horizontal="center" vertical="center" wrapText="1"/>
    </xf>
    <xf numFmtId="0" fontId="85" fillId="0" borderId="0" xfId="62" applyFont="1" applyBorder="1" applyAlignment="1">
      <alignment horizontal="center" vertical="center" wrapText="1"/>
    </xf>
    <xf numFmtId="0" fontId="85" fillId="0" borderId="26" xfId="62" applyFont="1" applyBorder="1" applyAlignment="1">
      <alignment horizontal="center" vertical="center" wrapText="1"/>
    </xf>
    <xf numFmtId="166" fontId="31" fillId="0" borderId="0" xfId="1" applyNumberFormat="1" applyFont="1" applyBorder="1" applyAlignment="1">
      <alignment horizontal="right" vertical="center"/>
    </xf>
    <xf numFmtId="166" fontId="39" fillId="0" borderId="0" xfId="1" applyNumberFormat="1" applyFont="1" applyAlignment="1">
      <alignment horizontal="right" vertical="center"/>
    </xf>
    <xf numFmtId="0" fontId="22" fillId="0" borderId="24" xfId="0" applyFont="1" applyBorder="1" applyAlignment="1">
      <alignment horizontal="left" vertical="top"/>
    </xf>
    <xf numFmtId="166" fontId="39" fillId="0" borderId="0" xfId="1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left" vertical="center"/>
    </xf>
    <xf numFmtId="166" fontId="61" fillId="0" borderId="7" xfId="1" applyNumberFormat="1" applyFont="1" applyFill="1" applyBorder="1" applyAlignment="1">
      <alignment vertical="center" wrapText="1"/>
    </xf>
    <xf numFmtId="41" fontId="62" fillId="0" borderId="7" xfId="58" applyFont="1" applyFill="1" applyBorder="1" applyAlignment="1">
      <alignment vertical="center" wrapText="1"/>
    </xf>
    <xf numFmtId="166" fontId="61" fillId="0" borderId="7" xfId="0" applyNumberFormat="1" applyFont="1" applyFill="1" applyBorder="1" applyAlignment="1">
      <alignment horizontal="right" vertical="center" wrapText="1"/>
    </xf>
    <xf numFmtId="167" fontId="61" fillId="0" borderId="7" xfId="0" applyNumberFormat="1" applyFont="1" applyFill="1" applyBorder="1" applyAlignment="1">
      <alignment vertical="center"/>
    </xf>
    <xf numFmtId="167" fontId="61" fillId="0" borderId="7" xfId="0" applyNumberFormat="1" applyFont="1" applyFill="1" applyBorder="1" applyAlignment="1">
      <alignment vertical="center" wrapText="1"/>
    </xf>
    <xf numFmtId="4" fontId="34" fillId="0" borderId="12" xfId="0" applyNumberFormat="1" applyFont="1" applyBorder="1" applyAlignment="1">
      <alignment horizontal="right" vertical="center"/>
    </xf>
    <xf numFmtId="0" fontId="31" fillId="0" borderId="17" xfId="0" applyFont="1" applyFill="1" applyBorder="1" applyAlignment="1">
      <alignment horizontal="left" vertical="center" wrapText="1"/>
    </xf>
    <xf numFmtId="166" fontId="31" fillId="0" borderId="17" xfId="1" applyNumberFormat="1" applyFont="1" applyFill="1" applyBorder="1" applyAlignment="1">
      <alignment vertical="center" wrapText="1"/>
    </xf>
    <xf numFmtId="41" fontId="31" fillId="0" borderId="17" xfId="58" applyFont="1" applyFill="1" applyBorder="1" applyAlignment="1">
      <alignment vertical="center" wrapText="1"/>
    </xf>
    <xf numFmtId="0" fontId="34" fillId="0" borderId="17" xfId="0" applyFont="1" applyBorder="1"/>
    <xf numFmtId="4" fontId="61" fillId="0" borderId="17" xfId="1" applyNumberFormat="1" applyFont="1" applyBorder="1" applyAlignment="1">
      <alignment horizontal="right" vertical="center"/>
    </xf>
    <xf numFmtId="4" fontId="61" fillId="0" borderId="17" xfId="1" applyNumberFormat="1" applyFont="1" applyBorder="1" applyAlignment="1">
      <alignment vertical="center"/>
    </xf>
    <xf numFmtId="43" fontId="61" fillId="0" borderId="17" xfId="2" applyFont="1" applyBorder="1" applyAlignment="1">
      <alignment vertical="center"/>
    </xf>
    <xf numFmtId="166" fontId="61" fillId="0" borderId="17" xfId="1" applyNumberFormat="1" applyFont="1" applyBorder="1" applyAlignment="1">
      <alignment vertical="center"/>
    </xf>
    <xf numFmtId="4" fontId="34" fillId="0" borderId="17" xfId="1" applyNumberFormat="1" applyFont="1" applyBorder="1" applyAlignment="1">
      <alignment vertical="center"/>
    </xf>
    <xf numFmtId="0" fontId="31" fillId="0" borderId="7" xfId="0" applyFont="1" applyBorder="1"/>
    <xf numFmtId="167" fontId="31" fillId="0" borderId="8" xfId="0" applyNumberFormat="1" applyFont="1" applyFill="1" applyBorder="1" applyAlignment="1">
      <alignment vertical="center" wrapText="1"/>
    </xf>
    <xf numFmtId="167" fontId="31" fillId="0" borderId="11" xfId="0" applyNumberFormat="1" applyFont="1" applyFill="1" applyBorder="1" applyAlignment="1">
      <alignment vertical="center" wrapText="1"/>
    </xf>
    <xf numFmtId="39" fontId="62" fillId="0" borderId="11" xfId="0" applyNumberFormat="1" applyFont="1" applyBorder="1" applyAlignment="1">
      <alignment horizontal="right" vertical="top"/>
    </xf>
    <xf numFmtId="43" fontId="62" fillId="0" borderId="11" xfId="2" applyFont="1" applyBorder="1" applyAlignment="1">
      <alignment vertical="center"/>
    </xf>
    <xf numFmtId="167" fontId="62" fillId="0" borderId="11" xfId="0" applyNumberFormat="1" applyFont="1" applyFill="1" applyBorder="1" applyAlignment="1">
      <alignment vertical="center" wrapText="1"/>
    </xf>
    <xf numFmtId="3" fontId="0" fillId="0" borderId="0" xfId="0" applyNumberFormat="1"/>
    <xf numFmtId="166" fontId="0" fillId="0" borderId="0" xfId="58" applyNumberFormat="1" applyFont="1" applyFill="1"/>
    <xf numFmtId="165" fontId="0" fillId="0" borderId="0" xfId="0" applyNumberFormat="1" applyFont="1" applyFill="1"/>
    <xf numFmtId="0" fontId="31" fillId="0" borderId="0" xfId="0" applyFont="1" applyAlignment="1">
      <alignment horizontal="right" vertical="center" wrapText="1"/>
    </xf>
    <xf numFmtId="166" fontId="128" fillId="0" borderId="0" xfId="1" applyNumberFormat="1" applyFont="1" applyAlignment="1">
      <alignment vertical="center"/>
    </xf>
    <xf numFmtId="166" fontId="31" fillId="0" borderId="8" xfId="7" applyNumberFormat="1" applyFont="1" applyBorder="1" applyAlignment="1">
      <alignment vertical="center"/>
    </xf>
    <xf numFmtId="166" fontId="31" fillId="0" borderId="8" xfId="1" applyNumberFormat="1" applyFont="1" applyFill="1" applyBorder="1" applyAlignment="1" applyProtection="1">
      <alignment horizontal="left" vertical="center" indent="1"/>
    </xf>
    <xf numFmtId="166" fontId="31" fillId="0" borderId="8" xfId="1" applyNumberFormat="1" applyFont="1" applyBorder="1" applyAlignment="1" applyProtection="1">
      <alignment vertical="center"/>
    </xf>
    <xf numFmtId="49" fontId="31" fillId="3" borderId="7" xfId="0" applyNumberFormat="1" applyFont="1" applyFill="1" applyBorder="1" applyAlignment="1">
      <alignment horizontal="center" vertical="center"/>
    </xf>
    <xf numFmtId="0" fontId="50" fillId="3" borderId="7" xfId="0" applyFont="1" applyFill="1" applyBorder="1" applyAlignment="1">
      <alignment horizontal="left" vertical="center"/>
    </xf>
    <xf numFmtId="43" fontId="31" fillId="3" borderId="7" xfId="1" applyNumberFormat="1" applyFont="1" applyFill="1" applyBorder="1" applyAlignment="1">
      <alignment vertical="center"/>
    </xf>
    <xf numFmtId="41" fontId="62" fillId="3" borderId="7" xfId="58" applyFont="1" applyFill="1" applyBorder="1" applyAlignment="1">
      <alignment horizontal="right" vertical="center"/>
    </xf>
    <xf numFmtId="166" fontId="61" fillId="3" borderId="7" xfId="7" applyNumberFormat="1" applyFont="1" applyFill="1" applyBorder="1" applyAlignment="1">
      <alignment vertical="center"/>
    </xf>
    <xf numFmtId="166" fontId="61" fillId="3" borderId="7" xfId="1" applyNumberFormat="1" applyFont="1" applyFill="1" applyBorder="1" applyAlignment="1">
      <alignment horizontal="right" vertical="center"/>
    </xf>
    <xf numFmtId="166" fontId="61" fillId="3" borderId="7" xfId="1" applyNumberFormat="1" applyFont="1" applyFill="1" applyBorder="1" applyAlignment="1">
      <alignment vertical="center"/>
    </xf>
    <xf numFmtId="166" fontId="61" fillId="3" borderId="7" xfId="1" applyNumberFormat="1" applyFont="1" applyFill="1" applyBorder="1" applyAlignment="1" applyProtection="1">
      <alignment horizontal="left" vertical="center" indent="1"/>
    </xf>
    <xf numFmtId="166" fontId="61" fillId="3" borderId="7" xfId="1" applyNumberFormat="1" applyFont="1" applyFill="1" applyBorder="1" applyAlignment="1" applyProtection="1">
      <alignment vertical="center"/>
    </xf>
    <xf numFmtId="4" fontId="61" fillId="3" borderId="7" xfId="1" applyNumberFormat="1" applyFont="1" applyFill="1" applyBorder="1" applyAlignment="1">
      <alignment vertical="center"/>
    </xf>
    <xf numFmtId="166" fontId="61" fillId="0" borderId="11" xfId="7" applyNumberFormat="1" applyFont="1" applyBorder="1" applyAlignment="1">
      <alignment vertical="center"/>
    </xf>
    <xf numFmtId="166" fontId="61" fillId="0" borderId="11" xfId="1" applyNumberFormat="1" applyFont="1" applyFill="1" applyBorder="1" applyAlignment="1" applyProtection="1">
      <alignment horizontal="left" vertical="center" indent="1"/>
    </xf>
    <xf numFmtId="166" fontId="61" fillId="0" borderId="11" xfId="1" applyNumberFormat="1" applyFont="1" applyBorder="1" applyAlignment="1" applyProtection="1">
      <alignment vertical="center"/>
    </xf>
    <xf numFmtId="0" fontId="8" fillId="0" borderId="0" xfId="0" applyFont="1" applyFill="1"/>
    <xf numFmtId="0" fontId="31" fillId="0" borderId="8" xfId="0" applyFont="1" applyFill="1" applyBorder="1" applyAlignment="1">
      <alignment horizontal="left" vertical="center"/>
    </xf>
    <xf numFmtId="43" fontId="31" fillId="0" borderId="8" xfId="1" applyNumberFormat="1" applyFont="1" applyFill="1" applyBorder="1" applyAlignment="1">
      <alignment vertical="center"/>
    </xf>
    <xf numFmtId="166" fontId="61" fillId="0" borderId="8" xfId="1" applyNumberFormat="1" applyFont="1" applyFill="1" applyBorder="1" applyAlignment="1" applyProtection="1">
      <alignment vertical="center"/>
    </xf>
    <xf numFmtId="0" fontId="34" fillId="0" borderId="7" xfId="0" applyFont="1" applyFill="1" applyBorder="1"/>
    <xf numFmtId="166" fontId="31" fillId="0" borderId="11" xfId="1" applyNumberFormat="1" applyFont="1" applyFill="1" applyBorder="1" applyAlignment="1" applyProtection="1">
      <alignment horizontal="left" vertical="center" indent="1"/>
    </xf>
    <xf numFmtId="166" fontId="31" fillId="0" borderId="11" xfId="1" applyNumberFormat="1" applyFont="1" applyBorder="1" applyAlignment="1" applyProtection="1">
      <alignment vertical="center"/>
    </xf>
    <xf numFmtId="166" fontId="34" fillId="0" borderId="10" xfId="58" quotePrefix="1" applyNumberFormat="1" applyFont="1" applyBorder="1" applyAlignment="1">
      <alignment horizontal="center" vertical="center"/>
    </xf>
    <xf numFmtId="166" fontId="31" fillId="0" borderId="3" xfId="58" applyNumberFormat="1" applyFont="1" applyBorder="1" applyAlignment="1">
      <alignment horizontal="center" vertical="center" wrapText="1"/>
    </xf>
    <xf numFmtId="0" fontId="39" fillId="0" borderId="8" xfId="3" applyFont="1" applyBorder="1" applyAlignment="1">
      <alignment vertical="center" wrapText="1"/>
    </xf>
    <xf numFmtId="0" fontId="43" fillId="0" borderId="4" xfId="4" applyFont="1" applyBorder="1" applyAlignment="1">
      <alignment horizontal="left" vertical="center" wrapText="1"/>
    </xf>
    <xf numFmtId="166" fontId="43" fillId="0" borderId="4" xfId="5" applyNumberFormat="1" applyFont="1" applyBorder="1" applyAlignment="1">
      <alignment horizontal="left" vertical="center"/>
    </xf>
    <xf numFmtId="166" fontId="43" fillId="0" borderId="8" xfId="1" quotePrefix="1" applyNumberFormat="1" applyFont="1" applyBorder="1" applyAlignment="1">
      <alignment horizontal="right" vertical="center"/>
    </xf>
    <xf numFmtId="0" fontId="43" fillId="0" borderId="8" xfId="6" applyFont="1" applyBorder="1" applyAlignment="1">
      <alignment vertical="center" wrapText="1"/>
    </xf>
    <xf numFmtId="0" fontId="43" fillId="0" borderId="12" xfId="6" applyFont="1" applyBorder="1" applyAlignment="1">
      <alignment vertical="center" wrapText="1"/>
    </xf>
    <xf numFmtId="21" fontId="43" fillId="0" borderId="8" xfId="3" applyNumberFormat="1" applyFont="1" applyBorder="1" applyAlignment="1">
      <alignment vertical="center" wrapText="1"/>
    </xf>
    <xf numFmtId="21" fontId="43" fillId="0" borderId="4" xfId="3" applyNumberFormat="1" applyFont="1" applyBorder="1" applyAlignment="1">
      <alignment vertical="center" wrapText="1"/>
    </xf>
    <xf numFmtId="43" fontId="43" fillId="0" borderId="4" xfId="0" applyNumberFormat="1" applyFont="1" applyFill="1" applyBorder="1" applyAlignment="1">
      <alignment vertical="center"/>
    </xf>
    <xf numFmtId="0" fontId="43" fillId="0" borderId="4" xfId="4" applyFont="1" applyBorder="1" applyAlignment="1">
      <alignment vertical="center" wrapText="1"/>
    </xf>
    <xf numFmtId="0" fontId="43" fillId="0" borderId="4" xfId="0" applyFont="1" applyBorder="1" applyAlignment="1">
      <alignment vertical="center"/>
    </xf>
    <xf numFmtId="43" fontId="43" fillId="4" borderId="4" xfId="60" applyNumberFormat="1" applyFont="1" applyFill="1" applyBorder="1" applyAlignment="1">
      <alignment horizontal="left" vertical="center"/>
    </xf>
    <xf numFmtId="43" fontId="43" fillId="4" borderId="4" xfId="60" applyNumberFormat="1" applyFont="1" applyFill="1" applyBorder="1" applyAlignment="1">
      <alignment vertical="center"/>
    </xf>
    <xf numFmtId="0" fontId="43" fillId="0" borderId="7" xfId="0" applyFont="1" applyBorder="1" applyAlignment="1">
      <alignment vertical="center"/>
    </xf>
    <xf numFmtId="0" fontId="43" fillId="0" borderId="12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43" fontId="43" fillId="4" borderId="4" xfId="60" applyNumberFormat="1" applyFont="1" applyFill="1" applyBorder="1" applyAlignment="1">
      <alignment horizontal="right" vertical="center"/>
    </xf>
    <xf numFmtId="0" fontId="47" fillId="4" borderId="4" xfId="0" applyFont="1" applyFill="1" applyBorder="1" applyAlignment="1">
      <alignment vertical="center"/>
    </xf>
    <xf numFmtId="0" fontId="47" fillId="4" borderId="4" xfId="0" applyFont="1" applyFill="1" applyBorder="1" applyAlignment="1">
      <alignment horizontal="left" vertical="center" wrapText="1"/>
    </xf>
    <xf numFmtId="43" fontId="43" fillId="0" borderId="4" xfId="2" applyFont="1" applyBorder="1" applyAlignment="1">
      <alignment vertical="center" wrapText="1"/>
    </xf>
    <xf numFmtId="0" fontId="43" fillId="0" borderId="8" xfId="9" applyFont="1" applyBorder="1" applyAlignment="1">
      <alignment horizontal="left" vertical="center" wrapText="1"/>
    </xf>
    <xf numFmtId="43" fontId="43" fillId="0" borderId="7" xfId="2" applyFont="1" applyBorder="1" applyAlignment="1">
      <alignment vertical="center" wrapText="1"/>
    </xf>
    <xf numFmtId="0" fontId="43" fillId="0" borderId="4" xfId="9" applyFont="1" applyBorder="1" applyAlignment="1">
      <alignment horizontal="left" vertical="center" wrapText="1"/>
    </xf>
    <xf numFmtId="43" fontId="43" fillId="0" borderId="8" xfId="2" applyFont="1" applyBorder="1" applyAlignment="1">
      <alignment vertical="center" wrapText="1"/>
    </xf>
    <xf numFmtId="0" fontId="43" fillId="0" borderId="7" xfId="9" applyFont="1" applyBorder="1" applyAlignment="1">
      <alignment horizontal="left" vertical="center" wrapText="1"/>
    </xf>
    <xf numFmtId="43" fontId="22" fillId="0" borderId="4" xfId="2" applyFont="1" applyBorder="1" applyAlignment="1">
      <alignment vertical="center" wrapText="1"/>
    </xf>
    <xf numFmtId="166" fontId="39" fillId="0" borderId="12" xfId="1" applyNumberFormat="1" applyFont="1" applyBorder="1" applyAlignment="1">
      <alignment vertical="center" wrapText="1"/>
    </xf>
    <xf numFmtId="43" fontId="43" fillId="0" borderId="12" xfId="2" applyFont="1" applyBorder="1" applyAlignment="1">
      <alignment vertical="center" wrapText="1"/>
    </xf>
    <xf numFmtId="39" fontId="43" fillId="0" borderId="12" xfId="0" applyNumberFormat="1" applyFont="1" applyBorder="1" applyAlignment="1">
      <alignment vertical="center"/>
    </xf>
    <xf numFmtId="39" fontId="43" fillId="0" borderId="7" xfId="9" applyNumberFormat="1" applyFont="1" applyBorder="1" applyAlignment="1">
      <alignment vertical="center"/>
    </xf>
    <xf numFmtId="39" fontId="43" fillId="0" borderId="4" xfId="9" applyNumberFormat="1" applyFont="1" applyBorder="1" applyAlignment="1">
      <alignment vertical="center"/>
    </xf>
    <xf numFmtId="39" fontId="43" fillId="0" borderId="12" xfId="9" applyNumberFormat="1" applyFont="1" applyBorder="1" applyAlignment="1">
      <alignment vertical="center"/>
    </xf>
    <xf numFmtId="43" fontId="43" fillId="0" borderId="7" xfId="0" applyNumberFormat="1" applyFont="1" applyFill="1" applyBorder="1" applyAlignment="1">
      <alignment vertical="center"/>
    </xf>
    <xf numFmtId="166" fontId="43" fillId="0" borderId="4" xfId="1" applyNumberFormat="1" applyFont="1" applyBorder="1" applyAlignment="1">
      <alignment vertical="center" wrapText="1"/>
    </xf>
    <xf numFmtId="166" fontId="39" fillId="4" borderId="4" xfId="58" applyNumberFormat="1" applyFont="1" applyFill="1" applyBorder="1" applyAlignment="1">
      <alignment horizontal="right" vertical="center"/>
    </xf>
    <xf numFmtId="166" fontId="39" fillId="4" borderId="7" xfId="0" applyNumberFormat="1" applyFont="1" applyFill="1" applyBorder="1" applyAlignment="1">
      <alignment horizontal="right" vertical="center"/>
    </xf>
    <xf numFmtId="166" fontId="43" fillId="4" borderId="8" xfId="58" applyNumberFormat="1" applyFont="1" applyFill="1" applyBorder="1" applyAlignment="1">
      <alignment horizontal="right" vertical="center"/>
    </xf>
    <xf numFmtId="166" fontId="43" fillId="4" borderId="4" xfId="57" applyNumberFormat="1" applyFont="1" applyFill="1" applyBorder="1" applyAlignment="1">
      <alignment horizontal="right" vertical="center"/>
    </xf>
    <xf numFmtId="166" fontId="43" fillId="4" borderId="7" xfId="0" applyNumberFormat="1" applyFont="1" applyFill="1" applyBorder="1" applyAlignment="1">
      <alignment horizontal="right" vertical="center"/>
    </xf>
    <xf numFmtId="166" fontId="43" fillId="4" borderId="7" xfId="58" quotePrefix="1" applyNumberFormat="1" applyFont="1" applyFill="1" applyBorder="1" applyAlignment="1">
      <alignment horizontal="right" vertical="center"/>
    </xf>
    <xf numFmtId="166" fontId="43" fillId="4" borderId="7" xfId="57" applyNumberFormat="1" applyFont="1" applyFill="1" applyBorder="1" applyAlignment="1">
      <alignment horizontal="right" vertical="center"/>
    </xf>
    <xf numFmtId="166" fontId="43" fillId="4" borderId="7" xfId="58" applyNumberFormat="1" applyFont="1" applyFill="1" applyBorder="1" applyAlignment="1">
      <alignment horizontal="right" vertical="center"/>
    </xf>
    <xf numFmtId="166" fontId="39" fillId="4" borderId="12" xfId="57" applyNumberFormat="1" applyFont="1" applyFill="1" applyBorder="1" applyAlignment="1">
      <alignment horizontal="right" vertical="center"/>
    </xf>
    <xf numFmtId="166" fontId="43" fillId="4" borderId="4" xfId="0" applyNumberFormat="1" applyFont="1" applyFill="1" applyBorder="1" applyAlignment="1">
      <alignment horizontal="right" vertical="center"/>
    </xf>
    <xf numFmtId="0" fontId="57" fillId="4" borderId="4" xfId="9" applyFont="1" applyFill="1" applyBorder="1" applyAlignment="1">
      <alignment vertical="center" wrapText="1"/>
    </xf>
    <xf numFmtId="4" fontId="39" fillId="0" borderId="12" xfId="1" applyNumberFormat="1" applyFont="1" applyFill="1" applyBorder="1" applyAlignment="1">
      <alignment vertical="center"/>
    </xf>
    <xf numFmtId="165" fontId="43" fillId="4" borderId="4" xfId="0" applyNumberFormat="1" applyFont="1" applyFill="1" applyBorder="1" applyAlignment="1">
      <alignment horizontal="center" vertical="center"/>
    </xf>
    <xf numFmtId="165" fontId="43" fillId="4" borderId="7" xfId="0" applyNumberFormat="1" applyFont="1" applyFill="1" applyBorder="1" applyAlignment="1">
      <alignment horizontal="center" vertical="center"/>
    </xf>
    <xf numFmtId="4" fontId="39" fillId="0" borderId="7" xfId="1" applyNumberFormat="1" applyFont="1" applyFill="1" applyBorder="1" applyAlignment="1">
      <alignment horizontal="right" vertical="center"/>
    </xf>
    <xf numFmtId="166" fontId="39" fillId="0" borderId="21" xfId="1" applyNumberFormat="1" applyFont="1" applyBorder="1" applyAlignment="1">
      <alignment horizontal="right" vertical="center" wrapText="1"/>
    </xf>
    <xf numFmtId="166" fontId="39" fillId="0" borderId="4" xfId="1" applyNumberFormat="1" applyFont="1" applyBorder="1" applyAlignment="1">
      <alignment horizontal="right" vertical="center" wrapText="1"/>
    </xf>
    <xf numFmtId="41" fontId="60" fillId="0" borderId="23" xfId="58" applyFont="1" applyFill="1" applyBorder="1"/>
    <xf numFmtId="39" fontId="43" fillId="6" borderId="8" xfId="0" applyNumberFormat="1" applyFont="1" applyFill="1" applyBorder="1" applyAlignment="1">
      <alignment horizontal="right" vertical="center"/>
    </xf>
    <xf numFmtId="166" fontId="39" fillId="0" borderId="22" xfId="58" applyNumberFormat="1" applyFont="1" applyBorder="1" applyAlignment="1">
      <alignment horizontal="right" vertical="center"/>
    </xf>
    <xf numFmtId="166" fontId="39" fillId="0" borderId="22" xfId="1" applyNumberFormat="1" applyFont="1" applyBorder="1" applyAlignment="1">
      <alignment horizontal="right" vertical="center" indent="1"/>
    </xf>
    <xf numFmtId="166" fontId="43" fillId="0" borderId="4" xfId="58" applyNumberFormat="1" applyFont="1" applyFill="1" applyBorder="1" applyAlignment="1">
      <alignment horizontal="right" vertical="center" wrapText="1"/>
    </xf>
    <xf numFmtId="166" fontId="43" fillId="0" borderId="4" xfId="7" applyNumberFormat="1" applyFont="1" applyFill="1" applyBorder="1" applyAlignment="1">
      <alignment horizontal="right" vertical="center" indent="1"/>
    </xf>
    <xf numFmtId="166" fontId="43" fillId="0" borderId="4" xfId="59" applyNumberFormat="1" applyFont="1" applyFill="1" applyBorder="1" applyAlignment="1">
      <alignment horizontal="right" vertical="center"/>
    </xf>
    <xf numFmtId="166" fontId="39" fillId="0" borderId="4" xfId="58" quotePrefix="1" applyNumberFormat="1" applyFont="1" applyFill="1" applyBorder="1" applyAlignment="1">
      <alignment horizontal="right" vertical="center"/>
    </xf>
    <xf numFmtId="166" fontId="43" fillId="0" borderId="4" xfId="58" quotePrefix="1" applyNumberFormat="1" applyFont="1" applyFill="1" applyBorder="1" applyAlignment="1">
      <alignment horizontal="right" vertical="center"/>
    </xf>
    <xf numFmtId="39" fontId="43" fillId="0" borderId="4" xfId="0" quotePrefix="1" applyNumberFormat="1" applyFont="1" applyFill="1" applyBorder="1" applyAlignment="1">
      <alignment horizontal="right" vertical="center"/>
    </xf>
    <xf numFmtId="166" fontId="43" fillId="0" borderId="8" xfId="58" applyNumberFormat="1" applyFont="1" applyFill="1" applyBorder="1" applyAlignment="1" applyProtection="1">
      <alignment horizontal="right" vertical="center"/>
    </xf>
    <xf numFmtId="166" fontId="43" fillId="0" borderId="8" xfId="1" applyNumberFormat="1" applyFont="1" applyBorder="1" applyAlignment="1" applyProtection="1">
      <alignment horizontal="right" vertical="center"/>
    </xf>
    <xf numFmtId="166" fontId="39" fillId="0" borderId="4" xfId="58" applyNumberFormat="1" applyFont="1" applyFill="1" applyBorder="1" applyAlignment="1">
      <alignment horizontal="right" vertical="center"/>
    </xf>
    <xf numFmtId="166" fontId="43" fillId="0" borderId="8" xfId="58" applyNumberFormat="1" applyFont="1" applyFill="1" applyBorder="1" applyAlignment="1">
      <alignment horizontal="right" vertical="center"/>
    </xf>
    <xf numFmtId="166" fontId="22" fillId="0" borderId="8" xfId="58" applyNumberFormat="1" applyFont="1" applyBorder="1" applyAlignment="1">
      <alignment horizontal="right" vertical="center"/>
    </xf>
    <xf numFmtId="166" fontId="43" fillId="0" borderId="4" xfId="58" applyNumberFormat="1" applyFont="1" applyFill="1" applyBorder="1" applyAlignment="1">
      <alignment horizontal="right" vertical="center"/>
    </xf>
    <xf numFmtId="166" fontId="22" fillId="0" borderId="7" xfId="58" applyNumberFormat="1" applyFont="1" applyBorder="1" applyAlignment="1">
      <alignment horizontal="right" vertical="center"/>
    </xf>
    <xf numFmtId="166" fontId="22" fillId="0" borderId="4" xfId="58" applyNumberFormat="1" applyFont="1" applyBorder="1" applyAlignment="1">
      <alignment horizontal="right" vertical="center"/>
    </xf>
    <xf numFmtId="166" fontId="43" fillId="0" borderId="4" xfId="58" applyNumberFormat="1" applyFont="1" applyFill="1" applyBorder="1" applyAlignment="1" applyProtection="1">
      <alignment horizontal="right" vertical="center"/>
    </xf>
    <xf numFmtId="0" fontId="94" fillId="0" borderId="0" xfId="0" applyFont="1"/>
    <xf numFmtId="0" fontId="132" fillId="0" borderId="0" xfId="0" applyFont="1"/>
    <xf numFmtId="41" fontId="60" fillId="0" borderId="19" xfId="58" applyFont="1" applyFill="1" applyBorder="1"/>
    <xf numFmtId="41" fontId="60" fillId="0" borderId="31" xfId="58" applyFont="1" applyFill="1" applyBorder="1"/>
    <xf numFmtId="41" fontId="60" fillId="0" borderId="36" xfId="58" applyFont="1" applyFill="1" applyBorder="1"/>
    <xf numFmtId="41" fontId="129" fillId="0" borderId="36" xfId="58" applyFont="1" applyFill="1" applyBorder="1"/>
    <xf numFmtId="41" fontId="54" fillId="0" borderId="19" xfId="58" applyFont="1" applyFill="1" applyBorder="1"/>
    <xf numFmtId="41" fontId="54" fillId="0" borderId="19" xfId="58" applyFont="1" applyFill="1" applyBorder="1" applyAlignment="1">
      <alignment horizontal="left" vertical="center" indent="1"/>
    </xf>
    <xf numFmtId="41" fontId="57" fillId="0" borderId="19" xfId="58" applyFont="1" applyFill="1" applyBorder="1"/>
    <xf numFmtId="41" fontId="57" fillId="0" borderId="31" xfId="58" applyFont="1" applyFill="1" applyBorder="1"/>
    <xf numFmtId="41" fontId="57" fillId="0" borderId="36" xfId="58" applyFont="1" applyFill="1" applyBorder="1"/>
    <xf numFmtId="41" fontId="60" fillId="0" borderId="19" xfId="58" applyFont="1" applyFill="1" applyBorder="1" applyAlignment="1">
      <alignment horizontal="center"/>
    </xf>
    <xf numFmtId="41" fontId="57" fillId="0" borderId="19" xfId="58" applyFont="1" applyFill="1" applyBorder="1" applyAlignment="1">
      <alignment horizontal="right" vertical="center"/>
    </xf>
    <xf numFmtId="41" fontId="92" fillId="0" borderId="19" xfId="58" applyFont="1" applyFill="1" applyBorder="1"/>
    <xf numFmtId="41" fontId="57" fillId="0" borderId="19" xfId="58" applyFont="1" applyFill="1" applyBorder="1" applyAlignment="1">
      <alignment horizontal="left" vertical="center" wrapText="1"/>
    </xf>
    <xf numFmtId="41" fontId="23" fillId="0" borderId="24" xfId="58" applyFont="1" applyFill="1" applyBorder="1"/>
    <xf numFmtId="41" fontId="70" fillId="0" borderId="13" xfId="58" applyFont="1" applyFill="1" applyBorder="1"/>
    <xf numFmtId="39" fontId="122" fillId="4" borderId="99" xfId="0" applyNumberFormat="1" applyFont="1" applyFill="1" applyBorder="1" applyAlignment="1">
      <alignment vertical="top"/>
    </xf>
    <xf numFmtId="39" fontId="123" fillId="4" borderId="14" xfId="0" applyNumberFormat="1" applyFont="1" applyFill="1" applyBorder="1" applyAlignment="1">
      <alignment vertical="top"/>
    </xf>
    <xf numFmtId="39" fontId="124" fillId="4" borderId="29" xfId="0" applyNumberFormat="1" applyFont="1" applyFill="1" applyBorder="1" applyAlignment="1">
      <alignment horizontal="right" vertical="center"/>
    </xf>
    <xf numFmtId="39" fontId="125" fillId="4" borderId="29" xfId="0" applyNumberFormat="1" applyFont="1" applyFill="1" applyBorder="1" applyAlignment="1">
      <alignment horizontal="right" vertical="center"/>
    </xf>
    <xf numFmtId="39" fontId="126" fillId="4" borderId="14" xfId="0" applyNumberFormat="1" applyFont="1" applyFill="1" applyBorder="1" applyAlignment="1">
      <alignment vertical="top"/>
    </xf>
    <xf numFmtId="39" fontId="122" fillId="4" borderId="14" xfId="0" applyNumberFormat="1" applyFont="1" applyFill="1" applyBorder="1" applyAlignment="1">
      <alignment vertical="top"/>
    </xf>
    <xf numFmtId="39" fontId="126" fillId="4" borderId="29" xfId="0" applyNumberFormat="1" applyFont="1" applyFill="1" applyBorder="1" applyAlignment="1">
      <alignment vertical="top"/>
    </xf>
    <xf numFmtId="39" fontId="122" fillId="4" borderId="29" xfId="0" applyNumberFormat="1" applyFont="1" applyFill="1" applyBorder="1" applyAlignment="1">
      <alignment vertical="top"/>
    </xf>
    <xf numFmtId="41" fontId="34" fillId="0" borderId="15" xfId="58" applyFont="1" applyBorder="1"/>
    <xf numFmtId="0" fontId="34" fillId="0" borderId="0" xfId="0" applyFont="1" applyBorder="1" applyAlignment="1">
      <alignment horizontal="right" vertical="center" wrapText="1"/>
    </xf>
    <xf numFmtId="41" fontId="50" fillId="0" borderId="15" xfId="58" applyFont="1" applyBorder="1" applyAlignment="1">
      <alignment horizontal="center"/>
    </xf>
    <xf numFmtId="0" fontId="34" fillId="0" borderId="24" xfId="0" applyFont="1" applyBorder="1" applyAlignment="1"/>
    <xf numFmtId="0" fontId="34" fillId="0" borderId="0" xfId="0" applyFont="1" applyBorder="1" applyAlignment="1">
      <alignment horizontal="right" vertical="center"/>
    </xf>
    <xf numFmtId="0" fontId="31" fillId="0" borderId="0" xfId="0" applyFont="1" applyBorder="1" applyAlignment="1">
      <alignment horizontal="right" vertical="center"/>
    </xf>
    <xf numFmtId="41" fontId="50" fillId="0" borderId="15" xfId="58" applyFont="1" applyBorder="1" applyAlignment="1"/>
    <xf numFmtId="0" fontId="34" fillId="0" borderId="5" xfId="0" applyFont="1" applyBorder="1"/>
    <xf numFmtId="0" fontId="34" fillId="0" borderId="1" xfId="0" applyFont="1" applyBorder="1" applyAlignment="1">
      <alignment vertical="center" wrapText="1"/>
    </xf>
    <xf numFmtId="166" fontId="34" fillId="0" borderId="1" xfId="58" applyNumberFormat="1" applyFont="1" applyBorder="1" applyAlignment="1">
      <alignment horizontal="right" vertical="center"/>
    </xf>
    <xf numFmtId="166" fontId="34" fillId="0" borderId="1" xfId="1" applyNumberFormat="1" applyFont="1" applyBorder="1" applyAlignment="1">
      <alignment horizontal="right" vertical="center"/>
    </xf>
    <xf numFmtId="41" fontId="89" fillId="0" borderId="0" xfId="58" applyFont="1" applyAlignment="1">
      <alignment horizontal="right" vertical="center"/>
    </xf>
    <xf numFmtId="0" fontId="135" fillId="0" borderId="0" xfId="0" applyFont="1" applyAlignment="1">
      <alignment horizontal="right" vertical="center"/>
    </xf>
    <xf numFmtId="4" fontId="53" fillId="0" borderId="7" xfId="0" applyNumberFormat="1" applyFont="1" applyFill="1" applyBorder="1" applyAlignment="1">
      <alignment horizontal="right" vertical="center"/>
    </xf>
    <xf numFmtId="0" fontId="136" fillId="0" borderId="4" xfId="0" applyFont="1" applyFill="1" applyBorder="1"/>
    <xf numFmtId="49" fontId="22" fillId="0" borderId="24" xfId="0" applyNumberFormat="1" applyFont="1" applyBorder="1" applyAlignment="1">
      <alignment horizontal="center" vertical="center"/>
    </xf>
    <xf numFmtId="0" fontId="49" fillId="0" borderId="24" xfId="0" applyNumberFormat="1" applyFont="1" applyBorder="1" applyAlignment="1">
      <alignment horizontal="left" vertical="center"/>
    </xf>
    <xf numFmtId="166" fontId="49" fillId="0" borderId="0" xfId="1" applyNumberFormat="1" applyFont="1" applyBorder="1" applyAlignment="1">
      <alignment horizontal="center"/>
    </xf>
    <xf numFmtId="0" fontId="22" fillId="0" borderId="1" xfId="0" applyFont="1" applyBorder="1" applyAlignment="1">
      <alignment vertical="center" wrapText="1"/>
    </xf>
    <xf numFmtId="166" fontId="39" fillId="0" borderId="46" xfId="1" applyNumberFormat="1" applyFont="1" applyBorder="1"/>
    <xf numFmtId="0" fontId="48" fillId="0" borderId="46" xfId="0" applyFont="1" applyBorder="1"/>
    <xf numFmtId="0" fontId="41" fillId="0" borderId="4" xfId="0" applyFont="1" applyBorder="1" applyAlignment="1">
      <alignment horizontal="left" vertical="center"/>
    </xf>
    <xf numFmtId="0" fontId="61" fillId="0" borderId="21" xfId="0" applyFont="1" applyFill="1" applyBorder="1" applyAlignment="1">
      <alignment horizontal="left" vertical="center" wrapText="1"/>
    </xf>
    <xf numFmtId="166" fontId="61" fillId="0" borderId="21" xfId="1" applyNumberFormat="1" applyFont="1" applyFill="1" applyBorder="1" applyAlignment="1">
      <alignment vertical="center"/>
    </xf>
    <xf numFmtId="165" fontId="61" fillId="0" borderId="21" xfId="0" applyNumberFormat="1" applyFont="1" applyBorder="1" applyAlignment="1">
      <alignment horizontal="right" vertical="center"/>
    </xf>
    <xf numFmtId="41" fontId="62" fillId="0" borderId="21" xfId="58" applyFont="1" applyFill="1" applyBorder="1" applyAlignment="1">
      <alignment horizontal="right" vertical="center"/>
    </xf>
    <xf numFmtId="166" fontId="61" fillId="0" borderId="21" xfId="7" applyNumberFormat="1" applyFont="1" applyBorder="1" applyAlignment="1">
      <alignment vertical="center"/>
    </xf>
    <xf numFmtId="166" fontId="61" fillId="0" borderId="21" xfId="1" applyNumberFormat="1" applyFont="1" applyFill="1" applyBorder="1" applyAlignment="1">
      <alignment horizontal="right" vertical="center"/>
    </xf>
    <xf numFmtId="166" fontId="61" fillId="0" borderId="21" xfId="1" applyNumberFormat="1" applyFont="1" applyBorder="1" applyAlignment="1">
      <alignment vertical="center"/>
    </xf>
    <xf numFmtId="166" fontId="61" fillId="0" borderId="21" xfId="1" applyNumberFormat="1" applyFont="1" applyFill="1" applyBorder="1" applyAlignment="1" applyProtection="1">
      <alignment horizontal="left" vertical="center" indent="1"/>
    </xf>
    <xf numFmtId="166" fontId="61" fillId="0" borderId="21" xfId="1" applyNumberFormat="1" applyFont="1" applyBorder="1" applyAlignment="1" applyProtection="1">
      <alignment vertical="center"/>
    </xf>
    <xf numFmtId="4" fontId="61" fillId="0" borderId="21" xfId="1" applyNumberFormat="1" applyFont="1" applyBorder="1" applyAlignment="1">
      <alignment vertical="center"/>
    </xf>
    <xf numFmtId="165" fontId="61" fillId="0" borderId="25" xfId="0" applyNumberFormat="1" applyFont="1" applyBorder="1" applyAlignment="1">
      <alignment horizontal="right" vertical="center"/>
    </xf>
    <xf numFmtId="166" fontId="61" fillId="0" borderId="25" xfId="7" applyNumberFormat="1" applyFont="1" applyBorder="1" applyAlignment="1">
      <alignment vertical="center"/>
    </xf>
    <xf numFmtId="166" fontId="61" fillId="0" borderId="25" xfId="1" applyNumberFormat="1" applyFont="1" applyFill="1" applyBorder="1" applyAlignment="1" applyProtection="1">
      <alignment horizontal="left" vertical="center" indent="1"/>
    </xf>
    <xf numFmtId="166" fontId="61" fillId="0" borderId="25" xfId="1" applyNumberFormat="1" applyFont="1" applyBorder="1" applyAlignment="1" applyProtection="1">
      <alignment vertical="center"/>
    </xf>
    <xf numFmtId="165" fontId="31" fillId="0" borderId="17" xfId="0" applyNumberFormat="1" applyFont="1" applyBorder="1" applyAlignment="1">
      <alignment horizontal="right" vertical="center"/>
    </xf>
    <xf numFmtId="39" fontId="43" fillId="6" borderId="4" xfId="0" applyNumberFormat="1" applyFont="1" applyFill="1" applyBorder="1" applyAlignment="1">
      <alignment vertical="top"/>
    </xf>
    <xf numFmtId="4" fontId="39" fillId="0" borderId="17" xfId="1" applyNumberFormat="1" applyFont="1" applyFill="1" applyBorder="1" applyAlignment="1">
      <alignment horizontal="right" vertical="center"/>
    </xf>
    <xf numFmtId="166" fontId="53" fillId="0" borderId="4" xfId="1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49" fontId="31" fillId="3" borderId="11" xfId="0" applyNumberFormat="1" applyFont="1" applyFill="1" applyBorder="1" applyAlignment="1">
      <alignment horizontal="center" vertical="center"/>
    </xf>
    <xf numFmtId="0" fontId="31" fillId="3" borderId="11" xfId="0" applyFont="1" applyFill="1" applyBorder="1" applyAlignment="1">
      <alignment horizontal="left" vertical="center" wrapText="1"/>
    </xf>
    <xf numFmtId="166" fontId="31" fillId="3" borderId="11" xfId="1" applyNumberFormat="1" applyFont="1" applyFill="1" applyBorder="1" applyAlignment="1">
      <alignment vertical="center"/>
    </xf>
    <xf numFmtId="165" fontId="31" fillId="3" borderId="11" xfId="0" applyNumberFormat="1" applyFont="1" applyFill="1" applyBorder="1" applyAlignment="1">
      <alignment horizontal="right" vertical="center"/>
    </xf>
    <xf numFmtId="41" fontId="62" fillId="3" borderId="11" xfId="58" applyFont="1" applyFill="1" applyBorder="1" applyAlignment="1">
      <alignment horizontal="right" vertical="center"/>
    </xf>
    <xf numFmtId="166" fontId="61" fillId="3" borderId="11" xfId="7" applyNumberFormat="1" applyFont="1" applyFill="1" applyBorder="1" applyAlignment="1">
      <alignment vertical="center"/>
    </xf>
    <xf numFmtId="166" fontId="61" fillId="3" borderId="11" xfId="1" applyNumberFormat="1" applyFont="1" applyFill="1" applyBorder="1" applyAlignment="1">
      <alignment horizontal="right" vertical="center"/>
    </xf>
    <xf numFmtId="166" fontId="61" fillId="3" borderId="11" xfId="1" applyNumberFormat="1" applyFont="1" applyFill="1" applyBorder="1" applyAlignment="1">
      <alignment vertical="center"/>
    </xf>
    <xf numFmtId="166" fontId="61" fillId="3" borderId="11" xfId="1" applyNumberFormat="1" applyFont="1" applyFill="1" applyBorder="1" applyAlignment="1" applyProtection="1">
      <alignment horizontal="left" vertical="center" indent="1"/>
    </xf>
    <xf numFmtId="166" fontId="61" fillId="3" borderId="11" xfId="1" applyNumberFormat="1" applyFont="1" applyFill="1" applyBorder="1" applyAlignment="1" applyProtection="1">
      <alignment vertical="center"/>
    </xf>
    <xf numFmtId="4" fontId="61" fillId="3" borderId="11" xfId="1" applyNumberFormat="1" applyFont="1" applyFill="1" applyBorder="1" applyAlignment="1">
      <alignment vertical="center"/>
    </xf>
    <xf numFmtId="166" fontId="34" fillId="3" borderId="11" xfId="1" applyNumberFormat="1" applyFont="1" applyFill="1" applyBorder="1" applyAlignment="1">
      <alignment vertical="center"/>
    </xf>
    <xf numFmtId="41" fontId="62" fillId="3" borderId="11" xfId="58" applyFont="1" applyFill="1" applyBorder="1" applyAlignment="1">
      <alignment vertical="center"/>
    </xf>
    <xf numFmtId="49" fontId="31" fillId="2" borderId="11" xfId="0" applyNumberFormat="1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left" vertical="center" wrapText="1"/>
    </xf>
    <xf numFmtId="41" fontId="31" fillId="2" borderId="11" xfId="58" applyFont="1" applyFill="1" applyBorder="1" applyAlignment="1">
      <alignment horizontal="left" vertical="center" indent="1"/>
    </xf>
    <xf numFmtId="166" fontId="31" fillId="2" borderId="11" xfId="1" applyNumberFormat="1" applyFont="1" applyFill="1" applyBorder="1" applyAlignment="1">
      <alignment horizontal="right" vertical="center"/>
    </xf>
    <xf numFmtId="43" fontId="31" fillId="2" borderId="11" xfId="0" applyNumberFormat="1" applyFont="1" applyFill="1" applyBorder="1" applyAlignment="1">
      <alignment horizontal="left" vertical="center" indent="1"/>
    </xf>
    <xf numFmtId="43" fontId="31" fillId="2" borderId="11" xfId="0" applyNumberFormat="1" applyFont="1" applyFill="1" applyBorder="1" applyAlignment="1">
      <alignment vertical="center"/>
    </xf>
    <xf numFmtId="166" fontId="43" fillId="0" borderId="25" xfId="1" applyNumberFormat="1" applyFont="1" applyFill="1" applyBorder="1" applyAlignment="1">
      <alignment vertical="center"/>
    </xf>
    <xf numFmtId="4" fontId="39" fillId="0" borderId="25" xfId="1" applyNumberFormat="1" applyFont="1" applyBorder="1" applyAlignment="1">
      <alignment horizontal="right" vertical="center" indent="1"/>
    </xf>
    <xf numFmtId="4" fontId="43" fillId="0" borderId="100" xfId="0" applyNumberFormat="1" applyFont="1" applyBorder="1" applyAlignment="1">
      <alignment horizontal="right" vertical="center" indent="1"/>
    </xf>
    <xf numFmtId="4" fontId="43" fillId="0" borderId="95" xfId="0" applyNumberFormat="1" applyFont="1" applyBorder="1" applyAlignment="1">
      <alignment horizontal="right" vertical="center" indent="1"/>
    </xf>
    <xf numFmtId="4" fontId="39" fillId="0" borderId="12" xfId="0" applyNumberFormat="1" applyFont="1" applyBorder="1" applyAlignment="1">
      <alignment horizontal="right" vertical="center" indent="1"/>
    </xf>
    <xf numFmtId="166" fontId="44" fillId="0" borderId="4" xfId="1" applyNumberFormat="1" applyFont="1" applyFill="1" applyBorder="1" applyAlignment="1">
      <alignment horizontal="right" vertical="center"/>
    </xf>
    <xf numFmtId="43" fontId="39" fillId="0" borderId="7" xfId="2" applyFont="1" applyFill="1" applyBorder="1" applyAlignment="1">
      <alignment horizontal="right" vertical="center" wrapText="1"/>
    </xf>
    <xf numFmtId="43" fontId="43" fillId="0" borderId="11" xfId="0" applyNumberFormat="1" applyFont="1" applyBorder="1" applyAlignment="1">
      <alignment horizontal="left" vertical="center" indent="1"/>
    </xf>
    <xf numFmtId="39" fontId="43" fillId="0" borderId="11" xfId="0" applyNumberFormat="1" applyFont="1" applyFill="1" applyBorder="1" applyAlignment="1">
      <alignment horizontal="right" vertical="center"/>
    </xf>
    <xf numFmtId="166" fontId="62" fillId="0" borderId="17" xfId="1" applyNumberFormat="1" applyFont="1" applyFill="1" applyBorder="1" applyAlignment="1">
      <alignment horizontal="right" vertical="center"/>
    </xf>
    <xf numFmtId="4" fontId="31" fillId="5" borderId="22" xfId="0" applyNumberFormat="1" applyFont="1" applyFill="1" applyBorder="1" applyAlignment="1">
      <alignment horizontal="right" vertical="center"/>
    </xf>
    <xf numFmtId="4" fontId="97" fillId="5" borderId="22" xfId="0" applyNumberFormat="1" applyFont="1" applyFill="1" applyBorder="1" applyAlignment="1">
      <alignment horizontal="right" vertical="center"/>
    </xf>
    <xf numFmtId="4" fontId="30" fillId="5" borderId="22" xfId="0" applyNumberFormat="1" applyFont="1" applyFill="1" applyBorder="1" applyAlignment="1">
      <alignment horizontal="right" vertical="center"/>
    </xf>
    <xf numFmtId="4" fontId="41" fillId="5" borderId="22" xfId="0" applyNumberFormat="1" applyFont="1" applyFill="1" applyBorder="1" applyAlignment="1">
      <alignment horizontal="right" vertical="center"/>
    </xf>
    <xf numFmtId="0" fontId="42" fillId="0" borderId="25" xfId="0" applyFont="1" applyBorder="1"/>
    <xf numFmtId="4" fontId="78" fillId="0" borderId="10" xfId="1" quotePrefix="1" applyNumberFormat="1" applyFont="1" applyBorder="1" applyAlignment="1">
      <alignment horizontal="center" vertical="center"/>
    </xf>
    <xf numFmtId="0" fontId="34" fillId="0" borderId="24" xfId="0" applyFont="1" applyBorder="1"/>
    <xf numFmtId="49" fontId="39" fillId="2" borderId="7" xfId="0" applyNumberFormat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43" fontId="26" fillId="0" borderId="7" xfId="1" applyNumberFormat="1" applyFont="1" applyBorder="1"/>
    <xf numFmtId="43" fontId="68" fillId="0" borderId="7" xfId="1" applyNumberFormat="1" applyFont="1" applyBorder="1"/>
    <xf numFmtId="166" fontId="28" fillId="0" borderId="7" xfId="1" applyNumberFormat="1" applyFont="1" applyBorder="1"/>
    <xf numFmtId="166" fontId="28" fillId="0" borderId="4" xfId="1" applyNumberFormat="1" applyFont="1" applyBorder="1" applyAlignment="1">
      <alignment vertical="center"/>
    </xf>
    <xf numFmtId="43" fontId="26" fillId="0" borderId="4" xfId="1" applyNumberFormat="1" applyFont="1" applyBorder="1" applyAlignment="1">
      <alignment vertical="center"/>
    </xf>
    <xf numFmtId="0" fontId="28" fillId="0" borderId="10" xfId="0" applyFont="1" applyBorder="1" applyAlignment="1">
      <alignment horizontal="center" vertical="center"/>
    </xf>
    <xf numFmtId="0" fontId="42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166" fontId="50" fillId="0" borderId="0" xfId="1" applyNumberFormat="1" applyFont="1" applyBorder="1" applyAlignment="1">
      <alignment horizontal="center"/>
    </xf>
    <xf numFmtId="166" fontId="50" fillId="0" borderId="0" xfId="1" applyNumberFormat="1" applyFont="1" applyAlignment="1">
      <alignment horizontal="center"/>
    </xf>
    <xf numFmtId="0" fontId="50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/>
    </xf>
    <xf numFmtId="0" fontId="3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39" fillId="0" borderId="26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9" fillId="0" borderId="61" xfId="0" applyFont="1" applyBorder="1" applyAlignment="1">
      <alignment horizontal="center" vertical="center"/>
    </xf>
    <xf numFmtId="0" fontId="65" fillId="0" borderId="0" xfId="0" applyFont="1" applyAlignment="1">
      <alignment horizontal="center"/>
    </xf>
    <xf numFmtId="0" fontId="22" fillId="0" borderId="0" xfId="0" applyFont="1" applyAlignment="1">
      <alignment horizontal="left" vertical="center"/>
    </xf>
    <xf numFmtId="0" fontId="28" fillId="0" borderId="19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5" fillId="0" borderId="19" xfId="0" applyFont="1" applyBorder="1"/>
    <xf numFmtId="41" fontId="40" fillId="0" borderId="24" xfId="58" applyFont="1" applyBorder="1"/>
    <xf numFmtId="165" fontId="39" fillId="0" borderId="8" xfId="17" applyFont="1" applyBorder="1" applyAlignment="1">
      <alignment vertical="center"/>
    </xf>
    <xf numFmtId="4" fontId="39" fillId="0" borderId="8" xfId="0" applyNumberFormat="1" applyFont="1" applyBorder="1" applyAlignment="1">
      <alignment horizontal="right" vertical="center" indent="1"/>
    </xf>
    <xf numFmtId="166" fontId="0" fillId="0" borderId="8" xfId="1" applyNumberFormat="1" applyFont="1" applyFill="1" applyBorder="1"/>
    <xf numFmtId="165" fontId="0" fillId="0" borderId="8" xfId="0" applyNumberFormat="1" applyFill="1" applyBorder="1"/>
    <xf numFmtId="165" fontId="5" fillId="0" borderId="4" xfId="0" applyNumberFormat="1" applyFont="1" applyFill="1" applyBorder="1"/>
    <xf numFmtId="165" fontId="5" fillId="0" borderId="7" xfId="0" applyNumberFormat="1" applyFont="1" applyFill="1" applyBorder="1"/>
    <xf numFmtId="0" fontId="0" fillId="0" borderId="8" xfId="0" applyFill="1" applyBorder="1"/>
    <xf numFmtId="166" fontId="5" fillId="0" borderId="8" xfId="1" applyNumberFormat="1" applyFont="1" applyFill="1" applyBorder="1"/>
    <xf numFmtId="166" fontId="5" fillId="0" borderId="39" xfId="1" applyNumberFormat="1" applyFont="1" applyFill="1" applyBorder="1"/>
    <xf numFmtId="165" fontId="0" fillId="0" borderId="0" xfId="0" applyNumberFormat="1" applyFill="1"/>
    <xf numFmtId="0" fontId="0" fillId="0" borderId="24" xfId="0" applyFill="1" applyBorder="1"/>
    <xf numFmtId="4" fontId="0" fillId="0" borderId="39" xfId="0" applyNumberFormat="1" applyFill="1" applyBorder="1"/>
    <xf numFmtId="0" fontId="5" fillId="0" borderId="5" xfId="0" applyFont="1" applyBorder="1"/>
    <xf numFmtId="166" fontId="5" fillId="0" borderId="58" xfId="1" applyNumberFormat="1" applyFont="1" applyBorder="1"/>
    <xf numFmtId="166" fontId="5" fillId="0" borderId="58" xfId="1" applyNumberFormat="1" applyFont="1" applyFill="1" applyBorder="1"/>
    <xf numFmtId="165" fontId="5" fillId="0" borderId="58" xfId="0" applyNumberFormat="1" applyFont="1" applyFill="1" applyBorder="1"/>
    <xf numFmtId="165" fontId="5" fillId="0" borderId="5" xfId="0" applyNumberFormat="1" applyFont="1" applyFill="1" applyBorder="1"/>
    <xf numFmtId="0" fontId="5" fillId="0" borderId="39" xfId="0" applyFont="1" applyFill="1" applyBorder="1" applyAlignment="1">
      <alignment horizontal="center"/>
    </xf>
    <xf numFmtId="0" fontId="0" fillId="0" borderId="58" xfId="0" applyBorder="1"/>
    <xf numFmtId="165" fontId="0" fillId="0" borderId="58" xfId="0" applyNumberFormat="1" applyFill="1" applyBorder="1"/>
    <xf numFmtId="165" fontId="0" fillId="0" borderId="58" xfId="0" applyNumberFormat="1" applyFont="1" applyFill="1" applyBorder="1"/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166" fontId="0" fillId="0" borderId="4" xfId="58" applyNumberFormat="1" applyFont="1" applyBorder="1"/>
    <xf numFmtId="0" fontId="0" fillId="0" borderId="4" xfId="0" applyFont="1" applyFill="1" applyBorder="1"/>
    <xf numFmtId="166" fontId="0" fillId="0" borderId="4" xfId="58" applyNumberFormat="1" applyFont="1" applyFill="1" applyBorder="1"/>
    <xf numFmtId="166" fontId="3" fillId="0" borderId="4" xfId="58" applyNumberFormat="1" applyFont="1" applyBorder="1"/>
    <xf numFmtId="0" fontId="0" fillId="0" borderId="4" xfId="0" applyFill="1" applyBorder="1"/>
    <xf numFmtId="166" fontId="5" fillId="0" borderId="4" xfId="1" applyNumberFormat="1" applyFont="1" applyFill="1" applyBorder="1"/>
    <xf numFmtId="4" fontId="5" fillId="0" borderId="4" xfId="0" applyNumberFormat="1" applyFont="1" applyFill="1" applyBorder="1"/>
    <xf numFmtId="4" fontId="0" fillId="0" borderId="4" xfId="0" applyNumberFormat="1" applyFont="1" applyFill="1" applyBorder="1"/>
    <xf numFmtId="4" fontId="0" fillId="0" borderId="4" xfId="0" applyNumberFormat="1" applyFill="1" applyBorder="1"/>
    <xf numFmtId="165" fontId="0" fillId="0" borderId="5" xfId="0" applyNumberFormat="1" applyFont="1" applyFill="1" applyBorder="1"/>
    <xf numFmtId="0" fontId="5" fillId="0" borderId="4" xfId="0" applyFont="1" applyBorder="1" applyAlignment="1">
      <alignment wrapText="1"/>
    </xf>
    <xf numFmtId="0" fontId="0" fillId="0" borderId="4" xfId="0" applyBorder="1" applyAlignment="1">
      <alignment horizontal="left" vertical="top"/>
    </xf>
    <xf numFmtId="166" fontId="5" fillId="0" borderId="4" xfId="1" applyNumberFormat="1" applyFont="1" applyBorder="1" applyAlignment="1">
      <alignment vertical="center"/>
    </xf>
    <xf numFmtId="166" fontId="5" fillId="0" borderId="4" xfId="1" applyNumberFormat="1" applyFont="1" applyBorder="1" applyAlignment="1">
      <alignment vertical="center" wrapText="1"/>
    </xf>
    <xf numFmtId="165" fontId="5" fillId="0" borderId="8" xfId="0" applyNumberFormat="1" applyFont="1" applyFill="1" applyBorder="1"/>
    <xf numFmtId="4" fontId="5" fillId="0" borderId="8" xfId="0" applyNumberFormat="1" applyFont="1" applyFill="1" applyBorder="1"/>
    <xf numFmtId="0" fontId="0" fillId="0" borderId="2" xfId="0" applyBorder="1"/>
    <xf numFmtId="0" fontId="49" fillId="0" borderId="4" xfId="0" applyFont="1" applyBorder="1" applyAlignment="1">
      <alignment horizontal="left" vertical="center"/>
    </xf>
    <xf numFmtId="43" fontId="49" fillId="0" borderId="4" xfId="1" applyNumberFormat="1" applyFont="1" applyBorder="1" applyAlignment="1">
      <alignment vertical="center"/>
    </xf>
    <xf numFmtId="166" fontId="58" fillId="0" borderId="4" xfId="63" applyNumberFormat="1" applyFont="1" applyBorder="1" applyAlignment="1" applyProtection="1"/>
    <xf numFmtId="0" fontId="49" fillId="0" borderId="7" xfId="0" applyFont="1" applyBorder="1" applyAlignment="1">
      <alignment horizontal="left" vertical="center" indent="1"/>
    </xf>
    <xf numFmtId="43" fontId="49" fillId="0" borderId="7" xfId="1" applyNumberFormat="1" applyFont="1" applyBorder="1" applyAlignment="1">
      <alignment vertical="center"/>
    </xf>
    <xf numFmtId="43" fontId="49" fillId="0" borderId="4" xfId="1" applyNumberFormat="1" applyFont="1" applyBorder="1"/>
    <xf numFmtId="0" fontId="49" fillId="0" borderId="7" xfId="0" applyFont="1" applyBorder="1" applyAlignment="1">
      <alignment vertical="center" wrapText="1"/>
    </xf>
    <xf numFmtId="166" fontId="58" fillId="0" borderId="7" xfId="63" applyNumberFormat="1" applyFont="1" applyBorder="1" applyAlignment="1" applyProtection="1">
      <alignment vertical="center"/>
    </xf>
    <xf numFmtId="0" fontId="22" fillId="0" borderId="39" xfId="0" applyFont="1" applyBorder="1" applyAlignment="1">
      <alignment horizontal="center" vertical="center"/>
    </xf>
    <xf numFmtId="0" fontId="22" fillId="0" borderId="39" xfId="0" applyFont="1" applyFill="1" applyBorder="1" applyAlignment="1">
      <alignment horizontal="center" wrapText="1"/>
    </xf>
    <xf numFmtId="0" fontId="39" fillId="0" borderId="12" xfId="0" applyFont="1" applyBorder="1" applyAlignment="1">
      <alignment horizontal="center"/>
    </xf>
    <xf numFmtId="0" fontId="39" fillId="0" borderId="12" xfId="0" applyFont="1" applyBorder="1"/>
    <xf numFmtId="166" fontId="39" fillId="0" borderId="12" xfId="58" applyNumberFormat="1" applyFont="1" applyBorder="1"/>
    <xf numFmtId="0" fontId="22" fillId="0" borderId="2" xfId="0" applyFont="1" applyBorder="1"/>
    <xf numFmtId="166" fontId="22" fillId="0" borderId="4" xfId="58" applyNumberFormat="1" applyFont="1" applyBorder="1"/>
    <xf numFmtId="166" fontId="22" fillId="0" borderId="7" xfId="58" applyNumberFormat="1" applyFont="1" applyBorder="1"/>
    <xf numFmtId="0" fontId="39" fillId="0" borderId="4" xfId="0" applyFont="1" applyBorder="1" applyAlignment="1">
      <alignment horizontal="center"/>
    </xf>
    <xf numFmtId="0" fontId="22" fillId="0" borderId="46" xfId="0" applyFont="1" applyBorder="1"/>
    <xf numFmtId="0" fontId="22" fillId="0" borderId="47" xfId="0" applyFont="1" applyBorder="1"/>
    <xf numFmtId="0" fontId="22" fillId="0" borderId="39" xfId="0" applyFont="1" applyBorder="1" applyAlignment="1">
      <alignment horizontal="center" vertical="center" wrapText="1"/>
    </xf>
    <xf numFmtId="165" fontId="22" fillId="0" borderId="4" xfId="0" applyNumberFormat="1" applyFont="1" applyBorder="1"/>
    <xf numFmtId="164" fontId="39" fillId="0" borderId="12" xfId="0" applyNumberFormat="1" applyFont="1" applyBorder="1" applyAlignment="1">
      <alignment horizontal="center"/>
    </xf>
    <xf numFmtId="165" fontId="22" fillId="0" borderId="4" xfId="0" applyNumberFormat="1" applyFont="1" applyBorder="1" applyAlignment="1">
      <alignment horizontal="center"/>
    </xf>
    <xf numFmtId="165" fontId="39" fillId="0" borderId="2" xfId="0" applyNumberFormat="1" applyFont="1" applyBorder="1" applyAlignment="1">
      <alignment horizontal="right"/>
    </xf>
    <xf numFmtId="165" fontId="22" fillId="0" borderId="4" xfId="0" applyNumberFormat="1" applyFont="1" applyBorder="1" applyAlignment="1">
      <alignment horizontal="right"/>
    </xf>
    <xf numFmtId="165" fontId="39" fillId="0" borderId="12" xfId="0" applyNumberFormat="1" applyFont="1" applyBorder="1" applyAlignment="1">
      <alignment horizontal="center"/>
    </xf>
    <xf numFmtId="165" fontId="22" fillId="0" borderId="12" xfId="0" applyNumberFormat="1" applyFont="1" applyBorder="1" applyAlignment="1">
      <alignment horizontal="center"/>
    </xf>
    <xf numFmtId="166" fontId="22" fillId="0" borderId="0" xfId="58" applyNumberFormat="1" applyFont="1"/>
    <xf numFmtId="165" fontId="39" fillId="0" borderId="4" xfId="0" applyNumberFormat="1" applyFont="1" applyBorder="1" applyAlignment="1">
      <alignment horizontal="right"/>
    </xf>
    <xf numFmtId="0" fontId="39" fillId="0" borderId="7" xfId="0" applyFont="1" applyBorder="1" applyAlignment="1">
      <alignment horizontal="center" vertical="top"/>
    </xf>
    <xf numFmtId="165" fontId="39" fillId="0" borderId="49" xfId="0" applyNumberFormat="1" applyFont="1" applyBorder="1"/>
    <xf numFmtId="0" fontId="39" fillId="0" borderId="49" xfId="0" applyFont="1" applyBorder="1" applyAlignment="1">
      <alignment horizontal="center"/>
    </xf>
    <xf numFmtId="165" fontId="39" fillId="0" borderId="46" xfId="0" applyNumberFormat="1" applyFont="1" applyBorder="1" applyAlignment="1">
      <alignment horizontal="center"/>
    </xf>
    <xf numFmtId="165" fontId="39" fillId="0" borderId="8" xfId="0" applyNumberFormat="1" applyFont="1" applyBorder="1" applyAlignment="1">
      <alignment horizontal="center"/>
    </xf>
    <xf numFmtId="165" fontId="39" fillId="0" borderId="46" xfId="0" applyNumberFormat="1" applyFont="1" applyBorder="1"/>
    <xf numFmtId="0" fontId="22" fillId="0" borderId="39" xfId="0" applyFont="1" applyFill="1" applyBorder="1" applyAlignment="1">
      <alignment horizontal="center" vertical="center"/>
    </xf>
    <xf numFmtId="165" fontId="5" fillId="0" borderId="8" xfId="0" applyNumberFormat="1" applyFont="1" applyBorder="1"/>
    <xf numFmtId="166" fontId="39" fillId="0" borderId="4" xfId="58" applyNumberFormat="1" applyFont="1" applyBorder="1"/>
    <xf numFmtId="165" fontId="0" fillId="0" borderId="4" xfId="0" applyNumberFormat="1" applyFont="1" applyBorder="1"/>
    <xf numFmtId="166" fontId="43" fillId="0" borderId="7" xfId="7" applyNumberFormat="1" applyFont="1" applyBorder="1" applyAlignment="1">
      <alignment horizontal="right" vertical="center"/>
    </xf>
    <xf numFmtId="0" fontId="39" fillId="0" borderId="11" xfId="0" applyFont="1" applyBorder="1" applyAlignment="1">
      <alignment vertical="top" wrapText="1"/>
    </xf>
    <xf numFmtId="0" fontId="22" fillId="0" borderId="4" xfId="0" applyFont="1" applyBorder="1" applyAlignment="1">
      <alignment horizontal="center" vertical="top"/>
    </xf>
    <xf numFmtId="0" fontId="22" fillId="0" borderId="4" xfId="0" applyFont="1" applyBorder="1" applyAlignment="1">
      <alignment wrapText="1"/>
    </xf>
    <xf numFmtId="4" fontId="22" fillId="0" borderId="4" xfId="0" applyNumberFormat="1" applyFont="1" applyBorder="1"/>
    <xf numFmtId="0" fontId="39" fillId="0" borderId="2" xfId="0" applyFont="1" applyBorder="1" applyAlignment="1">
      <alignment horizontal="left"/>
    </xf>
    <xf numFmtId="0" fontId="22" fillId="0" borderId="7" xfId="0" applyFont="1" applyBorder="1" applyAlignment="1">
      <alignment horizontal="center"/>
    </xf>
    <xf numFmtId="165" fontId="22" fillId="0" borderId="7" xfId="0" applyNumberFormat="1" applyFont="1" applyBorder="1" applyAlignment="1">
      <alignment horizontal="center"/>
    </xf>
    <xf numFmtId="0" fontId="39" fillId="0" borderId="49" xfId="0" applyFont="1" applyBorder="1"/>
    <xf numFmtId="166" fontId="39" fillId="0" borderId="46" xfId="58" applyNumberFormat="1" applyFont="1" applyBorder="1"/>
    <xf numFmtId="41" fontId="77" fillId="0" borderId="24" xfId="58" applyFont="1" applyBorder="1"/>
    <xf numFmtId="41" fontId="22" fillId="0" borderId="19" xfId="58" applyFont="1" applyBorder="1"/>
    <xf numFmtId="41" fontId="23" fillId="0" borderId="24" xfId="58" applyFont="1" applyBorder="1"/>
    <xf numFmtId="0" fontId="39" fillId="0" borderId="2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0" fontId="39" fillId="0" borderId="92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41" fontId="23" fillId="0" borderId="0" xfId="58" applyFont="1"/>
    <xf numFmtId="41" fontId="48" fillId="0" borderId="0" xfId="58" applyFont="1"/>
    <xf numFmtId="41" fontId="51" fillId="0" borderId="0" xfId="58" applyFont="1"/>
    <xf numFmtId="41" fontId="130" fillId="0" borderId="0" xfId="58" applyFont="1" applyAlignment="1"/>
    <xf numFmtId="41" fontId="51" fillId="0" borderId="24" xfId="58" applyFont="1" applyBorder="1"/>
    <xf numFmtId="41" fontId="22" fillId="0" borderId="56" xfId="58" quotePrefix="1" applyFont="1" applyBorder="1" applyAlignment="1">
      <alignment horizontal="center"/>
    </xf>
    <xf numFmtId="41" fontId="49" fillId="0" borderId="24" xfId="58" applyFont="1" applyBorder="1"/>
    <xf numFmtId="41" fontId="52" fillId="0" borderId="19" xfId="58" applyFont="1" applyBorder="1"/>
    <xf numFmtId="41" fontId="72" fillId="0" borderId="24" xfId="58" applyFont="1" applyBorder="1"/>
    <xf numFmtId="41" fontId="79" fillId="0" borderId="24" xfId="58" applyFont="1" applyBorder="1"/>
    <xf numFmtId="41" fontId="57" fillId="0" borderId="31" xfId="58" applyFont="1" applyFill="1" applyBorder="1" applyAlignment="1">
      <alignment horizontal="right" vertical="center"/>
    </xf>
    <xf numFmtId="41" fontId="74" fillId="0" borderId="24" xfId="58" applyFont="1" applyBorder="1" applyAlignment="1">
      <alignment horizontal="right" vertical="center"/>
    </xf>
    <xf numFmtId="41" fontId="92" fillId="0" borderId="36" xfId="58" applyFont="1" applyBorder="1"/>
    <xf numFmtId="41" fontId="92" fillId="0" borderId="24" xfId="58" applyFont="1" applyBorder="1"/>
    <xf numFmtId="41" fontId="22" fillId="0" borderId="24" xfId="58" applyFont="1" applyBorder="1"/>
    <xf numFmtId="41" fontId="49" fillId="0" borderId="19" xfId="58" applyFont="1" applyBorder="1"/>
    <xf numFmtId="41" fontId="39" fillId="0" borderId="19" xfId="58" applyFont="1" applyBorder="1"/>
    <xf numFmtId="41" fontId="29" fillId="0" borderId="24" xfId="58" applyFont="1" applyBorder="1"/>
    <xf numFmtId="41" fontId="49" fillId="0" borderId="19" xfId="58" applyFont="1" applyFill="1" applyBorder="1"/>
    <xf numFmtId="41" fontId="40" fillId="0" borderId="24" xfId="58" applyFont="1" applyFill="1" applyBorder="1"/>
    <xf numFmtId="41" fontId="92" fillId="0" borderId="19" xfId="58" applyFont="1" applyBorder="1"/>
    <xf numFmtId="41" fontId="4" fillId="0" borderId="24" xfId="58" applyFont="1" applyBorder="1"/>
    <xf numFmtId="41" fontId="46" fillId="0" borderId="24" xfId="58" applyFont="1" applyBorder="1"/>
    <xf numFmtId="41" fontId="18" fillId="0" borderId="24" xfId="58" applyFont="1" applyBorder="1"/>
    <xf numFmtId="41" fontId="18" fillId="0" borderId="24" xfId="58" applyFont="1" applyFill="1" applyBorder="1" applyAlignment="1">
      <alignment horizontal="left" vertical="center" indent="1"/>
    </xf>
    <xf numFmtId="41" fontId="0" fillId="0" borderId="24" xfId="58" applyFont="1" applyBorder="1"/>
    <xf numFmtId="41" fontId="75" fillId="0" borderId="24" xfId="58" applyFont="1" applyFill="1" applyBorder="1"/>
    <xf numFmtId="41" fontId="53" fillId="0" borderId="19" xfId="58" applyFont="1" applyBorder="1"/>
    <xf numFmtId="41" fontId="67" fillId="0" borderId="24" xfId="58" applyFont="1" applyBorder="1"/>
    <xf numFmtId="41" fontId="47" fillId="0" borderId="19" xfId="58" applyFont="1" applyFill="1" applyBorder="1"/>
    <xf numFmtId="41" fontId="67" fillId="0" borderId="24" xfId="58" applyFont="1" applyFill="1" applyBorder="1"/>
    <xf numFmtId="41" fontId="13" fillId="0" borderId="24" xfId="58" applyFont="1" applyBorder="1"/>
    <xf numFmtId="41" fontId="47" fillId="0" borderId="19" xfId="58" applyFont="1" applyBorder="1"/>
    <xf numFmtId="41" fontId="43" fillId="0" borderId="24" xfId="58" applyFont="1" applyFill="1" applyBorder="1" applyAlignment="1">
      <alignment horizontal="right" vertical="center"/>
    </xf>
    <xf numFmtId="41" fontId="49" fillId="4" borderId="98" xfId="58" applyFont="1" applyFill="1" applyBorder="1" applyAlignment="1">
      <alignment vertical="top"/>
    </xf>
    <xf numFmtId="41" fontId="60" fillId="4" borderId="20" xfId="58" applyFont="1" applyFill="1" applyBorder="1" applyAlignment="1">
      <alignment vertical="top"/>
    </xf>
    <xf numFmtId="41" fontId="60" fillId="4" borderId="35" xfId="58" applyFont="1" applyFill="1" applyBorder="1" applyAlignment="1">
      <alignment horizontal="right" vertical="center"/>
    </xf>
    <xf numFmtId="41" fontId="48" fillId="4" borderId="35" xfId="58" applyFont="1" applyFill="1" applyBorder="1" applyAlignment="1">
      <alignment horizontal="right" vertical="center"/>
    </xf>
    <xf numFmtId="41" fontId="48" fillId="4" borderId="20" xfId="58" applyFont="1" applyFill="1" applyBorder="1" applyAlignment="1">
      <alignment vertical="top"/>
    </xf>
    <xf numFmtId="41" fontId="49" fillId="4" borderId="20" xfId="58" applyFont="1" applyFill="1" applyBorder="1" applyAlignment="1">
      <alignment vertical="top"/>
    </xf>
    <xf numFmtId="41" fontId="57" fillId="0" borderId="24" xfId="58" applyFont="1" applyBorder="1" applyAlignment="1">
      <alignment vertical="center"/>
    </xf>
    <xf numFmtId="41" fontId="48" fillId="4" borderId="35" xfId="58" applyFont="1" applyFill="1" applyBorder="1" applyAlignment="1">
      <alignment vertical="top"/>
    </xf>
    <xf numFmtId="41" fontId="49" fillId="4" borderId="35" xfId="58" applyFont="1" applyFill="1" applyBorder="1" applyAlignment="1">
      <alignment vertical="top"/>
    </xf>
    <xf numFmtId="41" fontId="22" fillId="0" borderId="19" xfId="58" applyFont="1" applyFill="1" applyBorder="1"/>
    <xf numFmtId="41" fontId="5" fillId="0" borderId="24" xfId="58" applyFont="1" applyBorder="1"/>
    <xf numFmtId="41" fontId="9" fillId="0" borderId="24" xfId="58" applyFont="1" applyBorder="1"/>
    <xf numFmtId="41" fontId="47" fillId="0" borderId="24" xfId="58" applyFont="1" applyBorder="1" applyAlignment="1">
      <alignment horizontal="left" vertical="center" wrapText="1"/>
    </xf>
    <xf numFmtId="41" fontId="22" fillId="0" borderId="47" xfId="58" applyFont="1" applyBorder="1" applyAlignment="1">
      <alignment horizontal="center" vertical="center"/>
    </xf>
    <xf numFmtId="41" fontId="23" fillId="0" borderId="24" xfId="58" applyFont="1" applyBorder="1" applyAlignment="1">
      <alignment horizontal="center" vertical="center"/>
    </xf>
    <xf numFmtId="41" fontId="22" fillId="0" borderId="0" xfId="58" applyFont="1" applyBorder="1"/>
    <xf numFmtId="41" fontId="47" fillId="0" borderId="0" xfId="58" applyFont="1" applyBorder="1"/>
    <xf numFmtId="41" fontId="47" fillId="0" borderId="1" xfId="58" applyFont="1" applyBorder="1"/>
    <xf numFmtId="41" fontId="47" fillId="0" borderId="0" xfId="58" applyFont="1"/>
    <xf numFmtId="41" fontId="67" fillId="0" borderId="0" xfId="58" applyFont="1"/>
    <xf numFmtId="170" fontId="39" fillId="0" borderId="8" xfId="0" applyNumberFormat="1" applyFont="1" applyFill="1" applyBorder="1" applyAlignment="1">
      <alignment horizontal="left" vertical="center" wrapText="1"/>
    </xf>
    <xf numFmtId="4" fontId="39" fillId="0" borderId="17" xfId="0" applyNumberFormat="1" applyFont="1" applyFill="1" applyBorder="1" applyAlignment="1">
      <alignment horizontal="right" vertical="center"/>
    </xf>
    <xf numFmtId="0" fontId="88" fillId="0" borderId="0" xfId="0" applyFont="1" applyFill="1" applyAlignment="1">
      <alignment horizontal="center" vertical="center"/>
    </xf>
    <xf numFmtId="0" fontId="88" fillId="0" borderId="0" xfId="0" applyFont="1" applyFill="1" applyAlignment="1">
      <alignment horizontal="center" vertical="center" wrapText="1"/>
    </xf>
    <xf numFmtId="0" fontId="88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8" fillId="0" borderId="0" xfId="0" applyFont="1" applyFill="1" applyAlignment="1">
      <alignment vertical="center"/>
    </xf>
    <xf numFmtId="41" fontId="8" fillId="0" borderId="0" xfId="1" applyFont="1" applyFill="1"/>
    <xf numFmtId="4" fontId="8" fillId="0" borderId="0" xfId="0" applyNumberFormat="1" applyFont="1" applyFill="1" applyAlignment="1">
      <alignment vertical="center"/>
    </xf>
    <xf numFmtId="41" fontId="14" fillId="0" borderId="0" xfId="1" applyFont="1" applyFill="1" applyAlignment="1">
      <alignment vertical="center"/>
    </xf>
    <xf numFmtId="0" fontId="3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138" fillId="0" borderId="0" xfId="0" applyFont="1" applyFill="1" applyAlignment="1">
      <alignment horizontal="left" wrapText="1"/>
    </xf>
    <xf numFmtId="0" fontId="138" fillId="0" borderId="0" xfId="0" applyFont="1" applyFill="1" applyAlignment="1">
      <alignment horizontal="left" vertical="center" wrapText="1"/>
    </xf>
    <xf numFmtId="0" fontId="39" fillId="0" borderId="2" xfId="0" applyFont="1" applyBorder="1" applyAlignment="1">
      <alignment vertical="center" wrapText="1"/>
    </xf>
    <xf numFmtId="0" fontId="39" fillId="0" borderId="2" xfId="0" applyFont="1" applyBorder="1" applyAlignment="1">
      <alignment vertical="center"/>
    </xf>
    <xf numFmtId="166" fontId="39" fillId="0" borderId="8" xfId="6" applyNumberFormat="1" applyFont="1" applyBorder="1" applyAlignment="1">
      <alignment horizontal="right" vertical="center" wrapText="1"/>
    </xf>
    <xf numFmtId="166" fontId="39" fillId="0" borderId="12" xfId="1" applyNumberFormat="1" applyFont="1" applyBorder="1" applyAlignment="1">
      <alignment horizontal="right" vertical="center" wrapText="1"/>
    </xf>
    <xf numFmtId="166" fontId="43" fillId="0" borderId="8" xfId="0" applyNumberFormat="1" applyFont="1" applyFill="1" applyBorder="1" applyAlignment="1">
      <alignment horizontal="right" vertical="center" wrapText="1"/>
    </xf>
    <xf numFmtId="166" fontId="39" fillId="0" borderId="7" xfId="1" applyNumberFormat="1" applyFont="1" applyFill="1" applyBorder="1" applyAlignment="1">
      <alignment horizontal="right" vertical="center"/>
    </xf>
    <xf numFmtId="39" fontId="39" fillId="0" borderId="12" xfId="0" applyNumberFormat="1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 wrapText="1"/>
    </xf>
    <xf numFmtId="166" fontId="43" fillId="4" borderId="12" xfId="58" applyNumberFormat="1" applyFont="1" applyFill="1" applyBorder="1" applyAlignment="1">
      <alignment vertical="center"/>
    </xf>
    <xf numFmtId="166" fontId="39" fillId="6" borderId="12" xfId="1" applyNumberFormat="1" applyFont="1" applyFill="1" applyBorder="1" applyAlignment="1">
      <alignment vertical="center"/>
    </xf>
    <xf numFmtId="4" fontId="39" fillId="6" borderId="12" xfId="0" applyNumberFormat="1" applyFont="1" applyFill="1" applyBorder="1" applyAlignment="1">
      <alignment vertical="center"/>
    </xf>
    <xf numFmtId="4" fontId="54" fillId="0" borderId="12" xfId="0" applyNumberFormat="1" applyFont="1" applyBorder="1" applyAlignment="1">
      <alignment vertical="center"/>
    </xf>
    <xf numFmtId="166" fontId="31" fillId="0" borderId="12" xfId="1" applyNumberFormat="1" applyFont="1" applyFill="1" applyBorder="1" applyAlignment="1">
      <alignment horizontal="right" vertical="center" wrapText="1"/>
    </xf>
    <xf numFmtId="166" fontId="31" fillId="0" borderId="12" xfId="58" applyNumberFormat="1" applyFont="1" applyFill="1" applyBorder="1" applyAlignment="1">
      <alignment horizontal="right" vertical="center" wrapText="1"/>
    </xf>
    <xf numFmtId="167" fontId="22" fillId="0" borderId="8" xfId="1" applyNumberFormat="1" applyFont="1" applyBorder="1" applyAlignment="1">
      <alignment vertical="center"/>
    </xf>
    <xf numFmtId="43" fontId="39" fillId="0" borderId="8" xfId="0" applyNumberFormat="1" applyFont="1" applyBorder="1" applyAlignment="1">
      <alignment vertical="center"/>
    </xf>
    <xf numFmtId="4" fontId="54" fillId="0" borderId="12" xfId="0" applyNumberFormat="1" applyFont="1" applyFill="1" applyBorder="1" applyAlignment="1">
      <alignment vertical="center"/>
    </xf>
    <xf numFmtId="0" fontId="39" fillId="0" borderId="52" xfId="0" applyFont="1" applyBorder="1" applyAlignment="1">
      <alignment vertical="center" wrapText="1"/>
    </xf>
    <xf numFmtId="0" fontId="39" fillId="0" borderId="92" xfId="0" applyFont="1" applyBorder="1" applyAlignment="1">
      <alignment vertical="center"/>
    </xf>
    <xf numFmtId="39" fontId="43" fillId="0" borderId="12" xfId="0" quotePrefix="1" applyNumberFormat="1" applyFont="1" applyBorder="1" applyAlignment="1">
      <alignment horizontal="right" vertical="center"/>
    </xf>
    <xf numFmtId="173" fontId="26" fillId="0" borderId="10" xfId="1" applyNumberFormat="1" applyFont="1" applyBorder="1" applyAlignment="1">
      <alignment vertical="center"/>
    </xf>
    <xf numFmtId="0" fontId="133" fillId="0" borderId="34" xfId="62" applyFont="1" applyBorder="1" applyAlignment="1">
      <alignment horizontal="center" vertical="center" wrapText="1"/>
    </xf>
    <xf numFmtId="0" fontId="133" fillId="0" borderId="0" xfId="62" applyFont="1" applyBorder="1" applyAlignment="1">
      <alignment horizontal="center" vertical="center" wrapText="1"/>
    </xf>
    <xf numFmtId="0" fontId="133" fillId="0" borderId="26" xfId="62" applyFont="1" applyBorder="1" applyAlignment="1">
      <alignment horizontal="center" vertical="center" wrapText="1"/>
    </xf>
    <xf numFmtId="0" fontId="86" fillId="0" borderId="34" xfId="62" applyFont="1" applyBorder="1" applyAlignment="1">
      <alignment horizontal="left" vertical="top"/>
    </xf>
    <xf numFmtId="0" fontId="86" fillId="0" borderId="0" xfId="62" applyFont="1" applyBorder="1" applyAlignment="1">
      <alignment horizontal="left" vertical="top"/>
    </xf>
    <xf numFmtId="0" fontId="86" fillId="0" borderId="26" xfId="62" applyFont="1" applyBorder="1" applyAlignment="1">
      <alignment horizontal="left" vertical="top"/>
    </xf>
    <xf numFmtId="0" fontId="133" fillId="0" borderId="26" xfId="62" applyFont="1" applyBorder="1" applyAlignment="1">
      <alignment horizontal="right"/>
    </xf>
    <xf numFmtId="0" fontId="85" fillId="0" borderId="80" xfId="62" applyFont="1" applyBorder="1" applyAlignment="1">
      <alignment horizontal="center" vertical="center"/>
    </xf>
    <xf numFmtId="0" fontId="85" fillId="0" borderId="82" xfId="62" applyFont="1" applyBorder="1" applyAlignment="1">
      <alignment horizontal="center" vertical="center"/>
    </xf>
    <xf numFmtId="0" fontId="85" fillId="0" borderId="39" xfId="62" applyFont="1" applyBorder="1" applyAlignment="1">
      <alignment horizontal="center" vertical="center"/>
    </xf>
    <xf numFmtId="0" fontId="85" fillId="0" borderId="45" xfId="62" applyFont="1" applyBorder="1" applyAlignment="1">
      <alignment horizontal="center" vertical="center"/>
    </xf>
    <xf numFmtId="166" fontId="85" fillId="0" borderId="58" xfId="63" applyNumberFormat="1" applyFont="1" applyBorder="1" applyAlignment="1" applyProtection="1">
      <alignment horizontal="center" vertical="center"/>
    </xf>
    <xf numFmtId="0" fontId="85" fillId="0" borderId="81" xfId="62" applyFont="1" applyBorder="1" applyAlignment="1">
      <alignment horizontal="center" vertical="center"/>
    </xf>
    <xf numFmtId="0" fontId="85" fillId="0" borderId="83" xfId="62" applyFont="1" applyBorder="1" applyAlignment="1">
      <alignment horizontal="center" vertical="center"/>
    </xf>
    <xf numFmtId="166" fontId="85" fillId="0" borderId="39" xfId="63" applyNumberFormat="1" applyFont="1" applyBorder="1" applyAlignment="1" applyProtection="1">
      <alignment horizontal="center" vertical="center" wrapText="1"/>
    </xf>
    <xf numFmtId="166" fontId="85" fillId="0" borderId="45" xfId="63" applyNumberFormat="1" applyFont="1" applyBorder="1" applyAlignment="1" applyProtection="1">
      <alignment horizontal="center" vertical="center" wrapText="1"/>
    </xf>
    <xf numFmtId="166" fontId="85" fillId="0" borderId="3" xfId="63" applyNumberFormat="1" applyFont="1" applyBorder="1" applyAlignment="1" applyProtection="1">
      <alignment horizontal="center" vertical="center" wrapText="1"/>
    </xf>
    <xf numFmtId="166" fontId="85" fillId="0" borderId="8" xfId="63" applyNumberFormat="1" applyFont="1" applyBorder="1" applyAlignment="1" applyProtection="1">
      <alignment horizontal="center" vertical="center" wrapText="1"/>
    </xf>
    <xf numFmtId="166" fontId="50" fillId="0" borderId="0" xfId="1" applyNumberFormat="1" applyFont="1" applyBorder="1" applyAlignment="1">
      <alignment horizontal="center"/>
    </xf>
    <xf numFmtId="166" fontId="50" fillId="0" borderId="15" xfId="1" applyNumberFormat="1" applyFont="1" applyBorder="1" applyAlignment="1">
      <alignment horizontal="center"/>
    </xf>
    <xf numFmtId="0" fontId="50" fillId="0" borderId="1" xfId="0" applyFont="1" applyBorder="1" applyAlignment="1">
      <alignment horizontal="center"/>
    </xf>
    <xf numFmtId="0" fontId="50" fillId="0" borderId="6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166" fontId="31" fillId="0" borderId="0" xfId="1" applyNumberFormat="1" applyFont="1" applyBorder="1" applyAlignment="1">
      <alignment horizontal="center"/>
    </xf>
    <xf numFmtId="166" fontId="31" fillId="0" borderId="0" xfId="1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0" fontId="31" fillId="0" borderId="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166" fontId="31" fillId="0" borderId="3" xfId="1" applyNumberFormat="1" applyFont="1" applyBorder="1" applyAlignment="1">
      <alignment horizontal="center" vertical="center"/>
    </xf>
    <xf numFmtId="41" fontId="50" fillId="0" borderId="2" xfId="58" applyFont="1" applyBorder="1" applyAlignment="1">
      <alignment horizontal="center" vertical="center"/>
    </xf>
    <xf numFmtId="41" fontId="50" fillId="0" borderId="4" xfId="58" applyFont="1" applyBorder="1" applyAlignment="1">
      <alignment horizontal="center" vertical="center"/>
    </xf>
    <xf numFmtId="41" fontId="50" fillId="0" borderId="7" xfId="58" applyFont="1" applyBorder="1" applyAlignment="1">
      <alignment horizontal="center" vertical="center"/>
    </xf>
    <xf numFmtId="166" fontId="31" fillId="0" borderId="58" xfId="1" applyNumberFormat="1" applyFont="1" applyBorder="1" applyAlignment="1">
      <alignment horizontal="right" vertical="center" wrapText="1"/>
    </xf>
    <xf numFmtId="166" fontId="31" fillId="0" borderId="0" xfId="7" applyNumberFormat="1" applyFont="1" applyBorder="1" applyAlignment="1">
      <alignment horizontal="center"/>
    </xf>
    <xf numFmtId="165" fontId="34" fillId="0" borderId="24" xfId="0" applyNumberFormat="1" applyFont="1" applyBorder="1"/>
    <xf numFmtId="165" fontId="34" fillId="0" borderId="0" xfId="0" applyNumberFormat="1" applyFont="1" applyBorder="1"/>
    <xf numFmtId="0" fontId="34" fillId="0" borderId="24" xfId="0" applyFont="1" applyBorder="1"/>
    <xf numFmtId="0" fontId="34" fillId="0" borderId="0" xfId="0" applyFont="1" applyBorder="1"/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center" vertical="top"/>
    </xf>
    <xf numFmtId="0" fontId="130" fillId="0" borderId="0" xfId="0" applyFont="1" applyAlignment="1">
      <alignment horizontal="center" vertical="center"/>
    </xf>
    <xf numFmtId="0" fontId="130" fillId="0" borderId="0" xfId="0" applyFont="1" applyAlignment="1">
      <alignment horizontal="center"/>
    </xf>
    <xf numFmtId="0" fontId="132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166" fontId="39" fillId="0" borderId="1" xfId="1" applyNumberFormat="1" applyFont="1" applyBorder="1" applyAlignment="1">
      <alignment horizontal="center" vertical="center"/>
    </xf>
    <xf numFmtId="166" fontId="39" fillId="0" borderId="3" xfId="1" applyNumberFormat="1" applyFont="1" applyBorder="1" applyAlignment="1">
      <alignment horizontal="center" vertical="center"/>
    </xf>
    <xf numFmtId="41" fontId="39" fillId="0" borderId="97" xfId="58" applyFont="1" applyBorder="1" applyAlignment="1">
      <alignment horizontal="center" vertical="center"/>
    </xf>
    <xf numFmtId="41" fontId="39" fillId="0" borderId="50" xfId="58" applyFont="1" applyBorder="1" applyAlignment="1">
      <alignment horizontal="center" vertical="center"/>
    </xf>
    <xf numFmtId="166" fontId="39" fillId="0" borderId="0" xfId="7" applyNumberFormat="1" applyFont="1" applyBorder="1" applyAlignment="1">
      <alignment horizontal="center" vertical="center"/>
    </xf>
    <xf numFmtId="0" fontId="22" fillId="0" borderId="24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166" fontId="39" fillId="0" borderId="0" xfId="1" applyNumberFormat="1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91" fillId="0" borderId="0" xfId="0" applyFont="1" applyAlignment="1">
      <alignment horizontal="right"/>
    </xf>
    <xf numFmtId="0" fontId="131" fillId="0" borderId="0" xfId="0" applyFont="1" applyAlignment="1">
      <alignment horizontal="center" vertical="center"/>
    </xf>
    <xf numFmtId="0" fontId="131" fillId="0" borderId="0" xfId="0" applyFont="1" applyAlignment="1">
      <alignment horizontal="center"/>
    </xf>
    <xf numFmtId="0" fontId="134" fillId="0" borderId="0" xfId="0" applyFont="1" applyAlignment="1">
      <alignment horizontal="center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top"/>
    </xf>
    <xf numFmtId="166" fontId="49" fillId="0" borderId="3" xfId="1" applyNumberFormat="1" applyFont="1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9" fillId="0" borderId="44" xfId="0" applyFont="1" applyBorder="1" applyAlignment="1">
      <alignment horizontal="center" vertical="center"/>
    </xf>
    <xf numFmtId="166" fontId="49" fillId="0" borderId="58" xfId="1" applyNumberFormat="1" applyFont="1" applyBorder="1" applyAlignment="1">
      <alignment horizontal="center" vertical="center" wrapText="1"/>
    </xf>
    <xf numFmtId="166" fontId="39" fillId="0" borderId="0" xfId="7" applyNumberFormat="1" applyFont="1" applyBorder="1" applyAlignment="1">
      <alignment horizontal="center"/>
    </xf>
    <xf numFmtId="166" fontId="39" fillId="0" borderId="15" xfId="7" applyNumberFormat="1" applyFont="1" applyBorder="1" applyAlignment="1">
      <alignment horizontal="center"/>
    </xf>
    <xf numFmtId="166" fontId="49" fillId="0" borderId="0" xfId="1" applyNumberFormat="1" applyFont="1" applyBorder="1" applyAlignment="1">
      <alignment horizontal="center" vertical="center"/>
    </xf>
    <xf numFmtId="166" fontId="49" fillId="0" borderId="15" xfId="1" applyNumberFormat="1" applyFont="1" applyBorder="1" applyAlignment="1">
      <alignment horizontal="center" vertical="center"/>
    </xf>
    <xf numFmtId="0" fontId="39" fillId="0" borderId="0" xfId="0" applyFont="1" applyBorder="1" applyAlignment="1">
      <alignment horizontal="center"/>
    </xf>
    <xf numFmtId="0" fontId="39" fillId="0" borderId="15" xfId="0" applyFont="1" applyBorder="1" applyAlignment="1">
      <alignment horizontal="center"/>
    </xf>
    <xf numFmtId="166" fontId="49" fillId="0" borderId="1" xfId="1" applyNumberFormat="1" applyFont="1" applyBorder="1" applyAlignment="1">
      <alignment horizontal="center"/>
    </xf>
    <xf numFmtId="166" fontId="49" fillId="0" borderId="6" xfId="1" applyNumberFormat="1" applyFont="1" applyBorder="1" applyAlignment="1">
      <alignment horizontal="center"/>
    </xf>
    <xf numFmtId="166" fontId="39" fillId="0" borderId="59" xfId="7" applyNumberFormat="1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9" fillId="0" borderId="61" xfId="0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 wrapText="1"/>
    </xf>
    <xf numFmtId="0" fontId="65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166" fontId="49" fillId="0" borderId="0" xfId="1" applyNumberFormat="1" applyFont="1" applyAlignment="1">
      <alignment horizontal="center" vertical="center"/>
    </xf>
    <xf numFmtId="166" fontId="49" fillId="0" borderId="26" xfId="1" applyNumberFormat="1" applyFont="1" applyBorder="1" applyAlignment="1">
      <alignment horizontal="center" vertical="center"/>
    </xf>
    <xf numFmtId="39" fontId="39" fillId="0" borderId="0" xfId="0" applyNumberFormat="1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26" xfId="0" applyFont="1" applyBorder="1" applyAlignment="1">
      <alignment horizontal="center" vertical="center"/>
    </xf>
    <xf numFmtId="0" fontId="42" fillId="0" borderId="0" xfId="0" applyFont="1" applyAlignment="1">
      <alignment horizontal="left" vertical="top"/>
    </xf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40" fillId="0" borderId="46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0" fontId="40" fillId="0" borderId="45" xfId="0" applyFont="1" applyBorder="1" applyAlignment="1">
      <alignment horizontal="center" vertical="center"/>
    </xf>
    <xf numFmtId="0" fontId="40" fillId="0" borderId="43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166" fontId="40" fillId="0" borderId="43" xfId="1" applyNumberFormat="1" applyFont="1" applyBorder="1" applyAlignment="1">
      <alignment horizontal="center" vertical="center" wrapText="1"/>
    </xf>
    <xf numFmtId="166" fontId="40" fillId="0" borderId="42" xfId="1" applyNumberFormat="1" applyFont="1" applyBorder="1" applyAlignment="1">
      <alignment horizontal="center" vertical="center" wrapText="1"/>
    </xf>
    <xf numFmtId="166" fontId="40" fillId="0" borderId="40" xfId="1" applyNumberFormat="1" applyFont="1" applyBorder="1" applyAlignment="1">
      <alignment horizontal="center" vertical="center" wrapText="1"/>
    </xf>
    <xf numFmtId="166" fontId="40" fillId="0" borderId="3" xfId="1" applyNumberFormat="1" applyFont="1" applyBorder="1" applyAlignment="1">
      <alignment horizontal="center" vertical="center" wrapText="1"/>
    </xf>
    <xf numFmtId="166" fontId="40" fillId="0" borderId="44" xfId="1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166" fontId="28" fillId="0" borderId="47" xfId="1" applyNumberFormat="1" applyFont="1" applyBorder="1" applyAlignment="1">
      <alignment horizontal="center"/>
    </xf>
    <xf numFmtId="166" fontId="28" fillId="0" borderId="48" xfId="1" applyNumberFormat="1" applyFont="1" applyBorder="1" applyAlignment="1">
      <alignment horizontal="center"/>
    </xf>
    <xf numFmtId="166" fontId="40" fillId="0" borderId="47" xfId="1" applyNumberFormat="1" applyFont="1" applyBorder="1" applyAlignment="1">
      <alignment horizontal="center"/>
    </xf>
    <xf numFmtId="166" fontId="40" fillId="0" borderId="49" xfId="1" applyNumberFormat="1" applyFont="1" applyBorder="1" applyAlignment="1">
      <alignment horizontal="center"/>
    </xf>
    <xf numFmtId="166" fontId="40" fillId="0" borderId="48" xfId="1" applyNumberFormat="1" applyFont="1" applyBorder="1" applyAlignment="1">
      <alignment horizontal="center"/>
    </xf>
    <xf numFmtId="166" fontId="28" fillId="0" borderId="3" xfId="1" applyNumberFormat="1" applyFont="1" applyBorder="1" applyAlignment="1">
      <alignment horizontal="center" vertical="center" wrapText="1"/>
    </xf>
    <xf numFmtId="166" fontId="28" fillId="0" borderId="44" xfId="1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166" fontId="41" fillId="0" borderId="0" xfId="1" applyNumberFormat="1" applyFont="1" applyAlignment="1">
      <alignment horizontal="center"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70" fontId="5" fillId="6" borderId="24" xfId="0" applyNumberFormat="1" applyFont="1" applyFill="1" applyBorder="1" applyAlignment="1">
      <alignment horizontal="center" vertical="center" wrapText="1"/>
    </xf>
    <xf numFmtId="170" fontId="5" fillId="6" borderId="0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top"/>
    </xf>
    <xf numFmtId="0" fontId="31" fillId="0" borderId="0" xfId="0" applyFont="1" applyAlignment="1">
      <alignment horizontal="center"/>
    </xf>
    <xf numFmtId="0" fontId="50" fillId="0" borderId="2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50" fillId="0" borderId="7" xfId="0" applyFont="1" applyBorder="1" applyAlignment="1">
      <alignment horizontal="center" vertical="center"/>
    </xf>
    <xf numFmtId="166" fontId="31" fillId="0" borderId="58" xfId="1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31" fillId="0" borderId="0" xfId="0" applyFont="1" applyAlignment="1">
      <alignment horizontal="center" vertical="center"/>
    </xf>
    <xf numFmtId="166" fontId="31" fillId="0" borderId="0" xfId="1" applyNumberFormat="1" applyFont="1" applyAlignment="1">
      <alignment horizontal="center"/>
    </xf>
    <xf numFmtId="0" fontId="50" fillId="0" borderId="0" xfId="0" applyFont="1" applyAlignment="1">
      <alignment horizontal="center"/>
    </xf>
    <xf numFmtId="166" fontId="50" fillId="0" borderId="0" xfId="1" applyNumberFormat="1" applyFont="1" applyAlignment="1">
      <alignment horizontal="center"/>
    </xf>
    <xf numFmtId="0" fontId="39" fillId="0" borderId="2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39" fillId="0" borderId="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166" fontId="39" fillId="0" borderId="0" xfId="1" applyNumberFormat="1" applyFont="1" applyAlignment="1">
      <alignment horizontal="center"/>
    </xf>
    <xf numFmtId="166" fontId="39" fillId="0" borderId="0" xfId="1" applyNumberFormat="1" applyFont="1" applyAlignment="1">
      <alignment horizontal="center" vertical="center"/>
    </xf>
    <xf numFmtId="0" fontId="105" fillId="0" borderId="0" xfId="0" applyFont="1" applyAlignment="1">
      <alignment horizontal="right"/>
    </xf>
    <xf numFmtId="0" fontId="134" fillId="0" borderId="0" xfId="0" applyFont="1" applyAlignment="1">
      <alignment horizontal="center" vertical="center"/>
    </xf>
    <xf numFmtId="0" fontId="42" fillId="0" borderId="0" xfId="0" applyFont="1" applyAlignment="1">
      <alignment horizontal="left"/>
    </xf>
    <xf numFmtId="0" fontId="78" fillId="0" borderId="0" xfId="0" applyFont="1" applyBorder="1" applyAlignment="1">
      <alignment horizontal="left" vertical="top"/>
    </xf>
    <xf numFmtId="166" fontId="41" fillId="0" borderId="0" xfId="1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41" fillId="0" borderId="2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166" fontId="30" fillId="0" borderId="3" xfId="1" applyNumberFormat="1" applyFont="1" applyBorder="1" applyAlignment="1">
      <alignment horizontal="center" vertical="center"/>
    </xf>
    <xf numFmtId="166" fontId="41" fillId="0" borderId="3" xfId="1" applyNumberFormat="1" applyFont="1" applyBorder="1" applyAlignment="1">
      <alignment horizontal="center" vertical="center"/>
    </xf>
    <xf numFmtId="166" fontId="30" fillId="0" borderId="58" xfId="1" applyNumberFormat="1" applyFont="1" applyBorder="1" applyAlignment="1">
      <alignment horizontal="center" vertical="center" wrapText="1"/>
    </xf>
    <xf numFmtId="166" fontId="41" fillId="0" borderId="58" xfId="1" applyNumberFormat="1" applyFont="1" applyBorder="1" applyAlignment="1">
      <alignment horizontal="center" vertical="center" wrapText="1"/>
    </xf>
    <xf numFmtId="0" fontId="29" fillId="0" borderId="47" xfId="0" applyFont="1" applyBorder="1" applyAlignment="1">
      <alignment horizontal="center" vertical="center"/>
    </xf>
    <xf numFmtId="0" fontId="29" fillId="0" borderId="48" xfId="0" applyFont="1" applyBorder="1" applyAlignment="1">
      <alignment horizontal="center" vertical="center"/>
    </xf>
    <xf numFmtId="166" fontId="29" fillId="0" borderId="47" xfId="7" applyNumberFormat="1" applyFont="1" applyBorder="1" applyAlignment="1">
      <alignment horizontal="center" vertical="center"/>
    </xf>
    <xf numFmtId="166" fontId="29" fillId="0" borderId="49" xfId="7" applyNumberFormat="1" applyFont="1" applyBorder="1" applyAlignment="1">
      <alignment horizontal="center" vertical="center"/>
    </xf>
    <xf numFmtId="166" fontId="29" fillId="0" borderId="48" xfId="7" applyNumberFormat="1" applyFont="1" applyBorder="1" applyAlignment="1">
      <alignment horizontal="center" vertical="center"/>
    </xf>
    <xf numFmtId="0" fontId="137" fillId="0" borderId="0" xfId="0" applyFont="1" applyFill="1" applyAlignment="1">
      <alignment horizontal="center" vertical="center" wrapText="1"/>
    </xf>
    <xf numFmtId="0" fontId="137" fillId="0" borderId="0" xfId="0" applyFont="1" applyFill="1" applyAlignment="1">
      <alignment horizontal="center" wrapText="1"/>
    </xf>
    <xf numFmtId="0" fontId="137" fillId="0" borderId="0" xfId="0" applyFont="1" applyFill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/>
    </xf>
  </cellXfs>
  <cellStyles count="69">
    <cellStyle name="Comma" xfId="60" builtinId="3"/>
    <cellStyle name="Comma [0]" xfId="58" builtinId="6"/>
    <cellStyle name="Comma [0] 10" xfId="12"/>
    <cellStyle name="Comma [0] 10 2" xfId="66"/>
    <cellStyle name="Comma [0] 11" xfId="13"/>
    <cellStyle name="Comma [0] 11 2" xfId="67"/>
    <cellStyle name="Comma [0] 14" xfId="63"/>
    <cellStyle name="Comma [0] 15" xfId="14"/>
    <cellStyle name="Comma [0] 2" xfId="59"/>
    <cellStyle name="Comma [0] 2 2" xfId="7"/>
    <cellStyle name="Comma [0] 2 3" xfId="15"/>
    <cellStyle name="Comma [0] 2 4" xfId="16"/>
    <cellStyle name="Comma [0] 2 4 2" xfId="68"/>
    <cellStyle name="Comma [0] 3" xfId="61"/>
    <cellStyle name="Comma [0] 4" xfId="1"/>
    <cellStyle name="Comma [0] 6" xfId="5"/>
    <cellStyle name="Comma [0] 6 2" xfId="64"/>
    <cellStyle name="Comma 114" xfId="18"/>
    <cellStyle name="Comma 115" xfId="20"/>
    <cellStyle name="Comma 116" xfId="21"/>
    <cellStyle name="Comma 119" xfId="22"/>
    <cellStyle name="Comma 120" xfId="23"/>
    <cellStyle name="Comma 121" xfId="24"/>
    <cellStyle name="Comma 122" xfId="25"/>
    <cellStyle name="Comma 123" xfId="26"/>
    <cellStyle name="Comma 124" xfId="27"/>
    <cellStyle name="Comma 125" xfId="28"/>
    <cellStyle name="Comma 126" xfId="29"/>
    <cellStyle name="Comma 127" xfId="30"/>
    <cellStyle name="Comma 128" xfId="31"/>
    <cellStyle name="Comma 130" xfId="32"/>
    <cellStyle name="Comma 133" xfId="35"/>
    <cellStyle name="Comma 136" xfId="33"/>
    <cellStyle name="Comma 141" xfId="34"/>
    <cellStyle name="Comma 143" xfId="36"/>
    <cellStyle name="Comma 147" xfId="37"/>
    <cellStyle name="Comma 148" xfId="38"/>
    <cellStyle name="Comma 149" xfId="39"/>
    <cellStyle name="Comma 151" xfId="42"/>
    <cellStyle name="Comma 153" xfId="40"/>
    <cellStyle name="Comma 155" xfId="41"/>
    <cellStyle name="Comma 162" xfId="43"/>
    <cellStyle name="Comma 164" xfId="44"/>
    <cellStyle name="Comma 165" xfId="45"/>
    <cellStyle name="Comma 167" xfId="46"/>
    <cellStyle name="Comma 168" xfId="47"/>
    <cellStyle name="Comma 169" xfId="48"/>
    <cellStyle name="Comma 170" xfId="49"/>
    <cellStyle name="Comma 171" xfId="50"/>
    <cellStyle name="Comma 172" xfId="51"/>
    <cellStyle name="Comma 173" xfId="52"/>
    <cellStyle name="Comma 181" xfId="54"/>
    <cellStyle name="Comma 183" xfId="53"/>
    <cellStyle name="Comma 2" xfId="2"/>
    <cellStyle name="Comma 205" xfId="17"/>
    <cellStyle name="Comma 206" xfId="55"/>
    <cellStyle name="Comma 208" xfId="56"/>
    <cellStyle name="Comma 3" xfId="8"/>
    <cellStyle name="Normal" xfId="0" builtinId="0"/>
    <cellStyle name="Normal 10" xfId="62"/>
    <cellStyle name="Normal 2" xfId="3"/>
    <cellStyle name="Normal 2 2" xfId="9"/>
    <cellStyle name="Normal 2 3" xfId="4"/>
    <cellStyle name="Normal 3" xfId="19"/>
    <cellStyle name="Normal 4" xfId="6"/>
    <cellStyle name="Normal 4 2" xfId="65"/>
    <cellStyle name="Normal 5" xfId="10"/>
    <cellStyle name="Normal 6" xfId="11"/>
    <cellStyle name="Percent" xfId="5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1312333</xdr:colOff>
      <xdr:row>0</xdr:row>
      <xdr:rowOff>112737</xdr:rowOff>
    </xdr:from>
    <xdr:to>
      <xdr:col>6</xdr:col>
      <xdr:colOff>1121834</xdr:colOff>
      <xdr:row>1</xdr:row>
      <xdr:rowOff>0</xdr:rowOff>
    </xdr:to>
    <xdr:sp macro="" textlink="">
      <xdr:nvSpPr>
        <xdr:cNvPr id="2" name=" "/>
        <xdr:cNvSpPr txBox="1"/>
      </xdr:nvSpPr>
      <xdr:spPr>
        <a:xfrm>
          <a:off x="6286500" y="112737"/>
          <a:ext cx="2698751" cy="606930"/>
        </a:xfrm>
        <a:prstGeom prst="rect">
          <a:avLst/>
        </a:prstGeom>
        <a:solidFill>
          <a:srgbClr val="FFFFFF"/>
        </a:solidFill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t"/>
        <a:lstStyle/>
        <a:p>
          <a:pPr algn="l"/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LAMPIRAN SURAT </a:t>
          </a:r>
        </a:p>
        <a:p>
          <a:pPr algn="l"/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NOMOR     : 906/    </a:t>
          </a:r>
          <a:r>
            <a:rPr lang="id-ID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 </a:t>
          </a:r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     / </a:t>
          </a:r>
          <a:r>
            <a:rPr lang="id-ID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GPB </a:t>
          </a:r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/</a:t>
          </a:r>
          <a:r>
            <a:rPr lang="id-ID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 II/ 2020</a:t>
          </a:r>
          <a:endParaRPr lang="en-US" altLang="zh-CN" sz="1100" b="1">
            <a:solidFill>
              <a:srgbClr val="000000"/>
            </a:solidFill>
            <a:latin typeface="Arial" panose="00000000000000000000" charset="0"/>
            <a:ea typeface="Arial" panose="00000000000000000000" charset="0"/>
          </a:endParaRPr>
        </a:p>
        <a:p>
          <a:pPr algn="l"/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TANGGAL :       </a:t>
          </a:r>
        </a:p>
        <a:p>
          <a:pPr algn="l"/>
          <a:r>
            <a:rPr lang="en-US" altLang="zh-CN" sz="1100" b="1">
              <a:solidFill>
                <a:srgbClr val="000000"/>
              </a:solidFill>
              <a:latin typeface="Arial" panose="00000000000000000000" charset="0"/>
              <a:ea typeface="Arial" panose="00000000000000000000" charset="0"/>
            </a:rPr>
            <a:t>                    </a:t>
          </a:r>
        </a:p>
        <a:p>
          <a:pPr algn="l"/>
          <a:endParaRPr/>
        </a:p>
        <a:p>
          <a:pPr algn="l"/>
          <a:endParaRPr/>
        </a:p>
        <a:p>
          <a:pPr algn="l"/>
          <a:endParaRPr/>
        </a:p>
      </xdr:txBody>
    </xdr:sp>
    <xdr:clientData/>
  </xdr:twoCellAnchor>
  <xdr:twoCellAnchor>
    <xdr:from>
      <xdr:col>4</xdr:col>
      <xdr:colOff>836083</xdr:colOff>
      <xdr:row>38</xdr:row>
      <xdr:rowOff>116417</xdr:rowOff>
    </xdr:from>
    <xdr:to>
      <xdr:col>6</xdr:col>
      <xdr:colOff>772583</xdr:colOff>
      <xdr:row>48</xdr:row>
      <xdr:rowOff>63500</xdr:rowOff>
    </xdr:to>
    <xdr:sp macro="" textlink="">
      <xdr:nvSpPr>
        <xdr:cNvPr id="3" name=" "/>
        <xdr:cNvSpPr txBox="1"/>
      </xdr:nvSpPr>
      <xdr:spPr>
        <a:xfrm>
          <a:off x="5408083" y="8794750"/>
          <a:ext cx="2825750" cy="1852083"/>
        </a:xfrm>
        <a:prstGeom prst="rect">
          <a:avLst/>
        </a:prstGeom>
        <a:solidFill>
          <a:srgbClr val="FFFFFF"/>
        </a:solidFill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lIns="90000" tIns="46800" rIns="90000" bIns="46800" anchor="ctr"/>
        <a:lstStyle/>
        <a:p>
          <a:pPr algn="ctr"/>
          <a:r>
            <a:rPr lang="id-ID" sz="1200" b="1" i="0" u="none" strike="noStrike">
              <a:solidFill>
                <a:srgbClr val="000000"/>
              </a:solidFill>
              <a:effectLst/>
              <a:latin typeface="+mn-lt"/>
              <a:cs typeface="Arial" panose="020B0604020202020204" pitchFamily="34" charset="0"/>
            </a:rPr>
            <a:t>    </a:t>
          </a:r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Manokwari,            Februari  2020</a:t>
          </a:r>
          <a:endParaRPr lang="id-ID" sz="1200">
            <a:latin typeface="+mn-lt"/>
            <a:cs typeface="Arial" panose="020B0604020202020204" pitchFamily="34" charset="0"/>
          </a:endParaRPr>
        </a:p>
        <a:p>
          <a:pPr algn="ctr"/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 KEPALA BADAN PENGELOLA KEUANGAN             DAN</a:t>
          </a:r>
          <a:r>
            <a:rPr lang="id-ID" sz="12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ASET DAERAH</a:t>
          </a:r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  <a:r>
            <a:rPr lang="id-ID" sz="1200">
              <a:latin typeface="+mn-lt"/>
              <a:cs typeface="Arial" panose="020B0604020202020204" pitchFamily="34" charset="0"/>
            </a:rPr>
            <a:t> </a:t>
          </a:r>
          <a:endParaRPr sz="1200">
            <a:latin typeface="+mn-lt"/>
            <a:cs typeface="Arial" panose="020B0604020202020204" pitchFamily="34" charset="0"/>
          </a:endParaRPr>
        </a:p>
        <a:p>
          <a:pPr algn="ctr"/>
          <a:endParaRPr sz="1200">
            <a:latin typeface="+mn-lt"/>
            <a:cs typeface="Arial" panose="020B0604020202020204" pitchFamily="34" charset="0"/>
          </a:endParaRPr>
        </a:p>
        <a:p>
          <a:pPr algn="ctr"/>
          <a:endParaRPr sz="1200">
            <a:latin typeface="+mn-lt"/>
            <a:cs typeface="Arial" panose="020B0604020202020204" pitchFamily="34" charset="0"/>
          </a:endParaRPr>
        </a:p>
        <a:p>
          <a:pPr algn="ctr"/>
          <a:endParaRPr sz="1200">
            <a:latin typeface="+mn-lt"/>
            <a:cs typeface="Arial" panose="020B0604020202020204" pitchFamily="34" charset="0"/>
          </a:endParaRPr>
        </a:p>
        <a:p>
          <a:pPr algn="ctr"/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ABIA ULLU, S.Sos </a:t>
          </a:r>
          <a:r>
            <a:rPr lang="id-ID" sz="1200">
              <a:latin typeface="+mn-lt"/>
              <a:cs typeface="Arial" panose="020B0604020202020204" pitchFamily="34" charset="0"/>
            </a:rPr>
            <a:t> </a:t>
          </a:r>
        </a:p>
        <a:p>
          <a:pPr algn="ctr"/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PEMBINA UTAMA MUDA</a:t>
          </a:r>
          <a:r>
            <a:rPr lang="id-ID" sz="1200">
              <a:latin typeface="+mn-lt"/>
              <a:cs typeface="Arial" panose="020B0604020202020204" pitchFamily="34" charset="0"/>
            </a:rPr>
            <a:t> </a:t>
          </a:r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</a:t>
          </a:r>
        </a:p>
        <a:p>
          <a:pPr algn="ctr"/>
          <a:r>
            <a:rPr lang="id-ID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NIP. 19600209 198803 1 011 </a:t>
          </a:r>
          <a:r>
            <a:rPr lang="id-ID" sz="1200">
              <a:latin typeface="+mn-lt"/>
              <a:cs typeface="Arial" panose="020B0604020202020204" pitchFamily="34" charset="0"/>
            </a:rPr>
            <a:t> </a:t>
          </a:r>
          <a:endParaRPr sz="1200">
            <a:latin typeface="+mn-lt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59"/>
  <sheetViews>
    <sheetView topLeftCell="A22" zoomScale="90" workbookViewId="0">
      <selection activeCell="C35" sqref="C35"/>
    </sheetView>
  </sheetViews>
  <sheetFormatPr defaultColWidth="9" defaultRowHeight="15" x14ac:dyDescent="0.2"/>
  <cols>
    <col min="1" max="1" width="10" style="609" customWidth="1"/>
    <col min="2" max="2" width="5.5703125" style="807" customWidth="1"/>
    <col min="3" max="3" width="36.42578125" style="808" customWidth="1"/>
    <col min="4" max="4" width="26.42578125" style="809" customWidth="1"/>
    <col min="5" max="5" width="25.140625" style="809" customWidth="1"/>
    <col min="6" max="6" width="18.28515625" style="809" customWidth="1"/>
    <col min="7" max="7" width="18.85546875" style="808" customWidth="1"/>
    <col min="8" max="8" width="1.140625" style="808" customWidth="1"/>
    <col min="9" max="9" width="9.140625" style="808" customWidth="1"/>
    <col min="10" max="10" width="24.42578125" style="609" customWidth="1"/>
    <col min="11" max="11" width="20" style="609" customWidth="1"/>
    <col min="12" max="12" width="10.7109375" style="609" customWidth="1"/>
    <col min="13" max="255" width="9.140625" style="609" customWidth="1"/>
    <col min="256" max="16384" width="9" style="609"/>
  </cols>
  <sheetData>
    <row r="1" spans="2:10" ht="56.25" customHeight="1" x14ac:dyDescent="0.2"/>
    <row r="2" spans="2:10" ht="12.75" customHeight="1" x14ac:dyDescent="0.2">
      <c r="B2" s="810"/>
      <c r="C2" s="811"/>
      <c r="D2" s="812"/>
      <c r="E2" s="812"/>
      <c r="F2" s="812"/>
      <c r="G2" s="610"/>
    </row>
    <row r="3" spans="2:10" s="611" customFormat="1" ht="17.25" customHeight="1" x14ac:dyDescent="0.25">
      <c r="B3" s="4960" t="s">
        <v>4117</v>
      </c>
      <c r="C3" s="4961"/>
      <c r="D3" s="4961"/>
      <c r="E3" s="4961"/>
      <c r="F3" s="4961"/>
      <c r="G3" s="4962"/>
      <c r="H3" s="813"/>
      <c r="I3" s="813"/>
    </row>
    <row r="4" spans="2:10" s="611" customFormat="1" ht="16.5" customHeight="1" x14ac:dyDescent="0.25">
      <c r="B4" s="4960" t="s">
        <v>4118</v>
      </c>
      <c r="C4" s="4961"/>
      <c r="D4" s="4961"/>
      <c r="E4" s="4961"/>
      <c r="F4" s="4961"/>
      <c r="G4" s="4962"/>
      <c r="H4" s="813"/>
      <c r="I4" s="813"/>
    </row>
    <row r="5" spans="2:10" s="611" customFormat="1" ht="16.5" customHeight="1" x14ac:dyDescent="0.25">
      <c r="B5" s="4960" t="s">
        <v>4175</v>
      </c>
      <c r="C5" s="4961"/>
      <c r="D5" s="4961"/>
      <c r="E5" s="4961"/>
      <c r="F5" s="4961"/>
      <c r="G5" s="4962"/>
      <c r="H5" s="813"/>
      <c r="I5" s="813"/>
    </row>
    <row r="6" spans="2:10" s="611" customFormat="1" ht="16.5" customHeight="1" x14ac:dyDescent="0.25">
      <c r="B6" s="4505"/>
      <c r="C6" s="4506"/>
      <c r="D6" s="4506"/>
      <c r="E6" s="4506"/>
      <c r="F6" s="4506"/>
      <c r="G6" s="4507"/>
      <c r="H6" s="813"/>
      <c r="I6" s="813"/>
    </row>
    <row r="7" spans="2:10" ht="17.25" customHeight="1" x14ac:dyDescent="0.25">
      <c r="B7" s="4963" t="s">
        <v>4119</v>
      </c>
      <c r="C7" s="4964"/>
      <c r="D7" s="4964"/>
      <c r="E7" s="4964"/>
      <c r="F7" s="4964"/>
      <c r="G7" s="4965"/>
    </row>
    <row r="8" spans="2:10" ht="16.5" customHeight="1" x14ac:dyDescent="0.25">
      <c r="B8" s="4963" t="s">
        <v>4176</v>
      </c>
      <c r="C8" s="4964"/>
      <c r="D8" s="4964"/>
      <c r="E8" s="4964"/>
      <c r="F8" s="4964"/>
      <c r="G8" s="4966" t="s">
        <v>4120</v>
      </c>
    </row>
    <row r="9" spans="2:10" ht="15.75" customHeight="1" x14ac:dyDescent="0.25">
      <c r="B9" s="814" t="s">
        <v>3190</v>
      </c>
      <c r="C9" s="815"/>
      <c r="D9" s="815"/>
      <c r="E9" s="815"/>
      <c r="F9" s="815"/>
      <c r="G9" s="4966"/>
    </row>
    <row r="10" spans="2:10" ht="5.25" customHeight="1" thickBot="1" x14ac:dyDescent="0.25">
      <c r="B10" s="816"/>
      <c r="C10" s="817"/>
      <c r="D10" s="818"/>
      <c r="E10" s="818"/>
      <c r="F10" s="818"/>
      <c r="G10" s="819"/>
    </row>
    <row r="11" spans="2:10" ht="28.5" customHeight="1" thickBot="1" x14ac:dyDescent="0.25">
      <c r="B11" s="4967" t="s">
        <v>6</v>
      </c>
      <c r="C11" s="4969" t="s">
        <v>7</v>
      </c>
      <c r="D11" s="4971" t="s">
        <v>8</v>
      </c>
      <c r="E11" s="4971"/>
      <c r="F11" s="4971"/>
      <c r="G11" s="4972" t="s">
        <v>4121</v>
      </c>
      <c r="H11" s="612"/>
    </row>
    <row r="12" spans="2:10" ht="27.75" customHeight="1" thickBot="1" x14ac:dyDescent="0.25">
      <c r="B12" s="4967"/>
      <c r="C12" s="4969"/>
      <c r="D12" s="4974" t="s">
        <v>3191</v>
      </c>
      <c r="E12" s="4974" t="s">
        <v>4122</v>
      </c>
      <c r="F12" s="4976" t="s">
        <v>3194</v>
      </c>
      <c r="G12" s="4972"/>
      <c r="H12" s="612"/>
    </row>
    <row r="13" spans="2:10" s="613" customFormat="1" ht="34.5" customHeight="1" thickBot="1" x14ac:dyDescent="0.25">
      <c r="B13" s="4968"/>
      <c r="C13" s="4970"/>
      <c r="D13" s="4975"/>
      <c r="E13" s="4975"/>
      <c r="F13" s="4977"/>
      <c r="G13" s="4973"/>
      <c r="H13" s="612"/>
    </row>
    <row r="14" spans="2:10" ht="20.100000000000001" customHeight="1" thickTop="1" thickBot="1" x14ac:dyDescent="0.3">
      <c r="B14" s="887" t="s">
        <v>19</v>
      </c>
      <c r="C14" s="888" t="s">
        <v>20</v>
      </c>
      <c r="D14" s="889" t="s">
        <v>21</v>
      </c>
      <c r="E14" s="889" t="s">
        <v>22</v>
      </c>
      <c r="F14" s="890" t="s">
        <v>4123</v>
      </c>
      <c r="G14" s="891" t="s">
        <v>24</v>
      </c>
    </row>
    <row r="15" spans="2:10" ht="4.5" customHeight="1" thickTop="1" x14ac:dyDescent="0.2">
      <c r="B15" s="820"/>
      <c r="C15" s="821"/>
      <c r="D15" s="822"/>
      <c r="E15" s="822"/>
      <c r="F15" s="822"/>
      <c r="G15" s="823"/>
    </row>
    <row r="16" spans="2:10" ht="17.100000000000001" customHeight="1" x14ac:dyDescent="0.25">
      <c r="B16" s="824" t="s">
        <v>4124</v>
      </c>
      <c r="C16" s="825" t="s">
        <v>3196</v>
      </c>
      <c r="D16" s="826">
        <f>225651734640+25072414960</f>
        <v>250724149600</v>
      </c>
      <c r="E16" s="826">
        <f>225651734640+25072414960</f>
        <v>250724149600</v>
      </c>
      <c r="F16" s="827">
        <v>100</v>
      </c>
      <c r="G16" s="828"/>
      <c r="J16" s="614"/>
    </row>
    <row r="17" spans="2:11" ht="9" customHeight="1" x14ac:dyDescent="0.25">
      <c r="B17" s="824"/>
      <c r="C17" s="830"/>
      <c r="D17" s="826"/>
      <c r="E17" s="826"/>
      <c r="F17" s="827"/>
      <c r="G17" s="828"/>
      <c r="J17" s="614"/>
    </row>
    <row r="18" spans="2:11" ht="17.100000000000001" customHeight="1" x14ac:dyDescent="0.25">
      <c r="B18" s="829" t="s">
        <v>4125</v>
      </c>
      <c r="C18" s="830" t="s">
        <v>240</v>
      </c>
      <c r="D18" s="826">
        <f>SUM(D19:D31)</f>
        <v>1980975030140</v>
      </c>
      <c r="E18" s="826">
        <f>SUM(E19:E31)</f>
        <v>1980975030140</v>
      </c>
      <c r="F18" s="827">
        <v>100</v>
      </c>
      <c r="G18" s="828"/>
    </row>
    <row r="19" spans="2:11" ht="17.100000000000001" customHeight="1" x14ac:dyDescent="0.2">
      <c r="B19" s="829"/>
      <c r="C19" s="831" t="s">
        <v>3198</v>
      </c>
      <c r="D19" s="832">
        <v>183431447000</v>
      </c>
      <c r="E19" s="832">
        <v>183431447000</v>
      </c>
      <c r="F19" s="834">
        <v>100</v>
      </c>
      <c r="G19" s="828"/>
      <c r="J19" s="4179"/>
      <c r="K19" s="614"/>
    </row>
    <row r="20" spans="2:11" ht="17.100000000000001" customHeight="1" x14ac:dyDescent="0.2">
      <c r="B20" s="829"/>
      <c r="C20" s="831" t="s">
        <v>3199</v>
      </c>
      <c r="D20" s="832">
        <v>178986879000</v>
      </c>
      <c r="E20" s="832">
        <v>178986879000</v>
      </c>
      <c r="F20" s="834">
        <v>100</v>
      </c>
      <c r="G20" s="828"/>
      <c r="J20" s="4179"/>
      <c r="K20" s="614"/>
    </row>
    <row r="21" spans="2:11" ht="17.100000000000001" customHeight="1" x14ac:dyDescent="0.2">
      <c r="B21" s="829"/>
      <c r="C21" s="831" t="s">
        <v>3200</v>
      </c>
      <c r="D21" s="832">
        <v>165355445000</v>
      </c>
      <c r="E21" s="832">
        <v>165355445000</v>
      </c>
      <c r="F21" s="834">
        <v>100</v>
      </c>
      <c r="G21" s="828"/>
      <c r="J21" s="4179"/>
      <c r="K21" s="614"/>
    </row>
    <row r="22" spans="2:11" ht="17.100000000000001" customHeight="1" x14ac:dyDescent="0.2">
      <c r="B22" s="829"/>
      <c r="C22" s="835" t="s">
        <v>3201</v>
      </c>
      <c r="D22" s="836">
        <v>164852857000</v>
      </c>
      <c r="E22" s="832">
        <v>164852857000</v>
      </c>
      <c r="F22" s="834">
        <v>100</v>
      </c>
      <c r="G22" s="828"/>
      <c r="J22" s="4179"/>
      <c r="K22" s="614"/>
    </row>
    <row r="23" spans="2:11" ht="17.100000000000001" customHeight="1" x14ac:dyDescent="0.2">
      <c r="B23" s="829"/>
      <c r="C23" s="837" t="s">
        <v>3202</v>
      </c>
      <c r="D23" s="836">
        <v>164029053000</v>
      </c>
      <c r="E23" s="832">
        <v>164029053000</v>
      </c>
      <c r="F23" s="834">
        <v>100</v>
      </c>
      <c r="G23" s="838"/>
      <c r="J23" s="4179"/>
      <c r="K23" s="614"/>
    </row>
    <row r="24" spans="2:11" ht="17.100000000000001" customHeight="1" x14ac:dyDescent="0.2">
      <c r="B24" s="829"/>
      <c r="C24" s="837" t="s">
        <v>3203</v>
      </c>
      <c r="D24" s="836">
        <v>153448669000</v>
      </c>
      <c r="E24" s="832">
        <v>153448669000</v>
      </c>
      <c r="F24" s="834">
        <v>100</v>
      </c>
      <c r="G24" s="838"/>
      <c r="J24" s="4179"/>
      <c r="K24" s="614"/>
    </row>
    <row r="25" spans="2:11" ht="17.100000000000001" customHeight="1" x14ac:dyDescent="0.2">
      <c r="B25" s="829"/>
      <c r="C25" s="837" t="s">
        <v>3204</v>
      </c>
      <c r="D25" s="836">
        <v>147784925000</v>
      </c>
      <c r="E25" s="832">
        <v>147784925000</v>
      </c>
      <c r="F25" s="834">
        <v>100</v>
      </c>
      <c r="G25" s="838"/>
      <c r="J25" s="4179"/>
      <c r="K25" s="614"/>
    </row>
    <row r="26" spans="2:11" ht="17.100000000000001" customHeight="1" x14ac:dyDescent="0.2">
      <c r="B26" s="839"/>
      <c r="C26" s="840" t="s">
        <v>3205</v>
      </c>
      <c r="D26" s="841">
        <v>146478382000</v>
      </c>
      <c r="E26" s="885">
        <v>146478382000</v>
      </c>
      <c r="F26" s="834">
        <v>100</v>
      </c>
      <c r="G26" s="838"/>
      <c r="J26" s="4179"/>
      <c r="K26" s="614"/>
    </row>
    <row r="27" spans="2:11" ht="17.100000000000001" customHeight="1" x14ac:dyDescent="0.2">
      <c r="B27" s="839"/>
      <c r="C27" s="840" t="s">
        <v>3206</v>
      </c>
      <c r="D27" s="841">
        <v>144432461000</v>
      </c>
      <c r="E27" s="885">
        <v>144432461000</v>
      </c>
      <c r="F27" s="834">
        <v>100</v>
      </c>
      <c r="G27" s="838"/>
      <c r="J27" s="4179"/>
      <c r="K27" s="614"/>
    </row>
    <row r="28" spans="2:11" ht="17.100000000000001" customHeight="1" x14ac:dyDescent="0.2">
      <c r="B28" s="839"/>
      <c r="C28" s="840" t="s">
        <v>3207</v>
      </c>
      <c r="D28" s="841">
        <v>138203382000</v>
      </c>
      <c r="E28" s="885">
        <v>138203382000</v>
      </c>
      <c r="F28" s="834">
        <v>100</v>
      </c>
      <c r="G28" s="838"/>
      <c r="J28" s="4179"/>
      <c r="K28" s="614"/>
    </row>
    <row r="29" spans="2:11" ht="17.100000000000001" customHeight="1" x14ac:dyDescent="0.2">
      <c r="B29" s="839"/>
      <c r="C29" s="842" t="s">
        <v>3208</v>
      </c>
      <c r="D29" s="841">
        <v>137286690000</v>
      </c>
      <c r="E29" s="885">
        <v>137286690000</v>
      </c>
      <c r="F29" s="834">
        <v>100</v>
      </c>
      <c r="G29" s="838"/>
      <c r="J29" s="4179"/>
      <c r="K29" s="614"/>
    </row>
    <row r="30" spans="2:11" ht="17.100000000000001" customHeight="1" x14ac:dyDescent="0.2">
      <c r="B30" s="839"/>
      <c r="C30" s="842" t="s">
        <v>3209</v>
      </c>
      <c r="D30" s="841">
        <v>128915048140</v>
      </c>
      <c r="E30" s="885">
        <v>128915048140</v>
      </c>
      <c r="F30" s="834">
        <v>100</v>
      </c>
      <c r="G30" s="838"/>
      <c r="J30" s="4179"/>
      <c r="K30" s="614"/>
    </row>
    <row r="31" spans="2:11" ht="17.100000000000001" customHeight="1" x14ac:dyDescent="0.2">
      <c r="B31" s="839"/>
      <c r="C31" s="842" t="s">
        <v>3210</v>
      </c>
      <c r="D31" s="841">
        <v>127769792000</v>
      </c>
      <c r="E31" s="885">
        <v>127769792000</v>
      </c>
      <c r="F31" s="834">
        <v>100</v>
      </c>
      <c r="G31" s="838"/>
      <c r="J31" s="4179"/>
      <c r="K31" s="614"/>
    </row>
    <row r="32" spans="2:11" ht="12" customHeight="1" x14ac:dyDescent="0.2">
      <c r="B32" s="839"/>
      <c r="C32" s="842"/>
      <c r="D32" s="841"/>
      <c r="E32" s="833"/>
      <c r="F32" s="834"/>
      <c r="G32" s="838"/>
      <c r="J32" s="4179"/>
    </row>
    <row r="33" spans="2:10" ht="17.100000000000001" customHeight="1" x14ac:dyDescent="0.25">
      <c r="B33" s="829">
        <v>3</v>
      </c>
      <c r="C33" s="4681" t="s">
        <v>3060</v>
      </c>
      <c r="D33" s="843">
        <v>250724149600</v>
      </c>
      <c r="E33" s="843">
        <v>250724149600</v>
      </c>
      <c r="F33" s="827">
        <v>100</v>
      </c>
      <c r="G33" s="838"/>
      <c r="J33" s="615"/>
    </row>
    <row r="34" spans="2:10" ht="9" customHeight="1" x14ac:dyDescent="0.25">
      <c r="B34" s="829"/>
      <c r="C34" s="883"/>
      <c r="D34" s="844"/>
      <c r="E34" s="826"/>
      <c r="F34" s="827"/>
      <c r="G34" s="838"/>
      <c r="J34" s="615"/>
    </row>
    <row r="35" spans="2:10" ht="38.25" customHeight="1" x14ac:dyDescent="0.25">
      <c r="B35" s="829">
        <v>4</v>
      </c>
      <c r="C35" s="884" t="s">
        <v>3565</v>
      </c>
      <c r="D35" s="844">
        <v>24818166660</v>
      </c>
      <c r="E35" s="844">
        <v>24818166660</v>
      </c>
      <c r="F35" s="886">
        <v>100</v>
      </c>
      <c r="G35" s="838"/>
      <c r="J35" s="615"/>
    </row>
    <row r="36" spans="2:10" ht="9" customHeight="1" thickBot="1" x14ac:dyDescent="0.25">
      <c r="B36" s="845"/>
      <c r="C36" s="846"/>
      <c r="D36" s="847"/>
      <c r="E36" s="847"/>
      <c r="F36" s="847"/>
      <c r="G36" s="848"/>
      <c r="J36" s="614"/>
    </row>
    <row r="37" spans="2:10" ht="20.100000000000001" customHeight="1" thickTop="1" thickBot="1" x14ac:dyDescent="0.3">
      <c r="B37" s="849"/>
      <c r="C37" s="850" t="s">
        <v>4126</v>
      </c>
      <c r="D37" s="851">
        <f>SUM(D16+D18+D33+D35)</f>
        <v>2507241496000</v>
      </c>
      <c r="E37" s="851">
        <f>SUM(E16+E18+E33+E35)</f>
        <v>2507241496000</v>
      </c>
      <c r="F37" s="852">
        <v>100</v>
      </c>
      <c r="G37" s="853"/>
    </row>
    <row r="38" spans="2:10" ht="15" customHeight="1" thickTop="1" x14ac:dyDescent="0.2">
      <c r="B38" s="854"/>
      <c r="C38" s="855"/>
      <c r="D38" s="856"/>
      <c r="E38" s="856"/>
      <c r="F38" s="856"/>
      <c r="G38" s="857"/>
    </row>
    <row r="39" spans="2:10" ht="15" customHeight="1" x14ac:dyDescent="0.2">
      <c r="B39" s="858"/>
      <c r="C39" s="859"/>
      <c r="D39" s="859"/>
      <c r="E39" s="859"/>
      <c r="F39" s="859"/>
      <c r="G39" s="860"/>
    </row>
    <row r="40" spans="2:10" ht="15" customHeight="1" x14ac:dyDescent="0.25">
      <c r="B40" s="858"/>
      <c r="C40" s="859"/>
      <c r="D40" s="859"/>
      <c r="E40" s="859"/>
      <c r="F40" s="859"/>
      <c r="G40" s="861"/>
    </row>
    <row r="41" spans="2:10" ht="15" customHeight="1" x14ac:dyDescent="0.25">
      <c r="B41" s="858"/>
      <c r="C41" s="859"/>
      <c r="D41" s="859"/>
      <c r="E41" s="859"/>
      <c r="F41" s="859"/>
      <c r="G41" s="861"/>
    </row>
    <row r="42" spans="2:10" ht="15" customHeight="1" x14ac:dyDescent="0.25">
      <c r="B42" s="858"/>
      <c r="C42" s="859"/>
      <c r="D42" s="859"/>
      <c r="E42" s="859"/>
      <c r="F42" s="859"/>
      <c r="G42" s="861"/>
    </row>
    <row r="43" spans="2:10" ht="15" customHeight="1" x14ac:dyDescent="0.25">
      <c r="B43" s="858"/>
      <c r="C43" s="859"/>
      <c r="D43" s="859"/>
      <c r="E43" s="859"/>
      <c r="F43" s="859"/>
      <c r="G43" s="862"/>
    </row>
    <row r="44" spans="2:10" ht="15" customHeight="1" x14ac:dyDescent="0.25">
      <c r="B44" s="858"/>
      <c r="C44" s="859"/>
      <c r="D44" s="859"/>
      <c r="E44" s="859"/>
      <c r="F44" s="859"/>
      <c r="G44" s="862"/>
    </row>
    <row r="45" spans="2:10" ht="15" customHeight="1" x14ac:dyDescent="0.25">
      <c r="B45" s="858"/>
      <c r="C45" s="859"/>
      <c r="D45" s="859"/>
      <c r="E45" s="859"/>
      <c r="F45" s="859"/>
      <c r="G45" s="862"/>
    </row>
    <row r="46" spans="2:10" ht="15" customHeight="1" x14ac:dyDescent="0.2">
      <c r="B46" s="858"/>
      <c r="C46" s="859"/>
      <c r="D46" s="859"/>
      <c r="E46" s="859"/>
      <c r="F46" s="859"/>
      <c r="G46" s="863"/>
      <c r="H46" s="864"/>
    </row>
    <row r="47" spans="2:10" ht="15" customHeight="1" x14ac:dyDescent="0.2">
      <c r="B47" s="858"/>
      <c r="C47" s="859"/>
      <c r="D47" s="859"/>
      <c r="E47" s="859"/>
      <c r="F47" s="859"/>
      <c r="G47" s="865"/>
      <c r="H47" s="864"/>
    </row>
    <row r="48" spans="2:10" ht="15" customHeight="1" x14ac:dyDescent="0.2">
      <c r="B48" s="858"/>
      <c r="C48" s="859"/>
      <c r="D48" s="859"/>
      <c r="E48" s="859"/>
      <c r="F48" s="859"/>
      <c r="G48" s="860"/>
      <c r="H48" s="864"/>
    </row>
    <row r="49" spans="2:7" ht="15" customHeight="1" x14ac:dyDescent="0.2">
      <c r="B49" s="866"/>
      <c r="C49" s="867"/>
      <c r="D49" s="867"/>
      <c r="E49" s="867"/>
      <c r="F49" s="867"/>
      <c r="G49" s="868"/>
    </row>
    <row r="50" spans="2:7" ht="20.100000000000001" customHeight="1" x14ac:dyDescent="0.25">
      <c r="B50" s="869" t="s">
        <v>4127</v>
      </c>
      <c r="C50" s="612"/>
      <c r="D50" s="870"/>
      <c r="E50" s="871"/>
      <c r="F50" s="871"/>
      <c r="G50" s="868"/>
    </row>
    <row r="51" spans="2:7" ht="20.100000000000001" customHeight="1" x14ac:dyDescent="0.2">
      <c r="B51" s="872" t="s">
        <v>4128</v>
      </c>
      <c r="C51" s="871"/>
      <c r="D51" s="870"/>
      <c r="E51" s="871"/>
      <c r="F51" s="871"/>
      <c r="G51" s="868"/>
    </row>
    <row r="52" spans="2:7" ht="20.100000000000001" customHeight="1" x14ac:dyDescent="0.2">
      <c r="B52" s="816" t="s">
        <v>4129</v>
      </c>
      <c r="C52" s="871"/>
      <c r="D52" s="871"/>
      <c r="E52" s="871"/>
      <c r="F52" s="871"/>
      <c r="G52" s="868"/>
    </row>
    <row r="53" spans="2:7" ht="20.100000000000001" customHeight="1" x14ac:dyDescent="0.2">
      <c r="B53" s="872" t="s">
        <v>4130</v>
      </c>
      <c r="C53" s="871"/>
      <c r="D53" s="873"/>
      <c r="E53" s="873"/>
      <c r="F53" s="873"/>
      <c r="G53" s="868"/>
    </row>
    <row r="54" spans="2:7" ht="17.25" customHeight="1" x14ac:dyDescent="0.25">
      <c r="B54" s="816" t="s">
        <v>4131</v>
      </c>
      <c r="C54" s="873"/>
      <c r="D54" s="873"/>
      <c r="E54" s="873"/>
      <c r="F54" s="873"/>
      <c r="G54" s="874"/>
    </row>
    <row r="55" spans="2:7" ht="18" customHeight="1" x14ac:dyDescent="0.2">
      <c r="B55" s="816" t="s">
        <v>4132</v>
      </c>
      <c r="C55" s="873"/>
      <c r="D55" s="873"/>
      <c r="E55" s="873"/>
      <c r="F55" s="873"/>
      <c r="G55" s="875"/>
    </row>
    <row r="56" spans="2:7" ht="20.100000000000001" customHeight="1" x14ac:dyDescent="0.25">
      <c r="B56" s="876" t="s">
        <v>4133</v>
      </c>
      <c r="C56" s="873"/>
      <c r="D56" s="877"/>
      <c r="E56" s="877"/>
      <c r="F56" s="877"/>
      <c r="G56" s="874"/>
    </row>
    <row r="57" spans="2:7" x14ac:dyDescent="0.25">
      <c r="B57" s="876" t="s">
        <v>4134</v>
      </c>
      <c r="C57" s="877"/>
      <c r="D57" s="878"/>
      <c r="E57" s="878"/>
      <c r="F57" s="878"/>
      <c r="G57" s="874"/>
    </row>
    <row r="58" spans="2:7" x14ac:dyDescent="0.25">
      <c r="B58" s="876" t="s">
        <v>4135</v>
      </c>
      <c r="C58" s="878"/>
      <c r="D58" s="878"/>
      <c r="E58" s="878"/>
      <c r="F58" s="878"/>
      <c r="G58" s="874"/>
    </row>
    <row r="59" spans="2:7" x14ac:dyDescent="0.2">
      <c r="B59" s="879" t="s">
        <v>4136</v>
      </c>
      <c r="C59" s="880"/>
      <c r="D59" s="880"/>
      <c r="E59" s="881"/>
      <c r="F59" s="881"/>
      <c r="G59" s="882"/>
    </row>
  </sheetData>
  <mergeCells count="13">
    <mergeCell ref="B11:B13"/>
    <mergeCell ref="C11:C13"/>
    <mergeCell ref="D11:F11"/>
    <mergeCell ref="G11:G13"/>
    <mergeCell ref="D12:D13"/>
    <mergeCell ref="E12:E13"/>
    <mergeCell ref="F12:F13"/>
    <mergeCell ref="B3:G3"/>
    <mergeCell ref="B4:G4"/>
    <mergeCell ref="B5:G5"/>
    <mergeCell ref="B7:G7"/>
    <mergeCell ref="B8:F8"/>
    <mergeCell ref="G8:G9"/>
  </mergeCells>
  <printOptions horizontalCentered="1"/>
  <pageMargins left="0.59055118110236227" right="0.31496062992125984" top="0.74803149606299213" bottom="0.74803149606299213" header="0.31496062992125984" footer="0.31496062992125984"/>
  <pageSetup paperSize="258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XET4847"/>
  <sheetViews>
    <sheetView view="pageBreakPreview" topLeftCell="B4820" zoomScaleNormal="90" zoomScaleSheetLayoutView="100" workbookViewId="0">
      <selection activeCell="B1" sqref="A1:H4824"/>
    </sheetView>
  </sheetViews>
  <sheetFormatPr defaultColWidth="8.85546875" defaultRowHeight="15.75" x14ac:dyDescent="0.25"/>
  <cols>
    <col min="1" max="1" width="2.140625" style="2" hidden="1" customWidth="1"/>
    <col min="2" max="2" width="4" style="4496" customWidth="1"/>
    <col min="3" max="3" width="76.85546875" style="2634" customWidth="1"/>
    <col min="4" max="4" width="24.28515625" style="4278" customWidth="1"/>
    <col min="5" max="5" width="23.140625" style="3963" customWidth="1"/>
    <col min="6" max="6" width="14.28515625" style="3963" customWidth="1"/>
    <col min="7" max="7" width="9.5703125" style="3963" customWidth="1"/>
    <col min="8" max="8" width="10.140625" style="3726" customWidth="1"/>
    <col min="9" max="9" width="1.42578125" customWidth="1"/>
    <col min="10" max="10" width="16.28515625" style="536" bestFit="1" customWidth="1"/>
    <col min="11" max="11" width="22.5703125" style="536" customWidth="1"/>
    <col min="12" max="12" width="9.140625" bestFit="1" customWidth="1"/>
    <col min="13" max="13" width="14.28515625" customWidth="1"/>
  </cols>
  <sheetData>
    <row r="1" spans="1:11" s="37" customFormat="1" ht="18.75" customHeight="1" x14ac:dyDescent="0.3">
      <c r="A1" s="36"/>
      <c r="B1" s="4985" t="s">
        <v>0</v>
      </c>
      <c r="C1" s="4985"/>
      <c r="D1" s="4985"/>
      <c r="E1" s="4985"/>
      <c r="F1" s="4985"/>
      <c r="G1" s="4985"/>
      <c r="H1" s="4985"/>
      <c r="J1" s="1202"/>
      <c r="K1" s="1202"/>
    </row>
    <row r="2" spans="1:11" ht="16.5" customHeight="1" x14ac:dyDescent="0.3">
      <c r="A2" s="36"/>
      <c r="B2" s="4986" t="s">
        <v>1</v>
      </c>
      <c r="C2" s="4986"/>
      <c r="D2" s="4986"/>
      <c r="E2" s="4986"/>
      <c r="F2" s="4986"/>
      <c r="G2" s="4986"/>
      <c r="H2" s="4986"/>
    </row>
    <row r="3" spans="1:11" ht="16.5" customHeight="1" x14ac:dyDescent="0.3">
      <c r="A3" s="4986" t="s">
        <v>2</v>
      </c>
      <c r="B3" s="4986"/>
      <c r="C3" s="4986"/>
      <c r="D3" s="4986"/>
      <c r="E3" s="4986"/>
      <c r="F3" s="4986"/>
      <c r="G3" s="4986"/>
      <c r="H3" s="4986"/>
    </row>
    <row r="4" spans="1:11" ht="14.1" customHeight="1" x14ac:dyDescent="0.25">
      <c r="B4" s="23"/>
      <c r="C4" s="2467"/>
      <c r="E4" s="2654"/>
      <c r="F4" s="2654"/>
      <c r="G4" s="2654"/>
      <c r="H4" s="3708"/>
    </row>
    <row r="5" spans="1:11" ht="12.75" customHeight="1" x14ac:dyDescent="0.25">
      <c r="B5" s="4987" t="s">
        <v>3</v>
      </c>
      <c r="C5" s="4987"/>
      <c r="D5" s="4987"/>
      <c r="E5" s="4987"/>
      <c r="F5" s="4987"/>
      <c r="G5" s="4987"/>
      <c r="H5" s="4987"/>
    </row>
    <row r="6" spans="1:11" ht="23.25" customHeight="1" x14ac:dyDescent="0.25">
      <c r="B6" s="436" t="s">
        <v>5</v>
      </c>
      <c r="C6" s="705"/>
      <c r="E6" s="2654"/>
      <c r="F6" s="2654"/>
      <c r="G6" s="2654"/>
      <c r="H6" s="4671" t="s">
        <v>4109</v>
      </c>
    </row>
    <row r="7" spans="1:11" ht="14.1" customHeight="1" thickBot="1" x14ac:dyDescent="0.3">
      <c r="B7" s="971"/>
      <c r="C7" s="705"/>
      <c r="H7" s="3709"/>
    </row>
    <row r="8" spans="1:11" ht="18.75" customHeight="1" x14ac:dyDescent="0.25">
      <c r="B8" s="4988" t="s">
        <v>6</v>
      </c>
      <c r="C8" s="4991" t="s">
        <v>7</v>
      </c>
      <c r="D8" s="4994" t="s">
        <v>8</v>
      </c>
      <c r="E8" s="4994"/>
      <c r="F8" s="4994"/>
      <c r="G8" s="4994"/>
      <c r="H8" s="4995" t="s">
        <v>11</v>
      </c>
    </row>
    <row r="9" spans="1:11" ht="7.5" customHeight="1" thickBot="1" x14ac:dyDescent="0.3">
      <c r="B9" s="4989"/>
      <c r="C9" s="4992"/>
      <c r="D9" s="4998"/>
      <c r="E9" s="4998"/>
      <c r="F9" s="4998"/>
      <c r="G9" s="4998"/>
      <c r="H9" s="4996"/>
    </row>
    <row r="10" spans="1:11" s="45" customFormat="1" ht="82.5" customHeight="1" thickBot="1" x14ac:dyDescent="0.3">
      <c r="A10" s="2"/>
      <c r="B10" s="4990"/>
      <c r="C10" s="4993"/>
      <c r="D10" s="4564" t="s">
        <v>12</v>
      </c>
      <c r="E10" s="2658" t="s">
        <v>17</v>
      </c>
      <c r="F10" s="2658" t="s">
        <v>15</v>
      </c>
      <c r="G10" s="2658" t="s">
        <v>18</v>
      </c>
      <c r="H10" s="4997"/>
      <c r="J10" s="1203"/>
      <c r="K10" s="1203"/>
    </row>
    <row r="11" spans="1:11" ht="20.100000000000001" customHeight="1" thickTop="1" thickBot="1" x14ac:dyDescent="0.3">
      <c r="B11" s="437" t="s">
        <v>19</v>
      </c>
      <c r="C11" s="2469" t="s">
        <v>20</v>
      </c>
      <c r="D11" s="4563" t="s">
        <v>21</v>
      </c>
      <c r="E11" s="437" t="s">
        <v>22</v>
      </c>
      <c r="F11" s="2663" t="s">
        <v>23</v>
      </c>
      <c r="G11" s="437" t="s">
        <v>24</v>
      </c>
      <c r="H11" s="3728" t="s">
        <v>25</v>
      </c>
    </row>
    <row r="12" spans="1:11" s="1" customFormat="1" ht="17.25" customHeight="1" thickTop="1" thickBot="1" x14ac:dyDescent="0.3">
      <c r="B12" s="438" t="s">
        <v>32</v>
      </c>
      <c r="C12" s="3586" t="s">
        <v>33</v>
      </c>
      <c r="D12" s="4279">
        <f>SUM(D14,D77,D97,D102,D107,D117,D121,D125,D129,D133,D144,D152,D159,D172,D185,D195,D210,D222,D226,D254)</f>
        <v>250724149600</v>
      </c>
      <c r="E12" s="3964">
        <f>SUM(E14,E77,E97,E102,E107,E117,E121,E125,E129,E133,E144,E152,E159,E172,E185,E195,E210,E222,E226,E254)</f>
        <v>206111643346</v>
      </c>
      <c r="F12" s="3587">
        <f>E12/D12*100</f>
        <v>82.206538011925119</v>
      </c>
      <c r="G12" s="3964">
        <f>SUM(G14,G77,G97,G102,G107,G117,G121,G125,G129,G133,G144,G152,G159,G172,G185,G195,G210,G226,G254)/15</f>
        <v>84.110598795840161</v>
      </c>
      <c r="H12" s="3710"/>
      <c r="J12" s="535"/>
      <c r="K12" s="535"/>
    </row>
    <row r="13" spans="1:11" s="1" customFormat="1" ht="7.5" customHeight="1" x14ac:dyDescent="0.25">
      <c r="B13" s="439"/>
      <c r="C13" s="2482"/>
      <c r="D13" s="4280"/>
      <c r="E13" s="2801"/>
      <c r="F13" s="2801"/>
      <c r="G13" s="2801"/>
      <c r="H13" s="3729"/>
      <c r="J13" s="535"/>
      <c r="K13" s="535"/>
    </row>
    <row r="14" spans="1:11" s="4" customFormat="1" ht="18" customHeight="1" x14ac:dyDescent="0.25">
      <c r="B14" s="440" t="s">
        <v>34</v>
      </c>
      <c r="C14" s="2471" t="s">
        <v>35</v>
      </c>
      <c r="D14" s="4080">
        <f>SUM(D15+D18+D55+D59+D63+D74)</f>
        <v>78664021700</v>
      </c>
      <c r="E14" s="2786">
        <f>SUM(E15+E18+E55+E59+E63+E74)</f>
        <v>73491587865</v>
      </c>
      <c r="F14" s="2672">
        <f>E14/D14*100</f>
        <v>93.42465116425646</v>
      </c>
      <c r="G14" s="2673">
        <f>SUM(G18+G55+G59+G63)/4</f>
        <v>71.262315270935957</v>
      </c>
      <c r="H14" s="3720"/>
      <c r="J14" s="1204"/>
      <c r="K14" s="1204"/>
    </row>
    <row r="15" spans="1:11" s="4" customFormat="1" ht="15.75" customHeight="1" x14ac:dyDescent="0.25">
      <c r="B15" s="441"/>
      <c r="C15" s="2472" t="s">
        <v>36</v>
      </c>
      <c r="D15" s="4281"/>
      <c r="E15" s="2725"/>
      <c r="F15" s="2725"/>
      <c r="G15" s="2725"/>
      <c r="H15" s="1462"/>
      <c r="J15" s="1204"/>
      <c r="K15" s="1204"/>
    </row>
    <row r="16" spans="1:11" s="5" customFormat="1" ht="18" hidden="1" customHeight="1" x14ac:dyDescent="0.25">
      <c r="B16" s="442"/>
      <c r="C16" s="2473" t="s">
        <v>37</v>
      </c>
      <c r="D16" s="4282" t="s">
        <v>3317</v>
      </c>
      <c r="E16" s="3588" t="s">
        <v>3317</v>
      </c>
      <c r="F16" s="3588" t="s">
        <v>3317</v>
      </c>
      <c r="G16" s="2685"/>
      <c r="H16" s="3715"/>
      <c r="J16" s="1205"/>
      <c r="K16" s="1205"/>
    </row>
    <row r="17" spans="1:11" s="5" customFormat="1" ht="11.25" hidden="1" customHeight="1" x14ac:dyDescent="0.25">
      <c r="B17" s="442"/>
      <c r="C17" s="2473"/>
      <c r="D17" s="4066"/>
      <c r="E17" s="2690"/>
      <c r="F17" s="2690"/>
      <c r="G17" s="2688"/>
      <c r="H17" s="3715"/>
      <c r="J17" s="1205"/>
      <c r="K17" s="1205"/>
    </row>
    <row r="18" spans="1:11" s="4" customFormat="1" x14ac:dyDescent="0.25">
      <c r="B18" s="441"/>
      <c r="C18" s="2474" t="s">
        <v>38</v>
      </c>
      <c r="D18" s="4159">
        <f>SUM(D19:D53)</f>
        <v>30813944337</v>
      </c>
      <c r="E18" s="2813">
        <f>SUM(E19:E53)</f>
        <v>29953256202</v>
      </c>
      <c r="F18" s="2695">
        <f>E18/D18*100</f>
        <v>97.206822581403429</v>
      </c>
      <c r="G18" s="3768">
        <f>SUM(G22:G53)/29</f>
        <v>98.620689655172413</v>
      </c>
      <c r="H18" s="1462"/>
      <c r="J18" s="1204"/>
      <c r="K18" s="1204"/>
    </row>
    <row r="19" spans="1:11" s="27" customFormat="1" ht="15.75" hidden="1" customHeight="1" x14ac:dyDescent="0.25">
      <c r="A19" s="6"/>
      <c r="B19" s="443"/>
      <c r="C19" s="2473" t="s">
        <v>39</v>
      </c>
      <c r="D19" s="4282" t="s">
        <v>3317</v>
      </c>
      <c r="E19" s="3588" t="s">
        <v>3317</v>
      </c>
      <c r="F19" s="3588" t="s">
        <v>3317</v>
      </c>
      <c r="G19" s="3588" t="s">
        <v>3317</v>
      </c>
      <c r="H19" s="1463"/>
      <c r="J19" s="995"/>
      <c r="K19" s="995"/>
    </row>
    <row r="20" spans="1:11" s="27" customFormat="1" ht="14.25" hidden="1" customHeight="1" x14ac:dyDescent="0.25">
      <c r="A20" s="6"/>
      <c r="B20" s="443"/>
      <c r="C20" s="2473" t="s">
        <v>40</v>
      </c>
      <c r="D20" s="4282" t="s">
        <v>3317</v>
      </c>
      <c r="E20" s="3588" t="s">
        <v>3317</v>
      </c>
      <c r="F20" s="3588" t="s">
        <v>3317</v>
      </c>
      <c r="G20" s="3588" t="s">
        <v>3317</v>
      </c>
      <c r="H20" s="1463"/>
      <c r="J20" s="995"/>
      <c r="K20" s="995"/>
    </row>
    <row r="21" spans="1:11" s="27" customFormat="1" ht="16.5" hidden="1" customHeight="1" x14ac:dyDescent="0.25">
      <c r="A21" s="6"/>
      <c r="B21" s="443"/>
      <c r="C21" s="2473" t="s">
        <v>41</v>
      </c>
      <c r="D21" s="4282" t="s">
        <v>3317</v>
      </c>
      <c r="E21" s="3588" t="s">
        <v>3317</v>
      </c>
      <c r="F21" s="3588" t="s">
        <v>3317</v>
      </c>
      <c r="G21" s="3588" t="s">
        <v>3317</v>
      </c>
      <c r="H21" s="1463"/>
      <c r="J21" s="995"/>
      <c r="K21" s="995"/>
    </row>
    <row r="22" spans="1:11" s="27" customFormat="1" ht="18" hidden="1" customHeight="1" x14ac:dyDescent="0.25">
      <c r="A22" s="6"/>
      <c r="B22" s="443"/>
      <c r="C22" s="2473" t="s">
        <v>42</v>
      </c>
      <c r="D22" s="3704">
        <v>750000000</v>
      </c>
      <c r="E22" s="2688">
        <v>743538000</v>
      </c>
      <c r="F22" s="2688">
        <f>E22/D22*100</f>
        <v>99.138400000000004</v>
      </c>
      <c r="G22" s="2685">
        <v>100</v>
      </c>
      <c r="H22" s="1463"/>
      <c r="J22" s="995"/>
      <c r="K22" s="995"/>
    </row>
    <row r="23" spans="1:11" s="27" customFormat="1" ht="15.75" hidden="1" customHeight="1" x14ac:dyDescent="0.25">
      <c r="A23" s="6"/>
      <c r="B23" s="443"/>
      <c r="C23" s="2473" t="s">
        <v>43</v>
      </c>
      <c r="D23" s="3704" t="s">
        <v>3317</v>
      </c>
      <c r="E23" s="2688" t="s">
        <v>3317</v>
      </c>
      <c r="F23" s="2688" t="s">
        <v>3317</v>
      </c>
      <c r="G23" s="2688" t="s">
        <v>3317</v>
      </c>
      <c r="H23" s="1463"/>
      <c r="J23" s="995"/>
      <c r="K23" s="995"/>
    </row>
    <row r="24" spans="1:11" s="27" customFormat="1" ht="17.25" hidden="1" customHeight="1" x14ac:dyDescent="0.25">
      <c r="A24" s="6"/>
      <c r="B24" s="443"/>
      <c r="C24" s="2473" t="s">
        <v>44</v>
      </c>
      <c r="D24" s="3704">
        <v>500000000</v>
      </c>
      <c r="E24" s="2688">
        <v>491145846</v>
      </c>
      <c r="F24" s="2688">
        <f t="shared" ref="F24:F37" si="0">E24/D24*100</f>
        <v>98.229169200000001</v>
      </c>
      <c r="G24" s="2688">
        <v>100</v>
      </c>
      <c r="H24" s="1463"/>
      <c r="J24" s="995"/>
      <c r="K24" s="995"/>
    </row>
    <row r="25" spans="1:11" s="27" customFormat="1" ht="18" hidden="1" customHeight="1" x14ac:dyDescent="0.25">
      <c r="A25" s="6"/>
      <c r="B25" s="443"/>
      <c r="C25" s="2473" t="s">
        <v>45</v>
      </c>
      <c r="D25" s="3704">
        <v>935626337</v>
      </c>
      <c r="E25" s="2688">
        <v>935200000</v>
      </c>
      <c r="F25" s="2688">
        <f t="shared" si="0"/>
        <v>99.954432984286541</v>
      </c>
      <c r="G25" s="2688">
        <v>100</v>
      </c>
      <c r="H25" s="1463"/>
      <c r="J25" s="995"/>
      <c r="K25" s="995"/>
    </row>
    <row r="26" spans="1:11" s="27" customFormat="1" ht="17.25" hidden="1" customHeight="1" x14ac:dyDescent="0.25">
      <c r="A26" s="6"/>
      <c r="B26" s="443"/>
      <c r="C26" s="2473" t="s">
        <v>46</v>
      </c>
      <c r="D26" s="3704">
        <v>1100000000</v>
      </c>
      <c r="E26" s="2688">
        <v>1086667050</v>
      </c>
      <c r="F26" s="2688">
        <f t="shared" si="0"/>
        <v>98.787913636363641</v>
      </c>
      <c r="G26" s="2688">
        <v>100</v>
      </c>
      <c r="H26" s="1463"/>
      <c r="J26" s="995"/>
      <c r="K26" s="995"/>
    </row>
    <row r="27" spans="1:11" s="27" customFormat="1" ht="17.25" hidden="1" customHeight="1" x14ac:dyDescent="0.25">
      <c r="A27" s="6"/>
      <c r="B27" s="443"/>
      <c r="C27" s="2473" t="s">
        <v>47</v>
      </c>
      <c r="D27" s="3704">
        <v>1296000000</v>
      </c>
      <c r="E27" s="2688">
        <v>1294102000</v>
      </c>
      <c r="F27" s="2688">
        <f t="shared" si="0"/>
        <v>99.853549382716039</v>
      </c>
      <c r="G27" s="2688">
        <v>100</v>
      </c>
      <c r="H27" s="1463"/>
      <c r="J27" s="995"/>
      <c r="K27" s="995"/>
    </row>
    <row r="28" spans="1:11" s="27" customFormat="1" ht="17.25" hidden="1" customHeight="1" x14ac:dyDescent="0.25">
      <c r="A28" s="6"/>
      <c r="B28" s="443"/>
      <c r="C28" s="2473" t="s">
        <v>48</v>
      </c>
      <c r="D28" s="3704">
        <v>1100000000</v>
      </c>
      <c r="E28" s="2688">
        <v>1096658000</v>
      </c>
      <c r="F28" s="2688">
        <f t="shared" si="0"/>
        <v>99.696181818181813</v>
      </c>
      <c r="G28" s="2688">
        <v>100</v>
      </c>
      <c r="H28" s="1463"/>
      <c r="J28" s="995"/>
      <c r="K28" s="995"/>
    </row>
    <row r="29" spans="1:11" s="27" customFormat="1" ht="17.25" hidden="1" customHeight="1" x14ac:dyDescent="0.25">
      <c r="A29" s="6"/>
      <c r="B29" s="443"/>
      <c r="C29" s="2473" t="s">
        <v>49</v>
      </c>
      <c r="D29" s="3704">
        <v>800000000</v>
      </c>
      <c r="E29" s="2688">
        <v>798400000</v>
      </c>
      <c r="F29" s="2688">
        <f t="shared" si="0"/>
        <v>99.8</v>
      </c>
      <c r="G29" s="2688">
        <v>100</v>
      </c>
      <c r="H29" s="1463"/>
      <c r="J29" s="995"/>
      <c r="K29" s="995"/>
    </row>
    <row r="30" spans="1:11" s="27" customFormat="1" ht="17.25" hidden="1" customHeight="1" x14ac:dyDescent="0.25">
      <c r="A30" s="6"/>
      <c r="B30" s="443"/>
      <c r="C30" s="2473" t="s">
        <v>50</v>
      </c>
      <c r="D30" s="3704">
        <v>900000000</v>
      </c>
      <c r="E30" s="2688">
        <v>897460000</v>
      </c>
      <c r="F30" s="2688">
        <f t="shared" si="0"/>
        <v>99.717777777777783</v>
      </c>
      <c r="G30" s="2688">
        <v>100</v>
      </c>
      <c r="H30" s="1463"/>
      <c r="J30" s="995"/>
      <c r="K30" s="995"/>
    </row>
    <row r="31" spans="1:11" s="27" customFormat="1" ht="17.25" hidden="1" customHeight="1" x14ac:dyDescent="0.25">
      <c r="A31" s="6"/>
      <c r="B31" s="443"/>
      <c r="C31" s="2473" t="s">
        <v>51</v>
      </c>
      <c r="D31" s="3704">
        <v>750000000</v>
      </c>
      <c r="E31" s="2688">
        <v>730748000</v>
      </c>
      <c r="F31" s="2688">
        <f t="shared" si="0"/>
        <v>97.433066666666662</v>
      </c>
      <c r="G31" s="2688">
        <v>100</v>
      </c>
      <c r="H31" s="1463"/>
      <c r="J31" s="995"/>
      <c r="K31" s="995"/>
    </row>
    <row r="32" spans="1:11" s="27" customFormat="1" ht="17.25" hidden="1" customHeight="1" x14ac:dyDescent="0.25">
      <c r="A32" s="6"/>
      <c r="B32" s="443"/>
      <c r="C32" s="2473" t="s">
        <v>52</v>
      </c>
      <c r="D32" s="3704">
        <v>500000000</v>
      </c>
      <c r="E32" s="2688">
        <v>495386306</v>
      </c>
      <c r="F32" s="2688">
        <f t="shared" si="0"/>
        <v>99.077261199999995</v>
      </c>
      <c r="G32" s="2688">
        <v>100</v>
      </c>
      <c r="H32" s="1463"/>
      <c r="J32" s="995"/>
      <c r="K32" s="995"/>
    </row>
    <row r="33" spans="1:11" s="27" customFormat="1" ht="17.25" hidden="1" customHeight="1" x14ac:dyDescent="0.25">
      <c r="A33" s="6"/>
      <c r="B33" s="443"/>
      <c r="C33" s="2473" t="s">
        <v>53</v>
      </c>
      <c r="D33" s="3704">
        <v>500000000</v>
      </c>
      <c r="E33" s="2688">
        <v>499700000</v>
      </c>
      <c r="F33" s="2688">
        <f t="shared" si="0"/>
        <v>99.94</v>
      </c>
      <c r="G33" s="2688">
        <v>100</v>
      </c>
      <c r="H33" s="1463"/>
      <c r="J33" s="995"/>
      <c r="K33" s="995"/>
    </row>
    <row r="34" spans="1:11" s="27" customFormat="1" ht="17.25" hidden="1" customHeight="1" x14ac:dyDescent="0.25">
      <c r="A34" s="6"/>
      <c r="B34" s="443"/>
      <c r="C34" s="2473" t="s">
        <v>54</v>
      </c>
      <c r="D34" s="3704">
        <v>500000000</v>
      </c>
      <c r="E34" s="2688">
        <v>499700000</v>
      </c>
      <c r="F34" s="2688">
        <f t="shared" si="0"/>
        <v>99.94</v>
      </c>
      <c r="G34" s="2688">
        <v>100</v>
      </c>
      <c r="H34" s="1463"/>
      <c r="J34" s="995"/>
      <c r="K34" s="995"/>
    </row>
    <row r="35" spans="1:11" s="27" customFormat="1" ht="17.25" hidden="1" customHeight="1" x14ac:dyDescent="0.25">
      <c r="A35" s="6"/>
      <c r="B35" s="443"/>
      <c r="C35" s="2473" t="s">
        <v>55</v>
      </c>
      <c r="D35" s="3704">
        <v>500000000</v>
      </c>
      <c r="E35" s="3767">
        <v>499500000</v>
      </c>
      <c r="F35" s="2688">
        <f t="shared" si="0"/>
        <v>99.9</v>
      </c>
      <c r="G35" s="2688">
        <v>100</v>
      </c>
      <c r="H35" s="1463"/>
      <c r="J35" s="995"/>
      <c r="K35" s="995"/>
    </row>
    <row r="36" spans="1:11" s="27" customFormat="1" ht="17.25" hidden="1" customHeight="1" x14ac:dyDescent="0.25">
      <c r="A36" s="6"/>
      <c r="B36" s="443"/>
      <c r="C36" s="2473" t="s">
        <v>56</v>
      </c>
      <c r="D36" s="3704">
        <v>500000000</v>
      </c>
      <c r="E36" s="3767">
        <v>499700000</v>
      </c>
      <c r="F36" s="2688">
        <f t="shared" si="0"/>
        <v>99.94</v>
      </c>
      <c r="G36" s="2688">
        <v>100</v>
      </c>
      <c r="H36" s="1463"/>
      <c r="J36" s="995"/>
      <c r="K36" s="995"/>
    </row>
    <row r="37" spans="1:11" s="27" customFormat="1" ht="17.25" hidden="1" customHeight="1" x14ac:dyDescent="0.25">
      <c r="A37" s="6"/>
      <c r="B37" s="443"/>
      <c r="C37" s="2473" t="s">
        <v>57</v>
      </c>
      <c r="D37" s="3704">
        <v>400000000</v>
      </c>
      <c r="E37" s="2688">
        <v>399320000</v>
      </c>
      <c r="F37" s="2688">
        <f t="shared" si="0"/>
        <v>99.83</v>
      </c>
      <c r="G37" s="2688">
        <v>100</v>
      </c>
      <c r="H37" s="1463"/>
      <c r="J37" s="995"/>
      <c r="K37" s="995"/>
    </row>
    <row r="38" spans="1:11" s="27" customFormat="1" ht="17.25" hidden="1" customHeight="1" x14ac:dyDescent="0.25">
      <c r="A38" s="6"/>
      <c r="B38" s="443"/>
      <c r="C38" s="2473" t="s">
        <v>58</v>
      </c>
      <c r="D38" s="3704" t="s">
        <v>3317</v>
      </c>
      <c r="E38" s="2688" t="s">
        <v>3317</v>
      </c>
      <c r="F38" s="2688" t="s">
        <v>3317</v>
      </c>
      <c r="G38" s="2688" t="s">
        <v>3317</v>
      </c>
      <c r="H38" s="1463"/>
      <c r="J38" s="995"/>
      <c r="K38" s="995"/>
    </row>
    <row r="39" spans="1:11" s="27" customFormat="1" ht="17.25" hidden="1" customHeight="1" x14ac:dyDescent="0.25">
      <c r="A39" s="6"/>
      <c r="B39" s="443"/>
      <c r="C39" s="2473" t="s">
        <v>59</v>
      </c>
      <c r="D39" s="3704">
        <v>420000000</v>
      </c>
      <c r="E39" s="2688">
        <v>345200000</v>
      </c>
      <c r="F39" s="2688">
        <f t="shared" ref="F39:F49" si="1">E39/D39*100</f>
        <v>82.19047619047619</v>
      </c>
      <c r="G39" s="2688">
        <v>100</v>
      </c>
      <c r="H39" s="1463"/>
      <c r="J39" s="995"/>
      <c r="K39" s="995"/>
    </row>
    <row r="40" spans="1:11" s="27" customFormat="1" ht="17.25" hidden="1" customHeight="1" x14ac:dyDescent="0.25">
      <c r="A40" s="6"/>
      <c r="B40" s="443"/>
      <c r="C40" s="2473" t="s">
        <v>60</v>
      </c>
      <c r="D40" s="3704">
        <v>633894000</v>
      </c>
      <c r="E40" s="2688">
        <v>553300000</v>
      </c>
      <c r="F40" s="2688">
        <f t="shared" si="1"/>
        <v>87.285886914846969</v>
      </c>
      <c r="G40" s="2688">
        <v>100</v>
      </c>
      <c r="H40" s="1463"/>
      <c r="J40" s="995"/>
      <c r="K40" s="995"/>
    </row>
    <row r="41" spans="1:11" s="27" customFormat="1" ht="17.25" hidden="1" customHeight="1" x14ac:dyDescent="0.25">
      <c r="A41" s="6"/>
      <c r="B41" s="443"/>
      <c r="C41" s="2473" t="s">
        <v>61</v>
      </c>
      <c r="D41" s="3704">
        <v>536384000</v>
      </c>
      <c r="E41" s="2688">
        <v>534600000</v>
      </c>
      <c r="F41" s="2688">
        <f t="shared" si="1"/>
        <v>99.667402457940582</v>
      </c>
      <c r="G41" s="2688">
        <v>100</v>
      </c>
      <c r="H41" s="1463"/>
      <c r="J41" s="995"/>
      <c r="K41" s="995"/>
    </row>
    <row r="42" spans="1:11" s="27" customFormat="1" ht="17.25" hidden="1" customHeight="1" x14ac:dyDescent="0.25">
      <c r="A42" s="6"/>
      <c r="B42" s="443"/>
      <c r="C42" s="2473" t="s">
        <v>62</v>
      </c>
      <c r="D42" s="3704">
        <v>9809040000</v>
      </c>
      <c r="E42" s="2688">
        <v>9600000000</v>
      </c>
      <c r="F42" s="2688">
        <f t="shared" si="1"/>
        <v>97.868904602285227</v>
      </c>
      <c r="G42" s="2688">
        <v>100</v>
      </c>
      <c r="H42" s="1463"/>
      <c r="J42" s="995"/>
      <c r="K42" s="995"/>
    </row>
    <row r="43" spans="1:11" s="27" customFormat="1" ht="17.25" hidden="1" customHeight="1" x14ac:dyDescent="0.25">
      <c r="A43" s="6"/>
      <c r="B43" s="443"/>
      <c r="C43" s="2473" t="s">
        <v>63</v>
      </c>
      <c r="D43" s="3704">
        <v>900000000</v>
      </c>
      <c r="E43" s="2688">
        <v>899900000</v>
      </c>
      <c r="F43" s="2688">
        <f t="shared" si="1"/>
        <v>99.988888888888894</v>
      </c>
      <c r="G43" s="2688">
        <v>100</v>
      </c>
      <c r="H43" s="1463"/>
      <c r="J43" s="995"/>
      <c r="K43" s="995"/>
    </row>
    <row r="44" spans="1:11" s="27" customFormat="1" ht="30.75" hidden="1" customHeight="1" x14ac:dyDescent="0.25">
      <c r="A44" s="6"/>
      <c r="B44" s="443"/>
      <c r="C44" s="2473" t="s">
        <v>64</v>
      </c>
      <c r="D44" s="3704">
        <v>900000000</v>
      </c>
      <c r="E44" s="2688">
        <v>896421000</v>
      </c>
      <c r="F44" s="2688">
        <f t="shared" si="1"/>
        <v>99.602333333333334</v>
      </c>
      <c r="G44" s="2688">
        <v>100</v>
      </c>
      <c r="H44" s="1463"/>
      <c r="J44" s="995"/>
      <c r="K44" s="995"/>
    </row>
    <row r="45" spans="1:11" s="27" customFormat="1" ht="17.25" hidden="1" customHeight="1" x14ac:dyDescent="0.25">
      <c r="A45" s="6"/>
      <c r="B45" s="2737"/>
      <c r="C45" s="2473" t="s">
        <v>65</v>
      </c>
      <c r="D45" s="3704">
        <v>1000000000</v>
      </c>
      <c r="E45" s="3767">
        <v>981060000</v>
      </c>
      <c r="F45" s="2688">
        <f t="shared" si="1"/>
        <v>98.106000000000009</v>
      </c>
      <c r="G45" s="2688">
        <v>100</v>
      </c>
      <c r="H45" s="1463"/>
      <c r="J45" s="995"/>
      <c r="K45" s="995"/>
    </row>
    <row r="46" spans="1:11" s="27" customFormat="1" ht="16.5" hidden="1" customHeight="1" x14ac:dyDescent="0.25">
      <c r="A46" s="6"/>
      <c r="B46" s="443"/>
      <c r="C46" s="2473" t="s">
        <v>66</v>
      </c>
      <c r="D46" s="3704">
        <v>900000000</v>
      </c>
      <c r="E46" s="2688">
        <v>899150000</v>
      </c>
      <c r="F46" s="2688">
        <f t="shared" si="1"/>
        <v>99.905555555555566</v>
      </c>
      <c r="G46" s="2688">
        <v>100</v>
      </c>
      <c r="H46" s="1463"/>
      <c r="J46" s="995"/>
      <c r="K46" s="995"/>
    </row>
    <row r="47" spans="1:11" s="27" customFormat="1" ht="17.25" hidden="1" customHeight="1" x14ac:dyDescent="0.25">
      <c r="A47" s="6"/>
      <c r="B47" s="443"/>
      <c r="C47" s="2473" t="s">
        <v>67</v>
      </c>
      <c r="D47" s="3704">
        <v>1000000000</v>
      </c>
      <c r="E47" s="2688">
        <v>997100000</v>
      </c>
      <c r="F47" s="2688">
        <f t="shared" si="1"/>
        <v>99.71</v>
      </c>
      <c r="G47" s="2688">
        <v>100</v>
      </c>
      <c r="H47" s="1463"/>
      <c r="J47" s="995"/>
      <c r="K47" s="995"/>
    </row>
    <row r="48" spans="1:11" s="27" customFormat="1" ht="17.25" hidden="1" customHeight="1" x14ac:dyDescent="0.25">
      <c r="A48" s="6"/>
      <c r="B48" s="443"/>
      <c r="C48" s="2473" t="s">
        <v>68</v>
      </c>
      <c r="D48" s="3704">
        <v>900000000</v>
      </c>
      <c r="E48" s="2688">
        <v>499500000</v>
      </c>
      <c r="F48" s="2688">
        <f t="shared" si="1"/>
        <v>55.500000000000007</v>
      </c>
      <c r="G48" s="2688">
        <v>60</v>
      </c>
      <c r="H48" s="1463"/>
      <c r="J48" s="995"/>
      <c r="K48" s="995"/>
    </row>
    <row r="49" spans="1:11" s="27" customFormat="1" ht="17.25" hidden="1" customHeight="1" x14ac:dyDescent="0.25">
      <c r="A49" s="6"/>
      <c r="B49" s="443"/>
      <c r="C49" s="2473" t="s">
        <v>69</v>
      </c>
      <c r="D49" s="3704">
        <v>583000000</v>
      </c>
      <c r="E49" s="3767">
        <v>581500000</v>
      </c>
      <c r="F49" s="2688">
        <f t="shared" si="1"/>
        <v>99.742710120068608</v>
      </c>
      <c r="G49" s="2688">
        <v>100</v>
      </c>
      <c r="H49" s="1463"/>
      <c r="J49" s="995"/>
      <c r="K49" s="995"/>
    </row>
    <row r="50" spans="1:11" s="27" customFormat="1" ht="17.25" hidden="1" customHeight="1" x14ac:dyDescent="0.25">
      <c r="A50" s="6"/>
      <c r="B50" s="443"/>
      <c r="C50" s="2473" t="s">
        <v>70</v>
      </c>
      <c r="D50" s="3704" t="s">
        <v>3317</v>
      </c>
      <c r="E50" s="2688" t="s">
        <v>3317</v>
      </c>
      <c r="F50" s="2688" t="s">
        <v>3317</v>
      </c>
      <c r="G50" s="2688" t="s">
        <v>3317</v>
      </c>
      <c r="H50" s="3730"/>
      <c r="I50" s="540" t="s">
        <v>3317</v>
      </c>
      <c r="J50" s="995"/>
      <c r="K50" s="995"/>
    </row>
    <row r="51" spans="1:11" s="27" customFormat="1" ht="17.25" hidden="1" customHeight="1" x14ac:dyDescent="0.25">
      <c r="A51" s="6"/>
      <c r="B51" s="2737"/>
      <c r="C51" s="2473" t="s">
        <v>71</v>
      </c>
      <c r="D51" s="3704">
        <v>900000000</v>
      </c>
      <c r="E51" s="2688">
        <v>899100000</v>
      </c>
      <c r="F51" s="2688">
        <f>E51/D51*100</f>
        <v>99.9</v>
      </c>
      <c r="G51" s="2688">
        <v>100</v>
      </c>
      <c r="H51" s="1463"/>
      <c r="J51" s="995"/>
      <c r="K51" s="995"/>
    </row>
    <row r="52" spans="1:11" s="27" customFormat="1" ht="17.25" hidden="1" customHeight="1" x14ac:dyDescent="0.25">
      <c r="A52" s="6"/>
      <c r="B52" s="443"/>
      <c r="C52" s="2473" t="s">
        <v>72</v>
      </c>
      <c r="D52" s="3704">
        <v>1000000000</v>
      </c>
      <c r="E52" s="2688">
        <v>999200000</v>
      </c>
      <c r="F52" s="2688">
        <f>E52/D52*100</f>
        <v>99.92</v>
      </c>
      <c r="G52" s="2688">
        <v>100</v>
      </c>
      <c r="H52" s="1463"/>
      <c r="J52" s="995"/>
      <c r="K52" s="995"/>
    </row>
    <row r="53" spans="1:11" s="27" customFormat="1" ht="21" hidden="1" customHeight="1" x14ac:dyDescent="0.25">
      <c r="A53" s="6"/>
      <c r="B53" s="443"/>
      <c r="C53" s="2473" t="s">
        <v>4086</v>
      </c>
      <c r="D53" s="3704">
        <v>300000000</v>
      </c>
      <c r="E53" s="2685">
        <v>300000000</v>
      </c>
      <c r="F53" s="2688">
        <f>E53/D53*100</f>
        <v>100</v>
      </c>
      <c r="G53" s="2688">
        <v>100</v>
      </c>
      <c r="H53" s="1463"/>
      <c r="J53" s="995"/>
      <c r="K53" s="995"/>
    </row>
    <row r="54" spans="1:11" s="27" customFormat="1" ht="11.25" hidden="1" customHeight="1" x14ac:dyDescent="0.25">
      <c r="A54" s="6"/>
      <c r="B54" s="443"/>
      <c r="C54" s="2473"/>
      <c r="D54" s="3704"/>
      <c r="E54" s="2688"/>
      <c r="F54" s="2688"/>
      <c r="G54" s="2688"/>
      <c r="H54" s="1463"/>
      <c r="J54" s="995"/>
      <c r="K54" s="995"/>
    </row>
    <row r="55" spans="1:11" s="27" customFormat="1" ht="15.75" customHeight="1" x14ac:dyDescent="0.25">
      <c r="A55" s="6"/>
      <c r="B55" s="443"/>
      <c r="C55" s="2474" t="s">
        <v>73</v>
      </c>
      <c r="D55" s="4159">
        <f>SUM(D56:D57)</f>
        <v>1963437000</v>
      </c>
      <c r="E55" s="2813">
        <f>SUM(E56:E57)</f>
        <v>447039000</v>
      </c>
      <c r="F55" s="2693">
        <f>E55/D55*100</f>
        <v>22.768186603389871</v>
      </c>
      <c r="G55" s="3768">
        <f>SUM(G56:G57)/2</f>
        <v>15</v>
      </c>
      <c r="H55" s="1463"/>
      <c r="J55" s="995"/>
      <c r="K55" s="995"/>
    </row>
    <row r="56" spans="1:11" s="27" customFormat="1" ht="18" hidden="1" customHeight="1" x14ac:dyDescent="0.25">
      <c r="A56" s="6"/>
      <c r="B56" s="443"/>
      <c r="C56" s="2473" t="s">
        <v>74</v>
      </c>
      <c r="D56" s="3704">
        <v>1406672000</v>
      </c>
      <c r="E56" s="2685">
        <v>447039000</v>
      </c>
      <c r="F56" s="2688">
        <f>E56/D56*100</f>
        <v>31.779903204158465</v>
      </c>
      <c r="G56" s="2685">
        <v>30</v>
      </c>
      <c r="H56" s="1463"/>
      <c r="J56" s="995"/>
      <c r="K56" s="995"/>
    </row>
    <row r="57" spans="1:11" s="27" customFormat="1" ht="15.75" hidden="1" customHeight="1" x14ac:dyDescent="0.25">
      <c r="A57" s="6"/>
      <c r="B57" s="443"/>
      <c r="C57" s="2473" t="s">
        <v>75</v>
      </c>
      <c r="D57" s="3704">
        <v>556765000</v>
      </c>
      <c r="E57" s="2685">
        <v>0</v>
      </c>
      <c r="F57" s="2688">
        <f>E57/D57*100</f>
        <v>0</v>
      </c>
      <c r="G57" s="2685">
        <v>0</v>
      </c>
      <c r="H57" s="1463"/>
      <c r="J57" s="995"/>
      <c r="K57" s="995"/>
    </row>
    <row r="58" spans="1:11" s="27" customFormat="1" ht="10.5" hidden="1" customHeight="1" x14ac:dyDescent="0.25">
      <c r="A58" s="6"/>
      <c r="B58" s="443"/>
      <c r="C58" s="2473"/>
      <c r="D58" s="4276"/>
      <c r="E58" s="3035"/>
      <c r="F58" s="2688"/>
      <c r="G58" s="2688"/>
      <c r="H58" s="1463"/>
      <c r="J58" s="995"/>
      <c r="K58" s="995"/>
    </row>
    <row r="59" spans="1:11" s="4" customFormat="1" ht="16.5" customHeight="1" x14ac:dyDescent="0.25">
      <c r="B59" s="441"/>
      <c r="C59" s="2474" t="s">
        <v>4087</v>
      </c>
      <c r="D59" s="4159">
        <f>SUM(D60:D61)</f>
        <v>77123663</v>
      </c>
      <c r="E59" s="2813">
        <f>SUM(E60:E61)</f>
        <v>77123663</v>
      </c>
      <c r="F59" s="2693">
        <f>E59/D59*100</f>
        <v>100</v>
      </c>
      <c r="G59" s="2693">
        <f>G61</f>
        <v>100</v>
      </c>
      <c r="H59" s="1462"/>
      <c r="J59" s="1204"/>
      <c r="K59" s="1204"/>
    </row>
    <row r="60" spans="1:11" s="27" customFormat="1" ht="31.5" hidden="1" customHeight="1" x14ac:dyDescent="0.25">
      <c r="A60" s="6"/>
      <c r="B60" s="443"/>
      <c r="C60" s="2473" t="s">
        <v>76</v>
      </c>
      <c r="D60" s="4283" t="s">
        <v>3317</v>
      </c>
      <c r="E60" s="3589" t="s">
        <v>3317</v>
      </c>
      <c r="F60" s="3589" t="s">
        <v>3317</v>
      </c>
      <c r="G60" s="2688" t="s">
        <v>3317</v>
      </c>
      <c r="H60" s="1463"/>
      <c r="J60" s="995"/>
      <c r="K60" s="995"/>
    </row>
    <row r="61" spans="1:11" s="27" customFormat="1" ht="18.75" hidden="1" customHeight="1" x14ac:dyDescent="0.25">
      <c r="A61" s="6"/>
      <c r="B61" s="443"/>
      <c r="C61" s="2473" t="s">
        <v>4088</v>
      </c>
      <c r="D61" s="3704">
        <v>77123663</v>
      </c>
      <c r="E61" s="2685">
        <v>77123663</v>
      </c>
      <c r="F61" s="2688">
        <f>E61/D61*100</f>
        <v>100</v>
      </c>
      <c r="G61" s="2688">
        <v>100</v>
      </c>
      <c r="H61" s="1463"/>
      <c r="J61" s="995"/>
      <c r="K61" s="995"/>
    </row>
    <row r="62" spans="1:11" s="27" customFormat="1" ht="11.25" hidden="1" customHeight="1" x14ac:dyDescent="0.25">
      <c r="A62" s="6"/>
      <c r="B62" s="443"/>
      <c r="C62" s="2473"/>
      <c r="D62" s="3704"/>
      <c r="E62" s="2685"/>
      <c r="F62" s="2688"/>
      <c r="G62" s="2688"/>
      <c r="H62" s="1463"/>
      <c r="J62" s="995"/>
      <c r="K62" s="995"/>
    </row>
    <row r="63" spans="1:11" s="4" customFormat="1" ht="18" customHeight="1" x14ac:dyDescent="0.25">
      <c r="B63" s="441"/>
      <c r="C63" s="2474" t="s">
        <v>77</v>
      </c>
      <c r="D63" s="4159">
        <f>SUM(D64:D72)</f>
        <v>45809516700</v>
      </c>
      <c r="E63" s="2813">
        <f>SUM(E64:E72)</f>
        <v>43014169000</v>
      </c>
      <c r="F63" s="2693">
        <f>E63/D63*100</f>
        <v>93.897888689142178</v>
      </c>
      <c r="G63" s="3768">
        <f>SUM(G64:G72)/7</f>
        <v>71.428571428571431</v>
      </c>
      <c r="H63" s="1462"/>
      <c r="J63" s="1204"/>
      <c r="K63" s="1204"/>
    </row>
    <row r="64" spans="1:11" s="27" customFormat="1" ht="18.75" hidden="1" customHeight="1" x14ac:dyDescent="0.25">
      <c r="A64" s="6"/>
      <c r="B64" s="443"/>
      <c r="C64" s="2473" t="s">
        <v>78</v>
      </c>
      <c r="D64" s="3704">
        <v>1000000000</v>
      </c>
      <c r="E64" s="2690">
        <v>995350000</v>
      </c>
      <c r="F64" s="2688">
        <f>E64/D64*100</f>
        <v>99.534999999999997</v>
      </c>
      <c r="G64" s="2685">
        <v>100</v>
      </c>
      <c r="H64" s="1463"/>
      <c r="J64" s="995"/>
      <c r="K64" s="995"/>
    </row>
    <row r="65" spans="1:11" s="27" customFormat="1" ht="16.5" hidden="1" customHeight="1" x14ac:dyDescent="0.25">
      <c r="A65" s="6"/>
      <c r="B65" s="443"/>
      <c r="C65" s="2473" t="s">
        <v>79</v>
      </c>
      <c r="D65" s="3704">
        <v>42002751700</v>
      </c>
      <c r="E65" s="2688">
        <v>40282000200</v>
      </c>
      <c r="F65" s="2688">
        <f>E65/D65*100</f>
        <v>95.903241025039804</v>
      </c>
      <c r="G65" s="2685">
        <v>100</v>
      </c>
      <c r="H65" s="1463"/>
      <c r="J65" s="995"/>
      <c r="K65" s="995"/>
    </row>
    <row r="66" spans="1:11" s="27" customFormat="1" ht="18" hidden="1" customHeight="1" x14ac:dyDescent="0.25">
      <c r="A66" s="6"/>
      <c r="B66" s="443"/>
      <c r="C66" s="2473" t="s">
        <v>80</v>
      </c>
      <c r="D66" s="4283" t="s">
        <v>3317</v>
      </c>
      <c r="E66" s="3589" t="s">
        <v>3317</v>
      </c>
      <c r="F66" s="3589" t="s">
        <v>3317</v>
      </c>
      <c r="G66" s="3589" t="s">
        <v>3317</v>
      </c>
      <c r="H66" s="1463"/>
      <c r="J66" s="995"/>
      <c r="K66" s="995"/>
    </row>
    <row r="67" spans="1:11" s="27" customFormat="1" ht="14.25" hidden="1" customHeight="1" x14ac:dyDescent="0.25">
      <c r="A67" s="6"/>
      <c r="B67" s="443"/>
      <c r="C67" s="2473" t="s">
        <v>81</v>
      </c>
      <c r="D67" s="3704">
        <v>556765000</v>
      </c>
      <c r="E67" s="2685">
        <v>0</v>
      </c>
      <c r="F67" s="2688">
        <f>E67/D67*100</f>
        <v>0</v>
      </c>
      <c r="G67" s="2685">
        <v>0</v>
      </c>
      <c r="H67" s="1463"/>
      <c r="J67" s="995"/>
      <c r="K67" s="995"/>
    </row>
    <row r="68" spans="1:11" s="27" customFormat="1" ht="15" hidden="1" customHeight="1" x14ac:dyDescent="0.25">
      <c r="A68" s="6"/>
      <c r="B68" s="443"/>
      <c r="C68" s="2473" t="s">
        <v>82</v>
      </c>
      <c r="D68" s="3622">
        <v>500000000</v>
      </c>
      <c r="E68" s="2688">
        <v>496965600</v>
      </c>
      <c r="F68" s="2688">
        <f>E68/D68*100</f>
        <v>99.393119999999996</v>
      </c>
      <c r="G68" s="2688">
        <v>100</v>
      </c>
      <c r="H68" s="1463"/>
      <c r="J68" s="995"/>
      <c r="K68" s="995"/>
    </row>
    <row r="69" spans="1:11" s="27" customFormat="1" ht="14.25" hidden="1" customHeight="1" x14ac:dyDescent="0.25">
      <c r="A69" s="6"/>
      <c r="B69" s="443"/>
      <c r="C69" s="2473" t="s">
        <v>83</v>
      </c>
      <c r="D69" s="3704">
        <v>500000000</v>
      </c>
      <c r="E69" s="2685">
        <v>0</v>
      </c>
      <c r="F69" s="2688">
        <f>E69/D69*100</f>
        <v>0</v>
      </c>
      <c r="G69" s="2685">
        <v>0</v>
      </c>
      <c r="H69" s="1463"/>
      <c r="J69" s="995"/>
      <c r="K69" s="995"/>
    </row>
    <row r="70" spans="1:11" s="27" customFormat="1" ht="16.5" hidden="1" customHeight="1" x14ac:dyDescent="0.25">
      <c r="A70" s="6"/>
      <c r="B70" s="443"/>
      <c r="C70" s="2473" t="s">
        <v>84</v>
      </c>
      <c r="D70" s="3704">
        <v>1000000000</v>
      </c>
      <c r="E70" s="2685">
        <v>989900000</v>
      </c>
      <c r="F70" s="2688">
        <f>E70/D70*100</f>
        <v>98.99</v>
      </c>
      <c r="G70" s="2685">
        <v>100</v>
      </c>
      <c r="H70" s="1463"/>
      <c r="J70" s="995"/>
      <c r="K70" s="995"/>
    </row>
    <row r="71" spans="1:11" s="27" customFormat="1" ht="18" hidden="1" customHeight="1" x14ac:dyDescent="0.25">
      <c r="A71" s="6"/>
      <c r="B71" s="443"/>
      <c r="C71" s="2473" t="s">
        <v>85</v>
      </c>
      <c r="D71" s="4283" t="s">
        <v>3317</v>
      </c>
      <c r="E71" s="3589" t="s">
        <v>3317</v>
      </c>
      <c r="F71" s="3589" t="s">
        <v>3317</v>
      </c>
      <c r="G71" s="3589" t="s">
        <v>3317</v>
      </c>
      <c r="H71" s="1463"/>
      <c r="J71" s="995"/>
      <c r="K71" s="995"/>
    </row>
    <row r="72" spans="1:11" s="27" customFormat="1" ht="18" hidden="1" customHeight="1" x14ac:dyDescent="0.25">
      <c r="A72" s="6"/>
      <c r="B72" s="443"/>
      <c r="C72" s="2473" t="s">
        <v>86</v>
      </c>
      <c r="D72" s="3704">
        <v>250000000</v>
      </c>
      <c r="E72" s="2685">
        <v>249953200</v>
      </c>
      <c r="F72" s="2688">
        <f>E72/D72*100</f>
        <v>99.981279999999998</v>
      </c>
      <c r="G72" s="2685">
        <v>100</v>
      </c>
      <c r="H72" s="1463"/>
      <c r="J72" s="995"/>
      <c r="K72" s="995"/>
    </row>
    <row r="73" spans="1:11" s="27" customFormat="1" ht="12" hidden="1" customHeight="1" x14ac:dyDescent="0.25">
      <c r="A73" s="6"/>
      <c r="B73" s="443"/>
      <c r="C73" s="2473"/>
      <c r="D73" s="3622"/>
      <c r="E73" s="2690"/>
      <c r="F73" s="2688"/>
      <c r="G73" s="2685"/>
      <c r="H73" s="1463"/>
      <c r="J73" s="995"/>
      <c r="K73" s="995"/>
    </row>
    <row r="74" spans="1:11" s="27" customFormat="1" ht="17.25" customHeight="1" x14ac:dyDescent="0.25">
      <c r="A74" s="6"/>
      <c r="B74" s="443"/>
      <c r="C74" s="2474" t="s">
        <v>87</v>
      </c>
      <c r="D74" s="3622"/>
      <c r="E74" s="2690"/>
      <c r="F74" s="2690"/>
      <c r="G74" s="2685"/>
      <c r="H74" s="1463"/>
      <c r="J74" s="995"/>
      <c r="K74" s="995"/>
    </row>
    <row r="75" spans="1:11" s="27" customFormat="1" ht="15.75" hidden="1" customHeight="1" x14ac:dyDescent="0.25">
      <c r="A75" s="6"/>
      <c r="B75" s="443"/>
      <c r="C75" s="2473" t="s">
        <v>88</v>
      </c>
      <c r="D75" s="4283" t="s">
        <v>3317</v>
      </c>
      <c r="E75" s="3589" t="s">
        <v>3317</v>
      </c>
      <c r="F75" s="2690"/>
      <c r="G75" s="2685"/>
      <c r="H75" s="1463"/>
      <c r="J75" s="995"/>
      <c r="K75" s="995"/>
    </row>
    <row r="76" spans="1:11" ht="12" hidden="1" customHeight="1" x14ac:dyDescent="0.25">
      <c r="B76" s="443"/>
      <c r="C76" s="2476"/>
      <c r="D76" s="4284"/>
      <c r="E76" s="2778"/>
      <c r="F76" s="2710"/>
      <c r="G76" s="2707"/>
      <c r="H76" s="3711"/>
    </row>
    <row r="77" spans="1:11" s="4" customFormat="1" ht="16.5" customHeight="1" x14ac:dyDescent="0.25">
      <c r="B77" s="440" t="s">
        <v>89</v>
      </c>
      <c r="C77" s="2471" t="s">
        <v>90</v>
      </c>
      <c r="D77" s="4080">
        <f>D78+D81+D85+D88+D91+D94</f>
        <v>24066656000</v>
      </c>
      <c r="E77" s="2786">
        <f>E78+E81+E85+E88+E91+E94</f>
        <v>19363589671</v>
      </c>
      <c r="F77" s="2672">
        <f>E77/D77*100</f>
        <v>80.458164486998101</v>
      </c>
      <c r="G77" s="2719">
        <f>SUM(G78+G81+G85+G88+G91+G94)/6</f>
        <v>55.516666666666673</v>
      </c>
      <c r="H77" s="1462"/>
      <c r="J77" s="1204"/>
      <c r="K77" s="1204"/>
    </row>
    <row r="78" spans="1:11" s="4" customFormat="1" ht="18.75" customHeight="1" x14ac:dyDescent="0.25">
      <c r="B78" s="441"/>
      <c r="C78" s="2472" t="s">
        <v>91</v>
      </c>
      <c r="D78" s="4158">
        <f>D79</f>
        <v>3050000000</v>
      </c>
      <c r="E78" s="3214">
        <f>E79</f>
        <v>1009581171</v>
      </c>
      <c r="F78" s="2725">
        <f>E78/D78*100</f>
        <v>33.101022</v>
      </c>
      <c r="G78" s="2725">
        <f>G79</f>
        <v>33.1</v>
      </c>
      <c r="H78" s="3718"/>
      <c r="J78" s="1204"/>
      <c r="K78" s="1204"/>
    </row>
    <row r="79" spans="1:11" s="4" customFormat="1" ht="17.25" hidden="1" customHeight="1" x14ac:dyDescent="0.25">
      <c r="B79" s="441"/>
      <c r="C79" s="2473" t="s">
        <v>92</v>
      </c>
      <c r="D79" s="3704">
        <v>3050000000</v>
      </c>
      <c r="E79" s="2685">
        <v>1009581171</v>
      </c>
      <c r="F79" s="2685">
        <f>E79/D79*100</f>
        <v>33.101022</v>
      </c>
      <c r="G79" s="2685">
        <v>33.1</v>
      </c>
      <c r="H79" s="1462"/>
      <c r="J79" s="1204"/>
      <c r="K79" s="1204"/>
    </row>
    <row r="80" spans="1:11" s="4" customFormat="1" ht="9.75" hidden="1" customHeight="1" x14ac:dyDescent="0.25">
      <c r="B80" s="441"/>
      <c r="C80" s="2474"/>
      <c r="D80" s="4159"/>
      <c r="E80" s="2679"/>
      <c r="F80" s="2679"/>
      <c r="G80" s="2679"/>
      <c r="H80" s="1462"/>
      <c r="J80" s="1204"/>
      <c r="K80" s="1204"/>
    </row>
    <row r="81" spans="1:11" s="4" customFormat="1" ht="17.25" customHeight="1" x14ac:dyDescent="0.25">
      <c r="B81" s="441"/>
      <c r="C81" s="2474" t="s">
        <v>93</v>
      </c>
      <c r="D81" s="4159">
        <f>SUM(D82:D83)</f>
        <v>1949000000</v>
      </c>
      <c r="E81" s="2813">
        <f>SUM(E82:E83)</f>
        <v>1721692500</v>
      </c>
      <c r="F81" s="2679">
        <f>E81/D81*100</f>
        <v>88.337224217547458</v>
      </c>
      <c r="G81" s="2679">
        <f>SUM(G82:G83)/2</f>
        <v>100</v>
      </c>
      <c r="H81" s="1462"/>
      <c r="J81" s="1204"/>
      <c r="K81" s="1204"/>
    </row>
    <row r="82" spans="1:11" s="4" customFormat="1" ht="17.25" hidden="1" customHeight="1" x14ac:dyDescent="0.25">
      <c r="B82" s="441"/>
      <c r="C82" s="2473" t="s">
        <v>94</v>
      </c>
      <c r="D82" s="3704">
        <v>585000000</v>
      </c>
      <c r="E82" s="2685">
        <v>482676000</v>
      </c>
      <c r="F82" s="2685">
        <f>E82/D82*100</f>
        <v>82.508717948717944</v>
      </c>
      <c r="G82" s="2685">
        <v>100</v>
      </c>
      <c r="H82" s="1462"/>
      <c r="J82" s="1204"/>
      <c r="K82" s="1204"/>
    </row>
    <row r="83" spans="1:11" s="4" customFormat="1" ht="17.25" hidden="1" customHeight="1" x14ac:dyDescent="0.25">
      <c r="B83" s="441"/>
      <c r="C83" s="2473" t="s">
        <v>4089</v>
      </c>
      <c r="D83" s="3704">
        <v>1364000000</v>
      </c>
      <c r="E83" s="2685">
        <v>1239016500</v>
      </c>
      <c r="F83" s="2685">
        <f>E83/D83*100</f>
        <v>90.836986803519054</v>
      </c>
      <c r="G83" s="2685">
        <v>100</v>
      </c>
      <c r="H83" s="1462"/>
      <c r="J83" s="1204"/>
      <c r="K83" s="1204"/>
    </row>
    <row r="84" spans="1:11" s="4" customFormat="1" ht="9.75" hidden="1" customHeight="1" x14ac:dyDescent="0.25">
      <c r="B84" s="441"/>
      <c r="C84" s="2474"/>
      <c r="D84" s="4159"/>
      <c r="E84" s="2679"/>
      <c r="F84" s="2679"/>
      <c r="G84" s="2679"/>
      <c r="H84" s="1462"/>
      <c r="J84" s="1204"/>
      <c r="K84" s="1204"/>
    </row>
    <row r="85" spans="1:11" s="4" customFormat="1" ht="30.75" customHeight="1" x14ac:dyDescent="0.25">
      <c r="B85" s="441"/>
      <c r="C85" s="2474" t="s">
        <v>95</v>
      </c>
      <c r="D85" s="4159">
        <f>D86</f>
        <v>500000000</v>
      </c>
      <c r="E85" s="2679">
        <v>0</v>
      </c>
      <c r="F85" s="2679">
        <f>E85/D85*100</f>
        <v>0</v>
      </c>
      <c r="G85" s="2679">
        <v>0</v>
      </c>
      <c r="H85" s="1462"/>
      <c r="J85" s="1204"/>
      <c r="K85" s="1204"/>
    </row>
    <row r="86" spans="1:11" s="4" customFormat="1" ht="17.25" hidden="1" customHeight="1" x14ac:dyDescent="0.25">
      <c r="B86" s="441"/>
      <c r="C86" s="2473" t="s">
        <v>96</v>
      </c>
      <c r="D86" s="3704">
        <v>500000000</v>
      </c>
      <c r="E86" s="2685">
        <v>0</v>
      </c>
      <c r="F86" s="2685">
        <f>E86/D86*100</f>
        <v>0</v>
      </c>
      <c r="G86" s="2685">
        <v>0</v>
      </c>
      <c r="H86" s="1462"/>
      <c r="J86" s="1204"/>
      <c r="K86" s="1204"/>
    </row>
    <row r="87" spans="1:11" s="4" customFormat="1" ht="10.5" hidden="1" customHeight="1" x14ac:dyDescent="0.25">
      <c r="B87" s="441"/>
      <c r="C87" s="2474"/>
      <c r="D87" s="4159"/>
      <c r="E87" s="2679"/>
      <c r="F87" s="2679"/>
      <c r="G87" s="2679"/>
      <c r="H87" s="1462"/>
      <c r="J87" s="1204"/>
      <c r="K87" s="1204"/>
    </row>
    <row r="88" spans="1:11" s="4" customFormat="1" ht="16.5" customHeight="1" x14ac:dyDescent="0.25">
      <c r="B88" s="441"/>
      <c r="C88" s="2474" t="s">
        <v>97</v>
      </c>
      <c r="D88" s="4159">
        <f>D89</f>
        <v>14996460000</v>
      </c>
      <c r="E88" s="2813">
        <f>E89</f>
        <v>13562916000</v>
      </c>
      <c r="F88" s="2679">
        <f>E88/D88*100</f>
        <v>90.440784025029913</v>
      </c>
      <c r="G88" s="2679">
        <f>G89</f>
        <v>100</v>
      </c>
      <c r="H88" s="1462"/>
      <c r="J88" s="1204"/>
      <c r="K88" s="1204"/>
    </row>
    <row r="89" spans="1:11" s="27" customFormat="1" ht="27.75" hidden="1" customHeight="1" x14ac:dyDescent="0.25">
      <c r="A89" s="6"/>
      <c r="B89" s="441"/>
      <c r="C89" s="2473" t="s">
        <v>98</v>
      </c>
      <c r="D89" s="3704">
        <v>14996460000</v>
      </c>
      <c r="E89" s="2688">
        <v>13562916000</v>
      </c>
      <c r="F89" s="2685">
        <f>E89/D89*100</f>
        <v>90.440784025029913</v>
      </c>
      <c r="G89" s="2685">
        <v>100</v>
      </c>
      <c r="H89" s="1463"/>
      <c r="J89" s="995"/>
      <c r="K89" s="995"/>
    </row>
    <row r="90" spans="1:11" s="27" customFormat="1" ht="11.25" hidden="1" customHeight="1" x14ac:dyDescent="0.25">
      <c r="A90" s="6"/>
      <c r="B90" s="441"/>
      <c r="C90" s="2473"/>
      <c r="D90" s="4276"/>
      <c r="E90" s="3035"/>
      <c r="F90" s="2679"/>
      <c r="G90" s="2688"/>
      <c r="H90" s="1463"/>
      <c r="J90" s="995"/>
      <c r="K90" s="995"/>
    </row>
    <row r="91" spans="1:11" s="4" customFormat="1" ht="29.25" customHeight="1" x14ac:dyDescent="0.25">
      <c r="B91" s="441"/>
      <c r="C91" s="2474" t="s">
        <v>99</v>
      </c>
      <c r="D91" s="4159">
        <f>D92</f>
        <v>3101000000</v>
      </c>
      <c r="E91" s="2813">
        <f>E92</f>
        <v>3069400000</v>
      </c>
      <c r="F91" s="2679">
        <f>E91/D91*100</f>
        <v>98.980973879393744</v>
      </c>
      <c r="G91" s="2679">
        <f>G92</f>
        <v>100</v>
      </c>
      <c r="H91" s="1462"/>
      <c r="J91" s="1204"/>
      <c r="K91" s="1204"/>
    </row>
    <row r="92" spans="1:11" s="4" customFormat="1" ht="18" hidden="1" customHeight="1" x14ac:dyDescent="0.25">
      <c r="B92" s="441"/>
      <c r="C92" s="2473" t="s">
        <v>100</v>
      </c>
      <c r="D92" s="3704">
        <v>3101000000</v>
      </c>
      <c r="E92" s="2690">
        <v>3069400000</v>
      </c>
      <c r="F92" s="2685">
        <f>E92/D92*100</f>
        <v>98.980973879393744</v>
      </c>
      <c r="G92" s="2685">
        <v>100</v>
      </c>
      <c r="H92" s="1462"/>
      <c r="J92" s="1204"/>
      <c r="K92" s="1204"/>
    </row>
    <row r="93" spans="1:11" s="4" customFormat="1" ht="9.75" hidden="1" customHeight="1" x14ac:dyDescent="0.25">
      <c r="B93" s="441"/>
      <c r="C93" s="2473"/>
      <c r="D93" s="3704"/>
      <c r="E93" s="2690"/>
      <c r="F93" s="2679"/>
      <c r="G93" s="2685"/>
      <c r="H93" s="1462"/>
      <c r="J93" s="1204"/>
      <c r="K93" s="1204"/>
    </row>
    <row r="94" spans="1:11" s="4" customFormat="1" ht="17.25" customHeight="1" x14ac:dyDescent="0.25">
      <c r="B94" s="441"/>
      <c r="C94" s="2474" t="s">
        <v>4090</v>
      </c>
      <c r="D94" s="4159">
        <f>D95</f>
        <v>470196000</v>
      </c>
      <c r="E94" s="2679">
        <v>0</v>
      </c>
      <c r="F94" s="2679">
        <f>E94/D94*100</f>
        <v>0</v>
      </c>
      <c r="G94" s="2679">
        <v>0</v>
      </c>
      <c r="H94" s="1462"/>
      <c r="J94" s="1204"/>
      <c r="K94" s="1204"/>
    </row>
    <row r="95" spans="1:11" s="4" customFormat="1" ht="18" hidden="1" customHeight="1" x14ac:dyDescent="0.25">
      <c r="B95" s="441"/>
      <c r="C95" s="2473" t="s">
        <v>4091</v>
      </c>
      <c r="D95" s="3704">
        <v>470196000</v>
      </c>
      <c r="E95" s="2685">
        <v>0</v>
      </c>
      <c r="F95" s="2685">
        <f>E95/D95*100</f>
        <v>0</v>
      </c>
      <c r="G95" s="2685">
        <v>0</v>
      </c>
      <c r="H95" s="1462"/>
      <c r="J95" s="1204"/>
      <c r="K95" s="1204"/>
    </row>
    <row r="96" spans="1:11" ht="12" hidden="1" customHeight="1" x14ac:dyDescent="0.25">
      <c r="B96" s="441"/>
      <c r="C96" s="2477"/>
      <c r="D96" s="4285"/>
      <c r="E96" s="2778"/>
      <c r="F96" s="2710"/>
      <c r="G96" s="2707"/>
      <c r="H96" s="1463"/>
    </row>
    <row r="97" spans="1:11" s="4" customFormat="1" ht="16.5" customHeight="1" x14ac:dyDescent="0.25">
      <c r="B97" s="440" t="s">
        <v>101</v>
      </c>
      <c r="C97" s="2471" t="s">
        <v>102</v>
      </c>
      <c r="D97" s="4080"/>
      <c r="E97" s="3967"/>
      <c r="F97" s="2727"/>
      <c r="G97" s="3968"/>
      <c r="H97" s="1462"/>
      <c r="J97" s="1204"/>
      <c r="K97" s="1204"/>
    </row>
    <row r="98" spans="1:11" s="4" customFormat="1" ht="16.5" customHeight="1" x14ac:dyDescent="0.25">
      <c r="B98" s="441"/>
      <c r="C98" s="2472" t="s">
        <v>103</v>
      </c>
      <c r="D98" s="4158"/>
      <c r="E98" s="3969"/>
      <c r="F98" s="2725"/>
      <c r="G98" s="2725"/>
      <c r="H98" s="1462"/>
      <c r="J98" s="1204"/>
      <c r="K98" s="1204"/>
    </row>
    <row r="99" spans="1:11" s="27" customFormat="1" ht="16.5" hidden="1" customHeight="1" x14ac:dyDescent="0.25">
      <c r="A99" s="6"/>
      <c r="B99" s="443"/>
      <c r="C99" s="2473" t="s">
        <v>104</v>
      </c>
      <c r="D99" s="4283" t="s">
        <v>3317</v>
      </c>
      <c r="E99" s="3589" t="s">
        <v>3317</v>
      </c>
      <c r="F99" s="2690"/>
      <c r="G99" s="2685"/>
      <c r="H99" s="1463"/>
      <c r="J99" s="995"/>
      <c r="K99" s="995"/>
    </row>
    <row r="100" spans="1:11" s="27" customFormat="1" ht="15.75" hidden="1" customHeight="1" x14ac:dyDescent="0.25">
      <c r="A100" s="6"/>
      <c r="B100" s="443"/>
      <c r="C100" s="2473" t="s">
        <v>105</v>
      </c>
      <c r="D100" s="4283" t="s">
        <v>3317</v>
      </c>
      <c r="E100" s="3589" t="s">
        <v>3317</v>
      </c>
      <c r="F100" s="2690"/>
      <c r="G100" s="2688"/>
      <c r="H100" s="1463"/>
      <c r="J100" s="995"/>
      <c r="K100" s="995"/>
    </row>
    <row r="101" spans="1:11" s="27" customFormat="1" ht="10.5" hidden="1" customHeight="1" x14ac:dyDescent="0.25">
      <c r="A101" s="6"/>
      <c r="B101" s="443"/>
      <c r="C101" s="2476"/>
      <c r="D101" s="4284"/>
      <c r="E101" s="2778"/>
      <c r="F101" s="2710"/>
      <c r="G101" s="2707"/>
      <c r="H101" s="1463"/>
      <c r="J101" s="995"/>
      <c r="K101" s="995"/>
    </row>
    <row r="102" spans="1:11" s="4" customFormat="1" ht="17.25" customHeight="1" x14ac:dyDescent="0.25">
      <c r="A102" s="7"/>
      <c r="B102" s="440" t="s">
        <v>106</v>
      </c>
      <c r="C102" s="2471" t="s">
        <v>107</v>
      </c>
      <c r="D102" s="4080">
        <f>D103</f>
        <v>500000000</v>
      </c>
      <c r="E102" s="3970">
        <f>E103</f>
        <v>421606000</v>
      </c>
      <c r="F102" s="2672">
        <f>E102/D102*100</f>
        <v>84.32119999999999</v>
      </c>
      <c r="G102" s="2719">
        <f>SUM(G103)/1</f>
        <v>100</v>
      </c>
      <c r="H102" s="1462"/>
      <c r="J102" s="1204"/>
      <c r="K102" s="1204"/>
    </row>
    <row r="103" spans="1:11" s="4" customFormat="1" ht="18" customHeight="1" x14ac:dyDescent="0.25">
      <c r="B103" s="441"/>
      <c r="C103" s="2472" t="s">
        <v>108</v>
      </c>
      <c r="D103" s="4158">
        <f>SUM(D104:D105)</f>
        <v>500000000</v>
      </c>
      <c r="E103" s="3971">
        <f>SUM(E104:E105)</f>
        <v>421606000</v>
      </c>
      <c r="F103" s="2725">
        <f>E103/D103*100</f>
        <v>84.32119999999999</v>
      </c>
      <c r="G103" s="2725">
        <f>SUM(G104:G105)/2</f>
        <v>100</v>
      </c>
      <c r="H103" s="1462"/>
      <c r="J103" s="1204"/>
      <c r="K103" s="1204"/>
    </row>
    <row r="104" spans="1:11" s="4" customFormat="1" ht="16.5" hidden="1" customHeight="1" x14ac:dyDescent="0.25">
      <c r="B104" s="441"/>
      <c r="C104" s="2473" t="s">
        <v>109</v>
      </c>
      <c r="D104" s="3704">
        <v>200000000</v>
      </c>
      <c r="E104" s="2685">
        <v>152803600</v>
      </c>
      <c r="F104" s="2685">
        <f>E104/D104*100</f>
        <v>76.401799999999994</v>
      </c>
      <c r="G104" s="2685">
        <v>100</v>
      </c>
      <c r="H104" s="1462"/>
      <c r="J104" s="1204"/>
      <c r="K104" s="1204"/>
    </row>
    <row r="105" spans="1:11" s="4" customFormat="1" ht="27.75" hidden="1" customHeight="1" x14ac:dyDescent="0.25">
      <c r="B105" s="441"/>
      <c r="C105" s="2473" t="s">
        <v>110</v>
      </c>
      <c r="D105" s="3704">
        <v>300000000</v>
      </c>
      <c r="E105" s="2685">
        <v>268802400</v>
      </c>
      <c r="F105" s="2685">
        <f>E105/D105*100</f>
        <v>89.600800000000007</v>
      </c>
      <c r="G105" s="2685">
        <v>100</v>
      </c>
      <c r="H105" s="1462"/>
      <c r="J105" s="1204"/>
      <c r="K105" s="1204"/>
    </row>
    <row r="106" spans="1:11" ht="12" hidden="1" customHeight="1" x14ac:dyDescent="0.25">
      <c r="B106" s="441"/>
      <c r="C106" s="2477"/>
      <c r="D106" s="4284"/>
      <c r="E106" s="2778"/>
      <c r="F106" s="2710"/>
      <c r="G106" s="2707"/>
      <c r="H106" s="1463"/>
    </row>
    <row r="107" spans="1:11" s="4" customFormat="1" ht="16.5" customHeight="1" x14ac:dyDescent="0.25">
      <c r="B107" s="440" t="s">
        <v>111</v>
      </c>
      <c r="C107" s="2471" t="s">
        <v>112</v>
      </c>
      <c r="D107" s="4080">
        <f>SUM(D108+D114)</f>
        <v>6200000000</v>
      </c>
      <c r="E107" s="2786">
        <f>SUM(E108+E114)</f>
        <v>6199000000</v>
      </c>
      <c r="F107" s="2672">
        <f>E107/D107*100</f>
        <v>99.983870967741936</v>
      </c>
      <c r="G107" s="3970">
        <f>SUM(G108)</f>
        <v>100</v>
      </c>
      <c r="H107" s="1462"/>
      <c r="J107" s="1204"/>
      <c r="K107" s="1204"/>
    </row>
    <row r="108" spans="1:11" s="4" customFormat="1" ht="19.5" customHeight="1" x14ac:dyDescent="0.25">
      <c r="B108" s="444"/>
      <c r="C108" s="2472" t="s">
        <v>113</v>
      </c>
      <c r="D108" s="4158">
        <f>SUM(D109:D112)</f>
        <v>6200000000</v>
      </c>
      <c r="E108" s="3214">
        <f>SUM(E109:E112)</f>
        <v>6199000000</v>
      </c>
      <c r="F108" s="2734">
        <f>E108/D108*100</f>
        <v>99.983870967741936</v>
      </c>
      <c r="G108" s="3971">
        <v>100</v>
      </c>
      <c r="H108" s="1462"/>
      <c r="J108" s="1204"/>
      <c r="K108" s="1204"/>
    </row>
    <row r="109" spans="1:11" s="4" customFormat="1" ht="22.5" hidden="1" customHeight="1" x14ac:dyDescent="0.25">
      <c r="B109" s="444"/>
      <c r="C109" s="2473" t="s">
        <v>114</v>
      </c>
      <c r="D109" s="4283" t="s">
        <v>3317</v>
      </c>
      <c r="E109" s="3589" t="s">
        <v>3317</v>
      </c>
      <c r="F109" s="3589" t="s">
        <v>3317</v>
      </c>
      <c r="G109" s="3589" t="s">
        <v>3317</v>
      </c>
      <c r="H109" s="1462"/>
      <c r="J109" s="1204"/>
      <c r="K109" s="1204"/>
    </row>
    <row r="110" spans="1:11" s="27" customFormat="1" ht="18.75" hidden="1" customHeight="1" x14ac:dyDescent="0.25">
      <c r="A110" s="6"/>
      <c r="B110" s="2737"/>
      <c r="C110" s="2473" t="s">
        <v>115</v>
      </c>
      <c r="D110" s="4283" t="s">
        <v>3317</v>
      </c>
      <c r="E110" s="3589" t="s">
        <v>3317</v>
      </c>
      <c r="F110" s="3589" t="s">
        <v>3317</v>
      </c>
      <c r="G110" s="3589" t="s">
        <v>3317</v>
      </c>
      <c r="H110" s="1463"/>
      <c r="J110" s="995"/>
      <c r="K110" s="995"/>
    </row>
    <row r="111" spans="1:11" s="27" customFormat="1" ht="27" hidden="1" customHeight="1" x14ac:dyDescent="0.25">
      <c r="A111" s="6"/>
      <c r="B111" s="2738"/>
      <c r="C111" s="2473" t="s">
        <v>116</v>
      </c>
      <c r="D111" s="3704">
        <v>6200000000</v>
      </c>
      <c r="E111" s="2690">
        <v>6199000000</v>
      </c>
      <c r="F111" s="2690">
        <f>E111/D111*100</f>
        <v>99.983870967741936</v>
      </c>
      <c r="G111" s="2688">
        <v>100</v>
      </c>
      <c r="H111" s="1463"/>
      <c r="J111" s="995"/>
      <c r="K111" s="995"/>
    </row>
    <row r="112" spans="1:11" s="27" customFormat="1" ht="21" hidden="1" customHeight="1" x14ac:dyDescent="0.25">
      <c r="A112" s="6"/>
      <c r="B112" s="2738"/>
      <c r="C112" s="2473" t="s">
        <v>117</v>
      </c>
      <c r="D112" s="4283" t="s">
        <v>3317</v>
      </c>
      <c r="E112" s="3589" t="s">
        <v>3317</v>
      </c>
      <c r="F112" s="3589" t="s">
        <v>3317</v>
      </c>
      <c r="G112" s="3589" t="s">
        <v>3317</v>
      </c>
      <c r="H112" s="1463"/>
      <c r="J112" s="995"/>
      <c r="K112" s="995"/>
    </row>
    <row r="113" spans="1:11" s="27" customFormat="1" ht="9" hidden="1" customHeight="1" x14ac:dyDescent="0.25">
      <c r="A113" s="6"/>
      <c r="B113" s="2738"/>
      <c r="C113" s="2473"/>
      <c r="D113" s="3704"/>
      <c r="E113" s="2690"/>
      <c r="F113" s="2690"/>
      <c r="G113" s="2690"/>
      <c r="H113" s="1463"/>
      <c r="J113" s="995"/>
      <c r="K113" s="995"/>
    </row>
    <row r="114" spans="1:11" s="27" customFormat="1" ht="17.25" customHeight="1" x14ac:dyDescent="0.25">
      <c r="A114" s="6"/>
      <c r="B114" s="2738"/>
      <c r="C114" s="2474" t="s">
        <v>118</v>
      </c>
      <c r="D114" s="3704"/>
      <c r="E114" s="2690"/>
      <c r="F114" s="2690"/>
      <c r="G114" s="2690"/>
      <c r="H114" s="1463"/>
      <c r="J114" s="995"/>
      <c r="K114" s="995"/>
    </row>
    <row r="115" spans="1:11" s="27" customFormat="1" hidden="1" x14ac:dyDescent="0.25">
      <c r="A115" s="6"/>
      <c r="B115" s="2738"/>
      <c r="C115" s="2473" t="s">
        <v>119</v>
      </c>
      <c r="D115" s="4283" t="s">
        <v>3317</v>
      </c>
      <c r="E115" s="3589" t="s">
        <v>3317</v>
      </c>
      <c r="F115" s="3589" t="s">
        <v>3317</v>
      </c>
      <c r="G115" s="3589" t="s">
        <v>3317</v>
      </c>
      <c r="H115" s="1463"/>
      <c r="J115" s="995"/>
      <c r="K115" s="995"/>
    </row>
    <row r="116" spans="1:11" ht="13.5" hidden="1" customHeight="1" x14ac:dyDescent="0.25">
      <c r="B116" s="2738"/>
      <c r="C116" s="2476"/>
      <c r="D116" s="4286"/>
      <c r="E116" s="2778"/>
      <c r="F116" s="2710"/>
      <c r="G116" s="2707"/>
      <c r="H116" s="1463"/>
    </row>
    <row r="117" spans="1:11" s="4" customFormat="1" ht="18" customHeight="1" x14ac:dyDescent="0.25">
      <c r="B117" s="440" t="s">
        <v>120</v>
      </c>
      <c r="C117" s="2471" t="s">
        <v>121</v>
      </c>
      <c r="D117" s="4080"/>
      <c r="E117" s="2719"/>
      <c r="F117" s="2672"/>
      <c r="G117" s="3970"/>
      <c r="H117" s="1462"/>
      <c r="J117" s="1204"/>
      <c r="K117" s="1204"/>
    </row>
    <row r="118" spans="1:11" s="4" customFormat="1" ht="19.5" customHeight="1" x14ac:dyDescent="0.25">
      <c r="B118" s="441"/>
      <c r="C118" s="2472" t="s">
        <v>122</v>
      </c>
      <c r="D118" s="4158"/>
      <c r="E118" s="2725"/>
      <c r="F118" s="2734"/>
      <c r="G118" s="3971"/>
      <c r="H118" s="1462"/>
      <c r="J118" s="1204"/>
      <c r="K118" s="1204"/>
    </row>
    <row r="119" spans="1:11" s="27" customFormat="1" ht="30" hidden="1" customHeight="1" x14ac:dyDescent="0.25">
      <c r="A119" s="6"/>
      <c r="B119" s="441"/>
      <c r="C119" s="2473" t="s">
        <v>123</v>
      </c>
      <c r="D119" s="4283" t="s">
        <v>3317</v>
      </c>
      <c r="E119" s="3589" t="s">
        <v>3317</v>
      </c>
      <c r="F119" s="2685"/>
      <c r="G119" s="2685"/>
      <c r="H119" s="1463"/>
      <c r="J119" s="995"/>
      <c r="K119" s="995"/>
    </row>
    <row r="120" spans="1:11" ht="15" hidden="1" customHeight="1" x14ac:dyDescent="0.25">
      <c r="B120" s="444"/>
      <c r="C120" s="2477"/>
      <c r="D120" s="4284"/>
      <c r="E120" s="2778"/>
      <c r="F120" s="2710"/>
      <c r="G120" s="2707"/>
      <c r="H120" s="1463"/>
    </row>
    <row r="121" spans="1:11" s="4" customFormat="1" ht="15.75" customHeight="1" x14ac:dyDescent="0.25">
      <c r="B121" s="459" t="s">
        <v>124</v>
      </c>
      <c r="C121" s="2471" t="s">
        <v>125</v>
      </c>
      <c r="D121" s="4080">
        <f>D122</f>
        <v>381550000</v>
      </c>
      <c r="E121" s="2786">
        <f>E122</f>
        <v>381550000</v>
      </c>
      <c r="F121" s="2719">
        <f>E121/D121*100</f>
        <v>100</v>
      </c>
      <c r="G121" s="3970">
        <f>G122</f>
        <v>100</v>
      </c>
      <c r="H121" s="1462"/>
      <c r="J121" s="1204"/>
      <c r="K121" s="1204"/>
    </row>
    <row r="122" spans="1:11" s="4" customFormat="1" ht="22.5" customHeight="1" x14ac:dyDescent="0.25">
      <c r="B122" s="441"/>
      <c r="C122" s="2472" t="s">
        <v>126</v>
      </c>
      <c r="D122" s="4158">
        <f>D123</f>
        <v>381550000</v>
      </c>
      <c r="E122" s="3214">
        <f>E123</f>
        <v>381550000</v>
      </c>
      <c r="F122" s="2725">
        <f>E122/D122*100</f>
        <v>100</v>
      </c>
      <c r="G122" s="2725">
        <f>G123</f>
        <v>100</v>
      </c>
      <c r="H122" s="1462"/>
      <c r="J122" s="1204"/>
      <c r="K122" s="1204"/>
    </row>
    <row r="123" spans="1:11" s="27" customFormat="1" ht="16.5" hidden="1" customHeight="1" x14ac:dyDescent="0.25">
      <c r="A123" s="6"/>
      <c r="B123" s="441"/>
      <c r="C123" s="2473" t="s">
        <v>127</v>
      </c>
      <c r="D123" s="3704">
        <v>381550000</v>
      </c>
      <c r="E123" s="2810">
        <v>381550000</v>
      </c>
      <c r="F123" s="2685">
        <f>E123/D123*100</f>
        <v>100</v>
      </c>
      <c r="G123" s="2685">
        <v>100</v>
      </c>
      <c r="H123" s="1463"/>
      <c r="J123" s="995"/>
      <c r="K123" s="995"/>
    </row>
    <row r="124" spans="1:11" ht="16.5" hidden="1" customHeight="1" x14ac:dyDescent="0.25">
      <c r="B124" s="441"/>
      <c r="C124" s="2476"/>
      <c r="D124" s="4284"/>
      <c r="E124" s="2778"/>
      <c r="F124" s="2710"/>
      <c r="G124" s="2707"/>
      <c r="H124" s="3711"/>
    </row>
    <row r="125" spans="1:11" s="4" customFormat="1" ht="15.75" customHeight="1" x14ac:dyDescent="0.25">
      <c r="B125" s="440" t="s">
        <v>128</v>
      </c>
      <c r="C125" s="2471" t="s">
        <v>129</v>
      </c>
      <c r="D125" s="4080"/>
      <c r="E125" s="2719"/>
      <c r="F125" s="2672"/>
      <c r="G125" s="3970"/>
      <c r="H125" s="1462"/>
      <c r="J125" s="1204"/>
      <c r="K125" s="1204"/>
    </row>
    <row r="126" spans="1:11" s="4" customFormat="1" ht="18" customHeight="1" x14ac:dyDescent="0.25">
      <c r="B126" s="441"/>
      <c r="C126" s="2472" t="s">
        <v>130</v>
      </c>
      <c r="D126" s="4158"/>
      <c r="E126" s="2725"/>
      <c r="F126" s="2734"/>
      <c r="G126" s="3971"/>
      <c r="H126" s="1462"/>
      <c r="J126" s="1204"/>
      <c r="K126" s="1204"/>
    </row>
    <row r="127" spans="1:11" s="27" customFormat="1" ht="16.5" hidden="1" customHeight="1" x14ac:dyDescent="0.25">
      <c r="A127" s="6"/>
      <c r="B127" s="441"/>
      <c r="C127" s="2473" t="s">
        <v>131</v>
      </c>
      <c r="D127" s="3704" t="s">
        <v>3317</v>
      </c>
      <c r="E127" s="2690" t="s">
        <v>3317</v>
      </c>
      <c r="F127" s="2690" t="s">
        <v>3317</v>
      </c>
      <c r="G127" s="2690" t="s">
        <v>3317</v>
      </c>
      <c r="H127" s="1463"/>
      <c r="J127" s="995"/>
      <c r="K127" s="995"/>
    </row>
    <row r="128" spans="1:11" s="27" customFormat="1" ht="13.5" hidden="1" customHeight="1" x14ac:dyDescent="0.25">
      <c r="A128" s="6"/>
      <c r="B128" s="441"/>
      <c r="C128" s="2476"/>
      <c r="D128" s="4284"/>
      <c r="E128" s="2778"/>
      <c r="F128" s="2710"/>
      <c r="G128" s="2707"/>
      <c r="H128" s="1463"/>
      <c r="J128" s="995"/>
      <c r="K128" s="995"/>
    </row>
    <row r="129" spans="1:11" s="4" customFormat="1" ht="16.5" customHeight="1" x14ac:dyDescent="0.25">
      <c r="B129" s="440" t="s">
        <v>132</v>
      </c>
      <c r="C129" s="2471" t="s">
        <v>133</v>
      </c>
      <c r="D129" s="4080"/>
      <c r="E129" s="2719"/>
      <c r="F129" s="2672"/>
      <c r="G129" s="3970"/>
      <c r="H129" s="1462"/>
      <c r="J129" s="1204"/>
      <c r="K129" s="1204"/>
    </row>
    <row r="130" spans="1:11" s="4" customFormat="1" ht="16.5" customHeight="1" x14ac:dyDescent="0.25">
      <c r="B130" s="441"/>
      <c r="C130" s="2472" t="s">
        <v>134</v>
      </c>
      <c r="D130" s="4158"/>
      <c r="E130" s="2725"/>
      <c r="F130" s="2725"/>
      <c r="G130" s="2725"/>
      <c r="H130" s="1462"/>
      <c r="J130" s="1204"/>
      <c r="K130" s="1204"/>
    </row>
    <row r="131" spans="1:11" s="27" customFormat="1" ht="15.75" hidden="1" customHeight="1" x14ac:dyDescent="0.25">
      <c r="A131" s="6"/>
      <c r="B131" s="441"/>
      <c r="C131" s="2473" t="s">
        <v>135</v>
      </c>
      <c r="D131" s="4283" t="s">
        <v>3317</v>
      </c>
      <c r="E131" s="3590" t="s">
        <v>3317</v>
      </c>
      <c r="F131" s="3590" t="s">
        <v>3317</v>
      </c>
      <c r="G131" s="3590" t="s">
        <v>3317</v>
      </c>
      <c r="H131" s="1463"/>
      <c r="J131" s="995"/>
      <c r="K131" s="995"/>
    </row>
    <row r="132" spans="1:11" ht="12.75" hidden="1" customHeight="1" x14ac:dyDescent="0.25">
      <c r="B132" s="445"/>
      <c r="C132" s="2477"/>
      <c r="D132" s="4284"/>
      <c r="E132" s="2778"/>
      <c r="F132" s="2710"/>
      <c r="G132" s="2707"/>
      <c r="H132" s="1463"/>
    </row>
    <row r="133" spans="1:11" s="4" customFormat="1" ht="16.5" customHeight="1" x14ac:dyDescent="0.25">
      <c r="B133" s="440" t="s">
        <v>136</v>
      </c>
      <c r="C133" s="2471" t="s">
        <v>137</v>
      </c>
      <c r="D133" s="4080">
        <f>D134+D141</f>
        <v>1793014500</v>
      </c>
      <c r="E133" s="2786">
        <f>E134+E141</f>
        <v>1777230820</v>
      </c>
      <c r="F133" s="2719">
        <f>E133/D133*100</f>
        <v>99.119712640360689</v>
      </c>
      <c r="G133" s="2719">
        <f>G134</f>
        <v>100</v>
      </c>
      <c r="H133" s="1462"/>
      <c r="J133" s="1204"/>
      <c r="K133" s="1204"/>
    </row>
    <row r="134" spans="1:11" s="4" customFormat="1" ht="16.5" customHeight="1" x14ac:dyDescent="0.25">
      <c r="B134" s="441"/>
      <c r="C134" s="2472" t="s">
        <v>138</v>
      </c>
      <c r="D134" s="4158">
        <f>SUM(D135:D139)</f>
        <v>1793014500</v>
      </c>
      <c r="E134" s="3214">
        <f>SUM(E135:E139)</f>
        <v>1777230820</v>
      </c>
      <c r="F134" s="2725">
        <f>E134/D134*100</f>
        <v>99.119712640360689</v>
      </c>
      <c r="G134" s="2725">
        <f>SUM(G135:G139)/3</f>
        <v>100</v>
      </c>
      <c r="H134" s="1462"/>
      <c r="J134" s="1204"/>
      <c r="K134" s="1204"/>
    </row>
    <row r="135" spans="1:11" s="27" customFormat="1" ht="17.25" hidden="1" customHeight="1" x14ac:dyDescent="0.25">
      <c r="A135" s="6"/>
      <c r="B135" s="441"/>
      <c r="C135" s="2473" t="s">
        <v>139</v>
      </c>
      <c r="D135" s="3704">
        <v>480080000</v>
      </c>
      <c r="E135" s="2688">
        <v>473010200</v>
      </c>
      <c r="F135" s="2685">
        <f>E135/D135*100</f>
        <v>98.527370438260292</v>
      </c>
      <c r="G135" s="2685">
        <v>100</v>
      </c>
      <c r="H135" s="1463"/>
      <c r="J135" s="995"/>
      <c r="K135" s="995"/>
    </row>
    <row r="136" spans="1:11" s="27" customFormat="1" ht="18" hidden="1" customHeight="1" x14ac:dyDescent="0.25">
      <c r="A136" s="6"/>
      <c r="B136" s="441"/>
      <c r="C136" s="2473" t="s">
        <v>140</v>
      </c>
      <c r="D136" s="4283" t="s">
        <v>3317</v>
      </c>
      <c r="E136" s="3590" t="s">
        <v>3317</v>
      </c>
      <c r="F136" s="3590" t="s">
        <v>3317</v>
      </c>
      <c r="G136" s="3590" t="s">
        <v>3317</v>
      </c>
      <c r="H136" s="1463"/>
      <c r="J136" s="995"/>
      <c r="K136" s="995"/>
    </row>
    <row r="137" spans="1:11" s="27" customFormat="1" ht="14.25" hidden="1" customHeight="1" x14ac:dyDescent="0.25">
      <c r="A137" s="6"/>
      <c r="B137" s="441"/>
      <c r="C137" s="2473" t="s">
        <v>141</v>
      </c>
      <c r="D137" s="4283" t="s">
        <v>3317</v>
      </c>
      <c r="E137" s="3590" t="s">
        <v>3317</v>
      </c>
      <c r="F137" s="3590" t="s">
        <v>3317</v>
      </c>
      <c r="G137" s="3590" t="s">
        <v>3317</v>
      </c>
      <c r="H137" s="1463"/>
      <c r="J137" s="995"/>
      <c r="K137" s="995"/>
    </row>
    <row r="138" spans="1:11" s="27" customFormat="1" ht="18" hidden="1" customHeight="1" x14ac:dyDescent="0.25">
      <c r="A138" s="6"/>
      <c r="B138" s="441"/>
      <c r="C138" s="2473" t="s">
        <v>142</v>
      </c>
      <c r="D138" s="3704">
        <v>661665000</v>
      </c>
      <c r="E138" s="2690">
        <v>658117520</v>
      </c>
      <c r="F138" s="2685">
        <f>E138/D138*100</f>
        <v>99.463855576462407</v>
      </c>
      <c r="G138" s="2688">
        <v>100</v>
      </c>
      <c r="H138" s="1463"/>
      <c r="J138" s="995"/>
      <c r="K138" s="995"/>
    </row>
    <row r="139" spans="1:11" s="27" customFormat="1" ht="17.25" hidden="1" customHeight="1" x14ac:dyDescent="0.25">
      <c r="A139" s="6"/>
      <c r="B139" s="441"/>
      <c r="C139" s="2473" t="s">
        <v>143</v>
      </c>
      <c r="D139" s="3704">
        <v>651269500</v>
      </c>
      <c r="E139" s="2690">
        <v>646103100</v>
      </c>
      <c r="F139" s="2685">
        <f>E139/D139*100</f>
        <v>99.206718570422851</v>
      </c>
      <c r="G139" s="2688">
        <v>100</v>
      </c>
      <c r="H139" s="1463"/>
      <c r="J139" s="995"/>
      <c r="K139" s="995"/>
    </row>
    <row r="140" spans="1:11" s="27" customFormat="1" ht="10.5" hidden="1" customHeight="1" x14ac:dyDescent="0.25">
      <c r="A140" s="6"/>
      <c r="B140" s="441"/>
      <c r="C140" s="2473"/>
      <c r="D140" s="3704"/>
      <c r="E140" s="3035"/>
      <c r="F140" s="2695"/>
      <c r="G140" s="2688"/>
      <c r="H140" s="1463"/>
      <c r="J140" s="995"/>
      <c r="K140" s="995"/>
    </row>
    <row r="141" spans="1:11" s="4" customFormat="1" ht="18" customHeight="1" x14ac:dyDescent="0.25">
      <c r="B141" s="441"/>
      <c r="C141" s="2474" t="s">
        <v>144</v>
      </c>
      <c r="D141" s="4159"/>
      <c r="E141" s="2679"/>
      <c r="F141" s="2679"/>
      <c r="G141" s="2685"/>
      <c r="H141" s="1462"/>
      <c r="J141" s="1204"/>
      <c r="K141" s="1204"/>
    </row>
    <row r="142" spans="1:11" s="27" customFormat="1" ht="16.5" hidden="1" customHeight="1" x14ac:dyDescent="0.25">
      <c r="A142" s="6"/>
      <c r="B142" s="441"/>
      <c r="C142" s="2473" t="s">
        <v>145</v>
      </c>
      <c r="D142" s="3704" t="s">
        <v>3317</v>
      </c>
      <c r="E142" s="2688" t="s">
        <v>3317</v>
      </c>
      <c r="F142" s="2688" t="s">
        <v>3317</v>
      </c>
      <c r="G142" s="2685"/>
      <c r="H142" s="1463"/>
      <c r="J142" s="995"/>
      <c r="K142" s="995"/>
    </row>
    <row r="143" spans="1:11" ht="14.25" hidden="1" customHeight="1" x14ac:dyDescent="0.25">
      <c r="B143" s="441"/>
      <c r="C143" s="2476"/>
      <c r="D143" s="4284"/>
      <c r="E143" s="2778"/>
      <c r="F143" s="2710"/>
      <c r="G143" s="2707"/>
      <c r="H143" s="1463"/>
    </row>
    <row r="144" spans="1:11" s="4" customFormat="1" ht="18" customHeight="1" x14ac:dyDescent="0.25">
      <c r="B144" s="440" t="s">
        <v>146</v>
      </c>
      <c r="C144" s="2471" t="s">
        <v>147</v>
      </c>
      <c r="D144" s="4080">
        <f>D145</f>
        <v>1448908000</v>
      </c>
      <c r="E144" s="2786">
        <f>E145</f>
        <v>500240275</v>
      </c>
      <c r="F144" s="2719">
        <f>E144/D144*100</f>
        <v>34.525330455763928</v>
      </c>
      <c r="G144" s="2719">
        <f>G145</f>
        <v>36.227499999999999</v>
      </c>
      <c r="H144" s="1462"/>
      <c r="J144" s="1204"/>
      <c r="K144" s="1204"/>
    </row>
    <row r="145" spans="1:11" s="4" customFormat="1" ht="17.25" customHeight="1" x14ac:dyDescent="0.25">
      <c r="B145" s="441"/>
      <c r="C145" s="2472" t="s">
        <v>148</v>
      </c>
      <c r="D145" s="4158">
        <f>SUM(D146:D150)</f>
        <v>1448908000</v>
      </c>
      <c r="E145" s="3214">
        <f>SUM(E146:E150)</f>
        <v>500240275</v>
      </c>
      <c r="F145" s="2725">
        <f>E145/D145*100</f>
        <v>34.525330455763928</v>
      </c>
      <c r="G145" s="2725">
        <f>SUM(G146:G150)/4</f>
        <v>36.227499999999999</v>
      </c>
      <c r="H145" s="1462"/>
      <c r="J145" s="1204"/>
      <c r="K145" s="1204"/>
    </row>
    <row r="146" spans="1:11" s="27" customFormat="1" ht="30" hidden="1" customHeight="1" x14ac:dyDescent="0.25">
      <c r="A146" s="6"/>
      <c r="B146" s="441"/>
      <c r="C146" s="2473" t="s">
        <v>149</v>
      </c>
      <c r="D146" s="3704">
        <v>207628000</v>
      </c>
      <c r="E146" s="2685">
        <v>0</v>
      </c>
      <c r="F146" s="2685">
        <f>E146/D146*100</f>
        <v>0</v>
      </c>
      <c r="G146" s="2685">
        <v>0</v>
      </c>
      <c r="H146" s="1463"/>
      <c r="J146" s="995"/>
      <c r="K146" s="995"/>
    </row>
    <row r="147" spans="1:11" s="27" customFormat="1" ht="18" hidden="1" customHeight="1" x14ac:dyDescent="0.25">
      <c r="A147" s="6"/>
      <c r="B147" s="441"/>
      <c r="C147" s="2473" t="s">
        <v>3569</v>
      </c>
      <c r="D147" s="3704">
        <v>285798000</v>
      </c>
      <c r="E147" s="2688">
        <v>271840275</v>
      </c>
      <c r="F147" s="2685">
        <f>E147/D147*100</f>
        <v>95.116227195431733</v>
      </c>
      <c r="G147" s="2685">
        <v>100</v>
      </c>
      <c r="H147" s="1463"/>
      <c r="J147" s="995"/>
      <c r="K147" s="995"/>
    </row>
    <row r="148" spans="1:11" s="27" customFormat="1" ht="30.75" hidden="1" customHeight="1" x14ac:dyDescent="0.25">
      <c r="A148" s="6"/>
      <c r="B148" s="441"/>
      <c r="C148" s="2473" t="s">
        <v>150</v>
      </c>
      <c r="D148" s="3704">
        <v>508542000</v>
      </c>
      <c r="E148" s="2685">
        <v>228400000</v>
      </c>
      <c r="F148" s="2685">
        <f>E148/D148*100</f>
        <v>44.912711241156089</v>
      </c>
      <c r="G148" s="2685">
        <v>44.91</v>
      </c>
      <c r="H148" s="1463"/>
      <c r="J148" s="995"/>
      <c r="K148" s="995"/>
    </row>
    <row r="149" spans="1:11" s="27" customFormat="1" ht="31.5" hidden="1" customHeight="1" x14ac:dyDescent="0.25">
      <c r="A149" s="6"/>
      <c r="B149" s="441"/>
      <c r="C149" s="2473" t="s">
        <v>151</v>
      </c>
      <c r="D149" s="3704" t="s">
        <v>3317</v>
      </c>
      <c r="E149" s="2688" t="s">
        <v>3317</v>
      </c>
      <c r="F149" s="2688" t="s">
        <v>3317</v>
      </c>
      <c r="G149" s="2688" t="s">
        <v>3317</v>
      </c>
      <c r="H149" s="1463"/>
      <c r="J149" s="995"/>
      <c r="K149" s="995"/>
    </row>
    <row r="150" spans="1:11" s="27" customFormat="1" ht="29.25" hidden="1" customHeight="1" x14ac:dyDescent="0.25">
      <c r="A150" s="6"/>
      <c r="B150" s="441"/>
      <c r="C150" s="2473" t="s">
        <v>152</v>
      </c>
      <c r="D150" s="3704">
        <v>446940000</v>
      </c>
      <c r="E150" s="2688">
        <v>0</v>
      </c>
      <c r="F150" s="2688">
        <v>0</v>
      </c>
      <c r="G150" s="2685">
        <v>0</v>
      </c>
      <c r="H150" s="1463"/>
      <c r="J150" s="995"/>
      <c r="K150" s="995"/>
    </row>
    <row r="151" spans="1:11" ht="12" hidden="1" customHeight="1" x14ac:dyDescent="0.25">
      <c r="B151" s="441"/>
      <c r="C151" s="2476"/>
      <c r="D151" s="4286"/>
      <c r="E151" s="2778"/>
      <c r="F151" s="2710"/>
      <c r="G151" s="2985"/>
      <c r="H151" s="1463"/>
    </row>
    <row r="152" spans="1:11" ht="16.5" customHeight="1" x14ac:dyDescent="0.25">
      <c r="B152" s="440" t="s">
        <v>153</v>
      </c>
      <c r="C152" s="2471" t="s">
        <v>154</v>
      </c>
      <c r="D152" s="4080">
        <f>SUM(D153+D156)</f>
        <v>19289280000</v>
      </c>
      <c r="E152" s="2996">
        <f>SUM(E153+E156)</f>
        <v>18804795016</v>
      </c>
      <c r="F152" s="2719">
        <f>E152/D152*100</f>
        <v>97.488320020239215</v>
      </c>
      <c r="G152" s="2670">
        <f>G156</f>
        <v>100</v>
      </c>
      <c r="H152" s="1463"/>
    </row>
    <row r="153" spans="1:11" ht="14.25" customHeight="1" x14ac:dyDescent="0.25">
      <c r="B153" s="441"/>
      <c r="C153" s="2472" t="s">
        <v>155</v>
      </c>
      <c r="D153" s="4287"/>
      <c r="E153" s="3185"/>
      <c r="F153" s="2725"/>
      <c r="G153" s="2683"/>
      <c r="H153" s="1463"/>
    </row>
    <row r="154" spans="1:11" ht="16.5" hidden="1" customHeight="1" x14ac:dyDescent="0.25">
      <c r="B154" s="441"/>
      <c r="C154" s="2473" t="s">
        <v>156</v>
      </c>
      <c r="D154" s="4283" t="s">
        <v>3317</v>
      </c>
      <c r="E154" s="3589" t="s">
        <v>3317</v>
      </c>
      <c r="F154" s="3589" t="s">
        <v>3317</v>
      </c>
      <c r="G154" s="3589" t="s">
        <v>3317</v>
      </c>
      <c r="H154" s="1463"/>
    </row>
    <row r="155" spans="1:11" ht="12" hidden="1" customHeight="1" x14ac:dyDescent="0.25">
      <c r="B155" s="449"/>
      <c r="C155" s="2473"/>
      <c r="D155" s="3704"/>
      <c r="E155" s="3035"/>
      <c r="F155" s="2690"/>
      <c r="G155" s="2967"/>
      <c r="H155" s="1463"/>
    </row>
    <row r="156" spans="1:11" ht="18" customHeight="1" x14ac:dyDescent="0.25">
      <c r="B156" s="441"/>
      <c r="C156" s="3591" t="s">
        <v>4092</v>
      </c>
      <c r="D156" s="4159">
        <f>D157</f>
        <v>19289280000</v>
      </c>
      <c r="E156" s="2966">
        <f>E157</f>
        <v>18804795016</v>
      </c>
      <c r="F156" s="2695">
        <f>E156/D156*100</f>
        <v>97.488320020239215</v>
      </c>
      <c r="G156" s="2969">
        <f>G157</f>
        <v>100</v>
      </c>
      <c r="H156" s="1463"/>
    </row>
    <row r="157" spans="1:11" ht="17.25" hidden="1" customHeight="1" x14ac:dyDescent="0.25">
      <c r="B157" s="441"/>
      <c r="C157" s="2473" t="s">
        <v>4093</v>
      </c>
      <c r="D157" s="3704">
        <v>19289280000</v>
      </c>
      <c r="E157" s="2690">
        <v>18804795016</v>
      </c>
      <c r="F157" s="2690">
        <f>E157/D157*100</f>
        <v>97.488320020239215</v>
      </c>
      <c r="G157" s="2967">
        <v>100</v>
      </c>
      <c r="H157" s="1463"/>
    </row>
    <row r="158" spans="1:11" ht="12" hidden="1" customHeight="1" x14ac:dyDescent="0.25">
      <c r="B158" s="441"/>
      <c r="C158" s="2476"/>
      <c r="D158" s="4286"/>
      <c r="E158" s="2778"/>
      <c r="F158" s="2710"/>
      <c r="G158" s="2985"/>
      <c r="H158" s="1463"/>
    </row>
    <row r="159" spans="1:11" ht="15.75" customHeight="1" x14ac:dyDescent="0.25">
      <c r="B159" s="440" t="s">
        <v>157</v>
      </c>
      <c r="C159" s="2471" t="s">
        <v>158</v>
      </c>
      <c r="D159" s="4106">
        <f>SUM(D160+D163+D167)</f>
        <v>1917010000</v>
      </c>
      <c r="E159" s="2672">
        <f>SUM(E160+E163+E167)</f>
        <v>1891268791</v>
      </c>
      <c r="F159" s="2719">
        <f>E159/D159*100</f>
        <v>98.65722093259815</v>
      </c>
      <c r="G159" s="2670">
        <f>SUM(G160+G163+G167)/3</f>
        <v>100</v>
      </c>
      <c r="H159" s="1463"/>
    </row>
    <row r="160" spans="1:11" ht="16.5" customHeight="1" x14ac:dyDescent="0.25">
      <c r="B160" s="441"/>
      <c r="C160" s="2472" t="s">
        <v>159</v>
      </c>
      <c r="D160" s="4072">
        <f>D161</f>
        <v>400000000</v>
      </c>
      <c r="E160" s="2734">
        <f>E161</f>
        <v>399519315</v>
      </c>
      <c r="F160" s="2725">
        <f>E160/D160*100</f>
        <v>99.879828750000001</v>
      </c>
      <c r="G160" s="2677">
        <f>G161</f>
        <v>100</v>
      </c>
      <c r="H160" s="1463"/>
    </row>
    <row r="161" spans="2:8" ht="16.5" hidden="1" customHeight="1" x14ac:dyDescent="0.25">
      <c r="B161" s="441"/>
      <c r="C161" s="2473" t="s">
        <v>160</v>
      </c>
      <c r="D161" s="3704">
        <v>400000000</v>
      </c>
      <c r="E161" s="2690">
        <v>399519315</v>
      </c>
      <c r="F161" s="2685">
        <f t="shared" ref="F161:F168" si="2">E161/D161*100</f>
        <v>99.879828750000001</v>
      </c>
      <c r="G161" s="2967">
        <v>100</v>
      </c>
      <c r="H161" s="1463"/>
    </row>
    <row r="162" spans="2:8" ht="9" hidden="1" customHeight="1" x14ac:dyDescent="0.25">
      <c r="B162" s="441"/>
      <c r="C162" s="2473"/>
      <c r="D162" s="3704"/>
      <c r="E162" s="3035"/>
      <c r="F162" s="2685"/>
      <c r="G162" s="2967"/>
      <c r="H162" s="1463"/>
    </row>
    <row r="163" spans="2:8" ht="19.5" customHeight="1" x14ac:dyDescent="0.25">
      <c r="B163" s="441"/>
      <c r="C163" s="2474" t="s">
        <v>161</v>
      </c>
      <c r="D163" s="4065">
        <f>SUM(D164:D165)</f>
        <v>1317010000</v>
      </c>
      <c r="E163" s="2695">
        <f>SUM(E164:E165)</f>
        <v>1292049476</v>
      </c>
      <c r="F163" s="2679">
        <f t="shared" si="2"/>
        <v>98.104758202291549</v>
      </c>
      <c r="G163" s="2969">
        <f>SUM(G164:G165)/2</f>
        <v>100</v>
      </c>
      <c r="H163" s="1463"/>
    </row>
    <row r="164" spans="2:8" ht="15.75" hidden="1" customHeight="1" x14ac:dyDescent="0.25">
      <c r="B164" s="441"/>
      <c r="C164" s="2473" t="s">
        <v>162</v>
      </c>
      <c r="D164" s="3704">
        <v>1200000000</v>
      </c>
      <c r="E164" s="2690">
        <v>1175431776</v>
      </c>
      <c r="F164" s="2685">
        <f t="shared" si="2"/>
        <v>97.952647999999996</v>
      </c>
      <c r="G164" s="2967">
        <v>100</v>
      </c>
      <c r="H164" s="1463"/>
    </row>
    <row r="165" spans="2:8" ht="17.25" hidden="1" customHeight="1" x14ac:dyDescent="0.25">
      <c r="B165" s="441"/>
      <c r="C165" s="2473" t="s">
        <v>163</v>
      </c>
      <c r="D165" s="3704">
        <v>117010000</v>
      </c>
      <c r="E165" s="2685">
        <v>116617700</v>
      </c>
      <c r="F165" s="2685">
        <f t="shared" si="2"/>
        <v>99.664729510298272</v>
      </c>
      <c r="G165" s="2685">
        <v>100</v>
      </c>
      <c r="H165" s="1463"/>
    </row>
    <row r="166" spans="2:8" ht="9.75" hidden="1" customHeight="1" x14ac:dyDescent="0.25">
      <c r="B166" s="441"/>
      <c r="C166" s="2473"/>
      <c r="D166" s="3704"/>
      <c r="E166" s="3035"/>
      <c r="F166" s="2685"/>
      <c r="G166" s="2967"/>
      <c r="H166" s="1463"/>
    </row>
    <row r="167" spans="2:8" ht="18" customHeight="1" x14ac:dyDescent="0.25">
      <c r="B167" s="441"/>
      <c r="C167" s="2474" t="s">
        <v>164</v>
      </c>
      <c r="D167" s="4065">
        <f>SUM(D168:D170)</f>
        <v>200000000</v>
      </c>
      <c r="E167" s="2695">
        <f>SUM(E168:E170)</f>
        <v>199700000</v>
      </c>
      <c r="F167" s="2679">
        <f t="shared" si="2"/>
        <v>99.850000000000009</v>
      </c>
      <c r="G167" s="2969">
        <f>G168</f>
        <v>100</v>
      </c>
      <c r="H167" s="1463"/>
    </row>
    <row r="168" spans="2:8" ht="15" hidden="1" customHeight="1" x14ac:dyDescent="0.25">
      <c r="B168" s="441"/>
      <c r="C168" s="2473" t="s">
        <v>165</v>
      </c>
      <c r="D168" s="4066">
        <v>200000000</v>
      </c>
      <c r="E168" s="2690">
        <v>199700000</v>
      </c>
      <c r="F168" s="2685">
        <f t="shared" si="2"/>
        <v>99.850000000000009</v>
      </c>
      <c r="G168" s="2967">
        <v>100</v>
      </c>
      <c r="H168" s="1463"/>
    </row>
    <row r="169" spans="2:8" ht="14.25" hidden="1" customHeight="1" x14ac:dyDescent="0.25">
      <c r="B169" s="441"/>
      <c r="C169" s="2473" t="s">
        <v>166</v>
      </c>
      <c r="D169" s="4288" t="s">
        <v>3317</v>
      </c>
      <c r="E169" s="3592" t="s">
        <v>3317</v>
      </c>
      <c r="F169" s="3592" t="s">
        <v>3317</v>
      </c>
      <c r="G169" s="3592" t="s">
        <v>3317</v>
      </c>
      <c r="H169" s="1463"/>
    </row>
    <row r="170" spans="2:8" ht="15.75" hidden="1" customHeight="1" x14ac:dyDescent="0.25">
      <c r="B170" s="441"/>
      <c r="C170" s="2473" t="s">
        <v>167</v>
      </c>
      <c r="D170" s="4288" t="s">
        <v>3317</v>
      </c>
      <c r="E170" s="3592" t="s">
        <v>3317</v>
      </c>
      <c r="F170" s="3592" t="s">
        <v>3317</v>
      </c>
      <c r="G170" s="3592" t="s">
        <v>3317</v>
      </c>
      <c r="H170" s="1463"/>
    </row>
    <row r="171" spans="2:8" ht="12" hidden="1" customHeight="1" x14ac:dyDescent="0.25">
      <c r="B171" s="441"/>
      <c r="C171" s="2476"/>
      <c r="D171" s="4286"/>
      <c r="E171" s="2778"/>
      <c r="F171" s="2710"/>
      <c r="G171" s="2985"/>
      <c r="H171" s="1463"/>
    </row>
    <row r="172" spans="2:8" x14ac:dyDescent="0.25">
      <c r="B172" s="440" t="s">
        <v>168</v>
      </c>
      <c r="C172" s="2471" t="s">
        <v>169</v>
      </c>
      <c r="D172" s="4106">
        <f>SUM(D173+D176+D179+D182)</f>
        <v>2390150000</v>
      </c>
      <c r="E172" s="2672">
        <f>SUM(E173+E176+E179+E182)</f>
        <v>1744565400</v>
      </c>
      <c r="F172" s="2719">
        <f>E172/D172*100</f>
        <v>72.98978725184611</v>
      </c>
      <c r="G172" s="2670">
        <f>SUM(G173+G182)/2</f>
        <v>85</v>
      </c>
      <c r="H172" s="1463"/>
    </row>
    <row r="173" spans="2:8" ht="16.5" customHeight="1" x14ac:dyDescent="0.25">
      <c r="B173" s="441"/>
      <c r="C173" s="2472" t="s">
        <v>170</v>
      </c>
      <c r="D173" s="4158">
        <f>D174</f>
        <v>250000000</v>
      </c>
      <c r="E173" s="2997">
        <f>E174</f>
        <v>250000000</v>
      </c>
      <c r="F173" s="2725">
        <f>E173/D173*100</f>
        <v>100</v>
      </c>
      <c r="G173" s="2677">
        <f>G174</f>
        <v>100</v>
      </c>
      <c r="H173" s="1463"/>
    </row>
    <row r="174" spans="2:8" ht="18.75" hidden="1" customHeight="1" x14ac:dyDescent="0.25">
      <c r="B174" s="441"/>
      <c r="C174" s="2473" t="s">
        <v>171</v>
      </c>
      <c r="D174" s="4066">
        <v>250000000</v>
      </c>
      <c r="E174" s="2690">
        <v>250000000</v>
      </c>
      <c r="F174" s="2685">
        <f t="shared" ref="F174" si="3">E174/D174*100</f>
        <v>100</v>
      </c>
      <c r="G174" s="2967">
        <v>100</v>
      </c>
      <c r="H174" s="1463"/>
    </row>
    <row r="175" spans="2:8" ht="10.5" hidden="1" customHeight="1" x14ac:dyDescent="0.25">
      <c r="B175" s="441"/>
      <c r="C175" s="2473"/>
      <c r="D175" s="3704"/>
      <c r="E175" s="3035"/>
      <c r="F175" s="2690"/>
      <c r="G175" s="2967"/>
      <c r="H175" s="1463"/>
    </row>
    <row r="176" spans="2:8" ht="16.5" customHeight="1" x14ac:dyDescent="0.25">
      <c r="B176" s="441"/>
      <c r="C176" s="2474" t="s">
        <v>172</v>
      </c>
      <c r="D176" s="4288"/>
      <c r="E176" s="3592"/>
      <c r="F176" s="2690"/>
      <c r="G176" s="2967"/>
      <c r="H176" s="1463"/>
    </row>
    <row r="177" spans="2:8" ht="14.25" hidden="1" customHeight="1" x14ac:dyDescent="0.25">
      <c r="B177" s="441"/>
      <c r="C177" s="2473" t="s">
        <v>173</v>
      </c>
      <c r="D177" s="4288" t="s">
        <v>3317</v>
      </c>
      <c r="E177" s="3592" t="s">
        <v>3317</v>
      </c>
      <c r="F177" s="2690"/>
      <c r="G177" s="2967"/>
      <c r="H177" s="1463"/>
    </row>
    <row r="178" spans="2:8" ht="11.25" hidden="1" customHeight="1" x14ac:dyDescent="0.25">
      <c r="B178" s="441"/>
      <c r="C178" s="2473"/>
      <c r="D178" s="3704"/>
      <c r="E178" s="3035"/>
      <c r="F178" s="2690"/>
      <c r="G178" s="2967"/>
      <c r="H178" s="1463"/>
    </row>
    <row r="179" spans="2:8" ht="17.25" customHeight="1" x14ac:dyDescent="0.25">
      <c r="B179" s="441"/>
      <c r="C179" s="2474" t="s">
        <v>174</v>
      </c>
      <c r="D179" s="3704"/>
      <c r="E179" s="3035"/>
      <c r="F179" s="2690"/>
      <c r="G179" s="2967"/>
      <c r="H179" s="1463"/>
    </row>
    <row r="180" spans="2:8" ht="15.75" hidden="1" customHeight="1" x14ac:dyDescent="0.25">
      <c r="B180" s="441"/>
      <c r="C180" s="2473" t="s">
        <v>175</v>
      </c>
      <c r="D180" s="4288" t="s">
        <v>3317</v>
      </c>
      <c r="E180" s="3592" t="s">
        <v>3317</v>
      </c>
      <c r="F180" s="2690"/>
      <c r="G180" s="2967"/>
      <c r="H180" s="1463"/>
    </row>
    <row r="181" spans="2:8" ht="11.25" hidden="1" customHeight="1" x14ac:dyDescent="0.25">
      <c r="B181" s="449"/>
      <c r="C181" s="2473"/>
      <c r="D181" s="3704"/>
      <c r="E181" s="3035"/>
      <c r="F181" s="2690"/>
      <c r="G181" s="2967"/>
      <c r="H181" s="1463"/>
    </row>
    <row r="182" spans="2:8" ht="19.5" customHeight="1" x14ac:dyDescent="0.25">
      <c r="B182" s="441"/>
      <c r="C182" s="2474" t="s">
        <v>176</v>
      </c>
      <c r="D182" s="4159">
        <f>D183</f>
        <v>2140150000</v>
      </c>
      <c r="E182" s="2966">
        <f>E183</f>
        <v>1494565400</v>
      </c>
      <c r="F182" s="2679">
        <f t="shared" ref="F182:F183" si="4">E182/D182*100</f>
        <v>69.834609723617504</v>
      </c>
      <c r="G182" s="2969">
        <f>G183</f>
        <v>70</v>
      </c>
      <c r="H182" s="1463"/>
    </row>
    <row r="183" spans="2:8" ht="14.25" hidden="1" customHeight="1" x14ac:dyDescent="0.25">
      <c r="B183" s="441"/>
      <c r="C183" s="2473" t="s">
        <v>177</v>
      </c>
      <c r="D183" s="3704">
        <v>2140150000</v>
      </c>
      <c r="E183" s="2690">
        <v>1494565400</v>
      </c>
      <c r="F183" s="2685">
        <f t="shared" si="4"/>
        <v>69.834609723617504</v>
      </c>
      <c r="G183" s="2967">
        <v>70</v>
      </c>
      <c r="H183" s="1463"/>
    </row>
    <row r="184" spans="2:8" ht="12" hidden="1" customHeight="1" x14ac:dyDescent="0.25">
      <c r="B184" s="441"/>
      <c r="C184" s="2476"/>
      <c r="D184" s="4286"/>
      <c r="E184" s="2778"/>
      <c r="F184" s="2710"/>
      <c r="G184" s="2985"/>
      <c r="H184" s="1463"/>
    </row>
    <row r="185" spans="2:8" ht="16.5" customHeight="1" x14ac:dyDescent="0.25">
      <c r="B185" s="440" t="s">
        <v>178</v>
      </c>
      <c r="C185" s="2471" t="s">
        <v>179</v>
      </c>
      <c r="D185" s="4106">
        <f>SUM(D186+D189+D192)</f>
        <v>1909909000</v>
      </c>
      <c r="E185" s="2672">
        <f>SUM(E186+E189+E192)</f>
        <v>1838242267</v>
      </c>
      <c r="F185" s="2719">
        <f>E185/D185*100</f>
        <v>96.247636248638031</v>
      </c>
      <c r="G185" s="2670">
        <f>SUM(G186+G189+G192)/3</f>
        <v>100</v>
      </c>
      <c r="H185" s="1463"/>
    </row>
    <row r="186" spans="2:8" ht="20.25" customHeight="1" x14ac:dyDescent="0.25">
      <c r="B186" s="441"/>
      <c r="C186" s="2472" t="s">
        <v>180</v>
      </c>
      <c r="D186" s="4072">
        <f>D187</f>
        <v>892880000</v>
      </c>
      <c r="E186" s="2734">
        <f>E187</f>
        <v>854971067</v>
      </c>
      <c r="F186" s="2725">
        <f>E186/D186*100</f>
        <v>95.75430819371023</v>
      </c>
      <c r="G186" s="2677">
        <f>G187</f>
        <v>100</v>
      </c>
      <c r="H186" s="1463"/>
    </row>
    <row r="187" spans="2:8" ht="18" hidden="1" customHeight="1" x14ac:dyDescent="0.25">
      <c r="B187" s="441"/>
      <c r="C187" s="2473" t="s">
        <v>181</v>
      </c>
      <c r="D187" s="4066">
        <v>892880000</v>
      </c>
      <c r="E187" s="3593">
        <v>854971067</v>
      </c>
      <c r="F187" s="2685">
        <f t="shared" ref="F187:F193" si="5">E187/D187*100</f>
        <v>95.75430819371023</v>
      </c>
      <c r="G187" s="2967">
        <v>100</v>
      </c>
      <c r="H187" s="1463"/>
    </row>
    <row r="188" spans="2:8" ht="9" hidden="1" customHeight="1" x14ac:dyDescent="0.25">
      <c r="B188" s="441"/>
      <c r="C188" s="2473"/>
      <c r="D188" s="3704"/>
      <c r="E188" s="3035"/>
      <c r="F188" s="2685"/>
      <c r="G188" s="2967"/>
      <c r="H188" s="1463"/>
    </row>
    <row r="189" spans="2:8" ht="19.5" customHeight="1" x14ac:dyDescent="0.25">
      <c r="B189" s="441"/>
      <c r="C189" s="2474" t="s">
        <v>182</v>
      </c>
      <c r="D189" s="4065">
        <f>D190</f>
        <v>546896000</v>
      </c>
      <c r="E189" s="2695">
        <f>E190</f>
        <v>531071200</v>
      </c>
      <c r="F189" s="2679">
        <f t="shared" si="5"/>
        <v>97.106433398671783</v>
      </c>
      <c r="G189" s="2969">
        <f>G190</f>
        <v>100</v>
      </c>
      <c r="H189" s="1463"/>
    </row>
    <row r="190" spans="2:8" ht="19.5" hidden="1" customHeight="1" x14ac:dyDescent="0.25">
      <c r="B190" s="441"/>
      <c r="C190" s="2473" t="s">
        <v>183</v>
      </c>
      <c r="D190" s="4066">
        <v>546896000</v>
      </c>
      <c r="E190" s="3594">
        <v>531071200</v>
      </c>
      <c r="F190" s="2685">
        <f t="shared" si="5"/>
        <v>97.106433398671783</v>
      </c>
      <c r="G190" s="2967">
        <v>100</v>
      </c>
      <c r="H190" s="1463"/>
    </row>
    <row r="191" spans="2:8" ht="9" hidden="1" customHeight="1" x14ac:dyDescent="0.25">
      <c r="B191" s="441"/>
      <c r="C191" s="2473"/>
      <c r="D191" s="3704"/>
      <c r="E191" s="3035"/>
      <c r="F191" s="2685"/>
      <c r="G191" s="2967"/>
      <c r="H191" s="1463"/>
    </row>
    <row r="192" spans="2:8" ht="18.75" customHeight="1" x14ac:dyDescent="0.25">
      <c r="B192" s="441"/>
      <c r="C192" s="2474" t="s">
        <v>184</v>
      </c>
      <c r="D192" s="4159">
        <f>D193</f>
        <v>470133000</v>
      </c>
      <c r="E192" s="2966">
        <f>E193</f>
        <v>452200000</v>
      </c>
      <c r="F192" s="2679">
        <f t="shared" si="5"/>
        <v>96.185547494007011</v>
      </c>
      <c r="G192" s="2969">
        <f>G193</f>
        <v>100</v>
      </c>
      <c r="H192" s="1463"/>
    </row>
    <row r="193" spans="2:8" ht="18.75" hidden="1" customHeight="1" x14ac:dyDescent="0.25">
      <c r="B193" s="441"/>
      <c r="C193" s="2473" t="s">
        <v>185</v>
      </c>
      <c r="D193" s="4066">
        <v>470133000</v>
      </c>
      <c r="E193" s="2690">
        <v>452200000</v>
      </c>
      <c r="F193" s="2685">
        <f t="shared" si="5"/>
        <v>96.185547494007011</v>
      </c>
      <c r="G193" s="2967">
        <v>100</v>
      </c>
      <c r="H193" s="1463"/>
    </row>
    <row r="194" spans="2:8" ht="12" hidden="1" customHeight="1" x14ac:dyDescent="0.25">
      <c r="B194" s="444"/>
      <c r="C194" s="2476"/>
      <c r="D194" s="4286"/>
      <c r="E194" s="2778"/>
      <c r="F194" s="2710"/>
      <c r="G194" s="2985"/>
      <c r="H194" s="1463"/>
    </row>
    <row r="195" spans="2:8" ht="18.75" customHeight="1" x14ac:dyDescent="0.25">
      <c r="B195" s="459" t="s">
        <v>186</v>
      </c>
      <c r="C195" s="2471" t="s">
        <v>187</v>
      </c>
      <c r="D195" s="4106">
        <f>SUM(D196+D200+D204+D207)</f>
        <v>1550000000</v>
      </c>
      <c r="E195" s="2672">
        <f>SUM(E196+E200+E204+E207)</f>
        <v>1203938000</v>
      </c>
      <c r="F195" s="2719">
        <f>E195/D195*100</f>
        <v>77.673419354838714</v>
      </c>
      <c r="G195" s="2670">
        <f>SUM(G200+G204)/2</f>
        <v>80</v>
      </c>
      <c r="H195" s="1463"/>
    </row>
    <row r="196" spans="2:8" ht="19.5" customHeight="1" x14ac:dyDescent="0.25">
      <c r="B196" s="441"/>
      <c r="C196" s="2472" t="s">
        <v>188</v>
      </c>
      <c r="D196" s="4287"/>
      <c r="E196" s="3185"/>
      <c r="F196" s="2760"/>
      <c r="G196" s="2683"/>
      <c r="H196" s="1463"/>
    </row>
    <row r="197" spans="2:8" ht="17.25" hidden="1" customHeight="1" x14ac:dyDescent="0.25">
      <c r="B197" s="441"/>
      <c r="C197" s="2473" t="s">
        <v>189</v>
      </c>
      <c r="D197" s="4283" t="s">
        <v>3317</v>
      </c>
      <c r="E197" s="3589" t="s">
        <v>3317</v>
      </c>
      <c r="F197" s="3589" t="s">
        <v>3317</v>
      </c>
      <c r="G197" s="3589" t="s">
        <v>3317</v>
      </c>
      <c r="H197" s="1463"/>
    </row>
    <row r="198" spans="2:8" ht="15.75" hidden="1" customHeight="1" x14ac:dyDescent="0.25">
      <c r="B198" s="441"/>
      <c r="C198" s="2473" t="s">
        <v>190</v>
      </c>
      <c r="D198" s="3704"/>
      <c r="E198" s="3035"/>
      <c r="F198" s="2690"/>
      <c r="G198" s="2967"/>
      <c r="H198" s="1463"/>
    </row>
    <row r="199" spans="2:8" ht="9" hidden="1" customHeight="1" x14ac:dyDescent="0.25">
      <c r="B199" s="441"/>
      <c r="C199" s="2473"/>
      <c r="D199" s="3704"/>
      <c r="E199" s="3035"/>
      <c r="F199" s="2690"/>
      <c r="G199" s="2967"/>
      <c r="H199" s="1463"/>
    </row>
    <row r="200" spans="2:8" ht="17.25" customHeight="1" x14ac:dyDescent="0.25">
      <c r="B200" s="441"/>
      <c r="C200" s="2474" t="s">
        <v>191</v>
      </c>
      <c r="D200" s="4065">
        <f>SUM(D201:D202)</f>
        <v>800000000</v>
      </c>
      <c r="E200" s="2695">
        <f>SUM(E201:E202)</f>
        <v>797090000</v>
      </c>
      <c r="F200" s="2679">
        <f t="shared" ref="F200:F205" si="6">E200/D200*100</f>
        <v>99.636250000000004</v>
      </c>
      <c r="G200" s="2969">
        <f>G202</f>
        <v>100</v>
      </c>
      <c r="H200" s="1463"/>
    </row>
    <row r="201" spans="2:8" ht="17.25" hidden="1" customHeight="1" x14ac:dyDescent="0.25">
      <c r="B201" s="441"/>
      <c r="C201" s="2473" t="s">
        <v>192</v>
      </c>
      <c r="D201" s="4283" t="s">
        <v>3317</v>
      </c>
      <c r="E201" s="3590" t="s">
        <v>3317</v>
      </c>
      <c r="F201" s="3590" t="s">
        <v>3317</v>
      </c>
      <c r="G201" s="2967"/>
      <c r="H201" s="1463"/>
    </row>
    <row r="202" spans="2:8" ht="17.25" hidden="1" customHeight="1" x14ac:dyDescent="0.25">
      <c r="B202" s="441"/>
      <c r="C202" s="2473" t="s">
        <v>193</v>
      </c>
      <c r="D202" s="3704">
        <v>800000000</v>
      </c>
      <c r="E202" s="2690">
        <v>797090000</v>
      </c>
      <c r="F202" s="2685">
        <f t="shared" si="6"/>
        <v>99.636250000000004</v>
      </c>
      <c r="G202" s="2967">
        <v>100</v>
      </c>
      <c r="H202" s="1463"/>
    </row>
    <row r="203" spans="2:8" ht="9" hidden="1" customHeight="1" x14ac:dyDescent="0.25">
      <c r="B203" s="441"/>
      <c r="C203" s="2474"/>
      <c r="D203" s="3704"/>
      <c r="E203" s="3035"/>
      <c r="F203" s="2679"/>
      <c r="G203" s="2967"/>
      <c r="H203" s="1463"/>
    </row>
    <row r="204" spans="2:8" ht="18" customHeight="1" x14ac:dyDescent="0.25">
      <c r="B204" s="441"/>
      <c r="C204" s="2474" t="s">
        <v>194</v>
      </c>
      <c r="D204" s="4065">
        <f>D205</f>
        <v>750000000</v>
      </c>
      <c r="E204" s="2695">
        <f>E205</f>
        <v>406848000</v>
      </c>
      <c r="F204" s="2679">
        <f t="shared" si="6"/>
        <v>54.246399999999994</v>
      </c>
      <c r="G204" s="2969">
        <f>G205</f>
        <v>60</v>
      </c>
      <c r="H204" s="1463"/>
    </row>
    <row r="205" spans="2:8" ht="18.75" hidden="1" customHeight="1" x14ac:dyDescent="0.25">
      <c r="B205" s="441"/>
      <c r="C205" s="2473" t="s">
        <v>195</v>
      </c>
      <c r="D205" s="4066">
        <v>750000000</v>
      </c>
      <c r="E205" s="2690">
        <v>406848000</v>
      </c>
      <c r="F205" s="2685">
        <f t="shared" si="6"/>
        <v>54.246399999999994</v>
      </c>
      <c r="G205" s="2967">
        <v>60</v>
      </c>
      <c r="H205" s="1463"/>
    </row>
    <row r="206" spans="2:8" ht="11.25" hidden="1" customHeight="1" x14ac:dyDescent="0.25">
      <c r="B206" s="441"/>
      <c r="C206" s="2474"/>
      <c r="D206" s="3704"/>
      <c r="E206" s="3035"/>
      <c r="F206" s="2690"/>
      <c r="G206" s="2967"/>
      <c r="H206" s="1463"/>
    </row>
    <row r="207" spans="2:8" ht="18" customHeight="1" x14ac:dyDescent="0.25">
      <c r="B207" s="441"/>
      <c r="C207" s="2474" t="s">
        <v>196</v>
      </c>
      <c r="D207" s="3704"/>
      <c r="E207" s="3035"/>
      <c r="F207" s="2690"/>
      <c r="G207" s="2967"/>
      <c r="H207" s="1463"/>
    </row>
    <row r="208" spans="2:8" ht="28.5" hidden="1" customHeight="1" x14ac:dyDescent="0.25">
      <c r="B208" s="441"/>
      <c r="C208" s="2473" t="s">
        <v>197</v>
      </c>
      <c r="D208" s="4283" t="s">
        <v>3317</v>
      </c>
      <c r="E208" s="3589" t="s">
        <v>3317</v>
      </c>
      <c r="F208" s="3589" t="s">
        <v>3317</v>
      </c>
      <c r="G208" s="3589" t="s">
        <v>3317</v>
      </c>
      <c r="H208" s="1463"/>
    </row>
    <row r="209" spans="2:8" ht="14.25" hidden="1" customHeight="1" x14ac:dyDescent="0.25">
      <c r="B209" s="441"/>
      <c r="C209" s="2476"/>
      <c r="D209" s="4286"/>
      <c r="E209" s="2778"/>
      <c r="F209" s="2710"/>
      <c r="G209" s="2985"/>
      <c r="H209" s="1463"/>
    </row>
    <row r="210" spans="2:8" ht="17.25" customHeight="1" x14ac:dyDescent="0.25">
      <c r="B210" s="440" t="s">
        <v>198</v>
      </c>
      <c r="C210" s="2471" t="s">
        <v>199</v>
      </c>
      <c r="D210" s="4106">
        <f>SUM(D211+D218)</f>
        <v>750000000</v>
      </c>
      <c r="E210" s="2672">
        <f>SUM(E211+E218)</f>
        <v>464139500</v>
      </c>
      <c r="F210" s="2719">
        <f>E210/D210*100</f>
        <v>61.885266666666674</v>
      </c>
      <c r="G210" s="2670">
        <f>SUM(G218)</f>
        <v>55</v>
      </c>
      <c r="H210" s="1463"/>
    </row>
    <row r="211" spans="2:8" ht="20.25" customHeight="1" x14ac:dyDescent="0.25">
      <c r="B211" s="441"/>
      <c r="C211" s="2472" t="s">
        <v>200</v>
      </c>
      <c r="D211" s="4287"/>
      <c r="E211" s="3185"/>
      <c r="F211" s="2760"/>
      <c r="G211" s="2683"/>
      <c r="H211" s="1463"/>
    </row>
    <row r="212" spans="2:8" ht="15.75" hidden="1" customHeight="1" x14ac:dyDescent="0.25">
      <c r="B212" s="441"/>
      <c r="C212" s="2473" t="s">
        <v>201</v>
      </c>
      <c r="D212" s="4283" t="s">
        <v>3317</v>
      </c>
      <c r="E212" s="3590" t="s">
        <v>3317</v>
      </c>
      <c r="F212" s="2690"/>
      <c r="G212" s="2967"/>
      <c r="H212" s="1463"/>
    </row>
    <row r="213" spans="2:8" ht="16.5" hidden="1" customHeight="1" x14ac:dyDescent="0.25">
      <c r="B213" s="441"/>
      <c r="C213" s="2473" t="s">
        <v>202</v>
      </c>
      <c r="D213" s="4283" t="s">
        <v>3317</v>
      </c>
      <c r="E213" s="3590" t="s">
        <v>3317</v>
      </c>
      <c r="F213" s="2690"/>
      <c r="G213" s="2967"/>
      <c r="H213" s="1463"/>
    </row>
    <row r="214" spans="2:8" ht="15.75" hidden="1" customHeight="1" x14ac:dyDescent="0.25">
      <c r="B214" s="441"/>
      <c r="C214" s="2473" t="s">
        <v>203</v>
      </c>
      <c r="D214" s="4283" t="s">
        <v>3317</v>
      </c>
      <c r="E214" s="3590" t="s">
        <v>3317</v>
      </c>
      <c r="F214" s="2690"/>
      <c r="G214" s="2967"/>
      <c r="H214" s="1463"/>
    </row>
    <row r="215" spans="2:8" ht="14.25" hidden="1" customHeight="1" x14ac:dyDescent="0.25">
      <c r="B215" s="441"/>
      <c r="C215" s="2473" t="s">
        <v>204</v>
      </c>
      <c r="D215" s="4283" t="s">
        <v>3317</v>
      </c>
      <c r="E215" s="3590" t="s">
        <v>3317</v>
      </c>
      <c r="F215" s="2690"/>
      <c r="G215" s="2967"/>
      <c r="H215" s="1463"/>
    </row>
    <row r="216" spans="2:8" ht="14.25" hidden="1" customHeight="1" x14ac:dyDescent="0.25">
      <c r="B216" s="441"/>
      <c r="C216" s="2473" t="s">
        <v>205</v>
      </c>
      <c r="D216" s="4283" t="s">
        <v>3317</v>
      </c>
      <c r="E216" s="3590" t="s">
        <v>3317</v>
      </c>
      <c r="F216" s="2690"/>
      <c r="G216" s="2967"/>
      <c r="H216" s="1463"/>
    </row>
    <row r="217" spans="2:8" ht="10.5" hidden="1" customHeight="1" x14ac:dyDescent="0.25">
      <c r="B217" s="441"/>
      <c r="C217" s="2473"/>
      <c r="D217" s="3704"/>
      <c r="E217" s="3035"/>
      <c r="F217" s="2690"/>
      <c r="G217" s="2967"/>
      <c r="H217" s="1463"/>
    </row>
    <row r="218" spans="2:8" ht="16.5" customHeight="1" x14ac:dyDescent="0.25">
      <c r="B218" s="441"/>
      <c r="C218" s="2474" t="s">
        <v>206</v>
      </c>
      <c r="D218" s="4065">
        <f>SUM(D219:D220)</f>
        <v>750000000</v>
      </c>
      <c r="E218" s="2695">
        <f>SUM(E219:E220)</f>
        <v>464139500</v>
      </c>
      <c r="F218" s="2679">
        <f t="shared" ref="F218:F220" si="7">E218/D218*100</f>
        <v>61.885266666666674</v>
      </c>
      <c r="G218" s="2969">
        <f>SUM(G219:G220)/2</f>
        <v>55</v>
      </c>
      <c r="H218" s="1463"/>
    </row>
    <row r="219" spans="2:8" ht="18" hidden="1" customHeight="1" x14ac:dyDescent="0.25">
      <c r="B219" s="441"/>
      <c r="C219" s="2473" t="s">
        <v>207</v>
      </c>
      <c r="D219" s="4066">
        <v>448300000</v>
      </c>
      <c r="E219" s="2690">
        <v>448019500</v>
      </c>
      <c r="F219" s="2685">
        <f t="shared" si="7"/>
        <v>99.937430292215041</v>
      </c>
      <c r="G219" s="2967">
        <v>100</v>
      </c>
      <c r="H219" s="1463"/>
    </row>
    <row r="220" spans="2:8" ht="16.5" hidden="1" customHeight="1" x14ac:dyDescent="0.25">
      <c r="B220" s="441"/>
      <c r="C220" s="2473" t="s">
        <v>208</v>
      </c>
      <c r="D220" s="4066">
        <v>301700000</v>
      </c>
      <c r="E220" s="2690">
        <v>16120000</v>
      </c>
      <c r="F220" s="2685">
        <f t="shared" si="7"/>
        <v>5.3430560159098448</v>
      </c>
      <c r="G220" s="2967">
        <v>10</v>
      </c>
      <c r="H220" s="1463"/>
    </row>
    <row r="221" spans="2:8" ht="9.75" hidden="1" customHeight="1" x14ac:dyDescent="0.25">
      <c r="B221" s="441"/>
      <c r="C221" s="2476"/>
      <c r="D221" s="4286"/>
      <c r="E221" s="2778"/>
      <c r="F221" s="2710"/>
      <c r="G221" s="2985"/>
      <c r="H221" s="1463"/>
    </row>
    <row r="222" spans="2:8" ht="16.5" customHeight="1" x14ac:dyDescent="0.25">
      <c r="B222" s="440" t="s">
        <v>209</v>
      </c>
      <c r="C222" s="2471" t="s">
        <v>210</v>
      </c>
      <c r="D222" s="4289"/>
      <c r="E222" s="3184"/>
      <c r="F222" s="2746"/>
      <c r="G222" s="3380"/>
      <c r="H222" s="1463"/>
    </row>
    <row r="223" spans="2:8" ht="20.25" customHeight="1" x14ac:dyDescent="0.25">
      <c r="B223" s="441"/>
      <c r="C223" s="2472" t="s">
        <v>211</v>
      </c>
      <c r="D223" s="4287"/>
      <c r="E223" s="3185"/>
      <c r="F223" s="2760"/>
      <c r="G223" s="2683"/>
      <c r="H223" s="1463"/>
    </row>
    <row r="224" spans="2:8" ht="19.5" hidden="1" customHeight="1" x14ac:dyDescent="0.25">
      <c r="B224" s="441"/>
      <c r="C224" s="2473" t="s">
        <v>212</v>
      </c>
      <c r="D224" s="4283" t="s">
        <v>3317</v>
      </c>
      <c r="E224" s="3589" t="s">
        <v>3317</v>
      </c>
      <c r="F224" s="2690"/>
      <c r="G224" s="2967"/>
      <c r="H224" s="1463"/>
    </row>
    <row r="225" spans="1:11" ht="12" hidden="1" customHeight="1" x14ac:dyDescent="0.25">
      <c r="B225" s="441"/>
      <c r="C225" s="2475"/>
      <c r="D225" s="4290"/>
      <c r="E225" s="2784"/>
      <c r="F225" s="2752"/>
      <c r="G225" s="2993"/>
      <c r="H225" s="1463"/>
    </row>
    <row r="226" spans="1:11" s="4" customFormat="1" ht="17.25" customHeight="1" x14ac:dyDescent="0.25">
      <c r="B226" s="440" t="s">
        <v>213</v>
      </c>
      <c r="C226" s="2471" t="s">
        <v>214</v>
      </c>
      <c r="D226" s="4080">
        <f>D227+D230+D233+D236+D239+D242+D246+D249</f>
        <v>3469800000</v>
      </c>
      <c r="E226" s="2786">
        <f>E227+E230+E233+E236+E239+E242+E246+E249</f>
        <v>3388889741</v>
      </c>
      <c r="F226" s="2719">
        <f>E226/D226*100</f>
        <v>97.668157847714568</v>
      </c>
      <c r="G226" s="3970">
        <f>SUM(G239+G242+G249)/3</f>
        <v>100</v>
      </c>
      <c r="H226" s="1462"/>
      <c r="J226" s="1204"/>
      <c r="K226" s="1204"/>
    </row>
    <row r="227" spans="1:11" s="4" customFormat="1" ht="17.25" customHeight="1" x14ac:dyDescent="0.25">
      <c r="B227" s="441"/>
      <c r="C227" s="2478" t="s">
        <v>215</v>
      </c>
      <c r="D227" s="4280"/>
      <c r="E227" s="2722"/>
      <c r="F227" s="2785"/>
      <c r="G227" s="3766"/>
      <c r="H227" s="1462"/>
      <c r="J227" s="1204"/>
      <c r="K227" s="1204"/>
    </row>
    <row r="228" spans="1:11" s="27" customFormat="1" ht="18" hidden="1" customHeight="1" x14ac:dyDescent="0.25">
      <c r="A228" s="6"/>
      <c r="B228" s="2737"/>
      <c r="C228" s="2473" t="s">
        <v>216</v>
      </c>
      <c r="D228" s="4283" t="s">
        <v>3317</v>
      </c>
      <c r="E228" s="3589" t="s">
        <v>3317</v>
      </c>
      <c r="F228" s="2690"/>
      <c r="G228" s="2688"/>
      <c r="H228" s="1463"/>
      <c r="J228" s="995"/>
      <c r="K228" s="995"/>
    </row>
    <row r="229" spans="1:11" s="27" customFormat="1" ht="10.5" hidden="1" customHeight="1" x14ac:dyDescent="0.25">
      <c r="A229" s="6"/>
      <c r="B229" s="443"/>
      <c r="C229" s="2475"/>
      <c r="D229" s="4290"/>
      <c r="E229" s="2758"/>
      <c r="F229" s="2760"/>
      <c r="G229" s="2758"/>
      <c r="H229" s="1463"/>
      <c r="J229" s="995"/>
      <c r="K229" s="995"/>
    </row>
    <row r="230" spans="1:11" s="27" customFormat="1" ht="18.75" customHeight="1" x14ac:dyDescent="0.25">
      <c r="A230" s="6"/>
      <c r="B230" s="443"/>
      <c r="C230" s="2477" t="s">
        <v>217</v>
      </c>
      <c r="D230" s="4291"/>
      <c r="E230" s="3000"/>
      <c r="F230" s="2679"/>
      <c r="G230" s="2679"/>
      <c r="H230" s="1463"/>
      <c r="J230" s="995"/>
      <c r="K230" s="995"/>
    </row>
    <row r="231" spans="1:11" s="27" customFormat="1" ht="16.5" hidden="1" customHeight="1" x14ac:dyDescent="0.25">
      <c r="A231" s="6"/>
      <c r="B231" s="443"/>
      <c r="C231" s="2476" t="s">
        <v>218</v>
      </c>
      <c r="D231" s="4283" t="s">
        <v>3317</v>
      </c>
      <c r="E231" s="3589" t="s">
        <v>3317</v>
      </c>
      <c r="F231" s="2685"/>
      <c r="G231" s="2685"/>
      <c r="H231" s="1463"/>
      <c r="J231" s="995"/>
      <c r="K231" s="995"/>
    </row>
    <row r="232" spans="1:11" ht="9.75" hidden="1" customHeight="1" x14ac:dyDescent="0.25">
      <c r="B232" s="443"/>
      <c r="C232" s="2476"/>
      <c r="D232" s="4286"/>
      <c r="E232" s="2778"/>
      <c r="F232" s="2710"/>
      <c r="G232" s="2985"/>
      <c r="H232" s="1463"/>
    </row>
    <row r="233" spans="1:11" ht="17.25" customHeight="1" x14ac:dyDescent="0.25">
      <c r="B233" s="443"/>
      <c r="C233" s="2477" t="s">
        <v>219</v>
      </c>
      <c r="D233" s="4286"/>
      <c r="E233" s="2778"/>
      <c r="F233" s="2710"/>
      <c r="G233" s="2985"/>
      <c r="H233" s="1463"/>
    </row>
    <row r="234" spans="1:11" ht="17.25" hidden="1" customHeight="1" x14ac:dyDescent="0.25">
      <c r="B234" s="443"/>
      <c r="C234" s="2476" t="s">
        <v>220</v>
      </c>
      <c r="D234" s="4292" t="s">
        <v>3317</v>
      </c>
      <c r="E234" s="3596" t="s">
        <v>3317</v>
      </c>
      <c r="F234" s="2710"/>
      <c r="G234" s="2985"/>
      <c r="H234" s="3711"/>
    </row>
    <row r="235" spans="1:11" ht="10.5" hidden="1" customHeight="1" x14ac:dyDescent="0.25">
      <c r="B235" s="2737"/>
      <c r="C235" s="2473"/>
      <c r="D235" s="3704"/>
      <c r="E235" s="3035"/>
      <c r="F235" s="2690"/>
      <c r="G235" s="2967"/>
      <c r="H235" s="1463"/>
    </row>
    <row r="236" spans="1:11" ht="30.75" customHeight="1" x14ac:dyDescent="0.25">
      <c r="B236" s="443"/>
      <c r="C236" s="2472" t="s">
        <v>221</v>
      </c>
      <c r="D236" s="4287"/>
      <c r="E236" s="3185"/>
      <c r="F236" s="2760"/>
      <c r="G236" s="2683"/>
      <c r="H236" s="3712"/>
    </row>
    <row r="237" spans="1:11" ht="18.75" hidden="1" customHeight="1" x14ac:dyDescent="0.25">
      <c r="B237" s="443"/>
      <c r="C237" s="2473" t="s">
        <v>222</v>
      </c>
      <c r="D237" s="4283" t="s">
        <v>3317</v>
      </c>
      <c r="E237" s="3589" t="s">
        <v>3317</v>
      </c>
      <c r="F237" s="2690"/>
      <c r="G237" s="2967"/>
      <c r="H237" s="1463"/>
    </row>
    <row r="238" spans="1:11" ht="12" hidden="1" customHeight="1" x14ac:dyDescent="0.25">
      <c r="B238" s="443"/>
      <c r="C238" s="2475"/>
      <c r="D238" s="4290"/>
      <c r="E238" s="2784"/>
      <c r="F238" s="2752"/>
      <c r="G238" s="2993"/>
      <c r="H238" s="1463"/>
    </row>
    <row r="239" spans="1:11" ht="18" customHeight="1" x14ac:dyDescent="0.25">
      <c r="B239" s="443"/>
      <c r="C239" s="2474" t="s">
        <v>223</v>
      </c>
      <c r="D239" s="4159">
        <f>D240</f>
        <v>344800000</v>
      </c>
      <c r="E239" s="2813">
        <f>E240</f>
        <v>298231041</v>
      </c>
      <c r="F239" s="2679">
        <f t="shared" ref="F239:F240" si="8">E239/D239*100</f>
        <v>86.493921403712292</v>
      </c>
      <c r="G239" s="2679">
        <f>G240</f>
        <v>100</v>
      </c>
      <c r="H239" s="1463"/>
    </row>
    <row r="240" spans="1:11" ht="32.25" hidden="1" customHeight="1" x14ac:dyDescent="0.25">
      <c r="B240" s="443"/>
      <c r="C240" s="2473" t="s">
        <v>4094</v>
      </c>
      <c r="D240" s="3704">
        <v>344800000</v>
      </c>
      <c r="E240" s="2685">
        <v>298231041</v>
      </c>
      <c r="F240" s="2685">
        <f t="shared" si="8"/>
        <v>86.493921403712292</v>
      </c>
      <c r="G240" s="2685">
        <v>100</v>
      </c>
      <c r="H240" s="1463"/>
    </row>
    <row r="241" spans="2:11" ht="11.25" hidden="1" customHeight="1" x14ac:dyDescent="0.25">
      <c r="B241" s="443"/>
      <c r="C241" s="2473"/>
      <c r="D241" s="3704"/>
      <c r="E241" s="3035"/>
      <c r="F241" s="2690"/>
      <c r="G241" s="3035"/>
      <c r="H241" s="1463"/>
    </row>
    <row r="242" spans="2:11" ht="18.75" customHeight="1" x14ac:dyDescent="0.25">
      <c r="B242" s="443"/>
      <c r="C242" s="2474" t="s">
        <v>224</v>
      </c>
      <c r="D242" s="4159">
        <f>D243</f>
        <v>425000000</v>
      </c>
      <c r="E242" s="2813">
        <f>E243</f>
        <v>423808000</v>
      </c>
      <c r="F242" s="2679">
        <f t="shared" ref="F242:F243" si="9">E242/D242*100</f>
        <v>99.719529411764711</v>
      </c>
      <c r="G242" s="2679">
        <f>G243</f>
        <v>100</v>
      </c>
      <c r="H242" s="1463"/>
    </row>
    <row r="243" spans="2:11" ht="17.25" hidden="1" customHeight="1" x14ac:dyDescent="0.25">
      <c r="B243" s="443"/>
      <c r="C243" s="2473" t="s">
        <v>225</v>
      </c>
      <c r="D243" s="4066">
        <v>425000000</v>
      </c>
      <c r="E243" s="2685">
        <v>423808000</v>
      </c>
      <c r="F243" s="2685">
        <f t="shared" si="9"/>
        <v>99.719529411764711</v>
      </c>
      <c r="G243" s="2685">
        <v>100</v>
      </c>
      <c r="H243" s="1463"/>
    </row>
    <row r="244" spans="2:11" ht="19.5" hidden="1" customHeight="1" x14ac:dyDescent="0.25">
      <c r="B244" s="443"/>
      <c r="C244" s="2473" t="s">
        <v>226</v>
      </c>
      <c r="D244" s="4283" t="s">
        <v>3317</v>
      </c>
      <c r="E244" s="3589" t="s">
        <v>3317</v>
      </c>
      <c r="F244" s="2690"/>
      <c r="G244" s="2967"/>
      <c r="H244" s="1463"/>
    </row>
    <row r="245" spans="2:11" ht="11.25" hidden="1" customHeight="1" x14ac:dyDescent="0.25">
      <c r="B245" s="443"/>
      <c r="C245" s="2473"/>
      <c r="D245" s="3704"/>
      <c r="E245" s="3035"/>
      <c r="F245" s="2690"/>
      <c r="G245" s="2967"/>
      <c r="H245" s="1463"/>
    </row>
    <row r="246" spans="2:11" ht="15.75" customHeight="1" x14ac:dyDescent="0.25">
      <c r="B246" s="443"/>
      <c r="C246" s="2474" t="s">
        <v>227</v>
      </c>
      <c r="D246" s="3704"/>
      <c r="E246" s="3035"/>
      <c r="F246" s="2690"/>
      <c r="G246" s="2967"/>
      <c r="H246" s="1463"/>
    </row>
    <row r="247" spans="2:11" ht="15" hidden="1" customHeight="1" x14ac:dyDescent="0.25">
      <c r="B247" s="443"/>
      <c r="C247" s="2473" t="s">
        <v>228</v>
      </c>
      <c r="D247" s="4283" t="s">
        <v>3317</v>
      </c>
      <c r="E247" s="3589" t="s">
        <v>3317</v>
      </c>
      <c r="F247" s="2690"/>
      <c r="G247" s="2967"/>
      <c r="H247" s="1463"/>
    </row>
    <row r="248" spans="2:11" ht="9.75" hidden="1" customHeight="1" x14ac:dyDescent="0.25">
      <c r="B248" s="443"/>
      <c r="C248" s="2473"/>
      <c r="D248" s="3704"/>
      <c r="E248" s="3035"/>
      <c r="F248" s="2690"/>
      <c r="G248" s="2967"/>
      <c r="H248" s="1463"/>
    </row>
    <row r="249" spans="2:11" ht="15.75" customHeight="1" x14ac:dyDescent="0.25">
      <c r="B249" s="443"/>
      <c r="C249" s="2474" t="s">
        <v>229</v>
      </c>
      <c r="D249" s="4065">
        <f>SUM(D250:D252)</f>
        <v>2700000000</v>
      </c>
      <c r="E249" s="2695">
        <f>SUM(E250:E252)</f>
        <v>2666850700</v>
      </c>
      <c r="F249" s="2679">
        <f t="shared" ref="F249:F252" si="10">E249/D249*100</f>
        <v>98.772248148148151</v>
      </c>
      <c r="G249" s="2969">
        <f>SUM(G251:G252)/2</f>
        <v>100</v>
      </c>
      <c r="H249" s="1463"/>
    </row>
    <row r="250" spans="2:11" ht="17.25" hidden="1" customHeight="1" x14ac:dyDescent="0.25">
      <c r="B250" s="443"/>
      <c r="C250" s="2473" t="s">
        <v>230</v>
      </c>
      <c r="D250" s="3704" t="s">
        <v>3317</v>
      </c>
      <c r="E250" s="3035" t="s">
        <v>3317</v>
      </c>
      <c r="F250" s="3035" t="s">
        <v>3317</v>
      </c>
      <c r="G250" s="3035" t="s">
        <v>3317</v>
      </c>
      <c r="H250" s="1463"/>
    </row>
    <row r="251" spans="2:11" ht="30" hidden="1" customHeight="1" x14ac:dyDescent="0.25">
      <c r="B251" s="443"/>
      <c r="C251" s="2473" t="s">
        <v>231</v>
      </c>
      <c r="D251" s="4066">
        <v>1500000000</v>
      </c>
      <c r="E251" s="2690">
        <v>1473482200</v>
      </c>
      <c r="F251" s="2685">
        <f t="shared" si="10"/>
        <v>98.232146666666665</v>
      </c>
      <c r="G251" s="2967">
        <v>100</v>
      </c>
      <c r="H251" s="1463"/>
    </row>
    <row r="252" spans="2:11" ht="28.5" hidden="1" customHeight="1" x14ac:dyDescent="0.25">
      <c r="B252" s="443"/>
      <c r="C252" s="2473" t="s">
        <v>232</v>
      </c>
      <c r="D252" s="3704">
        <v>1200000000</v>
      </c>
      <c r="E252" s="2690">
        <v>1193368500</v>
      </c>
      <c r="F252" s="2685">
        <f t="shared" si="10"/>
        <v>99.447375000000008</v>
      </c>
      <c r="G252" s="2967">
        <v>100</v>
      </c>
      <c r="H252" s="1463"/>
    </row>
    <row r="253" spans="2:11" ht="9" hidden="1" customHeight="1" x14ac:dyDescent="0.25">
      <c r="B253" s="443"/>
      <c r="C253" s="2476"/>
      <c r="D253" s="4286"/>
      <c r="E253" s="2778"/>
      <c r="F253" s="2710"/>
      <c r="G253" s="2985"/>
      <c r="H253" s="1463"/>
    </row>
    <row r="254" spans="2:11" s="1" customFormat="1" ht="16.5" customHeight="1" x14ac:dyDescent="0.25">
      <c r="B254" s="440" t="s">
        <v>233</v>
      </c>
      <c r="C254" s="2471" t="s">
        <v>234</v>
      </c>
      <c r="D254" s="4080">
        <f>SUM(D255,D259)</f>
        <v>106393850400</v>
      </c>
      <c r="E254" s="2786">
        <f>SUM(E255,E259)</f>
        <v>74641000000</v>
      </c>
      <c r="F254" s="2672">
        <f>E254/D254*100</f>
        <v>70.155370558898383</v>
      </c>
      <c r="G254" s="3970">
        <f>SUM(G255+G259)/2</f>
        <v>78.652500000000003</v>
      </c>
      <c r="H254" s="1462"/>
      <c r="J254" s="535"/>
      <c r="K254" s="535"/>
    </row>
    <row r="255" spans="2:11" s="1" customFormat="1" ht="18" customHeight="1" x14ac:dyDescent="0.25">
      <c r="B255" s="444"/>
      <c r="C255" s="2472" t="s">
        <v>235</v>
      </c>
      <c r="D255" s="4158">
        <f>SUM(D256:D257)</f>
        <v>90482850400</v>
      </c>
      <c r="E255" s="3972">
        <f>SUM(E256:E257)</f>
        <v>61442000000</v>
      </c>
      <c r="F255" s="2734">
        <f>E255/D255*100</f>
        <v>67.904580512640436</v>
      </c>
      <c r="G255" s="3971">
        <f>SUM(G256:G257)/2</f>
        <v>74.344999999999999</v>
      </c>
      <c r="H255" s="1462"/>
      <c r="J255" s="535"/>
      <c r="K255" s="535"/>
    </row>
    <row r="256" spans="2:11" ht="15" hidden="1" customHeight="1" x14ac:dyDescent="0.25">
      <c r="B256" s="2737"/>
      <c r="C256" s="2473" t="s">
        <v>236</v>
      </c>
      <c r="D256" s="3704">
        <v>58075850400</v>
      </c>
      <c r="E256" s="2688">
        <v>29995000000</v>
      </c>
      <c r="F256" s="2685">
        <f>E256/D256*100</f>
        <v>51.647973802205406</v>
      </c>
      <c r="G256" s="2685">
        <v>51.65</v>
      </c>
      <c r="H256" s="1463"/>
    </row>
    <row r="257" spans="1:11" ht="15" hidden="1" customHeight="1" x14ac:dyDescent="0.25">
      <c r="B257" s="2737"/>
      <c r="C257" s="2473" t="s">
        <v>4110</v>
      </c>
      <c r="D257" s="3704">
        <f>57225166660-24818166660</f>
        <v>32407000000</v>
      </c>
      <c r="E257" s="2688">
        <f>56265166660-24818166660</f>
        <v>31447000000</v>
      </c>
      <c r="F257" s="2685">
        <f>E257/D257*100</f>
        <v>97.037677045082845</v>
      </c>
      <c r="G257" s="2685">
        <v>97.04</v>
      </c>
      <c r="H257" s="1463"/>
    </row>
    <row r="258" spans="1:11" ht="11.25" hidden="1" customHeight="1" x14ac:dyDescent="0.25">
      <c r="B258" s="2737"/>
      <c r="C258" s="2473"/>
      <c r="D258" s="3704"/>
      <c r="E258" s="3035"/>
      <c r="F258" s="2690"/>
      <c r="G258" s="2967"/>
      <c r="H258" s="1463"/>
    </row>
    <row r="259" spans="1:11" ht="17.25" customHeight="1" x14ac:dyDescent="0.25">
      <c r="B259" s="2737"/>
      <c r="C259" s="2474" t="s">
        <v>237</v>
      </c>
      <c r="D259" s="4159">
        <f>D260</f>
        <v>15911000000</v>
      </c>
      <c r="E259" s="3768">
        <f>E260</f>
        <v>13199000000</v>
      </c>
      <c r="F259" s="2679">
        <f t="shared" ref="F259:F260" si="11">E259/D259*100</f>
        <v>82.955188234554711</v>
      </c>
      <c r="G259" s="3768">
        <f>G260</f>
        <v>82.96</v>
      </c>
      <c r="H259" s="1463"/>
    </row>
    <row r="260" spans="1:11" ht="16.5" hidden="1" customHeight="1" x14ac:dyDescent="0.25">
      <c r="B260" s="2737"/>
      <c r="C260" s="2473" t="s">
        <v>238</v>
      </c>
      <c r="D260" s="3704">
        <v>15911000000</v>
      </c>
      <c r="E260" s="2690">
        <v>13199000000</v>
      </c>
      <c r="F260" s="2685">
        <f t="shared" si="11"/>
        <v>82.955188234554711</v>
      </c>
      <c r="G260" s="2967">
        <v>82.96</v>
      </c>
      <c r="H260" s="1463"/>
    </row>
    <row r="261" spans="1:11" ht="12.75" hidden="1" customHeight="1" x14ac:dyDescent="0.25">
      <c r="B261" s="2737"/>
      <c r="C261" s="2473"/>
      <c r="D261" s="3704"/>
      <c r="E261" s="2690"/>
      <c r="F261" s="2708"/>
      <c r="G261" s="2967"/>
      <c r="H261" s="1463"/>
    </row>
    <row r="262" spans="1:11" s="52" customFormat="1" ht="18.75" customHeight="1" x14ac:dyDescent="0.25">
      <c r="A262" s="8"/>
      <c r="B262" s="446" t="s">
        <v>239</v>
      </c>
      <c r="C262" s="2480" t="s">
        <v>240</v>
      </c>
      <c r="D262" s="4293">
        <f>SUM(D264+D481+D862+D1737+D1429+D2026+D2503+D2755+D3798+D3224+D3436+D4141+D4371)</f>
        <v>1980975030140</v>
      </c>
      <c r="E262" s="3563">
        <f>SUM(E264+E481+E862+E1737+E1429+E2026+E2503+E2755+E3798+E3224+E3436+E4141+E4371)</f>
        <v>1821828515621</v>
      </c>
      <c r="F262" s="2776">
        <f>E262/D262*100</f>
        <v>91.966253380399607</v>
      </c>
      <c r="G262" s="3973">
        <f>SUM(G264+G481+G862+G1429+G1737+G2026+G2503+G2755+G3224+G3436+G3798+G4141+G4371)/13</f>
        <v>95.487740830195989</v>
      </c>
      <c r="H262" s="1462"/>
      <c r="J262" s="532"/>
      <c r="K262" s="532"/>
    </row>
    <row r="263" spans="1:11" ht="11.25" hidden="1" customHeight="1" x14ac:dyDescent="0.25">
      <c r="B263" s="445"/>
      <c r="C263" s="2477"/>
      <c r="D263" s="4276"/>
      <c r="E263" s="3035"/>
      <c r="F263" s="3035"/>
      <c r="G263" s="3035"/>
      <c r="H263" s="1463"/>
    </row>
    <row r="264" spans="1:11" ht="16.5" customHeight="1" x14ac:dyDescent="0.25">
      <c r="B264" s="447"/>
      <c r="C264" s="3598" t="s">
        <v>241</v>
      </c>
      <c r="D264" s="4294">
        <f>SUM(D266+D338+D376+D380+D388+D410+D438+D442+D451+D462+D466+D470)</f>
        <v>183431447000</v>
      </c>
      <c r="E264" s="3699">
        <f>SUM(E266+E338+E376+E380+E388+E410+E438+E442+E451+E462+E466+E470)</f>
        <v>179084525000</v>
      </c>
      <c r="F264" s="3699">
        <f>E264/D264*100</f>
        <v>97.630219860828987</v>
      </c>
      <c r="G264" s="3699">
        <f>SUM(G266+G338+G376+G380+G388+G410+G438+G442+G451+G462+G466+G470)/12</f>
        <v>95.896940993788803</v>
      </c>
      <c r="H264" s="1463"/>
    </row>
    <row r="265" spans="1:11" ht="12" hidden="1" customHeight="1" x14ac:dyDescent="0.25">
      <c r="B265" s="441"/>
      <c r="C265" s="2482"/>
      <c r="D265" s="4276"/>
      <c r="E265" s="3035"/>
      <c r="F265" s="3035"/>
      <c r="G265" s="3035"/>
      <c r="H265" s="1463"/>
    </row>
    <row r="266" spans="1:11" s="27" customFormat="1" ht="16.5" customHeight="1" x14ac:dyDescent="0.25">
      <c r="A266" s="6"/>
      <c r="B266" s="440"/>
      <c r="C266" s="2483" t="s">
        <v>242</v>
      </c>
      <c r="D266" s="4080">
        <f>SUM(D267+D283+D286+D325+D329)</f>
        <v>46086863992</v>
      </c>
      <c r="E266" s="2786">
        <f>SUM(E267+E283+E286+E325+E329)</f>
        <v>44886863992</v>
      </c>
      <c r="F266" s="2672">
        <f>E266/D266*100</f>
        <v>97.396221187433568</v>
      </c>
      <c r="G266" s="2786">
        <f>SUM(G267+G283+G286+G325+G329)/5</f>
        <v>93.473291925465844</v>
      </c>
      <c r="H266" s="1463"/>
      <c r="J266" s="995"/>
      <c r="K266" s="995"/>
    </row>
    <row r="267" spans="1:11" s="27" customFormat="1" ht="15.75" customHeight="1" x14ac:dyDescent="0.25">
      <c r="A267" s="6"/>
      <c r="B267" s="441"/>
      <c r="C267" s="2484" t="s">
        <v>243</v>
      </c>
      <c r="D267" s="4280">
        <f>SUM(D268:D281)</f>
        <v>6013437940</v>
      </c>
      <c r="E267" s="2801">
        <f>SUM(E268:E281)</f>
        <v>6013437940</v>
      </c>
      <c r="F267" s="2785">
        <f>E267/D267*100</f>
        <v>100</v>
      </c>
      <c r="G267" s="2785">
        <f>SUM(G269:G281)/10</f>
        <v>100</v>
      </c>
      <c r="H267" s="1463"/>
      <c r="J267" s="995"/>
      <c r="K267" s="995"/>
    </row>
    <row r="268" spans="1:11" s="27" customFormat="1" ht="16.5" hidden="1" customHeight="1" x14ac:dyDescent="0.25">
      <c r="A268" s="6"/>
      <c r="B268" s="441"/>
      <c r="C268" s="2485" t="s">
        <v>3562</v>
      </c>
      <c r="D268" s="4066">
        <v>0</v>
      </c>
      <c r="E268" s="3974">
        <v>0</v>
      </c>
      <c r="F268" s="3974">
        <v>0</v>
      </c>
      <c r="G268" s="3974">
        <v>0</v>
      </c>
      <c r="H268" s="1463"/>
      <c r="J268" s="995"/>
      <c r="K268" s="995"/>
    </row>
    <row r="269" spans="1:11" s="27" customFormat="1" ht="16.5" hidden="1" customHeight="1" x14ac:dyDescent="0.25">
      <c r="A269" s="6"/>
      <c r="B269" s="441"/>
      <c r="C269" s="2485" t="s">
        <v>244</v>
      </c>
      <c r="D269" s="3704">
        <v>1410000000</v>
      </c>
      <c r="E269" s="2685">
        <v>1410000000</v>
      </c>
      <c r="F269" s="2685">
        <f>E269/D269*100</f>
        <v>100</v>
      </c>
      <c r="G269" s="2685">
        <v>100</v>
      </c>
      <c r="H269" s="1463"/>
      <c r="J269" s="995"/>
      <c r="K269" s="995"/>
    </row>
    <row r="270" spans="1:11" s="27" customFormat="1" ht="15" hidden="1" customHeight="1" x14ac:dyDescent="0.25">
      <c r="A270" s="6"/>
      <c r="B270" s="441"/>
      <c r="C270" s="3600" t="s">
        <v>245</v>
      </c>
      <c r="D270" s="4295" t="s">
        <v>3317</v>
      </c>
      <c r="E270" s="3599" t="s">
        <v>3317</v>
      </c>
      <c r="F270" s="3599" t="s">
        <v>3317</v>
      </c>
      <c r="G270" s="3599" t="s">
        <v>3317</v>
      </c>
      <c r="H270" s="1463"/>
      <c r="J270" s="995"/>
      <c r="K270" s="995"/>
    </row>
    <row r="271" spans="1:11" s="27" customFormat="1" ht="15" hidden="1" customHeight="1" x14ac:dyDescent="0.25">
      <c r="A271" s="6"/>
      <c r="B271" s="441"/>
      <c r="C271" s="3731" t="s">
        <v>3435</v>
      </c>
      <c r="D271" s="3704">
        <v>853972000</v>
      </c>
      <c r="E271" s="2708">
        <v>853972000</v>
      </c>
      <c r="F271" s="2708">
        <f t="shared" ref="F271:F281" si="12">E271/D271*100</f>
        <v>100</v>
      </c>
      <c r="G271" s="2708">
        <v>100</v>
      </c>
      <c r="H271" s="3711"/>
      <c r="J271" s="995"/>
      <c r="K271" s="995"/>
    </row>
    <row r="272" spans="1:11" s="27" customFormat="1" ht="15" hidden="1" customHeight="1" x14ac:dyDescent="0.25">
      <c r="A272" s="6"/>
      <c r="B272" s="444"/>
      <c r="C272" s="3600" t="s">
        <v>3436</v>
      </c>
      <c r="D272" s="3704">
        <v>342090000</v>
      </c>
      <c r="E272" s="2685">
        <v>342090000</v>
      </c>
      <c r="F272" s="2685">
        <f t="shared" si="12"/>
        <v>100</v>
      </c>
      <c r="G272" s="2685">
        <v>100</v>
      </c>
      <c r="H272" s="1463"/>
      <c r="J272" s="995"/>
      <c r="K272" s="995"/>
    </row>
    <row r="273" spans="1:11" s="27" customFormat="1" ht="15" hidden="1" customHeight="1" x14ac:dyDescent="0.25">
      <c r="A273" s="6"/>
      <c r="B273" s="444"/>
      <c r="C273" s="3601" t="s">
        <v>3437</v>
      </c>
      <c r="D273" s="4287">
        <v>1038215940</v>
      </c>
      <c r="E273" s="2804">
        <v>1038215940</v>
      </c>
      <c r="F273" s="2804">
        <f t="shared" si="12"/>
        <v>100</v>
      </c>
      <c r="G273" s="2804">
        <v>100</v>
      </c>
      <c r="H273" s="3712"/>
      <c r="J273" s="995"/>
      <c r="K273" s="995"/>
    </row>
    <row r="274" spans="1:11" s="221" customFormat="1" ht="15" hidden="1" customHeight="1" x14ac:dyDescent="0.25">
      <c r="A274" s="9"/>
      <c r="B274" s="448"/>
      <c r="C274" s="2487" t="s">
        <v>3456</v>
      </c>
      <c r="D274" s="4295" t="s">
        <v>3317</v>
      </c>
      <c r="E274" s="3599" t="s">
        <v>3317</v>
      </c>
      <c r="F274" s="3599" t="s">
        <v>3317</v>
      </c>
      <c r="G274" s="3599" t="s">
        <v>3317</v>
      </c>
      <c r="H274" s="3713"/>
      <c r="J274" s="1206"/>
      <c r="K274" s="1206"/>
    </row>
    <row r="275" spans="1:11" s="25" customFormat="1" ht="15.75" hidden="1" customHeight="1" x14ac:dyDescent="0.25">
      <c r="A275" s="4"/>
      <c r="B275" s="441"/>
      <c r="C275" s="2488" t="s">
        <v>3438</v>
      </c>
      <c r="D275" s="3704">
        <v>793520000</v>
      </c>
      <c r="E275" s="3975">
        <v>793520000</v>
      </c>
      <c r="F275" s="2685">
        <f t="shared" si="12"/>
        <v>100</v>
      </c>
      <c r="G275" s="2810">
        <v>100</v>
      </c>
      <c r="H275" s="1462"/>
      <c r="J275" s="1207"/>
      <c r="K275" s="1207"/>
    </row>
    <row r="276" spans="1:11" s="25" customFormat="1" ht="17.25" hidden="1" customHeight="1" x14ac:dyDescent="0.25">
      <c r="A276" s="4"/>
      <c r="B276" s="441"/>
      <c r="C276" s="2489" t="s">
        <v>3439</v>
      </c>
      <c r="D276" s="3704">
        <v>732480000</v>
      </c>
      <c r="E276" s="3975">
        <v>732480000</v>
      </c>
      <c r="F276" s="2685">
        <f t="shared" si="12"/>
        <v>100</v>
      </c>
      <c r="G276" s="2810">
        <v>100</v>
      </c>
      <c r="H276" s="1462"/>
      <c r="J276" s="1207"/>
      <c r="K276" s="1207"/>
    </row>
    <row r="277" spans="1:11" s="25" customFormat="1" ht="16.5" hidden="1" customHeight="1" x14ac:dyDescent="0.25">
      <c r="A277" s="4"/>
      <c r="B277" s="441"/>
      <c r="C277" s="2489" t="s">
        <v>3440</v>
      </c>
      <c r="D277" s="3704">
        <v>353160000</v>
      </c>
      <c r="E277" s="3975">
        <v>353160000</v>
      </c>
      <c r="F277" s="2685">
        <f t="shared" si="12"/>
        <v>100</v>
      </c>
      <c r="G277" s="2810">
        <v>100</v>
      </c>
      <c r="H277" s="1462"/>
      <c r="J277" s="1207"/>
      <c r="K277" s="1207"/>
    </row>
    <row r="278" spans="1:11" s="25" customFormat="1" ht="17.25" hidden="1" customHeight="1" x14ac:dyDescent="0.25">
      <c r="A278" s="4"/>
      <c r="B278" s="441"/>
      <c r="C278" s="2489" t="s">
        <v>3441</v>
      </c>
      <c r="D278" s="3704">
        <v>0</v>
      </c>
      <c r="E278" s="3767">
        <v>0</v>
      </c>
      <c r="F278" s="3767">
        <v>0</v>
      </c>
      <c r="G278" s="3767">
        <v>0</v>
      </c>
      <c r="H278" s="1462"/>
      <c r="J278" s="1207"/>
      <c r="K278" s="1207"/>
    </row>
    <row r="279" spans="1:11" s="25" customFormat="1" ht="14.25" hidden="1" customHeight="1" x14ac:dyDescent="0.25">
      <c r="A279" s="4"/>
      <c r="B279" s="441"/>
      <c r="C279" s="2489" t="s">
        <v>3442</v>
      </c>
      <c r="D279" s="3704">
        <v>210000000</v>
      </c>
      <c r="E279" s="3975">
        <v>210000000</v>
      </c>
      <c r="F279" s="2685">
        <f t="shared" si="12"/>
        <v>100</v>
      </c>
      <c r="G279" s="2810">
        <v>100</v>
      </c>
      <c r="H279" s="1462"/>
      <c r="J279" s="1207"/>
      <c r="K279" s="1207"/>
    </row>
    <row r="280" spans="1:11" s="25" customFormat="1" ht="17.25" hidden="1" customHeight="1" x14ac:dyDescent="0.25">
      <c r="A280" s="4"/>
      <c r="B280" s="441"/>
      <c r="C280" s="2489" t="s">
        <v>3444</v>
      </c>
      <c r="D280" s="3704">
        <v>140000000</v>
      </c>
      <c r="E280" s="2789">
        <v>140000000</v>
      </c>
      <c r="F280" s="2685">
        <f t="shared" si="12"/>
        <v>100</v>
      </c>
      <c r="G280" s="2789">
        <v>100</v>
      </c>
      <c r="H280" s="1462"/>
      <c r="J280" s="1207"/>
      <c r="K280" s="1207"/>
    </row>
    <row r="281" spans="1:11" s="25" customFormat="1" ht="15" hidden="1" customHeight="1" x14ac:dyDescent="0.25">
      <c r="A281" s="4"/>
      <c r="B281" s="441"/>
      <c r="C281" s="2489" t="s">
        <v>3443</v>
      </c>
      <c r="D281" s="3704">
        <v>140000000</v>
      </c>
      <c r="E281" s="2789">
        <v>140000000</v>
      </c>
      <c r="F281" s="2685">
        <f t="shared" si="12"/>
        <v>100</v>
      </c>
      <c r="G281" s="2789">
        <v>100</v>
      </c>
      <c r="H281" s="1462"/>
      <c r="J281" s="1207"/>
      <c r="K281" s="1207"/>
    </row>
    <row r="282" spans="1:11" s="25" customFormat="1" ht="9.75" hidden="1" customHeight="1" x14ac:dyDescent="0.25">
      <c r="A282" s="4"/>
      <c r="B282" s="441"/>
      <c r="C282" s="2489"/>
      <c r="D282" s="4159"/>
      <c r="E282" s="3976"/>
      <c r="F282" s="2695"/>
      <c r="G282" s="2813"/>
      <c r="H282" s="1462"/>
      <c r="J282" s="1207"/>
      <c r="K282" s="1207"/>
    </row>
    <row r="283" spans="1:11" s="25" customFormat="1" ht="16.5" customHeight="1" x14ac:dyDescent="0.25">
      <c r="A283" s="4"/>
      <c r="B283" s="441"/>
      <c r="C283" s="2490" t="s">
        <v>246</v>
      </c>
      <c r="D283" s="4159">
        <f>D284</f>
        <v>5242510000</v>
      </c>
      <c r="E283" s="2813">
        <f>E284</f>
        <v>5242510000</v>
      </c>
      <c r="F283" s="2679">
        <f t="shared" ref="F283:F284" si="13">(E283/D283)*100</f>
        <v>100</v>
      </c>
      <c r="G283" s="2934">
        <f>G284</f>
        <v>86</v>
      </c>
      <c r="H283" s="1462"/>
      <c r="J283" s="1207"/>
      <c r="K283" s="1207"/>
    </row>
    <row r="284" spans="1:11" s="25" customFormat="1" ht="16.5" hidden="1" customHeight="1" x14ac:dyDescent="0.25">
      <c r="A284" s="4"/>
      <c r="B284" s="441"/>
      <c r="C284" s="2489" t="s">
        <v>247</v>
      </c>
      <c r="D284" s="3704">
        <v>5242510000</v>
      </c>
      <c r="E284" s="2685">
        <v>5242510000</v>
      </c>
      <c r="F284" s="2685">
        <f t="shared" si="13"/>
        <v>100</v>
      </c>
      <c r="G284" s="2708">
        <v>86</v>
      </c>
      <c r="H284" s="1462"/>
      <c r="J284" s="1207"/>
      <c r="K284" s="1207"/>
    </row>
    <row r="285" spans="1:11" s="27" customFormat="1" ht="9.75" hidden="1" customHeight="1" x14ac:dyDescent="0.25">
      <c r="A285" s="6"/>
      <c r="B285" s="441"/>
      <c r="C285" s="2484"/>
      <c r="D285" s="4159"/>
      <c r="E285" s="3976"/>
      <c r="F285" s="2695"/>
      <c r="G285" s="2813"/>
      <c r="H285" s="1463"/>
      <c r="J285" s="995"/>
      <c r="K285" s="995"/>
    </row>
    <row r="286" spans="1:11" s="27" customFormat="1" ht="15.75" customHeight="1" x14ac:dyDescent="0.25">
      <c r="A286" s="6"/>
      <c r="B286" s="441"/>
      <c r="C286" s="2491" t="s">
        <v>248</v>
      </c>
      <c r="D286" s="4159">
        <f>SUM(D287:D323)</f>
        <v>30520199800</v>
      </c>
      <c r="E286" s="2813">
        <f>SUM(E287:E323)</f>
        <v>29560199800</v>
      </c>
      <c r="F286" s="2679">
        <f t="shared" ref="F286:F298" si="14">E286/D286*100</f>
        <v>96.85454221698771</v>
      </c>
      <c r="G286" s="2813">
        <f>SUM(G287:G323)/23</f>
        <v>95.652173913043484</v>
      </c>
      <c r="H286" s="1463"/>
      <c r="J286" s="995"/>
      <c r="K286" s="995"/>
    </row>
    <row r="287" spans="1:11" s="27" customFormat="1" hidden="1" x14ac:dyDescent="0.25">
      <c r="A287" s="6"/>
      <c r="B287" s="441"/>
      <c r="C287" s="2492" t="s">
        <v>249</v>
      </c>
      <c r="D287" s="3704">
        <v>8163750000</v>
      </c>
      <c r="E287" s="2685">
        <v>8163750000</v>
      </c>
      <c r="F287" s="2685">
        <f t="shared" si="14"/>
        <v>100</v>
      </c>
      <c r="G287" s="2690">
        <v>100</v>
      </c>
      <c r="H287" s="1463"/>
      <c r="J287" s="995"/>
      <c r="K287" s="995"/>
    </row>
    <row r="288" spans="1:11" s="27" customFormat="1" ht="15.75" hidden="1" customHeight="1" x14ac:dyDescent="0.25">
      <c r="A288" s="6"/>
      <c r="B288" s="441"/>
      <c r="C288" s="2492" t="s">
        <v>250</v>
      </c>
      <c r="D288" s="3704">
        <v>6962500000</v>
      </c>
      <c r="E288" s="2685">
        <v>6962500000</v>
      </c>
      <c r="F288" s="2685">
        <f t="shared" si="14"/>
        <v>100</v>
      </c>
      <c r="G288" s="2690">
        <v>100</v>
      </c>
      <c r="H288" s="1463"/>
      <c r="J288" s="995"/>
      <c r="K288" s="995"/>
    </row>
    <row r="289" spans="1:11" s="27" customFormat="1" ht="14.25" hidden="1" customHeight="1" x14ac:dyDescent="0.25">
      <c r="A289" s="6"/>
      <c r="B289" s="441"/>
      <c r="C289" s="3600" t="s">
        <v>251</v>
      </c>
      <c r="D289" s="3704">
        <v>1350000000</v>
      </c>
      <c r="E289" s="2685">
        <v>1350000000</v>
      </c>
      <c r="F289" s="2685">
        <f t="shared" si="14"/>
        <v>100</v>
      </c>
      <c r="G289" s="2685">
        <v>100</v>
      </c>
      <c r="H289" s="1463"/>
      <c r="J289" s="995"/>
      <c r="K289" s="995"/>
    </row>
    <row r="290" spans="1:11" s="27" customFormat="1" ht="14.25" hidden="1" customHeight="1" x14ac:dyDescent="0.25">
      <c r="A290" s="6"/>
      <c r="B290" s="441"/>
      <c r="C290" s="3600" t="s">
        <v>3445</v>
      </c>
      <c r="D290" s="3704">
        <v>0</v>
      </c>
      <c r="E290" s="3767">
        <v>0</v>
      </c>
      <c r="F290" s="3767">
        <v>0</v>
      </c>
      <c r="G290" s="3767">
        <v>0</v>
      </c>
      <c r="H290" s="1463"/>
      <c r="J290" s="995"/>
      <c r="K290" s="995"/>
    </row>
    <row r="291" spans="1:11" s="27" customFormat="1" ht="14.25" hidden="1" customHeight="1" x14ac:dyDescent="0.25">
      <c r="A291" s="6"/>
      <c r="B291" s="441"/>
      <c r="C291" s="3600" t="s">
        <v>3872</v>
      </c>
      <c r="D291" s="3704">
        <v>1125000000</v>
      </c>
      <c r="E291" s="2685">
        <v>1125000000</v>
      </c>
      <c r="F291" s="2685">
        <f t="shared" si="14"/>
        <v>100</v>
      </c>
      <c r="G291" s="2685">
        <v>100</v>
      </c>
      <c r="H291" s="1463"/>
      <c r="J291" s="995"/>
      <c r="K291" s="995"/>
    </row>
    <row r="292" spans="1:11" s="27" customFormat="1" ht="17.25" hidden="1" customHeight="1" x14ac:dyDescent="0.25">
      <c r="A292" s="6"/>
      <c r="B292" s="441"/>
      <c r="C292" s="3600" t="s">
        <v>3873</v>
      </c>
      <c r="D292" s="4066">
        <v>1350000000</v>
      </c>
      <c r="E292" s="2685">
        <v>1350000000</v>
      </c>
      <c r="F292" s="2685">
        <f t="shared" si="14"/>
        <v>100</v>
      </c>
      <c r="G292" s="2685">
        <v>100</v>
      </c>
      <c r="H292" s="1463"/>
      <c r="J292" s="995"/>
      <c r="K292" s="995"/>
    </row>
    <row r="293" spans="1:11" s="27" customFormat="1" ht="15" hidden="1" customHeight="1" x14ac:dyDescent="0.25">
      <c r="A293" s="6"/>
      <c r="B293" s="441"/>
      <c r="C293" s="3600" t="s">
        <v>3874</v>
      </c>
      <c r="D293" s="4066">
        <v>1125000000</v>
      </c>
      <c r="E293" s="2685">
        <v>1125000000</v>
      </c>
      <c r="F293" s="2685">
        <f t="shared" si="14"/>
        <v>100</v>
      </c>
      <c r="G293" s="2685">
        <v>100</v>
      </c>
      <c r="H293" s="1463"/>
      <c r="J293" s="995"/>
      <c r="K293" s="995"/>
    </row>
    <row r="294" spans="1:11" s="27" customFormat="1" ht="15" hidden="1" customHeight="1" x14ac:dyDescent="0.25">
      <c r="A294" s="6"/>
      <c r="B294" s="441"/>
      <c r="C294" s="3601" t="s">
        <v>3875</v>
      </c>
      <c r="D294" s="4154">
        <v>960000000</v>
      </c>
      <c r="E294" s="2685">
        <v>960000000</v>
      </c>
      <c r="F294" s="2685">
        <f t="shared" si="14"/>
        <v>100</v>
      </c>
      <c r="G294" s="2685">
        <v>100</v>
      </c>
      <c r="H294" s="1463"/>
      <c r="J294" s="995"/>
      <c r="K294" s="995"/>
    </row>
    <row r="295" spans="1:11" s="27" customFormat="1" ht="15.75" hidden="1" customHeight="1" x14ac:dyDescent="0.25">
      <c r="A295" s="6"/>
      <c r="B295" s="441"/>
      <c r="C295" s="3601" t="s">
        <v>3876</v>
      </c>
      <c r="D295" s="4154">
        <v>960000000</v>
      </c>
      <c r="E295" s="2685">
        <v>960000000</v>
      </c>
      <c r="F295" s="2685">
        <f t="shared" si="14"/>
        <v>100</v>
      </c>
      <c r="G295" s="2685">
        <v>100</v>
      </c>
      <c r="H295" s="1463"/>
      <c r="J295" s="995"/>
      <c r="K295" s="995"/>
    </row>
    <row r="296" spans="1:11" s="27" customFormat="1" ht="17.25" hidden="1" customHeight="1" x14ac:dyDescent="0.25">
      <c r="A296" s="6"/>
      <c r="B296" s="441"/>
      <c r="C296" s="3601" t="s">
        <v>3877</v>
      </c>
      <c r="D296" s="3704">
        <v>0</v>
      </c>
      <c r="E296" s="3767">
        <v>0</v>
      </c>
      <c r="F296" s="3767">
        <v>0</v>
      </c>
      <c r="G296" s="3767">
        <v>0</v>
      </c>
      <c r="H296" s="1463"/>
      <c r="J296" s="995"/>
      <c r="K296" s="995"/>
    </row>
    <row r="297" spans="1:11" s="27" customFormat="1" ht="17.25" hidden="1" customHeight="1" x14ac:dyDescent="0.25">
      <c r="A297" s="6"/>
      <c r="B297" s="441"/>
      <c r="C297" s="3601" t="s">
        <v>3878</v>
      </c>
      <c r="D297" s="3704">
        <v>235000000</v>
      </c>
      <c r="E297" s="2685">
        <v>235000000</v>
      </c>
      <c r="F297" s="2685">
        <f t="shared" si="14"/>
        <v>100</v>
      </c>
      <c r="G297" s="2685">
        <v>100</v>
      </c>
      <c r="H297" s="1463"/>
      <c r="J297" s="995"/>
      <c r="K297" s="995"/>
    </row>
    <row r="298" spans="1:11" s="27" customFormat="1" ht="16.5" hidden="1" customHeight="1" x14ac:dyDescent="0.25">
      <c r="A298" s="6"/>
      <c r="B298" s="441"/>
      <c r="C298" s="3601" t="s">
        <v>3879</v>
      </c>
      <c r="D298" s="3704">
        <v>960000000</v>
      </c>
      <c r="E298" s="2685">
        <v>0</v>
      </c>
      <c r="F298" s="2685">
        <f t="shared" si="14"/>
        <v>0</v>
      </c>
      <c r="G298" s="2685">
        <v>0</v>
      </c>
      <c r="H298" s="1463"/>
      <c r="J298" s="995"/>
      <c r="K298" s="995"/>
    </row>
    <row r="299" spans="1:11" s="27" customFormat="1" ht="17.25" hidden="1" customHeight="1" x14ac:dyDescent="0.25">
      <c r="A299" s="6"/>
      <c r="B299" s="441"/>
      <c r="C299" s="3601" t="s">
        <v>3880</v>
      </c>
      <c r="D299" s="4154">
        <v>0</v>
      </c>
      <c r="E299" s="3602">
        <v>0</v>
      </c>
      <c r="F299" s="3602">
        <v>0</v>
      </c>
      <c r="G299" s="3602">
        <v>0</v>
      </c>
      <c r="H299" s="1463"/>
      <c r="J299" s="995"/>
      <c r="K299" s="995"/>
    </row>
    <row r="300" spans="1:11" s="27" customFormat="1" ht="19.5" hidden="1" customHeight="1" x14ac:dyDescent="0.25">
      <c r="A300" s="6"/>
      <c r="B300" s="441"/>
      <c r="C300" s="3601" t="s">
        <v>3881</v>
      </c>
      <c r="D300" s="4154">
        <v>0</v>
      </c>
      <c r="E300" s="3602">
        <v>0</v>
      </c>
      <c r="F300" s="3602">
        <v>0</v>
      </c>
      <c r="G300" s="3602">
        <v>0</v>
      </c>
      <c r="H300" s="1463"/>
      <c r="J300" s="995"/>
      <c r="K300" s="995"/>
    </row>
    <row r="301" spans="1:11" s="27" customFormat="1" ht="17.25" hidden="1" customHeight="1" x14ac:dyDescent="0.25">
      <c r="A301" s="6"/>
      <c r="B301" s="441"/>
      <c r="C301" s="3601" t="s">
        <v>3882</v>
      </c>
      <c r="D301" s="3704">
        <v>1250000000</v>
      </c>
      <c r="E301" s="2685">
        <v>1250000000</v>
      </c>
      <c r="F301" s="2685">
        <f t="shared" ref="F301" si="15">E301/D301*100</f>
        <v>100</v>
      </c>
      <c r="G301" s="2685">
        <v>100</v>
      </c>
      <c r="H301" s="1463"/>
      <c r="J301" s="995"/>
      <c r="K301" s="995"/>
    </row>
    <row r="302" spans="1:11" s="27" customFormat="1" ht="18" hidden="1" customHeight="1" x14ac:dyDescent="0.25">
      <c r="A302" s="6"/>
      <c r="B302" s="441"/>
      <c r="C302" s="3601" t="s">
        <v>3883</v>
      </c>
      <c r="D302" s="4154">
        <v>0</v>
      </c>
      <c r="E302" s="3602">
        <v>0</v>
      </c>
      <c r="F302" s="3602">
        <v>0</v>
      </c>
      <c r="G302" s="3602">
        <v>0</v>
      </c>
      <c r="H302" s="1463"/>
      <c r="J302" s="995"/>
      <c r="K302" s="995"/>
    </row>
    <row r="303" spans="1:11" s="27" customFormat="1" ht="17.25" hidden="1" customHeight="1" x14ac:dyDescent="0.25">
      <c r="A303" s="6"/>
      <c r="B303" s="441"/>
      <c r="C303" s="3601" t="s">
        <v>3884</v>
      </c>
      <c r="D303" s="4154">
        <v>0</v>
      </c>
      <c r="E303" s="3602">
        <v>0</v>
      </c>
      <c r="F303" s="3602">
        <v>0</v>
      </c>
      <c r="G303" s="3602">
        <v>0</v>
      </c>
      <c r="H303" s="1463"/>
      <c r="J303" s="995"/>
      <c r="K303" s="995"/>
    </row>
    <row r="304" spans="1:11" s="27" customFormat="1" ht="17.25" hidden="1" customHeight="1" x14ac:dyDescent="0.25">
      <c r="A304" s="6"/>
      <c r="B304" s="441"/>
      <c r="C304" s="3601" t="s">
        <v>3885</v>
      </c>
      <c r="D304" s="4154">
        <v>0</v>
      </c>
      <c r="E304" s="3602">
        <v>0</v>
      </c>
      <c r="F304" s="3602">
        <v>0</v>
      </c>
      <c r="G304" s="3602">
        <v>0</v>
      </c>
      <c r="H304" s="1463"/>
      <c r="J304" s="995"/>
      <c r="K304" s="995"/>
    </row>
    <row r="305" spans="1:11" s="27" customFormat="1" ht="18" hidden="1" customHeight="1" x14ac:dyDescent="0.25">
      <c r="A305" s="6"/>
      <c r="B305" s="441"/>
      <c r="C305" s="3601" t="s">
        <v>3886</v>
      </c>
      <c r="D305" s="4154">
        <v>0</v>
      </c>
      <c r="E305" s="3602">
        <v>0</v>
      </c>
      <c r="F305" s="3602">
        <v>0</v>
      </c>
      <c r="G305" s="3602">
        <v>0</v>
      </c>
      <c r="H305" s="1463"/>
      <c r="J305" s="995"/>
      <c r="K305" s="995"/>
    </row>
    <row r="306" spans="1:11" s="27" customFormat="1" ht="16.5" hidden="1" customHeight="1" x14ac:dyDescent="0.25">
      <c r="A306" s="6"/>
      <c r="B306" s="441"/>
      <c r="C306" s="3601" t="s">
        <v>3887</v>
      </c>
      <c r="D306" s="3704">
        <v>1248750000</v>
      </c>
      <c r="E306" s="2685">
        <v>1248750000</v>
      </c>
      <c r="F306" s="2685">
        <f t="shared" ref="F306:F307" si="16">E306/D306*100</f>
        <v>100</v>
      </c>
      <c r="G306" s="2685">
        <v>100</v>
      </c>
      <c r="H306" s="1463"/>
      <c r="J306" s="995"/>
      <c r="K306" s="995"/>
    </row>
    <row r="307" spans="1:11" s="27" customFormat="1" ht="17.25" hidden="1" customHeight="1" x14ac:dyDescent="0.25">
      <c r="A307" s="6"/>
      <c r="B307" s="441"/>
      <c r="C307" s="3601" t="s">
        <v>3888</v>
      </c>
      <c r="D307" s="3704">
        <v>330200000</v>
      </c>
      <c r="E307" s="2685">
        <v>330200000</v>
      </c>
      <c r="F307" s="2685">
        <f t="shared" si="16"/>
        <v>100</v>
      </c>
      <c r="G307" s="2685">
        <v>100</v>
      </c>
      <c r="H307" s="1463"/>
      <c r="J307" s="995"/>
      <c r="K307" s="995"/>
    </row>
    <row r="308" spans="1:11" s="27" customFormat="1" ht="18" hidden="1" customHeight="1" x14ac:dyDescent="0.25">
      <c r="A308" s="6"/>
      <c r="B308" s="441"/>
      <c r="C308" s="3601" t="s">
        <v>3889</v>
      </c>
      <c r="D308" s="4154">
        <v>0</v>
      </c>
      <c r="E308" s="3602">
        <v>0</v>
      </c>
      <c r="F308" s="3602">
        <v>0</v>
      </c>
      <c r="G308" s="3602">
        <v>0</v>
      </c>
      <c r="H308" s="1463"/>
      <c r="J308" s="995"/>
      <c r="K308" s="995"/>
    </row>
    <row r="309" spans="1:11" s="27" customFormat="1" hidden="1" x14ac:dyDescent="0.25">
      <c r="A309" s="6"/>
      <c r="B309" s="441"/>
      <c r="C309" s="3601" t="s">
        <v>3890</v>
      </c>
      <c r="D309" s="4154">
        <v>0</v>
      </c>
      <c r="E309" s="3602">
        <v>0</v>
      </c>
      <c r="F309" s="3602">
        <v>0</v>
      </c>
      <c r="G309" s="3602">
        <v>0</v>
      </c>
      <c r="H309" s="1463"/>
      <c r="J309" s="995"/>
      <c r="K309" s="995"/>
    </row>
    <row r="310" spans="1:11" s="27" customFormat="1" ht="18" hidden="1" customHeight="1" x14ac:dyDescent="0.25">
      <c r="A310" s="6"/>
      <c r="B310" s="441"/>
      <c r="C310" s="3601" t="s">
        <v>3891</v>
      </c>
      <c r="D310" s="4154">
        <v>0</v>
      </c>
      <c r="E310" s="3602">
        <v>0</v>
      </c>
      <c r="F310" s="3602">
        <v>0</v>
      </c>
      <c r="G310" s="3602">
        <v>0</v>
      </c>
      <c r="H310" s="1463"/>
      <c r="J310" s="995"/>
      <c r="K310" s="995"/>
    </row>
    <row r="311" spans="1:11" s="27" customFormat="1" ht="18" hidden="1" customHeight="1" x14ac:dyDescent="0.25">
      <c r="A311" s="6"/>
      <c r="B311" s="441"/>
      <c r="C311" s="3601" t="s">
        <v>3892</v>
      </c>
      <c r="D311" s="4154">
        <v>0</v>
      </c>
      <c r="E311" s="3602">
        <v>0</v>
      </c>
      <c r="F311" s="3602">
        <v>0</v>
      </c>
      <c r="G311" s="3602">
        <v>0</v>
      </c>
      <c r="H311" s="1463"/>
      <c r="J311" s="995"/>
      <c r="K311" s="995"/>
    </row>
    <row r="312" spans="1:11" s="27" customFormat="1" ht="18" hidden="1" customHeight="1" x14ac:dyDescent="0.25">
      <c r="A312" s="6"/>
      <c r="B312" s="441"/>
      <c r="C312" s="3601" t="s">
        <v>3893</v>
      </c>
      <c r="D312" s="4154">
        <v>0</v>
      </c>
      <c r="E312" s="3602">
        <v>0</v>
      </c>
      <c r="F312" s="3602">
        <v>0</v>
      </c>
      <c r="G312" s="3602">
        <v>0</v>
      </c>
      <c r="H312" s="1463"/>
      <c r="J312" s="995"/>
      <c r="K312" s="995"/>
    </row>
    <row r="313" spans="1:11" s="27" customFormat="1" ht="14.25" hidden="1" customHeight="1" x14ac:dyDescent="0.25">
      <c r="A313" s="6"/>
      <c r="B313" s="441"/>
      <c r="C313" s="3731" t="s">
        <v>3894</v>
      </c>
      <c r="D313" s="4286">
        <v>724999950</v>
      </c>
      <c r="E313" s="2708">
        <v>724999950</v>
      </c>
      <c r="F313" s="2685">
        <f t="shared" ref="F313" si="17">E313/D313*100</f>
        <v>100</v>
      </c>
      <c r="G313" s="2708">
        <v>100</v>
      </c>
      <c r="H313" s="3711"/>
      <c r="J313" s="995"/>
      <c r="K313" s="995"/>
    </row>
    <row r="314" spans="1:11" s="27" customFormat="1" ht="16.5" hidden="1" customHeight="1" x14ac:dyDescent="0.25">
      <c r="A314" s="6"/>
      <c r="B314" s="449"/>
      <c r="C314" s="3600" t="s">
        <v>3895</v>
      </c>
      <c r="D314" s="4154">
        <v>0</v>
      </c>
      <c r="E314" s="3602">
        <v>0</v>
      </c>
      <c r="F314" s="3602">
        <v>0</v>
      </c>
      <c r="G314" s="3602">
        <v>0</v>
      </c>
      <c r="H314" s="1463"/>
      <c r="J314" s="995"/>
      <c r="K314" s="995"/>
    </row>
    <row r="315" spans="1:11" s="27" customFormat="1" ht="16.5" hidden="1" customHeight="1" x14ac:dyDescent="0.25">
      <c r="A315" s="6"/>
      <c r="B315" s="441"/>
      <c r="C315" s="3601" t="s">
        <v>3896</v>
      </c>
      <c r="D315" s="4287">
        <v>724999950</v>
      </c>
      <c r="E315" s="2804">
        <v>724999950</v>
      </c>
      <c r="F315" s="2685">
        <f t="shared" ref="F315:F323" si="18">E315/D315*100</f>
        <v>100</v>
      </c>
      <c r="G315" s="2804">
        <v>100</v>
      </c>
      <c r="H315" s="3712"/>
      <c r="J315" s="995"/>
      <c r="K315" s="995"/>
    </row>
    <row r="316" spans="1:11" s="27" customFormat="1" ht="14.25" hidden="1" customHeight="1" x14ac:dyDescent="0.25">
      <c r="A316" s="6"/>
      <c r="B316" s="441"/>
      <c r="C316" s="3601" t="s">
        <v>3897</v>
      </c>
      <c r="D316" s="4287">
        <v>724999950</v>
      </c>
      <c r="E316" s="2685">
        <v>724999950</v>
      </c>
      <c r="F316" s="2685">
        <f t="shared" si="18"/>
        <v>100</v>
      </c>
      <c r="G316" s="2804">
        <v>100</v>
      </c>
      <c r="H316" s="1463"/>
      <c r="J316" s="995"/>
      <c r="K316" s="995"/>
    </row>
    <row r="317" spans="1:11" s="27" customFormat="1" ht="15.75" hidden="1" customHeight="1" x14ac:dyDescent="0.25">
      <c r="A317" s="6"/>
      <c r="B317" s="441"/>
      <c r="C317" s="3731" t="s">
        <v>3898</v>
      </c>
      <c r="D317" s="4287">
        <v>724999950</v>
      </c>
      <c r="E317" s="2685">
        <v>724999950</v>
      </c>
      <c r="F317" s="2685">
        <f t="shared" si="18"/>
        <v>100</v>
      </c>
      <c r="G317" s="2804">
        <v>100</v>
      </c>
      <c r="H317" s="1463"/>
      <c r="J317" s="995"/>
      <c r="K317" s="995"/>
    </row>
    <row r="318" spans="1:11" s="27" customFormat="1" ht="14.25" hidden="1" customHeight="1" x14ac:dyDescent="0.25">
      <c r="A318" s="6"/>
      <c r="B318" s="441"/>
      <c r="C318" s="3603" t="s">
        <v>3899</v>
      </c>
      <c r="D318" s="4286">
        <v>450000000</v>
      </c>
      <c r="E318" s="2708">
        <v>450000000</v>
      </c>
      <c r="F318" s="2685">
        <f t="shared" si="18"/>
        <v>100</v>
      </c>
      <c r="G318" s="2810">
        <v>100</v>
      </c>
      <c r="H318" s="1463"/>
      <c r="J318" s="995"/>
      <c r="K318" s="995"/>
    </row>
    <row r="319" spans="1:11" s="27" customFormat="1" ht="15.75" hidden="1" customHeight="1" x14ac:dyDescent="0.25">
      <c r="A319" s="6"/>
      <c r="B319" s="441"/>
      <c r="C319" s="3603" t="s">
        <v>3900</v>
      </c>
      <c r="D319" s="3622">
        <v>225000000</v>
      </c>
      <c r="E319" s="3606">
        <v>225000000</v>
      </c>
      <c r="F319" s="2685">
        <f t="shared" si="18"/>
        <v>100</v>
      </c>
      <c r="G319" s="2810">
        <v>100</v>
      </c>
      <c r="H319" s="1463"/>
      <c r="J319" s="995"/>
      <c r="K319" s="995"/>
    </row>
    <row r="320" spans="1:11" s="27" customFormat="1" ht="15" hidden="1" customHeight="1" x14ac:dyDescent="0.25">
      <c r="A320" s="6"/>
      <c r="B320" s="441"/>
      <c r="C320" s="3603" t="s">
        <v>3901</v>
      </c>
      <c r="D320" s="4287">
        <v>280000000</v>
      </c>
      <c r="E320" s="2685">
        <v>280000000</v>
      </c>
      <c r="F320" s="2685">
        <f t="shared" si="18"/>
        <v>100</v>
      </c>
      <c r="G320" s="2810">
        <v>100</v>
      </c>
      <c r="H320" s="1463"/>
      <c r="J320" s="995"/>
      <c r="K320" s="995"/>
    </row>
    <row r="321" spans="1:11" s="27" customFormat="1" ht="15" hidden="1" customHeight="1" x14ac:dyDescent="0.25">
      <c r="A321" s="6"/>
      <c r="B321" s="441"/>
      <c r="C321" s="3604" t="s">
        <v>3902</v>
      </c>
      <c r="D321" s="4290">
        <v>225000000</v>
      </c>
      <c r="E321" s="2708">
        <v>225000000</v>
      </c>
      <c r="F321" s="2685">
        <f t="shared" si="18"/>
        <v>100</v>
      </c>
      <c r="G321" s="2810">
        <v>100</v>
      </c>
      <c r="H321" s="3711"/>
      <c r="J321" s="995"/>
      <c r="K321" s="995"/>
    </row>
    <row r="322" spans="1:11" s="27" customFormat="1" ht="15" hidden="1" customHeight="1" x14ac:dyDescent="0.25">
      <c r="A322" s="6"/>
      <c r="B322" s="449"/>
      <c r="C322" s="3603" t="s">
        <v>3903</v>
      </c>
      <c r="D322" s="3704">
        <v>210000000</v>
      </c>
      <c r="E322" s="2685">
        <v>210000000</v>
      </c>
      <c r="F322" s="2685">
        <f t="shared" si="18"/>
        <v>100</v>
      </c>
      <c r="G322" s="2810">
        <v>100</v>
      </c>
      <c r="H322" s="1463"/>
      <c r="J322" s="995"/>
      <c r="K322" s="995"/>
    </row>
    <row r="323" spans="1:11" s="27" customFormat="1" ht="18" hidden="1" customHeight="1" x14ac:dyDescent="0.25">
      <c r="A323" s="6"/>
      <c r="B323" s="441"/>
      <c r="C323" s="3605" t="s">
        <v>3904</v>
      </c>
      <c r="D323" s="4287">
        <v>210000000</v>
      </c>
      <c r="E323" s="2804">
        <v>210000000</v>
      </c>
      <c r="F323" s="2804">
        <f t="shared" si="18"/>
        <v>100</v>
      </c>
      <c r="G323" s="2879">
        <v>100</v>
      </c>
      <c r="H323" s="3712"/>
      <c r="J323" s="995"/>
      <c r="K323" s="995"/>
    </row>
    <row r="324" spans="1:11" s="27" customFormat="1" ht="9" hidden="1" customHeight="1" x14ac:dyDescent="0.25">
      <c r="A324" s="6"/>
      <c r="B324" s="441"/>
      <c r="C324" s="3601"/>
      <c r="D324" s="3704"/>
      <c r="E324" s="2685"/>
      <c r="F324" s="2690"/>
      <c r="G324" s="2844"/>
      <c r="H324" s="1463"/>
      <c r="J324" s="995"/>
      <c r="K324" s="995"/>
    </row>
    <row r="325" spans="1:11" s="27" customFormat="1" ht="18.75" customHeight="1" x14ac:dyDescent="0.25">
      <c r="A325" s="6"/>
      <c r="B325" s="441"/>
      <c r="C325" s="3732" t="s">
        <v>658</v>
      </c>
      <c r="D325" s="4280">
        <f>SUM(D326+D327)</f>
        <v>1550716252</v>
      </c>
      <c r="E325" s="2722">
        <f>SUM(E326+E327)</f>
        <v>1550716252</v>
      </c>
      <c r="F325" s="2679">
        <f t="shared" ref="F325:F336" si="19">E325/D325*100</f>
        <v>100</v>
      </c>
      <c r="G325" s="2813">
        <f>SUM(G326:G327)/2</f>
        <v>100</v>
      </c>
      <c r="H325" s="1463"/>
      <c r="J325" s="995"/>
      <c r="K325" s="995"/>
    </row>
    <row r="326" spans="1:11" s="27" customFormat="1" ht="17.25" hidden="1" customHeight="1" x14ac:dyDescent="0.25">
      <c r="A326" s="6"/>
      <c r="B326" s="441"/>
      <c r="C326" s="3603" t="s">
        <v>3446</v>
      </c>
      <c r="D326" s="3622">
        <v>1310716252</v>
      </c>
      <c r="E326" s="3606">
        <v>1310716252</v>
      </c>
      <c r="F326" s="2685">
        <f t="shared" si="19"/>
        <v>100</v>
      </c>
      <c r="G326" s="2810">
        <v>100</v>
      </c>
      <c r="H326" s="1463"/>
      <c r="J326" s="995"/>
      <c r="K326" s="995"/>
    </row>
    <row r="327" spans="1:11" s="27" customFormat="1" ht="14.25" hidden="1" customHeight="1" x14ac:dyDescent="0.25">
      <c r="A327" s="6"/>
      <c r="B327" s="441"/>
      <c r="C327" s="3603" t="s">
        <v>3447</v>
      </c>
      <c r="D327" s="3704">
        <v>240000000</v>
      </c>
      <c r="E327" s="2685">
        <v>240000000</v>
      </c>
      <c r="F327" s="2685">
        <f t="shared" si="19"/>
        <v>100</v>
      </c>
      <c r="G327" s="2810">
        <v>100</v>
      </c>
      <c r="H327" s="1463"/>
      <c r="J327" s="995"/>
      <c r="K327" s="995"/>
    </row>
    <row r="328" spans="1:11" s="27" customFormat="1" ht="11.25" hidden="1" customHeight="1" x14ac:dyDescent="0.25">
      <c r="A328" s="6"/>
      <c r="B328" s="441"/>
      <c r="C328" s="3600"/>
      <c r="D328" s="3704"/>
      <c r="E328" s="2685"/>
      <c r="F328" s="2690"/>
      <c r="G328" s="2844"/>
      <c r="H328" s="1463"/>
      <c r="J328" s="995"/>
      <c r="K328" s="995"/>
    </row>
    <row r="329" spans="1:11" s="27" customFormat="1" ht="16.5" customHeight="1" x14ac:dyDescent="0.25">
      <c r="A329" s="6"/>
      <c r="B329" s="441"/>
      <c r="C329" s="2491" t="s">
        <v>3448</v>
      </c>
      <c r="D329" s="4159">
        <f>SUM(D330:D336)</f>
        <v>2760000000</v>
      </c>
      <c r="E329" s="2813">
        <f>SUM(E330:E336)</f>
        <v>2520000000</v>
      </c>
      <c r="F329" s="2679">
        <f t="shared" si="19"/>
        <v>91.304347826086953</v>
      </c>
      <c r="G329" s="2679">
        <f>SUM(G330:G336)/7</f>
        <v>85.714285714285708</v>
      </c>
      <c r="H329" s="1463"/>
      <c r="J329" s="995"/>
      <c r="K329" s="995"/>
    </row>
    <row r="330" spans="1:11" s="27" customFormat="1" ht="15.75" hidden="1" customHeight="1" x14ac:dyDescent="0.25">
      <c r="A330" s="6"/>
      <c r="B330" s="441"/>
      <c r="C330" s="2495" t="s">
        <v>6436</v>
      </c>
      <c r="D330" s="3704">
        <v>1500000000</v>
      </c>
      <c r="E330" s="2685">
        <v>1500000000</v>
      </c>
      <c r="F330" s="2685">
        <f t="shared" si="19"/>
        <v>100</v>
      </c>
      <c r="G330" s="2685">
        <v>100</v>
      </c>
      <c r="H330" s="1463"/>
      <c r="J330" s="995"/>
      <c r="K330" s="995"/>
    </row>
    <row r="331" spans="1:11" s="27" customFormat="1" ht="15.75" hidden="1" customHeight="1" x14ac:dyDescent="0.25">
      <c r="A331" s="6"/>
      <c r="B331" s="441"/>
      <c r="C331" s="2495" t="s">
        <v>3449</v>
      </c>
      <c r="D331" s="3704">
        <v>150000000</v>
      </c>
      <c r="E331" s="2685">
        <v>0</v>
      </c>
      <c r="F331" s="2685">
        <v>0</v>
      </c>
      <c r="G331" s="2685">
        <v>0</v>
      </c>
      <c r="H331" s="1463"/>
      <c r="J331" s="995"/>
      <c r="K331" s="995"/>
    </row>
    <row r="332" spans="1:11" s="27" customFormat="1" ht="15" hidden="1" customHeight="1" x14ac:dyDescent="0.25">
      <c r="A332" s="6"/>
      <c r="B332" s="441"/>
      <c r="C332" s="3607" t="s">
        <v>6437</v>
      </c>
      <c r="D332" s="4287">
        <v>200000000</v>
      </c>
      <c r="E332" s="2685">
        <v>200000000</v>
      </c>
      <c r="F332" s="2685">
        <f t="shared" si="19"/>
        <v>100</v>
      </c>
      <c r="G332" s="2685">
        <v>100</v>
      </c>
      <c r="H332" s="1463"/>
      <c r="J332" s="995"/>
      <c r="K332" s="995"/>
    </row>
    <row r="333" spans="1:11" s="27" customFormat="1" ht="15" hidden="1" customHeight="1" x14ac:dyDescent="0.25">
      <c r="A333" s="6"/>
      <c r="B333" s="441"/>
      <c r="C333" s="3607" t="s">
        <v>3450</v>
      </c>
      <c r="D333" s="4287">
        <v>240000000</v>
      </c>
      <c r="E333" s="2685">
        <v>200000000</v>
      </c>
      <c r="F333" s="2685">
        <f t="shared" si="19"/>
        <v>83.333333333333343</v>
      </c>
      <c r="G333" s="2685">
        <v>100</v>
      </c>
      <c r="H333" s="1463"/>
      <c r="J333" s="995"/>
      <c r="K333" s="995"/>
    </row>
    <row r="334" spans="1:11" s="27" customFormat="1" ht="16.5" hidden="1" customHeight="1" x14ac:dyDescent="0.25">
      <c r="A334" s="6"/>
      <c r="B334" s="441"/>
      <c r="C334" s="3607" t="s">
        <v>3451</v>
      </c>
      <c r="D334" s="4287">
        <v>160000000</v>
      </c>
      <c r="E334" s="2685">
        <v>160000000</v>
      </c>
      <c r="F334" s="2685">
        <f t="shared" si="19"/>
        <v>100</v>
      </c>
      <c r="G334" s="2685">
        <v>100</v>
      </c>
      <c r="H334" s="1463"/>
      <c r="J334" s="995"/>
      <c r="K334" s="995"/>
    </row>
    <row r="335" spans="1:11" s="27" customFormat="1" ht="16.5" hidden="1" customHeight="1" x14ac:dyDescent="0.25">
      <c r="A335" s="6"/>
      <c r="B335" s="441"/>
      <c r="C335" s="3608" t="s">
        <v>3453</v>
      </c>
      <c r="D335" s="3704">
        <v>360000000</v>
      </c>
      <c r="E335" s="2685">
        <v>320000000</v>
      </c>
      <c r="F335" s="2685">
        <f t="shared" si="19"/>
        <v>88.888888888888886</v>
      </c>
      <c r="G335" s="2685">
        <v>100</v>
      </c>
      <c r="H335" s="1463"/>
      <c r="J335" s="995"/>
      <c r="K335" s="995"/>
    </row>
    <row r="336" spans="1:11" s="27" customFormat="1" ht="18" hidden="1" customHeight="1" x14ac:dyDescent="0.25">
      <c r="A336" s="6"/>
      <c r="B336" s="441"/>
      <c r="C336" s="3607" t="s">
        <v>3452</v>
      </c>
      <c r="D336" s="3704">
        <v>150000000</v>
      </c>
      <c r="E336" s="2685">
        <v>140000000</v>
      </c>
      <c r="F336" s="2685">
        <f t="shared" si="19"/>
        <v>93.333333333333329</v>
      </c>
      <c r="G336" s="2685">
        <v>100</v>
      </c>
      <c r="H336" s="1463"/>
      <c r="J336" s="995"/>
      <c r="K336" s="995"/>
    </row>
    <row r="337" spans="1:11" ht="13.5" hidden="1" customHeight="1" x14ac:dyDescent="0.25">
      <c r="B337" s="441"/>
      <c r="C337" s="2496"/>
      <c r="D337" s="4276"/>
      <c r="E337" s="3035"/>
      <c r="F337" s="3035"/>
      <c r="G337" s="3035"/>
      <c r="H337" s="1463"/>
    </row>
    <row r="338" spans="1:11" s="27" customFormat="1" ht="18.75" customHeight="1" x14ac:dyDescent="0.25">
      <c r="A338" s="6"/>
      <c r="B338" s="440"/>
      <c r="C338" s="2497" t="s">
        <v>252</v>
      </c>
      <c r="D338" s="4080">
        <f>SUM(D339+D342+D370)</f>
        <v>18418279696</v>
      </c>
      <c r="E338" s="2786">
        <f>SUM(E339+E342+E370)</f>
        <v>18418279696</v>
      </c>
      <c r="F338" s="2672">
        <f>E338/D338*100</f>
        <v>100</v>
      </c>
      <c r="G338" s="2786">
        <f>SUM(G339+G342+G370)/3</f>
        <v>100</v>
      </c>
      <c r="H338" s="1463"/>
      <c r="J338" s="995"/>
      <c r="K338" s="995"/>
    </row>
    <row r="339" spans="1:11" s="27" customFormat="1" ht="16.5" customHeight="1" x14ac:dyDescent="0.25">
      <c r="A339" s="6"/>
      <c r="B339" s="441"/>
      <c r="C339" s="2498" t="s">
        <v>253</v>
      </c>
      <c r="D339" s="4296">
        <f>D340</f>
        <v>6707805540</v>
      </c>
      <c r="E339" s="2722">
        <f>E340</f>
        <v>6707805540</v>
      </c>
      <c r="F339" s="2679">
        <f t="shared" ref="F339:F374" si="20">E339/D339*100</f>
        <v>100</v>
      </c>
      <c r="G339" s="2722">
        <f>G340</f>
        <v>100</v>
      </c>
      <c r="H339" s="1463"/>
      <c r="J339" s="995"/>
      <c r="K339" s="995"/>
    </row>
    <row r="340" spans="1:11" s="27" customFormat="1" ht="18" hidden="1" customHeight="1" x14ac:dyDescent="0.25">
      <c r="A340" s="6"/>
      <c r="B340" s="441"/>
      <c r="C340" s="2489" t="s">
        <v>254</v>
      </c>
      <c r="D340" s="4066">
        <f>5019015540+1688790000</f>
        <v>6707805540</v>
      </c>
      <c r="E340" s="3977">
        <f>5019015540+1688790000</f>
        <v>6707805540</v>
      </c>
      <c r="F340" s="2685">
        <f t="shared" si="20"/>
        <v>100</v>
      </c>
      <c r="G340" s="2685">
        <v>100</v>
      </c>
      <c r="H340" s="1463"/>
      <c r="J340" s="995"/>
      <c r="K340" s="995"/>
    </row>
    <row r="341" spans="1:11" s="27" customFormat="1" ht="11.25" hidden="1" customHeight="1" x14ac:dyDescent="0.25">
      <c r="A341" s="6"/>
      <c r="B341" s="441"/>
      <c r="C341" s="2494"/>
      <c r="D341" s="3704"/>
      <c r="E341" s="2685"/>
      <c r="F341" s="2695"/>
      <c r="G341" s="2695"/>
      <c r="H341" s="1463"/>
      <c r="J341" s="995"/>
      <c r="K341" s="995"/>
    </row>
    <row r="342" spans="1:11" s="27" customFormat="1" ht="17.25" customHeight="1" x14ac:dyDescent="0.25">
      <c r="A342" s="6"/>
      <c r="B342" s="441"/>
      <c r="C342" s="2499" t="s">
        <v>255</v>
      </c>
      <c r="D342" s="4297">
        <f>SUM(D343:D368)</f>
        <v>6673340000</v>
      </c>
      <c r="E342" s="3978">
        <f>SUM(E343:E368)</f>
        <v>6673340000</v>
      </c>
      <c r="F342" s="2679">
        <f t="shared" si="20"/>
        <v>100</v>
      </c>
      <c r="G342" s="2695">
        <f>SUM(G343:G368)/24</f>
        <v>100</v>
      </c>
      <c r="H342" s="1463"/>
      <c r="J342" s="995"/>
      <c r="K342" s="995"/>
    </row>
    <row r="343" spans="1:11" s="27" customFormat="1" ht="19.5" hidden="1" customHeight="1" x14ac:dyDescent="0.25">
      <c r="A343" s="6"/>
      <c r="B343" s="441"/>
      <c r="C343" s="2492" t="s">
        <v>256</v>
      </c>
      <c r="D343" s="4066">
        <v>483620000</v>
      </c>
      <c r="E343" s="2685">
        <v>483620000</v>
      </c>
      <c r="F343" s="2685">
        <f t="shared" si="20"/>
        <v>100</v>
      </c>
      <c r="G343" s="2690">
        <v>100</v>
      </c>
      <c r="H343" s="1463"/>
      <c r="J343" s="995"/>
      <c r="K343" s="995"/>
    </row>
    <row r="344" spans="1:11" s="27" customFormat="1" ht="15.75" hidden="1" customHeight="1" x14ac:dyDescent="0.25">
      <c r="A344" s="6"/>
      <c r="B344" s="441"/>
      <c r="C344" s="2492" t="s">
        <v>257</v>
      </c>
      <c r="D344" s="3704">
        <v>498200000</v>
      </c>
      <c r="E344" s="2685">
        <v>498200000</v>
      </c>
      <c r="F344" s="2685">
        <f t="shared" si="20"/>
        <v>100</v>
      </c>
      <c r="G344" s="2690">
        <v>100</v>
      </c>
      <c r="H344" s="1463"/>
      <c r="J344" s="995"/>
      <c r="K344" s="995"/>
    </row>
    <row r="345" spans="1:11" s="27" customFormat="1" ht="20.25" hidden="1" customHeight="1" x14ac:dyDescent="0.25">
      <c r="A345" s="6"/>
      <c r="B345" s="441"/>
      <c r="C345" s="2492" t="s">
        <v>258</v>
      </c>
      <c r="D345" s="3704">
        <v>604000000</v>
      </c>
      <c r="E345" s="2685">
        <v>604000000</v>
      </c>
      <c r="F345" s="2685">
        <f t="shared" si="20"/>
        <v>100</v>
      </c>
      <c r="G345" s="2690">
        <v>100</v>
      </c>
      <c r="H345" s="1463"/>
      <c r="J345" s="995"/>
      <c r="K345" s="995"/>
    </row>
    <row r="346" spans="1:11" s="27" customFormat="1" ht="17.25" hidden="1" customHeight="1" x14ac:dyDescent="0.25">
      <c r="A346" s="6"/>
      <c r="B346" s="441"/>
      <c r="C346" s="2492" t="s">
        <v>259</v>
      </c>
      <c r="D346" s="3704">
        <v>144800000</v>
      </c>
      <c r="E346" s="2685">
        <v>144800000</v>
      </c>
      <c r="F346" s="2685">
        <f t="shared" si="20"/>
        <v>100</v>
      </c>
      <c r="G346" s="2690">
        <v>100</v>
      </c>
      <c r="H346" s="1463"/>
      <c r="J346" s="995"/>
      <c r="K346" s="995"/>
    </row>
    <row r="347" spans="1:11" s="27" customFormat="1" ht="17.25" hidden="1" customHeight="1" x14ac:dyDescent="0.25">
      <c r="A347" s="6"/>
      <c r="B347" s="441"/>
      <c r="C347" s="2492" t="s">
        <v>260</v>
      </c>
      <c r="D347" s="3704">
        <v>319760000</v>
      </c>
      <c r="E347" s="2685">
        <v>319760000</v>
      </c>
      <c r="F347" s="2685">
        <f t="shared" si="20"/>
        <v>100</v>
      </c>
      <c r="G347" s="2690">
        <v>100</v>
      </c>
      <c r="H347" s="1463"/>
      <c r="J347" s="995"/>
      <c r="K347" s="995"/>
    </row>
    <row r="348" spans="1:11" s="27" customFormat="1" ht="17.25" hidden="1" customHeight="1" x14ac:dyDescent="0.25">
      <c r="A348" s="6"/>
      <c r="B348" s="441"/>
      <c r="C348" s="2492" t="s">
        <v>261</v>
      </c>
      <c r="D348" s="4154">
        <v>0</v>
      </c>
      <c r="E348" s="3602">
        <v>0</v>
      </c>
      <c r="F348" s="3602">
        <v>0</v>
      </c>
      <c r="G348" s="3602">
        <v>0</v>
      </c>
      <c r="H348" s="1463"/>
      <c r="J348" s="995"/>
      <c r="K348" s="995"/>
    </row>
    <row r="349" spans="1:11" s="27" customFormat="1" ht="17.25" hidden="1" customHeight="1" x14ac:dyDescent="0.25">
      <c r="A349" s="6"/>
      <c r="B349" s="441"/>
      <c r="C349" s="2492" t="s">
        <v>262</v>
      </c>
      <c r="D349" s="3704">
        <v>193920000</v>
      </c>
      <c r="E349" s="2685">
        <v>193920000</v>
      </c>
      <c r="F349" s="2685">
        <f t="shared" si="20"/>
        <v>100</v>
      </c>
      <c r="G349" s="2690">
        <v>100</v>
      </c>
      <c r="H349" s="1463"/>
      <c r="J349" s="995"/>
      <c r="K349" s="995"/>
    </row>
    <row r="350" spans="1:11" s="27" customFormat="1" ht="18" hidden="1" customHeight="1" x14ac:dyDescent="0.25">
      <c r="A350" s="6"/>
      <c r="B350" s="441"/>
      <c r="C350" s="2492" t="s">
        <v>263</v>
      </c>
      <c r="D350" s="3704">
        <v>258920000</v>
      </c>
      <c r="E350" s="2685">
        <v>258920000</v>
      </c>
      <c r="F350" s="2685">
        <f t="shared" si="20"/>
        <v>100</v>
      </c>
      <c r="G350" s="2690">
        <v>100</v>
      </c>
      <c r="H350" s="1463"/>
      <c r="J350" s="995"/>
      <c r="K350" s="995"/>
    </row>
    <row r="351" spans="1:11" s="27" customFormat="1" ht="16.5" hidden="1" customHeight="1" x14ac:dyDescent="0.25">
      <c r="A351" s="6"/>
      <c r="B351" s="441"/>
      <c r="C351" s="3733" t="s">
        <v>264</v>
      </c>
      <c r="D351" s="4286">
        <v>266920000</v>
      </c>
      <c r="E351" s="2708">
        <v>266920000</v>
      </c>
      <c r="F351" s="2708">
        <f t="shared" si="20"/>
        <v>100</v>
      </c>
      <c r="G351" s="2690">
        <v>100</v>
      </c>
      <c r="H351" s="3711"/>
      <c r="J351" s="995"/>
      <c r="K351" s="995"/>
    </row>
    <row r="352" spans="1:11" s="27" customFormat="1" ht="18.75" hidden="1" customHeight="1" x14ac:dyDescent="0.25">
      <c r="A352" s="6"/>
      <c r="B352" s="449"/>
      <c r="C352" s="2492" t="s">
        <v>3457</v>
      </c>
      <c r="D352" s="3704">
        <v>434120000</v>
      </c>
      <c r="E352" s="2685">
        <v>434120000</v>
      </c>
      <c r="F352" s="2685">
        <f t="shared" si="20"/>
        <v>100</v>
      </c>
      <c r="G352" s="2690">
        <v>100</v>
      </c>
      <c r="H352" s="1463"/>
      <c r="J352" s="995"/>
      <c r="K352" s="995"/>
    </row>
    <row r="353" spans="1:11" s="27" customFormat="1" ht="20.25" hidden="1" customHeight="1" x14ac:dyDescent="0.25">
      <c r="A353" s="6"/>
      <c r="B353" s="441"/>
      <c r="C353" s="3613" t="s">
        <v>265</v>
      </c>
      <c r="D353" s="4287">
        <v>234700000</v>
      </c>
      <c r="E353" s="2804">
        <v>234700000</v>
      </c>
      <c r="F353" s="2804">
        <f t="shared" si="20"/>
        <v>100</v>
      </c>
      <c r="G353" s="2690">
        <v>100</v>
      </c>
      <c r="H353" s="3712"/>
      <c r="J353" s="995"/>
      <c r="K353" s="995"/>
    </row>
    <row r="354" spans="1:11" s="27" customFormat="1" ht="16.5" hidden="1" customHeight="1" x14ac:dyDescent="0.25">
      <c r="A354" s="6"/>
      <c r="B354" s="441"/>
      <c r="C354" s="2492" t="s">
        <v>266</v>
      </c>
      <c r="D354" s="3704">
        <v>271800000</v>
      </c>
      <c r="E354" s="2685">
        <v>271800000</v>
      </c>
      <c r="F354" s="2685">
        <f t="shared" si="20"/>
        <v>100</v>
      </c>
      <c r="G354" s="2690">
        <v>100</v>
      </c>
      <c r="H354" s="1463"/>
      <c r="J354" s="995"/>
      <c r="K354" s="995"/>
    </row>
    <row r="355" spans="1:11" s="27" customFormat="1" ht="20.25" hidden="1" customHeight="1" x14ac:dyDescent="0.25">
      <c r="A355" s="6"/>
      <c r="B355" s="441"/>
      <c r="C355" s="2492" t="s">
        <v>267</v>
      </c>
      <c r="D355" s="3704">
        <v>253300000</v>
      </c>
      <c r="E355" s="2685">
        <v>253300000</v>
      </c>
      <c r="F355" s="2685">
        <f t="shared" si="20"/>
        <v>100</v>
      </c>
      <c r="G355" s="2690">
        <v>100</v>
      </c>
      <c r="H355" s="1463"/>
      <c r="J355" s="995"/>
      <c r="K355" s="995"/>
    </row>
    <row r="356" spans="1:11" s="27" customFormat="1" ht="19.5" hidden="1" customHeight="1" x14ac:dyDescent="0.25">
      <c r="A356" s="6"/>
      <c r="B356" s="441"/>
      <c r="C356" s="2492" t="s">
        <v>268</v>
      </c>
      <c r="D356" s="3704">
        <v>432120000</v>
      </c>
      <c r="E356" s="2685">
        <v>432120000</v>
      </c>
      <c r="F356" s="2685">
        <f t="shared" si="20"/>
        <v>100</v>
      </c>
      <c r="G356" s="2690">
        <v>100</v>
      </c>
      <c r="H356" s="1463"/>
      <c r="J356" s="995"/>
      <c r="K356" s="995"/>
    </row>
    <row r="357" spans="1:11" s="27" customFormat="1" ht="19.5" hidden="1" customHeight="1" x14ac:dyDescent="0.25">
      <c r="A357" s="6"/>
      <c r="B357" s="441"/>
      <c r="C357" s="2492" t="s">
        <v>269</v>
      </c>
      <c r="D357" s="3704">
        <v>155920000</v>
      </c>
      <c r="E357" s="2685">
        <v>155920000</v>
      </c>
      <c r="F357" s="2685">
        <f t="shared" si="20"/>
        <v>100</v>
      </c>
      <c r="G357" s="2690">
        <v>100</v>
      </c>
      <c r="H357" s="1463"/>
      <c r="J357" s="995"/>
      <c r="K357" s="995"/>
    </row>
    <row r="358" spans="1:11" s="27" customFormat="1" ht="19.5" hidden="1" customHeight="1" x14ac:dyDescent="0.25">
      <c r="A358" s="6"/>
      <c r="B358" s="441"/>
      <c r="C358" s="2492" t="s">
        <v>270</v>
      </c>
      <c r="D358" s="3704">
        <v>222000000</v>
      </c>
      <c r="E358" s="2685">
        <v>222000000</v>
      </c>
      <c r="F358" s="2685">
        <f t="shared" si="20"/>
        <v>100</v>
      </c>
      <c r="G358" s="2690">
        <v>100</v>
      </c>
      <c r="H358" s="1463"/>
      <c r="J358" s="995"/>
      <c r="K358" s="995"/>
    </row>
    <row r="359" spans="1:11" s="27" customFormat="1" ht="18.75" hidden="1" customHeight="1" x14ac:dyDescent="0.25">
      <c r="A359" s="6"/>
      <c r="B359" s="441"/>
      <c r="C359" s="2492" t="s">
        <v>271</v>
      </c>
      <c r="D359" s="3704">
        <v>430620000</v>
      </c>
      <c r="E359" s="2685">
        <v>430620000</v>
      </c>
      <c r="F359" s="2685">
        <f t="shared" si="20"/>
        <v>100</v>
      </c>
      <c r="G359" s="2690">
        <v>100</v>
      </c>
      <c r="H359" s="1463"/>
      <c r="J359" s="995"/>
      <c r="K359" s="995"/>
    </row>
    <row r="360" spans="1:11" s="27" customFormat="1" ht="18.75" hidden="1" customHeight="1" x14ac:dyDescent="0.25">
      <c r="A360" s="6"/>
      <c r="B360" s="441"/>
      <c r="C360" s="2492" t="s">
        <v>272</v>
      </c>
      <c r="D360" s="3704">
        <v>164920000</v>
      </c>
      <c r="E360" s="2685">
        <v>164920000</v>
      </c>
      <c r="F360" s="2685">
        <f t="shared" si="20"/>
        <v>100</v>
      </c>
      <c r="G360" s="2690">
        <v>100</v>
      </c>
      <c r="H360" s="1463"/>
      <c r="J360" s="995"/>
      <c r="K360" s="995"/>
    </row>
    <row r="361" spans="1:11" s="27" customFormat="1" ht="19.5" hidden="1" customHeight="1" x14ac:dyDescent="0.25">
      <c r="A361" s="6"/>
      <c r="B361" s="441"/>
      <c r="C361" s="2492" t="s">
        <v>273</v>
      </c>
      <c r="D361" s="3704">
        <v>229800000</v>
      </c>
      <c r="E361" s="2685">
        <v>229800000</v>
      </c>
      <c r="F361" s="2685">
        <f t="shared" si="20"/>
        <v>100</v>
      </c>
      <c r="G361" s="2690">
        <v>100</v>
      </c>
      <c r="H361" s="1463"/>
      <c r="J361" s="995"/>
      <c r="K361" s="995"/>
    </row>
    <row r="362" spans="1:11" s="27" customFormat="1" ht="17.25" hidden="1" customHeight="1" x14ac:dyDescent="0.25">
      <c r="A362" s="6"/>
      <c r="B362" s="441"/>
      <c r="C362" s="2492" t="s">
        <v>274</v>
      </c>
      <c r="D362" s="4154">
        <v>0</v>
      </c>
      <c r="E362" s="3602">
        <v>0</v>
      </c>
      <c r="F362" s="3602">
        <v>0</v>
      </c>
      <c r="G362" s="3602">
        <v>0</v>
      </c>
      <c r="H362" s="1463"/>
      <c r="J362" s="995"/>
      <c r="K362" s="995"/>
    </row>
    <row r="363" spans="1:11" s="27" customFormat="1" ht="21" hidden="1" customHeight="1" x14ac:dyDescent="0.25">
      <c r="A363" s="6"/>
      <c r="B363" s="441"/>
      <c r="C363" s="2492" t="s">
        <v>275</v>
      </c>
      <c r="D363" s="3704">
        <v>322000000</v>
      </c>
      <c r="E363" s="2685">
        <v>322000000</v>
      </c>
      <c r="F363" s="2685">
        <f t="shared" si="20"/>
        <v>100</v>
      </c>
      <c r="G363" s="2690">
        <v>100</v>
      </c>
      <c r="H363" s="1463"/>
      <c r="J363" s="995"/>
      <c r="K363" s="995"/>
    </row>
    <row r="364" spans="1:11" s="27" customFormat="1" ht="18" hidden="1" customHeight="1" x14ac:dyDescent="0.25">
      <c r="A364" s="6"/>
      <c r="B364" s="441"/>
      <c r="C364" s="2492" t="s">
        <v>276</v>
      </c>
      <c r="D364" s="3704">
        <v>108800000</v>
      </c>
      <c r="E364" s="2685">
        <v>108800000</v>
      </c>
      <c r="F364" s="2685">
        <f t="shared" si="20"/>
        <v>100</v>
      </c>
      <c r="G364" s="2690">
        <v>100</v>
      </c>
      <c r="H364" s="1463"/>
      <c r="J364" s="995"/>
      <c r="K364" s="995"/>
    </row>
    <row r="365" spans="1:11" s="27" customFormat="1" ht="19.5" hidden="1" customHeight="1" x14ac:dyDescent="0.25">
      <c r="A365" s="6"/>
      <c r="B365" s="441"/>
      <c r="C365" s="2492" t="s">
        <v>277</v>
      </c>
      <c r="D365" s="3704">
        <v>220300000</v>
      </c>
      <c r="E365" s="2685">
        <v>220300000</v>
      </c>
      <c r="F365" s="2685">
        <f t="shared" si="20"/>
        <v>100</v>
      </c>
      <c r="G365" s="2690">
        <v>100</v>
      </c>
      <c r="H365" s="1463"/>
      <c r="J365" s="995"/>
      <c r="K365" s="995"/>
    </row>
    <row r="366" spans="1:11" s="27" customFormat="1" ht="17.25" hidden="1" customHeight="1" x14ac:dyDescent="0.25">
      <c r="A366" s="6"/>
      <c r="B366" s="441"/>
      <c r="C366" s="2492" t="s">
        <v>278</v>
      </c>
      <c r="D366" s="3704">
        <v>100000000</v>
      </c>
      <c r="E366" s="2685">
        <v>100000000</v>
      </c>
      <c r="F366" s="2685">
        <f t="shared" si="20"/>
        <v>100</v>
      </c>
      <c r="G366" s="2690">
        <v>100</v>
      </c>
      <c r="H366" s="1463"/>
      <c r="J366" s="995"/>
      <c r="K366" s="995"/>
    </row>
    <row r="367" spans="1:11" s="27" customFormat="1" ht="21" hidden="1" customHeight="1" x14ac:dyDescent="0.25">
      <c r="A367" s="6"/>
      <c r="B367" s="441"/>
      <c r="C367" s="2492" t="s">
        <v>279</v>
      </c>
      <c r="D367" s="3704">
        <v>100000000</v>
      </c>
      <c r="E367" s="2685">
        <v>100000000</v>
      </c>
      <c r="F367" s="2685">
        <f t="shared" si="20"/>
        <v>100</v>
      </c>
      <c r="G367" s="2690">
        <v>100</v>
      </c>
      <c r="H367" s="1463"/>
      <c r="J367" s="995"/>
      <c r="K367" s="995"/>
    </row>
    <row r="368" spans="1:11" s="27" customFormat="1" ht="16.5" hidden="1" customHeight="1" x14ac:dyDescent="0.25">
      <c r="A368" s="6"/>
      <c r="B368" s="441"/>
      <c r="C368" s="2492" t="s">
        <v>280</v>
      </c>
      <c r="D368" s="3704">
        <v>222800000</v>
      </c>
      <c r="E368" s="2685">
        <v>222800000</v>
      </c>
      <c r="F368" s="2685">
        <f t="shared" si="20"/>
        <v>100</v>
      </c>
      <c r="G368" s="2690">
        <v>100</v>
      </c>
      <c r="H368" s="1463"/>
      <c r="J368" s="995"/>
      <c r="K368" s="995"/>
    </row>
    <row r="369" spans="1:11" s="27" customFormat="1" ht="12" hidden="1" customHeight="1" x14ac:dyDescent="0.25">
      <c r="A369" s="6"/>
      <c r="B369" s="441"/>
      <c r="C369" s="2494"/>
      <c r="D369" s="3704"/>
      <c r="E369" s="2685"/>
      <c r="F369" s="2695"/>
      <c r="G369" s="2695"/>
      <c r="H369" s="1463"/>
      <c r="J369" s="995"/>
      <c r="K369" s="995"/>
    </row>
    <row r="370" spans="1:11" s="27" customFormat="1" ht="20.25" customHeight="1" x14ac:dyDescent="0.25">
      <c r="A370" s="6"/>
      <c r="B370" s="441"/>
      <c r="C370" s="2490" t="s">
        <v>281</v>
      </c>
      <c r="D370" s="4297">
        <f>SUM(D371:D374)</f>
        <v>5037134156</v>
      </c>
      <c r="E370" s="3978">
        <f>SUM(E371:E374)</f>
        <v>5037134156</v>
      </c>
      <c r="F370" s="2679">
        <f t="shared" si="20"/>
        <v>100</v>
      </c>
      <c r="G370" s="2679">
        <f>SUM(G371:G374)/4</f>
        <v>100</v>
      </c>
      <c r="H370" s="1463"/>
      <c r="J370" s="995"/>
      <c r="K370" s="995"/>
    </row>
    <row r="371" spans="1:11" s="27" customFormat="1" ht="18.75" hidden="1" customHeight="1" x14ac:dyDescent="0.25">
      <c r="A371" s="6"/>
      <c r="B371" s="441"/>
      <c r="C371" s="2500" t="s">
        <v>282</v>
      </c>
      <c r="D371" s="3704">
        <v>3157494156</v>
      </c>
      <c r="E371" s="2685">
        <v>3157494156</v>
      </c>
      <c r="F371" s="2685">
        <f t="shared" si="20"/>
        <v>100</v>
      </c>
      <c r="G371" s="2685">
        <v>100</v>
      </c>
      <c r="H371" s="1463"/>
      <c r="J371" s="995"/>
      <c r="K371" s="995"/>
    </row>
    <row r="372" spans="1:11" s="27" customFormat="1" ht="17.25" hidden="1" customHeight="1" x14ac:dyDescent="0.25">
      <c r="A372" s="6"/>
      <c r="B372" s="441"/>
      <c r="C372" s="2500" t="s">
        <v>283</v>
      </c>
      <c r="D372" s="3704">
        <v>621640000</v>
      </c>
      <c r="E372" s="2685">
        <v>621640000</v>
      </c>
      <c r="F372" s="2685">
        <f t="shared" si="20"/>
        <v>100</v>
      </c>
      <c r="G372" s="2685">
        <v>100</v>
      </c>
      <c r="H372" s="1463"/>
      <c r="J372" s="995"/>
      <c r="K372" s="995"/>
    </row>
    <row r="373" spans="1:11" s="27" customFormat="1" ht="17.25" hidden="1" customHeight="1" x14ac:dyDescent="0.25">
      <c r="A373" s="6"/>
      <c r="B373" s="441"/>
      <c r="C373" s="2501" t="s">
        <v>284</v>
      </c>
      <c r="D373" s="4290">
        <v>486000000</v>
      </c>
      <c r="E373" s="2685">
        <v>486000000</v>
      </c>
      <c r="F373" s="2685">
        <f t="shared" si="20"/>
        <v>100</v>
      </c>
      <c r="G373" s="2685">
        <v>100</v>
      </c>
      <c r="H373" s="1463"/>
      <c r="J373" s="995"/>
      <c r="K373" s="995"/>
    </row>
    <row r="374" spans="1:11" s="27" customFormat="1" ht="15.75" hidden="1" customHeight="1" x14ac:dyDescent="0.25">
      <c r="A374" s="6"/>
      <c r="B374" s="441"/>
      <c r="C374" s="2500" t="s">
        <v>285</v>
      </c>
      <c r="D374" s="3704">
        <v>772000000</v>
      </c>
      <c r="E374" s="2685">
        <v>772000000</v>
      </c>
      <c r="F374" s="2685">
        <f t="shared" si="20"/>
        <v>100</v>
      </c>
      <c r="G374" s="2685">
        <v>100</v>
      </c>
      <c r="H374" s="1463"/>
      <c r="J374" s="995"/>
      <c r="K374" s="995"/>
    </row>
    <row r="375" spans="1:11" ht="12" hidden="1" customHeight="1" x14ac:dyDescent="0.25">
      <c r="B375" s="441"/>
      <c r="C375" s="2496"/>
      <c r="D375" s="4285"/>
      <c r="E375" s="2778"/>
      <c r="F375" s="2778"/>
      <c r="G375" s="2778"/>
      <c r="H375" s="1463"/>
    </row>
    <row r="376" spans="1:11" s="27" customFormat="1" ht="15.75" customHeight="1" x14ac:dyDescent="0.25">
      <c r="A376" s="6"/>
      <c r="B376" s="440"/>
      <c r="C376" s="2497" t="s">
        <v>286</v>
      </c>
      <c r="D376" s="4080">
        <f>D377</f>
        <v>3931886655</v>
      </c>
      <c r="E376" s="3970">
        <f>E377</f>
        <v>3931886655</v>
      </c>
      <c r="F376" s="2672">
        <f>E376/D376*100</f>
        <v>100</v>
      </c>
      <c r="G376" s="2672">
        <f>G377</f>
        <v>100</v>
      </c>
      <c r="H376" s="1463"/>
      <c r="J376" s="995"/>
      <c r="K376" s="995"/>
    </row>
    <row r="377" spans="1:11" s="27" customFormat="1" ht="31.5" customHeight="1" x14ac:dyDescent="0.25">
      <c r="A377" s="6"/>
      <c r="B377" s="441"/>
      <c r="C377" s="2502" t="s">
        <v>287</v>
      </c>
      <c r="D377" s="4298">
        <f>D378</f>
        <v>3931886655</v>
      </c>
      <c r="E377" s="3980">
        <f>E378</f>
        <v>3931886655</v>
      </c>
      <c r="F377" s="2679">
        <f t="shared" ref="F377:F378" si="21">E377/D377*100</f>
        <v>100</v>
      </c>
      <c r="G377" s="2824">
        <f>G378</f>
        <v>100</v>
      </c>
      <c r="H377" s="1463"/>
      <c r="J377" s="995"/>
      <c r="K377" s="995"/>
    </row>
    <row r="378" spans="1:11" s="27" customFormat="1" ht="17.25" hidden="1" customHeight="1" x14ac:dyDescent="0.25">
      <c r="A378" s="6"/>
      <c r="B378" s="441"/>
      <c r="C378" s="2489" t="s">
        <v>288</v>
      </c>
      <c r="D378" s="4066">
        <v>3931886655</v>
      </c>
      <c r="E378" s="2690">
        <v>3931886655</v>
      </c>
      <c r="F378" s="2685">
        <f t="shared" si="21"/>
        <v>100</v>
      </c>
      <c r="G378" s="2690">
        <v>100</v>
      </c>
      <c r="H378" s="1463"/>
      <c r="J378" s="995"/>
      <c r="K378" s="995"/>
    </row>
    <row r="379" spans="1:11" ht="12" hidden="1" customHeight="1" x14ac:dyDescent="0.25">
      <c r="B379" s="441"/>
      <c r="C379" s="2503"/>
      <c r="D379" s="4299"/>
      <c r="E379" s="2784"/>
      <c r="F379" s="2784"/>
      <c r="G379" s="2784"/>
      <c r="H379" s="1463"/>
    </row>
    <row r="380" spans="1:11" s="27" customFormat="1" ht="16.5" customHeight="1" x14ac:dyDescent="0.25">
      <c r="A380" s="6"/>
      <c r="B380" s="440"/>
      <c r="C380" s="2497" t="s">
        <v>289</v>
      </c>
      <c r="D380" s="4080">
        <f>SUM(D381+D384)</f>
        <v>17784760000</v>
      </c>
      <c r="E380" s="2786">
        <f>SUM(E381+E384)</f>
        <v>17784760000</v>
      </c>
      <c r="F380" s="2672">
        <f>E380/D380*100</f>
        <v>100</v>
      </c>
      <c r="G380" s="2719">
        <f>SUM(G381+G384)/2</f>
        <v>100</v>
      </c>
      <c r="H380" s="1463"/>
      <c r="J380" s="995"/>
      <c r="K380" s="995"/>
    </row>
    <row r="381" spans="1:11" s="27" customFormat="1" ht="17.25" customHeight="1" x14ac:dyDescent="0.25">
      <c r="A381" s="6"/>
      <c r="B381" s="441"/>
      <c r="C381" s="2482" t="s">
        <v>290</v>
      </c>
      <c r="D381" s="4280">
        <f>D382</f>
        <v>13734760000</v>
      </c>
      <c r="E381" s="2801">
        <f>E382</f>
        <v>13734760000</v>
      </c>
      <c r="F381" s="2934">
        <f t="shared" ref="F381:F386" si="22">E381/D381*100</f>
        <v>100</v>
      </c>
      <c r="G381" s="2722">
        <f>G382</f>
        <v>100</v>
      </c>
      <c r="H381" s="3711"/>
      <c r="J381" s="995"/>
      <c r="K381" s="995"/>
    </row>
    <row r="382" spans="1:11" s="27" customFormat="1" ht="15" hidden="1" customHeight="1" x14ac:dyDescent="0.25">
      <c r="A382" s="6"/>
      <c r="B382" s="449"/>
      <c r="C382" s="2500" t="s">
        <v>291</v>
      </c>
      <c r="D382" s="4066">
        <v>13734760000</v>
      </c>
      <c r="E382" s="2685">
        <v>13734760000</v>
      </c>
      <c r="F382" s="2685">
        <f t="shared" si="22"/>
        <v>100</v>
      </c>
      <c r="G382" s="2685">
        <v>100</v>
      </c>
      <c r="H382" s="1463"/>
      <c r="J382" s="995"/>
      <c r="K382" s="995"/>
    </row>
    <row r="383" spans="1:11" s="27" customFormat="1" ht="8.25" hidden="1" customHeight="1" x14ac:dyDescent="0.25">
      <c r="A383" s="6"/>
      <c r="B383" s="449"/>
      <c r="C383" s="2500"/>
      <c r="D383" s="4066"/>
      <c r="E383" s="2685"/>
      <c r="F383" s="2685"/>
      <c r="G383" s="2685"/>
      <c r="H383" s="1463"/>
      <c r="J383" s="995"/>
      <c r="K383" s="995"/>
    </row>
    <row r="384" spans="1:11" s="27" customFormat="1" ht="15.75" customHeight="1" x14ac:dyDescent="0.25">
      <c r="A384" s="6"/>
      <c r="B384" s="441"/>
      <c r="C384" s="2509" t="s">
        <v>292</v>
      </c>
      <c r="D384" s="4158">
        <f>SUM(D385:D386)</f>
        <v>4050000000</v>
      </c>
      <c r="E384" s="3214">
        <f>SUM(E385:E386)</f>
        <v>4050000000</v>
      </c>
      <c r="F384" s="2725">
        <f t="shared" si="22"/>
        <v>100</v>
      </c>
      <c r="G384" s="2725">
        <f>SUM(G385:G386)/1</f>
        <v>100</v>
      </c>
      <c r="H384" s="3712"/>
      <c r="J384" s="995"/>
      <c r="K384" s="995"/>
    </row>
    <row r="385" spans="1:11" s="27" customFormat="1" ht="14.25" hidden="1" customHeight="1" x14ac:dyDescent="0.25">
      <c r="A385" s="6"/>
      <c r="B385" s="441"/>
      <c r="C385" s="2500" t="s">
        <v>293</v>
      </c>
      <c r="D385" s="4154">
        <v>0</v>
      </c>
      <c r="E385" s="3602">
        <v>0</v>
      </c>
      <c r="F385" s="3602">
        <v>0</v>
      </c>
      <c r="G385" s="3602">
        <v>0</v>
      </c>
      <c r="H385" s="1463"/>
      <c r="J385" s="995"/>
      <c r="K385" s="995"/>
    </row>
    <row r="386" spans="1:11" s="27" customFormat="1" ht="17.25" hidden="1" customHeight="1" x14ac:dyDescent="0.25">
      <c r="A386" s="6"/>
      <c r="B386" s="441"/>
      <c r="C386" s="2500" t="s">
        <v>3905</v>
      </c>
      <c r="D386" s="4071">
        <v>4050000000</v>
      </c>
      <c r="E386" s="2708">
        <v>4050000000</v>
      </c>
      <c r="F386" s="2685">
        <f t="shared" si="22"/>
        <v>100</v>
      </c>
      <c r="G386" s="2708">
        <v>100</v>
      </c>
      <c r="H386" s="1463"/>
      <c r="J386" s="995"/>
      <c r="K386" s="995"/>
    </row>
    <row r="387" spans="1:11" ht="12.75" hidden="1" customHeight="1" x14ac:dyDescent="0.25">
      <c r="B387" s="441"/>
      <c r="C387" s="2506"/>
      <c r="D387" s="4286"/>
      <c r="E387" s="2708"/>
      <c r="F387" s="2821"/>
      <c r="G387" s="2821"/>
      <c r="H387" s="1463"/>
    </row>
    <row r="388" spans="1:11" s="27" customFormat="1" ht="17.25" customHeight="1" x14ac:dyDescent="0.25">
      <c r="A388" s="6"/>
      <c r="B388" s="440"/>
      <c r="C388" s="2507" t="s">
        <v>294</v>
      </c>
      <c r="D388" s="4080">
        <f>SUM(D389+D401)</f>
        <v>5304012500</v>
      </c>
      <c r="E388" s="2786">
        <f>SUM(E389+E401)</f>
        <v>5289482500</v>
      </c>
      <c r="F388" s="2672">
        <f>E388/D388*100</f>
        <v>99.726056452544185</v>
      </c>
      <c r="G388" s="2672">
        <f>SUM(G389+G401)/2</f>
        <v>100</v>
      </c>
      <c r="H388" s="1463"/>
      <c r="J388" s="995"/>
      <c r="K388" s="995"/>
    </row>
    <row r="389" spans="1:11" s="27" customFormat="1" ht="17.25" customHeight="1" x14ac:dyDescent="0.25">
      <c r="A389" s="6"/>
      <c r="B389" s="441"/>
      <c r="C389" s="2508" t="s">
        <v>295</v>
      </c>
      <c r="D389" s="4296">
        <f>SUM(D390:D399)</f>
        <v>2654530000</v>
      </c>
      <c r="E389" s="3982">
        <f>SUM(E390:E399)</f>
        <v>2640000000</v>
      </c>
      <c r="F389" s="2679">
        <f t="shared" ref="F389:F390" si="23">E389/D389*100</f>
        <v>99.45263379958034</v>
      </c>
      <c r="G389" s="2785">
        <f>SUM(G390:G399)/4</f>
        <v>100</v>
      </c>
      <c r="H389" s="1463"/>
      <c r="J389" s="995"/>
      <c r="K389" s="995"/>
    </row>
    <row r="390" spans="1:11" s="27" customFormat="1" ht="15" hidden="1" customHeight="1" x14ac:dyDescent="0.25">
      <c r="A390" s="6"/>
      <c r="B390" s="441"/>
      <c r="C390" s="2492" t="s">
        <v>296</v>
      </c>
      <c r="D390" s="4066">
        <f>1850000000+14530000</f>
        <v>1864530000</v>
      </c>
      <c r="E390" s="2685">
        <v>1850000000</v>
      </c>
      <c r="F390" s="2685">
        <f t="shared" si="23"/>
        <v>99.22071514000848</v>
      </c>
      <c r="G390" s="2685">
        <v>100</v>
      </c>
      <c r="H390" s="1463"/>
      <c r="J390" s="995"/>
      <c r="K390" s="995"/>
    </row>
    <row r="391" spans="1:11" s="27" customFormat="1" ht="15.75" hidden="1" customHeight="1" x14ac:dyDescent="0.25">
      <c r="A391" s="6"/>
      <c r="B391" s="441"/>
      <c r="C391" s="2492" t="s">
        <v>297</v>
      </c>
      <c r="D391" s="4154">
        <v>0</v>
      </c>
      <c r="E391" s="3602">
        <v>0</v>
      </c>
      <c r="F391" s="3602">
        <v>0</v>
      </c>
      <c r="G391" s="3602">
        <v>0</v>
      </c>
      <c r="H391" s="1463"/>
      <c r="J391" s="995"/>
      <c r="K391" s="995"/>
    </row>
    <row r="392" spans="1:11" s="27" customFormat="1" ht="15" hidden="1" customHeight="1" x14ac:dyDescent="0.25">
      <c r="A392" s="6"/>
      <c r="B392" s="441"/>
      <c r="C392" s="2492" t="s">
        <v>298</v>
      </c>
      <c r="D392" s="4154">
        <v>0</v>
      </c>
      <c r="E392" s="3602">
        <v>0</v>
      </c>
      <c r="F392" s="3602">
        <v>0</v>
      </c>
      <c r="G392" s="3602">
        <v>0</v>
      </c>
      <c r="H392" s="1463"/>
      <c r="J392" s="995"/>
      <c r="K392" s="995"/>
    </row>
    <row r="393" spans="1:11" s="27" customFormat="1" ht="15" hidden="1" customHeight="1" x14ac:dyDescent="0.25">
      <c r="A393" s="6"/>
      <c r="B393" s="441"/>
      <c r="C393" s="2492" t="s">
        <v>299</v>
      </c>
      <c r="D393" s="4154">
        <v>0</v>
      </c>
      <c r="E393" s="3602">
        <v>0</v>
      </c>
      <c r="F393" s="3602">
        <v>0</v>
      </c>
      <c r="G393" s="3602">
        <v>0</v>
      </c>
      <c r="H393" s="1463"/>
      <c r="J393" s="995"/>
      <c r="K393" s="995"/>
    </row>
    <row r="394" spans="1:11" s="27" customFormat="1" ht="18" hidden="1" customHeight="1" x14ac:dyDescent="0.25">
      <c r="A394" s="6"/>
      <c r="B394" s="441"/>
      <c r="C394" s="2492" t="s">
        <v>300</v>
      </c>
      <c r="D394" s="4154">
        <v>0</v>
      </c>
      <c r="E394" s="3602">
        <v>0</v>
      </c>
      <c r="F394" s="3602">
        <v>0</v>
      </c>
      <c r="G394" s="3602">
        <v>0</v>
      </c>
      <c r="H394" s="1463"/>
      <c r="J394" s="995"/>
      <c r="K394" s="995"/>
    </row>
    <row r="395" spans="1:11" s="27" customFormat="1" ht="18" hidden="1" customHeight="1" x14ac:dyDescent="0.25">
      <c r="A395" s="6"/>
      <c r="B395" s="441"/>
      <c r="C395" s="2492" t="s">
        <v>301</v>
      </c>
      <c r="D395" s="4154">
        <v>0</v>
      </c>
      <c r="E395" s="3602">
        <v>0</v>
      </c>
      <c r="F395" s="3602">
        <v>0</v>
      </c>
      <c r="G395" s="3602">
        <v>0</v>
      </c>
      <c r="H395" s="1463"/>
      <c r="J395" s="995"/>
      <c r="K395" s="995"/>
    </row>
    <row r="396" spans="1:11" s="27" customFormat="1" ht="20.25" hidden="1" customHeight="1" x14ac:dyDescent="0.25">
      <c r="A396" s="6"/>
      <c r="B396" s="441"/>
      <c r="C396" s="2492" t="s">
        <v>302</v>
      </c>
      <c r="D396" s="4066">
        <v>250000000</v>
      </c>
      <c r="E396" s="2685">
        <v>250000000</v>
      </c>
      <c r="F396" s="2685">
        <f t="shared" ref="F396" si="24">E396/D396*100</f>
        <v>100</v>
      </c>
      <c r="G396" s="2685">
        <v>100</v>
      </c>
      <c r="H396" s="1463"/>
      <c r="J396" s="995"/>
      <c r="K396" s="995"/>
    </row>
    <row r="397" spans="1:11" s="27" customFormat="1" ht="16.5" hidden="1" customHeight="1" x14ac:dyDescent="0.25">
      <c r="A397" s="6"/>
      <c r="B397" s="441"/>
      <c r="C397" s="2492" t="s">
        <v>3910</v>
      </c>
      <c r="D397" s="4154">
        <v>0</v>
      </c>
      <c r="E397" s="3602">
        <v>0</v>
      </c>
      <c r="F397" s="3602">
        <v>0</v>
      </c>
      <c r="G397" s="3602">
        <v>0</v>
      </c>
      <c r="H397" s="1463"/>
      <c r="J397" s="995"/>
      <c r="K397" s="995"/>
    </row>
    <row r="398" spans="1:11" s="27" customFormat="1" ht="21.75" hidden="1" customHeight="1" x14ac:dyDescent="0.25">
      <c r="A398" s="6"/>
      <c r="B398" s="441"/>
      <c r="C398" s="2492" t="s">
        <v>3911</v>
      </c>
      <c r="D398" s="3704">
        <v>270000000</v>
      </c>
      <c r="E398" s="2685">
        <v>270000000</v>
      </c>
      <c r="F398" s="2685">
        <v>100</v>
      </c>
      <c r="G398" s="2685">
        <v>100</v>
      </c>
      <c r="H398" s="1463"/>
      <c r="J398" s="995"/>
      <c r="K398" s="995"/>
    </row>
    <row r="399" spans="1:11" s="27" customFormat="1" ht="15" hidden="1" customHeight="1" x14ac:dyDescent="0.25">
      <c r="A399" s="6"/>
      <c r="B399" s="441"/>
      <c r="C399" s="2492" t="s">
        <v>3912</v>
      </c>
      <c r="D399" s="3704">
        <v>270000000</v>
      </c>
      <c r="E399" s="2685">
        <v>270000000</v>
      </c>
      <c r="F399" s="2685">
        <v>100</v>
      </c>
      <c r="G399" s="2685">
        <v>100</v>
      </c>
      <c r="H399" s="1463"/>
      <c r="J399" s="995"/>
      <c r="K399" s="995"/>
    </row>
    <row r="400" spans="1:11" s="27" customFormat="1" ht="10.5" hidden="1" customHeight="1" x14ac:dyDescent="0.25">
      <c r="A400" s="6"/>
      <c r="B400" s="441"/>
      <c r="C400" s="2492"/>
      <c r="D400" s="4066"/>
      <c r="E400" s="2685"/>
      <c r="F400" s="2685"/>
      <c r="G400" s="2685"/>
      <c r="H400" s="1463"/>
      <c r="J400" s="995"/>
      <c r="K400" s="995"/>
    </row>
    <row r="401" spans="1:11" s="27" customFormat="1" ht="18" customHeight="1" x14ac:dyDescent="0.25">
      <c r="A401" s="6"/>
      <c r="B401" s="441"/>
      <c r="C401" s="3612" t="s">
        <v>303</v>
      </c>
      <c r="D401" s="4300">
        <f>SUM(D402:D408)</f>
        <v>2649482500</v>
      </c>
      <c r="E401" s="2821">
        <f>SUM(E402:E408)</f>
        <v>2649482500</v>
      </c>
      <c r="F401" s="2934">
        <f t="shared" ref="F401:F408" si="25">E401/D401*100</f>
        <v>100</v>
      </c>
      <c r="G401" s="2934">
        <f>SUM(G402:G408)/5</f>
        <v>100</v>
      </c>
      <c r="H401" s="3711"/>
      <c r="J401" s="995"/>
      <c r="K401" s="995"/>
    </row>
    <row r="402" spans="1:11" s="27" customFormat="1" ht="20.25" hidden="1" customHeight="1" x14ac:dyDescent="0.25">
      <c r="A402" s="6"/>
      <c r="B402" s="449"/>
      <c r="C402" s="2492" t="s">
        <v>304</v>
      </c>
      <c r="D402" s="4066">
        <v>596930000</v>
      </c>
      <c r="E402" s="2685">
        <v>596930000</v>
      </c>
      <c r="F402" s="2685">
        <f t="shared" si="25"/>
        <v>100</v>
      </c>
      <c r="G402" s="2685">
        <v>100</v>
      </c>
      <c r="H402" s="1463"/>
      <c r="J402" s="995"/>
      <c r="K402" s="995"/>
    </row>
    <row r="403" spans="1:11" s="27" customFormat="1" ht="18.75" hidden="1" customHeight="1" x14ac:dyDescent="0.25">
      <c r="A403" s="6"/>
      <c r="B403" s="441"/>
      <c r="C403" s="3613" t="s">
        <v>305</v>
      </c>
      <c r="D403" s="4154">
        <v>0</v>
      </c>
      <c r="E403" s="3602">
        <v>0</v>
      </c>
      <c r="F403" s="3602">
        <v>0</v>
      </c>
      <c r="G403" s="3602">
        <v>0</v>
      </c>
      <c r="H403" s="3712"/>
      <c r="J403" s="995"/>
      <c r="K403" s="995"/>
    </row>
    <row r="404" spans="1:11" s="27" customFormat="1" ht="18" hidden="1" customHeight="1" x14ac:dyDescent="0.25">
      <c r="A404" s="6"/>
      <c r="B404" s="441"/>
      <c r="C404" s="2492" t="s">
        <v>306</v>
      </c>
      <c r="D404" s="4066">
        <v>702930000</v>
      </c>
      <c r="E404" s="2685">
        <v>702930000</v>
      </c>
      <c r="F404" s="2685">
        <f t="shared" si="25"/>
        <v>100</v>
      </c>
      <c r="G404" s="2685">
        <v>100</v>
      </c>
      <c r="H404" s="1463"/>
      <c r="J404" s="995"/>
      <c r="K404" s="995"/>
    </row>
    <row r="405" spans="1:11" s="27" customFormat="1" ht="17.25" hidden="1" customHeight="1" x14ac:dyDescent="0.25">
      <c r="A405" s="6"/>
      <c r="B405" s="441"/>
      <c r="C405" s="2492" t="s">
        <v>307</v>
      </c>
      <c r="D405" s="4154">
        <v>0</v>
      </c>
      <c r="E405" s="3602">
        <v>0</v>
      </c>
      <c r="F405" s="3602">
        <v>0</v>
      </c>
      <c r="G405" s="3602">
        <v>0</v>
      </c>
      <c r="H405" s="1463"/>
      <c r="J405" s="995"/>
      <c r="K405" s="995"/>
    </row>
    <row r="406" spans="1:11" s="27" customFormat="1" ht="18" hidden="1" customHeight="1" x14ac:dyDescent="0.25">
      <c r="A406" s="6"/>
      <c r="B406" s="441"/>
      <c r="C406" s="2492" t="s">
        <v>308</v>
      </c>
      <c r="D406" s="4066">
        <v>389020000</v>
      </c>
      <c r="E406" s="2685">
        <v>389020000</v>
      </c>
      <c r="F406" s="2685">
        <f t="shared" si="25"/>
        <v>100</v>
      </c>
      <c r="G406" s="2685">
        <v>100</v>
      </c>
      <c r="H406" s="1463"/>
      <c r="J406" s="995"/>
      <c r="K406" s="995"/>
    </row>
    <row r="407" spans="1:11" s="27" customFormat="1" ht="16.5" hidden="1" customHeight="1" x14ac:dyDescent="0.25">
      <c r="A407" s="6"/>
      <c r="B407" s="441"/>
      <c r="C407" s="2492" t="s">
        <v>309</v>
      </c>
      <c r="D407" s="4066">
        <v>486372500</v>
      </c>
      <c r="E407" s="3974">
        <v>486372500</v>
      </c>
      <c r="F407" s="2685">
        <f t="shared" si="25"/>
        <v>100</v>
      </c>
      <c r="G407" s="2685">
        <v>100</v>
      </c>
      <c r="H407" s="1463"/>
      <c r="J407" s="995"/>
      <c r="K407" s="995"/>
    </row>
    <row r="408" spans="1:11" s="27" customFormat="1" ht="18" hidden="1" customHeight="1" x14ac:dyDescent="0.25">
      <c r="A408" s="6"/>
      <c r="B408" s="441"/>
      <c r="C408" s="3614" t="s">
        <v>3906</v>
      </c>
      <c r="D408" s="4066">
        <v>474230000</v>
      </c>
      <c r="E408" s="2685">
        <v>474230000</v>
      </c>
      <c r="F408" s="2685">
        <f t="shared" si="25"/>
        <v>100</v>
      </c>
      <c r="G408" s="2685">
        <v>100</v>
      </c>
      <c r="H408" s="1463"/>
      <c r="J408" s="995"/>
      <c r="K408" s="995"/>
    </row>
    <row r="409" spans="1:11" ht="15" hidden="1" customHeight="1" x14ac:dyDescent="0.25">
      <c r="B409" s="441"/>
      <c r="C409" s="3615"/>
      <c r="D409" s="4276"/>
      <c r="E409" s="3035"/>
      <c r="F409" s="3035"/>
      <c r="G409" s="3035"/>
      <c r="H409" s="1463"/>
    </row>
    <row r="410" spans="1:11" s="27" customFormat="1" ht="18" customHeight="1" x14ac:dyDescent="0.25">
      <c r="A410" s="6"/>
      <c r="B410" s="440"/>
      <c r="C410" s="2497" t="s">
        <v>3454</v>
      </c>
      <c r="D410" s="4080">
        <f>SUM(D411+D418+D423+D428+D434)</f>
        <v>7863772000</v>
      </c>
      <c r="E410" s="2786">
        <f>SUM(E411+E418+E423+E428+E434)</f>
        <v>7458126000</v>
      </c>
      <c r="F410" s="2719">
        <f>E410/D410*100</f>
        <v>94.841584928962845</v>
      </c>
      <c r="G410" s="2719">
        <f>SUM(G411+G418+G423+G428+G434)/5</f>
        <v>89.333333333333343</v>
      </c>
      <c r="H410" s="1463"/>
      <c r="J410" s="995"/>
      <c r="K410" s="995"/>
    </row>
    <row r="411" spans="1:11" s="27" customFormat="1" ht="18.75" customHeight="1" x14ac:dyDescent="0.25">
      <c r="A411" s="6"/>
      <c r="B411" s="441"/>
      <c r="C411" s="2482" t="s">
        <v>310</v>
      </c>
      <c r="D411" s="4280">
        <f>SUM(D412:D416)</f>
        <v>2147512000</v>
      </c>
      <c r="E411" s="2801">
        <f>SUM(E412:E416)</f>
        <v>1966727000</v>
      </c>
      <c r="F411" s="2679">
        <f t="shared" ref="F411:F426" si="26">E411/D411*100</f>
        <v>91.58165356002668</v>
      </c>
      <c r="G411" s="2722">
        <f>SUM(G412:G416)/5</f>
        <v>80</v>
      </c>
      <c r="H411" s="1463"/>
      <c r="J411" s="995"/>
      <c r="K411" s="995"/>
    </row>
    <row r="412" spans="1:11" s="27" customFormat="1" ht="16.5" hidden="1" customHeight="1" x14ac:dyDescent="0.25">
      <c r="A412" s="6"/>
      <c r="B412" s="441"/>
      <c r="C412" s="2494" t="s">
        <v>311</v>
      </c>
      <c r="D412" s="4066">
        <v>478400000</v>
      </c>
      <c r="E412" s="2685">
        <v>297615000</v>
      </c>
      <c r="F412" s="2685">
        <f>E412/D412*100</f>
        <v>62.210493311036785</v>
      </c>
      <c r="G412" s="2685">
        <v>0</v>
      </c>
      <c r="H412" s="1463"/>
      <c r="J412" s="995"/>
      <c r="K412" s="995"/>
    </row>
    <row r="413" spans="1:11" s="27" customFormat="1" ht="15.75" hidden="1" customHeight="1" x14ac:dyDescent="0.25">
      <c r="A413" s="6"/>
      <c r="B413" s="441"/>
      <c r="C413" s="2494" t="s">
        <v>312</v>
      </c>
      <c r="D413" s="4301">
        <v>379500000</v>
      </c>
      <c r="E413" s="2685">
        <v>379500000</v>
      </c>
      <c r="F413" s="2685">
        <f t="shared" si="26"/>
        <v>100</v>
      </c>
      <c r="G413" s="2685">
        <v>100</v>
      </c>
      <c r="H413" s="1463"/>
      <c r="J413" s="995"/>
      <c r="K413" s="995"/>
    </row>
    <row r="414" spans="1:11" s="27" customFormat="1" ht="16.5" hidden="1" customHeight="1" x14ac:dyDescent="0.25">
      <c r="A414" s="6"/>
      <c r="B414" s="441"/>
      <c r="C414" s="2494" t="s">
        <v>313</v>
      </c>
      <c r="D414" s="4066">
        <v>308000000</v>
      </c>
      <c r="E414" s="2685">
        <v>308000000</v>
      </c>
      <c r="F414" s="2685">
        <f t="shared" si="26"/>
        <v>100</v>
      </c>
      <c r="G414" s="2685">
        <v>100</v>
      </c>
      <c r="H414" s="1463"/>
      <c r="J414" s="995"/>
      <c r="K414" s="995"/>
    </row>
    <row r="415" spans="1:11" s="27" customFormat="1" ht="27.75" hidden="1" customHeight="1" x14ac:dyDescent="0.25">
      <c r="A415" s="6"/>
      <c r="B415" s="441"/>
      <c r="C415" s="2495" t="s">
        <v>3907</v>
      </c>
      <c r="D415" s="4071">
        <v>423500000</v>
      </c>
      <c r="E415" s="2708">
        <v>423500000</v>
      </c>
      <c r="F415" s="2708">
        <f t="shared" si="26"/>
        <v>100</v>
      </c>
      <c r="G415" s="2685">
        <v>100</v>
      </c>
      <c r="H415" s="3711"/>
      <c r="J415" s="995"/>
      <c r="K415" s="995"/>
    </row>
    <row r="416" spans="1:11" s="27" customFormat="1" ht="20.25" hidden="1" customHeight="1" x14ac:dyDescent="0.25">
      <c r="A416" s="6"/>
      <c r="B416" s="449"/>
      <c r="C416" s="2494" t="s">
        <v>3908</v>
      </c>
      <c r="D416" s="4066">
        <v>558112000</v>
      </c>
      <c r="E416" s="2685">
        <v>558112000</v>
      </c>
      <c r="F416" s="2685">
        <f t="shared" si="26"/>
        <v>100</v>
      </c>
      <c r="G416" s="2685">
        <v>100</v>
      </c>
      <c r="H416" s="1463"/>
      <c r="J416" s="995"/>
      <c r="K416" s="995"/>
    </row>
    <row r="417" spans="1:11" s="27" customFormat="1" ht="13.5" hidden="1" customHeight="1" x14ac:dyDescent="0.25">
      <c r="A417" s="6"/>
      <c r="B417" s="441"/>
      <c r="C417" s="3619"/>
      <c r="D417" s="4302"/>
      <c r="E417" s="2804"/>
      <c r="F417" s="2804"/>
      <c r="G417" s="2804"/>
      <c r="H417" s="3712"/>
      <c r="J417" s="995"/>
      <c r="K417" s="995"/>
    </row>
    <row r="418" spans="1:11" s="27" customFormat="1" ht="15.75" customHeight="1" x14ac:dyDescent="0.25">
      <c r="A418" s="6"/>
      <c r="B418" s="441"/>
      <c r="C418" s="2509" t="s">
        <v>314</v>
      </c>
      <c r="D418" s="4158">
        <f>SUM(D419:D421)</f>
        <v>955900000</v>
      </c>
      <c r="E418" s="3214">
        <f>SUM(E419:E421)</f>
        <v>955900000</v>
      </c>
      <c r="F418" s="2679">
        <f t="shared" si="26"/>
        <v>100</v>
      </c>
      <c r="G418" s="2679">
        <f>SUM(G419:G421)/3</f>
        <v>100</v>
      </c>
      <c r="H418" s="1463"/>
      <c r="J418" s="995"/>
      <c r="K418" s="995"/>
    </row>
    <row r="419" spans="1:11" s="27" customFormat="1" ht="18.75" hidden="1" customHeight="1" x14ac:dyDescent="0.25">
      <c r="A419" s="6"/>
      <c r="B419" s="441"/>
      <c r="C419" s="2492" t="s">
        <v>315</v>
      </c>
      <c r="D419" s="4066">
        <v>317900000</v>
      </c>
      <c r="E419" s="2685">
        <v>317900000</v>
      </c>
      <c r="F419" s="2685">
        <f t="shared" si="26"/>
        <v>100</v>
      </c>
      <c r="G419" s="2685">
        <v>100</v>
      </c>
      <c r="H419" s="1463"/>
      <c r="J419" s="995"/>
      <c r="K419" s="995"/>
    </row>
    <row r="420" spans="1:11" s="27" customFormat="1" ht="15.75" hidden="1" customHeight="1" x14ac:dyDescent="0.25">
      <c r="A420" s="6"/>
      <c r="B420" s="441"/>
      <c r="C420" s="2492" t="s">
        <v>316</v>
      </c>
      <c r="D420" s="4066">
        <v>324500000</v>
      </c>
      <c r="E420" s="3974">
        <v>324500000</v>
      </c>
      <c r="F420" s="2685">
        <f t="shared" si="26"/>
        <v>100</v>
      </c>
      <c r="G420" s="2685">
        <v>100</v>
      </c>
      <c r="H420" s="1463"/>
      <c r="J420" s="995"/>
      <c r="K420" s="995"/>
    </row>
    <row r="421" spans="1:11" s="27" customFormat="1" ht="15.75" hidden="1" customHeight="1" x14ac:dyDescent="0.25">
      <c r="A421" s="6"/>
      <c r="B421" s="441"/>
      <c r="C421" s="2485" t="s">
        <v>317</v>
      </c>
      <c r="D421" s="4066">
        <v>313500000</v>
      </c>
      <c r="E421" s="2685">
        <v>313500000</v>
      </c>
      <c r="F421" s="2685">
        <f t="shared" si="26"/>
        <v>100</v>
      </c>
      <c r="G421" s="2685">
        <v>100</v>
      </c>
      <c r="H421" s="1463"/>
      <c r="J421" s="995"/>
      <c r="K421" s="995"/>
    </row>
    <row r="422" spans="1:11" ht="12" hidden="1" customHeight="1" x14ac:dyDescent="0.25">
      <c r="B422" s="441"/>
      <c r="C422" s="2506"/>
      <c r="D422" s="4299"/>
      <c r="E422" s="2784"/>
      <c r="F422" s="2784"/>
      <c r="G422" s="2778"/>
      <c r="H422" s="1463"/>
    </row>
    <row r="423" spans="1:11" ht="21" customHeight="1" x14ac:dyDescent="0.25">
      <c r="B423" s="441"/>
      <c r="C423" s="2491" t="s">
        <v>318</v>
      </c>
      <c r="D423" s="4159">
        <f>SUM(D424:D426)</f>
        <v>1307700000</v>
      </c>
      <c r="E423" s="2813">
        <f>SUM(E424:E426)</f>
        <v>1307700000</v>
      </c>
      <c r="F423" s="2679">
        <f t="shared" si="26"/>
        <v>100</v>
      </c>
      <c r="G423" s="2695">
        <f>SUM(G424:G426)/3</f>
        <v>100</v>
      </c>
      <c r="H423" s="1463"/>
    </row>
    <row r="424" spans="1:11" ht="15" hidden="1" customHeight="1" x14ac:dyDescent="0.25">
      <c r="B424" s="441"/>
      <c r="C424" s="2494" t="s">
        <v>319</v>
      </c>
      <c r="D424" s="4066">
        <v>398500000</v>
      </c>
      <c r="E424" s="2690">
        <v>398500000</v>
      </c>
      <c r="F424" s="2685">
        <f t="shared" si="26"/>
        <v>100</v>
      </c>
      <c r="G424" s="2690">
        <v>100</v>
      </c>
      <c r="H424" s="1463"/>
    </row>
    <row r="425" spans="1:11" ht="14.25" hidden="1" customHeight="1" x14ac:dyDescent="0.25">
      <c r="B425" s="441"/>
      <c r="C425" s="2494" t="s">
        <v>320</v>
      </c>
      <c r="D425" s="4066">
        <v>459200000</v>
      </c>
      <c r="E425" s="2690">
        <v>459200000</v>
      </c>
      <c r="F425" s="2685">
        <f t="shared" si="26"/>
        <v>100</v>
      </c>
      <c r="G425" s="2690">
        <v>100</v>
      </c>
      <c r="H425" s="1463"/>
    </row>
    <row r="426" spans="1:11" ht="16.5" hidden="1" customHeight="1" x14ac:dyDescent="0.25">
      <c r="B426" s="441"/>
      <c r="C426" s="2494" t="s">
        <v>321</v>
      </c>
      <c r="D426" s="4066">
        <v>450000000</v>
      </c>
      <c r="E426" s="2690">
        <v>450000000</v>
      </c>
      <c r="F426" s="2685">
        <f t="shared" si="26"/>
        <v>100</v>
      </c>
      <c r="G426" s="2690">
        <v>100</v>
      </c>
      <c r="H426" s="1463"/>
    </row>
    <row r="427" spans="1:11" ht="11.25" hidden="1" customHeight="1" x14ac:dyDescent="0.25">
      <c r="B427" s="441"/>
      <c r="C427" s="2494"/>
      <c r="D427" s="4276"/>
      <c r="E427" s="3035"/>
      <c r="F427" s="3035"/>
      <c r="G427" s="3035"/>
      <c r="H427" s="1463"/>
    </row>
    <row r="428" spans="1:11" s="32" customFormat="1" ht="20.25" customHeight="1" x14ac:dyDescent="0.25">
      <c r="A428" s="1"/>
      <c r="B428" s="441"/>
      <c r="C428" s="2491" t="s">
        <v>322</v>
      </c>
      <c r="D428" s="4159">
        <f>SUM(D429:D432)</f>
        <v>1313557000</v>
      </c>
      <c r="E428" s="2813">
        <f>SUM(E429:E432)</f>
        <v>1088696000</v>
      </c>
      <c r="F428" s="2679">
        <f t="shared" ref="F428:F432" si="27">E428/D428*100</f>
        <v>82.881519416363361</v>
      </c>
      <c r="G428" s="2695">
        <f>SUM(G429:G432)/3</f>
        <v>66.666666666666671</v>
      </c>
      <c r="H428" s="1462"/>
      <c r="J428" s="1208"/>
      <c r="K428" s="1208"/>
    </row>
    <row r="429" spans="1:11" ht="15.75" hidden="1" customHeight="1" x14ac:dyDescent="0.25">
      <c r="B429" s="441"/>
      <c r="C429" s="2494" t="s">
        <v>323</v>
      </c>
      <c r="D429" s="4066">
        <v>495000000</v>
      </c>
      <c r="E429" s="2690">
        <v>270139000</v>
      </c>
      <c r="F429" s="2685">
        <f t="shared" si="27"/>
        <v>54.573535353535348</v>
      </c>
      <c r="G429" s="2685">
        <v>0</v>
      </c>
      <c r="H429" s="1463"/>
    </row>
    <row r="430" spans="1:11" ht="29.25" hidden="1" customHeight="1" x14ac:dyDescent="0.25">
      <c r="B430" s="441"/>
      <c r="C430" s="2494" t="s">
        <v>324</v>
      </c>
      <c r="D430" s="4066">
        <v>578900000</v>
      </c>
      <c r="E430" s="2690">
        <v>578900000</v>
      </c>
      <c r="F430" s="2685">
        <f t="shared" si="27"/>
        <v>100</v>
      </c>
      <c r="G430" s="2690">
        <v>100</v>
      </c>
      <c r="H430" s="1463"/>
    </row>
    <row r="431" spans="1:11" ht="15.75" hidden="1" customHeight="1" x14ac:dyDescent="0.25">
      <c r="B431" s="441"/>
      <c r="C431" s="2494" t="s">
        <v>325</v>
      </c>
      <c r="D431" s="4154">
        <v>0</v>
      </c>
      <c r="E431" s="3602">
        <v>0</v>
      </c>
      <c r="F431" s="3602">
        <v>0</v>
      </c>
      <c r="G431" s="3602">
        <v>0</v>
      </c>
      <c r="H431" s="1463"/>
    </row>
    <row r="432" spans="1:11" ht="15" hidden="1" customHeight="1" x14ac:dyDescent="0.25">
      <c r="B432" s="441"/>
      <c r="C432" s="2494" t="s">
        <v>3909</v>
      </c>
      <c r="D432" s="4066">
        <v>239657000</v>
      </c>
      <c r="E432" s="2690">
        <v>239657000</v>
      </c>
      <c r="F432" s="2685">
        <f t="shared" si="27"/>
        <v>100</v>
      </c>
      <c r="G432" s="2690">
        <v>100</v>
      </c>
      <c r="H432" s="1463"/>
    </row>
    <row r="433" spans="1:11" ht="10.5" hidden="1" customHeight="1" x14ac:dyDescent="0.25">
      <c r="B433" s="441"/>
      <c r="C433" s="2494"/>
      <c r="D433" s="4276"/>
      <c r="E433" s="3035"/>
      <c r="F433" s="3035"/>
      <c r="G433" s="3035"/>
      <c r="H433" s="1463"/>
    </row>
    <row r="434" spans="1:11" ht="30" customHeight="1" x14ac:dyDescent="0.25">
      <c r="B434" s="441"/>
      <c r="C434" s="2491" t="s">
        <v>326</v>
      </c>
      <c r="D434" s="4159">
        <f>SUM(D435:D436)</f>
        <v>2139103000</v>
      </c>
      <c r="E434" s="2813">
        <f>SUM(E435:E436)</f>
        <v>2139103000</v>
      </c>
      <c r="F434" s="2695">
        <f>E434/D434*100</f>
        <v>100</v>
      </c>
      <c r="G434" s="2695">
        <f>SUM(G435:G436)/2</f>
        <v>100</v>
      </c>
      <c r="H434" s="1463"/>
    </row>
    <row r="435" spans="1:11" ht="17.25" hidden="1" customHeight="1" x14ac:dyDescent="0.25">
      <c r="B435" s="441"/>
      <c r="C435" s="2494" t="s">
        <v>327</v>
      </c>
      <c r="D435" s="4066">
        <v>1781603000</v>
      </c>
      <c r="E435" s="2685">
        <v>1781603000</v>
      </c>
      <c r="F435" s="2685">
        <f t="shared" ref="F435:F436" si="28">E435/D435*100</f>
        <v>100</v>
      </c>
      <c r="G435" s="2685">
        <v>100</v>
      </c>
      <c r="H435" s="1463"/>
    </row>
    <row r="436" spans="1:11" ht="16.5" hidden="1" customHeight="1" x14ac:dyDescent="0.25">
      <c r="B436" s="441"/>
      <c r="C436" s="2494" t="s">
        <v>328</v>
      </c>
      <c r="D436" s="4066">
        <v>357500000</v>
      </c>
      <c r="E436" s="2690">
        <v>357500000</v>
      </c>
      <c r="F436" s="2685">
        <f t="shared" si="28"/>
        <v>100</v>
      </c>
      <c r="G436" s="2690">
        <v>100</v>
      </c>
      <c r="H436" s="1463"/>
    </row>
    <row r="437" spans="1:11" ht="12" hidden="1" customHeight="1" x14ac:dyDescent="0.25">
      <c r="B437" s="441"/>
      <c r="C437" s="2506"/>
      <c r="D437" s="4299"/>
      <c r="E437" s="2784"/>
      <c r="F437" s="2784"/>
      <c r="G437" s="2784"/>
      <c r="H437" s="1463"/>
    </row>
    <row r="438" spans="1:11" s="27" customFormat="1" ht="18.75" customHeight="1" x14ac:dyDescent="0.25">
      <c r="A438" s="6"/>
      <c r="B438" s="440"/>
      <c r="C438" s="2507" t="s">
        <v>329</v>
      </c>
      <c r="D438" s="4080">
        <f>D439</f>
        <v>5240000000</v>
      </c>
      <c r="E438" s="2719">
        <f>E439</f>
        <v>4793042000</v>
      </c>
      <c r="F438" s="2672">
        <f>E438/D438*100</f>
        <v>91.470267175572516</v>
      </c>
      <c r="G438" s="2672">
        <f>G439</f>
        <v>95.33</v>
      </c>
      <c r="H438" s="1463"/>
      <c r="J438" s="995"/>
      <c r="K438" s="995"/>
    </row>
    <row r="439" spans="1:11" s="27" customFormat="1" ht="17.25" customHeight="1" x14ac:dyDescent="0.25">
      <c r="A439" s="6"/>
      <c r="B439" s="441"/>
      <c r="C439" s="2508" t="s">
        <v>330</v>
      </c>
      <c r="D439" s="4296">
        <f>D440</f>
        <v>5240000000</v>
      </c>
      <c r="E439" s="3982">
        <f>E440</f>
        <v>4793042000</v>
      </c>
      <c r="F439" s="2785">
        <f>E439/D439*100</f>
        <v>91.470267175572516</v>
      </c>
      <c r="G439" s="3003">
        <f>G440</f>
        <v>95.33</v>
      </c>
      <c r="H439" s="1463"/>
      <c r="J439" s="995"/>
      <c r="K439" s="995"/>
    </row>
    <row r="440" spans="1:11" s="27" customFormat="1" ht="15" hidden="1" customHeight="1" x14ac:dyDescent="0.25">
      <c r="A440" s="6"/>
      <c r="B440" s="441"/>
      <c r="C440" s="3734" t="s">
        <v>331</v>
      </c>
      <c r="D440" s="4071">
        <v>5240000000</v>
      </c>
      <c r="E440" s="2710">
        <f>4778512000+14530000</f>
        <v>4793042000</v>
      </c>
      <c r="F440" s="2710">
        <f>E440/D440*100</f>
        <v>91.470267175572516</v>
      </c>
      <c r="G440" s="2710">
        <v>95.33</v>
      </c>
      <c r="H440" s="3711"/>
      <c r="J440" s="995"/>
      <c r="K440" s="995"/>
    </row>
    <row r="441" spans="1:11" ht="12" hidden="1" customHeight="1" x14ac:dyDescent="0.25">
      <c r="B441" s="449"/>
      <c r="C441" s="2494"/>
      <c r="D441" s="4276"/>
      <c r="E441" s="3035"/>
      <c r="F441" s="3035"/>
      <c r="G441" s="3035"/>
      <c r="H441" s="1463"/>
    </row>
    <row r="442" spans="1:11" ht="15.75" customHeight="1" x14ac:dyDescent="0.25">
      <c r="B442" s="459"/>
      <c r="C442" s="2503" t="s">
        <v>332</v>
      </c>
      <c r="D442" s="4303">
        <f>SUM(D443)</f>
        <v>54214174047</v>
      </c>
      <c r="E442" s="2955">
        <f>SUM(E443)</f>
        <v>54214174047</v>
      </c>
      <c r="F442" s="2962">
        <f>E442/D442*100</f>
        <v>100</v>
      </c>
      <c r="G442" s="2962">
        <f>SUM(G443)/1</f>
        <v>100</v>
      </c>
      <c r="H442" s="3712"/>
    </row>
    <row r="443" spans="1:11" ht="15.75" customHeight="1" x14ac:dyDescent="0.25">
      <c r="B443" s="441"/>
      <c r="C443" s="2505" t="s">
        <v>333</v>
      </c>
      <c r="D443" s="4298">
        <f>SUM(D444:D449)</f>
        <v>54214174047</v>
      </c>
      <c r="E443" s="3980">
        <f>SUM(E444:E449)</f>
        <v>54214174047</v>
      </c>
      <c r="F443" s="2785">
        <f>E443/D443*100</f>
        <v>100</v>
      </c>
      <c r="G443" s="2785">
        <f>SUM(G444:G449)/6</f>
        <v>100</v>
      </c>
      <c r="H443" s="1463"/>
    </row>
    <row r="444" spans="1:11" s="27" customFormat="1" ht="18" hidden="1" customHeight="1" x14ac:dyDescent="0.25">
      <c r="A444" s="6"/>
      <c r="B444" s="441"/>
      <c r="C444" s="3600" t="s">
        <v>334</v>
      </c>
      <c r="D444" s="4066">
        <v>850000000</v>
      </c>
      <c r="E444" s="3974">
        <v>850000000</v>
      </c>
      <c r="F444" s="2685">
        <f t="shared" ref="F444:F449" si="29">E444/D444*100</f>
        <v>100</v>
      </c>
      <c r="G444" s="2690">
        <v>100</v>
      </c>
      <c r="H444" s="1463"/>
      <c r="J444" s="995"/>
      <c r="K444" s="995"/>
    </row>
    <row r="445" spans="1:11" s="27" customFormat="1" ht="17.25" hidden="1" customHeight="1" x14ac:dyDescent="0.25">
      <c r="A445" s="6"/>
      <c r="B445" s="441"/>
      <c r="C445" s="3600" t="s">
        <v>3455</v>
      </c>
      <c r="D445" s="4066">
        <v>11580800000</v>
      </c>
      <c r="E445" s="2690">
        <v>11580800000</v>
      </c>
      <c r="F445" s="2685">
        <f t="shared" si="29"/>
        <v>100</v>
      </c>
      <c r="G445" s="2690">
        <v>100</v>
      </c>
      <c r="H445" s="1463"/>
      <c r="J445" s="995"/>
      <c r="K445" s="995"/>
    </row>
    <row r="446" spans="1:11" s="27" customFormat="1" ht="17.25" hidden="1" customHeight="1" x14ac:dyDescent="0.25">
      <c r="A446" s="6"/>
      <c r="B446" s="441"/>
      <c r="C446" s="3600" t="s">
        <v>335</v>
      </c>
      <c r="D446" s="4066">
        <v>1937002000</v>
      </c>
      <c r="E446" s="2690">
        <v>1937002000</v>
      </c>
      <c r="F446" s="2685">
        <f t="shared" si="29"/>
        <v>100</v>
      </c>
      <c r="G446" s="2690">
        <v>100</v>
      </c>
      <c r="H446" s="1463"/>
      <c r="J446" s="995"/>
      <c r="K446" s="995"/>
    </row>
    <row r="447" spans="1:11" s="27" customFormat="1" ht="15.75" hidden="1" customHeight="1" x14ac:dyDescent="0.25">
      <c r="A447" s="6"/>
      <c r="B447" s="441"/>
      <c r="C447" s="3735" t="s">
        <v>336</v>
      </c>
      <c r="D447" s="4071">
        <v>750000000</v>
      </c>
      <c r="E447" s="3981">
        <v>750000000</v>
      </c>
      <c r="F447" s="2685">
        <f t="shared" si="29"/>
        <v>100</v>
      </c>
      <c r="G447" s="2690">
        <v>100</v>
      </c>
      <c r="H447" s="1463"/>
      <c r="J447" s="995"/>
      <c r="K447" s="995"/>
    </row>
    <row r="448" spans="1:11" s="27" customFormat="1" ht="15.75" hidden="1" customHeight="1" x14ac:dyDescent="0.25">
      <c r="A448" s="6"/>
      <c r="B448" s="441"/>
      <c r="C448" s="3600" t="s">
        <v>337</v>
      </c>
      <c r="D448" s="4066">
        <v>5337952047</v>
      </c>
      <c r="E448" s="2690">
        <v>5337952047</v>
      </c>
      <c r="F448" s="2685">
        <f t="shared" si="29"/>
        <v>100</v>
      </c>
      <c r="G448" s="2690">
        <v>100</v>
      </c>
      <c r="H448" s="1463"/>
      <c r="J448" s="995"/>
      <c r="K448" s="995"/>
    </row>
    <row r="449" spans="1:11" s="27" customFormat="1" ht="15.75" hidden="1" customHeight="1" x14ac:dyDescent="0.25">
      <c r="A449" s="6"/>
      <c r="B449" s="441"/>
      <c r="C449" s="3600" t="s">
        <v>338</v>
      </c>
      <c r="D449" s="4066">
        <v>33758420000</v>
      </c>
      <c r="E449" s="2690">
        <v>33758420000</v>
      </c>
      <c r="F449" s="2685">
        <f t="shared" si="29"/>
        <v>100</v>
      </c>
      <c r="G449" s="2690">
        <v>100</v>
      </c>
      <c r="H449" s="1463"/>
      <c r="J449" s="995"/>
      <c r="K449" s="995"/>
    </row>
    <row r="450" spans="1:11" ht="16.5" hidden="1" customHeight="1" x14ac:dyDescent="0.25">
      <c r="B450" s="441"/>
      <c r="C450" s="2506"/>
      <c r="D450" s="4299"/>
      <c r="E450" s="2784"/>
      <c r="F450" s="2784"/>
      <c r="G450" s="2784"/>
      <c r="H450" s="1463"/>
    </row>
    <row r="451" spans="1:11" s="27" customFormat="1" ht="18" customHeight="1" x14ac:dyDescent="0.25">
      <c r="A451" s="6"/>
      <c r="B451" s="440"/>
      <c r="C451" s="2497" t="s">
        <v>339</v>
      </c>
      <c r="D451" s="4080">
        <f>SUM(D452+D456+D459)</f>
        <v>3019520800</v>
      </c>
      <c r="E451" s="2786">
        <f>SUM(E452+E456+E459)</f>
        <v>3019512800</v>
      </c>
      <c r="F451" s="2672">
        <f>E451/D451*100</f>
        <v>99.999735057297841</v>
      </c>
      <c r="G451" s="2672">
        <f>SUM(G452+G456+G459)/3</f>
        <v>100</v>
      </c>
      <c r="H451" s="1463"/>
      <c r="J451" s="995"/>
      <c r="K451" s="995"/>
    </row>
    <row r="452" spans="1:11" s="27" customFormat="1" ht="16.5" customHeight="1" x14ac:dyDescent="0.25">
      <c r="A452" s="6"/>
      <c r="B452" s="441"/>
      <c r="C452" s="2499" t="s">
        <v>340</v>
      </c>
      <c r="D452" s="4298">
        <f>SUM(D453:D454)</f>
        <v>391200000</v>
      </c>
      <c r="E452" s="3980">
        <f>SUM(E453:E454)</f>
        <v>391200000</v>
      </c>
      <c r="F452" s="2785">
        <f>E452/D452*100</f>
        <v>100</v>
      </c>
      <c r="G452" s="2785">
        <f>SUM(G453:G454)/2</f>
        <v>100</v>
      </c>
      <c r="H452" s="1463"/>
      <c r="J452" s="995"/>
      <c r="K452" s="995"/>
    </row>
    <row r="453" spans="1:11" s="27" customFormat="1" ht="15" hidden="1" customHeight="1" x14ac:dyDescent="0.25">
      <c r="A453" s="6"/>
      <c r="B453" s="441"/>
      <c r="C453" s="2492" t="s">
        <v>341</v>
      </c>
      <c r="D453" s="4066">
        <v>91200000</v>
      </c>
      <c r="E453" s="2685">
        <v>91200000</v>
      </c>
      <c r="F453" s="2685">
        <f t="shared" ref="F453:F454" si="30">E453/D453*100</f>
        <v>100</v>
      </c>
      <c r="G453" s="2685">
        <v>100</v>
      </c>
      <c r="H453" s="1463"/>
      <c r="J453" s="995"/>
      <c r="K453" s="995"/>
    </row>
    <row r="454" spans="1:11" s="27" customFormat="1" ht="14.25" hidden="1" customHeight="1" x14ac:dyDescent="0.25">
      <c r="A454" s="6"/>
      <c r="B454" s="441"/>
      <c r="C454" s="3733" t="s">
        <v>342</v>
      </c>
      <c r="D454" s="4071">
        <v>300000000</v>
      </c>
      <c r="E454" s="3983">
        <v>300000000</v>
      </c>
      <c r="F454" s="2708">
        <f t="shared" si="30"/>
        <v>100</v>
      </c>
      <c r="G454" s="2710">
        <v>100</v>
      </c>
      <c r="H454" s="3711"/>
      <c r="J454" s="995"/>
      <c r="K454" s="995"/>
    </row>
    <row r="455" spans="1:11" s="27" customFormat="1" ht="9.75" hidden="1" customHeight="1" x14ac:dyDescent="0.25">
      <c r="A455" s="6"/>
      <c r="B455" s="449"/>
      <c r="C455" s="2489"/>
      <c r="D455" s="4066"/>
      <c r="E455" s="3035"/>
      <c r="F455" s="3035"/>
      <c r="G455" s="3035"/>
      <c r="H455" s="1463"/>
      <c r="J455" s="995"/>
      <c r="K455" s="995"/>
    </row>
    <row r="456" spans="1:11" s="27" customFormat="1" ht="17.25" customHeight="1" x14ac:dyDescent="0.25">
      <c r="A456" s="6"/>
      <c r="B456" s="441"/>
      <c r="C456" s="2508" t="s">
        <v>343</v>
      </c>
      <c r="D456" s="4296">
        <f>D457</f>
        <v>1318320800</v>
      </c>
      <c r="E456" s="3982">
        <f>E457</f>
        <v>1318320800</v>
      </c>
      <c r="F456" s="2785">
        <f>E456/D456*100</f>
        <v>100</v>
      </c>
      <c r="G456" s="2725">
        <f>G457</f>
        <v>100</v>
      </c>
      <c r="H456" s="3712"/>
      <c r="J456" s="995"/>
      <c r="K456" s="995"/>
    </row>
    <row r="457" spans="1:11" s="27" customFormat="1" ht="18" hidden="1" customHeight="1" x14ac:dyDescent="0.25">
      <c r="A457" s="6"/>
      <c r="B457" s="441"/>
      <c r="C457" s="2492" t="s">
        <v>344</v>
      </c>
      <c r="D457" s="4066">
        <v>1318320800</v>
      </c>
      <c r="E457" s="2685">
        <v>1318320800</v>
      </c>
      <c r="F457" s="2685">
        <f t="shared" ref="F457" si="31">E457/D457*100</f>
        <v>100</v>
      </c>
      <c r="G457" s="2685">
        <v>100</v>
      </c>
      <c r="H457" s="1463"/>
      <c r="J457" s="995"/>
      <c r="K457" s="995"/>
    </row>
    <row r="458" spans="1:11" s="27" customFormat="1" ht="11.25" hidden="1" customHeight="1" x14ac:dyDescent="0.25">
      <c r="A458" s="6"/>
      <c r="B458" s="441"/>
      <c r="C458" s="2512"/>
      <c r="D458" s="4301"/>
      <c r="E458" s="2830"/>
      <c r="F458" s="2830"/>
      <c r="G458" s="2830"/>
      <c r="H458" s="1463"/>
      <c r="J458" s="995"/>
      <c r="K458" s="995"/>
    </row>
    <row r="459" spans="1:11" s="27" customFormat="1" ht="19.5" customHeight="1" x14ac:dyDescent="0.25">
      <c r="A459" s="6"/>
      <c r="B459" s="441"/>
      <c r="C459" s="2513" t="s">
        <v>345</v>
      </c>
      <c r="D459" s="4065">
        <f>D460</f>
        <v>1310000000</v>
      </c>
      <c r="E459" s="2695">
        <f>E460</f>
        <v>1309992000</v>
      </c>
      <c r="F459" s="2679">
        <f t="shared" ref="F459:F460" si="32">E459/D459*100</f>
        <v>99.999389312977087</v>
      </c>
      <c r="G459" s="2679">
        <f>G460</f>
        <v>100</v>
      </c>
      <c r="H459" s="1463"/>
      <c r="J459" s="995"/>
      <c r="K459" s="995"/>
    </row>
    <row r="460" spans="1:11" s="27" customFormat="1" ht="18" hidden="1" customHeight="1" x14ac:dyDescent="0.25">
      <c r="A460" s="6"/>
      <c r="B460" s="441"/>
      <c r="C460" s="2492" t="s">
        <v>346</v>
      </c>
      <c r="D460" s="4066">
        <v>1310000000</v>
      </c>
      <c r="E460" s="2685">
        <v>1309992000</v>
      </c>
      <c r="F460" s="2685">
        <f t="shared" si="32"/>
        <v>99.999389312977087</v>
      </c>
      <c r="G460" s="2685">
        <v>100</v>
      </c>
      <c r="H460" s="1463"/>
      <c r="J460" s="995"/>
      <c r="K460" s="995"/>
    </row>
    <row r="461" spans="1:11" ht="12" hidden="1" customHeight="1" x14ac:dyDescent="0.25">
      <c r="B461" s="441"/>
      <c r="C461" s="2506"/>
      <c r="D461" s="4299"/>
      <c r="E461" s="2784"/>
      <c r="F461" s="2784"/>
      <c r="G461" s="2784"/>
      <c r="H461" s="1463"/>
    </row>
    <row r="462" spans="1:11" s="27" customFormat="1" ht="16.5" customHeight="1" x14ac:dyDescent="0.25">
      <c r="A462" s="6"/>
      <c r="B462" s="440"/>
      <c r="C462" s="2497" t="s">
        <v>347</v>
      </c>
      <c r="D462" s="4080">
        <f>D463</f>
        <v>9265074000</v>
      </c>
      <c r="E462" s="2719">
        <f>E463</f>
        <v>9265074000</v>
      </c>
      <c r="F462" s="2672">
        <f>E462/D462*100</f>
        <v>100</v>
      </c>
      <c r="G462" s="2719">
        <f>G463</f>
        <v>100</v>
      </c>
      <c r="H462" s="1463"/>
      <c r="J462" s="995"/>
      <c r="K462" s="995"/>
    </row>
    <row r="463" spans="1:11" s="27" customFormat="1" ht="20.25" customHeight="1" x14ac:dyDescent="0.25">
      <c r="A463" s="6"/>
      <c r="B463" s="441"/>
      <c r="C463" s="2499" t="s">
        <v>348</v>
      </c>
      <c r="D463" s="4298">
        <f>D464</f>
        <v>9265074000</v>
      </c>
      <c r="E463" s="3984">
        <f>E464</f>
        <v>9265074000</v>
      </c>
      <c r="F463" s="2785">
        <f>E463/D463*100</f>
        <v>100</v>
      </c>
      <c r="G463" s="2722">
        <f>G464</f>
        <v>100</v>
      </c>
      <c r="H463" s="1463"/>
      <c r="J463" s="995"/>
      <c r="K463" s="995"/>
    </row>
    <row r="464" spans="1:11" s="27" customFormat="1" ht="17.25" hidden="1" customHeight="1" x14ac:dyDescent="0.25">
      <c r="A464" s="6"/>
      <c r="B464" s="441"/>
      <c r="C464" s="2492" t="s">
        <v>349</v>
      </c>
      <c r="D464" s="4066">
        <v>9265074000</v>
      </c>
      <c r="E464" s="2685">
        <v>9265074000</v>
      </c>
      <c r="F464" s="2685">
        <f t="shared" ref="F464" si="33">E464/D464*100</f>
        <v>100</v>
      </c>
      <c r="G464" s="2685">
        <v>100</v>
      </c>
      <c r="H464" s="1463"/>
      <c r="J464" s="995"/>
      <c r="K464" s="995"/>
    </row>
    <row r="465" spans="1:11" s="27" customFormat="1" ht="12" hidden="1" customHeight="1" x14ac:dyDescent="0.25">
      <c r="A465" s="6"/>
      <c r="B465" s="441"/>
      <c r="C465" s="2482"/>
      <c r="D465" s="4290"/>
      <c r="E465" s="2778"/>
      <c r="F465" s="2778"/>
      <c r="G465" s="2778"/>
      <c r="H465" s="1463"/>
      <c r="J465" s="995"/>
      <c r="K465" s="995"/>
    </row>
    <row r="466" spans="1:11" s="27" customFormat="1" ht="15.75" customHeight="1" x14ac:dyDescent="0.25">
      <c r="A466" s="6"/>
      <c r="B466" s="440"/>
      <c r="C466" s="2507" t="s">
        <v>350</v>
      </c>
      <c r="D466" s="4304">
        <f>D467</f>
        <v>7863773310</v>
      </c>
      <c r="E466" s="3985">
        <f>E467</f>
        <v>7863773310</v>
      </c>
      <c r="F466" s="2672">
        <f>E466/D466*100</f>
        <v>100</v>
      </c>
      <c r="G466" s="2719">
        <f>G467</f>
        <v>100</v>
      </c>
      <c r="H466" s="1463"/>
      <c r="J466" s="995"/>
      <c r="K466" s="995"/>
    </row>
    <row r="467" spans="1:11" s="27" customFormat="1" ht="15.75" customHeight="1" x14ac:dyDescent="0.25">
      <c r="A467" s="6"/>
      <c r="B467" s="441"/>
      <c r="C467" s="2514" t="s">
        <v>351</v>
      </c>
      <c r="D467" s="4305">
        <f>D468</f>
        <v>7863773310</v>
      </c>
      <c r="E467" s="2785">
        <f>E468</f>
        <v>7863773310</v>
      </c>
      <c r="F467" s="2785">
        <f>E467/D467*100</f>
        <v>100</v>
      </c>
      <c r="G467" s="2722">
        <f>G468</f>
        <v>100</v>
      </c>
      <c r="H467" s="1463"/>
      <c r="J467" s="995"/>
      <c r="K467" s="995"/>
    </row>
    <row r="468" spans="1:11" s="27" customFormat="1" ht="15" hidden="1" customHeight="1" x14ac:dyDescent="0.25">
      <c r="A468" s="6"/>
      <c r="B468" s="441"/>
      <c r="C468" s="2492" t="s">
        <v>352</v>
      </c>
      <c r="D468" s="4066">
        <v>7863773310</v>
      </c>
      <c r="E468" s="2685">
        <v>7863773310</v>
      </c>
      <c r="F468" s="2685">
        <f t="shared" ref="F468" si="34">E468/D468*100</f>
        <v>100</v>
      </c>
      <c r="G468" s="2685">
        <v>100</v>
      </c>
      <c r="H468" s="1463"/>
      <c r="J468" s="995"/>
      <c r="K468" s="995"/>
    </row>
    <row r="469" spans="1:11" ht="12" hidden="1" customHeight="1" x14ac:dyDescent="0.25">
      <c r="B469" s="441"/>
      <c r="C469" s="2503"/>
      <c r="D469" s="4299"/>
      <c r="E469" s="2784"/>
      <c r="F469" s="2784"/>
      <c r="G469" s="2784"/>
      <c r="H469" s="1463"/>
    </row>
    <row r="470" spans="1:11" ht="18.75" customHeight="1" x14ac:dyDescent="0.25">
      <c r="B470" s="440"/>
      <c r="C470" s="2503" t="s">
        <v>3913</v>
      </c>
      <c r="D470" s="4106">
        <f>SUM(D471+D475+D478)</f>
        <v>4439330000</v>
      </c>
      <c r="E470" s="2672">
        <f>SUM(E471+E475+E478)</f>
        <v>2159550000</v>
      </c>
      <c r="F470" s="2672">
        <f>E470/D470*100</f>
        <v>48.645854216739913</v>
      </c>
      <c r="G470" s="2672">
        <f>SUM(G471+G475+G478)/3</f>
        <v>72.626666666666665</v>
      </c>
      <c r="H470" s="1463"/>
    </row>
    <row r="471" spans="1:11" ht="18.75" customHeight="1" x14ac:dyDescent="0.25">
      <c r="B471" s="441"/>
      <c r="C471" s="2482" t="s">
        <v>3914</v>
      </c>
      <c r="D471" s="4305">
        <f>SUM(D472:D473)</f>
        <v>710000000</v>
      </c>
      <c r="E471" s="2785">
        <f>SUM(E472:E473)</f>
        <v>430220000</v>
      </c>
      <c r="F471" s="2785">
        <f>E471/D471*100</f>
        <v>60.594366197183106</v>
      </c>
      <c r="G471" s="2785">
        <f>SUM(G472:G473)/2</f>
        <v>75.02</v>
      </c>
      <c r="H471" s="1463"/>
    </row>
    <row r="472" spans="1:11" ht="16.5" hidden="1" customHeight="1" x14ac:dyDescent="0.25">
      <c r="B472" s="441"/>
      <c r="C472" s="2494" t="s">
        <v>3915</v>
      </c>
      <c r="D472" s="4066">
        <v>150000000</v>
      </c>
      <c r="E472" s="2690">
        <v>150000000</v>
      </c>
      <c r="F472" s="2690">
        <f>E472/D472*100</f>
        <v>100</v>
      </c>
      <c r="G472" s="2685">
        <v>100</v>
      </c>
      <c r="H472" s="1463"/>
    </row>
    <row r="473" spans="1:11" ht="15" hidden="1" customHeight="1" x14ac:dyDescent="0.25">
      <c r="B473" s="441"/>
      <c r="C473" s="2494" t="s">
        <v>3916</v>
      </c>
      <c r="D473" s="4066">
        <v>560000000</v>
      </c>
      <c r="E473" s="2690">
        <v>280220000</v>
      </c>
      <c r="F473" s="2690">
        <f>E473/D473*100</f>
        <v>50.039285714285718</v>
      </c>
      <c r="G473" s="2690">
        <v>50.04</v>
      </c>
      <c r="H473" s="1463"/>
    </row>
    <row r="474" spans="1:11" ht="8.25" hidden="1" customHeight="1" x14ac:dyDescent="0.25">
      <c r="B474" s="441"/>
      <c r="C474" s="2491"/>
      <c r="D474" s="4276"/>
      <c r="E474" s="3035"/>
      <c r="F474" s="3035"/>
      <c r="G474" s="3035"/>
      <c r="H474" s="1463"/>
    </row>
    <row r="475" spans="1:11" ht="18" customHeight="1" x14ac:dyDescent="0.25">
      <c r="B475" s="441"/>
      <c r="C475" s="2491" t="s">
        <v>3917</v>
      </c>
      <c r="D475" s="4065">
        <f>D476</f>
        <v>3500000000</v>
      </c>
      <c r="E475" s="2695">
        <f>E476</f>
        <v>1500000000</v>
      </c>
      <c r="F475" s="2695">
        <f t="shared" ref="F475:F479" si="35">E475/D475*100</f>
        <v>42.857142857142854</v>
      </c>
      <c r="G475" s="2695">
        <f>G476</f>
        <v>42.86</v>
      </c>
      <c r="H475" s="1463"/>
    </row>
    <row r="476" spans="1:11" ht="16.5" hidden="1" customHeight="1" x14ac:dyDescent="0.25">
      <c r="B476" s="441"/>
      <c r="C476" s="2494" t="s">
        <v>3918</v>
      </c>
      <c r="D476" s="4066">
        <v>3500000000</v>
      </c>
      <c r="E476" s="2690">
        <v>1500000000</v>
      </c>
      <c r="F476" s="2690">
        <f t="shared" si="35"/>
        <v>42.857142857142854</v>
      </c>
      <c r="G476" s="2690">
        <v>42.86</v>
      </c>
      <c r="H476" s="1463"/>
    </row>
    <row r="477" spans="1:11" ht="9.75" hidden="1" customHeight="1" x14ac:dyDescent="0.25">
      <c r="B477" s="441"/>
      <c r="C477" s="2491"/>
      <c r="D477" s="4276"/>
      <c r="E477" s="3035"/>
      <c r="F477" s="3035"/>
      <c r="G477" s="3035"/>
      <c r="H477" s="1463"/>
    </row>
    <row r="478" spans="1:11" ht="17.25" customHeight="1" x14ac:dyDescent="0.25">
      <c r="B478" s="441"/>
      <c r="C478" s="2491" t="s">
        <v>3919</v>
      </c>
      <c r="D478" s="4065">
        <f>D479</f>
        <v>229330000</v>
      </c>
      <c r="E478" s="2695">
        <f>E479</f>
        <v>229330000</v>
      </c>
      <c r="F478" s="2695">
        <f t="shared" si="35"/>
        <v>100</v>
      </c>
      <c r="G478" s="2695">
        <f>G479</f>
        <v>100</v>
      </c>
      <c r="H478" s="1463"/>
    </row>
    <row r="479" spans="1:11" ht="18" hidden="1" customHeight="1" x14ac:dyDescent="0.25">
      <c r="B479" s="441"/>
      <c r="C479" s="2494" t="s">
        <v>3920</v>
      </c>
      <c r="D479" s="4066">
        <v>229330000</v>
      </c>
      <c r="E479" s="2690">
        <v>229330000</v>
      </c>
      <c r="F479" s="2690">
        <f t="shared" si="35"/>
        <v>100</v>
      </c>
      <c r="G479" s="2690">
        <v>100</v>
      </c>
      <c r="H479" s="1463"/>
    </row>
    <row r="480" spans="1:11" ht="12" hidden="1" customHeight="1" x14ac:dyDescent="0.25">
      <c r="B480" s="441"/>
      <c r="C480" s="2503"/>
      <c r="D480" s="4299"/>
      <c r="E480" s="2784"/>
      <c r="F480" s="2784"/>
      <c r="G480" s="2784"/>
      <c r="H480" s="1463"/>
    </row>
    <row r="481" spans="1:11" ht="17.25" customHeight="1" x14ac:dyDescent="0.25">
      <c r="B481" s="447"/>
      <c r="C481" s="3598" t="s">
        <v>353</v>
      </c>
      <c r="D481" s="4294">
        <f>SUM(D483+D535+D559+D563+D573+D578+D588+D592+D605+D622+D627+D642+D646+D651+D672+D687+D700+D704+D726+D746+D768+D785+D801+D826+D849+D854)</f>
        <v>178986879000</v>
      </c>
      <c r="E481" s="3699">
        <f>SUM(E483+E535+E559+E563+E573+E578+E588+E592+E605+E622+E627+E642+E646+E651+E672+E687+E700+E704+E726+E746+E768+E785+E801+E826+E849+E854)</f>
        <v>166326729756</v>
      </c>
      <c r="F481" s="3699">
        <f>E481/D481*100</f>
        <v>92.926772445705367</v>
      </c>
      <c r="G481" s="3699">
        <f>SUM(G483+G535+G559+G563+G573+G578+G588+G592+G605+G622+G627+G642+G646+G651+G672+G687+G700+G704+G726+G746+G768+G785+G801+G826+G849+G854)/26</f>
        <v>97.265607012035588</v>
      </c>
      <c r="H481" s="3723"/>
    </row>
    <row r="482" spans="1:11" ht="8.25" customHeight="1" x14ac:dyDescent="0.25">
      <c r="B482" s="441"/>
      <c r="C482" s="2482"/>
      <c r="D482" s="4290"/>
      <c r="E482" s="3035"/>
      <c r="F482" s="3035"/>
      <c r="G482" s="3035"/>
      <c r="H482" s="1463"/>
    </row>
    <row r="483" spans="1:11" s="27" customFormat="1" ht="15.75" customHeight="1" x14ac:dyDescent="0.25">
      <c r="A483" s="6"/>
      <c r="B483" s="440"/>
      <c r="C483" s="2471" t="s">
        <v>354</v>
      </c>
      <c r="D483" s="4106">
        <f>SUM(D484+D493+D507+D514+D519+D528+D531)</f>
        <v>38082792400</v>
      </c>
      <c r="E483" s="2672">
        <f>SUM(E484+E493+E507+E514+E519+E528+E531)</f>
        <v>36331180024</v>
      </c>
      <c r="F483" s="2672">
        <f>E483/D483*100</f>
        <v>95.400514863505649</v>
      </c>
      <c r="G483" s="2719">
        <f>SUM(G484+G493+G507+G514+G519+G528+G531)/7</f>
        <v>97.789115646258509</v>
      </c>
      <c r="H483" s="1463"/>
      <c r="J483" s="995"/>
      <c r="K483" s="995"/>
    </row>
    <row r="484" spans="1:11" s="27" customFormat="1" ht="15.75" customHeight="1" x14ac:dyDescent="0.25">
      <c r="A484" s="6"/>
      <c r="B484" s="441"/>
      <c r="C484" s="2478" t="s">
        <v>355</v>
      </c>
      <c r="D484" s="4305">
        <f>SUM(D485:D491)</f>
        <v>2985416000</v>
      </c>
      <c r="E484" s="2785">
        <f>SUM(E485:E491)</f>
        <v>2840437900</v>
      </c>
      <c r="F484" s="2785">
        <f>E484/D484*100</f>
        <v>95.143789006289239</v>
      </c>
      <c r="G484" s="2722">
        <f>SUM(G485:G491)/7</f>
        <v>92.857142857142861</v>
      </c>
      <c r="H484" s="1463"/>
      <c r="J484" s="995"/>
      <c r="K484" s="995"/>
    </row>
    <row r="485" spans="1:11" s="27" customFormat="1" ht="17.25" hidden="1" customHeight="1" x14ac:dyDescent="0.25">
      <c r="A485" s="6"/>
      <c r="B485" s="441"/>
      <c r="C485" s="2473" t="s">
        <v>356</v>
      </c>
      <c r="D485" s="4066">
        <v>2087184000</v>
      </c>
      <c r="E485" s="2855">
        <v>2075760000</v>
      </c>
      <c r="F485" s="2690">
        <f t="shared" ref="F485:F491" si="36">E485/D485*100</f>
        <v>99.452659660097055</v>
      </c>
      <c r="G485" s="2685">
        <v>100</v>
      </c>
      <c r="H485" s="1463"/>
      <c r="J485" s="995"/>
      <c r="K485" s="995"/>
    </row>
    <row r="486" spans="1:11" s="27" customFormat="1" ht="15.75" hidden="1" customHeight="1" x14ac:dyDescent="0.25">
      <c r="A486" s="6"/>
      <c r="B486" s="441"/>
      <c r="C486" s="2473" t="s">
        <v>357</v>
      </c>
      <c r="D486" s="4306">
        <v>50000000</v>
      </c>
      <c r="E486" s="2685">
        <v>49950000</v>
      </c>
      <c r="F486" s="2690">
        <f t="shared" si="36"/>
        <v>99.9</v>
      </c>
      <c r="G486" s="2685">
        <v>100</v>
      </c>
      <c r="H486" s="1463"/>
      <c r="J486" s="995"/>
      <c r="K486" s="995"/>
    </row>
    <row r="487" spans="1:11" s="27" customFormat="1" ht="17.25" hidden="1" customHeight="1" x14ac:dyDescent="0.25">
      <c r="A487" s="6"/>
      <c r="B487" s="441"/>
      <c r="C487" s="2515" t="s">
        <v>358</v>
      </c>
      <c r="D487" s="4307">
        <v>308640000</v>
      </c>
      <c r="E487" s="2685">
        <v>175135900</v>
      </c>
      <c r="F487" s="2690">
        <f t="shared" si="36"/>
        <v>56.744394764126497</v>
      </c>
      <c r="G487" s="2685">
        <v>50</v>
      </c>
      <c r="H487" s="1463"/>
      <c r="J487" s="995"/>
      <c r="K487" s="995"/>
    </row>
    <row r="488" spans="1:11" s="27" customFormat="1" ht="16.5" hidden="1" customHeight="1" x14ac:dyDescent="0.25">
      <c r="A488" s="6"/>
      <c r="B488" s="441"/>
      <c r="C488" s="2516" t="s">
        <v>359</v>
      </c>
      <c r="D488" s="4306">
        <v>129367000</v>
      </c>
      <c r="E488" s="2685">
        <v>129367000</v>
      </c>
      <c r="F488" s="2690">
        <f t="shared" si="36"/>
        <v>100</v>
      </c>
      <c r="G488" s="2685">
        <v>100</v>
      </c>
      <c r="H488" s="1463"/>
      <c r="J488" s="995"/>
      <c r="K488" s="995"/>
    </row>
    <row r="489" spans="1:11" s="27" customFormat="1" ht="15" hidden="1" customHeight="1" x14ac:dyDescent="0.25">
      <c r="A489" s="6"/>
      <c r="B489" s="441"/>
      <c r="C489" s="2515" t="s">
        <v>6248</v>
      </c>
      <c r="D489" s="4308">
        <v>116392000</v>
      </c>
      <c r="E489" s="2855">
        <v>116392000</v>
      </c>
      <c r="F489" s="2690">
        <f t="shared" si="36"/>
        <v>100</v>
      </c>
      <c r="G489" s="2855">
        <v>100</v>
      </c>
      <c r="H489" s="1463"/>
      <c r="J489" s="995"/>
      <c r="K489" s="995"/>
    </row>
    <row r="490" spans="1:11" s="27" customFormat="1" ht="16.5" hidden="1" customHeight="1" x14ac:dyDescent="0.25">
      <c r="A490" s="6"/>
      <c r="B490" s="441"/>
      <c r="C490" s="2516" t="s">
        <v>360</v>
      </c>
      <c r="D490" s="4306">
        <v>132716000</v>
      </c>
      <c r="E490" s="2685">
        <v>132716000</v>
      </c>
      <c r="F490" s="2690">
        <f t="shared" si="36"/>
        <v>100</v>
      </c>
      <c r="G490" s="2685">
        <v>100</v>
      </c>
      <c r="H490" s="1463"/>
      <c r="J490" s="995"/>
      <c r="K490" s="995"/>
    </row>
    <row r="491" spans="1:11" s="27" customFormat="1" ht="16.5" hidden="1" customHeight="1" x14ac:dyDescent="0.25">
      <c r="A491" s="6"/>
      <c r="B491" s="441"/>
      <c r="C491" s="3616" t="s">
        <v>361</v>
      </c>
      <c r="D491" s="4307">
        <v>161117000</v>
      </c>
      <c r="E491" s="2924">
        <v>161117000</v>
      </c>
      <c r="F491" s="2710">
        <f t="shared" si="36"/>
        <v>100</v>
      </c>
      <c r="G491" s="2923">
        <v>100</v>
      </c>
      <c r="H491" s="3711"/>
      <c r="J491" s="995"/>
      <c r="K491" s="995"/>
    </row>
    <row r="492" spans="1:11" s="27" customFormat="1" ht="10.5" hidden="1" customHeight="1" x14ac:dyDescent="0.25">
      <c r="A492" s="6"/>
      <c r="B492" s="449"/>
      <c r="C492" s="2473"/>
      <c r="D492" s="4309"/>
      <c r="E492" s="3035"/>
      <c r="F492" s="3035"/>
      <c r="G492" s="3035"/>
      <c r="H492" s="1463"/>
      <c r="J492" s="995"/>
      <c r="K492" s="995"/>
    </row>
    <row r="493" spans="1:11" s="27" customFormat="1" ht="18" customHeight="1" x14ac:dyDescent="0.25">
      <c r="A493" s="6"/>
      <c r="B493" s="441"/>
      <c r="C493" s="2472" t="s">
        <v>362</v>
      </c>
      <c r="D493" s="4296">
        <f>SUM(D494:D505)</f>
        <v>28962749600</v>
      </c>
      <c r="E493" s="3982">
        <f>SUM(E494:E505)</f>
        <v>27490193600</v>
      </c>
      <c r="F493" s="2734">
        <f>E493/D493*100</f>
        <v>94.915689910877802</v>
      </c>
      <c r="G493" s="2734">
        <f>SUM(G494:G506)/12</f>
        <v>91.666666666666671</v>
      </c>
      <c r="H493" s="3712"/>
      <c r="J493" s="995"/>
      <c r="K493" s="995"/>
    </row>
    <row r="494" spans="1:11" s="27" customFormat="1" ht="17.25" hidden="1" customHeight="1" x14ac:dyDescent="0.25">
      <c r="A494" s="6"/>
      <c r="B494" s="441"/>
      <c r="C494" s="2473" t="s">
        <v>363</v>
      </c>
      <c r="D494" s="4306">
        <v>2751235800</v>
      </c>
      <c r="E494" s="2685">
        <v>2230975000</v>
      </c>
      <c r="F494" s="2710">
        <f t="shared" ref="F494:F505" si="37">E494/D494*100</f>
        <v>81.08992329919522</v>
      </c>
      <c r="G494" s="2685">
        <v>100</v>
      </c>
      <c r="H494" s="1463"/>
      <c r="J494" s="995"/>
      <c r="K494" s="995"/>
    </row>
    <row r="495" spans="1:11" s="27" customFormat="1" ht="16.5" hidden="1" customHeight="1" x14ac:dyDescent="0.25">
      <c r="A495" s="6"/>
      <c r="B495" s="441"/>
      <c r="C495" s="2515" t="s">
        <v>364</v>
      </c>
      <c r="D495" s="4306">
        <v>544000000</v>
      </c>
      <c r="E495" s="2855">
        <v>543175000</v>
      </c>
      <c r="F495" s="2690">
        <f t="shared" si="37"/>
        <v>99.848345588235304</v>
      </c>
      <c r="G495" s="2685">
        <v>100</v>
      </c>
      <c r="H495" s="1463"/>
      <c r="J495" s="995"/>
      <c r="K495" s="995"/>
    </row>
    <row r="496" spans="1:11" s="27" customFormat="1" ht="16.5" hidden="1" customHeight="1" x14ac:dyDescent="0.25">
      <c r="A496" s="6"/>
      <c r="B496" s="441"/>
      <c r="C496" s="2473" t="s">
        <v>365</v>
      </c>
      <c r="D496" s="4306">
        <v>11928967200</v>
      </c>
      <c r="E496" s="2855">
        <v>11040957000</v>
      </c>
      <c r="F496" s="2690">
        <f t="shared" si="37"/>
        <v>92.55585009907648</v>
      </c>
      <c r="G496" s="2685">
        <v>100</v>
      </c>
      <c r="H496" s="1463"/>
      <c r="J496" s="995"/>
      <c r="K496" s="995"/>
    </row>
    <row r="497" spans="1:11" s="27" customFormat="1" ht="16.5" hidden="1" customHeight="1" x14ac:dyDescent="0.25">
      <c r="A497" s="6"/>
      <c r="B497" s="441"/>
      <c r="C497" s="2473" t="s">
        <v>366</v>
      </c>
      <c r="D497" s="4306">
        <v>501190000</v>
      </c>
      <c r="E497" s="2855">
        <v>445990000</v>
      </c>
      <c r="F497" s="2690">
        <f t="shared" si="37"/>
        <v>88.986212813503869</v>
      </c>
      <c r="G497" s="2690">
        <v>100</v>
      </c>
      <c r="H497" s="1463"/>
      <c r="J497" s="995"/>
      <c r="K497" s="995"/>
    </row>
    <row r="498" spans="1:11" s="27" customFormat="1" ht="15.75" hidden="1" customHeight="1" x14ac:dyDescent="0.25">
      <c r="A498" s="6"/>
      <c r="B498" s="441"/>
      <c r="C498" s="2476" t="s">
        <v>367</v>
      </c>
      <c r="D498" s="4307">
        <v>8260000</v>
      </c>
      <c r="E498" s="2708">
        <v>0</v>
      </c>
      <c r="F498" s="2708">
        <v>0</v>
      </c>
      <c r="G498" s="2708">
        <v>0</v>
      </c>
      <c r="H498" s="3711"/>
      <c r="J498" s="995"/>
      <c r="K498" s="995"/>
    </row>
    <row r="499" spans="1:11" s="27" customFormat="1" ht="17.25" hidden="1" customHeight="1" x14ac:dyDescent="0.25">
      <c r="A499" s="6"/>
      <c r="B499" s="449"/>
      <c r="C499" s="2473" t="s">
        <v>368</v>
      </c>
      <c r="D499" s="4306">
        <v>86380000</v>
      </c>
      <c r="E499" s="2855">
        <v>86380000</v>
      </c>
      <c r="F499" s="2690">
        <f t="shared" si="37"/>
        <v>100</v>
      </c>
      <c r="G499" s="2855">
        <v>100</v>
      </c>
      <c r="H499" s="1463"/>
      <c r="J499" s="995"/>
      <c r="K499" s="995"/>
    </row>
    <row r="500" spans="1:11" s="27" customFormat="1" ht="16.5" hidden="1" customHeight="1" x14ac:dyDescent="0.25">
      <c r="A500" s="6"/>
      <c r="B500" s="441"/>
      <c r="C500" s="2479" t="s">
        <v>369</v>
      </c>
      <c r="D500" s="4310">
        <v>216293500</v>
      </c>
      <c r="E500" s="3617">
        <v>216293500</v>
      </c>
      <c r="F500" s="2760">
        <f t="shared" si="37"/>
        <v>100</v>
      </c>
      <c r="G500" s="3617">
        <v>100</v>
      </c>
      <c r="H500" s="3712"/>
      <c r="J500" s="995"/>
      <c r="K500" s="995"/>
    </row>
    <row r="501" spans="1:11" s="27" customFormat="1" ht="18.75" hidden="1" customHeight="1" x14ac:dyDescent="0.25">
      <c r="A501" s="6"/>
      <c r="B501" s="441"/>
      <c r="C501" s="2473" t="s">
        <v>370</v>
      </c>
      <c r="D501" s="4306">
        <v>79648000</v>
      </c>
      <c r="E501" s="2855">
        <v>79648000</v>
      </c>
      <c r="F501" s="2690">
        <f t="shared" si="37"/>
        <v>100</v>
      </c>
      <c r="G501" s="2690">
        <v>100</v>
      </c>
      <c r="H501" s="1463"/>
      <c r="J501" s="995"/>
      <c r="K501" s="995"/>
    </row>
    <row r="502" spans="1:11" s="27" customFormat="1" ht="16.5" hidden="1" customHeight="1" x14ac:dyDescent="0.25">
      <c r="A502" s="6"/>
      <c r="B502" s="441"/>
      <c r="C502" s="2473" t="s">
        <v>371</v>
      </c>
      <c r="D502" s="4301">
        <v>215352000</v>
      </c>
      <c r="E502" s="2855">
        <v>215352000</v>
      </c>
      <c r="F502" s="2690">
        <f t="shared" si="37"/>
        <v>100</v>
      </c>
      <c r="G502" s="2690">
        <v>100</v>
      </c>
      <c r="H502" s="1463"/>
      <c r="J502" s="995"/>
      <c r="K502" s="995"/>
    </row>
    <row r="503" spans="1:11" s="27" customFormat="1" ht="18.75" hidden="1" customHeight="1" x14ac:dyDescent="0.25">
      <c r="A503" s="6"/>
      <c r="B503" s="441"/>
      <c r="C503" s="2473" t="s">
        <v>372</v>
      </c>
      <c r="D503" s="4301">
        <v>4371261300</v>
      </c>
      <c r="E503" s="2855">
        <v>4371261300</v>
      </c>
      <c r="F503" s="2690">
        <f t="shared" si="37"/>
        <v>100</v>
      </c>
      <c r="G503" s="2690">
        <v>100</v>
      </c>
      <c r="H503" s="1463"/>
      <c r="J503" s="995"/>
      <c r="K503" s="995"/>
    </row>
    <row r="504" spans="1:11" s="27" customFormat="1" ht="17.25" hidden="1" customHeight="1" x14ac:dyDescent="0.25">
      <c r="A504" s="6"/>
      <c r="B504" s="441"/>
      <c r="C504" s="2473" t="s">
        <v>373</v>
      </c>
      <c r="D504" s="4306">
        <v>8034979800</v>
      </c>
      <c r="E504" s="2855">
        <v>8034979800</v>
      </c>
      <c r="F504" s="2690">
        <f t="shared" si="37"/>
        <v>100</v>
      </c>
      <c r="G504" s="2690">
        <v>100</v>
      </c>
      <c r="H504" s="1463"/>
      <c r="J504" s="995"/>
      <c r="K504" s="995"/>
    </row>
    <row r="505" spans="1:11" s="27" customFormat="1" ht="18" hidden="1" customHeight="1" x14ac:dyDescent="0.25">
      <c r="A505" s="6"/>
      <c r="B505" s="441"/>
      <c r="C505" s="2473" t="s">
        <v>374</v>
      </c>
      <c r="D505" s="4306">
        <v>225182000</v>
      </c>
      <c r="E505" s="2855">
        <v>225182000</v>
      </c>
      <c r="F505" s="2690">
        <f t="shared" si="37"/>
        <v>100</v>
      </c>
      <c r="G505" s="2690">
        <v>100</v>
      </c>
      <c r="H505" s="1463"/>
      <c r="J505" s="995"/>
      <c r="K505" s="995"/>
    </row>
    <row r="506" spans="1:11" s="27" customFormat="1" ht="10.5" hidden="1" customHeight="1" x14ac:dyDescent="0.25">
      <c r="A506" s="6"/>
      <c r="B506" s="444"/>
      <c r="C506" s="2517"/>
      <c r="D506" s="3704"/>
      <c r="E506" s="3185"/>
      <c r="F506" s="2690"/>
      <c r="G506" s="3035"/>
      <c r="H506" s="1463"/>
      <c r="J506" s="995"/>
      <c r="K506" s="995"/>
    </row>
    <row r="507" spans="1:11" s="27" customFormat="1" ht="18.75" customHeight="1" x14ac:dyDescent="0.25">
      <c r="A507" s="6"/>
      <c r="B507" s="445"/>
      <c r="C507" s="2474" t="s">
        <v>375</v>
      </c>
      <c r="D507" s="4159">
        <f>SUM(D508:D512)</f>
        <v>2226225000</v>
      </c>
      <c r="E507" s="2813">
        <f>SUM(E508:E512)</f>
        <v>2226225000</v>
      </c>
      <c r="F507" s="2695">
        <f>E507/D507*100</f>
        <v>100</v>
      </c>
      <c r="G507" s="3768">
        <f>SUM(G508:G512)/5</f>
        <v>100</v>
      </c>
      <c r="H507" s="3714"/>
      <c r="I507" s="541">
        <f>SUM(I508:I512)</f>
        <v>0</v>
      </c>
      <c r="J507" s="995"/>
      <c r="K507" s="995"/>
    </row>
    <row r="508" spans="1:11" s="27" customFormat="1" ht="16.5" hidden="1" customHeight="1" x14ac:dyDescent="0.25">
      <c r="A508" s="6"/>
      <c r="B508" s="441"/>
      <c r="C508" s="2515" t="s">
        <v>376</v>
      </c>
      <c r="D508" s="4071">
        <v>1185210000</v>
      </c>
      <c r="E508" s="2855">
        <v>1185210000</v>
      </c>
      <c r="F508" s="2690">
        <f t="shared" ref="F508:F526" si="38">E508/D508*100</f>
        <v>100</v>
      </c>
      <c r="G508" s="2685">
        <v>100</v>
      </c>
      <c r="H508" s="1463"/>
      <c r="J508" s="995"/>
      <c r="K508" s="995"/>
    </row>
    <row r="509" spans="1:11" s="27" customFormat="1" ht="19.5" hidden="1" customHeight="1" x14ac:dyDescent="0.25">
      <c r="A509" s="6"/>
      <c r="B509" s="441"/>
      <c r="C509" s="2516" t="s">
        <v>377</v>
      </c>
      <c r="D509" s="4066">
        <v>122167000</v>
      </c>
      <c r="E509" s="2685">
        <v>122167000</v>
      </c>
      <c r="F509" s="2690">
        <f t="shared" si="38"/>
        <v>100</v>
      </c>
      <c r="G509" s="2685">
        <v>100</v>
      </c>
      <c r="H509" s="1463"/>
      <c r="J509" s="995"/>
      <c r="K509" s="995"/>
    </row>
    <row r="510" spans="1:11" s="27" customFormat="1" ht="15" hidden="1" customHeight="1" x14ac:dyDescent="0.25">
      <c r="A510" s="6"/>
      <c r="B510" s="441"/>
      <c r="C510" s="2516" t="s">
        <v>378</v>
      </c>
      <c r="D510" s="4066">
        <v>108012000</v>
      </c>
      <c r="E510" s="2685">
        <v>108012000</v>
      </c>
      <c r="F510" s="2690">
        <f t="shared" si="38"/>
        <v>100</v>
      </c>
      <c r="G510" s="2685">
        <v>100</v>
      </c>
      <c r="H510" s="1463"/>
      <c r="J510" s="995"/>
      <c r="K510" s="995"/>
    </row>
    <row r="511" spans="1:11" s="27" customFormat="1" ht="14.25" hidden="1" customHeight="1" x14ac:dyDescent="0.25">
      <c r="A511" s="6"/>
      <c r="B511" s="441"/>
      <c r="C511" s="2516" t="s">
        <v>379</v>
      </c>
      <c r="D511" s="4066">
        <v>92477000</v>
      </c>
      <c r="E511" s="2685">
        <v>92477000</v>
      </c>
      <c r="F511" s="2690">
        <f t="shared" si="38"/>
        <v>100</v>
      </c>
      <c r="G511" s="2685">
        <v>100</v>
      </c>
      <c r="H511" s="1463"/>
      <c r="J511" s="995"/>
      <c r="K511" s="995"/>
    </row>
    <row r="512" spans="1:11" s="27" customFormat="1" ht="18" hidden="1" customHeight="1" x14ac:dyDescent="0.25">
      <c r="A512" s="6"/>
      <c r="B512" s="441"/>
      <c r="C512" s="2516" t="s">
        <v>380</v>
      </c>
      <c r="D512" s="4066">
        <v>718359000</v>
      </c>
      <c r="E512" s="2855">
        <v>718359000</v>
      </c>
      <c r="F512" s="2690">
        <f t="shared" si="38"/>
        <v>100</v>
      </c>
      <c r="G512" s="2690">
        <v>100</v>
      </c>
      <c r="H512" s="1463"/>
      <c r="J512" s="995"/>
      <c r="K512" s="995"/>
    </row>
    <row r="513" spans="1:11" s="27" customFormat="1" ht="10.5" hidden="1" customHeight="1" x14ac:dyDescent="0.25">
      <c r="A513" s="6"/>
      <c r="B513" s="441"/>
      <c r="C513" s="2515"/>
      <c r="D513" s="4154"/>
      <c r="E513" s="3185"/>
      <c r="F513" s="2690"/>
      <c r="G513" s="3035"/>
      <c r="H513" s="1463"/>
      <c r="J513" s="995"/>
      <c r="K513" s="995"/>
    </row>
    <row r="514" spans="1:11" s="27" customFormat="1" ht="15.75" customHeight="1" x14ac:dyDescent="0.25">
      <c r="A514" s="6"/>
      <c r="B514" s="441"/>
      <c r="C514" s="2477" t="s">
        <v>381</v>
      </c>
      <c r="D514" s="4159">
        <f>SUM(D515:D517)</f>
        <v>1413479000</v>
      </c>
      <c r="E514" s="2813">
        <f>SUM(E515:E517)</f>
        <v>1353007724</v>
      </c>
      <c r="F514" s="2695">
        <f t="shared" si="38"/>
        <v>95.721812916923426</v>
      </c>
      <c r="G514" s="2695">
        <f>SUM(G515:G517)/3</f>
        <v>100</v>
      </c>
      <c r="H514" s="1463"/>
      <c r="J514" s="995"/>
      <c r="K514" s="995"/>
    </row>
    <row r="515" spans="1:11" s="27" customFormat="1" ht="18" hidden="1" customHeight="1" x14ac:dyDescent="0.25">
      <c r="A515" s="6"/>
      <c r="B515" s="441"/>
      <c r="C515" s="2473" t="s">
        <v>382</v>
      </c>
      <c r="D515" s="4071">
        <v>390092000</v>
      </c>
      <c r="E515" s="2685">
        <v>380092000</v>
      </c>
      <c r="F515" s="2690">
        <f t="shared" si="38"/>
        <v>97.436502158465188</v>
      </c>
      <c r="G515" s="2855">
        <v>100</v>
      </c>
      <c r="H515" s="1463"/>
      <c r="J515" s="995"/>
      <c r="K515" s="995"/>
    </row>
    <row r="516" spans="1:11" s="27" customFormat="1" ht="17.25" hidden="1" customHeight="1" x14ac:dyDescent="0.25">
      <c r="A516" s="6"/>
      <c r="B516" s="441"/>
      <c r="C516" s="2473" t="s">
        <v>383</v>
      </c>
      <c r="D516" s="4306">
        <v>784100000</v>
      </c>
      <c r="E516" s="2855">
        <v>733628724</v>
      </c>
      <c r="F516" s="2690">
        <f t="shared" si="38"/>
        <v>93.563158270628747</v>
      </c>
      <c r="G516" s="2685">
        <v>100</v>
      </c>
      <c r="H516" s="1463"/>
      <c r="J516" s="995"/>
      <c r="K516" s="995"/>
    </row>
    <row r="517" spans="1:11" s="27" customFormat="1" ht="16.5" hidden="1" customHeight="1" x14ac:dyDescent="0.25">
      <c r="A517" s="6"/>
      <c r="B517" s="441"/>
      <c r="C517" s="2473" t="s">
        <v>384</v>
      </c>
      <c r="D517" s="4306">
        <v>239287000</v>
      </c>
      <c r="E517" s="2855">
        <v>239287000</v>
      </c>
      <c r="F517" s="2690">
        <f t="shared" si="38"/>
        <v>100</v>
      </c>
      <c r="G517" s="2855">
        <v>100</v>
      </c>
      <c r="H517" s="1463"/>
      <c r="J517" s="995"/>
      <c r="K517" s="995"/>
    </row>
    <row r="518" spans="1:11" s="27" customFormat="1" ht="10.5" hidden="1" customHeight="1" x14ac:dyDescent="0.25">
      <c r="A518" s="6"/>
      <c r="B518" s="441"/>
      <c r="C518" s="2473"/>
      <c r="D518" s="4286"/>
      <c r="E518" s="3185"/>
      <c r="F518" s="2690"/>
      <c r="G518" s="3035"/>
      <c r="H518" s="1463"/>
      <c r="J518" s="995"/>
      <c r="K518" s="995"/>
    </row>
    <row r="519" spans="1:11" s="27" customFormat="1" ht="18.75" customHeight="1" x14ac:dyDescent="0.25">
      <c r="A519" s="6"/>
      <c r="B519" s="441"/>
      <c r="C519" s="2474" t="s">
        <v>385</v>
      </c>
      <c r="D519" s="4291">
        <f>SUM(D520:D526)</f>
        <v>1931738800</v>
      </c>
      <c r="E519" s="2873">
        <f>SUM(E520:E526)</f>
        <v>1858131800</v>
      </c>
      <c r="F519" s="2695">
        <f t="shared" si="38"/>
        <v>96.189598718004731</v>
      </c>
      <c r="G519" s="2695">
        <f>SUM(G520:G526)/7</f>
        <v>100</v>
      </c>
      <c r="H519" s="1463"/>
      <c r="J519" s="995"/>
      <c r="K519" s="995"/>
    </row>
    <row r="520" spans="1:11" s="27" customFormat="1" ht="18" hidden="1" customHeight="1" x14ac:dyDescent="0.25">
      <c r="A520" s="6"/>
      <c r="B520" s="441"/>
      <c r="C520" s="2473" t="s">
        <v>386</v>
      </c>
      <c r="D520" s="4071">
        <v>110372000</v>
      </c>
      <c r="E520" s="2855">
        <v>110372000</v>
      </c>
      <c r="F520" s="2690">
        <f t="shared" si="38"/>
        <v>100</v>
      </c>
      <c r="G520" s="2690">
        <v>100</v>
      </c>
      <c r="H520" s="1463"/>
      <c r="J520" s="995"/>
      <c r="K520" s="995"/>
    </row>
    <row r="521" spans="1:11" s="27" customFormat="1" ht="17.25" hidden="1" customHeight="1" x14ac:dyDescent="0.25">
      <c r="A521" s="6"/>
      <c r="B521" s="441"/>
      <c r="C521" s="2473" t="s">
        <v>387</v>
      </c>
      <c r="D521" s="4071">
        <v>227541000</v>
      </c>
      <c r="E521" s="2685">
        <v>160731000</v>
      </c>
      <c r="F521" s="2690">
        <f t="shared" si="38"/>
        <v>70.638258599549104</v>
      </c>
      <c r="G521" s="2690">
        <v>100</v>
      </c>
      <c r="H521" s="1463"/>
      <c r="J521" s="995"/>
      <c r="K521" s="995"/>
    </row>
    <row r="522" spans="1:11" s="27" customFormat="1" ht="16.5" hidden="1" customHeight="1" x14ac:dyDescent="0.25">
      <c r="A522" s="6"/>
      <c r="B522" s="441"/>
      <c r="C522" s="2473" t="s">
        <v>388</v>
      </c>
      <c r="D522" s="4306">
        <v>164920000</v>
      </c>
      <c r="E522" s="2685">
        <v>164170000</v>
      </c>
      <c r="F522" s="2690">
        <f t="shared" si="38"/>
        <v>99.545234052874122</v>
      </c>
      <c r="G522" s="2690">
        <v>100</v>
      </c>
      <c r="H522" s="1463"/>
      <c r="J522" s="995"/>
      <c r="K522" s="995"/>
    </row>
    <row r="523" spans="1:11" s="27" customFormat="1" ht="16.5" hidden="1" customHeight="1" x14ac:dyDescent="0.25">
      <c r="A523" s="6"/>
      <c r="B523" s="441"/>
      <c r="C523" s="2473" t="s">
        <v>389</v>
      </c>
      <c r="D523" s="4306">
        <v>605916800</v>
      </c>
      <c r="E523" s="2855">
        <v>599869800</v>
      </c>
      <c r="F523" s="2690">
        <f t="shared" si="38"/>
        <v>99.00200819650486</v>
      </c>
      <c r="G523" s="2690">
        <v>100</v>
      </c>
      <c r="H523" s="1463"/>
      <c r="J523" s="995"/>
      <c r="K523" s="995"/>
    </row>
    <row r="524" spans="1:11" s="27" customFormat="1" ht="15.75" hidden="1" customHeight="1" x14ac:dyDescent="0.25">
      <c r="A524" s="6"/>
      <c r="B524" s="441"/>
      <c r="C524" s="2473" t="s">
        <v>390</v>
      </c>
      <c r="D524" s="4306">
        <v>171475000</v>
      </c>
      <c r="E524" s="2855">
        <v>171475000</v>
      </c>
      <c r="F524" s="2690">
        <f t="shared" si="38"/>
        <v>100</v>
      </c>
      <c r="G524" s="2685">
        <v>100</v>
      </c>
      <c r="H524" s="1463"/>
      <c r="J524" s="995"/>
      <c r="K524" s="995"/>
    </row>
    <row r="525" spans="1:11" s="27" customFormat="1" ht="18.75" hidden="1" customHeight="1" x14ac:dyDescent="0.25">
      <c r="A525" s="6"/>
      <c r="B525" s="441"/>
      <c r="C525" s="2473" t="s">
        <v>391</v>
      </c>
      <c r="D525" s="4306">
        <v>370000000</v>
      </c>
      <c r="E525" s="2855">
        <v>370000000</v>
      </c>
      <c r="F525" s="2690">
        <f t="shared" si="38"/>
        <v>100</v>
      </c>
      <c r="G525" s="2685">
        <v>100</v>
      </c>
      <c r="H525" s="1463"/>
      <c r="J525" s="995"/>
      <c r="K525" s="995"/>
    </row>
    <row r="526" spans="1:11" s="27" customFormat="1" ht="30.75" hidden="1" customHeight="1" x14ac:dyDescent="0.25">
      <c r="A526" s="6"/>
      <c r="B526" s="441"/>
      <c r="C526" s="2473" t="s">
        <v>392</v>
      </c>
      <c r="D526" s="4306">
        <v>281514000</v>
      </c>
      <c r="E526" s="2685">
        <v>281514000</v>
      </c>
      <c r="F526" s="2690">
        <f t="shared" si="38"/>
        <v>100</v>
      </c>
      <c r="G526" s="2685">
        <v>100</v>
      </c>
      <c r="H526" s="1463"/>
      <c r="J526" s="995"/>
      <c r="K526" s="995"/>
    </row>
    <row r="527" spans="1:11" s="27" customFormat="1" ht="9.75" hidden="1" customHeight="1" x14ac:dyDescent="0.25">
      <c r="A527" s="6"/>
      <c r="B527" s="441"/>
      <c r="C527" s="2476"/>
      <c r="D527" s="4308"/>
      <c r="E527" s="2685"/>
      <c r="F527" s="2685"/>
      <c r="G527" s="2708"/>
      <c r="H527" s="1463"/>
      <c r="J527" s="995"/>
      <c r="K527" s="995"/>
    </row>
    <row r="528" spans="1:11" s="27" customFormat="1" ht="18" customHeight="1" x14ac:dyDescent="0.25">
      <c r="A528" s="6"/>
      <c r="B528" s="441"/>
      <c r="C528" s="2474" t="s">
        <v>393</v>
      </c>
      <c r="D528" s="4297">
        <f>SUM(D529:D529)</f>
        <v>217104000</v>
      </c>
      <c r="E528" s="3978">
        <f>SUM(E529:E529)</f>
        <v>217104000</v>
      </c>
      <c r="F528" s="2679">
        <f>E528/D528*100</f>
        <v>100</v>
      </c>
      <c r="G528" s="2679">
        <v>100</v>
      </c>
      <c r="H528" s="1463"/>
      <c r="J528" s="995"/>
      <c r="K528" s="995"/>
    </row>
    <row r="529" spans="1:11" s="27" customFormat="1" ht="17.25" hidden="1" customHeight="1" x14ac:dyDescent="0.25">
      <c r="A529" s="6"/>
      <c r="B529" s="441"/>
      <c r="C529" s="2473" t="s">
        <v>394</v>
      </c>
      <c r="D529" s="4306">
        <v>217104000</v>
      </c>
      <c r="E529" s="3989">
        <v>217104000</v>
      </c>
      <c r="F529" s="2685">
        <v>100</v>
      </c>
      <c r="G529" s="2685">
        <v>100</v>
      </c>
      <c r="H529" s="1463"/>
      <c r="J529" s="995"/>
      <c r="K529" s="995"/>
    </row>
    <row r="530" spans="1:11" s="27" customFormat="1" ht="9" hidden="1" customHeight="1" x14ac:dyDescent="0.25">
      <c r="A530" s="6"/>
      <c r="B530" s="441"/>
      <c r="C530" s="2473"/>
      <c r="D530" s="4306"/>
      <c r="E530" s="2804"/>
      <c r="F530" s="2685"/>
      <c r="G530" s="2685"/>
      <c r="H530" s="1463"/>
      <c r="J530" s="995"/>
      <c r="K530" s="995"/>
    </row>
    <row r="531" spans="1:11" s="27" customFormat="1" ht="18.75" customHeight="1" x14ac:dyDescent="0.25">
      <c r="A531" s="6"/>
      <c r="B531" s="441"/>
      <c r="C531" s="2474" t="s">
        <v>395</v>
      </c>
      <c r="D531" s="4297">
        <f>SUM(D532:D533)</f>
        <v>346080000</v>
      </c>
      <c r="E531" s="3978">
        <f>SUM(E532:E533)</f>
        <v>346080000</v>
      </c>
      <c r="F531" s="2679">
        <f>E531/D531*100</f>
        <v>100</v>
      </c>
      <c r="G531" s="2679">
        <f>SUM(G532:G533)/2</f>
        <v>100</v>
      </c>
      <c r="H531" s="1463"/>
      <c r="J531" s="995"/>
      <c r="K531" s="995"/>
    </row>
    <row r="532" spans="1:11" s="27" customFormat="1" ht="17.25" hidden="1" customHeight="1" x14ac:dyDescent="0.25">
      <c r="A532" s="6"/>
      <c r="B532" s="441"/>
      <c r="C532" s="2473" t="s">
        <v>396</v>
      </c>
      <c r="D532" s="4306">
        <v>216530000</v>
      </c>
      <c r="E532" s="2685">
        <v>216530000</v>
      </c>
      <c r="F532" s="2685">
        <v>100</v>
      </c>
      <c r="G532" s="2685">
        <v>100</v>
      </c>
      <c r="H532" s="1463"/>
      <c r="J532" s="995"/>
      <c r="K532" s="995"/>
    </row>
    <row r="533" spans="1:11" ht="18" hidden="1" customHeight="1" x14ac:dyDescent="0.25">
      <c r="B533" s="441"/>
      <c r="C533" s="2473" t="s">
        <v>397</v>
      </c>
      <c r="D533" s="4306">
        <v>129550000</v>
      </c>
      <c r="E533" s="2685">
        <v>129550000</v>
      </c>
      <c r="F533" s="2685">
        <v>100</v>
      </c>
      <c r="G533" s="2685">
        <v>100</v>
      </c>
      <c r="H533" s="1463"/>
    </row>
    <row r="534" spans="1:11" ht="13.5" hidden="1" customHeight="1" x14ac:dyDescent="0.25">
      <c r="B534" s="441"/>
      <c r="C534" s="2475"/>
      <c r="D534" s="4308"/>
      <c r="E534" s="2830"/>
      <c r="F534" s="2830"/>
      <c r="G534" s="2830"/>
      <c r="H534" s="1463"/>
    </row>
    <row r="535" spans="1:11" s="27" customFormat="1" ht="18" customHeight="1" x14ac:dyDescent="0.25">
      <c r="A535" s="6"/>
      <c r="B535" s="440"/>
      <c r="C535" s="2471" t="s">
        <v>398</v>
      </c>
      <c r="D535" s="4080">
        <f>SUM(D536+D539+D546+D551+D556)</f>
        <v>17185757488</v>
      </c>
      <c r="E535" s="2786">
        <f>SUM(E536+E539+E546+E551+E556)</f>
        <v>13574431400</v>
      </c>
      <c r="F535" s="2719">
        <f>E535/D535*100</f>
        <v>78.986517815571318</v>
      </c>
      <c r="G535" s="2719">
        <f>SUM(G536+G539+G546+G551+G556)/5</f>
        <v>83.2</v>
      </c>
      <c r="H535" s="1463"/>
      <c r="J535" s="995"/>
      <c r="K535" s="995"/>
    </row>
    <row r="536" spans="1:11" s="27" customFormat="1" ht="18" customHeight="1" x14ac:dyDescent="0.25">
      <c r="A536" s="6"/>
      <c r="B536" s="441"/>
      <c r="C536" s="2478" t="s">
        <v>91</v>
      </c>
      <c r="D536" s="4280">
        <f>D537</f>
        <v>266190000</v>
      </c>
      <c r="E536" s="2722">
        <f>E537</f>
        <v>266190000</v>
      </c>
      <c r="F536" s="2722">
        <f>E536/D536*100</f>
        <v>100</v>
      </c>
      <c r="G536" s="2722">
        <f>G537</f>
        <v>100</v>
      </c>
      <c r="H536" s="3711"/>
      <c r="J536" s="995"/>
      <c r="K536" s="995"/>
    </row>
    <row r="537" spans="1:11" s="27" customFormat="1" ht="16.5" hidden="1" customHeight="1" x14ac:dyDescent="0.25">
      <c r="A537" s="6"/>
      <c r="B537" s="449"/>
      <c r="C537" s="2473" t="s">
        <v>399</v>
      </c>
      <c r="D537" s="4066">
        <v>266190000</v>
      </c>
      <c r="E537" s="2855">
        <v>266190000</v>
      </c>
      <c r="F537" s="2685">
        <f>E537/D537*100</f>
        <v>100</v>
      </c>
      <c r="G537" s="2685">
        <v>100</v>
      </c>
      <c r="H537" s="1463"/>
      <c r="J537" s="995"/>
      <c r="K537" s="995"/>
    </row>
    <row r="538" spans="1:11" s="27" customFormat="1" ht="10.5" hidden="1" customHeight="1" x14ac:dyDescent="0.25">
      <c r="A538" s="6"/>
      <c r="B538" s="449"/>
      <c r="C538" s="2474"/>
      <c r="D538" s="4276"/>
      <c r="E538" s="2685"/>
      <c r="F538" s="2685"/>
      <c r="G538" s="2685"/>
      <c r="H538" s="1463"/>
      <c r="J538" s="995"/>
      <c r="K538" s="995"/>
    </row>
    <row r="539" spans="1:11" s="27" customFormat="1" ht="15.75" customHeight="1" x14ac:dyDescent="0.25">
      <c r="A539" s="6"/>
      <c r="B539" s="441"/>
      <c r="C539" s="2472" t="s">
        <v>93</v>
      </c>
      <c r="D539" s="4280">
        <f>SUM(D540:D544)</f>
        <v>5565736700</v>
      </c>
      <c r="E539" s="2801">
        <f>SUM(E540:E544)</f>
        <v>4482083700</v>
      </c>
      <c r="F539" s="2725">
        <f t="shared" ref="F539:F557" si="39">E539/D539*100</f>
        <v>80.529926972650358</v>
      </c>
      <c r="G539" s="2734">
        <f>SUM(G540:G544)/5</f>
        <v>66</v>
      </c>
      <c r="H539" s="3712"/>
      <c r="J539" s="995"/>
      <c r="K539" s="995"/>
    </row>
    <row r="540" spans="1:11" s="27" customFormat="1" ht="17.25" hidden="1" customHeight="1" x14ac:dyDescent="0.25">
      <c r="A540" s="6"/>
      <c r="B540" s="441"/>
      <c r="C540" s="2473" t="s">
        <v>400</v>
      </c>
      <c r="D540" s="4071">
        <v>337430000</v>
      </c>
      <c r="E540" s="2855">
        <v>196955000</v>
      </c>
      <c r="F540" s="2685">
        <f t="shared" si="39"/>
        <v>58.3691432297069</v>
      </c>
      <c r="G540" s="2690">
        <v>100</v>
      </c>
      <c r="H540" s="1463"/>
      <c r="J540" s="995"/>
      <c r="K540" s="995"/>
    </row>
    <row r="541" spans="1:11" s="27" customFormat="1" ht="16.5" hidden="1" customHeight="1" x14ac:dyDescent="0.25">
      <c r="A541" s="6"/>
      <c r="B541" s="441"/>
      <c r="C541" s="2473" t="s">
        <v>401</v>
      </c>
      <c r="D541" s="4286">
        <v>3042192000</v>
      </c>
      <c r="E541" s="2804">
        <v>2786167000</v>
      </c>
      <c r="F541" s="2685">
        <f t="shared" si="39"/>
        <v>91.584193239611437</v>
      </c>
      <c r="G541" s="2690">
        <v>100</v>
      </c>
      <c r="H541" s="1463"/>
      <c r="J541" s="995"/>
      <c r="K541" s="995"/>
    </row>
    <row r="542" spans="1:11" s="27" customFormat="1" ht="18" hidden="1" customHeight="1" x14ac:dyDescent="0.25">
      <c r="A542" s="6"/>
      <c r="B542" s="441"/>
      <c r="C542" s="2473" t="s">
        <v>402</v>
      </c>
      <c r="D542" s="4286">
        <v>1599294700</v>
      </c>
      <c r="E542" s="2830">
        <v>1421512700</v>
      </c>
      <c r="F542" s="2685">
        <f t="shared" si="39"/>
        <v>88.883724806941458</v>
      </c>
      <c r="G542" s="2690">
        <v>100</v>
      </c>
      <c r="H542" s="1463"/>
      <c r="J542" s="995"/>
      <c r="K542" s="995"/>
    </row>
    <row r="543" spans="1:11" s="27" customFormat="1" ht="17.25" hidden="1" customHeight="1" x14ac:dyDescent="0.25">
      <c r="A543" s="6"/>
      <c r="B543" s="441"/>
      <c r="C543" s="2473" t="s">
        <v>403</v>
      </c>
      <c r="D543" s="4286">
        <v>247600000</v>
      </c>
      <c r="E543" s="2708">
        <v>77449000</v>
      </c>
      <c r="F543" s="2685">
        <f t="shared" si="39"/>
        <v>31.279886914378029</v>
      </c>
      <c r="G543" s="2685">
        <v>30</v>
      </c>
      <c r="H543" s="1463"/>
      <c r="J543" s="995"/>
      <c r="K543" s="995"/>
    </row>
    <row r="544" spans="1:11" s="27" customFormat="1" ht="16.5" hidden="1" customHeight="1" x14ac:dyDescent="0.25">
      <c r="A544" s="6"/>
      <c r="B544" s="441"/>
      <c r="C544" s="2473" t="s">
        <v>404</v>
      </c>
      <c r="D544" s="4286">
        <v>339220000</v>
      </c>
      <c r="E544" s="2685">
        <v>0</v>
      </c>
      <c r="F544" s="2685">
        <f t="shared" si="39"/>
        <v>0</v>
      </c>
      <c r="G544" s="2685">
        <v>0</v>
      </c>
      <c r="H544" s="1463"/>
      <c r="J544" s="995"/>
      <c r="K544" s="995"/>
    </row>
    <row r="545" spans="1:11" s="27" customFormat="1" ht="9.75" hidden="1" customHeight="1" x14ac:dyDescent="0.25">
      <c r="A545" s="6"/>
      <c r="B545" s="441"/>
      <c r="C545" s="2474"/>
      <c r="D545" s="4286"/>
      <c r="E545" s="2830"/>
      <c r="F545" s="2685"/>
      <c r="G545" s="2685"/>
      <c r="H545" s="1463"/>
      <c r="J545" s="995"/>
      <c r="K545" s="995"/>
    </row>
    <row r="546" spans="1:11" s="27" customFormat="1" ht="18" customHeight="1" x14ac:dyDescent="0.25">
      <c r="A546" s="6"/>
      <c r="B546" s="441"/>
      <c r="C546" s="2474" t="s">
        <v>405</v>
      </c>
      <c r="D546" s="4291">
        <f>SUM(D547:D549)</f>
        <v>1496190000</v>
      </c>
      <c r="E546" s="2873">
        <f>SUM(E547:E549)</f>
        <v>1406005200</v>
      </c>
      <c r="F546" s="2679">
        <f t="shared" si="39"/>
        <v>93.972369819341125</v>
      </c>
      <c r="G546" s="2679">
        <f>SUM(G547:G549)/3</f>
        <v>66.666666666666671</v>
      </c>
      <c r="H546" s="1463"/>
      <c r="J546" s="995"/>
      <c r="K546" s="995"/>
    </row>
    <row r="547" spans="1:11" s="27" customFormat="1" ht="18" hidden="1" customHeight="1" x14ac:dyDescent="0.25">
      <c r="A547" s="6"/>
      <c r="B547" s="441"/>
      <c r="C547" s="2473" t="s">
        <v>406</v>
      </c>
      <c r="D547" s="4071">
        <v>1082750000</v>
      </c>
      <c r="E547" s="2685">
        <v>1080499000</v>
      </c>
      <c r="F547" s="2685">
        <f t="shared" si="39"/>
        <v>99.792103440314023</v>
      </c>
      <c r="G547" s="2855">
        <v>100</v>
      </c>
      <c r="H547" s="1463"/>
      <c r="J547" s="995"/>
      <c r="K547" s="995"/>
    </row>
    <row r="548" spans="1:11" s="27" customFormat="1" ht="30" hidden="1" customHeight="1" x14ac:dyDescent="0.25">
      <c r="A548" s="6"/>
      <c r="B548" s="441"/>
      <c r="C548" s="2473" t="s">
        <v>407</v>
      </c>
      <c r="D548" s="4071">
        <v>350500000</v>
      </c>
      <c r="E548" s="2855">
        <v>325506200</v>
      </c>
      <c r="F548" s="2685">
        <f t="shared" si="39"/>
        <v>92.86910128388017</v>
      </c>
      <c r="G548" s="2685">
        <v>100</v>
      </c>
      <c r="H548" s="1463"/>
      <c r="J548" s="995"/>
      <c r="K548" s="995"/>
    </row>
    <row r="549" spans="1:11" s="27" customFormat="1" ht="18" hidden="1" customHeight="1" x14ac:dyDescent="0.25">
      <c r="A549" s="6"/>
      <c r="B549" s="441"/>
      <c r="C549" s="2473" t="s">
        <v>408</v>
      </c>
      <c r="D549" s="4071">
        <v>62940000</v>
      </c>
      <c r="E549" s="2685">
        <v>0</v>
      </c>
      <c r="F549" s="2685">
        <f t="shared" si="39"/>
        <v>0</v>
      </c>
      <c r="G549" s="2685">
        <v>0</v>
      </c>
      <c r="H549" s="1463"/>
      <c r="J549" s="995"/>
      <c r="K549" s="995"/>
    </row>
    <row r="550" spans="1:11" s="27" customFormat="1" ht="10.5" hidden="1" customHeight="1" x14ac:dyDescent="0.25">
      <c r="A550" s="6"/>
      <c r="B550" s="441"/>
      <c r="C550" s="2473"/>
      <c r="D550" s="4071"/>
      <c r="E550" s="2685"/>
      <c r="F550" s="2685"/>
      <c r="G550" s="2685"/>
      <c r="H550" s="1463"/>
      <c r="J550" s="995"/>
      <c r="K550" s="995"/>
    </row>
    <row r="551" spans="1:11" s="27" customFormat="1" ht="18" customHeight="1" x14ac:dyDescent="0.25">
      <c r="A551" s="6"/>
      <c r="B551" s="441"/>
      <c r="C551" s="2474" t="s">
        <v>409</v>
      </c>
      <c r="D551" s="4065">
        <f>SUM(D552:D554)</f>
        <v>1321933500</v>
      </c>
      <c r="E551" s="2695">
        <f>SUM(E552:E554)</f>
        <v>966651500</v>
      </c>
      <c r="F551" s="2679">
        <f t="shared" si="39"/>
        <v>73.124064107612071</v>
      </c>
      <c r="G551" s="2679">
        <f>SUM(G552:G554)/3</f>
        <v>83.333333333333329</v>
      </c>
      <c r="H551" s="1463"/>
      <c r="J551" s="995"/>
      <c r="K551" s="995"/>
    </row>
    <row r="552" spans="1:11" s="27" customFormat="1" ht="18" hidden="1" customHeight="1" x14ac:dyDescent="0.25">
      <c r="A552" s="6"/>
      <c r="B552" s="441"/>
      <c r="C552" s="2473" t="s">
        <v>410</v>
      </c>
      <c r="D552" s="4286">
        <v>429396500</v>
      </c>
      <c r="E552" s="2855">
        <v>426596500</v>
      </c>
      <c r="F552" s="2685">
        <f t="shared" si="39"/>
        <v>99.347922025447346</v>
      </c>
      <c r="G552" s="2855">
        <v>100</v>
      </c>
      <c r="H552" s="1463"/>
      <c r="J552" s="995"/>
      <c r="K552" s="995"/>
    </row>
    <row r="553" spans="1:11" s="27" customFormat="1" ht="13.5" hidden="1" customHeight="1" x14ac:dyDescent="0.25">
      <c r="A553" s="6"/>
      <c r="B553" s="441"/>
      <c r="C553" s="2473" t="s">
        <v>411</v>
      </c>
      <c r="D553" s="4286">
        <v>641599000</v>
      </c>
      <c r="E553" s="2685">
        <v>411159000</v>
      </c>
      <c r="F553" s="2685">
        <f t="shared" si="39"/>
        <v>64.08348516752676</v>
      </c>
      <c r="G553" s="2855">
        <v>100</v>
      </c>
      <c r="H553" s="1463"/>
      <c r="J553" s="995"/>
      <c r="K553" s="995"/>
    </row>
    <row r="554" spans="1:11" s="27" customFormat="1" ht="17.25" hidden="1" customHeight="1" x14ac:dyDescent="0.25">
      <c r="A554" s="6"/>
      <c r="B554" s="441"/>
      <c r="C554" s="2473" t="s">
        <v>412</v>
      </c>
      <c r="D554" s="4286">
        <v>250938000</v>
      </c>
      <c r="E554" s="3617">
        <v>128896000</v>
      </c>
      <c r="F554" s="2685">
        <f t="shared" si="39"/>
        <v>51.365675983709124</v>
      </c>
      <c r="G554" s="2855">
        <v>50</v>
      </c>
      <c r="H554" s="1463"/>
      <c r="J554" s="995"/>
      <c r="K554" s="995"/>
    </row>
    <row r="555" spans="1:11" s="27" customFormat="1" ht="10.5" hidden="1" customHeight="1" x14ac:dyDescent="0.25">
      <c r="A555" s="6"/>
      <c r="B555" s="441"/>
      <c r="C555" s="2517"/>
      <c r="D555" s="4286"/>
      <c r="E555" s="2804"/>
      <c r="F555" s="2685"/>
      <c r="G555" s="2685"/>
      <c r="H555" s="1463"/>
      <c r="J555" s="995"/>
      <c r="K555" s="995"/>
    </row>
    <row r="556" spans="1:11" s="27" customFormat="1" ht="30.75" customHeight="1" x14ac:dyDescent="0.25">
      <c r="A556" s="6"/>
      <c r="B556" s="441"/>
      <c r="C556" s="2474" t="s">
        <v>413</v>
      </c>
      <c r="D556" s="4300">
        <f>D557</f>
        <v>8535707288</v>
      </c>
      <c r="E556" s="3991">
        <f>E557</f>
        <v>6453501000</v>
      </c>
      <c r="F556" s="2679">
        <f t="shared" si="39"/>
        <v>75.605931439011641</v>
      </c>
      <c r="G556" s="3991">
        <f>G557</f>
        <v>100</v>
      </c>
      <c r="H556" s="3714"/>
      <c r="I556" s="11">
        <f>SUM(I557:I557)</f>
        <v>0</v>
      </c>
      <c r="J556" s="995"/>
      <c r="K556" s="995"/>
    </row>
    <row r="557" spans="1:11" s="27" customFormat="1" ht="18.75" hidden="1" customHeight="1" x14ac:dyDescent="0.25">
      <c r="A557" s="6"/>
      <c r="B557" s="441"/>
      <c r="C557" s="2473" t="s">
        <v>414</v>
      </c>
      <c r="D557" s="4066">
        <v>8535707288</v>
      </c>
      <c r="E557" s="2855">
        <v>6453501000</v>
      </c>
      <c r="F557" s="2685">
        <f t="shared" si="39"/>
        <v>75.605931439011641</v>
      </c>
      <c r="G557" s="2855">
        <v>100</v>
      </c>
      <c r="H557" s="1463"/>
      <c r="J557" s="995"/>
      <c r="K557" s="995"/>
    </row>
    <row r="558" spans="1:11" ht="12" hidden="1" customHeight="1" x14ac:dyDescent="0.25">
      <c r="B558" s="441"/>
      <c r="C558" s="2475"/>
      <c r="D558" s="4308"/>
      <c r="E558" s="2830"/>
      <c r="F558" s="2708"/>
      <c r="G558" s="2708"/>
      <c r="H558" s="1463"/>
    </row>
    <row r="559" spans="1:11" s="27" customFormat="1" ht="18" customHeight="1" x14ac:dyDescent="0.25">
      <c r="A559" s="6"/>
      <c r="B559" s="440"/>
      <c r="C559" s="2471" t="s">
        <v>415</v>
      </c>
      <c r="D559" s="4106">
        <f>D560</f>
        <v>5296293288</v>
      </c>
      <c r="E559" s="3192">
        <f>E560</f>
        <v>4888771354</v>
      </c>
      <c r="F559" s="2719">
        <f>E559/D559*100</f>
        <v>92.305525547021034</v>
      </c>
      <c r="G559" s="2719">
        <f>G560</f>
        <v>100</v>
      </c>
      <c r="H559" s="1463"/>
      <c r="J559" s="995"/>
      <c r="K559" s="995"/>
    </row>
    <row r="560" spans="1:11" s="27" customFormat="1" ht="19.5" customHeight="1" x14ac:dyDescent="0.25">
      <c r="A560" s="6"/>
      <c r="B560" s="441"/>
      <c r="C560" s="2478" t="s">
        <v>416</v>
      </c>
      <c r="D560" s="4305">
        <f>D561</f>
        <v>5296293288</v>
      </c>
      <c r="E560" s="3992">
        <f>E561</f>
        <v>4888771354</v>
      </c>
      <c r="F560" s="2722">
        <f>E560/D560*100</f>
        <v>92.305525547021034</v>
      </c>
      <c r="G560" s="2722">
        <f>G561</f>
        <v>100</v>
      </c>
      <c r="H560" s="1463"/>
      <c r="J560" s="995"/>
      <c r="K560" s="995"/>
    </row>
    <row r="561" spans="1:11" s="27" customFormat="1" ht="17.25" hidden="1" customHeight="1" x14ac:dyDescent="0.25">
      <c r="A561" s="6"/>
      <c r="B561" s="441"/>
      <c r="C561" s="2473" t="s">
        <v>417</v>
      </c>
      <c r="D561" s="4066">
        <v>5296293288</v>
      </c>
      <c r="E561" s="2855">
        <v>4888771354</v>
      </c>
      <c r="F561" s="2685">
        <f>E561/D561*100</f>
        <v>92.305525547021034</v>
      </c>
      <c r="G561" s="2685">
        <v>100</v>
      </c>
      <c r="H561" s="1463"/>
      <c r="J561" s="995"/>
      <c r="K561" s="995"/>
    </row>
    <row r="562" spans="1:11" ht="13.5" hidden="1" customHeight="1" x14ac:dyDescent="0.25">
      <c r="B562" s="441"/>
      <c r="C562" s="2475"/>
      <c r="D562" s="4301"/>
      <c r="E562" s="2830"/>
      <c r="F562" s="2708"/>
      <c r="G562" s="2708"/>
      <c r="H562" s="1463"/>
    </row>
    <row r="563" spans="1:11" s="27" customFormat="1" ht="15.75" customHeight="1" x14ac:dyDescent="0.25">
      <c r="A563" s="6"/>
      <c r="B563" s="440"/>
      <c r="C563" s="2471" t="s">
        <v>418</v>
      </c>
      <c r="D563" s="4106">
        <f>SUM(D564+D570)</f>
        <v>41601225000</v>
      </c>
      <c r="E563" s="2672">
        <f>SUM(E564+E570)</f>
        <v>41381223000</v>
      </c>
      <c r="F563" s="2719">
        <f>E563/D563*100</f>
        <v>99.471164611138249</v>
      </c>
      <c r="G563" s="2719">
        <f>SUM(G564+G570)/2</f>
        <v>100</v>
      </c>
      <c r="H563" s="1463"/>
      <c r="J563" s="995"/>
      <c r="K563" s="995"/>
    </row>
    <row r="564" spans="1:11" s="27" customFormat="1" ht="18.75" customHeight="1" x14ac:dyDescent="0.25">
      <c r="A564" s="6"/>
      <c r="B564" s="441"/>
      <c r="C564" s="2478" t="s">
        <v>290</v>
      </c>
      <c r="D564" s="4311">
        <f>SUM(D565:D568)</f>
        <v>32557825000</v>
      </c>
      <c r="E564" s="2824">
        <f>SUM(E565:E568)</f>
        <v>32376998000</v>
      </c>
      <c r="F564" s="2722">
        <f>E564/D564*100</f>
        <v>99.444597420128645</v>
      </c>
      <c r="G564" s="2722">
        <f>SUM(G565:G568)/4</f>
        <v>100</v>
      </c>
      <c r="H564" s="1463"/>
      <c r="J564" s="995"/>
      <c r="K564" s="995"/>
    </row>
    <row r="565" spans="1:11" s="27" customFormat="1" ht="18.75" hidden="1" customHeight="1" x14ac:dyDescent="0.25">
      <c r="A565" s="6"/>
      <c r="B565" s="441"/>
      <c r="C565" s="2473" t="s">
        <v>419</v>
      </c>
      <c r="D565" s="4071">
        <v>18038450000</v>
      </c>
      <c r="E565" s="2855">
        <v>17897001000</v>
      </c>
      <c r="F565" s="2685">
        <f>E565/D565*100</f>
        <v>99.215847259603791</v>
      </c>
      <c r="G565" s="2685">
        <v>100</v>
      </c>
      <c r="H565" s="1463"/>
      <c r="J565" s="995"/>
      <c r="K565" s="995"/>
    </row>
    <row r="566" spans="1:11" s="27" customFormat="1" ht="17.25" hidden="1" customHeight="1" x14ac:dyDescent="0.25">
      <c r="A566" s="6"/>
      <c r="B566" s="441"/>
      <c r="C566" s="2473" t="s">
        <v>420</v>
      </c>
      <c r="D566" s="4071">
        <v>2916565000</v>
      </c>
      <c r="E566" s="3617">
        <v>2886137000</v>
      </c>
      <c r="F566" s="2685">
        <f t="shared" ref="F566:F571" si="40">E566/D566*100</f>
        <v>98.956717919881783</v>
      </c>
      <c r="G566" s="2685">
        <v>100</v>
      </c>
      <c r="H566" s="1463"/>
      <c r="J566" s="995"/>
      <c r="K566" s="995"/>
    </row>
    <row r="567" spans="1:11" s="27" customFormat="1" ht="14.25" hidden="1" customHeight="1" x14ac:dyDescent="0.25">
      <c r="A567" s="6"/>
      <c r="B567" s="441"/>
      <c r="C567" s="2473" t="s">
        <v>421</v>
      </c>
      <c r="D567" s="4071">
        <v>11310000000</v>
      </c>
      <c r="E567" s="3617">
        <v>11301050000</v>
      </c>
      <c r="F567" s="2685">
        <f t="shared" si="40"/>
        <v>99.920866489832008</v>
      </c>
      <c r="G567" s="2685">
        <v>100</v>
      </c>
      <c r="H567" s="1463"/>
      <c r="J567" s="995"/>
      <c r="K567" s="995"/>
    </row>
    <row r="568" spans="1:11" s="27" customFormat="1" ht="15.75" hidden="1" customHeight="1" x14ac:dyDescent="0.25">
      <c r="A568" s="6"/>
      <c r="B568" s="441"/>
      <c r="C568" s="2473" t="s">
        <v>422</v>
      </c>
      <c r="D568" s="4071">
        <v>292810000</v>
      </c>
      <c r="E568" s="3617">
        <v>292810000</v>
      </c>
      <c r="F568" s="2685">
        <f t="shared" si="40"/>
        <v>100</v>
      </c>
      <c r="G568" s="2685">
        <v>100</v>
      </c>
      <c r="H568" s="1463"/>
      <c r="J568" s="995"/>
      <c r="K568" s="995"/>
    </row>
    <row r="569" spans="1:11" s="27" customFormat="1" ht="10.5" hidden="1" customHeight="1" x14ac:dyDescent="0.25">
      <c r="A569" s="6"/>
      <c r="B569" s="441"/>
      <c r="C569" s="2517"/>
      <c r="D569" s="4285"/>
      <c r="E569" s="2804"/>
      <c r="F569" s="2685"/>
      <c r="G569" s="2685"/>
      <c r="H569" s="1463"/>
      <c r="J569" s="995"/>
      <c r="K569" s="995"/>
    </row>
    <row r="570" spans="1:11" s="27" customFormat="1" ht="19.5" customHeight="1" x14ac:dyDescent="0.25">
      <c r="A570" s="6"/>
      <c r="B570" s="441"/>
      <c r="C570" s="2474" t="s">
        <v>423</v>
      </c>
      <c r="D570" s="4300">
        <f>D571</f>
        <v>9043400000</v>
      </c>
      <c r="E570" s="3990">
        <f>E571</f>
        <v>9004225000</v>
      </c>
      <c r="F570" s="2679">
        <f t="shared" si="40"/>
        <v>99.566811155096531</v>
      </c>
      <c r="G570" s="2679">
        <f>G571</f>
        <v>100</v>
      </c>
      <c r="H570" s="1463"/>
      <c r="J570" s="995"/>
      <c r="K570" s="995"/>
    </row>
    <row r="571" spans="1:11" s="27" customFormat="1" ht="15" hidden="1" customHeight="1" x14ac:dyDescent="0.25">
      <c r="A571" s="6"/>
      <c r="B571" s="441"/>
      <c r="C571" s="2473" t="s">
        <v>424</v>
      </c>
      <c r="D571" s="4071">
        <v>9043400000</v>
      </c>
      <c r="E571" s="2855">
        <v>9004225000</v>
      </c>
      <c r="F571" s="2685">
        <f t="shared" si="40"/>
        <v>99.566811155096531</v>
      </c>
      <c r="G571" s="2685">
        <v>100</v>
      </c>
      <c r="H571" s="1463"/>
      <c r="J571" s="995"/>
      <c r="K571" s="995"/>
    </row>
    <row r="572" spans="1:11" ht="13.5" hidden="1" customHeight="1" x14ac:dyDescent="0.25">
      <c r="B572" s="441"/>
      <c r="C572" s="2518"/>
      <c r="D572" s="4312"/>
      <c r="E572" s="2911"/>
      <c r="F572" s="2690"/>
      <c r="G572" s="2830"/>
      <c r="H572" s="1463"/>
    </row>
    <row r="573" spans="1:11" s="27" customFormat="1" ht="17.25" customHeight="1" x14ac:dyDescent="0.25">
      <c r="A573" s="6"/>
      <c r="B573" s="440"/>
      <c r="C573" s="2471" t="s">
        <v>425</v>
      </c>
      <c r="D573" s="4106">
        <f>SUM(D574)</f>
        <v>624970000</v>
      </c>
      <c r="E573" s="2672">
        <f>SUM(E574)</f>
        <v>623653600</v>
      </c>
      <c r="F573" s="2719">
        <f>E573/D573*100</f>
        <v>99.789365889562703</v>
      </c>
      <c r="G573" s="2719">
        <f>G574</f>
        <v>100</v>
      </c>
      <c r="H573" s="1463"/>
      <c r="J573" s="995"/>
      <c r="K573" s="995"/>
    </row>
    <row r="574" spans="1:11" s="27" customFormat="1" ht="17.25" customHeight="1" x14ac:dyDescent="0.25">
      <c r="A574" s="6"/>
      <c r="B574" s="444"/>
      <c r="C574" s="2478" t="s">
        <v>426</v>
      </c>
      <c r="D574" s="4305">
        <f>SUM(D575+D576)</f>
        <v>624970000</v>
      </c>
      <c r="E574" s="2785">
        <f>SUM(E575+E576)</f>
        <v>623653600</v>
      </c>
      <c r="F574" s="2722">
        <f>E574/D574*100</f>
        <v>99.789365889562703</v>
      </c>
      <c r="G574" s="2722">
        <f>SUM(G575:G576)/2</f>
        <v>100</v>
      </c>
      <c r="H574" s="1463"/>
      <c r="J574" s="995"/>
      <c r="K574" s="995"/>
    </row>
    <row r="575" spans="1:11" s="27" customFormat="1" ht="19.5" hidden="1" customHeight="1" x14ac:dyDescent="0.25">
      <c r="A575" s="6"/>
      <c r="B575" s="449"/>
      <c r="C575" s="2473" t="s">
        <v>427</v>
      </c>
      <c r="D575" s="4071">
        <v>325910000</v>
      </c>
      <c r="E575" s="2855">
        <v>324593600</v>
      </c>
      <c r="F575" s="2685">
        <f>E575/D575*100</f>
        <v>99.596084808689511</v>
      </c>
      <c r="G575" s="2685">
        <v>100</v>
      </c>
      <c r="H575" s="1463"/>
      <c r="J575" s="995"/>
      <c r="K575" s="995"/>
    </row>
    <row r="576" spans="1:11" s="27" customFormat="1" ht="15.75" hidden="1" customHeight="1" x14ac:dyDescent="0.25">
      <c r="A576" s="6"/>
      <c r="B576" s="449"/>
      <c r="C576" s="2473" t="s">
        <v>428</v>
      </c>
      <c r="D576" s="4071">
        <v>299060000</v>
      </c>
      <c r="E576" s="2855">
        <v>299060000</v>
      </c>
      <c r="F576" s="2685">
        <f>E576/D576*100</f>
        <v>100</v>
      </c>
      <c r="G576" s="2685">
        <v>100</v>
      </c>
      <c r="H576" s="1463"/>
      <c r="J576" s="995"/>
      <c r="K576" s="995"/>
    </row>
    <row r="577" spans="1:11" ht="9.75" hidden="1" customHeight="1" x14ac:dyDescent="0.25">
      <c r="B577" s="449"/>
      <c r="C577" s="2473"/>
      <c r="D577" s="4066"/>
      <c r="E577" s="2685"/>
      <c r="F577" s="2685"/>
      <c r="G577" s="2685"/>
      <c r="H577" s="1463"/>
    </row>
    <row r="578" spans="1:11" s="27" customFormat="1" ht="17.25" customHeight="1" x14ac:dyDescent="0.25">
      <c r="A578" s="6"/>
      <c r="B578" s="459"/>
      <c r="C578" s="2523" t="s">
        <v>429</v>
      </c>
      <c r="D578" s="4313">
        <f>SUM(D579+D582+D585)</f>
        <v>2281280012</v>
      </c>
      <c r="E578" s="2962">
        <f>SUM(E579+E582+E585)</f>
        <v>1530435475</v>
      </c>
      <c r="F578" s="3095">
        <f>E578/D578*100</f>
        <v>67.086699876805838</v>
      </c>
      <c r="G578" s="3095">
        <f>SUM(G579+G582+G585)/3</f>
        <v>56.666666666666664</v>
      </c>
      <c r="H578" s="3712"/>
      <c r="J578" s="995"/>
      <c r="K578" s="995"/>
    </row>
    <row r="579" spans="1:11" s="27" customFormat="1" ht="17.25" customHeight="1" x14ac:dyDescent="0.25">
      <c r="A579" s="6"/>
      <c r="B579" s="441"/>
      <c r="C579" s="2474" t="s">
        <v>430</v>
      </c>
      <c r="D579" s="4300">
        <f>D580</f>
        <v>45000000</v>
      </c>
      <c r="E579" s="2679">
        <v>0</v>
      </c>
      <c r="F579" s="2679">
        <v>0</v>
      </c>
      <c r="G579" s="2679">
        <v>0</v>
      </c>
      <c r="H579" s="1463"/>
      <c r="J579" s="995"/>
      <c r="K579" s="995"/>
    </row>
    <row r="580" spans="1:11" s="27" customFormat="1" ht="28.5" hidden="1" customHeight="1" x14ac:dyDescent="0.25">
      <c r="A580" s="6"/>
      <c r="B580" s="441"/>
      <c r="C580" s="2473" t="s">
        <v>431</v>
      </c>
      <c r="D580" s="4071">
        <v>45000000</v>
      </c>
      <c r="E580" s="2685">
        <v>0</v>
      </c>
      <c r="F580" s="2685">
        <v>0</v>
      </c>
      <c r="G580" s="2685">
        <v>0</v>
      </c>
      <c r="H580" s="1463"/>
      <c r="J580" s="995"/>
      <c r="K580" s="995"/>
    </row>
    <row r="581" spans="1:11" s="27" customFormat="1" ht="10.5" hidden="1" customHeight="1" x14ac:dyDescent="0.25">
      <c r="A581" s="6"/>
      <c r="B581" s="441"/>
      <c r="C581" s="2517"/>
      <c r="D581" s="4071"/>
      <c r="E581" s="2685"/>
      <c r="F581" s="2685"/>
      <c r="G581" s="2685"/>
      <c r="H581" s="1463"/>
      <c r="J581" s="995"/>
      <c r="K581" s="995"/>
    </row>
    <row r="582" spans="1:11" s="27" customFormat="1" ht="18" customHeight="1" x14ac:dyDescent="0.25">
      <c r="A582" s="6"/>
      <c r="B582" s="441"/>
      <c r="C582" s="2477" t="s">
        <v>432</v>
      </c>
      <c r="D582" s="4300">
        <f>D583</f>
        <v>2209280012</v>
      </c>
      <c r="E582" s="3993">
        <f>E583</f>
        <v>1503435475</v>
      </c>
      <c r="F582" s="2934">
        <f>E582/D582*100</f>
        <v>68.050924592350853</v>
      </c>
      <c r="G582" s="2934">
        <f>G583</f>
        <v>70</v>
      </c>
      <c r="H582" s="3711"/>
      <c r="J582" s="995"/>
      <c r="K582" s="995"/>
    </row>
    <row r="583" spans="1:11" s="27" customFormat="1" ht="19.5" hidden="1" customHeight="1" x14ac:dyDescent="0.25">
      <c r="A583" s="6"/>
      <c r="B583" s="449"/>
      <c r="C583" s="2473" t="s">
        <v>433</v>
      </c>
      <c r="D583" s="4066">
        <v>2209280012</v>
      </c>
      <c r="E583" s="2855">
        <v>1503435475</v>
      </c>
      <c r="F583" s="2685">
        <f>E583/D583*100</f>
        <v>68.050924592350853</v>
      </c>
      <c r="G583" s="2685">
        <v>70</v>
      </c>
      <c r="H583" s="1463"/>
      <c r="J583" s="995"/>
      <c r="K583" s="995"/>
    </row>
    <row r="584" spans="1:11" s="27" customFormat="1" ht="10.5" hidden="1" customHeight="1" x14ac:dyDescent="0.25">
      <c r="A584" s="6"/>
      <c r="B584" s="441"/>
      <c r="C584" s="2475"/>
      <c r="D584" s="4301"/>
      <c r="E584" s="2804"/>
      <c r="F584" s="2804"/>
      <c r="G584" s="2804"/>
      <c r="H584" s="3712"/>
      <c r="J584" s="995"/>
      <c r="K584" s="995"/>
    </row>
    <row r="585" spans="1:11" s="27" customFormat="1" ht="15.75" customHeight="1" x14ac:dyDescent="0.25">
      <c r="A585" s="6"/>
      <c r="B585" s="441"/>
      <c r="C585" s="2477" t="s">
        <v>434</v>
      </c>
      <c r="D585" s="4300">
        <f>D586</f>
        <v>27000000</v>
      </c>
      <c r="E585" s="2695">
        <f>E586</f>
        <v>27000000</v>
      </c>
      <c r="F585" s="2679">
        <f>E585/D585*100</f>
        <v>100</v>
      </c>
      <c r="G585" s="2679">
        <v>100</v>
      </c>
      <c r="H585" s="1463"/>
      <c r="J585" s="995"/>
      <c r="K585" s="995"/>
    </row>
    <row r="586" spans="1:11" s="27" customFormat="1" ht="14.25" hidden="1" customHeight="1" x14ac:dyDescent="0.25">
      <c r="A586" s="6"/>
      <c r="B586" s="441"/>
      <c r="C586" s="2476" t="s">
        <v>435</v>
      </c>
      <c r="D586" s="4071">
        <v>27000000</v>
      </c>
      <c r="E586" s="2685">
        <v>27000000</v>
      </c>
      <c r="F586" s="2685">
        <f t="shared" ref="F586" si="41">E586/D586*100</f>
        <v>100</v>
      </c>
      <c r="G586" s="2685">
        <v>100</v>
      </c>
      <c r="H586" s="1463"/>
      <c r="J586" s="995"/>
      <c r="K586" s="995"/>
    </row>
    <row r="587" spans="1:11" s="27" customFormat="1" ht="13.5" hidden="1" customHeight="1" x14ac:dyDescent="0.25">
      <c r="A587" s="6"/>
      <c r="B587" s="441"/>
      <c r="C587" s="2519"/>
      <c r="D587" s="4071"/>
      <c r="E587" s="2830"/>
      <c r="F587" s="2708"/>
      <c r="G587" s="2708"/>
      <c r="H587" s="1463"/>
      <c r="J587" s="995"/>
      <c r="K587" s="995"/>
    </row>
    <row r="588" spans="1:11" s="27" customFormat="1" ht="17.25" customHeight="1" x14ac:dyDescent="0.25">
      <c r="A588" s="6"/>
      <c r="B588" s="440"/>
      <c r="C588" s="2471" t="s">
        <v>436</v>
      </c>
      <c r="D588" s="4106">
        <f>D589</f>
        <v>1675185000</v>
      </c>
      <c r="E588" s="3995">
        <f>E589</f>
        <v>1668874455</v>
      </c>
      <c r="F588" s="2719">
        <f>E588/D588*100</f>
        <v>99.623292651259405</v>
      </c>
      <c r="G588" s="2719">
        <f>G589</f>
        <v>100</v>
      </c>
      <c r="H588" s="1463"/>
      <c r="J588" s="995"/>
      <c r="K588" s="995"/>
    </row>
    <row r="589" spans="1:11" s="27" customFormat="1" ht="18" customHeight="1" x14ac:dyDescent="0.25">
      <c r="A589" s="6"/>
      <c r="B589" s="441"/>
      <c r="C589" s="2472" t="s">
        <v>437</v>
      </c>
      <c r="D589" s="4305">
        <f>D590</f>
        <v>1675185000</v>
      </c>
      <c r="E589" s="3992">
        <f>E590</f>
        <v>1668874455</v>
      </c>
      <c r="F589" s="2722">
        <f>E589/D589*100</f>
        <v>99.623292651259405</v>
      </c>
      <c r="G589" s="2725">
        <f>G590</f>
        <v>100</v>
      </c>
      <c r="H589" s="1463"/>
      <c r="J589" s="995"/>
      <c r="K589" s="995"/>
    </row>
    <row r="590" spans="1:11" s="27" customFormat="1" ht="17.25" hidden="1" customHeight="1" x14ac:dyDescent="0.25">
      <c r="A590" s="6"/>
      <c r="B590" s="441"/>
      <c r="C590" s="2473" t="s">
        <v>438</v>
      </c>
      <c r="D590" s="4071">
        <v>1675185000</v>
      </c>
      <c r="E590" s="2855">
        <v>1668874455</v>
      </c>
      <c r="F590" s="2685">
        <f>E590/D590*100</f>
        <v>99.623292651259405</v>
      </c>
      <c r="G590" s="2685">
        <v>100</v>
      </c>
      <c r="H590" s="1463"/>
      <c r="J590" s="995"/>
      <c r="K590" s="995"/>
    </row>
    <row r="591" spans="1:11" ht="13.5" hidden="1" customHeight="1" x14ac:dyDescent="0.25">
      <c r="B591" s="441"/>
      <c r="C591" s="2477"/>
      <c r="D591" s="4300"/>
      <c r="E591" s="2830"/>
      <c r="F591" s="2708"/>
      <c r="G591" s="2708"/>
      <c r="H591" s="1463"/>
    </row>
    <row r="592" spans="1:11" s="27" customFormat="1" ht="18" customHeight="1" x14ac:dyDescent="0.25">
      <c r="A592" s="6"/>
      <c r="B592" s="440"/>
      <c r="C592" s="2471" t="s">
        <v>439</v>
      </c>
      <c r="D592" s="4106">
        <f>SUM(D593+D596+D599+D602)</f>
        <v>3122750000</v>
      </c>
      <c r="E592" s="2672">
        <f>SUM(E593+E596+E599+E602)</f>
        <v>3066707000</v>
      </c>
      <c r="F592" s="2719">
        <f>E592/D592*100</f>
        <v>98.205331838924025</v>
      </c>
      <c r="G592" s="2719">
        <f>SUM(G593+G596+G599+G602)/4</f>
        <v>100</v>
      </c>
      <c r="H592" s="1463"/>
      <c r="J592" s="995"/>
      <c r="K592" s="995"/>
    </row>
    <row r="593" spans="1:11" s="27" customFormat="1" ht="18" customHeight="1" x14ac:dyDescent="0.25">
      <c r="A593" s="6"/>
      <c r="B593" s="441"/>
      <c r="C593" s="2478" t="s">
        <v>440</v>
      </c>
      <c r="D593" s="4305">
        <f>D594</f>
        <v>91300000</v>
      </c>
      <c r="E593" s="3366">
        <f>E594</f>
        <v>91300000</v>
      </c>
      <c r="F593" s="2722">
        <f>E593/D593*100</f>
        <v>100</v>
      </c>
      <c r="G593" s="2725">
        <f>G594</f>
        <v>100</v>
      </c>
      <c r="H593" s="1463"/>
      <c r="J593" s="995"/>
      <c r="K593" s="995"/>
    </row>
    <row r="594" spans="1:11" s="27" customFormat="1" ht="17.25" hidden="1" customHeight="1" x14ac:dyDescent="0.25">
      <c r="A594" s="6"/>
      <c r="B594" s="441"/>
      <c r="C594" s="2473" t="s">
        <v>441</v>
      </c>
      <c r="D594" s="4066">
        <v>91300000</v>
      </c>
      <c r="E594" s="2855">
        <v>91300000</v>
      </c>
      <c r="F594" s="2685">
        <f>E594/D594*100</f>
        <v>100</v>
      </c>
      <c r="G594" s="2804">
        <v>100</v>
      </c>
      <c r="H594" s="1463"/>
      <c r="J594" s="995"/>
      <c r="K594" s="995"/>
    </row>
    <row r="595" spans="1:11" s="27" customFormat="1" ht="9" hidden="1" customHeight="1" x14ac:dyDescent="0.25">
      <c r="A595" s="6"/>
      <c r="B595" s="441"/>
      <c r="C595" s="2476"/>
      <c r="D595" s="4071"/>
      <c r="E595" s="2830"/>
      <c r="F595" s="2685"/>
      <c r="G595" s="2708"/>
      <c r="H595" s="1463"/>
      <c r="J595" s="995"/>
      <c r="K595" s="995"/>
    </row>
    <row r="596" spans="1:11" s="27" customFormat="1" ht="18" customHeight="1" x14ac:dyDescent="0.25">
      <c r="A596" s="6"/>
      <c r="B596" s="441"/>
      <c r="C596" s="2474" t="s">
        <v>442</v>
      </c>
      <c r="D596" s="4065">
        <f>D597</f>
        <v>79000000</v>
      </c>
      <c r="E596" s="3991">
        <f>E597</f>
        <v>79000000</v>
      </c>
      <c r="F596" s="2679">
        <f t="shared" ref="F596:F603" si="42">E596/D596*100</f>
        <v>100</v>
      </c>
      <c r="G596" s="2679">
        <f>G597</f>
        <v>100</v>
      </c>
      <c r="H596" s="1463"/>
      <c r="J596" s="995"/>
      <c r="K596" s="995"/>
    </row>
    <row r="597" spans="1:11" s="27" customFormat="1" ht="18" hidden="1" customHeight="1" x14ac:dyDescent="0.25">
      <c r="A597" s="6"/>
      <c r="B597" s="441"/>
      <c r="C597" s="2473" t="s">
        <v>443</v>
      </c>
      <c r="D597" s="4066">
        <v>79000000</v>
      </c>
      <c r="E597" s="2685">
        <v>79000000</v>
      </c>
      <c r="F597" s="2685">
        <f t="shared" si="42"/>
        <v>100</v>
      </c>
      <c r="G597" s="2685">
        <v>100</v>
      </c>
      <c r="H597" s="1463"/>
      <c r="J597" s="995"/>
      <c r="K597" s="995"/>
    </row>
    <row r="598" spans="1:11" s="27" customFormat="1" ht="9" hidden="1" customHeight="1" x14ac:dyDescent="0.25">
      <c r="A598" s="6"/>
      <c r="B598" s="441"/>
      <c r="C598" s="2473"/>
      <c r="D598" s="4066"/>
      <c r="E598" s="2685"/>
      <c r="F598" s="2685"/>
      <c r="G598" s="2685"/>
      <c r="H598" s="1463"/>
      <c r="J598" s="995"/>
      <c r="K598" s="995"/>
    </row>
    <row r="599" spans="1:11" s="27" customFormat="1" ht="18.75" customHeight="1" x14ac:dyDescent="0.25">
      <c r="A599" s="6"/>
      <c r="B599" s="441"/>
      <c r="C599" s="2474" t="s">
        <v>444</v>
      </c>
      <c r="D599" s="4065">
        <f>D600</f>
        <v>2802450000</v>
      </c>
      <c r="E599" s="2679">
        <f>E600</f>
        <v>2746407000</v>
      </c>
      <c r="F599" s="2679">
        <f t="shared" si="42"/>
        <v>98.000214098378208</v>
      </c>
      <c r="G599" s="2679">
        <f>G600</f>
        <v>100</v>
      </c>
      <c r="H599" s="1463"/>
      <c r="J599" s="995"/>
      <c r="K599" s="995"/>
    </row>
    <row r="600" spans="1:11" s="27" customFormat="1" ht="29.25" hidden="1" customHeight="1" x14ac:dyDescent="0.25">
      <c r="A600" s="6"/>
      <c r="B600" s="441"/>
      <c r="C600" s="2473" t="s">
        <v>445</v>
      </c>
      <c r="D600" s="4066">
        <v>2802450000</v>
      </c>
      <c r="E600" s="2685">
        <v>2746407000</v>
      </c>
      <c r="F600" s="2685">
        <f t="shared" si="42"/>
        <v>98.000214098378208</v>
      </c>
      <c r="G600" s="2685">
        <v>100</v>
      </c>
      <c r="H600" s="1463"/>
      <c r="J600" s="995"/>
      <c r="K600" s="995"/>
    </row>
    <row r="601" spans="1:11" s="27" customFormat="1" ht="9.75" hidden="1" customHeight="1" x14ac:dyDescent="0.25">
      <c r="A601" s="6"/>
      <c r="B601" s="441"/>
      <c r="C601" s="2473"/>
      <c r="D601" s="4066"/>
      <c r="E601" s="2685"/>
      <c r="F601" s="2685"/>
      <c r="G601" s="2685"/>
      <c r="H601" s="1463"/>
      <c r="J601" s="995"/>
      <c r="K601" s="995"/>
    </row>
    <row r="602" spans="1:11" s="27" customFormat="1" ht="21.75" customHeight="1" x14ac:dyDescent="0.25">
      <c r="A602" s="6"/>
      <c r="B602" s="441"/>
      <c r="C602" s="2474" t="s">
        <v>446</v>
      </c>
      <c r="D602" s="4065">
        <f>D603</f>
        <v>150000000</v>
      </c>
      <c r="E602" s="3991">
        <f>E603</f>
        <v>150000000</v>
      </c>
      <c r="F602" s="2679">
        <f t="shared" si="42"/>
        <v>100</v>
      </c>
      <c r="G602" s="2679">
        <f>G603</f>
        <v>100</v>
      </c>
      <c r="H602" s="1463"/>
      <c r="J602" s="995"/>
      <c r="K602" s="995"/>
    </row>
    <row r="603" spans="1:11" s="27" customFormat="1" ht="16.5" hidden="1" customHeight="1" x14ac:dyDescent="0.25">
      <c r="A603" s="6"/>
      <c r="B603" s="441"/>
      <c r="C603" s="2473" t="s">
        <v>447</v>
      </c>
      <c r="D603" s="4066">
        <v>150000000</v>
      </c>
      <c r="E603" s="2685">
        <v>150000000</v>
      </c>
      <c r="F603" s="2685">
        <f t="shared" si="42"/>
        <v>100</v>
      </c>
      <c r="G603" s="2685">
        <v>100</v>
      </c>
      <c r="H603" s="1463"/>
      <c r="J603" s="995"/>
      <c r="K603" s="995"/>
    </row>
    <row r="604" spans="1:11" s="27" customFormat="1" ht="13.5" hidden="1" customHeight="1" x14ac:dyDescent="0.25">
      <c r="A604" s="6"/>
      <c r="B604" s="441"/>
      <c r="C604" s="2518"/>
      <c r="D604" s="4312"/>
      <c r="E604" s="2911"/>
      <c r="F604" s="2911"/>
      <c r="G604" s="2911"/>
      <c r="H604" s="1463"/>
      <c r="J604" s="995"/>
      <c r="K604" s="995"/>
    </row>
    <row r="605" spans="1:11" s="27" customFormat="1" ht="20.25" customHeight="1" x14ac:dyDescent="0.25">
      <c r="A605" s="6"/>
      <c r="B605" s="440"/>
      <c r="C605" s="2471" t="s">
        <v>448</v>
      </c>
      <c r="D605" s="4106">
        <f>SUM(D606+D609+D615+D619)</f>
        <v>1832114850</v>
      </c>
      <c r="E605" s="2672">
        <f>SUM(E606+E609+E615+E619)</f>
        <v>1779164000</v>
      </c>
      <c r="F605" s="2719">
        <f>E605/D605*100</f>
        <v>97.109850946298479</v>
      </c>
      <c r="G605" s="2719">
        <f>SUM(G606+G609+G615+G619)/4</f>
        <v>100</v>
      </c>
      <c r="H605" s="1463"/>
      <c r="J605" s="995"/>
      <c r="K605" s="995"/>
    </row>
    <row r="606" spans="1:11" s="27" customFormat="1" ht="18" customHeight="1" x14ac:dyDescent="0.25">
      <c r="A606" s="6"/>
      <c r="B606" s="441"/>
      <c r="C606" s="2478" t="s">
        <v>134</v>
      </c>
      <c r="D606" s="4305">
        <f>D607</f>
        <v>1104000000</v>
      </c>
      <c r="E606" s="3996">
        <f>E607</f>
        <v>1104000000</v>
      </c>
      <c r="F606" s="2722">
        <f>E606/D606*100</f>
        <v>100</v>
      </c>
      <c r="G606" s="2725">
        <f>G607</f>
        <v>100</v>
      </c>
      <c r="H606" s="1463"/>
      <c r="J606" s="995"/>
      <c r="K606" s="995"/>
    </row>
    <row r="607" spans="1:11" s="27" customFormat="1" ht="16.5" hidden="1" customHeight="1" x14ac:dyDescent="0.25">
      <c r="A607" s="6"/>
      <c r="B607" s="441"/>
      <c r="C607" s="2473" t="s">
        <v>449</v>
      </c>
      <c r="D607" s="4066">
        <v>1104000000</v>
      </c>
      <c r="E607" s="3986">
        <v>1104000000</v>
      </c>
      <c r="F607" s="2685">
        <f>E607/D607*100</f>
        <v>100</v>
      </c>
      <c r="G607" s="2685">
        <v>100</v>
      </c>
      <c r="H607" s="1463"/>
      <c r="J607" s="995"/>
      <c r="K607" s="995"/>
    </row>
    <row r="608" spans="1:11" s="27" customFormat="1" ht="10.5" hidden="1" customHeight="1" x14ac:dyDescent="0.25">
      <c r="A608" s="6"/>
      <c r="B608" s="441"/>
      <c r="C608" s="2473"/>
      <c r="D608" s="4066"/>
      <c r="E608" s="2685"/>
      <c r="F608" s="2685"/>
      <c r="G608" s="2685"/>
      <c r="H608" s="1463"/>
      <c r="J608" s="995"/>
      <c r="K608" s="995"/>
    </row>
    <row r="609" spans="1:11" s="27" customFormat="1" ht="18.75" customHeight="1" x14ac:dyDescent="0.25">
      <c r="A609" s="6"/>
      <c r="B609" s="441"/>
      <c r="C609" s="2474" t="s">
        <v>450</v>
      </c>
      <c r="D609" s="4065">
        <f>SUM(D610:D613)</f>
        <v>507090000</v>
      </c>
      <c r="E609" s="2695">
        <f>SUM(E610:E613)</f>
        <v>455640000</v>
      </c>
      <c r="F609" s="3445">
        <f t="shared" ref="F609:F620" si="43">E609/D609*100</f>
        <v>89.853872093711175</v>
      </c>
      <c r="G609" s="2679">
        <f>SUM(G610:G613)/4</f>
        <v>100</v>
      </c>
      <c r="H609" s="1463"/>
      <c r="J609" s="995"/>
      <c r="K609" s="995"/>
    </row>
    <row r="610" spans="1:11" s="27" customFormat="1" ht="15.75" hidden="1" customHeight="1" x14ac:dyDescent="0.25">
      <c r="A610" s="6"/>
      <c r="B610" s="441"/>
      <c r="C610" s="2473" t="s">
        <v>451</v>
      </c>
      <c r="D610" s="4066">
        <v>233890000</v>
      </c>
      <c r="E610" s="2685">
        <v>233890000</v>
      </c>
      <c r="F610" s="2685">
        <f t="shared" si="43"/>
        <v>100</v>
      </c>
      <c r="G610" s="2855">
        <v>100</v>
      </c>
      <c r="H610" s="1463"/>
      <c r="J610" s="995"/>
      <c r="K610" s="995"/>
    </row>
    <row r="611" spans="1:11" s="27" customFormat="1" ht="17.25" hidden="1" customHeight="1" x14ac:dyDescent="0.25">
      <c r="A611" s="6"/>
      <c r="B611" s="441"/>
      <c r="C611" s="2473" t="s">
        <v>452</v>
      </c>
      <c r="D611" s="4066">
        <v>197700000</v>
      </c>
      <c r="E611" s="2855">
        <v>146250000</v>
      </c>
      <c r="F611" s="2685">
        <f t="shared" si="43"/>
        <v>73.975720789074344</v>
      </c>
      <c r="G611" s="2685">
        <v>100</v>
      </c>
      <c r="H611" s="1463"/>
      <c r="J611" s="995"/>
      <c r="K611" s="995"/>
    </row>
    <row r="612" spans="1:11" s="27" customFormat="1" ht="16.5" hidden="1" customHeight="1" x14ac:dyDescent="0.25">
      <c r="A612" s="6"/>
      <c r="B612" s="441"/>
      <c r="C612" s="2473" t="s">
        <v>453</v>
      </c>
      <c r="D612" s="4066">
        <v>69625000</v>
      </c>
      <c r="E612" s="2685">
        <v>69625000</v>
      </c>
      <c r="F612" s="2685">
        <f t="shared" si="43"/>
        <v>100</v>
      </c>
      <c r="G612" s="2855">
        <v>100</v>
      </c>
      <c r="H612" s="1463"/>
      <c r="J612" s="995"/>
      <c r="K612" s="995"/>
    </row>
    <row r="613" spans="1:11" s="27" customFormat="1" ht="15.75" hidden="1" customHeight="1" x14ac:dyDescent="0.25">
      <c r="A613" s="6"/>
      <c r="B613" s="441"/>
      <c r="C613" s="2473" t="s">
        <v>454</v>
      </c>
      <c r="D613" s="4066">
        <v>5875000</v>
      </c>
      <c r="E613" s="3617">
        <v>5875000</v>
      </c>
      <c r="F613" s="2685">
        <f t="shared" si="43"/>
        <v>100</v>
      </c>
      <c r="G613" s="2855">
        <v>100</v>
      </c>
      <c r="H613" s="1463"/>
      <c r="J613" s="995"/>
      <c r="K613" s="995"/>
    </row>
    <row r="614" spans="1:11" s="27" customFormat="1" ht="10.5" hidden="1" customHeight="1" x14ac:dyDescent="0.25">
      <c r="A614" s="6"/>
      <c r="B614" s="441"/>
      <c r="C614" s="2473"/>
      <c r="D614" s="4066"/>
      <c r="E614" s="2804"/>
      <c r="F614" s="2685"/>
      <c r="G614" s="2685"/>
      <c r="H614" s="1463"/>
      <c r="J614" s="995"/>
      <c r="K614" s="995"/>
    </row>
    <row r="615" spans="1:11" s="27" customFormat="1" ht="18.75" customHeight="1" x14ac:dyDescent="0.25">
      <c r="A615" s="6"/>
      <c r="B615" s="441"/>
      <c r="C615" s="2474" t="s">
        <v>455</v>
      </c>
      <c r="D615" s="4065">
        <f>SUM(D616:D617)</f>
        <v>198100000</v>
      </c>
      <c r="E615" s="2695">
        <f>SUM(E616:E617)</f>
        <v>196600000</v>
      </c>
      <c r="F615" s="2679">
        <f t="shared" si="43"/>
        <v>99.242806663301366</v>
      </c>
      <c r="G615" s="2679">
        <f>SUM(G616:G617)/2</f>
        <v>100</v>
      </c>
      <c r="H615" s="1463"/>
      <c r="J615" s="995"/>
      <c r="K615" s="995"/>
    </row>
    <row r="616" spans="1:11" s="27" customFormat="1" ht="15.75" hidden="1" customHeight="1" x14ac:dyDescent="0.25">
      <c r="A616" s="6"/>
      <c r="B616" s="441"/>
      <c r="C616" s="2473" t="s">
        <v>456</v>
      </c>
      <c r="D616" s="4066">
        <v>115000000</v>
      </c>
      <c r="E616" s="2855">
        <v>115000000</v>
      </c>
      <c r="F616" s="2685">
        <f t="shared" si="43"/>
        <v>100</v>
      </c>
      <c r="G616" s="2855">
        <v>100</v>
      </c>
      <c r="H616" s="1463"/>
      <c r="J616" s="995"/>
      <c r="K616" s="995"/>
    </row>
    <row r="617" spans="1:11" s="27" customFormat="1" ht="15.75" hidden="1" customHeight="1" x14ac:dyDescent="0.25">
      <c r="A617" s="6"/>
      <c r="B617" s="441"/>
      <c r="C617" s="2476" t="s">
        <v>457</v>
      </c>
      <c r="D617" s="4071">
        <v>83100000</v>
      </c>
      <c r="E617" s="2923">
        <v>81600000</v>
      </c>
      <c r="F617" s="2708">
        <f t="shared" si="43"/>
        <v>98.194945848375454</v>
      </c>
      <c r="G617" s="2923">
        <v>100</v>
      </c>
      <c r="H617" s="3711"/>
      <c r="J617" s="995"/>
      <c r="K617" s="995"/>
    </row>
    <row r="618" spans="1:11" s="27" customFormat="1" ht="10.5" hidden="1" customHeight="1" x14ac:dyDescent="0.25">
      <c r="A618" s="6"/>
      <c r="B618" s="449"/>
      <c r="C618" s="2473"/>
      <c r="D618" s="4066"/>
      <c r="E618" s="2685"/>
      <c r="F618" s="2685"/>
      <c r="G618" s="2685"/>
      <c r="H618" s="1463"/>
      <c r="J618" s="995"/>
      <c r="K618" s="995"/>
    </row>
    <row r="619" spans="1:11" s="27" customFormat="1" ht="18" customHeight="1" x14ac:dyDescent="0.25">
      <c r="A619" s="6"/>
      <c r="B619" s="441"/>
      <c r="C619" s="2472" t="s">
        <v>458</v>
      </c>
      <c r="D619" s="4072">
        <f>D620</f>
        <v>22924850</v>
      </c>
      <c r="E619" s="3992">
        <f>E620</f>
        <v>22924000</v>
      </c>
      <c r="F619" s="2725">
        <f t="shared" si="43"/>
        <v>99.99629223310076</v>
      </c>
      <c r="G619" s="2725">
        <f>G620</f>
        <v>100</v>
      </c>
      <c r="H619" s="3712"/>
      <c r="J619" s="995"/>
      <c r="K619" s="995"/>
    </row>
    <row r="620" spans="1:11" s="27" customFormat="1" ht="20.25" hidden="1" customHeight="1" x14ac:dyDescent="0.25">
      <c r="A620" s="6"/>
      <c r="B620" s="441"/>
      <c r="C620" s="2473" t="s">
        <v>459</v>
      </c>
      <c r="D620" s="4066">
        <v>22924850</v>
      </c>
      <c r="E620" s="2804">
        <v>22924000</v>
      </c>
      <c r="F620" s="2685">
        <f t="shared" si="43"/>
        <v>99.99629223310076</v>
      </c>
      <c r="G620" s="2804">
        <v>100</v>
      </c>
      <c r="H620" s="1463"/>
      <c r="J620" s="995"/>
      <c r="K620" s="995"/>
    </row>
    <row r="621" spans="1:11" s="20" customFormat="1" ht="13.5" hidden="1" customHeight="1" x14ac:dyDescent="0.25">
      <c r="A621" s="963"/>
      <c r="B621" s="441"/>
      <c r="C621" s="2475"/>
      <c r="D621" s="4301"/>
      <c r="E621" s="2708"/>
      <c r="F621" s="2708"/>
      <c r="G621" s="2708"/>
      <c r="H621" s="1463"/>
      <c r="J621" s="536"/>
      <c r="K621" s="536"/>
    </row>
    <row r="622" spans="1:11" s="27" customFormat="1" ht="16.5" customHeight="1" x14ac:dyDescent="0.25">
      <c r="A622" s="6"/>
      <c r="B622" s="440"/>
      <c r="C622" s="2520" t="s">
        <v>460</v>
      </c>
      <c r="D622" s="4304">
        <f>D623</f>
        <v>611350000</v>
      </c>
      <c r="E622" s="3985">
        <f>E623</f>
        <v>592814030</v>
      </c>
      <c r="F622" s="2719">
        <f>E622/D622*100</f>
        <v>96.968026498732314</v>
      </c>
      <c r="G622" s="2719">
        <f>G623</f>
        <v>100</v>
      </c>
      <c r="H622" s="1463"/>
      <c r="J622" s="995"/>
      <c r="K622" s="995"/>
    </row>
    <row r="623" spans="1:11" s="27" customFormat="1" ht="18.75" customHeight="1" x14ac:dyDescent="0.25">
      <c r="A623" s="6"/>
      <c r="B623" s="441"/>
      <c r="C623" s="2478" t="s">
        <v>461</v>
      </c>
      <c r="D623" s="4311">
        <f>SUM(D624:D625)</f>
        <v>611350000</v>
      </c>
      <c r="E623" s="2824">
        <f>SUM(E624:E625)</f>
        <v>592814030</v>
      </c>
      <c r="F623" s="2722">
        <f>E623/D623*100</f>
        <v>96.968026498732314</v>
      </c>
      <c r="G623" s="2725">
        <f>SUM(G624:G625)/2</f>
        <v>100</v>
      </c>
      <c r="H623" s="1463"/>
      <c r="J623" s="995"/>
      <c r="K623" s="995"/>
    </row>
    <row r="624" spans="1:11" s="27" customFormat="1" ht="15.75" hidden="1" customHeight="1" x14ac:dyDescent="0.25">
      <c r="A624" s="6"/>
      <c r="B624" s="441"/>
      <c r="C624" s="2473" t="s">
        <v>462</v>
      </c>
      <c r="D624" s="4066">
        <v>524350000</v>
      </c>
      <c r="E624" s="2855">
        <v>521714030</v>
      </c>
      <c r="F624" s="2685">
        <f>E624/D624*100</f>
        <v>99.497288070944975</v>
      </c>
      <c r="G624" s="2685">
        <v>100</v>
      </c>
      <c r="H624" s="1463"/>
      <c r="J624" s="995"/>
      <c r="K624" s="995"/>
    </row>
    <row r="625" spans="1:11" s="27" customFormat="1" ht="15.75" hidden="1" customHeight="1" x14ac:dyDescent="0.25">
      <c r="A625" s="6"/>
      <c r="B625" s="441"/>
      <c r="C625" s="2473" t="s">
        <v>463</v>
      </c>
      <c r="D625" s="4066">
        <v>87000000</v>
      </c>
      <c r="E625" s="2685">
        <v>71100000</v>
      </c>
      <c r="F625" s="2685">
        <f>E625/D625*100</f>
        <v>81.724137931034477</v>
      </c>
      <c r="G625" s="2685">
        <v>100</v>
      </c>
      <c r="H625" s="1463"/>
      <c r="J625" s="995"/>
      <c r="K625" s="995"/>
    </row>
    <row r="626" spans="1:11" s="27" customFormat="1" ht="13.5" hidden="1" customHeight="1" x14ac:dyDescent="0.25">
      <c r="A626" s="6"/>
      <c r="B626" s="441"/>
      <c r="C626" s="2476"/>
      <c r="D626" s="4071"/>
      <c r="E626" s="2830"/>
      <c r="F626" s="2708"/>
      <c r="G626" s="2708"/>
      <c r="H626" s="1463"/>
      <c r="J626" s="995"/>
      <c r="K626" s="995"/>
    </row>
    <row r="627" spans="1:11" s="27" customFormat="1" ht="17.25" customHeight="1" x14ac:dyDescent="0.25">
      <c r="A627" s="6"/>
      <c r="B627" s="440"/>
      <c r="C627" s="2471" t="s">
        <v>464</v>
      </c>
      <c r="D627" s="4106">
        <f>SUM(D628+D633+D638)</f>
        <v>3468331000</v>
      </c>
      <c r="E627" s="2672">
        <f>SUM(E628+E633+E638)</f>
        <v>3465729000</v>
      </c>
      <c r="F627" s="2719">
        <f>E627/D627*100</f>
        <v>99.92497832530978</v>
      </c>
      <c r="G627" s="2719">
        <f>SUM(G628+G633+G638)/3</f>
        <v>100</v>
      </c>
      <c r="H627" s="1463"/>
      <c r="J627" s="995"/>
      <c r="K627" s="995"/>
    </row>
    <row r="628" spans="1:11" s="27" customFormat="1" ht="18" customHeight="1" x14ac:dyDescent="0.25">
      <c r="A628" s="6"/>
      <c r="B628" s="441"/>
      <c r="C628" s="2472" t="s">
        <v>465</v>
      </c>
      <c r="D628" s="4072">
        <f>SUM(D629:D631)</f>
        <v>2657569000</v>
      </c>
      <c r="E628" s="2734">
        <f>SUM(E629:E631)</f>
        <v>2655414000</v>
      </c>
      <c r="F628" s="2722">
        <f>E628/D628*100</f>
        <v>99.918910854243109</v>
      </c>
      <c r="G628" s="2725">
        <f>SUM(G629:G631)/3</f>
        <v>100</v>
      </c>
      <c r="H628" s="1463"/>
      <c r="J628" s="995"/>
      <c r="K628" s="995"/>
    </row>
    <row r="629" spans="1:11" s="27" customFormat="1" ht="19.5" hidden="1" customHeight="1" x14ac:dyDescent="0.25">
      <c r="A629" s="6"/>
      <c r="B629" s="441"/>
      <c r="C629" s="2476" t="s">
        <v>466</v>
      </c>
      <c r="D629" s="4071">
        <v>2317234000</v>
      </c>
      <c r="E629" s="2923">
        <v>2315079000</v>
      </c>
      <c r="F629" s="2708">
        <f>E629/D629*100</f>
        <v>99.907001191938321</v>
      </c>
      <c r="G629" s="2708">
        <v>100</v>
      </c>
      <c r="H629" s="3711"/>
      <c r="J629" s="995"/>
      <c r="K629" s="995"/>
    </row>
    <row r="630" spans="1:11" s="27" customFormat="1" ht="15" hidden="1" customHeight="1" x14ac:dyDescent="0.25">
      <c r="A630" s="6"/>
      <c r="B630" s="449"/>
      <c r="C630" s="2473" t="s">
        <v>467</v>
      </c>
      <c r="D630" s="4066">
        <v>263825000</v>
      </c>
      <c r="E630" s="2855">
        <v>263825000</v>
      </c>
      <c r="F630" s="2685">
        <f>E630/D630*100</f>
        <v>100</v>
      </c>
      <c r="G630" s="2685">
        <v>100</v>
      </c>
      <c r="H630" s="1463"/>
      <c r="J630" s="995"/>
      <c r="K630" s="995"/>
    </row>
    <row r="631" spans="1:11" s="27" customFormat="1" ht="17.25" hidden="1" customHeight="1" x14ac:dyDescent="0.25">
      <c r="A631" s="6"/>
      <c r="B631" s="441"/>
      <c r="C631" s="2479" t="s">
        <v>468</v>
      </c>
      <c r="D631" s="4154">
        <v>76510000</v>
      </c>
      <c r="E631" s="2804">
        <v>76510000</v>
      </c>
      <c r="F631" s="2804">
        <f>E631/D631*100</f>
        <v>100</v>
      </c>
      <c r="G631" s="2804">
        <v>100</v>
      </c>
      <c r="H631" s="3712"/>
      <c r="J631" s="995"/>
      <c r="K631" s="995"/>
    </row>
    <row r="632" spans="1:11" s="27" customFormat="1" ht="9.75" hidden="1" customHeight="1" x14ac:dyDescent="0.25">
      <c r="A632" s="6"/>
      <c r="B632" s="441"/>
      <c r="C632" s="2476"/>
      <c r="D632" s="4071"/>
      <c r="E632" s="2830"/>
      <c r="F632" s="2685"/>
      <c r="G632" s="2708"/>
      <c r="H632" s="1463"/>
      <c r="J632" s="995"/>
      <c r="K632" s="995"/>
    </row>
    <row r="633" spans="1:11" s="27" customFormat="1" ht="16.5" customHeight="1" x14ac:dyDescent="0.25">
      <c r="A633" s="6"/>
      <c r="B633" s="441"/>
      <c r="C633" s="2474" t="s">
        <v>469</v>
      </c>
      <c r="D633" s="4065">
        <f>SUM(D634:D636)</f>
        <v>552634000</v>
      </c>
      <c r="E633" s="2695">
        <f>SUM(E634:E636)</f>
        <v>552187000</v>
      </c>
      <c r="F633" s="2679">
        <f t="shared" ref="F633:F640" si="44">E633/D633*100</f>
        <v>99.919114640069196</v>
      </c>
      <c r="G633" s="2679">
        <f>SUM(G634:G636)/3</f>
        <v>100</v>
      </c>
      <c r="H633" s="1463"/>
      <c r="J633" s="995"/>
      <c r="K633" s="995"/>
    </row>
    <row r="634" spans="1:11" s="27" customFormat="1" ht="14.25" hidden="1" customHeight="1" x14ac:dyDescent="0.25">
      <c r="A634" s="6"/>
      <c r="B634" s="441"/>
      <c r="C634" s="2473" t="s">
        <v>470</v>
      </c>
      <c r="D634" s="4066">
        <v>294660000</v>
      </c>
      <c r="E634" s="2685">
        <v>294660000</v>
      </c>
      <c r="F634" s="2685">
        <f t="shared" si="44"/>
        <v>100</v>
      </c>
      <c r="G634" s="2685">
        <v>100</v>
      </c>
      <c r="H634" s="1463"/>
      <c r="J634" s="995"/>
      <c r="K634" s="995"/>
    </row>
    <row r="635" spans="1:11" s="27" customFormat="1" ht="17.25" hidden="1" customHeight="1" x14ac:dyDescent="0.25">
      <c r="A635" s="6"/>
      <c r="B635" s="441"/>
      <c r="C635" s="2473" t="s">
        <v>471</v>
      </c>
      <c r="D635" s="4066">
        <v>136049000</v>
      </c>
      <c r="E635" s="2685">
        <v>135739000</v>
      </c>
      <c r="F635" s="2685">
        <f t="shared" si="44"/>
        <v>99.772140919815655</v>
      </c>
      <c r="G635" s="2685">
        <v>100</v>
      </c>
      <c r="H635" s="1463"/>
      <c r="J635" s="995"/>
      <c r="K635" s="995"/>
    </row>
    <row r="636" spans="1:11" s="27" customFormat="1" ht="17.25" hidden="1" customHeight="1" x14ac:dyDescent="0.25">
      <c r="A636" s="6"/>
      <c r="B636" s="441"/>
      <c r="C636" s="2473" t="s">
        <v>472</v>
      </c>
      <c r="D636" s="4066">
        <v>121925000</v>
      </c>
      <c r="E636" s="2685">
        <v>121788000</v>
      </c>
      <c r="F636" s="2685">
        <f t="shared" si="44"/>
        <v>99.887635841705972</v>
      </c>
      <c r="G636" s="2685">
        <v>100</v>
      </c>
      <c r="H636" s="1463"/>
      <c r="J636" s="995"/>
      <c r="K636" s="995"/>
    </row>
    <row r="637" spans="1:11" s="27" customFormat="1" ht="8.25" hidden="1" customHeight="1" x14ac:dyDescent="0.25">
      <c r="A637" s="6"/>
      <c r="B637" s="441"/>
      <c r="C637" s="2473"/>
      <c r="D637" s="4066"/>
      <c r="E637" s="2685"/>
      <c r="F637" s="2685"/>
      <c r="G637" s="2685"/>
      <c r="H637" s="1463"/>
      <c r="J637" s="995"/>
      <c r="K637" s="995"/>
    </row>
    <row r="638" spans="1:11" s="27" customFormat="1" ht="15.75" customHeight="1" x14ac:dyDescent="0.25">
      <c r="A638" s="6"/>
      <c r="B638" s="441"/>
      <c r="C638" s="2474" t="s">
        <v>473</v>
      </c>
      <c r="D638" s="4065">
        <f>SUM(D639:D640)</f>
        <v>258128000</v>
      </c>
      <c r="E638" s="2695">
        <f>SUM(E639:E640)</f>
        <v>258128000</v>
      </c>
      <c r="F638" s="2679">
        <f t="shared" si="44"/>
        <v>100</v>
      </c>
      <c r="G638" s="2679">
        <f>SUM(G639:G640)/2</f>
        <v>100</v>
      </c>
      <c r="H638" s="1463"/>
      <c r="J638" s="995"/>
      <c r="K638" s="995"/>
    </row>
    <row r="639" spans="1:11" s="27" customFormat="1" ht="18.75" hidden="1" customHeight="1" x14ac:dyDescent="0.25">
      <c r="A639" s="6"/>
      <c r="B639" s="441"/>
      <c r="C639" s="2473" t="s">
        <v>474</v>
      </c>
      <c r="D639" s="4066">
        <v>133978000</v>
      </c>
      <c r="E639" s="2685">
        <v>133978000</v>
      </c>
      <c r="F639" s="2685">
        <f t="shared" si="44"/>
        <v>100</v>
      </c>
      <c r="G639" s="2685">
        <v>100</v>
      </c>
      <c r="H639" s="1463"/>
      <c r="J639" s="995"/>
      <c r="K639" s="995"/>
    </row>
    <row r="640" spans="1:11" s="27" customFormat="1" ht="15.75" hidden="1" customHeight="1" x14ac:dyDescent="0.25">
      <c r="A640" s="6"/>
      <c r="B640" s="441"/>
      <c r="C640" s="2473" t="s">
        <v>475</v>
      </c>
      <c r="D640" s="4066">
        <v>124150000</v>
      </c>
      <c r="E640" s="2685">
        <v>124150000</v>
      </c>
      <c r="F640" s="2685">
        <f t="shared" si="44"/>
        <v>100</v>
      </c>
      <c r="G640" s="2685">
        <v>100</v>
      </c>
      <c r="H640" s="1463"/>
      <c r="J640" s="995"/>
      <c r="K640" s="995"/>
    </row>
    <row r="641" spans="1:11" s="27" customFormat="1" ht="13.5" hidden="1" customHeight="1" x14ac:dyDescent="0.25">
      <c r="A641" s="6"/>
      <c r="B641" s="441"/>
      <c r="C641" s="2475"/>
      <c r="D641" s="4301"/>
      <c r="E641" s="2830"/>
      <c r="F641" s="2830"/>
      <c r="G641" s="2830"/>
      <c r="H641" s="1463"/>
      <c r="J641" s="995"/>
      <c r="K641" s="995"/>
    </row>
    <row r="642" spans="1:11" s="27" customFormat="1" ht="16.5" customHeight="1" x14ac:dyDescent="0.25">
      <c r="A642" s="6"/>
      <c r="B642" s="440"/>
      <c r="C642" s="2471" t="s">
        <v>476</v>
      </c>
      <c r="D642" s="4106">
        <f>D643</f>
        <v>1950000000</v>
      </c>
      <c r="E642" s="3997">
        <f>E643</f>
        <v>1917495000</v>
      </c>
      <c r="F642" s="2719">
        <f>E642/D642*100</f>
        <v>98.333076923076916</v>
      </c>
      <c r="G642" s="2719">
        <f>G643</f>
        <v>100</v>
      </c>
      <c r="H642" s="1463"/>
      <c r="J642" s="995"/>
      <c r="K642" s="995"/>
    </row>
    <row r="643" spans="1:11" s="27" customFormat="1" ht="16.5" customHeight="1" x14ac:dyDescent="0.25">
      <c r="A643" s="6"/>
      <c r="B643" s="441"/>
      <c r="C643" s="2472" t="s">
        <v>477</v>
      </c>
      <c r="D643" s="4072">
        <f>D644</f>
        <v>1950000000</v>
      </c>
      <c r="E643" s="3992">
        <f>E644</f>
        <v>1917495000</v>
      </c>
      <c r="F643" s="2722">
        <f>E643/D643*100</f>
        <v>98.333076923076916</v>
      </c>
      <c r="G643" s="2725">
        <f>G644</f>
        <v>100</v>
      </c>
      <c r="H643" s="1463"/>
      <c r="J643" s="995"/>
      <c r="K643" s="995"/>
    </row>
    <row r="644" spans="1:11" s="27" customFormat="1" ht="16.5" hidden="1" customHeight="1" x14ac:dyDescent="0.25">
      <c r="A644" s="6"/>
      <c r="B644" s="441"/>
      <c r="C644" s="2473" t="s">
        <v>478</v>
      </c>
      <c r="D644" s="4066">
        <v>1950000000</v>
      </c>
      <c r="E644" s="2855">
        <v>1917495000</v>
      </c>
      <c r="F644" s="2685">
        <f>E644/D644*100</f>
        <v>98.333076923076916</v>
      </c>
      <c r="G644" s="2685">
        <v>100</v>
      </c>
      <c r="H644" s="1463"/>
      <c r="J644" s="995"/>
      <c r="K644" s="995"/>
    </row>
    <row r="645" spans="1:11" s="27" customFormat="1" ht="13.5" hidden="1" customHeight="1" x14ac:dyDescent="0.25">
      <c r="A645" s="6"/>
      <c r="B645" s="441"/>
      <c r="C645" s="2476"/>
      <c r="D645" s="4071"/>
      <c r="E645" s="2830"/>
      <c r="F645" s="2708"/>
      <c r="G645" s="2708"/>
      <c r="H645" s="1463"/>
      <c r="J645" s="995"/>
      <c r="K645" s="995"/>
    </row>
    <row r="646" spans="1:11" ht="17.25" customHeight="1" x14ac:dyDescent="0.25">
      <c r="B646" s="440"/>
      <c r="C646" s="2471" t="s">
        <v>479</v>
      </c>
      <c r="D646" s="4106">
        <f>D647</f>
        <v>403750000</v>
      </c>
      <c r="E646" s="3997">
        <f>E647</f>
        <v>398930000</v>
      </c>
      <c r="F646" s="2719">
        <f>E646/D646*100</f>
        <v>98.806191950464395</v>
      </c>
      <c r="G646" s="2719">
        <f>G647</f>
        <v>100</v>
      </c>
      <c r="H646" s="1463"/>
    </row>
    <row r="647" spans="1:11" s="27" customFormat="1" ht="17.25" customHeight="1" x14ac:dyDescent="0.25">
      <c r="A647" s="6"/>
      <c r="B647" s="441"/>
      <c r="C647" s="2472" t="s">
        <v>480</v>
      </c>
      <c r="D647" s="4072">
        <f>SUM(D648:D649)</f>
        <v>403750000</v>
      </c>
      <c r="E647" s="2734">
        <f>SUM(E648:E649)</f>
        <v>398930000</v>
      </c>
      <c r="F647" s="2722">
        <f>E647/D647*100</f>
        <v>98.806191950464395</v>
      </c>
      <c r="G647" s="2725">
        <f>SUM(G648:G649)/2</f>
        <v>100</v>
      </c>
      <c r="H647" s="1463"/>
      <c r="J647" s="995"/>
      <c r="K647" s="995"/>
    </row>
    <row r="648" spans="1:11" s="27" customFormat="1" ht="15.75" hidden="1" customHeight="1" x14ac:dyDescent="0.25">
      <c r="A648" s="6"/>
      <c r="B648" s="441"/>
      <c r="C648" s="2473" t="s">
        <v>481</v>
      </c>
      <c r="D648" s="4066">
        <v>272500000</v>
      </c>
      <c r="E648" s="3216">
        <v>271980000</v>
      </c>
      <c r="F648" s="2685">
        <f>E648/D648*100</f>
        <v>99.809174311926611</v>
      </c>
      <c r="G648" s="2685">
        <v>100</v>
      </c>
      <c r="H648" s="1463"/>
      <c r="J648" s="995"/>
      <c r="K648" s="995"/>
    </row>
    <row r="649" spans="1:11" s="27" customFormat="1" ht="16.5" hidden="1" customHeight="1" x14ac:dyDescent="0.25">
      <c r="A649" s="6"/>
      <c r="B649" s="441"/>
      <c r="C649" s="2473" t="s">
        <v>482</v>
      </c>
      <c r="D649" s="4066">
        <v>131250000</v>
      </c>
      <c r="E649" s="2685">
        <v>126950000</v>
      </c>
      <c r="F649" s="2685">
        <f>E649/D649*100</f>
        <v>96.723809523809521</v>
      </c>
      <c r="G649" s="2685">
        <v>100</v>
      </c>
      <c r="H649" s="1463"/>
      <c r="J649" s="995"/>
      <c r="K649" s="995"/>
    </row>
    <row r="650" spans="1:11" ht="13.5" hidden="1" customHeight="1" x14ac:dyDescent="0.25">
      <c r="B650" s="441"/>
      <c r="C650" s="2476"/>
      <c r="D650" s="4071"/>
      <c r="E650" s="2830"/>
      <c r="F650" s="2708"/>
      <c r="G650" s="2708"/>
      <c r="H650" s="1463"/>
    </row>
    <row r="651" spans="1:11" s="27" customFormat="1" ht="15" customHeight="1" x14ac:dyDescent="0.25">
      <c r="A651" s="6"/>
      <c r="B651" s="440"/>
      <c r="C651" s="2471" t="s">
        <v>483</v>
      </c>
      <c r="D651" s="4106">
        <f>SUM(D652+D656+D659+D662+D665+D668)</f>
        <v>1216111100</v>
      </c>
      <c r="E651" s="2672">
        <f>SUM(E652+E656+E659+E662+E665+E668)</f>
        <v>1207111100</v>
      </c>
      <c r="F651" s="2719">
        <f>E651/D651*100</f>
        <v>99.259936037093979</v>
      </c>
      <c r="G651" s="2719">
        <f>SUM(G652+G656+G659+G662+G665+G668)/6</f>
        <v>100</v>
      </c>
      <c r="H651" s="1463"/>
      <c r="J651" s="995"/>
      <c r="K651" s="995"/>
    </row>
    <row r="652" spans="1:11" s="27" customFormat="1" ht="16.5" customHeight="1" x14ac:dyDescent="0.25">
      <c r="A652" s="6"/>
      <c r="B652" s="441"/>
      <c r="C652" s="2478" t="s">
        <v>484</v>
      </c>
      <c r="D652" s="4305">
        <f>SUM(D653:D654)</f>
        <v>148608000</v>
      </c>
      <c r="E652" s="2785">
        <f>SUM(E653:E654)</f>
        <v>148608000</v>
      </c>
      <c r="F652" s="2722">
        <f>E652/D652*100</f>
        <v>100</v>
      </c>
      <c r="G652" s="2725">
        <f>SUM(G653:G654)/2</f>
        <v>100</v>
      </c>
      <c r="H652" s="1463"/>
      <c r="J652" s="995"/>
      <c r="K652" s="995"/>
    </row>
    <row r="653" spans="1:11" s="27" customFormat="1" ht="16.5" hidden="1" customHeight="1" x14ac:dyDescent="0.25">
      <c r="A653" s="6"/>
      <c r="B653" s="441"/>
      <c r="C653" s="2473" t="s">
        <v>485</v>
      </c>
      <c r="D653" s="4066">
        <v>50000000</v>
      </c>
      <c r="E653" s="2685">
        <v>50000000</v>
      </c>
      <c r="F653" s="2685">
        <f>E653/D653*100</f>
        <v>100</v>
      </c>
      <c r="G653" s="2685">
        <v>100</v>
      </c>
      <c r="H653" s="1463"/>
      <c r="J653" s="995"/>
      <c r="K653" s="995"/>
    </row>
    <row r="654" spans="1:11" s="27" customFormat="1" ht="16.5" hidden="1" customHeight="1" x14ac:dyDescent="0.25">
      <c r="A654" s="6"/>
      <c r="B654" s="441"/>
      <c r="C654" s="2473" t="s">
        <v>4099</v>
      </c>
      <c r="D654" s="4066">
        <v>98608000</v>
      </c>
      <c r="E654" s="2685">
        <v>98608000</v>
      </c>
      <c r="F654" s="2685">
        <f>E654/D654*100</f>
        <v>100</v>
      </c>
      <c r="G654" s="2685">
        <v>100</v>
      </c>
      <c r="H654" s="1463"/>
      <c r="J654" s="995"/>
      <c r="K654" s="995"/>
    </row>
    <row r="655" spans="1:11" s="27" customFormat="1" ht="7.5" hidden="1" customHeight="1" x14ac:dyDescent="0.25">
      <c r="A655" s="6"/>
      <c r="B655" s="441"/>
      <c r="C655" s="2473"/>
      <c r="D655" s="4066"/>
      <c r="E655" s="2804"/>
      <c r="F655" s="2685"/>
      <c r="G655" s="2804"/>
      <c r="H655" s="1463"/>
      <c r="J655" s="995"/>
      <c r="K655" s="995"/>
    </row>
    <row r="656" spans="1:11" s="27" customFormat="1" ht="15.75" customHeight="1" x14ac:dyDescent="0.25">
      <c r="A656" s="6"/>
      <c r="B656" s="441"/>
      <c r="C656" s="2474" t="s">
        <v>486</v>
      </c>
      <c r="D656" s="4065">
        <f>D657</f>
        <v>285743100</v>
      </c>
      <c r="E656" s="2725">
        <f>E657</f>
        <v>276743100</v>
      </c>
      <c r="F656" s="2679">
        <f t="shared" ref="F656:F659" si="45">E656/D656*100</f>
        <v>96.850317645465452</v>
      </c>
      <c r="G656" s="2725">
        <f>G657</f>
        <v>100</v>
      </c>
      <c r="H656" s="1463"/>
      <c r="J656" s="995"/>
      <c r="K656" s="995"/>
    </row>
    <row r="657" spans="1:11" s="27" customFormat="1" ht="18.75" hidden="1" customHeight="1" x14ac:dyDescent="0.25">
      <c r="A657" s="6"/>
      <c r="B657" s="441"/>
      <c r="C657" s="2476" t="s">
        <v>487</v>
      </c>
      <c r="D657" s="4071">
        <v>285743100</v>
      </c>
      <c r="E657" s="2923">
        <v>276743100</v>
      </c>
      <c r="F657" s="2708">
        <f t="shared" si="45"/>
        <v>96.850317645465452</v>
      </c>
      <c r="G657" s="2923">
        <v>100</v>
      </c>
      <c r="H657" s="3711"/>
      <c r="J657" s="995"/>
      <c r="K657" s="995"/>
    </row>
    <row r="658" spans="1:11" s="27" customFormat="1" ht="11.25" hidden="1" customHeight="1" x14ac:dyDescent="0.25">
      <c r="A658" s="6"/>
      <c r="B658" s="449"/>
      <c r="C658" s="2473"/>
      <c r="D658" s="4066"/>
      <c r="E658" s="2855"/>
      <c r="F658" s="2855"/>
      <c r="G658" s="2855"/>
      <c r="H658" s="1463"/>
      <c r="J658" s="995"/>
      <c r="K658" s="995"/>
    </row>
    <row r="659" spans="1:11" s="27" customFormat="1" ht="12.75" customHeight="1" x14ac:dyDescent="0.25">
      <c r="A659" s="6"/>
      <c r="B659" s="441"/>
      <c r="C659" s="2478" t="s">
        <v>488</v>
      </c>
      <c r="D659" s="4305">
        <f>D660</f>
        <v>100000000</v>
      </c>
      <c r="E659" s="2785">
        <f>E660</f>
        <v>100000000</v>
      </c>
      <c r="F659" s="2725">
        <f t="shared" si="45"/>
        <v>100</v>
      </c>
      <c r="G659" s="3373">
        <f>G660</f>
        <v>100</v>
      </c>
      <c r="H659" s="3712"/>
      <c r="J659" s="995"/>
      <c r="K659" s="995"/>
    </row>
    <row r="660" spans="1:11" s="27" customFormat="1" ht="21.75" hidden="1" customHeight="1" x14ac:dyDescent="0.25">
      <c r="A660" s="6"/>
      <c r="B660" s="441"/>
      <c r="C660" s="2476" t="s">
        <v>6661</v>
      </c>
      <c r="D660" s="4071">
        <v>100000000</v>
      </c>
      <c r="E660" s="2685">
        <v>100000000</v>
      </c>
      <c r="F660" s="2708">
        <v>100</v>
      </c>
      <c r="G660" s="2924">
        <v>100</v>
      </c>
      <c r="H660" s="1463"/>
      <c r="J660" s="995"/>
      <c r="K660" s="995"/>
    </row>
    <row r="661" spans="1:11" s="27" customFormat="1" ht="9" hidden="1" customHeight="1" x14ac:dyDescent="0.25">
      <c r="A661" s="6"/>
      <c r="B661" s="441"/>
      <c r="C661" s="2476"/>
      <c r="D661" s="4071"/>
      <c r="E661" s="2924"/>
      <c r="F661" s="2923"/>
      <c r="G661" s="2924"/>
      <c r="H661" s="1463"/>
      <c r="J661" s="995"/>
      <c r="K661" s="995"/>
    </row>
    <row r="662" spans="1:11" s="27" customFormat="1" ht="18" customHeight="1" x14ac:dyDescent="0.25">
      <c r="A662" s="6"/>
      <c r="B662" s="441"/>
      <c r="C662" s="2477" t="s">
        <v>489</v>
      </c>
      <c r="D662" s="4300">
        <f>D663</f>
        <v>168000000</v>
      </c>
      <c r="E662" s="2934">
        <f>E663</f>
        <v>168000000</v>
      </c>
      <c r="F662" s="2679">
        <f t="shared" ref="F662" si="46">E662/D662*100</f>
        <v>100</v>
      </c>
      <c r="G662" s="2934">
        <f>G663</f>
        <v>100</v>
      </c>
      <c r="H662" s="1463"/>
      <c r="J662" s="995"/>
      <c r="K662" s="995"/>
    </row>
    <row r="663" spans="1:11" s="27" customFormat="1" ht="17.25" hidden="1" customHeight="1" x14ac:dyDescent="0.25">
      <c r="A663" s="6"/>
      <c r="B663" s="441"/>
      <c r="C663" s="2476" t="s">
        <v>490</v>
      </c>
      <c r="D663" s="4071">
        <v>168000000</v>
      </c>
      <c r="E663" s="2708">
        <v>168000000</v>
      </c>
      <c r="F663" s="2708">
        <v>100</v>
      </c>
      <c r="G663" s="2708">
        <v>100</v>
      </c>
      <c r="H663" s="1463"/>
      <c r="J663" s="995"/>
      <c r="K663" s="995"/>
    </row>
    <row r="664" spans="1:11" s="27" customFormat="1" ht="11.25" hidden="1" customHeight="1" x14ac:dyDescent="0.25">
      <c r="A664" s="6"/>
      <c r="B664" s="441"/>
      <c r="C664" s="2476"/>
      <c r="D664" s="4071"/>
      <c r="E664" s="2924"/>
      <c r="F664" s="2923"/>
      <c r="G664" s="2855"/>
      <c r="H664" s="1463"/>
      <c r="J664" s="995"/>
      <c r="K664" s="995"/>
    </row>
    <row r="665" spans="1:11" s="27" customFormat="1" ht="18" customHeight="1" x14ac:dyDescent="0.25">
      <c r="A665" s="6"/>
      <c r="B665" s="441"/>
      <c r="C665" s="2477" t="s">
        <v>491</v>
      </c>
      <c r="D665" s="4300">
        <f>D666</f>
        <v>325000000</v>
      </c>
      <c r="E665" s="2679">
        <f>E666</f>
        <v>325000000</v>
      </c>
      <c r="F665" s="2679">
        <f>E665/D665*100</f>
        <v>100</v>
      </c>
      <c r="G665" s="3250">
        <f>G666</f>
        <v>100</v>
      </c>
      <c r="H665" s="1463"/>
      <c r="J665" s="995"/>
      <c r="K665" s="995"/>
    </row>
    <row r="666" spans="1:11" s="27" customFormat="1" ht="18.75" hidden="1" customHeight="1" x14ac:dyDescent="0.25">
      <c r="A666" s="6"/>
      <c r="B666" s="441"/>
      <c r="C666" s="2476" t="s">
        <v>492</v>
      </c>
      <c r="D666" s="4071">
        <v>325000000</v>
      </c>
      <c r="E666" s="2685">
        <v>325000000</v>
      </c>
      <c r="F666" s="2685">
        <f t="shared" ref="F666" si="47">E666/D666*100</f>
        <v>100</v>
      </c>
      <c r="G666" s="2855">
        <v>100</v>
      </c>
      <c r="H666" s="1463"/>
      <c r="J666" s="995"/>
      <c r="K666" s="995"/>
    </row>
    <row r="667" spans="1:11" s="27" customFormat="1" ht="11.25" hidden="1" customHeight="1" x14ac:dyDescent="0.25">
      <c r="A667" s="6"/>
      <c r="B667" s="441"/>
      <c r="C667" s="2476"/>
      <c r="D667" s="4286"/>
      <c r="E667" s="2708"/>
      <c r="F667" s="2708"/>
      <c r="G667" s="2855"/>
      <c r="H667" s="1463"/>
      <c r="J667" s="995"/>
      <c r="K667" s="995"/>
    </row>
    <row r="668" spans="1:11" s="27" customFormat="1" ht="18.75" customHeight="1" x14ac:dyDescent="0.25">
      <c r="A668" s="6"/>
      <c r="B668" s="441"/>
      <c r="C668" s="2477" t="s">
        <v>493</v>
      </c>
      <c r="D668" s="4300">
        <f>SUM(D669:D670)</f>
        <v>188760000</v>
      </c>
      <c r="E668" s="2821">
        <f>SUM(E669:E670)</f>
        <v>188760000</v>
      </c>
      <c r="F668" s="2679">
        <f>E668/D668*100</f>
        <v>100</v>
      </c>
      <c r="G668" s="3250">
        <f>SUM(G669:G670)/2</f>
        <v>100</v>
      </c>
      <c r="H668" s="1463"/>
      <c r="J668" s="995"/>
      <c r="K668" s="995"/>
    </row>
    <row r="669" spans="1:11" s="27" customFormat="1" ht="18" hidden="1" customHeight="1" x14ac:dyDescent="0.25">
      <c r="A669" s="6"/>
      <c r="B669" s="441"/>
      <c r="C669" s="2476" t="s">
        <v>494</v>
      </c>
      <c r="D669" s="4071">
        <v>141360000</v>
      </c>
      <c r="E669" s="2685">
        <v>141360000</v>
      </c>
      <c r="F669" s="2685">
        <f t="shared" ref="F669:F670" si="48">E669/D669*100</f>
        <v>100</v>
      </c>
      <c r="G669" s="2855">
        <v>100</v>
      </c>
      <c r="H669" s="1463"/>
      <c r="J669" s="995"/>
      <c r="K669" s="995"/>
    </row>
    <row r="670" spans="1:11" s="27" customFormat="1" ht="28.5" hidden="1" customHeight="1" x14ac:dyDescent="0.25">
      <c r="A670" s="6"/>
      <c r="B670" s="441"/>
      <c r="C670" s="2476" t="s">
        <v>495</v>
      </c>
      <c r="D670" s="4071">
        <v>47400000</v>
      </c>
      <c r="E670" s="2685">
        <v>47400000</v>
      </c>
      <c r="F670" s="2685">
        <f t="shared" si="48"/>
        <v>100</v>
      </c>
      <c r="G670" s="2855">
        <v>100</v>
      </c>
      <c r="H670" s="1463"/>
      <c r="J670" s="995"/>
      <c r="K670" s="995"/>
    </row>
    <row r="671" spans="1:11" ht="13.5" hidden="1" customHeight="1" x14ac:dyDescent="0.25">
      <c r="B671" s="441"/>
      <c r="C671" s="2518"/>
      <c r="D671" s="4312"/>
      <c r="E671" s="3132"/>
      <c r="F671" s="2911"/>
      <c r="G671" s="2830"/>
      <c r="H671" s="1463"/>
    </row>
    <row r="672" spans="1:11" ht="17.25" customHeight="1" x14ac:dyDescent="0.25">
      <c r="B672" s="440"/>
      <c r="C672" s="2471" t="s">
        <v>496</v>
      </c>
      <c r="D672" s="4106">
        <f>SUM(D673+D677+D681+D684)</f>
        <v>1594033000</v>
      </c>
      <c r="E672" s="2672">
        <f>SUM(E673+E677+E681+E684)</f>
        <v>1402439000</v>
      </c>
      <c r="F672" s="2719">
        <f>E672/D672*100</f>
        <v>87.980549963520204</v>
      </c>
      <c r="G672" s="2719">
        <f>SUM(G673+G677+G681+G684)/4</f>
        <v>91.25</v>
      </c>
      <c r="H672" s="1463"/>
    </row>
    <row r="673" spans="1:11" s="27" customFormat="1" ht="18" customHeight="1" x14ac:dyDescent="0.25">
      <c r="A673" s="6"/>
      <c r="B673" s="441"/>
      <c r="C673" s="2521" t="s">
        <v>497</v>
      </c>
      <c r="D673" s="4305">
        <f>SUM(D674:D675)</f>
        <v>335503000</v>
      </c>
      <c r="E673" s="2785">
        <f>SUM(E674:E675)</f>
        <v>156973000</v>
      </c>
      <c r="F673" s="2722">
        <f>E673/D673*100</f>
        <v>46.787361066816096</v>
      </c>
      <c r="G673" s="2722">
        <f>SUM(G674:G675)/2</f>
        <v>65</v>
      </c>
      <c r="H673" s="1463"/>
      <c r="J673" s="995"/>
      <c r="K673" s="995"/>
    </row>
    <row r="674" spans="1:11" s="27" customFormat="1" ht="15.75" hidden="1" customHeight="1" x14ac:dyDescent="0.25">
      <c r="A674" s="6"/>
      <c r="B674" s="441"/>
      <c r="C674" s="2473" t="s">
        <v>498</v>
      </c>
      <c r="D674" s="4066">
        <v>251778000</v>
      </c>
      <c r="E674" s="2855">
        <v>73278000</v>
      </c>
      <c r="F674" s="2685">
        <f>E674/D674*100</f>
        <v>29.104210852417605</v>
      </c>
      <c r="G674" s="2855">
        <v>30</v>
      </c>
      <c r="H674" s="1463"/>
      <c r="J674" s="995"/>
      <c r="K674" s="995"/>
    </row>
    <row r="675" spans="1:11" s="27" customFormat="1" ht="14.25" hidden="1" customHeight="1" x14ac:dyDescent="0.25">
      <c r="A675" s="6"/>
      <c r="B675" s="441"/>
      <c r="C675" s="2476" t="s">
        <v>499</v>
      </c>
      <c r="D675" s="4071">
        <v>83725000</v>
      </c>
      <c r="E675" s="2708">
        <v>83695000</v>
      </c>
      <c r="F675" s="2708">
        <f>E675/D675*100</f>
        <v>99.964168408480148</v>
      </c>
      <c r="G675" s="2708">
        <v>100</v>
      </c>
      <c r="H675" s="3711"/>
      <c r="J675" s="995"/>
      <c r="K675" s="995"/>
    </row>
    <row r="676" spans="1:11" s="27" customFormat="1" ht="10.5" hidden="1" customHeight="1" x14ac:dyDescent="0.25">
      <c r="A676" s="6"/>
      <c r="B676" s="449"/>
      <c r="C676" s="2473"/>
      <c r="D676" s="4066"/>
      <c r="E676" s="2685"/>
      <c r="F676" s="2685"/>
      <c r="G676" s="2685"/>
      <c r="H676" s="1463"/>
      <c r="J676" s="995"/>
      <c r="K676" s="995"/>
    </row>
    <row r="677" spans="1:11" s="27" customFormat="1" ht="16.5" customHeight="1" x14ac:dyDescent="0.25">
      <c r="A677" s="6"/>
      <c r="B677" s="441"/>
      <c r="C677" s="2472" t="s">
        <v>500</v>
      </c>
      <c r="D677" s="4072">
        <f>SUM(D678:D679)</f>
        <v>1047450000</v>
      </c>
      <c r="E677" s="2734">
        <f>SUM(E678:E679)</f>
        <v>1034700000</v>
      </c>
      <c r="F677" s="2725">
        <f t="shared" ref="F677:F685" si="49">E677/D677*100</f>
        <v>98.782758126879571</v>
      </c>
      <c r="G677" s="2725">
        <f>SUM(G678:G679)/2</f>
        <v>100</v>
      </c>
      <c r="H677" s="3712"/>
      <c r="J677" s="995"/>
      <c r="K677" s="995"/>
    </row>
    <row r="678" spans="1:11" s="27" customFormat="1" ht="17.25" hidden="1" customHeight="1" x14ac:dyDescent="0.25">
      <c r="A678" s="6"/>
      <c r="B678" s="441"/>
      <c r="C678" s="2473" t="s">
        <v>501</v>
      </c>
      <c r="D678" s="4066">
        <v>337950000</v>
      </c>
      <c r="E678" s="2855">
        <v>325950000</v>
      </c>
      <c r="F678" s="2685">
        <f t="shared" si="49"/>
        <v>96.449178872614297</v>
      </c>
      <c r="G678" s="2685">
        <v>100</v>
      </c>
      <c r="H678" s="1463"/>
      <c r="J678" s="995"/>
      <c r="K678" s="995"/>
    </row>
    <row r="679" spans="1:11" s="27" customFormat="1" ht="17.25" hidden="1" customHeight="1" x14ac:dyDescent="0.25">
      <c r="A679" s="6"/>
      <c r="B679" s="441"/>
      <c r="C679" s="2473" t="s">
        <v>502</v>
      </c>
      <c r="D679" s="4066">
        <v>709500000</v>
      </c>
      <c r="E679" s="2708">
        <v>708750000</v>
      </c>
      <c r="F679" s="2685">
        <f t="shared" si="49"/>
        <v>99.894291754756864</v>
      </c>
      <c r="G679" s="2685">
        <v>100</v>
      </c>
      <c r="H679" s="1463"/>
      <c r="J679" s="995"/>
      <c r="K679" s="995"/>
    </row>
    <row r="680" spans="1:11" s="27" customFormat="1" ht="9" hidden="1" customHeight="1" x14ac:dyDescent="0.25">
      <c r="A680" s="6"/>
      <c r="B680" s="441"/>
      <c r="C680" s="2473"/>
      <c r="D680" s="4066"/>
      <c r="E680" s="2685"/>
      <c r="F680" s="2685"/>
      <c r="G680" s="2685"/>
      <c r="H680" s="1463"/>
      <c r="J680" s="995"/>
      <c r="K680" s="995"/>
    </row>
    <row r="681" spans="1:11" s="27" customFormat="1" ht="18" customHeight="1" x14ac:dyDescent="0.25">
      <c r="A681" s="6"/>
      <c r="B681" s="441"/>
      <c r="C681" s="2474" t="s">
        <v>503</v>
      </c>
      <c r="D681" s="4065">
        <f>D682</f>
        <v>61080000</v>
      </c>
      <c r="E681" s="3998">
        <f>E682</f>
        <v>60766000</v>
      </c>
      <c r="F681" s="2679">
        <f t="shared" si="49"/>
        <v>99.485920104780618</v>
      </c>
      <c r="G681" s="2679">
        <f>G682</f>
        <v>100</v>
      </c>
      <c r="H681" s="1463"/>
      <c r="J681" s="995"/>
      <c r="K681" s="995"/>
    </row>
    <row r="682" spans="1:11" s="27" customFormat="1" ht="17.25" hidden="1" customHeight="1" x14ac:dyDescent="0.25">
      <c r="A682" s="6"/>
      <c r="B682" s="441"/>
      <c r="C682" s="2473" t="s">
        <v>504</v>
      </c>
      <c r="D682" s="4066">
        <v>61080000</v>
      </c>
      <c r="E682" s="2855">
        <v>60766000</v>
      </c>
      <c r="F682" s="2685">
        <f t="shared" si="49"/>
        <v>99.485920104780618</v>
      </c>
      <c r="G682" s="2685">
        <v>100</v>
      </c>
      <c r="H682" s="1463"/>
      <c r="J682" s="995"/>
      <c r="K682" s="995"/>
    </row>
    <row r="683" spans="1:11" s="27" customFormat="1" ht="9" hidden="1" customHeight="1" x14ac:dyDescent="0.25">
      <c r="A683" s="6"/>
      <c r="B683" s="441"/>
      <c r="C683" s="2473"/>
      <c r="D683" s="4066"/>
      <c r="E683" s="2685"/>
      <c r="F683" s="2685"/>
      <c r="G683" s="2685"/>
      <c r="H683" s="1463"/>
      <c r="J683" s="995"/>
      <c r="K683" s="995"/>
    </row>
    <row r="684" spans="1:11" s="27" customFormat="1" ht="17.25" customHeight="1" x14ac:dyDescent="0.25">
      <c r="A684" s="6"/>
      <c r="B684" s="441"/>
      <c r="C684" s="2474" t="s">
        <v>505</v>
      </c>
      <c r="D684" s="4065">
        <f>D685</f>
        <v>150000000</v>
      </c>
      <c r="E684" s="3998">
        <f>E685</f>
        <v>150000000</v>
      </c>
      <c r="F684" s="2679">
        <f t="shared" si="49"/>
        <v>100</v>
      </c>
      <c r="G684" s="2679">
        <f>G685</f>
        <v>100</v>
      </c>
      <c r="H684" s="1463"/>
      <c r="J684" s="995"/>
      <c r="K684" s="995"/>
    </row>
    <row r="685" spans="1:11" s="27" customFormat="1" ht="17.25" hidden="1" customHeight="1" x14ac:dyDescent="0.25">
      <c r="A685" s="6"/>
      <c r="B685" s="441"/>
      <c r="C685" s="2473" t="s">
        <v>506</v>
      </c>
      <c r="D685" s="4066">
        <v>150000000</v>
      </c>
      <c r="E685" s="2855">
        <v>150000000</v>
      </c>
      <c r="F685" s="2685">
        <f t="shared" si="49"/>
        <v>100</v>
      </c>
      <c r="G685" s="2685">
        <v>100</v>
      </c>
      <c r="H685" s="1463"/>
      <c r="J685" s="995"/>
      <c r="K685" s="995"/>
    </row>
    <row r="686" spans="1:11" ht="13.5" hidden="1" customHeight="1" x14ac:dyDescent="0.25">
      <c r="B686" s="441"/>
      <c r="C686" s="2475"/>
      <c r="D686" s="4301"/>
      <c r="E686" s="2830"/>
      <c r="F686" s="2830"/>
      <c r="G686" s="2708"/>
      <c r="H686" s="1463"/>
    </row>
    <row r="687" spans="1:11" s="27" customFormat="1" ht="18.75" customHeight="1" x14ac:dyDescent="0.25">
      <c r="A687" s="6"/>
      <c r="B687" s="440"/>
      <c r="C687" s="2471" t="s">
        <v>507</v>
      </c>
      <c r="D687" s="4106">
        <f>SUM(D688+D691+D697)</f>
        <v>779780000</v>
      </c>
      <c r="E687" s="2672">
        <f>SUM(E688+E691+E697)</f>
        <v>769580000</v>
      </c>
      <c r="F687" s="2719">
        <f>E687/D687*100</f>
        <v>98.691938751955675</v>
      </c>
      <c r="G687" s="2719">
        <f>SUM(G688+G691+G697)/3</f>
        <v>100</v>
      </c>
      <c r="H687" s="1463"/>
      <c r="J687" s="995"/>
      <c r="K687" s="995"/>
    </row>
    <row r="688" spans="1:11" s="27" customFormat="1" ht="32.25" customHeight="1" x14ac:dyDescent="0.25">
      <c r="A688" s="6"/>
      <c r="B688" s="441"/>
      <c r="C688" s="2472" t="s">
        <v>508</v>
      </c>
      <c r="D688" s="4072">
        <f>D689</f>
        <v>161250000</v>
      </c>
      <c r="E688" s="2942">
        <f>E689</f>
        <v>161250000</v>
      </c>
      <c r="F688" s="2722">
        <f>E688/D688*100</f>
        <v>100</v>
      </c>
      <c r="G688" s="2725">
        <f>G689</f>
        <v>100</v>
      </c>
      <c r="H688" s="1463"/>
      <c r="J688" s="995"/>
      <c r="K688" s="995"/>
    </row>
    <row r="689" spans="1:11" s="27" customFormat="1" ht="18.75" hidden="1" customHeight="1" x14ac:dyDescent="0.25">
      <c r="A689" s="6"/>
      <c r="B689" s="441"/>
      <c r="C689" s="2473" t="s">
        <v>509</v>
      </c>
      <c r="D689" s="4066">
        <v>161250000</v>
      </c>
      <c r="E689" s="2685">
        <v>161250000</v>
      </c>
      <c r="F689" s="2685">
        <f>E689/D689*100</f>
        <v>100</v>
      </c>
      <c r="G689" s="2708">
        <v>100</v>
      </c>
      <c r="H689" s="1463"/>
      <c r="J689" s="995"/>
      <c r="K689" s="995"/>
    </row>
    <row r="690" spans="1:11" s="27" customFormat="1" ht="8.25" hidden="1" customHeight="1" x14ac:dyDescent="0.25">
      <c r="A690" s="6"/>
      <c r="B690" s="441"/>
      <c r="C690" s="2476"/>
      <c r="D690" s="4071"/>
      <c r="E690" s="2924"/>
      <c r="F690" s="2685"/>
      <c r="G690" s="2708"/>
      <c r="H690" s="1463"/>
      <c r="J690" s="995"/>
      <c r="K690" s="995"/>
    </row>
    <row r="691" spans="1:11" s="27" customFormat="1" ht="17.25" customHeight="1" x14ac:dyDescent="0.25">
      <c r="A691" s="6"/>
      <c r="B691" s="441"/>
      <c r="C691" s="2477" t="s">
        <v>510</v>
      </c>
      <c r="D691" s="4300">
        <f>SUM(D692:D695)</f>
        <v>530230000</v>
      </c>
      <c r="E691" s="2821">
        <f>SUM(E692:E695)</f>
        <v>520030000</v>
      </c>
      <c r="F691" s="2679">
        <f t="shared" ref="F691:F698" si="50">E691/D691*100</f>
        <v>98.076306508496316</v>
      </c>
      <c r="G691" s="2934">
        <f>SUM(G692:G695)/4</f>
        <v>100</v>
      </c>
      <c r="H691" s="1463"/>
      <c r="J691" s="995"/>
      <c r="K691" s="995"/>
    </row>
    <row r="692" spans="1:11" s="27" customFormat="1" ht="16.5" hidden="1" customHeight="1" x14ac:dyDescent="0.25">
      <c r="A692" s="6"/>
      <c r="B692" s="441"/>
      <c r="C692" s="2476" t="s">
        <v>511</v>
      </c>
      <c r="D692" s="4071">
        <v>138900000</v>
      </c>
      <c r="E692" s="2855">
        <v>138900000</v>
      </c>
      <c r="F692" s="2685">
        <f t="shared" si="50"/>
        <v>100</v>
      </c>
      <c r="G692" s="2708">
        <v>100</v>
      </c>
      <c r="H692" s="1463"/>
      <c r="J692" s="995"/>
      <c r="K692" s="995"/>
    </row>
    <row r="693" spans="1:11" s="27" customFormat="1" ht="17.25" hidden="1" customHeight="1" x14ac:dyDescent="0.25">
      <c r="A693" s="6"/>
      <c r="B693" s="441"/>
      <c r="C693" s="2476" t="s">
        <v>512</v>
      </c>
      <c r="D693" s="4071">
        <v>145000000</v>
      </c>
      <c r="E693" s="2708">
        <v>144950000</v>
      </c>
      <c r="F693" s="2685">
        <f t="shared" si="50"/>
        <v>99.965517241379303</v>
      </c>
      <c r="G693" s="2708">
        <v>100</v>
      </c>
      <c r="H693" s="1463"/>
      <c r="J693" s="995"/>
      <c r="K693" s="995"/>
    </row>
    <row r="694" spans="1:11" s="27" customFormat="1" ht="32.25" hidden="1" customHeight="1" x14ac:dyDescent="0.25">
      <c r="A694" s="6"/>
      <c r="B694" s="441"/>
      <c r="C694" s="2476" t="s">
        <v>513</v>
      </c>
      <c r="D694" s="4071">
        <v>120450000</v>
      </c>
      <c r="E694" s="2708">
        <v>116550000</v>
      </c>
      <c r="F694" s="2685">
        <f t="shared" si="50"/>
        <v>96.762141967621417</v>
      </c>
      <c r="G694" s="2708">
        <v>100</v>
      </c>
      <c r="H694" s="1463"/>
      <c r="J694" s="995"/>
      <c r="K694" s="995"/>
    </row>
    <row r="695" spans="1:11" s="27" customFormat="1" ht="18" hidden="1" customHeight="1" x14ac:dyDescent="0.25">
      <c r="A695" s="6"/>
      <c r="B695" s="441"/>
      <c r="C695" s="2476" t="s">
        <v>514</v>
      </c>
      <c r="D695" s="4071">
        <v>125880000</v>
      </c>
      <c r="E695" s="2855">
        <v>119630000</v>
      </c>
      <c r="F695" s="2685">
        <f t="shared" si="50"/>
        <v>95.034953924372417</v>
      </c>
      <c r="G695" s="2708">
        <v>100</v>
      </c>
      <c r="H695" s="1463"/>
      <c r="J695" s="995"/>
      <c r="K695" s="995"/>
    </row>
    <row r="696" spans="1:11" s="27" customFormat="1" ht="10.5" hidden="1" customHeight="1" x14ac:dyDescent="0.25">
      <c r="A696" s="6"/>
      <c r="B696" s="441"/>
      <c r="C696" s="2476"/>
      <c r="D696" s="4071"/>
      <c r="E696" s="2855"/>
      <c r="F696" s="2685"/>
      <c r="G696" s="2708"/>
      <c r="H696" s="1463"/>
      <c r="J696" s="995"/>
      <c r="K696" s="995"/>
    </row>
    <row r="697" spans="1:11" s="27" customFormat="1" ht="18.75" customHeight="1" x14ac:dyDescent="0.25">
      <c r="A697" s="6"/>
      <c r="B697" s="441"/>
      <c r="C697" s="2477" t="s">
        <v>515</v>
      </c>
      <c r="D697" s="4300">
        <f>D698</f>
        <v>88300000</v>
      </c>
      <c r="E697" s="3250">
        <f>E698</f>
        <v>88300000</v>
      </c>
      <c r="F697" s="2679">
        <f t="shared" si="50"/>
        <v>100</v>
      </c>
      <c r="G697" s="2934">
        <f>G698</f>
        <v>100</v>
      </c>
      <c r="H697" s="1463"/>
      <c r="J697" s="995"/>
      <c r="K697" s="995"/>
    </row>
    <row r="698" spans="1:11" s="27" customFormat="1" ht="18" hidden="1" customHeight="1" x14ac:dyDescent="0.25">
      <c r="A698" s="6"/>
      <c r="B698" s="441"/>
      <c r="C698" s="2476" t="s">
        <v>516</v>
      </c>
      <c r="D698" s="4071">
        <v>88300000</v>
      </c>
      <c r="E698" s="2855">
        <v>88300000</v>
      </c>
      <c r="F698" s="2685">
        <f t="shared" si="50"/>
        <v>100</v>
      </c>
      <c r="G698" s="2708">
        <v>100</v>
      </c>
      <c r="H698" s="1463"/>
      <c r="J698" s="995"/>
      <c r="K698" s="995"/>
    </row>
    <row r="699" spans="1:11" ht="13.5" hidden="1" customHeight="1" x14ac:dyDescent="0.25">
      <c r="B699" s="441"/>
      <c r="C699" s="2476"/>
      <c r="D699" s="4071"/>
      <c r="E699" s="2830"/>
      <c r="F699" s="2708"/>
      <c r="G699" s="2708"/>
      <c r="H699" s="1463"/>
    </row>
    <row r="700" spans="1:11" s="27" customFormat="1" ht="17.25" customHeight="1" x14ac:dyDescent="0.25">
      <c r="A700" s="6"/>
      <c r="B700" s="440"/>
      <c r="C700" s="2471" t="s">
        <v>517</v>
      </c>
      <c r="D700" s="4106">
        <f>D701</f>
        <v>26081280520</v>
      </c>
      <c r="E700" s="3192">
        <f>E701</f>
        <v>23259577726</v>
      </c>
      <c r="F700" s="2719">
        <f>E700/D700*100</f>
        <v>89.181118650074623</v>
      </c>
      <c r="G700" s="2719">
        <f>G701</f>
        <v>100</v>
      </c>
      <c r="H700" s="1463"/>
      <c r="J700" s="995"/>
      <c r="K700" s="995"/>
    </row>
    <row r="701" spans="1:11" s="27" customFormat="1" ht="17.25" customHeight="1" x14ac:dyDescent="0.25">
      <c r="A701" s="6"/>
      <c r="B701" s="441"/>
      <c r="C701" s="2472" t="s">
        <v>518</v>
      </c>
      <c r="D701" s="4072">
        <f>D702</f>
        <v>26081280520</v>
      </c>
      <c r="E701" s="2942">
        <f>E702</f>
        <v>23259577726</v>
      </c>
      <c r="F701" s="2722">
        <f>E701/D701*100</f>
        <v>89.181118650074623</v>
      </c>
      <c r="G701" s="2725">
        <f>G702</f>
        <v>100</v>
      </c>
      <c r="H701" s="1463"/>
      <c r="J701" s="995"/>
      <c r="K701" s="995"/>
    </row>
    <row r="702" spans="1:11" s="27" customFormat="1" ht="16.5" hidden="1" customHeight="1" x14ac:dyDescent="0.25">
      <c r="A702" s="6"/>
      <c r="B702" s="441"/>
      <c r="C702" s="2473" t="s">
        <v>519</v>
      </c>
      <c r="D702" s="4066">
        <v>26081280520</v>
      </c>
      <c r="E702" s="2855">
        <v>23259577726</v>
      </c>
      <c r="F702" s="2685">
        <f>E702/D702*100</f>
        <v>89.181118650074623</v>
      </c>
      <c r="G702" s="2685">
        <v>100</v>
      </c>
      <c r="H702" s="1463"/>
      <c r="J702" s="995"/>
      <c r="K702" s="995"/>
    </row>
    <row r="703" spans="1:11" s="27" customFormat="1" ht="13.5" hidden="1" customHeight="1" x14ac:dyDescent="0.25">
      <c r="A703" s="6"/>
      <c r="B703" s="441"/>
      <c r="C703" s="2476"/>
      <c r="D703" s="4071"/>
      <c r="E703" s="2830"/>
      <c r="F703" s="2708"/>
      <c r="G703" s="2708"/>
      <c r="H703" s="1463"/>
      <c r="J703" s="995"/>
      <c r="K703" s="995"/>
    </row>
    <row r="704" spans="1:11" s="20" customFormat="1" ht="16.5" customHeight="1" x14ac:dyDescent="0.25">
      <c r="A704" s="963"/>
      <c r="B704" s="440"/>
      <c r="C704" s="2471" t="s">
        <v>520</v>
      </c>
      <c r="D704" s="4106">
        <f>SUM(D705+D708+D711+D714+D717+D720+D723)</f>
        <v>614950000</v>
      </c>
      <c r="E704" s="2672">
        <f>SUM(E705+E708+E711+E714+E717+E720+E723)</f>
        <v>614950000</v>
      </c>
      <c r="F704" s="2719">
        <f>E704/D704*100</f>
        <v>100</v>
      </c>
      <c r="G704" s="2719">
        <f>SUM(G705+G708+G711+G714+G717+G720+G723)/7</f>
        <v>100</v>
      </c>
      <c r="H704" s="1463"/>
      <c r="J704" s="536"/>
      <c r="K704" s="536"/>
    </row>
    <row r="705" spans="1:11" s="27" customFormat="1" ht="18.75" customHeight="1" x14ac:dyDescent="0.25">
      <c r="A705" s="6"/>
      <c r="B705" s="441"/>
      <c r="C705" s="2472" t="s">
        <v>521</v>
      </c>
      <c r="D705" s="4072">
        <f>D706</f>
        <v>125000000</v>
      </c>
      <c r="E705" s="2942">
        <f>E706</f>
        <v>125000000</v>
      </c>
      <c r="F705" s="2722">
        <f>E705/D705*100</f>
        <v>100</v>
      </c>
      <c r="G705" s="2679">
        <f>G706</f>
        <v>100</v>
      </c>
      <c r="H705" s="1463"/>
      <c r="J705" s="995"/>
      <c r="K705" s="995"/>
    </row>
    <row r="706" spans="1:11" s="27" customFormat="1" ht="15.75" hidden="1" customHeight="1" x14ac:dyDescent="0.25">
      <c r="A706" s="6"/>
      <c r="B706" s="441"/>
      <c r="C706" s="2473" t="s">
        <v>522</v>
      </c>
      <c r="D706" s="4066">
        <v>125000000</v>
      </c>
      <c r="E706" s="2685">
        <v>125000000</v>
      </c>
      <c r="F706" s="2685">
        <f>E706/D706*100</f>
        <v>100</v>
      </c>
      <c r="G706" s="2685">
        <v>100</v>
      </c>
      <c r="H706" s="1463"/>
      <c r="J706" s="995"/>
      <c r="K706" s="995"/>
    </row>
    <row r="707" spans="1:11" s="20" customFormat="1" ht="9" hidden="1" customHeight="1" x14ac:dyDescent="0.25">
      <c r="A707" s="963"/>
      <c r="B707" s="441"/>
      <c r="C707" s="2473"/>
      <c r="D707" s="4066"/>
      <c r="E707" s="2685"/>
      <c r="F707" s="2685"/>
      <c r="G707" s="2685"/>
      <c r="H707" s="1463"/>
      <c r="J707" s="536"/>
      <c r="K707" s="536"/>
    </row>
    <row r="708" spans="1:11" s="27" customFormat="1" ht="15.75" customHeight="1" x14ac:dyDescent="0.25">
      <c r="A708" s="6"/>
      <c r="B708" s="441"/>
      <c r="C708" s="2474" t="s">
        <v>523</v>
      </c>
      <c r="D708" s="4065">
        <f>D709</f>
        <v>60000000</v>
      </c>
      <c r="E708" s="3998">
        <f>E709</f>
        <v>60000000</v>
      </c>
      <c r="F708" s="2679">
        <f t="shared" ref="F708:F721" si="51">E708/D708*100</f>
        <v>100</v>
      </c>
      <c r="G708" s="2679">
        <f>G709</f>
        <v>100</v>
      </c>
      <c r="H708" s="1463"/>
      <c r="J708" s="995"/>
      <c r="K708" s="995"/>
    </row>
    <row r="709" spans="1:11" s="27" customFormat="1" ht="19.5" hidden="1" customHeight="1" x14ac:dyDescent="0.25">
      <c r="A709" s="6"/>
      <c r="B709" s="441"/>
      <c r="C709" s="2473" t="s">
        <v>524</v>
      </c>
      <c r="D709" s="4066">
        <v>60000000</v>
      </c>
      <c r="E709" s="3140">
        <v>60000000</v>
      </c>
      <c r="F709" s="2685">
        <f t="shared" si="51"/>
        <v>100</v>
      </c>
      <c r="G709" s="2685">
        <v>100</v>
      </c>
      <c r="H709" s="1463"/>
      <c r="J709" s="995"/>
      <c r="K709" s="995"/>
    </row>
    <row r="710" spans="1:11" s="20" customFormat="1" ht="9.75" hidden="1" customHeight="1" x14ac:dyDescent="0.25">
      <c r="A710" s="963"/>
      <c r="B710" s="441"/>
      <c r="C710" s="2473"/>
      <c r="D710" s="4066"/>
      <c r="E710" s="2804"/>
      <c r="F710" s="2685"/>
      <c r="G710" s="2685"/>
      <c r="H710" s="1463"/>
      <c r="J710" s="536"/>
      <c r="K710" s="536"/>
    </row>
    <row r="711" spans="1:11" s="27" customFormat="1" ht="15.75" customHeight="1" x14ac:dyDescent="0.25">
      <c r="A711" s="6"/>
      <c r="B711" s="441"/>
      <c r="C711" s="2474" t="s">
        <v>525</v>
      </c>
      <c r="D711" s="4065">
        <f>D712</f>
        <v>217500000</v>
      </c>
      <c r="E711" s="2679">
        <f>E712</f>
        <v>217500000</v>
      </c>
      <c r="F711" s="2679">
        <f t="shared" si="51"/>
        <v>100</v>
      </c>
      <c r="G711" s="2679">
        <f>G712</f>
        <v>100</v>
      </c>
      <c r="H711" s="1463"/>
      <c r="J711" s="995"/>
      <c r="K711" s="995"/>
    </row>
    <row r="712" spans="1:11" s="27" customFormat="1" ht="17.25" hidden="1" customHeight="1" x14ac:dyDescent="0.25">
      <c r="A712" s="6"/>
      <c r="B712" s="441"/>
      <c r="C712" s="2473" t="s">
        <v>526</v>
      </c>
      <c r="D712" s="4066">
        <v>217500000</v>
      </c>
      <c r="E712" s="3140">
        <v>217500000</v>
      </c>
      <c r="F712" s="2685">
        <f t="shared" si="51"/>
        <v>100</v>
      </c>
      <c r="G712" s="2685">
        <v>100</v>
      </c>
      <c r="H712" s="1463"/>
      <c r="J712" s="995"/>
      <c r="K712" s="995"/>
    </row>
    <row r="713" spans="1:11" s="27" customFormat="1" ht="10.5" hidden="1" customHeight="1" x14ac:dyDescent="0.25">
      <c r="A713" s="6"/>
      <c r="B713" s="441"/>
      <c r="C713" s="2476"/>
      <c r="D713" s="4071"/>
      <c r="E713" s="2708"/>
      <c r="F713" s="2708"/>
      <c r="G713" s="2708"/>
      <c r="H713" s="1463"/>
      <c r="J713" s="995"/>
      <c r="K713" s="995"/>
    </row>
    <row r="714" spans="1:11" s="27" customFormat="1" ht="20.25" customHeight="1" x14ac:dyDescent="0.25">
      <c r="A714" s="6"/>
      <c r="B714" s="441"/>
      <c r="C714" s="2477" t="s">
        <v>527</v>
      </c>
      <c r="D714" s="4300">
        <f>D715</f>
        <v>44500000</v>
      </c>
      <c r="E714" s="2821">
        <f>E715</f>
        <v>44500000</v>
      </c>
      <c r="F714" s="2679">
        <f t="shared" si="51"/>
        <v>100</v>
      </c>
      <c r="G714" s="2934">
        <f>G715</f>
        <v>100</v>
      </c>
      <c r="H714" s="3711"/>
      <c r="J714" s="995"/>
      <c r="K714" s="995"/>
    </row>
    <row r="715" spans="1:11" s="27" customFormat="1" ht="17.25" hidden="1" customHeight="1" x14ac:dyDescent="0.25">
      <c r="A715" s="6"/>
      <c r="B715" s="449"/>
      <c r="C715" s="2473" t="s">
        <v>528</v>
      </c>
      <c r="D715" s="4066">
        <v>44500000</v>
      </c>
      <c r="E715" s="2690">
        <v>44500000</v>
      </c>
      <c r="F715" s="2685">
        <f t="shared" si="51"/>
        <v>100</v>
      </c>
      <c r="G715" s="2685">
        <v>100</v>
      </c>
      <c r="H715" s="1463"/>
      <c r="J715" s="995"/>
      <c r="K715" s="995"/>
    </row>
    <row r="716" spans="1:11" s="27" customFormat="1" ht="7.5" hidden="1" customHeight="1" x14ac:dyDescent="0.25">
      <c r="A716" s="6"/>
      <c r="B716" s="449"/>
      <c r="C716" s="2473"/>
      <c r="D716" s="4066"/>
      <c r="E716" s="2685"/>
      <c r="F716" s="2685"/>
      <c r="G716" s="2685"/>
      <c r="H716" s="1463"/>
      <c r="J716" s="995"/>
      <c r="K716" s="995"/>
    </row>
    <row r="717" spans="1:11" s="27" customFormat="1" ht="17.25" customHeight="1" x14ac:dyDescent="0.25">
      <c r="A717" s="6"/>
      <c r="B717" s="441"/>
      <c r="C717" s="2478" t="s">
        <v>529</v>
      </c>
      <c r="D717" s="4305">
        <f>D718</f>
        <v>25000000</v>
      </c>
      <c r="E717" s="2785">
        <f>E718</f>
        <v>25000000</v>
      </c>
      <c r="F717" s="2679">
        <f t="shared" si="51"/>
        <v>100</v>
      </c>
      <c r="G717" s="2725">
        <f>G718</f>
        <v>100</v>
      </c>
      <c r="H717" s="3712"/>
      <c r="J717" s="995"/>
      <c r="K717" s="995"/>
    </row>
    <row r="718" spans="1:11" s="27" customFormat="1" ht="19.5" hidden="1" customHeight="1" x14ac:dyDescent="0.25">
      <c r="A718" s="6"/>
      <c r="B718" s="441"/>
      <c r="C718" s="2476" t="s">
        <v>530</v>
      </c>
      <c r="D718" s="4071">
        <v>25000000</v>
      </c>
      <c r="E718" s="2685">
        <v>25000000</v>
      </c>
      <c r="F718" s="2685">
        <f t="shared" si="51"/>
        <v>100</v>
      </c>
      <c r="G718" s="2685">
        <v>100</v>
      </c>
      <c r="H718" s="1463"/>
      <c r="J718" s="995"/>
      <c r="K718" s="995"/>
    </row>
    <row r="719" spans="1:11" s="27" customFormat="1" ht="9.75" hidden="1" customHeight="1" x14ac:dyDescent="0.25">
      <c r="A719" s="6"/>
      <c r="B719" s="441"/>
      <c r="C719" s="2476"/>
      <c r="D719" s="4071"/>
      <c r="E719" s="2708"/>
      <c r="F719" s="2708"/>
      <c r="G719" s="2708"/>
      <c r="H719" s="1463"/>
      <c r="J719" s="995"/>
      <c r="K719" s="995"/>
    </row>
    <row r="720" spans="1:11" s="27" customFormat="1" ht="17.25" customHeight="1" x14ac:dyDescent="0.25">
      <c r="A720" s="6"/>
      <c r="B720" s="441"/>
      <c r="C720" s="2477" t="s">
        <v>531</v>
      </c>
      <c r="D720" s="4300">
        <f>D721</f>
        <v>116800000</v>
      </c>
      <c r="E720" s="2821">
        <f>E721</f>
        <v>116800000</v>
      </c>
      <c r="F720" s="2679">
        <f t="shared" si="51"/>
        <v>100</v>
      </c>
      <c r="G720" s="2934">
        <f>G721</f>
        <v>100</v>
      </c>
      <c r="H720" s="3711"/>
      <c r="J720" s="995"/>
      <c r="K720" s="995"/>
    </row>
    <row r="721" spans="1:11" s="27" customFormat="1" ht="17.25" hidden="1" customHeight="1" x14ac:dyDescent="0.25">
      <c r="A721" s="6"/>
      <c r="B721" s="449"/>
      <c r="C721" s="2473" t="s">
        <v>532</v>
      </c>
      <c r="D721" s="4066">
        <v>116800000</v>
      </c>
      <c r="E721" s="2685">
        <v>116800000</v>
      </c>
      <c r="F721" s="2685">
        <f t="shared" si="51"/>
        <v>100</v>
      </c>
      <c r="G721" s="2685">
        <v>100</v>
      </c>
      <c r="H721" s="1463"/>
      <c r="J721" s="995"/>
      <c r="K721" s="995"/>
    </row>
    <row r="722" spans="1:11" s="27" customFormat="1" ht="9" hidden="1" customHeight="1" x14ac:dyDescent="0.25">
      <c r="A722" s="6"/>
      <c r="B722" s="449"/>
      <c r="C722" s="2473"/>
      <c r="D722" s="4066"/>
      <c r="E722" s="2685"/>
      <c r="F722" s="2685"/>
      <c r="G722" s="2685"/>
      <c r="H722" s="1463"/>
      <c r="J722" s="995"/>
      <c r="K722" s="995"/>
    </row>
    <row r="723" spans="1:11" s="27" customFormat="1" ht="17.25" customHeight="1" x14ac:dyDescent="0.25">
      <c r="A723" s="6"/>
      <c r="B723" s="441"/>
      <c r="C723" s="2478" t="s">
        <v>533</v>
      </c>
      <c r="D723" s="4305">
        <f>D724</f>
        <v>26150000</v>
      </c>
      <c r="E723" s="2722">
        <f>E724</f>
        <v>26150000</v>
      </c>
      <c r="F723" s="2725">
        <f t="shared" ref="F723:F724" si="52">E723/D723*100</f>
        <v>100</v>
      </c>
      <c r="G723" s="2722">
        <f>G724</f>
        <v>100</v>
      </c>
      <c r="H723" s="3712"/>
      <c r="J723" s="995"/>
      <c r="K723" s="995"/>
    </row>
    <row r="724" spans="1:11" s="27" customFormat="1" ht="17.25" hidden="1" customHeight="1" x14ac:dyDescent="0.25">
      <c r="A724" s="6"/>
      <c r="B724" s="441"/>
      <c r="C724" s="2476" t="s">
        <v>534</v>
      </c>
      <c r="D724" s="4071">
        <v>26150000</v>
      </c>
      <c r="E724" s="2708">
        <v>26150000</v>
      </c>
      <c r="F724" s="2685">
        <f t="shared" si="52"/>
        <v>100</v>
      </c>
      <c r="G724" s="2708">
        <v>100</v>
      </c>
      <c r="H724" s="1463"/>
      <c r="J724" s="995"/>
      <c r="K724" s="995"/>
    </row>
    <row r="725" spans="1:11" s="27" customFormat="1" ht="13.5" hidden="1" customHeight="1" x14ac:dyDescent="0.25">
      <c r="A725" s="6"/>
      <c r="B725" s="441"/>
      <c r="C725" s="2476"/>
      <c r="D725" s="4071"/>
      <c r="E725" s="2708"/>
      <c r="F725" s="2708"/>
      <c r="G725" s="2708"/>
      <c r="H725" s="1463"/>
      <c r="J725" s="995"/>
      <c r="K725" s="995"/>
    </row>
    <row r="726" spans="1:11" s="27" customFormat="1" ht="17.25" customHeight="1" x14ac:dyDescent="0.25">
      <c r="A726" s="6"/>
      <c r="B726" s="440"/>
      <c r="C726" s="2471" t="s">
        <v>535</v>
      </c>
      <c r="D726" s="4106">
        <f>SUM(D727+D730+D733+D736+D739+D742)</f>
        <v>355348500</v>
      </c>
      <c r="E726" s="2672">
        <f>SUM(E727+E730+E733+E736+E739+E742)</f>
        <v>355348500</v>
      </c>
      <c r="F726" s="2719">
        <f>E726/D726*100</f>
        <v>100</v>
      </c>
      <c r="G726" s="2719">
        <f>SUM(G727+G730+G733+G736+G739+G742)/6</f>
        <v>100</v>
      </c>
      <c r="H726" s="1463"/>
      <c r="J726" s="995"/>
      <c r="K726" s="995"/>
    </row>
    <row r="727" spans="1:11" s="27" customFormat="1" ht="18" customHeight="1" x14ac:dyDescent="0.25">
      <c r="A727" s="6"/>
      <c r="B727" s="441"/>
      <c r="C727" s="2472" t="s">
        <v>536</v>
      </c>
      <c r="D727" s="4072">
        <f>D728</f>
        <v>30000000</v>
      </c>
      <c r="E727" s="2734">
        <f>E728</f>
        <v>30000000</v>
      </c>
      <c r="F727" s="2725">
        <f t="shared" ref="F727:F728" si="53">E727/D727*100</f>
        <v>100</v>
      </c>
      <c r="G727" s="2679">
        <f>G728</f>
        <v>100</v>
      </c>
      <c r="H727" s="1463"/>
      <c r="J727" s="995"/>
      <c r="K727" s="995"/>
    </row>
    <row r="728" spans="1:11" s="27" customFormat="1" ht="17.25" hidden="1" customHeight="1" x14ac:dyDescent="0.25">
      <c r="A728" s="6"/>
      <c r="B728" s="441"/>
      <c r="C728" s="2473" t="s">
        <v>537</v>
      </c>
      <c r="D728" s="4066">
        <v>30000000</v>
      </c>
      <c r="E728" s="2690">
        <v>30000000</v>
      </c>
      <c r="F728" s="2685">
        <f t="shared" si="53"/>
        <v>100</v>
      </c>
      <c r="G728" s="2685">
        <v>100</v>
      </c>
      <c r="H728" s="1463"/>
      <c r="J728" s="995"/>
      <c r="K728" s="995"/>
    </row>
    <row r="729" spans="1:11" ht="9" hidden="1" customHeight="1" x14ac:dyDescent="0.25">
      <c r="B729" s="441"/>
      <c r="C729" s="2476"/>
      <c r="D729" s="4071"/>
      <c r="E729" s="2830"/>
      <c r="F729" s="2708"/>
      <c r="G729" s="2708"/>
      <c r="H729" s="1463"/>
    </row>
    <row r="730" spans="1:11" ht="18.75" customHeight="1" x14ac:dyDescent="0.25">
      <c r="B730" s="441"/>
      <c r="C730" s="2474" t="s">
        <v>538</v>
      </c>
      <c r="D730" s="4065">
        <f>D731</f>
        <v>96000000</v>
      </c>
      <c r="E730" s="2679">
        <f>E731</f>
        <v>96000000</v>
      </c>
      <c r="F730" s="2679">
        <f t="shared" ref="F730:F737" si="54">E730/D730*100</f>
        <v>100</v>
      </c>
      <c r="G730" s="2679">
        <f>G731</f>
        <v>100</v>
      </c>
      <c r="H730" s="1463"/>
    </row>
    <row r="731" spans="1:11" ht="16.5" hidden="1" customHeight="1" x14ac:dyDescent="0.25">
      <c r="B731" s="441"/>
      <c r="C731" s="2473" t="s">
        <v>539</v>
      </c>
      <c r="D731" s="4066">
        <v>96000000</v>
      </c>
      <c r="E731" s="3140">
        <v>96000000</v>
      </c>
      <c r="F731" s="2685">
        <f t="shared" si="54"/>
        <v>100</v>
      </c>
      <c r="G731" s="2685">
        <v>100</v>
      </c>
      <c r="H731" s="1463"/>
    </row>
    <row r="732" spans="1:11" ht="9.75" hidden="1" customHeight="1" x14ac:dyDescent="0.25">
      <c r="B732" s="441"/>
      <c r="C732" s="2473"/>
      <c r="D732" s="4066"/>
      <c r="E732" s="2685"/>
      <c r="F732" s="2685"/>
      <c r="G732" s="2685"/>
      <c r="H732" s="1463"/>
    </row>
    <row r="733" spans="1:11" ht="21" customHeight="1" x14ac:dyDescent="0.25">
      <c r="B733" s="441"/>
      <c r="C733" s="2474" t="s">
        <v>540</v>
      </c>
      <c r="D733" s="4065">
        <f>D734</f>
        <v>67000000</v>
      </c>
      <c r="E733" s="2679">
        <f>E734</f>
        <v>67000000</v>
      </c>
      <c r="F733" s="2679">
        <f t="shared" si="54"/>
        <v>100</v>
      </c>
      <c r="G733" s="2679">
        <f>G734</f>
        <v>100</v>
      </c>
      <c r="H733" s="1463"/>
    </row>
    <row r="734" spans="1:11" ht="18" hidden="1" customHeight="1" x14ac:dyDescent="0.25">
      <c r="B734" s="441"/>
      <c r="C734" s="2473" t="s">
        <v>541</v>
      </c>
      <c r="D734" s="4066">
        <v>67000000</v>
      </c>
      <c r="E734" s="3140">
        <v>67000000</v>
      </c>
      <c r="F734" s="2685">
        <f t="shared" si="54"/>
        <v>100</v>
      </c>
      <c r="G734" s="2685">
        <v>100</v>
      </c>
      <c r="H734" s="1463"/>
    </row>
    <row r="735" spans="1:11" ht="6" hidden="1" customHeight="1" x14ac:dyDescent="0.25">
      <c r="B735" s="441"/>
      <c r="C735" s="2473"/>
      <c r="D735" s="4066"/>
      <c r="E735" s="2685"/>
      <c r="F735" s="2685"/>
      <c r="G735" s="2685"/>
      <c r="H735" s="1463"/>
    </row>
    <row r="736" spans="1:11" ht="15.75" customHeight="1" x14ac:dyDescent="0.25">
      <c r="B736" s="441"/>
      <c r="C736" s="2474" t="s">
        <v>542</v>
      </c>
      <c r="D736" s="4065">
        <f>D737</f>
        <v>60000000</v>
      </c>
      <c r="E736" s="2695">
        <f>E737</f>
        <v>60000000</v>
      </c>
      <c r="F736" s="2679">
        <f t="shared" si="54"/>
        <v>100</v>
      </c>
      <c r="G736" s="2679">
        <f>G737</f>
        <v>100</v>
      </c>
      <c r="H736" s="1463"/>
    </row>
    <row r="737" spans="1:11" ht="17.25" hidden="1" customHeight="1" x14ac:dyDescent="0.25">
      <c r="B737" s="441"/>
      <c r="C737" s="2473" t="s">
        <v>543</v>
      </c>
      <c r="D737" s="4066">
        <v>60000000</v>
      </c>
      <c r="E737" s="2690">
        <v>60000000</v>
      </c>
      <c r="F737" s="2685">
        <f t="shared" si="54"/>
        <v>100</v>
      </c>
      <c r="G737" s="2685">
        <v>100</v>
      </c>
      <c r="H737" s="1463"/>
    </row>
    <row r="738" spans="1:11" ht="10.5" hidden="1" customHeight="1" x14ac:dyDescent="0.25">
      <c r="B738" s="441"/>
      <c r="C738" s="2473"/>
      <c r="D738" s="4066"/>
      <c r="E738" s="2685"/>
      <c r="F738" s="2679"/>
      <c r="G738" s="2685"/>
      <c r="H738" s="1463"/>
    </row>
    <row r="739" spans="1:11" ht="18.75" customHeight="1" x14ac:dyDescent="0.25">
      <c r="B739" s="441"/>
      <c r="C739" s="2474" t="s">
        <v>544</v>
      </c>
      <c r="D739" s="4065">
        <f>D740</f>
        <v>50000000</v>
      </c>
      <c r="E739" s="2679">
        <f>E740</f>
        <v>50000000</v>
      </c>
      <c r="F739" s="2679">
        <f t="shared" ref="F739:F740" si="55">E739/D739*100</f>
        <v>100</v>
      </c>
      <c r="G739" s="2679">
        <f>G740</f>
        <v>100</v>
      </c>
      <c r="H739" s="1463"/>
    </row>
    <row r="740" spans="1:11" ht="19.5" hidden="1" customHeight="1" x14ac:dyDescent="0.25">
      <c r="B740" s="441"/>
      <c r="C740" s="2473" t="s">
        <v>545</v>
      </c>
      <c r="D740" s="4066">
        <v>50000000</v>
      </c>
      <c r="E740" s="3140">
        <v>50000000</v>
      </c>
      <c r="F740" s="2685">
        <f t="shared" si="55"/>
        <v>100</v>
      </c>
      <c r="G740" s="2685">
        <v>100</v>
      </c>
      <c r="H740" s="1463"/>
    </row>
    <row r="741" spans="1:11" ht="9.75" hidden="1" customHeight="1" x14ac:dyDescent="0.25">
      <c r="B741" s="441"/>
      <c r="C741" s="2473"/>
      <c r="D741" s="4066"/>
      <c r="E741" s="2685"/>
      <c r="F741" s="2685"/>
      <c r="G741" s="2685"/>
      <c r="H741" s="1463"/>
    </row>
    <row r="742" spans="1:11" ht="20.25" customHeight="1" x14ac:dyDescent="0.25">
      <c r="B742" s="441"/>
      <c r="C742" s="2474" t="s">
        <v>546</v>
      </c>
      <c r="D742" s="4065">
        <f>SUM(D743:D744)</f>
        <v>52348500</v>
      </c>
      <c r="E742" s="2695">
        <f>SUM(E743:E744)</f>
        <v>52348500</v>
      </c>
      <c r="F742" s="2679">
        <f t="shared" ref="F742:F744" si="56">E742/D742*100</f>
        <v>100</v>
      </c>
      <c r="G742" s="2679">
        <f>SUM(G743:G744)/2</f>
        <v>100</v>
      </c>
      <c r="H742" s="1463"/>
    </row>
    <row r="743" spans="1:11" ht="15.75" hidden="1" customHeight="1" x14ac:dyDescent="0.25">
      <c r="B743" s="441"/>
      <c r="C743" s="2473" t="s">
        <v>547</v>
      </c>
      <c r="D743" s="4066">
        <v>46000000</v>
      </c>
      <c r="E743" s="3140">
        <v>46000000</v>
      </c>
      <c r="F743" s="2685">
        <f t="shared" si="56"/>
        <v>100</v>
      </c>
      <c r="G743" s="2685">
        <v>100</v>
      </c>
      <c r="H743" s="1463"/>
    </row>
    <row r="744" spans="1:11" ht="21" hidden="1" customHeight="1" x14ac:dyDescent="0.25">
      <c r="B744" s="441"/>
      <c r="C744" s="2473" t="s">
        <v>548</v>
      </c>
      <c r="D744" s="4066">
        <v>6348500</v>
      </c>
      <c r="E744" s="3140">
        <v>6348500</v>
      </c>
      <c r="F744" s="2685">
        <f t="shared" si="56"/>
        <v>100</v>
      </c>
      <c r="G744" s="2685">
        <v>100</v>
      </c>
      <c r="H744" s="1463"/>
    </row>
    <row r="745" spans="1:11" ht="13.5" hidden="1" customHeight="1" x14ac:dyDescent="0.25">
      <c r="B745" s="441"/>
      <c r="C745" s="2475"/>
      <c r="D745" s="4301"/>
      <c r="E745" s="2830"/>
      <c r="F745" s="2830"/>
      <c r="G745" s="2830"/>
      <c r="H745" s="1463"/>
    </row>
    <row r="746" spans="1:11" s="27" customFormat="1" ht="15.75" customHeight="1" x14ac:dyDescent="0.25">
      <c r="A746" s="6"/>
      <c r="B746" s="440"/>
      <c r="C746" s="2471" t="s">
        <v>549</v>
      </c>
      <c r="D746" s="4106">
        <f>SUM(D747+D750+D753+D756+D759+D762+D765)</f>
        <v>312378000</v>
      </c>
      <c r="E746" s="2672">
        <f>SUM(E747+E750+E753+E756+E759+E762+E765)</f>
        <v>312378000</v>
      </c>
      <c r="F746" s="2719">
        <f>E746/D746*100</f>
        <v>100</v>
      </c>
      <c r="G746" s="2719">
        <f>SUM(G747+G750+G753+G756+G759+G762+G765)/7</f>
        <v>100</v>
      </c>
      <c r="H746" s="1463"/>
      <c r="J746" s="995"/>
      <c r="K746" s="995"/>
    </row>
    <row r="747" spans="1:11" s="27" customFormat="1" ht="18" customHeight="1" x14ac:dyDescent="0.25">
      <c r="A747" s="6"/>
      <c r="B747" s="441"/>
      <c r="C747" s="2472" t="s">
        <v>550</v>
      </c>
      <c r="D747" s="4072">
        <f>D748</f>
        <v>20000000</v>
      </c>
      <c r="E747" s="2734">
        <f>E748</f>
        <v>20000000</v>
      </c>
      <c r="F747" s="2725">
        <f t="shared" ref="F747:F748" si="57">E747/D747*100</f>
        <v>100</v>
      </c>
      <c r="G747" s="2679">
        <f>G748</f>
        <v>100</v>
      </c>
      <c r="H747" s="1463"/>
      <c r="J747" s="995"/>
      <c r="K747" s="995"/>
    </row>
    <row r="748" spans="1:11" s="27" customFormat="1" ht="17.25" hidden="1" customHeight="1" x14ac:dyDescent="0.25">
      <c r="A748" s="6"/>
      <c r="B748" s="441"/>
      <c r="C748" s="2473" t="s">
        <v>551</v>
      </c>
      <c r="D748" s="4066">
        <v>20000000</v>
      </c>
      <c r="E748" s="2690">
        <v>20000000</v>
      </c>
      <c r="F748" s="2685">
        <f t="shared" si="57"/>
        <v>100</v>
      </c>
      <c r="G748" s="2685">
        <v>100</v>
      </c>
      <c r="H748" s="1463"/>
      <c r="J748" s="995"/>
      <c r="K748" s="995"/>
    </row>
    <row r="749" spans="1:11" s="27" customFormat="1" ht="12" hidden="1" customHeight="1" x14ac:dyDescent="0.25">
      <c r="A749" s="6"/>
      <c r="B749" s="441"/>
      <c r="C749" s="2476"/>
      <c r="D749" s="4066"/>
      <c r="E749" s="2855"/>
      <c r="F749" s="2685"/>
      <c r="G749" s="2685"/>
      <c r="H749" s="1463"/>
      <c r="J749" s="995"/>
      <c r="K749" s="995"/>
    </row>
    <row r="750" spans="1:11" s="27" customFormat="1" ht="17.25" customHeight="1" x14ac:dyDescent="0.25">
      <c r="A750" s="6"/>
      <c r="B750" s="441"/>
      <c r="C750" s="2474" t="s">
        <v>552</v>
      </c>
      <c r="D750" s="4065">
        <f>D751</f>
        <v>60000000</v>
      </c>
      <c r="E750" s="3250">
        <f>E751</f>
        <v>60000000</v>
      </c>
      <c r="F750" s="2679">
        <f t="shared" ref="F750:F751" si="58">E750/D750*100</f>
        <v>100</v>
      </c>
      <c r="G750" s="2679">
        <f>G751</f>
        <v>100</v>
      </c>
      <c r="H750" s="1463"/>
      <c r="J750" s="995"/>
      <c r="K750" s="995"/>
    </row>
    <row r="751" spans="1:11" s="27" customFormat="1" ht="16.5" hidden="1" customHeight="1" x14ac:dyDescent="0.25">
      <c r="A751" s="6"/>
      <c r="B751" s="441"/>
      <c r="C751" s="2473" t="s">
        <v>553</v>
      </c>
      <c r="D751" s="4066">
        <v>60000000</v>
      </c>
      <c r="E751" s="2855">
        <v>60000000</v>
      </c>
      <c r="F751" s="2685">
        <f t="shared" si="58"/>
        <v>100</v>
      </c>
      <c r="G751" s="2685">
        <v>100</v>
      </c>
      <c r="H751" s="1463"/>
      <c r="J751" s="995"/>
      <c r="K751" s="995"/>
    </row>
    <row r="752" spans="1:11" s="27" customFormat="1" ht="10.5" hidden="1" customHeight="1" x14ac:dyDescent="0.25">
      <c r="A752" s="6"/>
      <c r="B752" s="441"/>
      <c r="C752" s="2475"/>
      <c r="D752" s="4301"/>
      <c r="E752" s="2924"/>
      <c r="F752" s="2830"/>
      <c r="G752" s="2830"/>
      <c r="H752" s="1463"/>
      <c r="J752" s="995"/>
      <c r="K752" s="995"/>
    </row>
    <row r="753" spans="1:11" s="27" customFormat="1" ht="15.75" customHeight="1" x14ac:dyDescent="0.25">
      <c r="A753" s="6"/>
      <c r="B753" s="441"/>
      <c r="C753" s="2474" t="s">
        <v>554</v>
      </c>
      <c r="D753" s="4065">
        <f>D754</f>
        <v>60000000</v>
      </c>
      <c r="E753" s="3250">
        <f>E754</f>
        <v>60000000</v>
      </c>
      <c r="F753" s="2679">
        <f t="shared" ref="F753:F760" si="59">E753/D753*100</f>
        <v>100</v>
      </c>
      <c r="G753" s="2679">
        <f>G754</f>
        <v>100</v>
      </c>
      <c r="H753" s="1463"/>
      <c r="J753" s="995"/>
      <c r="K753" s="995"/>
    </row>
    <row r="754" spans="1:11" s="27" customFormat="1" ht="20.25" hidden="1" customHeight="1" x14ac:dyDescent="0.25">
      <c r="A754" s="6"/>
      <c r="B754" s="441"/>
      <c r="C754" s="2473" t="s">
        <v>555</v>
      </c>
      <c r="D754" s="4066">
        <v>60000000</v>
      </c>
      <c r="E754" s="2855">
        <v>60000000</v>
      </c>
      <c r="F754" s="2685">
        <f t="shared" si="59"/>
        <v>100</v>
      </c>
      <c r="G754" s="2685">
        <v>100</v>
      </c>
      <c r="H754" s="1463"/>
      <c r="J754" s="995"/>
      <c r="K754" s="995"/>
    </row>
    <row r="755" spans="1:11" s="27" customFormat="1" ht="12" hidden="1" customHeight="1" x14ac:dyDescent="0.25">
      <c r="A755" s="6"/>
      <c r="B755" s="441"/>
      <c r="C755" s="2473"/>
      <c r="D755" s="4066"/>
      <c r="E755" s="2855"/>
      <c r="F755" s="2685"/>
      <c r="G755" s="2685"/>
      <c r="H755" s="1463"/>
      <c r="J755" s="995"/>
      <c r="K755" s="995"/>
    </row>
    <row r="756" spans="1:11" s="27" customFormat="1" x14ac:dyDescent="0.25">
      <c r="A756" s="6"/>
      <c r="B756" s="441"/>
      <c r="C756" s="2474" t="s">
        <v>556</v>
      </c>
      <c r="D756" s="4065">
        <f>D757</f>
        <v>50378000</v>
      </c>
      <c r="E756" s="2695">
        <f>E757</f>
        <v>50378000</v>
      </c>
      <c r="F756" s="2679">
        <f t="shared" si="59"/>
        <v>100</v>
      </c>
      <c r="G756" s="2679">
        <f>G757</f>
        <v>100</v>
      </c>
      <c r="H756" s="1463"/>
      <c r="J756" s="995"/>
      <c r="K756" s="995"/>
    </row>
    <row r="757" spans="1:11" s="27" customFormat="1" ht="18.75" hidden="1" customHeight="1" x14ac:dyDescent="0.25">
      <c r="A757" s="6"/>
      <c r="B757" s="441"/>
      <c r="C757" s="2476" t="s">
        <v>557</v>
      </c>
      <c r="D757" s="4071">
        <v>50378000</v>
      </c>
      <c r="E757" s="2710">
        <v>50378000</v>
      </c>
      <c r="F757" s="2685">
        <f t="shared" si="59"/>
        <v>100</v>
      </c>
      <c r="G757" s="2708">
        <v>100</v>
      </c>
      <c r="H757" s="3711"/>
      <c r="J757" s="995"/>
      <c r="K757" s="995"/>
    </row>
    <row r="758" spans="1:11" s="27" customFormat="1" ht="10.5" hidden="1" customHeight="1" x14ac:dyDescent="0.25">
      <c r="A758" s="6"/>
      <c r="B758" s="449"/>
      <c r="C758" s="2473"/>
      <c r="D758" s="4066"/>
      <c r="E758" s="2855"/>
      <c r="F758" s="2685"/>
      <c r="G758" s="2685"/>
      <c r="H758" s="1463"/>
      <c r="J758" s="995"/>
      <c r="K758" s="995"/>
    </row>
    <row r="759" spans="1:11" s="27" customFormat="1" ht="23.25" customHeight="1" x14ac:dyDescent="0.25">
      <c r="A759" s="6"/>
      <c r="B759" s="441"/>
      <c r="C759" s="2472" t="s">
        <v>558</v>
      </c>
      <c r="D759" s="4072">
        <f>D760</f>
        <v>42000000</v>
      </c>
      <c r="E759" s="2734">
        <f>E760</f>
        <v>42000000</v>
      </c>
      <c r="F759" s="2679">
        <f t="shared" si="59"/>
        <v>100</v>
      </c>
      <c r="G759" s="2725">
        <f>G760</f>
        <v>100</v>
      </c>
      <c r="H759" s="3712"/>
      <c r="J759" s="995"/>
      <c r="K759" s="995"/>
    </row>
    <row r="760" spans="1:11" s="27" customFormat="1" ht="16.5" hidden="1" customHeight="1" x14ac:dyDescent="0.25">
      <c r="A760" s="6"/>
      <c r="B760" s="441"/>
      <c r="C760" s="2473" t="s">
        <v>559</v>
      </c>
      <c r="D760" s="4066">
        <v>42000000</v>
      </c>
      <c r="E760" s="2690">
        <v>42000000</v>
      </c>
      <c r="F760" s="2685">
        <f t="shared" si="59"/>
        <v>100</v>
      </c>
      <c r="G760" s="2685">
        <v>100</v>
      </c>
      <c r="H760" s="1463"/>
      <c r="J760" s="995"/>
      <c r="K760" s="995"/>
    </row>
    <row r="761" spans="1:11" s="27" customFormat="1" ht="11.25" hidden="1" customHeight="1" x14ac:dyDescent="0.25">
      <c r="A761" s="6"/>
      <c r="B761" s="441"/>
      <c r="C761" s="2473"/>
      <c r="D761" s="4066"/>
      <c r="E761" s="2855"/>
      <c r="F761" s="2685"/>
      <c r="G761" s="2685"/>
      <c r="H761" s="1463"/>
      <c r="J761" s="995"/>
      <c r="K761" s="995"/>
    </row>
    <row r="762" spans="1:11" s="27" customFormat="1" ht="18.75" customHeight="1" x14ac:dyDescent="0.25">
      <c r="A762" s="6"/>
      <c r="B762" s="441"/>
      <c r="C762" s="2474" t="s">
        <v>560</v>
      </c>
      <c r="D762" s="4065">
        <f>D763</f>
        <v>40000000</v>
      </c>
      <c r="E762" s="3250">
        <f>E763</f>
        <v>40000000</v>
      </c>
      <c r="F762" s="2679">
        <f t="shared" ref="F762:F763" si="60">E762/D762*100</f>
        <v>100</v>
      </c>
      <c r="G762" s="2679">
        <f>G763</f>
        <v>100</v>
      </c>
      <c r="H762" s="1463"/>
      <c r="J762" s="995"/>
      <c r="K762" s="995"/>
    </row>
    <row r="763" spans="1:11" s="27" customFormat="1" ht="16.5" hidden="1" customHeight="1" x14ac:dyDescent="0.25">
      <c r="A763" s="6"/>
      <c r="B763" s="441"/>
      <c r="C763" s="2473" t="s">
        <v>561</v>
      </c>
      <c r="D763" s="4066">
        <v>40000000</v>
      </c>
      <c r="E763" s="2855">
        <v>40000000</v>
      </c>
      <c r="F763" s="2685">
        <f t="shared" si="60"/>
        <v>100</v>
      </c>
      <c r="G763" s="2685">
        <v>100</v>
      </c>
      <c r="H763" s="1463"/>
      <c r="J763" s="995"/>
      <c r="K763" s="995"/>
    </row>
    <row r="764" spans="1:11" s="27" customFormat="1" ht="10.5" hidden="1" customHeight="1" x14ac:dyDescent="0.25">
      <c r="A764" s="6"/>
      <c r="B764" s="441"/>
      <c r="C764" s="2473"/>
      <c r="D764" s="4066"/>
      <c r="E764" s="2855"/>
      <c r="F764" s="2685"/>
      <c r="G764" s="2685"/>
      <c r="H764" s="1463"/>
      <c r="J764" s="995"/>
      <c r="K764" s="995"/>
    </row>
    <row r="765" spans="1:11" s="27" customFormat="1" ht="18.75" customHeight="1" x14ac:dyDescent="0.25">
      <c r="A765" s="6"/>
      <c r="B765" s="441"/>
      <c r="C765" s="2474" t="s">
        <v>562</v>
      </c>
      <c r="D765" s="4065">
        <f>D766</f>
        <v>40000000</v>
      </c>
      <c r="E765" s="2695">
        <f>E766</f>
        <v>40000000</v>
      </c>
      <c r="F765" s="2679">
        <f>E765/D765*100</f>
        <v>100</v>
      </c>
      <c r="G765" s="2679">
        <v>100</v>
      </c>
      <c r="H765" s="1463"/>
      <c r="J765" s="995"/>
      <c r="K765" s="995"/>
    </row>
    <row r="766" spans="1:11" s="27" customFormat="1" ht="17.25" hidden="1" customHeight="1" x14ac:dyDescent="0.25">
      <c r="A766" s="6"/>
      <c r="B766" s="441"/>
      <c r="C766" s="2473" t="s">
        <v>563</v>
      </c>
      <c r="D766" s="4066">
        <v>40000000</v>
      </c>
      <c r="E766" s="2690">
        <v>40000000</v>
      </c>
      <c r="F766" s="2685">
        <f>E766/D766*100</f>
        <v>100</v>
      </c>
      <c r="G766" s="2685">
        <v>100</v>
      </c>
      <c r="H766" s="1463"/>
      <c r="J766" s="995"/>
      <c r="K766" s="995"/>
    </row>
    <row r="767" spans="1:11" ht="13.5" hidden="1" customHeight="1" x14ac:dyDescent="0.25">
      <c r="B767" s="441"/>
      <c r="C767" s="2475"/>
      <c r="D767" s="4301"/>
      <c r="E767" s="2830"/>
      <c r="F767" s="2830"/>
      <c r="G767" s="2830"/>
      <c r="H767" s="1463"/>
    </row>
    <row r="768" spans="1:11" s="27" customFormat="1" ht="17.25" customHeight="1" x14ac:dyDescent="0.25">
      <c r="A768" s="6"/>
      <c r="B768" s="440"/>
      <c r="C768" s="2520" t="s">
        <v>564</v>
      </c>
      <c r="D768" s="4304">
        <f>SUM(D769+D772+D775+D778+D782)</f>
        <v>440000000</v>
      </c>
      <c r="E768" s="3985">
        <f>SUM(E769+E772+E775+E778+E782)</f>
        <v>440000000</v>
      </c>
      <c r="F768" s="2719">
        <f>E768/D768*100</f>
        <v>100</v>
      </c>
      <c r="G768" s="2719">
        <f>SUM(G769+G772+G775+G778+G782)/5</f>
        <v>100</v>
      </c>
      <c r="H768" s="1463"/>
      <c r="J768" s="995"/>
      <c r="K768" s="995"/>
    </row>
    <row r="769" spans="1:11" s="27" customFormat="1" ht="19.5" customHeight="1" x14ac:dyDescent="0.25">
      <c r="A769" s="6"/>
      <c r="B769" s="441"/>
      <c r="C769" s="2478" t="s">
        <v>565</v>
      </c>
      <c r="D769" s="4314">
        <f>D770</f>
        <v>60000000</v>
      </c>
      <c r="E769" s="2722">
        <f>E770</f>
        <v>60000000</v>
      </c>
      <c r="F769" s="2679">
        <f>E769/D769*100</f>
        <v>100</v>
      </c>
      <c r="G769" s="2722">
        <f>G770</f>
        <v>100</v>
      </c>
      <c r="H769" s="1463"/>
      <c r="J769" s="995"/>
      <c r="K769" s="995"/>
    </row>
    <row r="770" spans="1:11" s="27" customFormat="1" ht="15.75" hidden="1" customHeight="1" x14ac:dyDescent="0.25">
      <c r="A770" s="6"/>
      <c r="B770" s="441"/>
      <c r="C770" s="2476" t="s">
        <v>566</v>
      </c>
      <c r="D770" s="4307">
        <v>60000000</v>
      </c>
      <c r="E770" s="2708">
        <v>60000000</v>
      </c>
      <c r="F770" s="2708">
        <f>E770/D770*100</f>
        <v>100</v>
      </c>
      <c r="G770" s="2708">
        <v>100</v>
      </c>
      <c r="H770" s="3711"/>
      <c r="J770" s="995"/>
      <c r="K770" s="995"/>
    </row>
    <row r="771" spans="1:11" ht="7.5" hidden="1" customHeight="1" x14ac:dyDescent="0.25">
      <c r="B771" s="449"/>
      <c r="C771" s="2473"/>
      <c r="D771" s="4306"/>
      <c r="E771" s="2685"/>
      <c r="F771" s="2685"/>
      <c r="G771" s="2685"/>
      <c r="H771" s="1463"/>
    </row>
    <row r="772" spans="1:11" s="27" customFormat="1" ht="18.75" customHeight="1" x14ac:dyDescent="0.25">
      <c r="A772" s="6"/>
      <c r="B772" s="441"/>
      <c r="C772" s="2478" t="s">
        <v>567</v>
      </c>
      <c r="D772" s="4296">
        <f>D773</f>
        <v>120000000</v>
      </c>
      <c r="E772" s="2722">
        <f>E773</f>
        <v>120000000</v>
      </c>
      <c r="F772" s="2725">
        <f>E772/D772*100</f>
        <v>100</v>
      </c>
      <c r="G772" s="2722">
        <f>G773</f>
        <v>100</v>
      </c>
      <c r="H772" s="3712"/>
      <c r="J772" s="995"/>
      <c r="K772" s="995"/>
    </row>
    <row r="773" spans="1:11" s="27" customFormat="1" ht="15.75" hidden="1" customHeight="1" x14ac:dyDescent="0.25">
      <c r="A773" s="6"/>
      <c r="B773" s="441"/>
      <c r="C773" s="2476" t="s">
        <v>568</v>
      </c>
      <c r="D773" s="4306">
        <v>120000000</v>
      </c>
      <c r="E773" s="3987">
        <v>120000000</v>
      </c>
      <c r="F773" s="2685">
        <f>E773/D773*100</f>
        <v>100</v>
      </c>
      <c r="G773" s="2708">
        <v>100</v>
      </c>
      <c r="H773" s="1463"/>
      <c r="J773" s="995"/>
      <c r="K773" s="995"/>
    </row>
    <row r="774" spans="1:11" s="27" customFormat="1" ht="9.75" hidden="1" customHeight="1" x14ac:dyDescent="0.25">
      <c r="A774" s="6"/>
      <c r="B774" s="441"/>
      <c r="C774" s="2476"/>
      <c r="D774" s="4306"/>
      <c r="E774" s="2708"/>
      <c r="F774" s="2708"/>
      <c r="G774" s="2708"/>
      <c r="H774" s="1463"/>
      <c r="J774" s="995"/>
      <c r="K774" s="995"/>
    </row>
    <row r="775" spans="1:11" s="27" customFormat="1" ht="18.75" customHeight="1" x14ac:dyDescent="0.25">
      <c r="A775" s="6"/>
      <c r="B775" s="441"/>
      <c r="C775" s="2477" t="s">
        <v>569</v>
      </c>
      <c r="D775" s="4297">
        <f>D776</f>
        <v>70000000</v>
      </c>
      <c r="E775" s="2934">
        <f>E776</f>
        <v>70000000</v>
      </c>
      <c r="F775" s="2679">
        <f>E775/D775*100</f>
        <v>100</v>
      </c>
      <c r="G775" s="2934">
        <f>G776</f>
        <v>100</v>
      </c>
      <c r="H775" s="1463"/>
      <c r="J775" s="995"/>
      <c r="K775" s="995"/>
    </row>
    <row r="776" spans="1:11" s="27" customFormat="1" ht="15.75" hidden="1" customHeight="1" x14ac:dyDescent="0.25">
      <c r="A776" s="6"/>
      <c r="B776" s="441"/>
      <c r="C776" s="2476" t="s">
        <v>570</v>
      </c>
      <c r="D776" s="4308">
        <v>70000000</v>
      </c>
      <c r="E776" s="2708">
        <v>70000000</v>
      </c>
      <c r="F776" s="2685">
        <f>E776/D776*100</f>
        <v>100</v>
      </c>
      <c r="G776" s="2708">
        <v>100</v>
      </c>
      <c r="H776" s="1463"/>
      <c r="J776" s="995"/>
      <c r="K776" s="995"/>
    </row>
    <row r="777" spans="1:11" s="27" customFormat="1" ht="10.5" hidden="1" customHeight="1" x14ac:dyDescent="0.25">
      <c r="A777" s="6"/>
      <c r="B777" s="441"/>
      <c r="C777" s="2473"/>
      <c r="D777" s="4306"/>
      <c r="E777" s="2685"/>
      <c r="F777" s="2685"/>
      <c r="G777" s="2685"/>
      <c r="H777" s="1463"/>
      <c r="J777" s="995"/>
      <c r="K777" s="995"/>
    </row>
    <row r="778" spans="1:11" s="27" customFormat="1" ht="16.5" customHeight="1" x14ac:dyDescent="0.25">
      <c r="A778" s="6"/>
      <c r="B778" s="441"/>
      <c r="C778" s="2474" t="s">
        <v>571</v>
      </c>
      <c r="D778" s="4297">
        <f>SUM(D779:D780)</f>
        <v>130000000</v>
      </c>
      <c r="E778" s="3978">
        <f>SUM(E779:E780)</f>
        <v>130000000</v>
      </c>
      <c r="F778" s="2679">
        <f>E778/D778*100</f>
        <v>100</v>
      </c>
      <c r="G778" s="2679">
        <f>SUM(G779:G780)/2</f>
        <v>100</v>
      </c>
      <c r="H778" s="1463"/>
      <c r="J778" s="995"/>
      <c r="K778" s="995"/>
    </row>
    <row r="779" spans="1:11" s="27" customFormat="1" ht="17.25" hidden="1" customHeight="1" x14ac:dyDescent="0.25">
      <c r="A779" s="6"/>
      <c r="B779" s="441"/>
      <c r="C779" s="2473" t="s">
        <v>572</v>
      </c>
      <c r="D779" s="4306">
        <v>80000000</v>
      </c>
      <c r="E779" s="3989">
        <v>80000000</v>
      </c>
      <c r="F779" s="2685">
        <f>E779/D779*100</f>
        <v>100</v>
      </c>
      <c r="G779" s="2685">
        <v>100</v>
      </c>
      <c r="H779" s="1463"/>
      <c r="J779" s="995"/>
      <c r="K779" s="995"/>
    </row>
    <row r="780" spans="1:11" s="27" customFormat="1" ht="15" hidden="1" customHeight="1" x14ac:dyDescent="0.25">
      <c r="A780" s="6"/>
      <c r="B780" s="441"/>
      <c r="C780" s="2473" t="s">
        <v>573</v>
      </c>
      <c r="D780" s="4306">
        <v>50000000</v>
      </c>
      <c r="E780" s="3989">
        <v>50000000</v>
      </c>
      <c r="F780" s="2685">
        <f>E780/D780*100</f>
        <v>100</v>
      </c>
      <c r="G780" s="2685">
        <v>100</v>
      </c>
      <c r="H780" s="1463"/>
      <c r="J780" s="995"/>
      <c r="K780" s="995"/>
    </row>
    <row r="781" spans="1:11" s="27" customFormat="1" ht="8.25" hidden="1" customHeight="1" x14ac:dyDescent="0.25">
      <c r="A781" s="6"/>
      <c r="B781" s="441"/>
      <c r="C781" s="2473"/>
      <c r="D781" s="4306"/>
      <c r="E781" s="2685"/>
      <c r="F781" s="2685"/>
      <c r="G781" s="2685"/>
      <c r="H781" s="1463"/>
      <c r="J781" s="995"/>
      <c r="K781" s="995"/>
    </row>
    <row r="782" spans="1:11" s="27" customFormat="1" ht="18.75" customHeight="1" x14ac:dyDescent="0.25">
      <c r="A782" s="6"/>
      <c r="B782" s="441"/>
      <c r="C782" s="2474" t="s">
        <v>574</v>
      </c>
      <c r="D782" s="4297">
        <f>D783</f>
        <v>60000000</v>
      </c>
      <c r="E782" s="2860">
        <f>E783</f>
        <v>60000000</v>
      </c>
      <c r="F782" s="2679">
        <f>E782/D782*100</f>
        <v>100</v>
      </c>
      <c r="G782" s="2679">
        <f>G783</f>
        <v>100</v>
      </c>
      <c r="H782" s="1463"/>
      <c r="J782" s="995"/>
      <c r="K782" s="995"/>
    </row>
    <row r="783" spans="1:11" s="27" customFormat="1" ht="15.75" hidden="1" customHeight="1" x14ac:dyDescent="0.25">
      <c r="A783" s="6"/>
      <c r="B783" s="441"/>
      <c r="C783" s="2473" t="s">
        <v>575</v>
      </c>
      <c r="D783" s="4306">
        <v>60000000</v>
      </c>
      <c r="E783" s="3987">
        <v>60000000</v>
      </c>
      <c r="F783" s="2685">
        <f>E783/D783*100</f>
        <v>100</v>
      </c>
      <c r="G783" s="2685">
        <v>100</v>
      </c>
      <c r="H783" s="1463"/>
      <c r="J783" s="995"/>
      <c r="K783" s="995"/>
    </row>
    <row r="784" spans="1:11" ht="15.75" hidden="1" customHeight="1" x14ac:dyDescent="0.25">
      <c r="B784" s="441"/>
      <c r="C784" s="2475"/>
      <c r="D784" s="4308"/>
      <c r="E784" s="2830"/>
      <c r="F784" s="2830"/>
      <c r="G784" s="2830"/>
      <c r="H784" s="1463"/>
    </row>
    <row r="785" spans="1:11" s="27" customFormat="1" ht="16.5" customHeight="1" x14ac:dyDescent="0.25">
      <c r="A785" s="6"/>
      <c r="B785" s="440"/>
      <c r="C785" s="2471" t="s">
        <v>576</v>
      </c>
      <c r="D785" s="4304">
        <f>SUM(D786+D789+D792+D795+D798)</f>
        <v>366278000</v>
      </c>
      <c r="E785" s="3985">
        <f>SUM(E786+E789+E792+E795+E798)</f>
        <v>366278000</v>
      </c>
      <c r="F785" s="2719">
        <f>E785/D785*100</f>
        <v>100</v>
      </c>
      <c r="G785" s="2719">
        <f>SUM(G786+G789+G792+G795+G798)/5</f>
        <v>100</v>
      </c>
      <c r="H785" s="1463"/>
      <c r="J785" s="995"/>
      <c r="K785" s="995"/>
    </row>
    <row r="786" spans="1:11" s="27" customFormat="1" ht="15.75" customHeight="1" x14ac:dyDescent="0.25">
      <c r="A786" s="6"/>
      <c r="B786" s="441"/>
      <c r="C786" s="2478" t="s">
        <v>577</v>
      </c>
      <c r="D786" s="4314">
        <f>D787</f>
        <v>85000000</v>
      </c>
      <c r="E786" s="2932">
        <f>E787</f>
        <v>85000000</v>
      </c>
      <c r="F786" s="2679">
        <f>E786/D786*100</f>
        <v>100</v>
      </c>
      <c r="G786" s="2679">
        <f>G787</f>
        <v>100</v>
      </c>
      <c r="H786" s="1463"/>
      <c r="J786" s="995"/>
      <c r="K786" s="995"/>
    </row>
    <row r="787" spans="1:11" s="27" customFormat="1" ht="17.25" hidden="1" customHeight="1" x14ac:dyDescent="0.25">
      <c r="A787" s="6"/>
      <c r="B787" s="441"/>
      <c r="C787" s="2476" t="s">
        <v>578</v>
      </c>
      <c r="D787" s="4306">
        <v>85000000</v>
      </c>
      <c r="E787" s="3987">
        <v>85000000</v>
      </c>
      <c r="F787" s="2685">
        <f>E787/D787*100</f>
        <v>100</v>
      </c>
      <c r="G787" s="2685">
        <v>100</v>
      </c>
      <c r="H787" s="1463"/>
      <c r="J787" s="995"/>
      <c r="K787" s="995"/>
    </row>
    <row r="788" spans="1:11" ht="9.75" hidden="1" customHeight="1" x14ac:dyDescent="0.25">
      <c r="B788" s="441"/>
      <c r="C788" s="2476"/>
      <c r="D788" s="4306"/>
      <c r="E788" s="2685"/>
      <c r="F788" s="2685"/>
      <c r="G788" s="2708"/>
      <c r="H788" s="1463"/>
    </row>
    <row r="789" spans="1:11" s="27" customFormat="1" ht="19.5" customHeight="1" x14ac:dyDescent="0.25">
      <c r="A789" s="6"/>
      <c r="B789" s="441"/>
      <c r="C789" s="2477" t="s">
        <v>579</v>
      </c>
      <c r="D789" s="4297">
        <f>D790</f>
        <v>62000000</v>
      </c>
      <c r="E789" s="2860">
        <f>E790</f>
        <v>62000000</v>
      </c>
      <c r="F789" s="2679">
        <f t="shared" ref="F789:F796" si="61">E789/D789*100</f>
        <v>100</v>
      </c>
      <c r="G789" s="2679">
        <f>G790</f>
        <v>100</v>
      </c>
      <c r="H789" s="1463"/>
      <c r="J789" s="995"/>
      <c r="K789" s="995"/>
    </row>
    <row r="790" spans="1:11" s="27" customFormat="1" ht="18" hidden="1" customHeight="1" x14ac:dyDescent="0.25">
      <c r="A790" s="6"/>
      <c r="B790" s="441"/>
      <c r="C790" s="2476" t="s">
        <v>580</v>
      </c>
      <c r="D790" s="4306">
        <v>62000000</v>
      </c>
      <c r="E790" s="2855">
        <v>62000000</v>
      </c>
      <c r="F790" s="2685">
        <f t="shared" si="61"/>
        <v>100</v>
      </c>
      <c r="G790" s="2685">
        <v>100</v>
      </c>
      <c r="H790" s="1463"/>
      <c r="J790" s="995"/>
      <c r="K790" s="995"/>
    </row>
    <row r="791" spans="1:11" s="27" customFormat="1" ht="8.25" hidden="1" customHeight="1" x14ac:dyDescent="0.25">
      <c r="A791" s="6"/>
      <c r="B791" s="441"/>
      <c r="C791" s="2476"/>
      <c r="D791" s="4306"/>
      <c r="E791" s="2685"/>
      <c r="F791" s="2685"/>
      <c r="G791" s="2708"/>
      <c r="H791" s="1463"/>
      <c r="J791" s="995"/>
      <c r="K791" s="995"/>
    </row>
    <row r="792" spans="1:11" s="27" customFormat="1" ht="17.25" customHeight="1" x14ac:dyDescent="0.25">
      <c r="A792" s="6"/>
      <c r="B792" s="441"/>
      <c r="C792" s="2477" t="s">
        <v>581</v>
      </c>
      <c r="D792" s="4297">
        <f>D793</f>
        <v>136000000</v>
      </c>
      <c r="E792" s="2860">
        <f>E793</f>
        <v>136000000</v>
      </c>
      <c r="F792" s="2679">
        <f t="shared" si="61"/>
        <v>100</v>
      </c>
      <c r="G792" s="2679">
        <f>G793</f>
        <v>100</v>
      </c>
      <c r="H792" s="1463"/>
      <c r="J792" s="995"/>
      <c r="K792" s="995"/>
    </row>
    <row r="793" spans="1:11" s="27" customFormat="1" ht="18.75" hidden="1" customHeight="1" x14ac:dyDescent="0.25">
      <c r="A793" s="6"/>
      <c r="B793" s="441"/>
      <c r="C793" s="2476" t="s">
        <v>582</v>
      </c>
      <c r="D793" s="4306">
        <v>136000000</v>
      </c>
      <c r="E793" s="3987">
        <v>136000000</v>
      </c>
      <c r="F793" s="2685">
        <f t="shared" si="61"/>
        <v>100</v>
      </c>
      <c r="G793" s="2685">
        <v>100</v>
      </c>
      <c r="H793" s="1463"/>
      <c r="J793" s="995"/>
      <c r="K793" s="995"/>
    </row>
    <row r="794" spans="1:11" s="27" customFormat="1" ht="9" hidden="1" customHeight="1" x14ac:dyDescent="0.25">
      <c r="A794" s="6"/>
      <c r="B794" s="441"/>
      <c r="C794" s="2476"/>
      <c r="D794" s="4306"/>
      <c r="E794" s="2685"/>
      <c r="F794" s="2685"/>
      <c r="G794" s="2708"/>
      <c r="H794" s="1463"/>
      <c r="J794" s="995"/>
      <c r="K794" s="995"/>
    </row>
    <row r="795" spans="1:11" s="27" customFormat="1" ht="15.75" customHeight="1" x14ac:dyDescent="0.25">
      <c r="A795" s="6"/>
      <c r="B795" s="441"/>
      <c r="C795" s="2477" t="s">
        <v>583</v>
      </c>
      <c r="D795" s="4297">
        <f>D796</f>
        <v>48878000</v>
      </c>
      <c r="E795" s="2860">
        <f>E796</f>
        <v>48878000</v>
      </c>
      <c r="F795" s="2679">
        <f t="shared" si="61"/>
        <v>100</v>
      </c>
      <c r="G795" s="2679">
        <f>G796</f>
        <v>100</v>
      </c>
      <c r="H795" s="1463"/>
      <c r="J795" s="995"/>
      <c r="K795" s="995"/>
    </row>
    <row r="796" spans="1:11" s="27" customFormat="1" ht="21" hidden="1" customHeight="1" x14ac:dyDescent="0.25">
      <c r="A796" s="6"/>
      <c r="B796" s="441"/>
      <c r="C796" s="2476" t="s">
        <v>584</v>
      </c>
      <c r="D796" s="4306">
        <v>48878000</v>
      </c>
      <c r="E796" s="2855">
        <v>48878000</v>
      </c>
      <c r="F796" s="2685">
        <f t="shared" si="61"/>
        <v>100</v>
      </c>
      <c r="G796" s="2685">
        <v>100</v>
      </c>
      <c r="H796" s="1463"/>
      <c r="J796" s="995"/>
      <c r="K796" s="995"/>
    </row>
    <row r="797" spans="1:11" s="27" customFormat="1" ht="9" hidden="1" customHeight="1" x14ac:dyDescent="0.25">
      <c r="A797" s="6"/>
      <c r="B797" s="441"/>
      <c r="C797" s="2476"/>
      <c r="D797" s="4306"/>
      <c r="E797" s="2685"/>
      <c r="F797" s="2708"/>
      <c r="G797" s="2708"/>
      <c r="H797" s="1463"/>
      <c r="J797" s="995"/>
      <c r="K797" s="995"/>
    </row>
    <row r="798" spans="1:11" s="27" customFormat="1" ht="14.25" customHeight="1" x14ac:dyDescent="0.25">
      <c r="A798" s="6"/>
      <c r="B798" s="441"/>
      <c r="C798" s="2474" t="s">
        <v>585</v>
      </c>
      <c r="D798" s="4297">
        <f>D799</f>
        <v>34400000</v>
      </c>
      <c r="E798" s="3978">
        <f>E799</f>
        <v>34400000</v>
      </c>
      <c r="F798" s="2934">
        <f>E798/D798*100</f>
        <v>100</v>
      </c>
      <c r="G798" s="2679">
        <v>100</v>
      </c>
      <c r="H798" s="1463"/>
      <c r="J798" s="995"/>
      <c r="K798" s="995"/>
    </row>
    <row r="799" spans="1:11" s="27" customFormat="1" ht="18.75" hidden="1" customHeight="1" x14ac:dyDescent="0.25">
      <c r="A799" s="6"/>
      <c r="B799" s="441"/>
      <c r="C799" s="2473" t="s">
        <v>586</v>
      </c>
      <c r="D799" s="4306">
        <v>34400000</v>
      </c>
      <c r="E799" s="3989">
        <v>34400000</v>
      </c>
      <c r="F799" s="2685">
        <f>E799/D799*100</f>
        <v>100</v>
      </c>
      <c r="G799" s="2685">
        <v>100</v>
      </c>
      <c r="H799" s="1463"/>
      <c r="J799" s="995"/>
      <c r="K799" s="995"/>
    </row>
    <row r="800" spans="1:11" ht="12.75" hidden="1" customHeight="1" x14ac:dyDescent="0.25">
      <c r="B800" s="444"/>
      <c r="C800" s="3619"/>
      <c r="D800" s="4310"/>
      <c r="E800" s="2804"/>
      <c r="F800" s="2804"/>
      <c r="G800" s="2804"/>
      <c r="H800" s="1463"/>
    </row>
    <row r="801" spans="1:11" ht="16.5" customHeight="1" x14ac:dyDescent="0.25">
      <c r="B801" s="459"/>
      <c r="C801" s="2523" t="s">
        <v>587</v>
      </c>
      <c r="D801" s="4315">
        <f>SUM(D802+D805+D808+D811+D814+D817+D820+D823)</f>
        <v>358378000</v>
      </c>
      <c r="E801" s="3999">
        <f>SUM(E802+E805+E808+E811+E814+E817+E820+E823)</f>
        <v>358378000</v>
      </c>
      <c r="F801" s="3095">
        <f>E801/D801*100</f>
        <v>100</v>
      </c>
      <c r="G801" s="3095">
        <f>SUM(G802+G805+G808+G811+G814+G817+G820+G823)/8</f>
        <v>100</v>
      </c>
      <c r="H801" s="3712"/>
    </row>
    <row r="802" spans="1:11" s="27" customFormat="1" ht="19.5" customHeight="1" x14ac:dyDescent="0.25">
      <c r="A802" s="6"/>
      <c r="B802" s="441"/>
      <c r="C802" s="2478" t="s">
        <v>588</v>
      </c>
      <c r="D802" s="4316">
        <f>D803</f>
        <v>50000000</v>
      </c>
      <c r="E802" s="4000">
        <f>E803</f>
        <v>50000000</v>
      </c>
      <c r="F802" s="2934">
        <f>E802/D802*100</f>
        <v>100</v>
      </c>
      <c r="G802" s="2722">
        <f>G803</f>
        <v>100</v>
      </c>
      <c r="H802" s="1463"/>
      <c r="J802" s="995"/>
      <c r="K802" s="995"/>
    </row>
    <row r="803" spans="1:11" s="27" customFormat="1" ht="16.5" hidden="1" customHeight="1" x14ac:dyDescent="0.25">
      <c r="A803" s="6"/>
      <c r="B803" s="441"/>
      <c r="C803" s="2476" t="s">
        <v>589</v>
      </c>
      <c r="D803" s="4066">
        <v>50000000</v>
      </c>
      <c r="E803" s="2690">
        <v>50000000</v>
      </c>
      <c r="F803" s="2685">
        <f>E803/D803*100</f>
        <v>100</v>
      </c>
      <c r="G803" s="2708">
        <v>100</v>
      </c>
      <c r="H803" s="1463"/>
      <c r="J803" s="995"/>
      <c r="K803" s="995"/>
    </row>
    <row r="804" spans="1:11" ht="11.25" hidden="1" customHeight="1" x14ac:dyDescent="0.25">
      <c r="B804" s="441"/>
      <c r="C804" s="2476"/>
      <c r="D804" s="4310"/>
      <c r="E804" s="2708"/>
      <c r="F804" s="2708"/>
      <c r="G804" s="2708"/>
      <c r="H804" s="1463"/>
    </row>
    <row r="805" spans="1:11" s="27" customFormat="1" ht="22.5" customHeight="1" x14ac:dyDescent="0.25">
      <c r="A805" s="6"/>
      <c r="B805" s="441"/>
      <c r="C805" s="2477" t="s">
        <v>590</v>
      </c>
      <c r="D805" s="4297">
        <f>D806</f>
        <v>105000000</v>
      </c>
      <c r="E805" s="3978">
        <f>E806</f>
        <v>105000000</v>
      </c>
      <c r="F805" s="2934">
        <f>E805/D805*100</f>
        <v>100</v>
      </c>
      <c r="G805" s="2934">
        <f>G806</f>
        <v>100</v>
      </c>
      <c r="H805" s="1463"/>
      <c r="J805" s="995"/>
      <c r="K805" s="995"/>
    </row>
    <row r="806" spans="1:11" s="27" customFormat="1" ht="15" hidden="1" customHeight="1" x14ac:dyDescent="0.25">
      <c r="A806" s="6"/>
      <c r="B806" s="441"/>
      <c r="C806" s="2476" t="s">
        <v>591</v>
      </c>
      <c r="D806" s="4306">
        <v>105000000</v>
      </c>
      <c r="E806" s="3989">
        <v>105000000</v>
      </c>
      <c r="F806" s="2685">
        <f>E806/D806*100</f>
        <v>100</v>
      </c>
      <c r="G806" s="2708">
        <v>100</v>
      </c>
      <c r="H806" s="1463"/>
      <c r="J806" s="995"/>
      <c r="K806" s="995"/>
    </row>
    <row r="807" spans="1:11" s="27" customFormat="1" ht="10.5" hidden="1" customHeight="1" x14ac:dyDescent="0.25">
      <c r="A807" s="6"/>
      <c r="B807" s="441"/>
      <c r="C807" s="2476"/>
      <c r="D807" s="4306"/>
      <c r="E807" s="2685"/>
      <c r="F807" s="2708"/>
      <c r="G807" s="2708"/>
      <c r="H807" s="1463"/>
      <c r="J807" s="995"/>
      <c r="K807" s="995"/>
    </row>
    <row r="808" spans="1:11" s="27" customFormat="1" ht="19.5" customHeight="1" x14ac:dyDescent="0.25">
      <c r="A808" s="6"/>
      <c r="B808" s="441"/>
      <c r="C808" s="2477" t="s">
        <v>592</v>
      </c>
      <c r="D808" s="4297">
        <f>D809</f>
        <v>40000000</v>
      </c>
      <c r="E808" s="2934">
        <f>E809</f>
        <v>40000000</v>
      </c>
      <c r="F808" s="2934">
        <f>E808/D808*100</f>
        <v>100</v>
      </c>
      <c r="G808" s="2934">
        <f>G809</f>
        <v>100</v>
      </c>
      <c r="H808" s="1463"/>
      <c r="J808" s="995"/>
      <c r="K808" s="995"/>
    </row>
    <row r="809" spans="1:11" s="27" customFormat="1" ht="15.75" hidden="1" customHeight="1" x14ac:dyDescent="0.25">
      <c r="A809" s="6"/>
      <c r="B809" s="441"/>
      <c r="C809" s="2476" t="s">
        <v>593</v>
      </c>
      <c r="D809" s="4306">
        <v>40000000</v>
      </c>
      <c r="E809" s="2855">
        <v>40000000</v>
      </c>
      <c r="F809" s="2685">
        <f>E809/D809*100</f>
        <v>100</v>
      </c>
      <c r="G809" s="2855">
        <v>100</v>
      </c>
      <c r="H809" s="1463"/>
      <c r="J809" s="995"/>
      <c r="K809" s="995"/>
    </row>
    <row r="810" spans="1:11" s="27" customFormat="1" ht="11.25" hidden="1" customHeight="1" x14ac:dyDescent="0.25">
      <c r="A810" s="6"/>
      <c r="B810" s="441"/>
      <c r="C810" s="2476"/>
      <c r="D810" s="4306"/>
      <c r="E810" s="2685"/>
      <c r="F810" s="2708"/>
      <c r="G810" s="2708"/>
      <c r="H810" s="1463"/>
      <c r="J810" s="995"/>
      <c r="K810" s="995"/>
    </row>
    <row r="811" spans="1:11" s="27" customFormat="1" ht="16.5" customHeight="1" x14ac:dyDescent="0.25">
      <c r="A811" s="6"/>
      <c r="B811" s="441"/>
      <c r="C811" s="2477" t="s">
        <v>594</v>
      </c>
      <c r="D811" s="4297">
        <f>D812</f>
        <v>40000000</v>
      </c>
      <c r="E811" s="3978">
        <f>E812</f>
        <v>40000000</v>
      </c>
      <c r="F811" s="2934">
        <f>E811/D811*100</f>
        <v>100</v>
      </c>
      <c r="G811" s="2934">
        <f>G812</f>
        <v>100</v>
      </c>
      <c r="H811" s="1463"/>
      <c r="J811" s="995"/>
      <c r="K811" s="995"/>
    </row>
    <row r="812" spans="1:11" s="27" customFormat="1" ht="18" hidden="1" customHeight="1" x14ac:dyDescent="0.25">
      <c r="A812" s="6"/>
      <c r="B812" s="441"/>
      <c r="C812" s="2476" t="s">
        <v>595</v>
      </c>
      <c r="D812" s="4306">
        <v>40000000</v>
      </c>
      <c r="E812" s="3989">
        <v>40000000</v>
      </c>
      <c r="F812" s="2685">
        <f>E812/D812*100</f>
        <v>100</v>
      </c>
      <c r="G812" s="2708">
        <v>100</v>
      </c>
      <c r="H812" s="1463"/>
      <c r="J812" s="995"/>
      <c r="K812" s="995"/>
    </row>
    <row r="813" spans="1:11" s="27" customFormat="1" ht="10.5" hidden="1" customHeight="1" x14ac:dyDescent="0.25">
      <c r="A813" s="6"/>
      <c r="B813" s="441"/>
      <c r="C813" s="2476"/>
      <c r="D813" s="4308"/>
      <c r="E813" s="2708"/>
      <c r="F813" s="2708"/>
      <c r="G813" s="2708"/>
      <c r="H813" s="1463"/>
      <c r="J813" s="995"/>
      <c r="K813" s="995"/>
    </row>
    <row r="814" spans="1:11" s="27" customFormat="1" ht="17.25" customHeight="1" x14ac:dyDescent="0.25">
      <c r="A814" s="6"/>
      <c r="B814" s="441"/>
      <c r="C814" s="2477" t="s">
        <v>596</v>
      </c>
      <c r="D814" s="4297">
        <f>D815</f>
        <v>40000000</v>
      </c>
      <c r="E814" s="3978">
        <f>E815</f>
        <v>40000000</v>
      </c>
      <c r="F814" s="2934">
        <f>E814/D814*100</f>
        <v>100</v>
      </c>
      <c r="G814" s="2934">
        <f>G815</f>
        <v>100</v>
      </c>
      <c r="H814" s="1463"/>
      <c r="J814" s="995"/>
      <c r="K814" s="995"/>
    </row>
    <row r="815" spans="1:11" s="27" customFormat="1" ht="18.75" hidden="1" customHeight="1" x14ac:dyDescent="0.25">
      <c r="A815" s="6"/>
      <c r="B815" s="441"/>
      <c r="C815" s="2476" t="s">
        <v>597</v>
      </c>
      <c r="D815" s="4307">
        <v>40000000</v>
      </c>
      <c r="E815" s="4001">
        <v>40000000</v>
      </c>
      <c r="F815" s="2685">
        <f>E815/D815*100</f>
        <v>100</v>
      </c>
      <c r="G815" s="2708">
        <v>100</v>
      </c>
      <c r="H815" s="1463"/>
      <c r="J815" s="995"/>
      <c r="K815" s="995"/>
    </row>
    <row r="816" spans="1:11" s="27" customFormat="1" ht="9.75" hidden="1" customHeight="1" x14ac:dyDescent="0.25">
      <c r="A816" s="6"/>
      <c r="B816" s="441"/>
      <c r="C816" s="2476"/>
      <c r="D816" s="4306"/>
      <c r="E816" s="2855"/>
      <c r="F816" s="2708"/>
      <c r="G816" s="2708"/>
      <c r="H816" s="1463"/>
      <c r="J816" s="995"/>
      <c r="K816" s="995"/>
    </row>
    <row r="817" spans="1:11" s="27" customFormat="1" ht="15.75" customHeight="1" x14ac:dyDescent="0.25">
      <c r="A817" s="6"/>
      <c r="B817" s="441"/>
      <c r="C817" s="2477" t="s">
        <v>598</v>
      </c>
      <c r="D817" s="4297">
        <f>D818</f>
        <v>48378000</v>
      </c>
      <c r="E817" s="3250">
        <f>E818</f>
        <v>48378000</v>
      </c>
      <c r="F817" s="2934">
        <f>E817/D817*100</f>
        <v>100</v>
      </c>
      <c r="G817" s="2934">
        <f>G818</f>
        <v>100</v>
      </c>
      <c r="H817" s="1463"/>
      <c r="J817" s="995"/>
      <c r="K817" s="995"/>
    </row>
    <row r="818" spans="1:11" s="27" customFormat="1" ht="18.75" hidden="1" customHeight="1" x14ac:dyDescent="0.25">
      <c r="A818" s="6"/>
      <c r="B818" s="441"/>
      <c r="C818" s="2476" t="s">
        <v>599</v>
      </c>
      <c r="D818" s="4306">
        <v>48378000</v>
      </c>
      <c r="E818" s="2855">
        <v>48378000</v>
      </c>
      <c r="F818" s="2685">
        <f>E818/D818*100</f>
        <v>100</v>
      </c>
      <c r="G818" s="2708">
        <v>100</v>
      </c>
      <c r="H818" s="1463"/>
      <c r="J818" s="995"/>
      <c r="K818" s="995"/>
    </row>
    <row r="819" spans="1:11" s="27" customFormat="1" ht="10.5" hidden="1" customHeight="1" x14ac:dyDescent="0.25">
      <c r="A819" s="6"/>
      <c r="B819" s="441"/>
      <c r="C819" s="2476"/>
      <c r="D819" s="4306"/>
      <c r="E819" s="2855"/>
      <c r="F819" s="2708"/>
      <c r="G819" s="2708"/>
      <c r="H819" s="1463"/>
      <c r="J819" s="995"/>
      <c r="K819" s="995"/>
    </row>
    <row r="820" spans="1:11" s="27" customFormat="1" ht="15.75" customHeight="1" x14ac:dyDescent="0.25">
      <c r="A820" s="6"/>
      <c r="B820" s="441"/>
      <c r="C820" s="2477" t="s">
        <v>600</v>
      </c>
      <c r="D820" s="4297">
        <f>D821</f>
        <v>20000000</v>
      </c>
      <c r="E820" s="3978">
        <f>E821</f>
        <v>20000000</v>
      </c>
      <c r="F820" s="2934">
        <f>E820/D820*100</f>
        <v>100</v>
      </c>
      <c r="G820" s="2934">
        <f>G821</f>
        <v>100</v>
      </c>
      <c r="H820" s="1463"/>
      <c r="J820" s="995"/>
      <c r="K820" s="995"/>
    </row>
    <row r="821" spans="1:11" s="27" customFormat="1" ht="15.75" hidden="1" customHeight="1" x14ac:dyDescent="0.25">
      <c r="A821" s="6"/>
      <c r="B821" s="441"/>
      <c r="C821" s="2476" t="s">
        <v>601</v>
      </c>
      <c r="D821" s="4306">
        <v>20000000</v>
      </c>
      <c r="E821" s="3989">
        <v>20000000</v>
      </c>
      <c r="F821" s="2685">
        <f>E821/D821*100</f>
        <v>100</v>
      </c>
      <c r="G821" s="2708">
        <v>100</v>
      </c>
      <c r="H821" s="1463"/>
      <c r="J821" s="995"/>
      <c r="K821" s="995"/>
    </row>
    <row r="822" spans="1:11" s="27" customFormat="1" ht="10.5" hidden="1" customHeight="1" x14ac:dyDescent="0.25">
      <c r="A822" s="6"/>
      <c r="B822" s="441"/>
      <c r="C822" s="2476"/>
      <c r="D822" s="4306"/>
      <c r="E822" s="2685"/>
      <c r="F822" s="2708"/>
      <c r="G822" s="2708"/>
      <c r="H822" s="1463"/>
      <c r="J822" s="995"/>
      <c r="K822" s="995"/>
    </row>
    <row r="823" spans="1:11" s="27" customFormat="1" ht="15.75" customHeight="1" x14ac:dyDescent="0.25">
      <c r="A823" s="6"/>
      <c r="B823" s="441"/>
      <c r="C823" s="2477" t="s">
        <v>602</v>
      </c>
      <c r="D823" s="4297">
        <f>D824</f>
        <v>15000000</v>
      </c>
      <c r="E823" s="3978">
        <f>E824</f>
        <v>15000000</v>
      </c>
      <c r="F823" s="2934">
        <f>E823/D823*100</f>
        <v>100</v>
      </c>
      <c r="G823" s="2934">
        <v>100</v>
      </c>
      <c r="H823" s="1463"/>
      <c r="J823" s="995"/>
      <c r="K823" s="995"/>
    </row>
    <row r="824" spans="1:11" s="27" customFormat="1" ht="17.25" hidden="1" customHeight="1" x14ac:dyDescent="0.25">
      <c r="A824" s="6"/>
      <c r="B824" s="441"/>
      <c r="C824" s="2476" t="s">
        <v>603</v>
      </c>
      <c r="D824" s="4307">
        <v>15000000</v>
      </c>
      <c r="E824" s="4001">
        <v>15000000</v>
      </c>
      <c r="F824" s="2708">
        <f>E824/D824*100</f>
        <v>100</v>
      </c>
      <c r="G824" s="2708">
        <v>100</v>
      </c>
      <c r="H824" s="3711"/>
      <c r="J824" s="995"/>
      <c r="K824" s="995"/>
    </row>
    <row r="825" spans="1:11" ht="11.25" hidden="1" customHeight="1" x14ac:dyDescent="0.25">
      <c r="B825" s="445"/>
      <c r="C825" s="2476"/>
      <c r="D825" s="4307"/>
      <c r="E825" s="2708"/>
      <c r="F825" s="2708"/>
      <c r="G825" s="2708"/>
      <c r="H825" s="1463"/>
    </row>
    <row r="826" spans="1:11" ht="18" customHeight="1" x14ac:dyDescent="0.25">
      <c r="B826" s="440"/>
      <c r="C826" s="2471" t="s">
        <v>604</v>
      </c>
      <c r="D826" s="4304">
        <f>SUM(D827+D830+D833+D836+D839+D842+D846)</f>
        <v>497750000</v>
      </c>
      <c r="E826" s="3985">
        <f>SUM(E827+E830+E833+E836+E839+E842+E846)</f>
        <v>497559092</v>
      </c>
      <c r="F826" s="2719">
        <f>E826/D826*100</f>
        <v>99.961645806127578</v>
      </c>
      <c r="G826" s="2719">
        <f>SUM(G827+G830+G833+G836+G839+G842+G846)/7</f>
        <v>100</v>
      </c>
      <c r="H826" s="3712"/>
    </row>
    <row r="827" spans="1:11" s="27" customFormat="1" ht="18.75" customHeight="1" x14ac:dyDescent="0.25">
      <c r="A827" s="6"/>
      <c r="B827" s="441"/>
      <c r="C827" s="2478" t="s">
        <v>605</v>
      </c>
      <c r="D827" s="4314">
        <f>D828</f>
        <v>60000000</v>
      </c>
      <c r="E827" s="4002">
        <f>E828</f>
        <v>60000000</v>
      </c>
      <c r="F827" s="2934">
        <f>E827/D827*100</f>
        <v>100</v>
      </c>
      <c r="G827" s="2725">
        <f>G828</f>
        <v>100</v>
      </c>
      <c r="H827" s="1463"/>
      <c r="J827" s="995"/>
      <c r="K827" s="995"/>
    </row>
    <row r="828" spans="1:11" s="27" customFormat="1" ht="20.25" hidden="1" customHeight="1" x14ac:dyDescent="0.25">
      <c r="A828" s="6"/>
      <c r="B828" s="441"/>
      <c r="C828" s="2476" t="s">
        <v>606</v>
      </c>
      <c r="D828" s="4306">
        <v>60000000</v>
      </c>
      <c r="E828" s="3989">
        <v>60000000</v>
      </c>
      <c r="F828" s="2708">
        <f>E828/D828*100</f>
        <v>100</v>
      </c>
      <c r="G828" s="2685">
        <v>100</v>
      </c>
      <c r="H828" s="1463"/>
      <c r="J828" s="995"/>
      <c r="K828" s="995"/>
    </row>
    <row r="829" spans="1:11" ht="12" hidden="1" customHeight="1" x14ac:dyDescent="0.25">
      <c r="B829" s="441"/>
      <c r="C829" s="2476"/>
      <c r="D829" s="4308"/>
      <c r="E829" s="2708"/>
      <c r="F829" s="2708"/>
      <c r="G829" s="2708"/>
      <c r="H829" s="1463"/>
    </row>
    <row r="830" spans="1:11" s="27" customFormat="1" ht="17.25" customHeight="1" x14ac:dyDescent="0.25">
      <c r="A830" s="6"/>
      <c r="B830" s="441"/>
      <c r="C830" s="2477" t="s">
        <v>607</v>
      </c>
      <c r="D830" s="4297">
        <f>D831</f>
        <v>100000000</v>
      </c>
      <c r="E830" s="3978">
        <f>E831</f>
        <v>99809092</v>
      </c>
      <c r="F830" s="2934">
        <f>E830/D830*100</f>
        <v>99.809091999999993</v>
      </c>
      <c r="G830" s="2934">
        <f>G831</f>
        <v>100</v>
      </c>
      <c r="H830" s="1463"/>
      <c r="J830" s="995"/>
      <c r="K830" s="995"/>
    </row>
    <row r="831" spans="1:11" s="27" customFormat="1" ht="15.75" hidden="1" customHeight="1" x14ac:dyDescent="0.25">
      <c r="A831" s="6"/>
      <c r="B831" s="441"/>
      <c r="C831" s="2476" t="s">
        <v>591</v>
      </c>
      <c r="D831" s="4306">
        <v>100000000</v>
      </c>
      <c r="E831" s="2708">
        <v>99809092</v>
      </c>
      <c r="F831" s="2708">
        <f>E831/D831*100</f>
        <v>99.809091999999993</v>
      </c>
      <c r="G831" s="2708">
        <v>100</v>
      </c>
      <c r="H831" s="1463"/>
      <c r="J831" s="995"/>
      <c r="K831" s="995"/>
    </row>
    <row r="832" spans="1:11" s="27" customFormat="1" ht="8.25" hidden="1" customHeight="1" x14ac:dyDescent="0.25">
      <c r="A832" s="6"/>
      <c r="B832" s="441"/>
      <c r="C832" s="2476"/>
      <c r="D832" s="4306"/>
      <c r="E832" s="2708"/>
      <c r="F832" s="2708"/>
      <c r="G832" s="2708"/>
      <c r="H832" s="1463"/>
      <c r="J832" s="995"/>
      <c r="K832" s="995"/>
    </row>
    <row r="833" spans="1:11" s="27" customFormat="1" ht="20.25" customHeight="1" x14ac:dyDescent="0.25">
      <c r="A833" s="6"/>
      <c r="B833" s="441"/>
      <c r="C833" s="2477" t="s">
        <v>608</v>
      </c>
      <c r="D833" s="4297">
        <f>D834</f>
        <v>60000000</v>
      </c>
      <c r="E833" s="3978">
        <f>E834</f>
        <v>60000000</v>
      </c>
      <c r="F833" s="2934">
        <f>E833/D833*100</f>
        <v>100</v>
      </c>
      <c r="G833" s="2934">
        <f>G834</f>
        <v>100</v>
      </c>
      <c r="H833" s="1463"/>
      <c r="J833" s="995"/>
      <c r="K833" s="995"/>
    </row>
    <row r="834" spans="1:11" s="27" customFormat="1" ht="16.5" hidden="1" customHeight="1" x14ac:dyDescent="0.25">
      <c r="A834" s="6"/>
      <c r="B834" s="441"/>
      <c r="C834" s="2476" t="s">
        <v>609</v>
      </c>
      <c r="D834" s="4306">
        <v>60000000</v>
      </c>
      <c r="E834" s="3989">
        <v>60000000</v>
      </c>
      <c r="F834" s="2708">
        <f>E834/D834*100</f>
        <v>100</v>
      </c>
      <c r="G834" s="2708">
        <v>100</v>
      </c>
      <c r="H834" s="1463"/>
      <c r="J834" s="995"/>
      <c r="K834" s="995"/>
    </row>
    <row r="835" spans="1:11" s="27" customFormat="1" ht="9.75" hidden="1" customHeight="1" x14ac:dyDescent="0.25">
      <c r="A835" s="6"/>
      <c r="B835" s="441"/>
      <c r="C835" s="2477"/>
      <c r="D835" s="4297"/>
      <c r="E835" s="2708"/>
      <c r="F835" s="2708"/>
      <c r="G835" s="2708"/>
      <c r="H835" s="1463"/>
      <c r="J835" s="995"/>
      <c r="K835" s="995"/>
    </row>
    <row r="836" spans="1:11" s="27" customFormat="1" ht="15.75" customHeight="1" x14ac:dyDescent="0.25">
      <c r="A836" s="6"/>
      <c r="B836" s="441"/>
      <c r="C836" s="2477" t="s">
        <v>610</v>
      </c>
      <c r="D836" s="4297">
        <f>D837</f>
        <v>75000000</v>
      </c>
      <c r="E836" s="3978">
        <f>E837</f>
        <v>75000000</v>
      </c>
      <c r="F836" s="2934">
        <f>E836/D836*100</f>
        <v>100</v>
      </c>
      <c r="G836" s="2934">
        <f>G837</f>
        <v>100</v>
      </c>
      <c r="H836" s="1463"/>
      <c r="J836" s="995"/>
      <c r="K836" s="995"/>
    </row>
    <row r="837" spans="1:11" s="27" customFormat="1" ht="21.75" hidden="1" customHeight="1" x14ac:dyDescent="0.25">
      <c r="A837" s="6"/>
      <c r="B837" s="441"/>
      <c r="C837" s="2476" t="s">
        <v>611</v>
      </c>
      <c r="D837" s="4306">
        <v>75000000</v>
      </c>
      <c r="E837" s="3989">
        <v>75000000</v>
      </c>
      <c r="F837" s="2708">
        <f>E837/D837*100</f>
        <v>100</v>
      </c>
      <c r="G837" s="2708">
        <v>100</v>
      </c>
      <c r="H837" s="1463"/>
      <c r="J837" s="995"/>
      <c r="K837" s="995"/>
    </row>
    <row r="838" spans="1:11" s="27" customFormat="1" ht="12.75" hidden="1" customHeight="1" x14ac:dyDescent="0.25">
      <c r="A838" s="6"/>
      <c r="B838" s="441"/>
      <c r="C838" s="2476"/>
      <c r="D838" s="4306"/>
      <c r="E838" s="2708"/>
      <c r="F838" s="2708"/>
      <c r="G838" s="2708"/>
      <c r="H838" s="1463"/>
      <c r="J838" s="995"/>
      <c r="K838" s="995"/>
    </row>
    <row r="839" spans="1:11" s="27" customFormat="1" ht="18" customHeight="1" x14ac:dyDescent="0.25">
      <c r="A839" s="6"/>
      <c r="B839" s="441"/>
      <c r="C839" s="2477" t="s">
        <v>612</v>
      </c>
      <c r="D839" s="4297">
        <f>D840</f>
        <v>87500000</v>
      </c>
      <c r="E839" s="3978">
        <f>E840</f>
        <v>87500000</v>
      </c>
      <c r="F839" s="2934">
        <f>E839/D839*100</f>
        <v>100</v>
      </c>
      <c r="G839" s="2934">
        <f>G840</f>
        <v>100</v>
      </c>
      <c r="H839" s="1463"/>
      <c r="J839" s="995"/>
      <c r="K839" s="995"/>
    </row>
    <row r="840" spans="1:11" s="27" customFormat="1" ht="17.25" hidden="1" customHeight="1" x14ac:dyDescent="0.25">
      <c r="A840" s="6"/>
      <c r="B840" s="441"/>
      <c r="C840" s="2476" t="s">
        <v>613</v>
      </c>
      <c r="D840" s="4307">
        <v>87500000</v>
      </c>
      <c r="E840" s="4001">
        <v>87500000</v>
      </c>
      <c r="F840" s="2708">
        <f>E840/D840*100</f>
        <v>100</v>
      </c>
      <c r="G840" s="2708">
        <v>100</v>
      </c>
      <c r="H840" s="3711"/>
      <c r="J840" s="995"/>
      <c r="K840" s="995"/>
    </row>
    <row r="841" spans="1:11" s="27" customFormat="1" ht="9.75" hidden="1" customHeight="1" x14ac:dyDescent="0.25">
      <c r="A841" s="6"/>
      <c r="B841" s="449"/>
      <c r="C841" s="2474"/>
      <c r="D841" s="4306"/>
      <c r="E841" s="2685"/>
      <c r="F841" s="2685"/>
      <c r="G841" s="2685"/>
      <c r="H841" s="1463"/>
      <c r="J841" s="995"/>
      <c r="K841" s="995"/>
    </row>
    <row r="842" spans="1:11" s="27" customFormat="1" ht="15.75" customHeight="1" x14ac:dyDescent="0.25">
      <c r="A842" s="6"/>
      <c r="B842" s="441"/>
      <c r="C842" s="2478" t="s">
        <v>614</v>
      </c>
      <c r="D842" s="4296">
        <f>SUM(D843:D844)</f>
        <v>93000000</v>
      </c>
      <c r="E842" s="3982">
        <f>SUM(E843:E844)</f>
        <v>93000000</v>
      </c>
      <c r="F842" s="2722">
        <f>E842/D842*100</f>
        <v>100</v>
      </c>
      <c r="G842" s="2722">
        <f>SUM(G843:G844)/2</f>
        <v>100</v>
      </c>
      <c r="H842" s="3712"/>
      <c r="J842" s="995"/>
      <c r="K842" s="995"/>
    </row>
    <row r="843" spans="1:11" s="27" customFormat="1" ht="27" hidden="1" customHeight="1" x14ac:dyDescent="0.25">
      <c r="A843" s="6"/>
      <c r="B843" s="441"/>
      <c r="C843" s="2476" t="s">
        <v>615</v>
      </c>
      <c r="D843" s="4306">
        <v>20000000</v>
      </c>
      <c r="E843" s="3987">
        <v>20000000</v>
      </c>
      <c r="F843" s="2708">
        <f>E843/D843*100</f>
        <v>100</v>
      </c>
      <c r="G843" s="2708">
        <v>100</v>
      </c>
      <c r="H843" s="1463"/>
      <c r="J843" s="995"/>
      <c r="K843" s="995"/>
    </row>
    <row r="844" spans="1:11" s="27" customFormat="1" ht="16.5" hidden="1" customHeight="1" x14ac:dyDescent="0.25">
      <c r="A844" s="6"/>
      <c r="B844" s="441"/>
      <c r="C844" s="2476" t="s">
        <v>616</v>
      </c>
      <c r="D844" s="4306">
        <v>73000000</v>
      </c>
      <c r="E844" s="3987">
        <v>73000000</v>
      </c>
      <c r="F844" s="2708">
        <f t="shared" ref="F844" si="62">E844/D844*100</f>
        <v>100</v>
      </c>
      <c r="G844" s="2708">
        <v>100</v>
      </c>
      <c r="H844" s="1463"/>
      <c r="J844" s="995"/>
      <c r="K844" s="995"/>
    </row>
    <row r="845" spans="1:11" s="27" customFormat="1" ht="9.75" hidden="1" customHeight="1" x14ac:dyDescent="0.25">
      <c r="A845" s="6"/>
      <c r="B845" s="441"/>
      <c r="C845" s="2476"/>
      <c r="D845" s="4306"/>
      <c r="E845" s="2708"/>
      <c r="F845" s="2708"/>
      <c r="G845" s="2708"/>
      <c r="H845" s="1463"/>
      <c r="J845" s="995"/>
      <c r="K845" s="995"/>
    </row>
    <row r="846" spans="1:11" s="27" customFormat="1" ht="15.75" customHeight="1" x14ac:dyDescent="0.25">
      <c r="A846" s="6"/>
      <c r="B846" s="441"/>
      <c r="C846" s="2477" t="s">
        <v>617</v>
      </c>
      <c r="D846" s="4297">
        <f>D847</f>
        <v>22250000</v>
      </c>
      <c r="E846" s="2860">
        <f>E847</f>
        <v>22250000</v>
      </c>
      <c r="F846" s="2934">
        <f>E846/D846*100</f>
        <v>100</v>
      </c>
      <c r="G846" s="2934">
        <f>G847</f>
        <v>100</v>
      </c>
      <c r="H846" s="1463"/>
      <c r="J846" s="995"/>
      <c r="K846" s="995"/>
    </row>
    <row r="847" spans="1:11" s="27" customFormat="1" ht="15.75" hidden="1" customHeight="1" x14ac:dyDescent="0.25">
      <c r="A847" s="6"/>
      <c r="B847" s="441"/>
      <c r="C847" s="2476" t="s">
        <v>618</v>
      </c>
      <c r="D847" s="4306">
        <v>22250000</v>
      </c>
      <c r="E847" s="2855">
        <v>22250000</v>
      </c>
      <c r="F847" s="2708">
        <f>E847/D847*100</f>
        <v>100</v>
      </c>
      <c r="G847" s="2708">
        <v>100</v>
      </c>
      <c r="H847" s="1463"/>
      <c r="J847" s="995"/>
      <c r="K847" s="995"/>
    </row>
    <row r="848" spans="1:11" ht="14.25" hidden="1" customHeight="1" x14ac:dyDescent="0.25">
      <c r="B848" s="441"/>
      <c r="C848" s="2476"/>
      <c r="D848" s="4308"/>
      <c r="E848" s="2830"/>
      <c r="F848" s="2708"/>
      <c r="G848" s="2708"/>
      <c r="H848" s="1463"/>
    </row>
    <row r="849" spans="1:11" ht="19.5" customHeight="1" x14ac:dyDescent="0.25">
      <c r="B849" s="440"/>
      <c r="C849" s="2471" t="s">
        <v>619</v>
      </c>
      <c r="D849" s="4304">
        <f>D850</f>
        <v>25602150842</v>
      </c>
      <c r="E849" s="3985">
        <f>E850</f>
        <v>23055280000</v>
      </c>
      <c r="F849" s="2719">
        <f>E849/D849*100</f>
        <v>90.052121566982208</v>
      </c>
      <c r="G849" s="2719">
        <f>G850</f>
        <v>100</v>
      </c>
      <c r="H849" s="1463"/>
    </row>
    <row r="850" spans="1:11" ht="18" customHeight="1" x14ac:dyDescent="0.25">
      <c r="B850" s="441"/>
      <c r="C850" s="2478" t="s">
        <v>620</v>
      </c>
      <c r="D850" s="4314">
        <f>SUM(D851:D852)</f>
        <v>25602150842</v>
      </c>
      <c r="E850" s="4002">
        <f>SUM(E851:E852)</f>
        <v>23055280000</v>
      </c>
      <c r="F850" s="2934">
        <f>E850/D850*100</f>
        <v>90.052121566982208</v>
      </c>
      <c r="G850" s="2722">
        <f>SUM(G851:G852)/2</f>
        <v>100</v>
      </c>
      <c r="H850" s="1463"/>
    </row>
    <row r="851" spans="1:11" s="27" customFormat="1" ht="18.75" hidden="1" customHeight="1" x14ac:dyDescent="0.25">
      <c r="A851" s="6"/>
      <c r="B851" s="444"/>
      <c r="C851" s="2473" t="s">
        <v>621</v>
      </c>
      <c r="D851" s="3704">
        <v>8380280000</v>
      </c>
      <c r="E851" s="3767">
        <v>8080280000</v>
      </c>
      <c r="F851" s="2708">
        <f>E851/D851*100</f>
        <v>96.42016734524384</v>
      </c>
      <c r="G851" s="2690">
        <v>100</v>
      </c>
      <c r="H851" s="1463"/>
      <c r="J851" s="995"/>
      <c r="K851" s="995"/>
    </row>
    <row r="852" spans="1:11" s="27" customFormat="1" ht="16.5" hidden="1" customHeight="1" x14ac:dyDescent="0.25">
      <c r="A852" s="6"/>
      <c r="B852" s="445"/>
      <c r="C852" s="2476" t="s">
        <v>622</v>
      </c>
      <c r="D852" s="3704">
        <v>17221870842</v>
      </c>
      <c r="E852" s="2855">
        <v>14975000000</v>
      </c>
      <c r="F852" s="2708">
        <f>E852/D852*100</f>
        <v>86.953386989057989</v>
      </c>
      <c r="G852" s="2752">
        <v>100</v>
      </c>
      <c r="H852" s="1463"/>
      <c r="J852" s="995"/>
      <c r="K852" s="995"/>
    </row>
    <row r="853" spans="1:11" ht="9" hidden="1" customHeight="1" x14ac:dyDescent="0.25">
      <c r="B853" s="441"/>
      <c r="C853" s="2477"/>
      <c r="D853" s="4285"/>
      <c r="E853" s="2778"/>
      <c r="F853" s="2710"/>
      <c r="G853" s="2778"/>
      <c r="H853" s="1463"/>
    </row>
    <row r="854" spans="1:11" ht="19.5" customHeight="1" x14ac:dyDescent="0.25">
      <c r="B854" s="440"/>
      <c r="C854" s="2471" t="s">
        <v>623</v>
      </c>
      <c r="D854" s="4106">
        <f>SUM(D855+D858)</f>
        <v>2632642000</v>
      </c>
      <c r="E854" s="2672">
        <f>SUM(E855+E858)</f>
        <v>2468442000</v>
      </c>
      <c r="F854" s="2719">
        <f>E854/D854*100</f>
        <v>93.762919531026242</v>
      </c>
      <c r="G854" s="2672">
        <f>SUM(G855+G858)/2</f>
        <v>100</v>
      </c>
      <c r="H854" s="1463"/>
    </row>
    <row r="855" spans="1:11" ht="20.25" customHeight="1" x14ac:dyDescent="0.25">
      <c r="B855" s="441"/>
      <c r="C855" s="2478" t="s">
        <v>624</v>
      </c>
      <c r="D855" s="4305">
        <f>D856</f>
        <v>1196600000</v>
      </c>
      <c r="E855" s="2785">
        <f>E856</f>
        <v>1032400000</v>
      </c>
      <c r="F855" s="2722">
        <f>E855/D855*100</f>
        <v>86.277787063346139</v>
      </c>
      <c r="G855" s="2785">
        <f>G856</f>
        <v>100</v>
      </c>
      <c r="H855" s="1463"/>
    </row>
    <row r="856" spans="1:11" s="27" customFormat="1" ht="15.75" hidden="1" customHeight="1" x14ac:dyDescent="0.25">
      <c r="A856" s="6"/>
      <c r="B856" s="441"/>
      <c r="C856" s="2473" t="s">
        <v>625</v>
      </c>
      <c r="D856" s="3704">
        <v>1196600000</v>
      </c>
      <c r="E856" s="2855">
        <v>1032400000</v>
      </c>
      <c r="F856" s="2708">
        <f>E856/D856*100</f>
        <v>86.277787063346139</v>
      </c>
      <c r="G856" s="2690">
        <v>100</v>
      </c>
      <c r="H856" s="1463"/>
      <c r="J856" s="995"/>
      <c r="K856" s="995"/>
    </row>
    <row r="857" spans="1:11" ht="10.5" hidden="1" customHeight="1" x14ac:dyDescent="0.25">
      <c r="B857" s="441"/>
      <c r="C857" s="2479"/>
      <c r="D857" s="4154"/>
      <c r="E857" s="3185"/>
      <c r="F857" s="2710"/>
      <c r="G857" s="2690"/>
      <c r="H857" s="1463"/>
    </row>
    <row r="858" spans="1:11" ht="16.5" customHeight="1" x14ac:dyDescent="0.25">
      <c r="B858" s="441"/>
      <c r="C858" s="2472" t="s">
        <v>626</v>
      </c>
      <c r="D858" s="4072">
        <f>SUM(D859:D860)</f>
        <v>1436042000</v>
      </c>
      <c r="E858" s="2734">
        <f>SUM(E859:E860)</f>
        <v>1436042000</v>
      </c>
      <c r="F858" s="2679">
        <f>E858/D858*100</f>
        <v>100</v>
      </c>
      <c r="G858" s="2695">
        <f>SUM(G859:G860)/2</f>
        <v>100</v>
      </c>
      <c r="H858" s="1463"/>
    </row>
    <row r="859" spans="1:11" s="27" customFormat="1" ht="17.25" hidden="1" customHeight="1" x14ac:dyDescent="0.25">
      <c r="A859" s="6"/>
      <c r="B859" s="450"/>
      <c r="C859" s="2473" t="s">
        <v>627</v>
      </c>
      <c r="D859" s="4066">
        <v>36042000</v>
      </c>
      <c r="E859" s="2685">
        <v>36042000</v>
      </c>
      <c r="F859" s="2708">
        <f>E859/D859*100</f>
        <v>100</v>
      </c>
      <c r="G859" s="2685">
        <v>100</v>
      </c>
      <c r="H859" s="1463"/>
      <c r="J859" s="995"/>
      <c r="K859" s="995"/>
    </row>
    <row r="860" spans="1:11" s="27" customFormat="1" ht="15" hidden="1" customHeight="1" x14ac:dyDescent="0.25">
      <c r="A860" s="6"/>
      <c r="B860" s="441"/>
      <c r="C860" s="2473" t="s">
        <v>628</v>
      </c>
      <c r="D860" s="4066">
        <v>1400000000</v>
      </c>
      <c r="E860" s="2855">
        <v>1400000000</v>
      </c>
      <c r="F860" s="2708">
        <f>E860/D860*100</f>
        <v>100</v>
      </c>
      <c r="G860" s="2690">
        <v>100</v>
      </c>
      <c r="H860" s="1463"/>
      <c r="J860" s="995"/>
      <c r="K860" s="995"/>
    </row>
    <row r="861" spans="1:11" ht="12" hidden="1" customHeight="1" x14ac:dyDescent="0.25">
      <c r="B861" s="441"/>
      <c r="C861" s="2476"/>
      <c r="D861" s="4071"/>
      <c r="E861" s="3054"/>
      <c r="F861" s="2690"/>
      <c r="G861" s="2690"/>
      <c r="H861" s="1463"/>
    </row>
    <row r="862" spans="1:11" s="12" customFormat="1" ht="19.5" customHeight="1" x14ac:dyDescent="0.25">
      <c r="B862" s="451"/>
      <c r="C862" s="3598" t="s">
        <v>629</v>
      </c>
      <c r="D862" s="4294">
        <f>SUM(D864+D939+D1010+D1017+D1033+D1047+D1051+D1077+D1093+D1138+D1155+D1160+D1180+D1191+D1206+D1218+D1249+D1272+D1303+D1315+D1322+D1333+D1337+D1341+D1345+D1349+D1353+D1357+D1361+D1365+D1369+D1373+D1377+D1381+D1385+D1389+D1393+D1397+D1401+D1405+D1414)</f>
        <v>165355445000</v>
      </c>
      <c r="E862" s="3699">
        <f>SUM(E864+E939+E1010+E1017+E1033+E1047+E1051+E1077+E1093+E1138+E1155+E1160+E1180+E1191+E1206+E1218+E1249+E1272+E1303+E1315+E1322+E1333+E1337+E1341+E1345+E1349+E1353+E1357+E1361+E1365+E1369+E1373+E1377+E1381+E1385+E1389+E1393+E1397+E1401+E1405+E1414)</f>
        <v>154618920721</v>
      </c>
      <c r="F862" s="3699">
        <f>E862/D862*100</f>
        <v>93.507002881580348</v>
      </c>
      <c r="G862" s="4003">
        <f>SUM(G864+G939+G1010+G1017+G1033+G1047+G1051+G1077+G1093+G1138+G1155+G1160+G1180+G1191+G1206+G1218+G1249+G1272+G1303+G1315+G1322+G1333+G1337+G1341+G1345+G1349+G1353+G1357+G1361+G1365+G1369+G1373+G1377+G1381+G1385+G1389+G1393+G1397+G1401+G1405+G1414)/41</f>
        <v>98.60116048720927</v>
      </c>
      <c r="H862" s="3961"/>
      <c r="J862" s="1209"/>
      <c r="K862" s="1209"/>
    </row>
    <row r="863" spans="1:11" s="13" customFormat="1" ht="6.75" hidden="1" customHeight="1" x14ac:dyDescent="0.25">
      <c r="B863" s="452"/>
      <c r="C863" s="2503"/>
      <c r="D863" s="4303"/>
      <c r="E863" s="4004"/>
      <c r="F863" s="2955"/>
      <c r="G863" s="2953"/>
      <c r="H863" s="3715"/>
      <c r="J863" s="1210"/>
      <c r="K863" s="1210"/>
    </row>
    <row r="864" spans="1:11" s="5" customFormat="1" ht="17.25" customHeight="1" x14ac:dyDescent="0.25">
      <c r="B864" s="453"/>
      <c r="C864" s="2523" t="s">
        <v>630</v>
      </c>
      <c r="D864" s="4313">
        <f>SUM(D865+D868+D885+D910+D917+D922+D926+D933+D936)</f>
        <v>32845725035</v>
      </c>
      <c r="E864" s="2962">
        <f>SUM(E865+E868+E885+E910+E917+E922+E926+E933+E936)</f>
        <v>31922157580</v>
      </c>
      <c r="F864" s="2962">
        <f>E864/D864*100</f>
        <v>97.188165418739089</v>
      </c>
      <c r="G864" s="2960">
        <f>SUM(G865+G868+G885+G910+G917+G922+G926+G933+G936)/9</f>
        <v>92.222222222222229</v>
      </c>
      <c r="H864" s="3715"/>
      <c r="J864" s="1205"/>
      <c r="K864" s="1205"/>
    </row>
    <row r="865" spans="2:11" s="5" customFormat="1" ht="18" customHeight="1" x14ac:dyDescent="0.25">
      <c r="B865" s="448"/>
      <c r="C865" s="2521" t="s">
        <v>36</v>
      </c>
      <c r="D865" s="4072">
        <f>D866</f>
        <v>535000000</v>
      </c>
      <c r="E865" s="2734">
        <f>E866</f>
        <v>533958000</v>
      </c>
      <c r="F865" s="2966">
        <f>E865/D865*100</f>
        <v>99.805233644859811</v>
      </c>
      <c r="G865" s="2966">
        <f>G866/1</f>
        <v>100</v>
      </c>
      <c r="H865" s="3715"/>
      <c r="J865" s="1205"/>
      <c r="K865" s="1205"/>
    </row>
    <row r="866" spans="2:11" s="5" customFormat="1" ht="16.5" hidden="1" customHeight="1" x14ac:dyDescent="0.25">
      <c r="B866" s="448"/>
      <c r="C866" s="2524" t="s">
        <v>631</v>
      </c>
      <c r="D866" s="3704">
        <v>535000000</v>
      </c>
      <c r="E866" s="2968">
        <v>533958000</v>
      </c>
      <c r="F866" s="2968">
        <f>E866/D866*100</f>
        <v>99.805233644859811</v>
      </c>
      <c r="G866" s="2968">
        <v>100</v>
      </c>
      <c r="H866" s="3715"/>
      <c r="J866" s="1205"/>
      <c r="K866" s="1205"/>
    </row>
    <row r="867" spans="2:11" s="5" customFormat="1" ht="10.5" hidden="1" customHeight="1" x14ac:dyDescent="0.25">
      <c r="B867" s="448"/>
      <c r="C867" s="2473"/>
      <c r="D867" s="4066"/>
      <c r="E867" s="2968"/>
      <c r="F867" s="2690"/>
      <c r="G867" s="2967"/>
      <c r="H867" s="3715"/>
      <c r="J867" s="1205"/>
      <c r="K867" s="1205"/>
    </row>
    <row r="868" spans="2:11" s="5" customFormat="1" ht="19.5" customHeight="1" x14ac:dyDescent="0.25">
      <c r="B868" s="448"/>
      <c r="C868" s="2525" t="s">
        <v>632</v>
      </c>
      <c r="D868" s="4065">
        <f>SUM(D869:D883)</f>
        <v>3028031100</v>
      </c>
      <c r="E868" s="2695">
        <f>SUM(E869:E883)</f>
        <v>2956805973</v>
      </c>
      <c r="F868" s="2695">
        <f>E868/D868*100</f>
        <v>97.647807283089008</v>
      </c>
      <c r="G868" s="2969">
        <f>SUM(G869:G883)/15</f>
        <v>100</v>
      </c>
      <c r="H868" s="3715"/>
      <c r="J868" s="1205"/>
      <c r="K868" s="1205"/>
    </row>
    <row r="869" spans="2:11" s="5" customFormat="1" ht="17.25" hidden="1" customHeight="1" x14ac:dyDescent="0.25">
      <c r="B869" s="448"/>
      <c r="C869" s="2524" t="s">
        <v>633</v>
      </c>
      <c r="D869" s="3704">
        <v>110365000</v>
      </c>
      <c r="E869" s="2968">
        <v>110225000</v>
      </c>
      <c r="F869" s="2690">
        <f>E869/D869*100</f>
        <v>99.873148190096501</v>
      </c>
      <c r="G869" s="2967">
        <v>100</v>
      </c>
      <c r="H869" s="3715"/>
      <c r="J869" s="1205"/>
      <c r="K869" s="1205"/>
    </row>
    <row r="870" spans="2:11" s="5" customFormat="1" ht="17.25" hidden="1" customHeight="1" x14ac:dyDescent="0.25">
      <c r="B870" s="448"/>
      <c r="C870" s="2524" t="s">
        <v>634</v>
      </c>
      <c r="D870" s="3704">
        <v>503800000</v>
      </c>
      <c r="E870" s="2968">
        <v>500675650</v>
      </c>
      <c r="F870" s="2690">
        <f t="shared" ref="F870:F883" si="63">E870/D870*100</f>
        <v>99.379843191742751</v>
      </c>
      <c r="G870" s="2968">
        <v>100</v>
      </c>
      <c r="H870" s="3715"/>
      <c r="J870" s="1205"/>
      <c r="K870" s="1205"/>
    </row>
    <row r="871" spans="2:11" s="5" customFormat="1" ht="16.5" hidden="1" customHeight="1" x14ac:dyDescent="0.25">
      <c r="B871" s="448"/>
      <c r="C871" s="2524" t="s">
        <v>635</v>
      </c>
      <c r="D871" s="3704">
        <v>247540000</v>
      </c>
      <c r="E871" s="2968">
        <v>234514000</v>
      </c>
      <c r="F871" s="2690">
        <f t="shared" si="63"/>
        <v>94.737820150278736</v>
      </c>
      <c r="G871" s="2967">
        <v>100</v>
      </c>
      <c r="H871" s="3715"/>
      <c r="J871" s="1205"/>
      <c r="K871" s="1205"/>
    </row>
    <row r="872" spans="2:11" s="5" customFormat="1" ht="14.25" hidden="1" customHeight="1" x14ac:dyDescent="0.25">
      <c r="B872" s="448"/>
      <c r="C872" s="2524" t="s">
        <v>636</v>
      </c>
      <c r="D872" s="3704">
        <v>72600000</v>
      </c>
      <c r="E872" s="2968">
        <v>62175023</v>
      </c>
      <c r="F872" s="2690">
        <f t="shared" si="63"/>
        <v>85.640527548209363</v>
      </c>
      <c r="G872" s="2968">
        <v>100</v>
      </c>
      <c r="H872" s="3715"/>
      <c r="J872" s="1205"/>
      <c r="K872" s="1205"/>
    </row>
    <row r="873" spans="2:11" s="5" customFormat="1" ht="17.25" hidden="1" customHeight="1" x14ac:dyDescent="0.25">
      <c r="B873" s="448"/>
      <c r="C873" s="2524" t="s">
        <v>637</v>
      </c>
      <c r="D873" s="3704">
        <v>228227000</v>
      </c>
      <c r="E873" s="2968">
        <v>228087000</v>
      </c>
      <c r="F873" s="2690">
        <f t="shared" si="63"/>
        <v>99.938657564617685</v>
      </c>
      <c r="G873" s="2967">
        <v>100</v>
      </c>
      <c r="H873" s="3715"/>
      <c r="J873" s="1205"/>
      <c r="K873" s="1205"/>
    </row>
    <row r="874" spans="2:11" s="5" customFormat="1" ht="27.75" hidden="1" customHeight="1" x14ac:dyDescent="0.25">
      <c r="B874" s="448"/>
      <c r="C874" s="2524" t="s">
        <v>638</v>
      </c>
      <c r="D874" s="3704">
        <v>56880000</v>
      </c>
      <c r="E874" s="2968">
        <v>52622800</v>
      </c>
      <c r="F874" s="2690">
        <f t="shared" si="63"/>
        <v>92.515471167369896</v>
      </c>
      <c r="G874" s="2967">
        <v>100</v>
      </c>
      <c r="H874" s="3715"/>
      <c r="J874" s="1205"/>
      <c r="K874" s="1205"/>
    </row>
    <row r="875" spans="2:11" s="5" customFormat="1" ht="30.75" hidden="1" customHeight="1" x14ac:dyDescent="0.25">
      <c r="B875" s="448"/>
      <c r="C875" s="2524" t="s">
        <v>639</v>
      </c>
      <c r="D875" s="3704">
        <v>187880000</v>
      </c>
      <c r="E875" s="2968">
        <v>170153100</v>
      </c>
      <c r="F875" s="2690">
        <f t="shared" si="63"/>
        <v>90.564775388545883</v>
      </c>
      <c r="G875" s="2967">
        <v>100</v>
      </c>
      <c r="H875" s="3715"/>
      <c r="J875" s="1205"/>
      <c r="K875" s="1205"/>
    </row>
    <row r="876" spans="2:11" s="5" customFormat="1" ht="30" hidden="1" customHeight="1" x14ac:dyDescent="0.25">
      <c r="B876" s="448"/>
      <c r="C876" s="2524" t="s">
        <v>640</v>
      </c>
      <c r="D876" s="3704">
        <v>228965000</v>
      </c>
      <c r="E876" s="2968">
        <v>218915000</v>
      </c>
      <c r="F876" s="2690">
        <f t="shared" si="63"/>
        <v>95.610682855458265</v>
      </c>
      <c r="G876" s="2967">
        <v>100</v>
      </c>
      <c r="H876" s="3715"/>
      <c r="J876" s="1205"/>
      <c r="K876" s="1205"/>
    </row>
    <row r="877" spans="2:11" s="5" customFormat="1" ht="17.25" hidden="1" customHeight="1" x14ac:dyDescent="0.25">
      <c r="B877" s="448"/>
      <c r="C877" s="2524" t="s">
        <v>641</v>
      </c>
      <c r="D877" s="3704">
        <v>177805000</v>
      </c>
      <c r="E877" s="2968">
        <v>169529300</v>
      </c>
      <c r="F877" s="2690">
        <f t="shared" si="63"/>
        <v>95.345631450184186</v>
      </c>
      <c r="G877" s="2967">
        <v>100</v>
      </c>
      <c r="H877" s="3715"/>
      <c r="J877" s="1205"/>
      <c r="K877" s="1205"/>
    </row>
    <row r="878" spans="2:11" s="5" customFormat="1" ht="18" hidden="1" customHeight="1" x14ac:dyDescent="0.25">
      <c r="B878" s="448"/>
      <c r="C878" s="2524" t="s">
        <v>642</v>
      </c>
      <c r="D878" s="3704">
        <v>71387100</v>
      </c>
      <c r="E878" s="2968">
        <v>71187100</v>
      </c>
      <c r="F878" s="2690">
        <f t="shared" si="63"/>
        <v>99.719837337558175</v>
      </c>
      <c r="G878" s="2967">
        <v>100</v>
      </c>
      <c r="H878" s="3715"/>
      <c r="J878" s="1205"/>
      <c r="K878" s="1205"/>
    </row>
    <row r="879" spans="2:11" s="5" customFormat="1" ht="17.25" hidden="1" customHeight="1" x14ac:dyDescent="0.25">
      <c r="B879" s="448"/>
      <c r="C879" s="2533" t="s">
        <v>643</v>
      </c>
      <c r="D879" s="4286">
        <v>196415000</v>
      </c>
      <c r="E879" s="2999">
        <v>193825000</v>
      </c>
      <c r="F879" s="2690">
        <f t="shared" si="63"/>
        <v>98.68136343965584</v>
      </c>
      <c r="G879" s="2967">
        <v>100</v>
      </c>
      <c r="H879" s="3716"/>
      <c r="J879" s="1205"/>
      <c r="K879" s="1205"/>
    </row>
    <row r="880" spans="2:11" s="5" customFormat="1" ht="16.5" hidden="1" customHeight="1" x14ac:dyDescent="0.25">
      <c r="B880" s="462"/>
      <c r="C880" s="2524" t="s">
        <v>644</v>
      </c>
      <c r="D880" s="3704">
        <v>207277000</v>
      </c>
      <c r="E880" s="2968">
        <v>207137000</v>
      </c>
      <c r="F880" s="2690">
        <f t="shared" si="63"/>
        <v>99.932457532673666</v>
      </c>
      <c r="G880" s="2967">
        <v>100</v>
      </c>
      <c r="H880" s="3715"/>
      <c r="J880" s="1205"/>
      <c r="K880" s="1205"/>
    </row>
    <row r="881" spans="2:11" s="5" customFormat="1" ht="18" hidden="1" customHeight="1" x14ac:dyDescent="0.25">
      <c r="B881" s="448"/>
      <c r="C881" s="2529" t="s">
        <v>645</v>
      </c>
      <c r="D881" s="4287">
        <v>217690000</v>
      </c>
      <c r="E881" s="3014">
        <v>217550000</v>
      </c>
      <c r="F881" s="2760">
        <f t="shared" si="63"/>
        <v>99.935688364187598</v>
      </c>
      <c r="G881" s="2967">
        <v>100</v>
      </c>
      <c r="H881" s="3717"/>
      <c r="J881" s="1205"/>
      <c r="K881" s="1205"/>
    </row>
    <row r="882" spans="2:11" s="5" customFormat="1" ht="17.25" hidden="1" customHeight="1" x14ac:dyDescent="0.25">
      <c r="B882" s="448"/>
      <c r="C882" s="2524" t="s">
        <v>646</v>
      </c>
      <c r="D882" s="3704">
        <v>146200000</v>
      </c>
      <c r="E882" s="2968">
        <v>145210000</v>
      </c>
      <c r="F882" s="2690">
        <f t="shared" si="63"/>
        <v>99.322845417236664</v>
      </c>
      <c r="G882" s="2967">
        <v>100</v>
      </c>
      <c r="H882" s="3715"/>
      <c r="J882" s="1205"/>
      <c r="K882" s="1205"/>
    </row>
    <row r="883" spans="2:11" s="5" customFormat="1" ht="21" hidden="1" customHeight="1" x14ac:dyDescent="0.25">
      <c r="B883" s="448"/>
      <c r="C883" s="2526" t="s">
        <v>647</v>
      </c>
      <c r="D883" s="3704">
        <v>375000000</v>
      </c>
      <c r="E883" s="2810">
        <v>375000000</v>
      </c>
      <c r="F883" s="2690">
        <f t="shared" si="63"/>
        <v>100</v>
      </c>
      <c r="G883" s="2967">
        <v>100</v>
      </c>
      <c r="H883" s="3715"/>
      <c r="J883" s="1205"/>
      <c r="K883" s="1205"/>
    </row>
    <row r="884" spans="2:11" s="5" customFormat="1" ht="11.25" hidden="1" customHeight="1" x14ac:dyDescent="0.25">
      <c r="B884" s="448"/>
      <c r="C884" s="2473"/>
      <c r="D884" s="4066"/>
      <c r="E884" s="2968"/>
      <c r="F884" s="2690"/>
      <c r="G884" s="2967"/>
      <c r="H884" s="3715"/>
      <c r="J884" s="1205"/>
      <c r="K884" s="1205"/>
    </row>
    <row r="885" spans="2:11" s="5" customFormat="1" ht="17.25" customHeight="1" x14ac:dyDescent="0.25">
      <c r="B885" s="448"/>
      <c r="C885" s="2521" t="s">
        <v>248</v>
      </c>
      <c r="D885" s="4065">
        <f>SUM(D886:D908)</f>
        <v>21144868800</v>
      </c>
      <c r="E885" s="2695">
        <f>SUM(E886:E908)</f>
        <v>20650313629</v>
      </c>
      <c r="F885" s="2695">
        <f>E885/D885*100</f>
        <v>97.661110240608352</v>
      </c>
      <c r="G885" s="2969">
        <f>SUM(G886:G908)/22</f>
        <v>100</v>
      </c>
      <c r="H885" s="3715"/>
      <c r="J885" s="1205"/>
      <c r="K885" s="1205"/>
    </row>
    <row r="886" spans="2:11" s="5" customFormat="1" ht="19.5" hidden="1" customHeight="1" x14ac:dyDescent="0.25">
      <c r="B886" s="448"/>
      <c r="C886" s="2473" t="s">
        <v>648</v>
      </c>
      <c r="D886" s="4066">
        <v>3651780000</v>
      </c>
      <c r="E886" s="2968">
        <v>3632532000</v>
      </c>
      <c r="F886" s="2690">
        <f>E886/D886*100</f>
        <v>99.472914578643838</v>
      </c>
      <c r="G886" s="2967">
        <v>100</v>
      </c>
      <c r="H886" s="3715"/>
      <c r="J886" s="1205"/>
      <c r="K886" s="1205"/>
    </row>
    <row r="887" spans="2:11" s="5" customFormat="1" ht="16.5" hidden="1" customHeight="1" x14ac:dyDescent="0.25">
      <c r="B887" s="448"/>
      <c r="C887" s="2526" t="s">
        <v>649</v>
      </c>
      <c r="D887" s="4066">
        <v>123560000</v>
      </c>
      <c r="E887" s="2968">
        <v>113360000</v>
      </c>
      <c r="F887" s="2690">
        <f>E887/D887*100</f>
        <v>91.744901262544516</v>
      </c>
      <c r="G887" s="2967">
        <v>100</v>
      </c>
      <c r="H887" s="3715"/>
      <c r="J887" s="1205"/>
      <c r="K887" s="1205"/>
    </row>
    <row r="888" spans="2:11" s="5" customFormat="1" ht="15.75" hidden="1" customHeight="1" x14ac:dyDescent="0.25">
      <c r="B888" s="448"/>
      <c r="C888" s="2473" t="s">
        <v>650</v>
      </c>
      <c r="D888" s="4066">
        <v>3440500000</v>
      </c>
      <c r="E888" s="2968">
        <v>3390755500</v>
      </c>
      <c r="F888" s="2690">
        <f t="shared" ref="F888:F908" si="64">E888/D888*100</f>
        <v>98.554149106234561</v>
      </c>
      <c r="G888" s="2967">
        <v>100</v>
      </c>
      <c r="H888" s="3715"/>
      <c r="J888" s="1205"/>
      <c r="K888" s="1205"/>
    </row>
    <row r="889" spans="2:11" s="5" customFormat="1" ht="13.5" hidden="1" customHeight="1" x14ac:dyDescent="0.25">
      <c r="B889" s="448"/>
      <c r="C889" s="2526" t="s">
        <v>651</v>
      </c>
      <c r="D889" s="4066">
        <v>3551160000</v>
      </c>
      <c r="E889" s="2968">
        <v>3508472100</v>
      </c>
      <c r="F889" s="2690">
        <f t="shared" si="64"/>
        <v>98.797916737066188</v>
      </c>
      <c r="G889" s="2967">
        <v>100</v>
      </c>
      <c r="H889" s="3715"/>
      <c r="J889" s="1205"/>
      <c r="K889" s="1205"/>
    </row>
    <row r="890" spans="2:11" s="5" customFormat="1" ht="15.75" hidden="1" customHeight="1" x14ac:dyDescent="0.25">
      <c r="B890" s="448"/>
      <c r="C890" s="2473" t="s">
        <v>3854</v>
      </c>
      <c r="D890" s="4066">
        <v>1923982000</v>
      </c>
      <c r="E890" s="2968">
        <v>1809310000</v>
      </c>
      <c r="F890" s="2690">
        <f t="shared" si="64"/>
        <v>94.039861079781417</v>
      </c>
      <c r="G890" s="2967">
        <v>100</v>
      </c>
      <c r="H890" s="3715"/>
      <c r="J890" s="1205"/>
      <c r="K890" s="1205"/>
    </row>
    <row r="891" spans="2:11" s="5" customFormat="1" ht="13.5" hidden="1" customHeight="1" x14ac:dyDescent="0.25">
      <c r="B891" s="448"/>
      <c r="C891" s="2473" t="s">
        <v>652</v>
      </c>
      <c r="D891" s="4066">
        <v>867841000</v>
      </c>
      <c r="E891" s="2968">
        <v>834790000</v>
      </c>
      <c r="F891" s="2690">
        <f t="shared" si="64"/>
        <v>96.191583481305912</v>
      </c>
      <c r="G891" s="2967">
        <v>100</v>
      </c>
      <c r="H891" s="3715"/>
      <c r="J891" s="1205"/>
      <c r="K891" s="1205"/>
    </row>
    <row r="892" spans="2:11" s="5" customFormat="1" ht="17.25" hidden="1" customHeight="1" x14ac:dyDescent="0.25">
      <c r="B892" s="448"/>
      <c r="C892" s="2473" t="s">
        <v>653</v>
      </c>
      <c r="D892" s="4066">
        <v>497772000</v>
      </c>
      <c r="E892" s="2968">
        <v>481368600</v>
      </c>
      <c r="F892" s="2690">
        <f t="shared" si="64"/>
        <v>96.704635857380481</v>
      </c>
      <c r="G892" s="2967">
        <v>100</v>
      </c>
      <c r="H892" s="3715"/>
      <c r="J892" s="1205"/>
      <c r="K892" s="1205"/>
    </row>
    <row r="893" spans="2:11" s="5" customFormat="1" ht="16.5" hidden="1" customHeight="1" x14ac:dyDescent="0.25">
      <c r="B893" s="448"/>
      <c r="C893" s="2473" t="s">
        <v>654</v>
      </c>
      <c r="D893" s="4066">
        <v>455950000</v>
      </c>
      <c r="E893" s="2968">
        <v>449999000</v>
      </c>
      <c r="F893" s="2690">
        <f t="shared" si="64"/>
        <v>98.69481302774426</v>
      </c>
      <c r="G893" s="2967">
        <v>100</v>
      </c>
      <c r="H893" s="3715"/>
      <c r="J893" s="1205"/>
      <c r="K893" s="1205"/>
    </row>
    <row r="894" spans="2:11" s="5" customFormat="1" ht="28.5" hidden="1" customHeight="1" x14ac:dyDescent="0.25">
      <c r="B894" s="448"/>
      <c r="C894" s="2473" t="s">
        <v>3855</v>
      </c>
      <c r="D894" s="4066">
        <v>268394400</v>
      </c>
      <c r="E894" s="2968">
        <v>264986777</v>
      </c>
      <c r="F894" s="2690">
        <f t="shared" si="64"/>
        <v>98.730367325100673</v>
      </c>
      <c r="G894" s="2967">
        <v>100</v>
      </c>
      <c r="H894" s="3715"/>
      <c r="J894" s="1205"/>
      <c r="K894" s="1205"/>
    </row>
    <row r="895" spans="2:11" s="5" customFormat="1" ht="15" hidden="1" customHeight="1" x14ac:dyDescent="0.25">
      <c r="B895" s="448"/>
      <c r="C895" s="2473" t="s">
        <v>3856</v>
      </c>
      <c r="D895" s="4066">
        <v>50175000</v>
      </c>
      <c r="E895" s="2968">
        <v>47237100</v>
      </c>
      <c r="F895" s="2690">
        <f t="shared" si="64"/>
        <v>94.144693572496266</v>
      </c>
      <c r="G895" s="2967">
        <v>100</v>
      </c>
      <c r="H895" s="3715"/>
      <c r="J895" s="1205"/>
      <c r="K895" s="1205"/>
    </row>
    <row r="896" spans="2:11" s="5" customFormat="1" ht="15.75" hidden="1" customHeight="1" x14ac:dyDescent="0.25">
      <c r="B896" s="448"/>
      <c r="C896" s="2473" t="s">
        <v>3857</v>
      </c>
      <c r="D896" s="4066">
        <v>5325000</v>
      </c>
      <c r="E896" s="2690">
        <v>5325000</v>
      </c>
      <c r="F896" s="2690">
        <f t="shared" si="64"/>
        <v>100</v>
      </c>
      <c r="G896" s="2967">
        <v>100</v>
      </c>
      <c r="H896" s="3715"/>
      <c r="J896" s="1205"/>
      <c r="K896" s="1205"/>
    </row>
    <row r="897" spans="2:11" s="5" customFormat="1" ht="14.25" hidden="1" customHeight="1" x14ac:dyDescent="0.25">
      <c r="B897" s="448"/>
      <c r="C897" s="2473" t="s">
        <v>3858</v>
      </c>
      <c r="D897" s="4066">
        <v>1266858800</v>
      </c>
      <c r="E897" s="2968">
        <v>1190586600</v>
      </c>
      <c r="F897" s="2690">
        <f t="shared" si="64"/>
        <v>93.979423752670783</v>
      </c>
      <c r="G897" s="2967">
        <v>100</v>
      </c>
      <c r="H897" s="3715"/>
      <c r="J897" s="1205"/>
      <c r="K897" s="1205"/>
    </row>
    <row r="898" spans="2:11" s="5" customFormat="1" ht="13.5" hidden="1" customHeight="1" x14ac:dyDescent="0.25">
      <c r="B898" s="448"/>
      <c r="C898" s="2473" t="s">
        <v>3859</v>
      </c>
      <c r="D898" s="4066">
        <v>2011327000</v>
      </c>
      <c r="E898" s="2968">
        <v>1921934000</v>
      </c>
      <c r="F898" s="2690">
        <f t="shared" si="64"/>
        <v>95.555521305088632</v>
      </c>
      <c r="G898" s="2967">
        <v>100</v>
      </c>
      <c r="H898" s="3715"/>
      <c r="J898" s="1205"/>
      <c r="K898" s="1205"/>
    </row>
    <row r="899" spans="2:11" s="5" customFormat="1" ht="13.5" hidden="1" customHeight="1" x14ac:dyDescent="0.25">
      <c r="B899" s="448"/>
      <c r="C899" s="2473" t="s">
        <v>3860</v>
      </c>
      <c r="D899" s="4066">
        <v>112200000</v>
      </c>
      <c r="E899" s="2690">
        <v>112200000</v>
      </c>
      <c r="F899" s="2690">
        <f t="shared" si="64"/>
        <v>100</v>
      </c>
      <c r="G899" s="2967">
        <v>100</v>
      </c>
      <c r="H899" s="3715"/>
      <c r="J899" s="1205"/>
      <c r="K899" s="1205"/>
    </row>
    <row r="900" spans="2:11" s="5" customFormat="1" ht="15.75" hidden="1" customHeight="1" x14ac:dyDescent="0.25">
      <c r="B900" s="448"/>
      <c r="C900" s="2526" t="s">
        <v>655</v>
      </c>
      <c r="D900" s="4066">
        <v>256738000</v>
      </c>
      <c r="E900" s="2968">
        <v>250408000</v>
      </c>
      <c r="F900" s="2690">
        <f t="shared" si="64"/>
        <v>97.534451464138542</v>
      </c>
      <c r="G900" s="2967">
        <v>100</v>
      </c>
      <c r="H900" s="3715"/>
      <c r="J900" s="1205"/>
      <c r="K900" s="1205"/>
    </row>
    <row r="901" spans="2:11" s="5" customFormat="1" ht="15" hidden="1" customHeight="1" x14ac:dyDescent="0.25">
      <c r="B901" s="448"/>
      <c r="C901" s="2524" t="s">
        <v>656</v>
      </c>
      <c r="D901" s="4066">
        <v>395750000</v>
      </c>
      <c r="E901" s="2968">
        <v>388820800</v>
      </c>
      <c r="F901" s="2690">
        <f t="shared" si="64"/>
        <v>98.24909665192672</v>
      </c>
      <c r="G901" s="2967">
        <v>100</v>
      </c>
      <c r="H901" s="3715"/>
      <c r="J901" s="1205"/>
      <c r="K901" s="1205"/>
    </row>
    <row r="902" spans="2:11" s="5" customFormat="1" ht="15.75" hidden="1" customHeight="1" x14ac:dyDescent="0.25">
      <c r="B902" s="448"/>
      <c r="C902" s="2526" t="s">
        <v>657</v>
      </c>
      <c r="D902" s="4066">
        <v>84045600</v>
      </c>
      <c r="E902" s="2968">
        <v>84045600</v>
      </c>
      <c r="F902" s="2690">
        <f t="shared" si="64"/>
        <v>100</v>
      </c>
      <c r="G902" s="2967">
        <v>100</v>
      </c>
      <c r="H902" s="3715"/>
      <c r="J902" s="1205"/>
      <c r="K902" s="1205"/>
    </row>
    <row r="903" spans="2:11" s="5" customFormat="1" ht="15.75" hidden="1" customHeight="1" x14ac:dyDescent="0.25">
      <c r="B903" s="448"/>
      <c r="C903" s="2526" t="s">
        <v>3861</v>
      </c>
      <c r="D903" s="4066">
        <v>110500000</v>
      </c>
      <c r="E903" s="2968">
        <v>100982950</v>
      </c>
      <c r="F903" s="2690">
        <f t="shared" si="64"/>
        <v>91.387285067873307</v>
      </c>
      <c r="G903" s="2967">
        <v>100</v>
      </c>
      <c r="H903" s="3715"/>
      <c r="J903" s="1205"/>
      <c r="K903" s="1205"/>
    </row>
    <row r="904" spans="2:11" s="5" customFormat="1" ht="13.5" hidden="1" customHeight="1" x14ac:dyDescent="0.25">
      <c r="B904" s="448"/>
      <c r="C904" s="2473" t="s">
        <v>3862</v>
      </c>
      <c r="D904" s="4071">
        <v>212775000</v>
      </c>
      <c r="E904" s="2999">
        <v>208716802</v>
      </c>
      <c r="F904" s="2690">
        <f t="shared" si="64"/>
        <v>98.092727999060031</v>
      </c>
      <c r="G904" s="2967">
        <v>100</v>
      </c>
      <c r="H904" s="3715"/>
      <c r="J904" s="1205"/>
      <c r="K904" s="1205"/>
    </row>
    <row r="905" spans="2:11" s="5" customFormat="1" ht="15" hidden="1" customHeight="1" x14ac:dyDescent="0.25">
      <c r="B905" s="448"/>
      <c r="C905" s="2475" t="s">
        <v>3863</v>
      </c>
      <c r="D905" s="4071">
        <v>213575000</v>
      </c>
      <c r="E905" s="2999">
        <v>210822800</v>
      </c>
      <c r="F905" s="2690">
        <f t="shared" si="64"/>
        <v>98.711366030668373</v>
      </c>
      <c r="G905" s="2967">
        <v>100</v>
      </c>
      <c r="H905" s="3715"/>
      <c r="J905" s="1205"/>
      <c r="K905" s="1205"/>
    </row>
    <row r="906" spans="2:11" s="5" customFormat="1" ht="15.75" hidden="1" customHeight="1" x14ac:dyDescent="0.25">
      <c r="B906" s="448"/>
      <c r="C906" s="2473" t="s">
        <v>3864</v>
      </c>
      <c r="D906" s="4071">
        <v>0</v>
      </c>
      <c r="E906" s="2710">
        <v>0</v>
      </c>
      <c r="F906" s="2710">
        <v>0</v>
      </c>
      <c r="G906" s="2710">
        <v>0</v>
      </c>
      <c r="H906" s="3715"/>
      <c r="J906" s="1205"/>
      <c r="K906" s="1205"/>
    </row>
    <row r="907" spans="2:11" s="5" customFormat="1" ht="17.25" hidden="1" customHeight="1" x14ac:dyDescent="0.25">
      <c r="B907" s="448"/>
      <c r="C907" s="2473" t="s">
        <v>3865</v>
      </c>
      <c r="D907" s="4071">
        <v>500400000</v>
      </c>
      <c r="E907" s="2710">
        <v>500400000</v>
      </c>
      <c r="F907" s="2690">
        <f t="shared" si="64"/>
        <v>100</v>
      </c>
      <c r="G907" s="2967">
        <v>100</v>
      </c>
      <c r="H907" s="3715"/>
      <c r="J907" s="1205"/>
      <c r="K907" s="1205"/>
    </row>
    <row r="908" spans="2:11" s="5" customFormat="1" ht="17.25" hidden="1" customHeight="1" x14ac:dyDescent="0.25">
      <c r="B908" s="448"/>
      <c r="C908" s="2473" t="s">
        <v>3866</v>
      </c>
      <c r="D908" s="4071">
        <v>1144260000</v>
      </c>
      <c r="E908" s="2999">
        <v>1143260000</v>
      </c>
      <c r="F908" s="2690">
        <f t="shared" si="64"/>
        <v>99.912607274570462</v>
      </c>
      <c r="G908" s="2967">
        <v>100</v>
      </c>
      <c r="H908" s="3715"/>
      <c r="J908" s="1205"/>
      <c r="K908" s="1205"/>
    </row>
    <row r="909" spans="2:11" s="5" customFormat="1" ht="9.75" hidden="1" customHeight="1" x14ac:dyDescent="0.25">
      <c r="B909" s="448"/>
      <c r="C909" s="2473"/>
      <c r="D909" s="4071"/>
      <c r="E909" s="2999"/>
      <c r="F909" s="2690"/>
      <c r="G909" s="2967"/>
      <c r="H909" s="3715"/>
      <c r="J909" s="1205"/>
      <c r="K909" s="1205"/>
    </row>
    <row r="910" spans="2:11" s="5" customFormat="1" ht="14.25" customHeight="1" x14ac:dyDescent="0.25">
      <c r="B910" s="448"/>
      <c r="C910" s="2521" t="s">
        <v>658</v>
      </c>
      <c r="D910" s="3628">
        <f>SUM(D911:D915)</f>
        <v>2540270000</v>
      </c>
      <c r="E910" s="3628">
        <f>SUM(E911:E915)</f>
        <v>2484163968</v>
      </c>
      <c r="F910" s="4005">
        <f>E910/D910*100</f>
        <v>97.791335881618878</v>
      </c>
      <c r="G910" s="4006">
        <f>SUM(G911:G915)/4</f>
        <v>100</v>
      </c>
      <c r="H910" s="3715"/>
      <c r="J910" s="1205"/>
      <c r="K910" s="1205"/>
    </row>
    <row r="911" spans="2:11" s="5" customFormat="1" ht="15" hidden="1" customHeight="1" x14ac:dyDescent="0.25">
      <c r="B911" s="448"/>
      <c r="C911" s="2524" t="s">
        <v>659</v>
      </c>
      <c r="D911" s="3622">
        <v>206840000</v>
      </c>
      <c r="E911" s="4007">
        <v>206840000</v>
      </c>
      <c r="F911" s="4008">
        <f t="shared" ref="F911:F915" si="65">E911/D911*100</f>
        <v>100</v>
      </c>
      <c r="G911" s="3623">
        <v>100</v>
      </c>
      <c r="H911" s="3715"/>
      <c r="J911" s="1205"/>
      <c r="K911" s="1205"/>
    </row>
    <row r="912" spans="2:11" s="5" customFormat="1" ht="13.5" hidden="1" customHeight="1" x14ac:dyDescent="0.25">
      <c r="B912" s="448"/>
      <c r="C912" s="2524" t="s">
        <v>660</v>
      </c>
      <c r="D912" s="4071">
        <v>0</v>
      </c>
      <c r="E912" s="2710">
        <v>0</v>
      </c>
      <c r="F912" s="2710">
        <v>0</v>
      </c>
      <c r="G912" s="2710">
        <v>0</v>
      </c>
      <c r="H912" s="3715"/>
      <c r="J912" s="1205"/>
      <c r="K912" s="1205"/>
    </row>
    <row r="913" spans="2:11" s="5" customFormat="1" ht="13.5" hidden="1" customHeight="1" x14ac:dyDescent="0.25">
      <c r="B913" s="448"/>
      <c r="C913" s="2524" t="s">
        <v>6690</v>
      </c>
      <c r="D913" s="3622">
        <v>578700000</v>
      </c>
      <c r="E913" s="3622">
        <v>569186700</v>
      </c>
      <c r="F913" s="4008">
        <f t="shared" si="65"/>
        <v>98.356091238983936</v>
      </c>
      <c r="G913" s="3623">
        <v>100</v>
      </c>
      <c r="H913" s="3715"/>
      <c r="J913" s="1205"/>
      <c r="K913" s="1205"/>
    </row>
    <row r="914" spans="2:11" s="5" customFormat="1" ht="15.75" hidden="1" customHeight="1" x14ac:dyDescent="0.25">
      <c r="B914" s="448"/>
      <c r="C914" s="2524" t="s">
        <v>661</v>
      </c>
      <c r="D914" s="3622">
        <v>789240000</v>
      </c>
      <c r="E914" s="3622">
        <v>789240000</v>
      </c>
      <c r="F914" s="4008">
        <f t="shared" si="65"/>
        <v>100</v>
      </c>
      <c r="G914" s="3623">
        <v>100</v>
      </c>
      <c r="H914" s="3715"/>
      <c r="J914" s="1205"/>
      <c r="K914" s="1205"/>
    </row>
    <row r="915" spans="2:11" s="5" customFormat="1" ht="14.25" hidden="1" customHeight="1" x14ac:dyDescent="0.25">
      <c r="B915" s="448"/>
      <c r="C915" s="2524" t="s">
        <v>662</v>
      </c>
      <c r="D915" s="4009">
        <v>965490000</v>
      </c>
      <c r="E915" s="4009">
        <v>918897268</v>
      </c>
      <c r="F915" s="4010">
        <f t="shared" si="65"/>
        <v>95.174188028876529</v>
      </c>
      <c r="G915" s="3623">
        <v>100</v>
      </c>
      <c r="H915" s="3715"/>
      <c r="J915" s="1205"/>
      <c r="K915" s="1205"/>
    </row>
    <row r="916" spans="2:11" s="5" customFormat="1" ht="9.75" hidden="1" customHeight="1" x14ac:dyDescent="0.25">
      <c r="B916" s="448"/>
      <c r="C916" s="2473"/>
      <c r="D916" s="4066"/>
      <c r="E916" s="2968"/>
      <c r="F916" s="2690"/>
      <c r="G916" s="2967"/>
      <c r="H916" s="3715"/>
      <c r="J916" s="1205"/>
      <c r="K916" s="1205"/>
    </row>
    <row r="917" spans="2:11" s="5" customFormat="1" ht="16.5" customHeight="1" x14ac:dyDescent="0.25">
      <c r="B917" s="448"/>
      <c r="C917" s="2521" t="s">
        <v>663</v>
      </c>
      <c r="D917" s="4305">
        <f>SUM(D918:D920)</f>
        <v>748083906</v>
      </c>
      <c r="E917" s="2785">
        <f>SUM(E918:E920)</f>
        <v>697075175</v>
      </c>
      <c r="F917" s="4005">
        <f>E917/D917*100</f>
        <v>93.181415802307072</v>
      </c>
      <c r="G917" s="2966">
        <f>SUM(G918:G920)/3</f>
        <v>100</v>
      </c>
      <c r="H917" s="3715"/>
      <c r="J917" s="1205"/>
      <c r="K917" s="1205"/>
    </row>
    <row r="918" spans="2:11" s="5" customFormat="1" ht="14.25" hidden="1" customHeight="1" x14ac:dyDescent="0.25">
      <c r="B918" s="448"/>
      <c r="C918" s="2524" t="s">
        <v>664</v>
      </c>
      <c r="D918" s="3622">
        <v>364708906</v>
      </c>
      <c r="E918" s="2967">
        <v>355841000</v>
      </c>
      <c r="F918" s="4010">
        <f t="shared" ref="F918:F920" si="66">E918/D918*100</f>
        <v>97.568497545820833</v>
      </c>
      <c r="G918" s="2967">
        <v>100</v>
      </c>
      <c r="H918" s="3715"/>
      <c r="J918" s="1205"/>
      <c r="K918" s="1205"/>
    </row>
    <row r="919" spans="2:11" s="5" customFormat="1" ht="16.5" hidden="1" customHeight="1" x14ac:dyDescent="0.25">
      <c r="B919" s="448"/>
      <c r="C919" s="2524" t="s">
        <v>665</v>
      </c>
      <c r="D919" s="3622">
        <v>195300000</v>
      </c>
      <c r="E919" s="2967">
        <v>194800000</v>
      </c>
      <c r="F919" s="4010">
        <f t="shared" si="66"/>
        <v>99.743983614951361</v>
      </c>
      <c r="G919" s="2967">
        <v>100</v>
      </c>
      <c r="H919" s="3715"/>
      <c r="J919" s="1205"/>
      <c r="K919" s="1205"/>
    </row>
    <row r="920" spans="2:11" s="5" customFormat="1" ht="15" hidden="1" customHeight="1" x14ac:dyDescent="0.25">
      <c r="B920" s="448"/>
      <c r="C920" s="2533" t="s">
        <v>666</v>
      </c>
      <c r="D920" s="3625">
        <v>188075000</v>
      </c>
      <c r="E920" s="3625">
        <v>146434175</v>
      </c>
      <c r="F920" s="4010">
        <f t="shared" si="66"/>
        <v>77.859457663166282</v>
      </c>
      <c r="G920" s="2999">
        <v>100</v>
      </c>
      <c r="H920" s="3716"/>
      <c r="J920" s="1205"/>
      <c r="K920" s="1205"/>
    </row>
    <row r="921" spans="2:11" s="5" customFormat="1" ht="16.5" hidden="1" customHeight="1" x14ac:dyDescent="0.25">
      <c r="B921" s="462"/>
      <c r="C921" s="2527"/>
      <c r="D921" s="4276"/>
      <c r="E921" s="2966"/>
      <c r="F921" s="2966"/>
      <c r="G921" s="2966"/>
      <c r="H921" s="3715"/>
      <c r="J921" s="1205"/>
      <c r="K921" s="1205"/>
    </row>
    <row r="922" spans="2:11" s="5" customFormat="1" ht="18" customHeight="1" x14ac:dyDescent="0.25">
      <c r="B922" s="448"/>
      <c r="C922" s="2538" t="s">
        <v>667</v>
      </c>
      <c r="D922" s="4072">
        <f>SUM(D923:D924)</f>
        <v>757500000</v>
      </c>
      <c r="E922" s="2734">
        <f>SUM(E923:E924)</f>
        <v>756000000</v>
      </c>
      <c r="F922" s="4011">
        <f>E922/D922*100</f>
        <v>99.801980198019805</v>
      </c>
      <c r="G922" s="2997">
        <f>SUM(G923:G924)/2</f>
        <v>50</v>
      </c>
      <c r="H922" s="3717"/>
      <c r="J922" s="1205"/>
      <c r="K922" s="1205"/>
    </row>
    <row r="923" spans="2:11" s="5" customFormat="1" ht="14.25" hidden="1" customHeight="1" x14ac:dyDescent="0.25">
      <c r="B923" s="448"/>
      <c r="C923" s="2524" t="s">
        <v>668</v>
      </c>
      <c r="D923" s="4066">
        <v>1500000</v>
      </c>
      <c r="E923" s="2968">
        <v>0</v>
      </c>
      <c r="F923" s="2967">
        <v>0</v>
      </c>
      <c r="G923" s="2967">
        <v>0</v>
      </c>
      <c r="H923" s="3715"/>
      <c r="J923" s="1205"/>
      <c r="K923" s="1205"/>
    </row>
    <row r="924" spans="2:11" s="5" customFormat="1" ht="18" hidden="1" customHeight="1" x14ac:dyDescent="0.25">
      <c r="B924" s="448"/>
      <c r="C924" s="2524" t="s">
        <v>669</v>
      </c>
      <c r="D924" s="4066">
        <v>756000000</v>
      </c>
      <c r="E924" s="3620">
        <v>756000000</v>
      </c>
      <c r="F924" s="4008">
        <f>E924/D924*100</f>
        <v>100</v>
      </c>
      <c r="G924" s="2967">
        <v>100</v>
      </c>
      <c r="H924" s="3715"/>
      <c r="J924" s="1205"/>
      <c r="K924" s="1205"/>
    </row>
    <row r="925" spans="2:11" s="5" customFormat="1" ht="12" hidden="1" customHeight="1" x14ac:dyDescent="0.25">
      <c r="B925" s="448"/>
      <c r="C925" s="2528"/>
      <c r="D925" s="4285"/>
      <c r="E925" s="2968"/>
      <c r="F925" s="2690"/>
      <c r="G925" s="2967"/>
      <c r="H925" s="3715"/>
      <c r="J925" s="1205"/>
      <c r="K925" s="1205"/>
    </row>
    <row r="926" spans="2:11" s="5" customFormat="1" ht="17.25" customHeight="1" x14ac:dyDescent="0.25">
      <c r="B926" s="448"/>
      <c r="C926" s="2525" t="s">
        <v>670</v>
      </c>
      <c r="D926" s="4065">
        <f>SUM(D927:D931)</f>
        <v>3059533794</v>
      </c>
      <c r="E926" s="2695">
        <f>SUM(E927:E931)</f>
        <v>2854627302</v>
      </c>
      <c r="F926" s="4005">
        <f>E926/D926*100</f>
        <v>93.302689043610542</v>
      </c>
      <c r="G926" s="2969">
        <f>SUM(G927:G931)/5</f>
        <v>80</v>
      </c>
      <c r="H926" s="3715"/>
      <c r="J926" s="1205"/>
      <c r="K926" s="1205"/>
    </row>
    <row r="927" spans="2:11" s="5" customFormat="1" ht="17.25" hidden="1" customHeight="1" x14ac:dyDescent="0.25">
      <c r="B927" s="448"/>
      <c r="C927" s="3621" t="s">
        <v>3867</v>
      </c>
      <c r="D927" s="3622">
        <v>6768000</v>
      </c>
      <c r="E927" s="2968">
        <v>0</v>
      </c>
      <c r="F927" s="2968">
        <v>0</v>
      </c>
      <c r="G927" s="2968">
        <v>0</v>
      </c>
      <c r="H927" s="3715"/>
      <c r="J927" s="1205"/>
      <c r="K927" s="1205"/>
    </row>
    <row r="928" spans="2:11" s="5" customFormat="1" ht="15.75" hidden="1" customHeight="1" x14ac:dyDescent="0.25">
      <c r="B928" s="448"/>
      <c r="C928" s="2524" t="s">
        <v>3868</v>
      </c>
      <c r="D928" s="3622">
        <v>693322000</v>
      </c>
      <c r="E928" s="3620">
        <v>687120000</v>
      </c>
      <c r="F928" s="4008">
        <f>E928/D928*100</f>
        <v>99.10546614704279</v>
      </c>
      <c r="G928" s="2967">
        <v>100</v>
      </c>
      <c r="H928" s="3715"/>
      <c r="J928" s="1205"/>
      <c r="K928" s="1205"/>
    </row>
    <row r="929" spans="2:11" s="5" customFormat="1" ht="16.5" hidden="1" customHeight="1" x14ac:dyDescent="0.25">
      <c r="B929" s="448"/>
      <c r="C929" s="2524" t="s">
        <v>3869</v>
      </c>
      <c r="D929" s="3622">
        <v>248993794</v>
      </c>
      <c r="E929" s="2968">
        <v>236992500</v>
      </c>
      <c r="F929" s="4008">
        <f t="shared" ref="F929:F931" si="67">E929/D929*100</f>
        <v>95.180083082713296</v>
      </c>
      <c r="G929" s="2967">
        <v>100</v>
      </c>
      <c r="H929" s="3715"/>
      <c r="J929" s="1205"/>
      <c r="K929" s="1205"/>
    </row>
    <row r="930" spans="2:11" s="5" customFormat="1" ht="16.5" hidden="1" customHeight="1" x14ac:dyDescent="0.25">
      <c r="B930" s="448"/>
      <c r="C930" s="2524" t="s">
        <v>3870</v>
      </c>
      <c r="D930" s="3622">
        <v>163600000</v>
      </c>
      <c r="E930" s="3620">
        <v>113125000</v>
      </c>
      <c r="F930" s="4008">
        <f t="shared" si="67"/>
        <v>69.147310513447437</v>
      </c>
      <c r="G930" s="2967">
        <v>100</v>
      </c>
      <c r="H930" s="3715"/>
      <c r="J930" s="1205"/>
      <c r="K930" s="1205"/>
    </row>
    <row r="931" spans="2:11" s="5" customFormat="1" ht="16.5" hidden="1" customHeight="1" x14ac:dyDescent="0.25">
      <c r="B931" s="448"/>
      <c r="C931" s="2524" t="s">
        <v>3871</v>
      </c>
      <c r="D931" s="3622">
        <v>1946850000</v>
      </c>
      <c r="E931" s="3622">
        <v>1817389802</v>
      </c>
      <c r="F931" s="4008">
        <f t="shared" si="67"/>
        <v>93.350273621491127</v>
      </c>
      <c r="G931" s="2967">
        <v>100</v>
      </c>
      <c r="H931" s="3715"/>
      <c r="J931" s="1205"/>
      <c r="K931" s="1205"/>
    </row>
    <row r="932" spans="2:11" s="5" customFormat="1" ht="8.25" hidden="1" customHeight="1" x14ac:dyDescent="0.25">
      <c r="B932" s="448"/>
      <c r="C932" s="2527"/>
      <c r="D932" s="4276"/>
      <c r="E932" s="3998"/>
      <c r="F932" s="2695"/>
      <c r="G932" s="2969"/>
      <c r="H932" s="3715"/>
      <c r="J932" s="1205"/>
      <c r="K932" s="1205"/>
    </row>
    <row r="933" spans="2:11" s="5" customFormat="1" ht="18.75" customHeight="1" x14ac:dyDescent="0.25">
      <c r="B933" s="448"/>
      <c r="C933" s="2525" t="s">
        <v>671</v>
      </c>
      <c r="D933" s="4065">
        <f>D934</f>
        <v>596457435</v>
      </c>
      <c r="E933" s="2695">
        <f>E934</f>
        <v>555333533</v>
      </c>
      <c r="F933" s="4005">
        <f>E933/D933*100</f>
        <v>93.105308176768716</v>
      </c>
      <c r="G933" s="2969">
        <f>G934</f>
        <v>100</v>
      </c>
      <c r="H933" s="3715"/>
      <c r="J933" s="1205"/>
      <c r="K933" s="1205"/>
    </row>
    <row r="934" spans="2:11" s="5" customFormat="1" ht="16.5" hidden="1" customHeight="1" x14ac:dyDescent="0.25">
      <c r="B934" s="448"/>
      <c r="C934" s="2529" t="s">
        <v>672</v>
      </c>
      <c r="D934" s="4301">
        <v>596457435</v>
      </c>
      <c r="E934" s="3622">
        <v>555333533</v>
      </c>
      <c r="F934" s="4008">
        <f>E934/D934*100</f>
        <v>93.105308176768716</v>
      </c>
      <c r="G934" s="2967">
        <v>100</v>
      </c>
      <c r="H934" s="3715"/>
      <c r="J934" s="1205"/>
      <c r="K934" s="1205"/>
    </row>
    <row r="935" spans="2:11" s="5" customFormat="1" ht="8.25" hidden="1" customHeight="1" x14ac:dyDescent="0.25">
      <c r="B935" s="448"/>
      <c r="C935" s="2473"/>
      <c r="D935" s="4066"/>
      <c r="E935" s="2968"/>
      <c r="F935" s="2968"/>
      <c r="G935" s="2968"/>
      <c r="H935" s="3715"/>
      <c r="J935" s="1205"/>
      <c r="K935" s="1205"/>
    </row>
    <row r="936" spans="2:11" s="5" customFormat="1" ht="15.75" customHeight="1" x14ac:dyDescent="0.25">
      <c r="B936" s="448"/>
      <c r="C936" s="2521" t="s">
        <v>673</v>
      </c>
      <c r="D936" s="4305">
        <f>D937</f>
        <v>435980000</v>
      </c>
      <c r="E936" s="2785">
        <f>E937</f>
        <v>433880000</v>
      </c>
      <c r="F936" s="4005">
        <f>E936/D936*100</f>
        <v>99.518326528739848</v>
      </c>
      <c r="G936" s="2966">
        <f>G937</f>
        <v>100</v>
      </c>
      <c r="H936" s="3715"/>
      <c r="J936" s="1205"/>
      <c r="K936" s="1205"/>
    </row>
    <row r="937" spans="2:11" s="5" customFormat="1" ht="18" hidden="1" customHeight="1" x14ac:dyDescent="0.25">
      <c r="B937" s="448"/>
      <c r="C937" s="2524" t="s">
        <v>674</v>
      </c>
      <c r="D937" s="4066">
        <v>435980000</v>
      </c>
      <c r="E937" s="3622">
        <v>433880000</v>
      </c>
      <c r="F937" s="4008">
        <f>E937/D937*100</f>
        <v>99.518326528739848</v>
      </c>
      <c r="G937" s="2968">
        <v>100</v>
      </c>
      <c r="H937" s="3715"/>
      <c r="J937" s="1205"/>
      <c r="K937" s="1205"/>
    </row>
    <row r="938" spans="2:11" s="5" customFormat="1" ht="12" hidden="1" customHeight="1" x14ac:dyDescent="0.25">
      <c r="B938" s="448"/>
      <c r="C938" s="2476"/>
      <c r="D938" s="4286"/>
      <c r="E938" s="2999"/>
      <c r="F938" s="2710"/>
      <c r="G938" s="2985"/>
      <c r="H938" s="3715"/>
      <c r="J938" s="1205"/>
      <c r="K938" s="1205"/>
    </row>
    <row r="939" spans="2:11" s="5" customFormat="1" ht="17.25" customHeight="1" x14ac:dyDescent="0.25">
      <c r="B939" s="453"/>
      <c r="C939" s="2530" t="s">
        <v>398</v>
      </c>
      <c r="D939" s="4106">
        <f>D940+D944+D947+D950+D965+D968+D971+D976+D980+D983+D990+D995+D998+D1004+D1007</f>
        <v>10965047510</v>
      </c>
      <c r="E939" s="2672">
        <f>E940+E944+E947+E950+E965+E968+E971+E976+E980+E983+E990+E995+E998+E1004+E1007</f>
        <v>10162355834</v>
      </c>
      <c r="F939" s="2672">
        <f>E939/D939*100</f>
        <v>92.679542197441876</v>
      </c>
      <c r="G939" s="2670">
        <f>SUM(G940+G944+G947+G950+G965+G968+G971+G976+G980+G983+G990+G995+G998+G1004+G1007)/15</f>
        <v>96.435897435897431</v>
      </c>
      <c r="H939" s="3715"/>
      <c r="J939" s="1205"/>
      <c r="K939" s="1205"/>
    </row>
    <row r="940" spans="2:11" s="5" customFormat="1" ht="18" customHeight="1" x14ac:dyDescent="0.25">
      <c r="B940" s="448"/>
      <c r="C940" s="2521" t="s">
        <v>675</v>
      </c>
      <c r="D940" s="4305">
        <f>D941+D942</f>
        <v>1384052776</v>
      </c>
      <c r="E940" s="2785">
        <f>E941+E942</f>
        <v>1370852776</v>
      </c>
      <c r="F940" s="4005">
        <f>E940/D940*100</f>
        <v>99.046279142754315</v>
      </c>
      <c r="G940" s="2990">
        <f>SUM(G941:G942)/2</f>
        <v>100</v>
      </c>
      <c r="H940" s="3715"/>
      <c r="J940" s="1205"/>
      <c r="K940" s="1205"/>
    </row>
    <row r="941" spans="2:11" s="5" customFormat="1" ht="15.75" hidden="1" customHeight="1" x14ac:dyDescent="0.25">
      <c r="B941" s="448"/>
      <c r="C941" s="2524" t="s">
        <v>676</v>
      </c>
      <c r="D941" s="3622">
        <v>223052776</v>
      </c>
      <c r="E941" s="3620">
        <v>220752776</v>
      </c>
      <c r="F941" s="4008">
        <f>E941/D941*100</f>
        <v>98.96885390029847</v>
      </c>
      <c r="G941" s="2968">
        <v>100</v>
      </c>
      <c r="H941" s="3715"/>
      <c r="J941" s="1205"/>
      <c r="K941" s="1205"/>
    </row>
    <row r="942" spans="2:11" s="5" customFormat="1" ht="15.75" hidden="1" customHeight="1" x14ac:dyDescent="0.25">
      <c r="B942" s="448"/>
      <c r="C942" s="2526" t="s">
        <v>677</v>
      </c>
      <c r="D942" s="3622">
        <v>1161000000</v>
      </c>
      <c r="E942" s="3620">
        <v>1150100000</v>
      </c>
      <c r="F942" s="4008">
        <f>E942/D942*100</f>
        <v>99.061154177433252</v>
      </c>
      <c r="G942" s="2968">
        <v>100</v>
      </c>
      <c r="H942" s="3715"/>
      <c r="J942" s="1205"/>
      <c r="K942" s="1205"/>
    </row>
    <row r="943" spans="2:11" s="5" customFormat="1" ht="8.25" hidden="1" customHeight="1" x14ac:dyDescent="0.25">
      <c r="B943" s="448"/>
      <c r="C943" s="2527"/>
      <c r="D943" s="4276"/>
      <c r="E943" s="2968"/>
      <c r="F943" s="2690"/>
      <c r="G943" s="2967"/>
      <c r="H943" s="3715"/>
      <c r="J943" s="1205"/>
      <c r="K943" s="1205"/>
    </row>
    <row r="944" spans="2:11" s="5" customFormat="1" ht="18" customHeight="1" x14ac:dyDescent="0.25">
      <c r="B944" s="448"/>
      <c r="C944" s="2521" t="s">
        <v>678</v>
      </c>
      <c r="D944" s="4065">
        <f>D945</f>
        <v>320930000</v>
      </c>
      <c r="E944" s="2695">
        <f>E945</f>
        <v>304530711</v>
      </c>
      <c r="F944" s="4005">
        <f>E944/D944*100</f>
        <v>94.890072913096319</v>
      </c>
      <c r="G944" s="2969">
        <f>G945</f>
        <v>100</v>
      </c>
      <c r="H944" s="3715"/>
      <c r="J944" s="1205"/>
      <c r="K944" s="1205"/>
    </row>
    <row r="945" spans="2:11" s="5" customFormat="1" ht="17.25" hidden="1" customHeight="1" x14ac:dyDescent="0.25">
      <c r="B945" s="448"/>
      <c r="C945" s="2524" t="s">
        <v>679</v>
      </c>
      <c r="D945" s="3625">
        <v>320930000</v>
      </c>
      <c r="E945" s="3623">
        <v>304530711</v>
      </c>
      <c r="F945" s="4008">
        <f>E945/D945*100</f>
        <v>94.890072913096319</v>
      </c>
      <c r="G945" s="2967">
        <v>100</v>
      </c>
      <c r="H945" s="3715"/>
      <c r="J945" s="1205"/>
      <c r="K945" s="1205"/>
    </row>
    <row r="946" spans="2:11" s="5" customFormat="1" ht="9" hidden="1" customHeight="1" x14ac:dyDescent="0.25">
      <c r="B946" s="448"/>
      <c r="C946" s="2524"/>
      <c r="D946" s="4066"/>
      <c r="E946" s="2968"/>
      <c r="F946" s="2690"/>
      <c r="G946" s="2967"/>
      <c r="H946" s="3715"/>
      <c r="J946" s="1205"/>
      <c r="K946" s="1205"/>
    </row>
    <row r="947" spans="2:11" s="5" customFormat="1" ht="19.5" customHeight="1" x14ac:dyDescent="0.25">
      <c r="B947" s="448"/>
      <c r="C947" s="2525" t="s">
        <v>680</v>
      </c>
      <c r="D947" s="4065">
        <f>SUM(D948)</f>
        <v>110597224</v>
      </c>
      <c r="E947" s="2695">
        <f>SUM(E948)</f>
        <v>83215050</v>
      </c>
      <c r="F947" s="4005">
        <f>E947/D947*100</f>
        <v>75.241535899671405</v>
      </c>
      <c r="G947" s="2969">
        <f>G948</f>
        <v>100</v>
      </c>
      <c r="H947" s="3715"/>
      <c r="J947" s="1205"/>
      <c r="K947" s="1205"/>
    </row>
    <row r="948" spans="2:11" s="5" customFormat="1" ht="17.25" hidden="1" customHeight="1" x14ac:dyDescent="0.25">
      <c r="B948" s="448"/>
      <c r="C948" s="2524" t="s">
        <v>681</v>
      </c>
      <c r="D948" s="3622">
        <v>110597224</v>
      </c>
      <c r="E948" s="3620">
        <v>83215050</v>
      </c>
      <c r="F948" s="4008">
        <f>E948/D948*100</f>
        <v>75.241535899671405</v>
      </c>
      <c r="G948" s="2968">
        <v>100</v>
      </c>
      <c r="H948" s="3715"/>
      <c r="J948" s="1205"/>
      <c r="K948" s="1205"/>
    </row>
    <row r="949" spans="2:11" s="5" customFormat="1" ht="10.5" hidden="1" customHeight="1" x14ac:dyDescent="0.25">
      <c r="B949" s="448"/>
      <c r="C949" s="2531"/>
      <c r="D949" s="4299"/>
      <c r="E949" s="2968"/>
      <c r="F949" s="2690"/>
      <c r="G949" s="2967"/>
      <c r="H949" s="3715"/>
      <c r="J949" s="1205"/>
      <c r="K949" s="1205"/>
    </row>
    <row r="950" spans="2:11" s="5" customFormat="1" ht="15.75" customHeight="1" x14ac:dyDescent="0.25">
      <c r="B950" s="448"/>
      <c r="C950" s="2525" t="s">
        <v>682</v>
      </c>
      <c r="D950" s="4065">
        <f>SUM(D951:D963)</f>
        <v>3620127037</v>
      </c>
      <c r="E950" s="2695">
        <f>SUM(E951:E963)</f>
        <v>3183299737</v>
      </c>
      <c r="F950" s="4005">
        <f>E950/D950*100</f>
        <v>87.933370969158062</v>
      </c>
      <c r="G950" s="2969">
        <f>SUM(G951:G963)/13</f>
        <v>96.538461538461533</v>
      </c>
      <c r="H950" s="3715"/>
      <c r="J950" s="1205"/>
      <c r="K950" s="1205"/>
    </row>
    <row r="951" spans="2:11" s="5" customFormat="1" ht="15.75" hidden="1" customHeight="1" x14ac:dyDescent="0.25">
      <c r="B951" s="448"/>
      <c r="C951" s="2526" t="s">
        <v>683</v>
      </c>
      <c r="D951" s="4154">
        <v>341600000</v>
      </c>
      <c r="E951" s="3620">
        <v>210300000</v>
      </c>
      <c r="F951" s="4008">
        <f>E951/D951*100</f>
        <v>61.563231850117091</v>
      </c>
      <c r="G951" s="2967">
        <v>100</v>
      </c>
      <c r="H951" s="3715"/>
      <c r="J951" s="1205"/>
      <c r="K951" s="1205"/>
    </row>
    <row r="952" spans="2:11" s="5" customFormat="1" ht="14.25" hidden="1" customHeight="1" x14ac:dyDescent="0.25">
      <c r="B952" s="448"/>
      <c r="C952" s="2524" t="s">
        <v>684</v>
      </c>
      <c r="D952" s="4066">
        <v>359500000</v>
      </c>
      <c r="E952" s="3620">
        <v>358500000</v>
      </c>
      <c r="F952" s="4008">
        <f t="shared" ref="F952:F963" si="68">E952/D952*100</f>
        <v>99.721835883171067</v>
      </c>
      <c r="G952" s="2967">
        <v>100</v>
      </c>
      <c r="H952" s="3715"/>
      <c r="J952" s="1205"/>
      <c r="K952" s="1205"/>
    </row>
    <row r="953" spans="2:11" s="5" customFormat="1" ht="15.75" hidden="1" customHeight="1" x14ac:dyDescent="0.25">
      <c r="B953" s="448"/>
      <c r="C953" s="2526" t="s">
        <v>685</v>
      </c>
      <c r="D953" s="4301">
        <v>50000000</v>
      </c>
      <c r="E953" s="2968">
        <v>50000000</v>
      </c>
      <c r="F953" s="4008">
        <f t="shared" si="68"/>
        <v>100</v>
      </c>
      <c r="G953" s="2967">
        <v>100</v>
      </c>
      <c r="H953" s="3715"/>
      <c r="J953" s="1205"/>
      <c r="K953" s="1205"/>
    </row>
    <row r="954" spans="2:11" s="5" customFormat="1" ht="15.75" hidden="1" customHeight="1" x14ac:dyDescent="0.25">
      <c r="B954" s="448"/>
      <c r="C954" s="2524" t="s">
        <v>686</v>
      </c>
      <c r="D954" s="4066">
        <v>501100000</v>
      </c>
      <c r="E954" s="3620">
        <v>498600000</v>
      </c>
      <c r="F954" s="4008">
        <f t="shared" si="68"/>
        <v>99.501097585312309</v>
      </c>
      <c r="G954" s="2967">
        <v>100</v>
      </c>
      <c r="H954" s="3715"/>
      <c r="J954" s="1205"/>
      <c r="K954" s="1205"/>
    </row>
    <row r="955" spans="2:11" s="5" customFormat="1" ht="15" hidden="1" customHeight="1" x14ac:dyDescent="0.25">
      <c r="B955" s="448"/>
      <c r="C955" s="2524" t="s">
        <v>687</v>
      </c>
      <c r="D955" s="4066">
        <v>247084000</v>
      </c>
      <c r="E955" s="3620">
        <v>246893200</v>
      </c>
      <c r="F955" s="4008">
        <f t="shared" si="68"/>
        <v>99.922779297728709</v>
      </c>
      <c r="G955" s="2967">
        <v>100</v>
      </c>
      <c r="H955" s="3715"/>
      <c r="J955" s="1205"/>
      <c r="K955" s="1205"/>
    </row>
    <row r="956" spans="2:11" s="5" customFormat="1" ht="15.75" hidden="1" customHeight="1" x14ac:dyDescent="0.25">
      <c r="B956" s="448"/>
      <c r="C956" s="2524" t="s">
        <v>688</v>
      </c>
      <c r="D956" s="4066">
        <v>266630037</v>
      </c>
      <c r="E956" s="3620">
        <v>262062037</v>
      </c>
      <c r="F956" s="4008">
        <f t="shared" si="68"/>
        <v>98.286764667853234</v>
      </c>
      <c r="G956" s="2967">
        <v>100</v>
      </c>
      <c r="H956" s="3715"/>
      <c r="J956" s="1205"/>
      <c r="K956" s="1205"/>
    </row>
    <row r="957" spans="2:11" s="5" customFormat="1" ht="15" hidden="1" customHeight="1" x14ac:dyDescent="0.25">
      <c r="B957" s="448"/>
      <c r="C957" s="2524" t="s">
        <v>689</v>
      </c>
      <c r="D957" s="4066">
        <v>230155500</v>
      </c>
      <c r="E957" s="3620">
        <v>116795000</v>
      </c>
      <c r="F957" s="4008">
        <f t="shared" si="68"/>
        <v>50.746125988733702</v>
      </c>
      <c r="G957" s="2967">
        <v>55</v>
      </c>
      <c r="H957" s="3715"/>
      <c r="J957" s="1205"/>
      <c r="K957" s="1205"/>
    </row>
    <row r="958" spans="2:11" s="5" customFormat="1" ht="14.25" hidden="1" customHeight="1" x14ac:dyDescent="0.25">
      <c r="B958" s="448"/>
      <c r="C958" s="2524" t="s">
        <v>690</v>
      </c>
      <c r="D958" s="4066">
        <v>250990000</v>
      </c>
      <c r="E958" s="3620">
        <v>244600000</v>
      </c>
      <c r="F958" s="4008">
        <f t="shared" si="68"/>
        <v>97.454081835929713</v>
      </c>
      <c r="G958" s="2967">
        <v>100</v>
      </c>
      <c r="H958" s="3715"/>
      <c r="J958" s="1205"/>
      <c r="K958" s="1205"/>
    </row>
    <row r="959" spans="2:11" s="5" customFormat="1" ht="15.75" hidden="1" customHeight="1" x14ac:dyDescent="0.25">
      <c r="B959" s="448"/>
      <c r="C959" s="2524" t="s">
        <v>691</v>
      </c>
      <c r="D959" s="4066">
        <v>231030000</v>
      </c>
      <c r="E959" s="3623">
        <v>185824000</v>
      </c>
      <c r="F959" s="4008">
        <f t="shared" si="68"/>
        <v>80.43284421936545</v>
      </c>
      <c r="G959" s="2967">
        <v>100</v>
      </c>
      <c r="H959" s="3715"/>
      <c r="J959" s="1205"/>
      <c r="K959" s="1205"/>
    </row>
    <row r="960" spans="2:11" s="5" customFormat="1" ht="17.25" hidden="1" customHeight="1" x14ac:dyDescent="0.25">
      <c r="B960" s="448"/>
      <c r="C960" s="2524" t="s">
        <v>692</v>
      </c>
      <c r="D960" s="4066">
        <v>255317000</v>
      </c>
      <c r="E960" s="3620">
        <v>165501000</v>
      </c>
      <c r="F960" s="4008">
        <f t="shared" si="68"/>
        <v>64.821770583235732</v>
      </c>
      <c r="G960" s="2967">
        <v>100</v>
      </c>
      <c r="H960" s="3715"/>
      <c r="J960" s="1205"/>
      <c r="K960" s="1205"/>
    </row>
    <row r="961" spans="2:11" s="5" customFormat="1" ht="15" hidden="1" customHeight="1" x14ac:dyDescent="0.25">
      <c r="B961" s="448"/>
      <c r="C961" s="2524" t="s">
        <v>693</v>
      </c>
      <c r="D961" s="4066">
        <v>251278000</v>
      </c>
      <c r="E961" s="3620">
        <v>237687000</v>
      </c>
      <c r="F961" s="4008">
        <f t="shared" si="68"/>
        <v>94.591249532390421</v>
      </c>
      <c r="G961" s="2967">
        <v>100</v>
      </c>
      <c r="H961" s="3715"/>
      <c r="J961" s="1205"/>
      <c r="K961" s="1205"/>
    </row>
    <row r="962" spans="2:11" s="5" customFormat="1" ht="15.75" hidden="1" customHeight="1" x14ac:dyDescent="0.25">
      <c r="B962" s="448"/>
      <c r="C962" s="2524" t="s">
        <v>694</v>
      </c>
      <c r="D962" s="4066">
        <v>334529500</v>
      </c>
      <c r="E962" s="3620">
        <v>312484500</v>
      </c>
      <c r="F962" s="4008">
        <f t="shared" si="68"/>
        <v>93.410147685032257</v>
      </c>
      <c r="G962" s="2967">
        <v>100</v>
      </c>
      <c r="H962" s="3715"/>
      <c r="J962" s="1205"/>
      <c r="K962" s="1205"/>
    </row>
    <row r="963" spans="2:11" s="5" customFormat="1" ht="15.75" hidden="1" customHeight="1" x14ac:dyDescent="0.25">
      <c r="B963" s="448"/>
      <c r="C963" s="2533" t="s">
        <v>695</v>
      </c>
      <c r="D963" s="4071">
        <v>300913000</v>
      </c>
      <c r="E963" s="3623">
        <v>294053000</v>
      </c>
      <c r="F963" s="4010">
        <f t="shared" si="68"/>
        <v>97.720271307653704</v>
      </c>
      <c r="G963" s="2967">
        <v>100</v>
      </c>
      <c r="H963" s="3716"/>
      <c r="J963" s="1205"/>
      <c r="K963" s="1205"/>
    </row>
    <row r="964" spans="2:11" s="5" customFormat="1" ht="9.75" hidden="1" customHeight="1" x14ac:dyDescent="0.25">
      <c r="B964" s="462"/>
      <c r="C964" s="2527"/>
      <c r="D964" s="4276"/>
      <c r="E964" s="2968"/>
      <c r="F964" s="2690"/>
      <c r="G964" s="2967"/>
      <c r="H964" s="3715"/>
      <c r="J964" s="1205"/>
      <c r="K964" s="1205"/>
    </row>
    <row r="965" spans="2:11" s="5" customFormat="1" ht="17.25" customHeight="1" x14ac:dyDescent="0.25">
      <c r="B965" s="448"/>
      <c r="C965" s="2538" t="s">
        <v>696</v>
      </c>
      <c r="D965" s="4072">
        <f>D966</f>
        <v>154200000</v>
      </c>
      <c r="E965" s="2734">
        <f>E966</f>
        <v>154000000</v>
      </c>
      <c r="F965" s="4011">
        <f>E965/D965*100</f>
        <v>99.870298313878081</v>
      </c>
      <c r="G965" s="2734">
        <f>G966</f>
        <v>100</v>
      </c>
      <c r="H965" s="3717"/>
      <c r="J965" s="1205"/>
      <c r="K965" s="1205"/>
    </row>
    <row r="966" spans="2:11" s="5" customFormat="1" ht="18" hidden="1" customHeight="1" x14ac:dyDescent="0.25">
      <c r="B966" s="448"/>
      <c r="C966" s="2524" t="s">
        <v>697</v>
      </c>
      <c r="D966" s="4066">
        <v>154200000</v>
      </c>
      <c r="E966" s="3622">
        <v>154000000</v>
      </c>
      <c r="F966" s="4008">
        <f>E966/D966*100</f>
        <v>99.870298313878081</v>
      </c>
      <c r="G966" s="2690">
        <v>100</v>
      </c>
      <c r="H966" s="3715"/>
      <c r="J966" s="1205"/>
      <c r="K966" s="1205"/>
    </row>
    <row r="967" spans="2:11" s="5" customFormat="1" ht="12.75" hidden="1" customHeight="1" x14ac:dyDescent="0.25">
      <c r="B967" s="448"/>
      <c r="C967" s="2527"/>
      <c r="D967" s="4276"/>
      <c r="E967" s="2968"/>
      <c r="F967" s="2690"/>
      <c r="G967" s="2967"/>
      <c r="H967" s="3715"/>
      <c r="J967" s="1205"/>
      <c r="K967" s="1205"/>
    </row>
    <row r="968" spans="2:11" s="5" customFormat="1" ht="18" customHeight="1" x14ac:dyDescent="0.25">
      <c r="B968" s="448"/>
      <c r="C968" s="2521" t="s">
        <v>698</v>
      </c>
      <c r="D968" s="4305">
        <f>D969</f>
        <v>93700000</v>
      </c>
      <c r="E968" s="2785">
        <f>E969</f>
        <v>93700000</v>
      </c>
      <c r="F968" s="4005">
        <f>E968/D968*100</f>
        <v>100</v>
      </c>
      <c r="G968" s="2969">
        <f>G969</f>
        <v>100</v>
      </c>
      <c r="H968" s="3715"/>
      <c r="J968" s="1205"/>
      <c r="K968" s="1205"/>
    </row>
    <row r="969" spans="2:11" s="5" customFormat="1" ht="14.25" hidden="1" customHeight="1" x14ac:dyDescent="0.25">
      <c r="B969" s="448"/>
      <c r="C969" s="2524" t="s">
        <v>699</v>
      </c>
      <c r="D969" s="4066">
        <v>93700000</v>
      </c>
      <c r="E969" s="3622">
        <v>93700000</v>
      </c>
      <c r="F969" s="4008">
        <f>E969/D969*100</f>
        <v>100</v>
      </c>
      <c r="G969" s="2967">
        <v>100</v>
      </c>
      <c r="H969" s="3715"/>
      <c r="J969" s="1205"/>
      <c r="K969" s="1205"/>
    </row>
    <row r="970" spans="2:11" s="5" customFormat="1" ht="12" hidden="1" customHeight="1" x14ac:dyDescent="0.25">
      <c r="B970" s="448"/>
      <c r="C970" s="2527"/>
      <c r="D970" s="4276"/>
      <c r="E970" s="2968"/>
      <c r="F970" s="2690"/>
      <c r="G970" s="2967"/>
      <c r="H970" s="3715"/>
      <c r="J970" s="1205"/>
      <c r="K970" s="1205"/>
    </row>
    <row r="971" spans="2:11" s="5" customFormat="1" ht="18" customHeight="1" x14ac:dyDescent="0.25">
      <c r="B971" s="448"/>
      <c r="C971" s="2525" t="s">
        <v>700</v>
      </c>
      <c r="D971" s="4065">
        <f>SUM(D972:D974)</f>
        <v>162500000</v>
      </c>
      <c r="E971" s="2695">
        <f>SUM(E972:E974)</f>
        <v>159500000</v>
      </c>
      <c r="F971" s="4005">
        <f>E971/D971*100</f>
        <v>98.15384615384616</v>
      </c>
      <c r="G971" s="2969">
        <f>SUM(G972:G974)/3</f>
        <v>100</v>
      </c>
      <c r="H971" s="3715"/>
      <c r="J971" s="1205"/>
      <c r="K971" s="1205"/>
    </row>
    <row r="972" spans="2:11" s="5" customFormat="1" ht="15" hidden="1" customHeight="1" x14ac:dyDescent="0.25">
      <c r="B972" s="448"/>
      <c r="C972" s="2526" t="s">
        <v>701</v>
      </c>
      <c r="D972" s="3622">
        <v>98100000</v>
      </c>
      <c r="E972" s="3622">
        <v>98100000</v>
      </c>
      <c r="F972" s="4008">
        <f>E972/D972*100</f>
        <v>100</v>
      </c>
      <c r="G972" s="2967">
        <v>100</v>
      </c>
      <c r="H972" s="3715"/>
      <c r="J972" s="1205"/>
      <c r="K972" s="1205"/>
    </row>
    <row r="973" spans="2:11" s="5" customFormat="1" ht="18" hidden="1" customHeight="1" x14ac:dyDescent="0.25">
      <c r="B973" s="448"/>
      <c r="C973" s="2524" t="s">
        <v>702</v>
      </c>
      <c r="D973" s="3622">
        <v>48900000</v>
      </c>
      <c r="E973" s="2968">
        <v>45900000</v>
      </c>
      <c r="F973" s="4008">
        <f>E973/D973*100</f>
        <v>93.865030674846622</v>
      </c>
      <c r="G973" s="2967">
        <v>100</v>
      </c>
      <c r="H973" s="3715"/>
      <c r="J973" s="1205"/>
      <c r="K973" s="1205"/>
    </row>
    <row r="974" spans="2:11" s="5" customFormat="1" ht="16.5" hidden="1" customHeight="1" x14ac:dyDescent="0.25">
      <c r="B974" s="448"/>
      <c r="C974" s="2526" t="s">
        <v>703</v>
      </c>
      <c r="D974" s="3622">
        <v>15500000</v>
      </c>
      <c r="E974" s="3622">
        <v>15500000</v>
      </c>
      <c r="F974" s="4008">
        <f>E974/D974*100</f>
        <v>100</v>
      </c>
      <c r="G974" s="2967">
        <v>100</v>
      </c>
      <c r="H974" s="3715"/>
      <c r="J974" s="1205"/>
      <c r="K974" s="1205"/>
    </row>
    <row r="975" spans="2:11" s="5" customFormat="1" ht="10.5" hidden="1" customHeight="1" x14ac:dyDescent="0.25">
      <c r="B975" s="448"/>
      <c r="C975" s="2527"/>
      <c r="D975" s="4276"/>
      <c r="E975" s="2968"/>
      <c r="F975" s="2690"/>
      <c r="G975" s="2967"/>
      <c r="H975" s="3715"/>
      <c r="J975" s="1205"/>
      <c r="K975" s="1205"/>
    </row>
    <row r="976" spans="2:11" s="5" customFormat="1" ht="20.25" customHeight="1" x14ac:dyDescent="0.25">
      <c r="B976" s="448"/>
      <c r="C976" s="2525" t="s">
        <v>704</v>
      </c>
      <c r="D976" s="4065">
        <f>D977+D978</f>
        <v>479843260</v>
      </c>
      <c r="E976" s="2695">
        <f>E977+E978</f>
        <v>408908760</v>
      </c>
      <c r="F976" s="4005">
        <f>E976/D976*100</f>
        <v>85.217151950826604</v>
      </c>
      <c r="G976" s="2969">
        <f>SUM(G977:G978)/2</f>
        <v>100</v>
      </c>
      <c r="H976" s="3715"/>
      <c r="J976" s="1205"/>
      <c r="K976" s="1205"/>
    </row>
    <row r="977" spans="2:11" s="5" customFormat="1" ht="30" hidden="1" customHeight="1" x14ac:dyDescent="0.25">
      <c r="B977" s="448"/>
      <c r="C977" s="2524" t="s">
        <v>705</v>
      </c>
      <c r="D977" s="4066">
        <v>404343260</v>
      </c>
      <c r="E977" s="3622">
        <v>333408760</v>
      </c>
      <c r="F977" s="4008">
        <f>E977/D977*100</f>
        <v>82.456861034359761</v>
      </c>
      <c r="G977" s="2967">
        <v>100</v>
      </c>
      <c r="H977" s="3715"/>
      <c r="J977" s="1205"/>
      <c r="K977" s="1205"/>
    </row>
    <row r="978" spans="2:11" s="5" customFormat="1" ht="15.75" hidden="1" customHeight="1" x14ac:dyDescent="0.25">
      <c r="B978" s="448"/>
      <c r="C978" s="2526" t="s">
        <v>706</v>
      </c>
      <c r="D978" s="4301">
        <v>75500000</v>
      </c>
      <c r="E978" s="3625">
        <v>75500000</v>
      </c>
      <c r="F978" s="4008">
        <f>E978/D978*100</f>
        <v>100</v>
      </c>
      <c r="G978" s="2967">
        <v>100</v>
      </c>
      <c r="H978" s="3715"/>
      <c r="J978" s="1205"/>
      <c r="K978" s="1205"/>
    </row>
    <row r="979" spans="2:11" s="5" customFormat="1" ht="9" hidden="1" customHeight="1" x14ac:dyDescent="0.25">
      <c r="B979" s="448"/>
      <c r="C979" s="2527"/>
      <c r="D979" s="4276"/>
      <c r="E979" s="2968"/>
      <c r="F979" s="2690"/>
      <c r="G979" s="2967"/>
      <c r="H979" s="3715"/>
      <c r="J979" s="1205"/>
      <c r="K979" s="1205"/>
    </row>
    <row r="980" spans="2:11" s="5" customFormat="1" ht="18" customHeight="1" x14ac:dyDescent="0.25">
      <c r="B980" s="448"/>
      <c r="C980" s="2521" t="s">
        <v>707</v>
      </c>
      <c r="D980" s="4305">
        <f>SUM(D981)</f>
        <v>65000000</v>
      </c>
      <c r="E980" s="2785">
        <f>SUM(E981)</f>
        <v>63735000</v>
      </c>
      <c r="F980" s="4005">
        <f>E980/D980*100</f>
        <v>98.053846153846152</v>
      </c>
      <c r="G980" s="2969">
        <f>G981</f>
        <v>100</v>
      </c>
      <c r="H980" s="3715"/>
      <c r="J980" s="1205"/>
      <c r="K980" s="1205"/>
    </row>
    <row r="981" spans="2:11" s="5" customFormat="1" ht="17.25" hidden="1" customHeight="1" x14ac:dyDescent="0.25">
      <c r="B981" s="448"/>
      <c r="C981" s="2524" t="s">
        <v>708</v>
      </c>
      <c r="D981" s="4066">
        <v>65000000</v>
      </c>
      <c r="E981" s="3622">
        <v>63735000</v>
      </c>
      <c r="F981" s="4008">
        <f>E981/D981*100</f>
        <v>98.053846153846152</v>
      </c>
      <c r="G981" s="2967">
        <v>100</v>
      </c>
      <c r="H981" s="3715"/>
      <c r="J981" s="1205"/>
      <c r="K981" s="1205"/>
    </row>
    <row r="982" spans="2:11" s="5" customFormat="1" ht="9" hidden="1" customHeight="1" x14ac:dyDescent="0.25">
      <c r="B982" s="448"/>
      <c r="C982" s="2527"/>
      <c r="D982" s="4276"/>
      <c r="E982" s="2968"/>
      <c r="F982" s="2690"/>
      <c r="G982" s="2967"/>
      <c r="H982" s="3715"/>
      <c r="J982" s="1205"/>
      <c r="K982" s="1205"/>
    </row>
    <row r="983" spans="2:11" s="4" customFormat="1" ht="21.75" customHeight="1" x14ac:dyDescent="0.25">
      <c r="B983" s="441"/>
      <c r="C983" s="2525" t="s">
        <v>709</v>
      </c>
      <c r="D983" s="4065">
        <f>SUM(D984:D988)</f>
        <v>435038000</v>
      </c>
      <c r="E983" s="2695">
        <f>SUM(E984:E988)</f>
        <v>419335800</v>
      </c>
      <c r="F983" s="4005">
        <f>E983/D983*100</f>
        <v>96.390614153246375</v>
      </c>
      <c r="G983" s="2966">
        <f>SUM(G984:G988)/5</f>
        <v>100</v>
      </c>
      <c r="H983" s="1462"/>
      <c r="J983" s="1204"/>
      <c r="K983" s="1204"/>
    </row>
    <row r="984" spans="2:11" s="5" customFormat="1" ht="15" hidden="1" customHeight="1" x14ac:dyDescent="0.25">
      <c r="B984" s="448"/>
      <c r="C984" s="2524" t="s">
        <v>710</v>
      </c>
      <c r="D984" s="4066">
        <v>149443000</v>
      </c>
      <c r="E984" s="3622">
        <v>141443000</v>
      </c>
      <c r="F984" s="4008">
        <f>E984/D984*100</f>
        <v>94.646788407620292</v>
      </c>
      <c r="G984" s="2968">
        <v>100</v>
      </c>
      <c r="H984" s="3715"/>
      <c r="J984" s="1205"/>
      <c r="K984" s="1205"/>
    </row>
    <row r="985" spans="2:11" s="5" customFormat="1" ht="17.25" hidden="1" customHeight="1" x14ac:dyDescent="0.25">
      <c r="B985" s="448"/>
      <c r="C985" s="2524" t="s">
        <v>711</v>
      </c>
      <c r="D985" s="4066">
        <v>52800000</v>
      </c>
      <c r="E985" s="3622">
        <v>45097800</v>
      </c>
      <c r="F985" s="4008">
        <f t="shared" ref="F985:F988" si="69">E985/D985*100</f>
        <v>85.412500000000009</v>
      </c>
      <c r="G985" s="2968">
        <v>100</v>
      </c>
      <c r="H985" s="3715"/>
      <c r="J985" s="1205"/>
      <c r="K985" s="1205"/>
    </row>
    <row r="986" spans="2:11" s="5" customFormat="1" ht="15.75" hidden="1" customHeight="1" x14ac:dyDescent="0.25">
      <c r="B986" s="448"/>
      <c r="C986" s="2524" t="s">
        <v>712</v>
      </c>
      <c r="D986" s="4066">
        <v>68230000</v>
      </c>
      <c r="E986" s="3622">
        <v>68230000</v>
      </c>
      <c r="F986" s="4008">
        <f t="shared" si="69"/>
        <v>100</v>
      </c>
      <c r="G986" s="2968">
        <v>100</v>
      </c>
      <c r="H986" s="3715"/>
      <c r="J986" s="1205"/>
      <c r="K986" s="1205"/>
    </row>
    <row r="987" spans="2:11" s="5" customFormat="1" ht="17.25" hidden="1" customHeight="1" x14ac:dyDescent="0.25">
      <c r="B987" s="448"/>
      <c r="C987" s="2524" t="s">
        <v>713</v>
      </c>
      <c r="D987" s="4066">
        <v>73215000</v>
      </c>
      <c r="E987" s="3622">
        <v>73215000</v>
      </c>
      <c r="F987" s="4008">
        <f t="shared" si="69"/>
        <v>100</v>
      </c>
      <c r="G987" s="2968">
        <v>100</v>
      </c>
      <c r="H987" s="3715"/>
      <c r="J987" s="1205"/>
      <c r="K987" s="1205"/>
    </row>
    <row r="988" spans="2:11" s="5" customFormat="1" ht="18" hidden="1" customHeight="1" x14ac:dyDescent="0.25">
      <c r="B988" s="448"/>
      <c r="C988" s="2524" t="s">
        <v>714</v>
      </c>
      <c r="D988" s="4066">
        <v>91350000</v>
      </c>
      <c r="E988" s="3625">
        <v>91350000</v>
      </c>
      <c r="F988" s="4008">
        <f t="shared" si="69"/>
        <v>100</v>
      </c>
      <c r="G988" s="2968">
        <v>100</v>
      </c>
      <c r="H988" s="3715"/>
      <c r="J988" s="1205"/>
      <c r="K988" s="1205"/>
    </row>
    <row r="989" spans="2:11" s="5" customFormat="1" ht="9.75" hidden="1" customHeight="1" x14ac:dyDescent="0.25">
      <c r="B989" s="448"/>
      <c r="C989" s="2473"/>
      <c r="D989" s="4276"/>
      <c r="E989" s="2968"/>
      <c r="F989" s="2690"/>
      <c r="G989" s="2967"/>
      <c r="H989" s="3715"/>
      <c r="J989" s="1205"/>
      <c r="K989" s="1205"/>
    </row>
    <row r="990" spans="2:11" s="5" customFormat="1" ht="19.5" customHeight="1" x14ac:dyDescent="0.25">
      <c r="B990" s="448"/>
      <c r="C990" s="2525" t="s">
        <v>715</v>
      </c>
      <c r="D990" s="4065">
        <f>D991+D992+D993</f>
        <v>422877000</v>
      </c>
      <c r="E990" s="2695">
        <f>E991+E992+E993</f>
        <v>401762000</v>
      </c>
      <c r="F990" s="4005">
        <f>E990/D990*100</f>
        <v>95.006822314762914</v>
      </c>
      <c r="G990" s="2969">
        <f>SUM(G991:G993)/3</f>
        <v>100</v>
      </c>
      <c r="H990" s="3715"/>
      <c r="J990" s="1205"/>
      <c r="K990" s="1205"/>
    </row>
    <row r="991" spans="2:11" s="5" customFormat="1" ht="15" hidden="1" customHeight="1" x14ac:dyDescent="0.25">
      <c r="B991" s="448"/>
      <c r="C991" s="2524" t="s">
        <v>716</v>
      </c>
      <c r="D991" s="4066">
        <v>97850000</v>
      </c>
      <c r="E991" s="3622">
        <v>97850000</v>
      </c>
      <c r="F991" s="4008">
        <f>E991/D991*100</f>
        <v>100</v>
      </c>
      <c r="G991" s="2967">
        <v>100</v>
      </c>
      <c r="H991" s="3715"/>
      <c r="J991" s="1205"/>
      <c r="K991" s="1205"/>
    </row>
    <row r="992" spans="2:11" s="5" customFormat="1" ht="15" hidden="1" customHeight="1" x14ac:dyDescent="0.25">
      <c r="B992" s="448"/>
      <c r="C992" s="2526" t="s">
        <v>717</v>
      </c>
      <c r="D992" s="4301">
        <v>249175000</v>
      </c>
      <c r="E992" s="3622">
        <v>228860000</v>
      </c>
      <c r="F992" s="4008">
        <f>E992/D992*100</f>
        <v>91.847095414869074</v>
      </c>
      <c r="G992" s="2967">
        <v>100</v>
      </c>
      <c r="H992" s="3715"/>
      <c r="J992" s="1205"/>
      <c r="K992" s="1205"/>
    </row>
    <row r="993" spans="2:11" s="5" customFormat="1" ht="20.25" hidden="1" customHeight="1" x14ac:dyDescent="0.25">
      <c r="B993" s="448"/>
      <c r="C993" s="2524" t="s">
        <v>718</v>
      </c>
      <c r="D993" s="4066">
        <v>75852000</v>
      </c>
      <c r="E993" s="2968">
        <v>75052000</v>
      </c>
      <c r="F993" s="4008">
        <f>E993/D993*100</f>
        <v>98.945314559932498</v>
      </c>
      <c r="G993" s="2968">
        <v>100</v>
      </c>
      <c r="H993" s="3715"/>
      <c r="J993" s="1205"/>
      <c r="K993" s="1205"/>
    </row>
    <row r="994" spans="2:11" s="5" customFormat="1" ht="8.25" hidden="1" customHeight="1" x14ac:dyDescent="0.25">
      <c r="B994" s="448"/>
      <c r="C994" s="2527"/>
      <c r="D994" s="4276"/>
      <c r="E994" s="2968"/>
      <c r="F994" s="2690"/>
      <c r="G994" s="2967"/>
      <c r="H994" s="3715"/>
      <c r="J994" s="1205"/>
      <c r="K994" s="1205"/>
    </row>
    <row r="995" spans="2:11" s="4" customFormat="1" ht="16.5" customHeight="1" x14ac:dyDescent="0.25">
      <c r="B995" s="441"/>
      <c r="C995" s="2521" t="s">
        <v>719</v>
      </c>
      <c r="D995" s="4065">
        <f>D996</f>
        <v>105200000</v>
      </c>
      <c r="E995" s="2695">
        <f>E996</f>
        <v>90000000</v>
      </c>
      <c r="F995" s="4005">
        <f>E995/D995*100</f>
        <v>85.551330798479086</v>
      </c>
      <c r="G995" s="2969">
        <f>G996</f>
        <v>100</v>
      </c>
      <c r="H995" s="1462"/>
      <c r="J995" s="1204"/>
      <c r="K995" s="1204"/>
    </row>
    <row r="996" spans="2:11" s="5" customFormat="1" ht="18" hidden="1" customHeight="1" x14ac:dyDescent="0.25">
      <c r="B996" s="448"/>
      <c r="C996" s="2524" t="s">
        <v>720</v>
      </c>
      <c r="D996" s="4066">
        <v>105200000</v>
      </c>
      <c r="E996" s="3622">
        <v>90000000</v>
      </c>
      <c r="F996" s="4008">
        <f>E996/D996*100</f>
        <v>85.551330798479086</v>
      </c>
      <c r="G996" s="2967">
        <v>100</v>
      </c>
      <c r="H996" s="3715"/>
      <c r="J996" s="1205"/>
      <c r="K996" s="1205"/>
    </row>
    <row r="997" spans="2:11" s="5" customFormat="1" ht="12" hidden="1" customHeight="1" x14ac:dyDescent="0.25">
      <c r="B997" s="448"/>
      <c r="C997" s="2527"/>
      <c r="D997" s="4276"/>
      <c r="E997" s="2968"/>
      <c r="F997" s="2690"/>
      <c r="G997" s="2967"/>
      <c r="H997" s="3715"/>
      <c r="J997" s="1205"/>
      <c r="K997" s="1205"/>
    </row>
    <row r="998" spans="2:11" s="5" customFormat="1" ht="29.25" customHeight="1" x14ac:dyDescent="0.25">
      <c r="B998" s="448"/>
      <c r="C998" s="2521" t="s">
        <v>721</v>
      </c>
      <c r="D998" s="4305">
        <f>SUM(D999:D1002)</f>
        <v>3158551213</v>
      </c>
      <c r="E998" s="2785">
        <f>SUM(E999:E1002)</f>
        <v>3089485000</v>
      </c>
      <c r="F998" s="4005">
        <f>E998/D998*100</f>
        <v>97.813357823177398</v>
      </c>
      <c r="G998" s="2969">
        <f>SUM(G999:G1002)/4</f>
        <v>100</v>
      </c>
      <c r="H998" s="3715"/>
      <c r="J998" s="1205"/>
      <c r="K998" s="1205"/>
    </row>
    <row r="999" spans="2:11" s="5" customFormat="1" ht="15.75" hidden="1" customHeight="1" x14ac:dyDescent="0.25">
      <c r="B999" s="448"/>
      <c r="C999" s="2524" t="s">
        <v>722</v>
      </c>
      <c r="D999" s="3622">
        <v>1169351213</v>
      </c>
      <c r="E999" s="3622">
        <v>1160471000</v>
      </c>
      <c r="F999" s="4008">
        <f>E999/D999*100</f>
        <v>99.240586326736036</v>
      </c>
      <c r="G999" s="2967">
        <v>100</v>
      </c>
      <c r="H999" s="3715"/>
      <c r="J999" s="1205"/>
      <c r="K999" s="1205"/>
    </row>
    <row r="1000" spans="2:11" s="5" customFormat="1" ht="15.75" hidden="1" customHeight="1" x14ac:dyDescent="0.25">
      <c r="B1000" s="448"/>
      <c r="C1000" s="2524" t="s">
        <v>723</v>
      </c>
      <c r="D1000" s="3622">
        <v>800000000</v>
      </c>
      <c r="E1000" s="3622">
        <v>791589000</v>
      </c>
      <c r="F1000" s="4008">
        <f t="shared" ref="F1000:F1002" si="70">E1000/D1000*100</f>
        <v>98.948625000000007</v>
      </c>
      <c r="G1000" s="2967">
        <v>100</v>
      </c>
      <c r="H1000" s="3715"/>
      <c r="J1000" s="1205"/>
      <c r="K1000" s="1205"/>
    </row>
    <row r="1001" spans="2:11" s="5" customFormat="1" ht="18" hidden="1" customHeight="1" x14ac:dyDescent="0.25">
      <c r="B1001" s="442"/>
      <c r="C1001" s="2533" t="s">
        <v>724</v>
      </c>
      <c r="D1001" s="3625">
        <v>54200000</v>
      </c>
      <c r="E1001" s="2999">
        <v>54200000</v>
      </c>
      <c r="F1001" s="4008">
        <f t="shared" si="70"/>
        <v>100</v>
      </c>
      <c r="G1001" s="2967">
        <v>100</v>
      </c>
      <c r="H1001" s="3716"/>
      <c r="J1001" s="1205"/>
      <c r="K1001" s="1205"/>
    </row>
    <row r="1002" spans="2:11" s="5" customFormat="1" ht="15" hidden="1" customHeight="1" x14ac:dyDescent="0.25">
      <c r="B1002" s="462"/>
      <c r="C1002" s="2524" t="s">
        <v>725</v>
      </c>
      <c r="D1002" s="3622">
        <v>1135000000</v>
      </c>
      <c r="E1002" s="3622">
        <v>1083225000</v>
      </c>
      <c r="F1002" s="4008">
        <f t="shared" si="70"/>
        <v>95.43832599118943</v>
      </c>
      <c r="G1002" s="2967">
        <v>100</v>
      </c>
      <c r="H1002" s="3715"/>
      <c r="J1002" s="1205"/>
      <c r="K1002" s="1205"/>
    </row>
    <row r="1003" spans="2:11" s="5" customFormat="1" ht="7.5" hidden="1" customHeight="1" x14ac:dyDescent="0.25">
      <c r="B1003" s="462"/>
      <c r="C1003" s="2527"/>
      <c r="D1003" s="4276"/>
      <c r="E1003" s="2968"/>
      <c r="F1003" s="2968"/>
      <c r="G1003" s="2968"/>
      <c r="H1003" s="3715"/>
      <c r="J1003" s="1205"/>
      <c r="K1003" s="1205"/>
    </row>
    <row r="1004" spans="2:11" s="5" customFormat="1" ht="17.25" customHeight="1" x14ac:dyDescent="0.25">
      <c r="B1004" s="448"/>
      <c r="C1004" s="2538" t="s">
        <v>726</v>
      </c>
      <c r="D1004" s="4072">
        <f>SUM(D1005:D1005)</f>
        <v>180340000</v>
      </c>
      <c r="E1004" s="2997">
        <f>E1005</f>
        <v>80690000</v>
      </c>
      <c r="F1004" s="4005">
        <f>E1004/D1004*100</f>
        <v>44.743262725962076</v>
      </c>
      <c r="G1004" s="2997">
        <f>G1005</f>
        <v>50</v>
      </c>
      <c r="H1004" s="3717"/>
      <c r="J1004" s="1205"/>
      <c r="K1004" s="1205"/>
    </row>
    <row r="1005" spans="2:11" s="5" customFormat="1" ht="16.5" hidden="1" customHeight="1" x14ac:dyDescent="0.25">
      <c r="B1005" s="448"/>
      <c r="C1005" s="2524" t="s">
        <v>727</v>
      </c>
      <c r="D1005" s="4066">
        <v>180340000</v>
      </c>
      <c r="E1005" s="2968">
        <v>80690000</v>
      </c>
      <c r="F1005" s="4008">
        <f>E1005/D1005*100</f>
        <v>44.743262725962076</v>
      </c>
      <c r="G1005" s="2968">
        <v>50</v>
      </c>
      <c r="H1005" s="3715"/>
      <c r="J1005" s="1205"/>
      <c r="K1005" s="1205"/>
    </row>
    <row r="1006" spans="2:11" s="12" customFormat="1" ht="9" hidden="1" customHeight="1" x14ac:dyDescent="0.25">
      <c r="B1006" s="448"/>
      <c r="C1006" s="2476"/>
      <c r="D1006" s="4290"/>
      <c r="E1006" s="3022"/>
      <c r="F1006" s="2752"/>
      <c r="G1006" s="2993"/>
      <c r="H1006" s="3715"/>
      <c r="J1006" s="1209"/>
      <c r="K1006" s="1209"/>
    </row>
    <row r="1007" spans="2:11" s="1" customFormat="1" ht="21.75" customHeight="1" x14ac:dyDescent="0.25">
      <c r="B1007" s="441"/>
      <c r="C1007" s="2474" t="s">
        <v>728</v>
      </c>
      <c r="D1007" s="4065">
        <f>D1008</f>
        <v>272091000</v>
      </c>
      <c r="E1007" s="2695">
        <f>E1008</f>
        <v>259341000</v>
      </c>
      <c r="F1007" s="4005">
        <f>E1007/D1007*100</f>
        <v>95.314067719990732</v>
      </c>
      <c r="G1007" s="2969">
        <f>G1008</f>
        <v>100</v>
      </c>
      <c r="H1007" s="1462"/>
      <c r="J1007" s="535"/>
      <c r="K1007" s="535"/>
    </row>
    <row r="1008" spans="2:11" s="12" customFormat="1" ht="14.25" hidden="1" customHeight="1" x14ac:dyDescent="0.25">
      <c r="B1008" s="448"/>
      <c r="C1008" s="2473" t="s">
        <v>729</v>
      </c>
      <c r="D1008" s="4066">
        <v>272091000</v>
      </c>
      <c r="E1008" s="3620">
        <v>259341000</v>
      </c>
      <c r="F1008" s="4008">
        <f>E1008/D1008*100</f>
        <v>95.314067719990732</v>
      </c>
      <c r="G1008" s="2967">
        <v>100</v>
      </c>
      <c r="H1008" s="3715"/>
      <c r="J1008" s="1209"/>
      <c r="K1008" s="1209"/>
    </row>
    <row r="1009" spans="2:11" s="12" customFormat="1" ht="12" hidden="1" customHeight="1" x14ac:dyDescent="0.25">
      <c r="B1009" s="448"/>
      <c r="C1009" s="2475"/>
      <c r="D1009" s="4290"/>
      <c r="E1009" s="3022"/>
      <c r="F1009" s="2752"/>
      <c r="G1009" s="2993"/>
      <c r="H1009" s="3715"/>
      <c r="J1009" s="1209"/>
      <c r="K1009" s="1209"/>
    </row>
    <row r="1010" spans="2:11" s="5" customFormat="1" ht="16.5" customHeight="1" x14ac:dyDescent="0.25">
      <c r="B1010" s="453"/>
      <c r="C1010" s="2532" t="s">
        <v>730</v>
      </c>
      <c r="D1010" s="4106">
        <f>D1011+D1014</f>
        <v>6195995880</v>
      </c>
      <c r="E1010" s="2672">
        <f>E1011+E1014</f>
        <v>5476434087</v>
      </c>
      <c r="F1010" s="2672">
        <f>E1010/D1010*100</f>
        <v>88.386664437226841</v>
      </c>
      <c r="G1010" s="2670">
        <f>SUM(G1011+G1014)/2</f>
        <v>100</v>
      </c>
      <c r="H1010" s="3715"/>
      <c r="J1010" s="1205"/>
      <c r="K1010" s="1205"/>
    </row>
    <row r="1011" spans="2:11" s="5" customFormat="1" ht="18" customHeight="1" x14ac:dyDescent="0.25">
      <c r="B1011" s="448"/>
      <c r="C1011" s="2521" t="s">
        <v>731</v>
      </c>
      <c r="D1011" s="4072">
        <f>D1012</f>
        <v>133560000</v>
      </c>
      <c r="E1011" s="2966">
        <v>0</v>
      </c>
      <c r="F1011" s="2966">
        <v>0</v>
      </c>
      <c r="G1011" s="2966">
        <f>G1012</f>
        <v>100</v>
      </c>
      <c r="H1011" s="3715"/>
      <c r="J1011" s="1205"/>
      <c r="K1011" s="1205"/>
    </row>
    <row r="1012" spans="2:11" s="5" customFormat="1" ht="17.25" hidden="1" customHeight="1" x14ac:dyDescent="0.25">
      <c r="B1012" s="448"/>
      <c r="C1012" s="2524" t="s">
        <v>732</v>
      </c>
      <c r="D1012" s="4071">
        <v>133560000</v>
      </c>
      <c r="E1012" s="2968">
        <v>0</v>
      </c>
      <c r="F1012" s="2968">
        <v>0</v>
      </c>
      <c r="G1012" s="2968">
        <v>100</v>
      </c>
      <c r="H1012" s="3715"/>
      <c r="J1012" s="1205"/>
      <c r="K1012" s="1205"/>
    </row>
    <row r="1013" spans="2:11" s="5" customFormat="1" ht="11.25" hidden="1" customHeight="1" x14ac:dyDescent="0.25">
      <c r="B1013" s="448"/>
      <c r="C1013" s="2533"/>
      <c r="D1013" s="4071"/>
      <c r="E1013" s="2999"/>
      <c r="F1013" s="2710"/>
      <c r="G1013" s="2985"/>
      <c r="H1013" s="3715"/>
      <c r="J1013" s="1205"/>
      <c r="K1013" s="1205"/>
    </row>
    <row r="1014" spans="2:11" s="4" customFormat="1" ht="17.25" customHeight="1" x14ac:dyDescent="0.25">
      <c r="B1014" s="441"/>
      <c r="C1014" s="2534" t="s">
        <v>733</v>
      </c>
      <c r="D1014" s="4300">
        <f>D1015</f>
        <v>6062435880</v>
      </c>
      <c r="E1014" s="2821">
        <f>E1015</f>
        <v>5476434087</v>
      </c>
      <c r="F1014" s="4005">
        <f>E1014/D1014*100</f>
        <v>90.333888809723788</v>
      </c>
      <c r="G1014" s="2976">
        <f>G1015</f>
        <v>100</v>
      </c>
      <c r="H1014" s="1462"/>
      <c r="J1014" s="1204"/>
      <c r="K1014" s="1204"/>
    </row>
    <row r="1015" spans="2:11" s="5" customFormat="1" ht="17.25" hidden="1" customHeight="1" x14ac:dyDescent="0.25">
      <c r="B1015" s="448"/>
      <c r="C1015" s="2533" t="s">
        <v>734</v>
      </c>
      <c r="D1015" s="4071">
        <v>6062435880</v>
      </c>
      <c r="E1015" s="3620">
        <v>5476434087</v>
      </c>
      <c r="F1015" s="4008">
        <f>E1015/D1015*100</f>
        <v>90.333888809723788</v>
      </c>
      <c r="G1015" s="2985">
        <v>100</v>
      </c>
      <c r="H1015" s="3715"/>
      <c r="J1015" s="1205"/>
      <c r="K1015" s="1205"/>
    </row>
    <row r="1016" spans="2:11" s="12" customFormat="1" ht="12" hidden="1" customHeight="1" x14ac:dyDescent="0.25">
      <c r="B1016" s="448"/>
      <c r="C1016" s="2476"/>
      <c r="D1016" s="4286"/>
      <c r="E1016" s="2999"/>
      <c r="F1016" s="2710"/>
      <c r="G1016" s="2985"/>
      <c r="H1016" s="3715"/>
      <c r="J1016" s="1209"/>
      <c r="K1016" s="1209"/>
    </row>
    <row r="1017" spans="2:11" s="5" customFormat="1" ht="29.25" customHeight="1" x14ac:dyDescent="0.25">
      <c r="B1017" s="453"/>
      <c r="C1017" s="2532" t="s">
        <v>735</v>
      </c>
      <c r="D1017" s="4106">
        <f>D1018+D1021+D1024+D1027+D1030</f>
        <v>18191566440</v>
      </c>
      <c r="E1017" s="3626">
        <f>E1018+E1021+E1024+E1027+E1030</f>
        <v>17646094126</v>
      </c>
      <c r="F1017" s="2672">
        <f>E1017/D1017*100</f>
        <v>97.001509926046808</v>
      </c>
      <c r="G1017" s="2670">
        <f>SUM(G1018+G1021+G1024+G1027+G1030)/5</f>
        <v>100</v>
      </c>
      <c r="H1017" s="3715"/>
      <c r="J1017" s="1205"/>
      <c r="K1017" s="1205"/>
    </row>
    <row r="1018" spans="2:11" s="5" customFormat="1" ht="18" customHeight="1" x14ac:dyDescent="0.25">
      <c r="B1018" s="448"/>
      <c r="C1018" s="2521" t="s">
        <v>736</v>
      </c>
      <c r="D1018" s="4305">
        <f>D1019</f>
        <v>1070000000</v>
      </c>
      <c r="E1018" s="4012">
        <f>E1019</f>
        <v>1064100000</v>
      </c>
      <c r="F1018" s="4005">
        <f>E1018/D1018*100</f>
        <v>99.44859813084112</v>
      </c>
      <c r="G1018" s="4005">
        <f>G1019</f>
        <v>100</v>
      </c>
      <c r="H1018" s="3715"/>
      <c r="J1018" s="1205"/>
      <c r="K1018" s="1205"/>
    </row>
    <row r="1019" spans="2:11" s="5" customFormat="1" ht="18" hidden="1" customHeight="1" x14ac:dyDescent="0.25">
      <c r="B1019" s="448"/>
      <c r="C1019" s="2524" t="s">
        <v>737</v>
      </c>
      <c r="D1019" s="4066">
        <v>1070000000</v>
      </c>
      <c r="E1019" s="3620">
        <v>1064100000</v>
      </c>
      <c r="F1019" s="4008">
        <f>E1019/D1019*100</f>
        <v>99.44859813084112</v>
      </c>
      <c r="G1019" s="2683">
        <v>100</v>
      </c>
      <c r="H1019" s="3715"/>
      <c r="J1019" s="1205"/>
      <c r="K1019" s="1205"/>
    </row>
    <row r="1020" spans="2:11" s="5" customFormat="1" ht="12" hidden="1" customHeight="1" x14ac:dyDescent="0.25">
      <c r="B1020" s="448"/>
      <c r="C1020" s="2525"/>
      <c r="D1020" s="4276"/>
      <c r="E1020" s="3630"/>
      <c r="F1020" s="2760"/>
      <c r="G1020" s="2967"/>
      <c r="H1020" s="3715"/>
      <c r="J1020" s="1205"/>
      <c r="K1020" s="1205"/>
    </row>
    <row r="1021" spans="2:11" s="5" customFormat="1" ht="18" customHeight="1" x14ac:dyDescent="0.25">
      <c r="B1021" s="448"/>
      <c r="C1021" s="2525" t="s">
        <v>738</v>
      </c>
      <c r="D1021" s="4305">
        <f>D1022</f>
        <v>2400000000</v>
      </c>
      <c r="E1021" s="3628">
        <f>E1022</f>
        <v>2397859000</v>
      </c>
      <c r="F1021" s="4005">
        <f>E1021/D1021*100</f>
        <v>99.910791666666668</v>
      </c>
      <c r="G1021" s="2969">
        <f>G1022</f>
        <v>100</v>
      </c>
      <c r="H1021" s="3715"/>
      <c r="J1021" s="1205"/>
      <c r="K1021" s="1205"/>
    </row>
    <row r="1022" spans="2:11" s="5" customFormat="1" ht="18.75" hidden="1" customHeight="1" x14ac:dyDescent="0.25">
      <c r="B1022" s="448"/>
      <c r="C1022" s="2524" t="s">
        <v>739</v>
      </c>
      <c r="D1022" s="4066">
        <v>2400000000</v>
      </c>
      <c r="E1022" s="3622">
        <v>2397859000</v>
      </c>
      <c r="F1022" s="4008">
        <f>E1022/D1022*100</f>
        <v>99.910791666666668</v>
      </c>
      <c r="G1022" s="2967">
        <v>100</v>
      </c>
      <c r="H1022" s="3715"/>
      <c r="J1022" s="1205"/>
      <c r="K1022" s="1205"/>
    </row>
    <row r="1023" spans="2:11" s="5" customFormat="1" ht="11.25" hidden="1" customHeight="1" x14ac:dyDescent="0.25">
      <c r="B1023" s="448"/>
      <c r="C1023" s="2528"/>
      <c r="D1023" s="4285"/>
      <c r="E1023" s="3630"/>
      <c r="F1023" s="2760"/>
      <c r="G1023" s="2967"/>
      <c r="H1023" s="3715"/>
      <c r="J1023" s="1205"/>
      <c r="K1023" s="1205"/>
    </row>
    <row r="1024" spans="2:11" s="5" customFormat="1" ht="18.75" customHeight="1" x14ac:dyDescent="0.25">
      <c r="B1024" s="448"/>
      <c r="C1024" s="2525" t="s">
        <v>740</v>
      </c>
      <c r="D1024" s="4065">
        <f>D1025</f>
        <v>5627566440</v>
      </c>
      <c r="E1024" s="4013">
        <f>E1025</f>
        <v>5580734126</v>
      </c>
      <c r="F1024" s="4005">
        <f>E1024/D1024*100</f>
        <v>99.16780522274918</v>
      </c>
      <c r="G1024" s="2969">
        <f>G1025</f>
        <v>100</v>
      </c>
      <c r="H1024" s="3715"/>
      <c r="J1024" s="1205"/>
      <c r="K1024" s="1205"/>
    </row>
    <row r="1025" spans="2:11" s="5" customFormat="1" ht="15.75" hidden="1" customHeight="1" x14ac:dyDescent="0.25">
      <c r="B1025" s="448"/>
      <c r="C1025" s="2526" t="s">
        <v>741</v>
      </c>
      <c r="D1025" s="4301">
        <v>5627566440</v>
      </c>
      <c r="E1025" s="4180">
        <v>5580734126</v>
      </c>
      <c r="F1025" s="4008">
        <f>E1025/D1025*100</f>
        <v>99.16780522274918</v>
      </c>
      <c r="G1025" s="2967">
        <v>100</v>
      </c>
      <c r="H1025" s="3715"/>
      <c r="J1025" s="1205"/>
      <c r="K1025" s="1205"/>
    </row>
    <row r="1026" spans="2:11" s="5" customFormat="1" ht="13.5" hidden="1" customHeight="1" x14ac:dyDescent="0.25">
      <c r="B1026" s="448"/>
      <c r="C1026" s="2524"/>
      <c r="D1026" s="4066"/>
      <c r="E1026" s="4014"/>
      <c r="F1026" s="2710"/>
      <c r="G1026" s="2985"/>
      <c r="H1026" s="3715"/>
      <c r="J1026" s="1205"/>
      <c r="K1026" s="1205"/>
    </row>
    <row r="1027" spans="2:11" s="4" customFormat="1" ht="15.75" customHeight="1" x14ac:dyDescent="0.25">
      <c r="B1027" s="441"/>
      <c r="C1027" s="2525" t="s">
        <v>742</v>
      </c>
      <c r="D1027" s="4065">
        <f>D1028</f>
        <v>4814000000</v>
      </c>
      <c r="E1027" s="4006">
        <f>E1028</f>
        <v>4445356000</v>
      </c>
      <c r="F1027" s="4005">
        <f>E1027/D1027*100</f>
        <v>92.342251765683429</v>
      </c>
      <c r="G1027" s="2976">
        <f>G1028</f>
        <v>100</v>
      </c>
      <c r="H1027" s="1462"/>
      <c r="J1027" s="1204"/>
      <c r="K1027" s="1204"/>
    </row>
    <row r="1028" spans="2:11" s="5" customFormat="1" ht="15.75" hidden="1" customHeight="1" x14ac:dyDescent="0.25">
      <c r="B1028" s="448"/>
      <c r="C1028" s="2524" t="s">
        <v>743</v>
      </c>
      <c r="D1028" s="4066">
        <v>4814000000</v>
      </c>
      <c r="E1028" s="3625">
        <v>4445356000</v>
      </c>
      <c r="F1028" s="4008">
        <f>E1028/D1028*100</f>
        <v>92.342251765683429</v>
      </c>
      <c r="G1028" s="2985">
        <v>100</v>
      </c>
      <c r="H1028" s="3715"/>
      <c r="J1028" s="1205"/>
      <c r="K1028" s="1205"/>
    </row>
    <row r="1029" spans="2:11" s="5" customFormat="1" ht="10.5" hidden="1" customHeight="1" x14ac:dyDescent="0.25">
      <c r="B1029" s="448"/>
      <c r="C1029" s="2524"/>
      <c r="D1029" s="4066"/>
      <c r="E1029" s="4014"/>
      <c r="F1029" s="2710"/>
      <c r="G1029" s="2985"/>
      <c r="H1029" s="3715"/>
      <c r="J1029" s="1205"/>
      <c r="K1029" s="1205"/>
    </row>
    <row r="1030" spans="2:11" s="4" customFormat="1" ht="15.75" customHeight="1" x14ac:dyDescent="0.25">
      <c r="B1030" s="441"/>
      <c r="C1030" s="2525" t="s">
        <v>744</v>
      </c>
      <c r="D1030" s="4065">
        <f>D1031</f>
        <v>4280000000</v>
      </c>
      <c r="E1030" s="4006">
        <f>E1031</f>
        <v>4158045000</v>
      </c>
      <c r="F1030" s="4005">
        <f>E1030/D1030*100</f>
        <v>97.150584112149531</v>
      </c>
      <c r="G1030" s="2976">
        <f>G1031</f>
        <v>100</v>
      </c>
      <c r="H1030" s="1462"/>
      <c r="J1030" s="1204"/>
      <c r="K1030" s="1204"/>
    </row>
    <row r="1031" spans="2:11" s="5" customFormat="1" ht="16.5" hidden="1" customHeight="1" x14ac:dyDescent="0.25">
      <c r="B1031" s="448"/>
      <c r="C1031" s="2524" t="s">
        <v>745</v>
      </c>
      <c r="D1031" s="4066">
        <v>4280000000</v>
      </c>
      <c r="E1031" s="3625">
        <v>4158045000</v>
      </c>
      <c r="F1031" s="4008">
        <f>E1031/D1031*100</f>
        <v>97.150584112149531</v>
      </c>
      <c r="G1031" s="2985">
        <v>100</v>
      </c>
      <c r="H1031" s="3715"/>
      <c r="J1031" s="1205"/>
      <c r="K1031" s="1205"/>
    </row>
    <row r="1032" spans="2:11" s="12" customFormat="1" ht="12" hidden="1" customHeight="1" x14ac:dyDescent="0.25">
      <c r="B1032" s="448"/>
      <c r="C1032" s="2476"/>
      <c r="D1032" s="4071"/>
      <c r="E1032" s="2999"/>
      <c r="F1032" s="2710"/>
      <c r="G1032" s="2985"/>
      <c r="H1032" s="3715"/>
      <c r="J1032" s="1209"/>
      <c r="K1032" s="1209"/>
    </row>
    <row r="1033" spans="2:11" s="5" customFormat="1" ht="17.25" customHeight="1" x14ac:dyDescent="0.25">
      <c r="B1033" s="453"/>
      <c r="C1033" s="2532" t="s">
        <v>425</v>
      </c>
      <c r="D1033" s="4106">
        <f>D1034+D1037+D1041+D1044</f>
        <v>985096000</v>
      </c>
      <c r="E1033" s="2672">
        <f>E1034+E1037+E1041+E1044</f>
        <v>985096000</v>
      </c>
      <c r="F1033" s="2672">
        <f>E1033/D1033*100</f>
        <v>100</v>
      </c>
      <c r="G1033" s="2996">
        <f>SUM(G1034+G1037+G1041+G1044)/4</f>
        <v>100</v>
      </c>
      <c r="H1033" s="3715"/>
      <c r="J1033" s="1205"/>
      <c r="K1033" s="1205"/>
    </row>
    <row r="1034" spans="2:11" s="5" customFormat="1" ht="16.5" customHeight="1" x14ac:dyDescent="0.25">
      <c r="B1034" s="448"/>
      <c r="C1034" s="2521" t="s">
        <v>746</v>
      </c>
      <c r="D1034" s="4305">
        <f>D1035</f>
        <v>97805000</v>
      </c>
      <c r="E1034" s="2785">
        <f>E1035</f>
        <v>97805000</v>
      </c>
      <c r="F1034" s="4005">
        <f>E1034/D1034*100</f>
        <v>100</v>
      </c>
      <c r="G1034" s="2997">
        <f>G1035</f>
        <v>100</v>
      </c>
      <c r="H1034" s="3715"/>
      <c r="J1034" s="1205"/>
      <c r="K1034" s="1205"/>
    </row>
    <row r="1035" spans="2:11" s="5" customFormat="1" ht="15.75" hidden="1" customHeight="1" x14ac:dyDescent="0.25">
      <c r="B1035" s="448"/>
      <c r="C1035" s="2524" t="s">
        <v>747</v>
      </c>
      <c r="D1035" s="4066">
        <v>97805000</v>
      </c>
      <c r="E1035" s="2968">
        <v>97805000</v>
      </c>
      <c r="F1035" s="4008">
        <f>E1035/D1035*100</f>
        <v>100</v>
      </c>
      <c r="G1035" s="2968">
        <v>100</v>
      </c>
      <c r="H1035" s="3715"/>
      <c r="J1035" s="1205"/>
      <c r="K1035" s="1205"/>
    </row>
    <row r="1036" spans="2:11" s="5" customFormat="1" ht="7.5" hidden="1" customHeight="1" x14ac:dyDescent="0.25">
      <c r="B1036" s="448"/>
      <c r="C1036" s="2527"/>
      <c r="D1036" s="4276"/>
      <c r="E1036" s="2968"/>
      <c r="F1036" s="2760"/>
      <c r="G1036" s="2967"/>
      <c r="H1036" s="3715"/>
      <c r="J1036" s="1205"/>
      <c r="K1036" s="1205"/>
    </row>
    <row r="1037" spans="2:11" s="5" customFormat="1" ht="15.75" customHeight="1" x14ac:dyDescent="0.25">
      <c r="B1037" s="448"/>
      <c r="C1037" s="2521" t="s">
        <v>748</v>
      </c>
      <c r="D1037" s="4300">
        <f>D1038+D1039</f>
        <v>402471000</v>
      </c>
      <c r="E1037" s="2966">
        <f>SUM(E1038:E1039)</f>
        <v>402471000</v>
      </c>
      <c r="F1037" s="4005">
        <f>E1037/D1037*100</f>
        <v>100</v>
      </c>
      <c r="G1037" s="2966">
        <f>SUM(G1038:G1039)/2</f>
        <v>100</v>
      </c>
      <c r="H1037" s="3715"/>
      <c r="J1037" s="1205"/>
      <c r="K1037" s="1205"/>
    </row>
    <row r="1038" spans="2:11" s="5" customFormat="1" ht="16.5" hidden="1" customHeight="1" x14ac:dyDescent="0.25">
      <c r="B1038" s="448"/>
      <c r="C1038" s="2524" t="s">
        <v>749</v>
      </c>
      <c r="D1038" s="4066">
        <v>168651000</v>
      </c>
      <c r="E1038" s="2968">
        <v>168651000</v>
      </c>
      <c r="F1038" s="4008">
        <f>E1038/D1038*100</f>
        <v>100</v>
      </c>
      <c r="G1038" s="2968">
        <v>100</v>
      </c>
      <c r="H1038" s="3715"/>
      <c r="J1038" s="1205"/>
      <c r="K1038" s="1205"/>
    </row>
    <row r="1039" spans="2:11" s="5" customFormat="1" ht="15" hidden="1" customHeight="1" x14ac:dyDescent="0.25">
      <c r="B1039" s="448"/>
      <c r="C1039" s="2524" t="s">
        <v>750</v>
      </c>
      <c r="D1039" s="4301">
        <v>233820000</v>
      </c>
      <c r="E1039" s="2968">
        <v>233820000</v>
      </c>
      <c r="F1039" s="4008">
        <f>E1039/D1039*100</f>
        <v>100</v>
      </c>
      <c r="G1039" s="2968">
        <v>100</v>
      </c>
      <c r="H1039" s="3715"/>
      <c r="J1039" s="1205"/>
      <c r="K1039" s="1205"/>
    </row>
    <row r="1040" spans="2:11" s="5" customFormat="1" ht="9.75" hidden="1" customHeight="1" x14ac:dyDescent="0.25">
      <c r="B1040" s="448"/>
      <c r="C1040" s="2535"/>
      <c r="D1040" s="4276"/>
      <c r="E1040" s="2968"/>
      <c r="F1040" s="2968"/>
      <c r="G1040" s="2968"/>
      <c r="H1040" s="3715"/>
      <c r="J1040" s="1205"/>
      <c r="K1040" s="1205"/>
    </row>
    <row r="1041" spans="2:11" s="5" customFormat="1" ht="18" customHeight="1" x14ac:dyDescent="0.25">
      <c r="B1041" s="448"/>
      <c r="C1041" s="2525" t="s">
        <v>751</v>
      </c>
      <c r="D1041" s="4305">
        <f>D1042</f>
        <v>265050000</v>
      </c>
      <c r="E1041" s="2785">
        <f>E1042</f>
        <v>265050000</v>
      </c>
      <c r="F1041" s="4005">
        <f>E1041/D1041*100</f>
        <v>100</v>
      </c>
      <c r="G1041" s="2966">
        <f>G1042</f>
        <v>100</v>
      </c>
      <c r="H1041" s="3715"/>
      <c r="J1041" s="1205"/>
      <c r="K1041" s="1205"/>
    </row>
    <row r="1042" spans="2:11" s="5" customFormat="1" ht="15.75" hidden="1" customHeight="1" x14ac:dyDescent="0.25">
      <c r="B1042" s="448"/>
      <c r="C1042" s="2526" t="s">
        <v>752</v>
      </c>
      <c r="D1042" s="4066">
        <v>265050000</v>
      </c>
      <c r="E1042" s="3622">
        <v>265050000</v>
      </c>
      <c r="F1042" s="4008">
        <f>E1042/D1042*100</f>
        <v>100</v>
      </c>
      <c r="G1042" s="2968">
        <v>100</v>
      </c>
      <c r="H1042" s="3715"/>
      <c r="J1042" s="1205"/>
      <c r="K1042" s="1205"/>
    </row>
    <row r="1043" spans="2:11" s="12" customFormat="1" ht="7.5" hidden="1" customHeight="1" x14ac:dyDescent="0.25">
      <c r="B1043" s="448"/>
      <c r="C1043" s="2476"/>
      <c r="D1043" s="4071"/>
      <c r="E1043" s="2999"/>
      <c r="F1043" s="2710"/>
      <c r="G1043" s="2985"/>
      <c r="H1043" s="3715"/>
      <c r="J1043" s="1209"/>
      <c r="K1043" s="1209"/>
    </row>
    <row r="1044" spans="2:11" s="1" customFormat="1" ht="16.5" customHeight="1" x14ac:dyDescent="0.25">
      <c r="B1044" s="441"/>
      <c r="C1044" s="2474" t="s">
        <v>753</v>
      </c>
      <c r="D1044" s="4065">
        <f>D1045</f>
        <v>219770000</v>
      </c>
      <c r="E1044" s="2695">
        <f>E1045</f>
        <v>219770000</v>
      </c>
      <c r="F1044" s="4005">
        <f>E1044/D1044*100</f>
        <v>100</v>
      </c>
      <c r="G1044" s="2969">
        <f>G1045</f>
        <v>100</v>
      </c>
      <c r="H1044" s="1462"/>
      <c r="J1044" s="535"/>
      <c r="K1044" s="535"/>
    </row>
    <row r="1045" spans="2:11" s="12" customFormat="1" ht="16.5" hidden="1" customHeight="1" x14ac:dyDescent="0.25">
      <c r="B1045" s="448"/>
      <c r="C1045" s="2473" t="s">
        <v>754</v>
      </c>
      <c r="D1045" s="4066">
        <v>219770000</v>
      </c>
      <c r="E1045" s="3622">
        <v>219770000</v>
      </c>
      <c r="F1045" s="4008">
        <f>E1045/D1045*100</f>
        <v>100</v>
      </c>
      <c r="G1045" s="2967">
        <v>100</v>
      </c>
      <c r="H1045" s="3715"/>
      <c r="J1045" s="1209"/>
      <c r="K1045" s="1209"/>
    </row>
    <row r="1046" spans="2:11" s="12" customFormat="1" ht="12" hidden="1" customHeight="1" x14ac:dyDescent="0.25">
      <c r="B1046" s="564"/>
      <c r="C1046" s="2479"/>
      <c r="D1046" s="4287"/>
      <c r="E1046" s="3014"/>
      <c r="F1046" s="2760"/>
      <c r="G1046" s="2683"/>
      <c r="H1046" s="3715"/>
      <c r="J1046" s="1209"/>
      <c r="K1046" s="1209"/>
    </row>
    <row r="1047" spans="2:11" s="12" customFormat="1" ht="15.75" customHeight="1" x14ac:dyDescent="0.25">
      <c r="B1047" s="563"/>
      <c r="C1047" s="2523" t="s">
        <v>755</v>
      </c>
      <c r="D1047" s="4313">
        <f>SUM(D1048)</f>
        <v>587345623</v>
      </c>
      <c r="E1047" s="4015">
        <f>E1048</f>
        <v>557395000</v>
      </c>
      <c r="F1047" s="2962">
        <f>E1047/D1047*100</f>
        <v>94.900681672399216</v>
      </c>
      <c r="G1047" s="2960">
        <f>G1048</f>
        <v>100</v>
      </c>
      <c r="H1047" s="3717"/>
      <c r="J1047" s="1209"/>
      <c r="K1047" s="1209"/>
    </row>
    <row r="1048" spans="2:11" s="5" customFormat="1" ht="18.75" customHeight="1" x14ac:dyDescent="0.25">
      <c r="B1048" s="448"/>
      <c r="C1048" s="2525" t="s">
        <v>756</v>
      </c>
      <c r="D1048" s="4305">
        <f>SUM(D1049:D1049)</f>
        <v>587345623</v>
      </c>
      <c r="E1048" s="3627">
        <f>E1049</f>
        <v>557395000</v>
      </c>
      <c r="F1048" s="4005">
        <f>E1048/D1048*100</f>
        <v>94.900681672399216</v>
      </c>
      <c r="G1048" s="2677">
        <f>G1049</f>
        <v>100</v>
      </c>
      <c r="H1048" s="3715"/>
      <c r="J1048" s="1205"/>
      <c r="K1048" s="1205"/>
    </row>
    <row r="1049" spans="2:11" s="5" customFormat="1" ht="17.25" hidden="1" customHeight="1" x14ac:dyDescent="0.25">
      <c r="B1049" s="448"/>
      <c r="C1049" s="2524" t="s">
        <v>757</v>
      </c>
      <c r="D1049" s="4066">
        <v>587345623</v>
      </c>
      <c r="E1049" s="3622">
        <v>557395000</v>
      </c>
      <c r="F1049" s="4008">
        <f>E1049/D1049*100</f>
        <v>94.900681672399216</v>
      </c>
      <c r="G1049" s="2967">
        <v>100</v>
      </c>
      <c r="H1049" s="3715"/>
      <c r="J1049" s="1205"/>
      <c r="K1049" s="1205"/>
    </row>
    <row r="1050" spans="2:11" s="5" customFormat="1" ht="12" hidden="1" customHeight="1" x14ac:dyDescent="0.25">
      <c r="B1050" s="448"/>
      <c r="C1050" s="2518"/>
      <c r="D1050" s="4290"/>
      <c r="E1050" s="3022"/>
      <c r="F1050" s="2752"/>
      <c r="G1050" s="2985"/>
      <c r="H1050" s="3715"/>
      <c r="J1050" s="1205"/>
      <c r="K1050" s="1205"/>
    </row>
    <row r="1051" spans="2:11" s="5" customFormat="1" ht="18" customHeight="1" x14ac:dyDescent="0.25">
      <c r="B1051" s="453"/>
      <c r="C1051" s="2471" t="s">
        <v>329</v>
      </c>
      <c r="D1051" s="4106">
        <f>SUM(D1052+D1055+D1058+D1062+D1068+D1071+D1074)</f>
        <v>3690499750</v>
      </c>
      <c r="E1051" s="3626">
        <f>E1052+E1055+E1058+E1062+E1068+E1071+E1074</f>
        <v>3533263745</v>
      </c>
      <c r="F1051" s="2672">
        <f>E1051/D1051*100</f>
        <v>95.739438676293105</v>
      </c>
      <c r="G1051" s="2670">
        <f>SUM(G1052+G1055+G1058+G1062+G1068+G1071+G1074)/7</f>
        <v>96.428571428571431</v>
      </c>
      <c r="H1051" s="3715"/>
      <c r="J1051" s="1205"/>
      <c r="K1051" s="1205"/>
    </row>
    <row r="1052" spans="2:11" s="5" customFormat="1" ht="18" customHeight="1" x14ac:dyDescent="0.25">
      <c r="B1052" s="448"/>
      <c r="C1052" s="2521" t="s">
        <v>758</v>
      </c>
      <c r="D1052" s="4305">
        <f>D1053</f>
        <v>486400000</v>
      </c>
      <c r="E1052" s="3627">
        <f>E1053</f>
        <v>421712600</v>
      </c>
      <c r="F1052" s="4005">
        <f>E1052/D1052*100</f>
        <v>86.700781250000006</v>
      </c>
      <c r="G1052" s="3002">
        <f>G1053</f>
        <v>100</v>
      </c>
      <c r="H1052" s="3715"/>
      <c r="J1052" s="1205"/>
      <c r="K1052" s="1205"/>
    </row>
    <row r="1053" spans="2:11" s="5" customFormat="1" ht="17.25" hidden="1" customHeight="1" x14ac:dyDescent="0.25">
      <c r="B1053" s="448"/>
      <c r="C1053" s="2524" t="s">
        <v>759</v>
      </c>
      <c r="D1053" s="4066">
        <v>486400000</v>
      </c>
      <c r="E1053" s="3622">
        <v>421712600</v>
      </c>
      <c r="F1053" s="4008">
        <f>E1053/D1053*100</f>
        <v>86.700781250000006</v>
      </c>
      <c r="G1053" s="2967">
        <v>100</v>
      </c>
      <c r="H1053" s="3715"/>
      <c r="J1053" s="1205"/>
      <c r="K1053" s="1205"/>
    </row>
    <row r="1054" spans="2:11" s="5" customFormat="1" ht="10.5" hidden="1" customHeight="1" x14ac:dyDescent="0.25">
      <c r="B1054" s="448"/>
      <c r="C1054" s="2527"/>
      <c r="D1054" s="4276"/>
      <c r="E1054" s="3628"/>
      <c r="F1054" s="2690"/>
      <c r="G1054" s="2967"/>
      <c r="H1054" s="3715"/>
      <c r="J1054" s="1205"/>
      <c r="K1054" s="1205"/>
    </row>
    <row r="1055" spans="2:11" s="5" customFormat="1" ht="18.75" customHeight="1" x14ac:dyDescent="0.25">
      <c r="B1055" s="448"/>
      <c r="C1055" s="2521" t="s">
        <v>760</v>
      </c>
      <c r="D1055" s="4305">
        <f>D1056</f>
        <v>609130000</v>
      </c>
      <c r="E1055" s="3629">
        <f>E1056</f>
        <v>603630000</v>
      </c>
      <c r="F1055" s="4005">
        <f>E1055/D1055*100</f>
        <v>99.097072874427454</v>
      </c>
      <c r="G1055" s="2969">
        <f>G1056</f>
        <v>100</v>
      </c>
      <c r="H1055" s="3715"/>
      <c r="J1055" s="1205"/>
      <c r="K1055" s="1205"/>
    </row>
    <row r="1056" spans="2:11" s="5" customFormat="1" ht="18" hidden="1" customHeight="1" x14ac:dyDescent="0.25">
      <c r="B1056" s="448"/>
      <c r="C1056" s="2524" t="s">
        <v>761</v>
      </c>
      <c r="D1056" s="4066">
        <v>609130000</v>
      </c>
      <c r="E1056" s="3622">
        <v>603630000</v>
      </c>
      <c r="F1056" s="4008">
        <f>E1056/D1056*100</f>
        <v>99.097072874427454</v>
      </c>
      <c r="G1056" s="2967">
        <v>100</v>
      </c>
      <c r="H1056" s="3715"/>
      <c r="J1056" s="1205"/>
      <c r="K1056" s="1205"/>
    </row>
    <row r="1057" spans="2:11" s="5" customFormat="1" ht="11.25" hidden="1" customHeight="1" x14ac:dyDescent="0.25">
      <c r="B1057" s="448"/>
      <c r="C1057" s="2533"/>
      <c r="D1057" s="4071"/>
      <c r="E1057" s="3630"/>
      <c r="F1057" s="2710"/>
      <c r="G1057" s="2985"/>
      <c r="H1057" s="3715"/>
      <c r="J1057" s="1205"/>
      <c r="K1057" s="1205"/>
    </row>
    <row r="1058" spans="2:11" s="4" customFormat="1" ht="30" customHeight="1" x14ac:dyDescent="0.25">
      <c r="B1058" s="441"/>
      <c r="C1058" s="2534" t="s">
        <v>762</v>
      </c>
      <c r="D1058" s="4300">
        <f>SUM(D1059:D1060)</f>
        <v>226784170</v>
      </c>
      <c r="E1058" s="4016">
        <f>SUM(E1059:E1060)</f>
        <v>225384170</v>
      </c>
      <c r="F1058" s="4005">
        <f>E1058/D1058*100</f>
        <v>99.382672961697466</v>
      </c>
      <c r="G1058" s="2976">
        <f>SUM(G1059:G1060)/2</f>
        <v>100</v>
      </c>
      <c r="H1058" s="1462"/>
      <c r="J1058" s="1204"/>
      <c r="K1058" s="1204"/>
    </row>
    <row r="1059" spans="2:11" s="5" customFormat="1" ht="29.25" hidden="1" customHeight="1" x14ac:dyDescent="0.25">
      <c r="B1059" s="448"/>
      <c r="C1059" s="2533" t="s">
        <v>763</v>
      </c>
      <c r="D1059" s="4071">
        <v>178709670</v>
      </c>
      <c r="E1059" s="3622">
        <v>177309670</v>
      </c>
      <c r="F1059" s="4008">
        <f>E1059/D1059*100</f>
        <v>99.21660646567139</v>
      </c>
      <c r="G1059" s="2985">
        <v>100</v>
      </c>
      <c r="H1059" s="3715"/>
      <c r="J1059" s="1205"/>
      <c r="K1059" s="1205"/>
    </row>
    <row r="1060" spans="2:11" s="5" customFormat="1" ht="23.25" hidden="1" customHeight="1" x14ac:dyDescent="0.25">
      <c r="B1060" s="448"/>
      <c r="C1060" s="2533" t="s">
        <v>764</v>
      </c>
      <c r="D1060" s="4071">
        <v>48074500</v>
      </c>
      <c r="E1060" s="2999">
        <v>48074500</v>
      </c>
      <c r="F1060" s="4008">
        <f>E1060/D1060*100</f>
        <v>100</v>
      </c>
      <c r="G1060" s="2999">
        <v>100</v>
      </c>
      <c r="H1060" s="3715"/>
      <c r="J1060" s="1205"/>
      <c r="K1060" s="1205"/>
    </row>
    <row r="1061" spans="2:11" s="5" customFormat="1" ht="9" hidden="1" customHeight="1" x14ac:dyDescent="0.25">
      <c r="B1061" s="448"/>
      <c r="C1061" s="2533"/>
      <c r="D1061" s="4071"/>
      <c r="E1061" s="4014"/>
      <c r="F1061" s="2710"/>
      <c r="G1061" s="2985"/>
      <c r="H1061" s="3715"/>
      <c r="J1061" s="1205"/>
      <c r="K1061" s="1205"/>
    </row>
    <row r="1062" spans="2:11" s="4" customFormat="1" ht="20.25" customHeight="1" x14ac:dyDescent="0.25">
      <c r="B1062" s="441"/>
      <c r="C1062" s="2534" t="s">
        <v>765</v>
      </c>
      <c r="D1062" s="4300">
        <f>SUM(D1063:D1066)</f>
        <v>2060285580</v>
      </c>
      <c r="E1062" s="4013">
        <f>SUM(E1063:E1066)</f>
        <v>2022719250</v>
      </c>
      <c r="F1062" s="4005">
        <f>E1062/D1062*100</f>
        <v>98.1766445212901</v>
      </c>
      <c r="G1062" s="2976">
        <f>SUM(G1063:G1066)/4</f>
        <v>100</v>
      </c>
      <c r="H1062" s="1462"/>
      <c r="J1062" s="1204"/>
      <c r="K1062" s="1204"/>
    </row>
    <row r="1063" spans="2:11" s="5" customFormat="1" ht="29.25" hidden="1" customHeight="1" x14ac:dyDescent="0.25">
      <c r="B1063" s="448"/>
      <c r="C1063" s="2533" t="s">
        <v>766</v>
      </c>
      <c r="D1063" s="4071">
        <v>46600000</v>
      </c>
      <c r="E1063" s="3625">
        <v>46600000</v>
      </c>
      <c r="F1063" s="4008">
        <f>E1063/D1063*100</f>
        <v>100</v>
      </c>
      <c r="G1063" s="2985">
        <v>100</v>
      </c>
      <c r="H1063" s="3715"/>
      <c r="J1063" s="1205"/>
      <c r="K1063" s="1205"/>
    </row>
    <row r="1064" spans="2:11" s="5" customFormat="1" ht="30.75" hidden="1" customHeight="1" x14ac:dyDescent="0.25">
      <c r="B1064" s="448"/>
      <c r="C1064" s="2533" t="s">
        <v>767</v>
      </c>
      <c r="D1064" s="4071">
        <v>1505260000</v>
      </c>
      <c r="E1064" s="3625">
        <v>1500544250</v>
      </c>
      <c r="F1064" s="4008">
        <f t="shared" ref="F1064:F1066" si="71">E1064/D1064*100</f>
        <v>99.686715251850174</v>
      </c>
      <c r="G1064" s="2985">
        <v>100</v>
      </c>
      <c r="H1064" s="3715"/>
      <c r="J1064" s="1205"/>
      <c r="K1064" s="1205"/>
    </row>
    <row r="1065" spans="2:11" s="5" customFormat="1" ht="13.5" hidden="1" customHeight="1" x14ac:dyDescent="0.25">
      <c r="B1065" s="448"/>
      <c r="C1065" s="2533" t="s">
        <v>3426</v>
      </c>
      <c r="D1065" s="4071">
        <v>106245580</v>
      </c>
      <c r="E1065" s="3625">
        <v>106245000</v>
      </c>
      <c r="F1065" s="4008">
        <f t="shared" si="71"/>
        <v>99.999454094937406</v>
      </c>
      <c r="G1065" s="2985">
        <v>100</v>
      </c>
      <c r="H1065" s="3715"/>
      <c r="J1065" s="1205"/>
      <c r="K1065" s="1205"/>
    </row>
    <row r="1066" spans="2:11" s="5" customFormat="1" ht="17.25" hidden="1" customHeight="1" x14ac:dyDescent="0.25">
      <c r="B1066" s="448"/>
      <c r="C1066" s="2533" t="s">
        <v>3427</v>
      </c>
      <c r="D1066" s="4071">
        <v>402180000</v>
      </c>
      <c r="E1066" s="3625">
        <v>369330000</v>
      </c>
      <c r="F1066" s="4008">
        <f t="shared" si="71"/>
        <v>91.832015515440844</v>
      </c>
      <c r="G1066" s="2985">
        <v>100</v>
      </c>
      <c r="H1066" s="3715"/>
      <c r="J1066" s="1205"/>
      <c r="K1066" s="1205"/>
    </row>
    <row r="1067" spans="2:11" s="5" customFormat="1" ht="9" hidden="1" customHeight="1" x14ac:dyDescent="0.25">
      <c r="B1067" s="448"/>
      <c r="C1067" s="2533"/>
      <c r="D1067" s="4071"/>
      <c r="E1067" s="4017"/>
      <c r="F1067" s="2710"/>
      <c r="G1067" s="2985"/>
      <c r="H1067" s="3715"/>
      <c r="J1067" s="1205"/>
      <c r="K1067" s="1205"/>
    </row>
    <row r="1068" spans="2:11" s="4" customFormat="1" ht="17.25" customHeight="1" x14ac:dyDescent="0.25">
      <c r="B1068" s="441"/>
      <c r="C1068" s="2534" t="s">
        <v>768</v>
      </c>
      <c r="D1068" s="4300">
        <f>D1069</f>
        <v>123000000</v>
      </c>
      <c r="E1068" s="4018">
        <f>E1069</f>
        <v>81148900</v>
      </c>
      <c r="F1068" s="4005">
        <f>E1068/D1068*100</f>
        <v>65.97471544715448</v>
      </c>
      <c r="G1068" s="2976">
        <f>G1069</f>
        <v>100</v>
      </c>
      <c r="H1068" s="1462"/>
      <c r="J1068" s="1204"/>
      <c r="K1068" s="1204"/>
    </row>
    <row r="1069" spans="2:11" s="5" customFormat="1" ht="18" hidden="1" customHeight="1" x14ac:dyDescent="0.25">
      <c r="B1069" s="448"/>
      <c r="C1069" s="2533" t="s">
        <v>769</v>
      </c>
      <c r="D1069" s="4071">
        <v>123000000</v>
      </c>
      <c r="E1069" s="3625">
        <v>81148900</v>
      </c>
      <c r="F1069" s="4008">
        <f>E1069/D1069*100</f>
        <v>65.97471544715448</v>
      </c>
      <c r="G1069" s="2985">
        <v>100</v>
      </c>
      <c r="H1069" s="3715"/>
      <c r="J1069" s="1205"/>
      <c r="K1069" s="1205"/>
    </row>
    <row r="1070" spans="2:11" s="5" customFormat="1" ht="10.5" hidden="1" customHeight="1" x14ac:dyDescent="0.25">
      <c r="B1070" s="448"/>
      <c r="C1070" s="2533"/>
      <c r="D1070" s="4071"/>
      <c r="E1070" s="4014"/>
      <c r="F1070" s="2710"/>
      <c r="G1070" s="2985"/>
      <c r="H1070" s="3715"/>
      <c r="J1070" s="1205"/>
      <c r="K1070" s="1205"/>
    </row>
    <row r="1071" spans="2:11" s="4" customFormat="1" ht="16.5" customHeight="1" x14ac:dyDescent="0.25">
      <c r="B1071" s="441"/>
      <c r="C1071" s="2534" t="s">
        <v>770</v>
      </c>
      <c r="D1071" s="4300">
        <f>D1072</f>
        <v>172900000</v>
      </c>
      <c r="E1071" s="4006">
        <f>E1072</f>
        <v>172218825</v>
      </c>
      <c r="F1071" s="4005">
        <f>E1071/D1071*100</f>
        <v>99.606029496818977</v>
      </c>
      <c r="G1071" s="2976">
        <f>G1072</f>
        <v>100</v>
      </c>
      <c r="H1071" s="1462"/>
      <c r="J1071" s="1204"/>
      <c r="K1071" s="1204"/>
    </row>
    <row r="1072" spans="2:11" s="5" customFormat="1" ht="16.5" hidden="1" customHeight="1" x14ac:dyDescent="0.25">
      <c r="B1072" s="448"/>
      <c r="C1072" s="2533" t="s">
        <v>771</v>
      </c>
      <c r="D1072" s="4071">
        <v>172900000</v>
      </c>
      <c r="E1072" s="3625">
        <v>172218825</v>
      </c>
      <c r="F1072" s="4008">
        <f>E1072/D1072*100</f>
        <v>99.606029496818977</v>
      </c>
      <c r="G1072" s="2985">
        <v>100</v>
      </c>
      <c r="H1072" s="3715"/>
      <c r="J1072" s="1205"/>
      <c r="K1072" s="1205"/>
    </row>
    <row r="1073" spans="2:11" s="5" customFormat="1" ht="9" hidden="1" customHeight="1" x14ac:dyDescent="0.25">
      <c r="B1073" s="448"/>
      <c r="C1073" s="2533"/>
      <c r="D1073" s="4071"/>
      <c r="E1073" s="3630"/>
      <c r="F1073" s="2710"/>
      <c r="G1073" s="2985"/>
      <c r="H1073" s="3715"/>
      <c r="J1073" s="1205"/>
      <c r="K1073" s="1205"/>
    </row>
    <row r="1074" spans="2:11" s="4" customFormat="1" ht="31.5" customHeight="1" x14ac:dyDescent="0.25">
      <c r="B1074" s="441"/>
      <c r="C1074" s="2534" t="s">
        <v>772</v>
      </c>
      <c r="D1074" s="4300">
        <f>D1075</f>
        <v>12000000</v>
      </c>
      <c r="E1074" s="3627">
        <f>E1075</f>
        <v>6450000</v>
      </c>
      <c r="F1074" s="4005">
        <f>E1074/D1074*100</f>
        <v>53.75</v>
      </c>
      <c r="G1074" s="2976">
        <f>G1075</f>
        <v>75</v>
      </c>
      <c r="H1074" s="1462"/>
      <c r="J1074" s="1204"/>
      <c r="K1074" s="1204"/>
    </row>
    <row r="1075" spans="2:11" s="5" customFormat="1" ht="18.75" hidden="1" customHeight="1" x14ac:dyDescent="0.25">
      <c r="B1075" s="448"/>
      <c r="C1075" s="2533" t="s">
        <v>773</v>
      </c>
      <c r="D1075" s="4071">
        <v>12000000</v>
      </c>
      <c r="E1075" s="3622">
        <v>6450000</v>
      </c>
      <c r="F1075" s="4008">
        <f>E1075/D1075*100</f>
        <v>53.75</v>
      </c>
      <c r="G1075" s="2985">
        <v>75</v>
      </c>
      <c r="H1075" s="3715"/>
      <c r="J1075" s="1205"/>
      <c r="K1075" s="1205"/>
    </row>
    <row r="1076" spans="2:11" s="12" customFormat="1" ht="12" hidden="1" customHeight="1" x14ac:dyDescent="0.25">
      <c r="B1076" s="448"/>
      <c r="C1076" s="2476"/>
      <c r="D1076" s="4286"/>
      <c r="E1076" s="3022"/>
      <c r="F1076" s="2710"/>
      <c r="G1076" s="2985"/>
      <c r="H1076" s="3715"/>
      <c r="J1076" s="1209"/>
      <c r="K1076" s="1209"/>
    </row>
    <row r="1077" spans="2:11" s="5" customFormat="1" ht="17.25" customHeight="1" x14ac:dyDescent="0.25">
      <c r="B1077" s="453"/>
      <c r="C1077" s="2532" t="s">
        <v>774</v>
      </c>
      <c r="D1077" s="4106">
        <f>SUM(D1078+D1081+D1090+D1084+D1087)</f>
        <v>1721456632</v>
      </c>
      <c r="E1077" s="3626">
        <f>E1078+E1081+E1084+E1087+E1090</f>
        <v>1678968500</v>
      </c>
      <c r="F1077" s="2672">
        <f>E1077/D1077*100</f>
        <v>97.531849992024661</v>
      </c>
      <c r="G1077" s="2996">
        <f>SUM(G1078+G1081+G1084+G1087+G1090)/5</f>
        <v>100</v>
      </c>
      <c r="H1077" s="3715"/>
      <c r="J1077" s="1205"/>
      <c r="K1077" s="1205"/>
    </row>
    <row r="1078" spans="2:11" s="5" customFormat="1" ht="18.75" customHeight="1" x14ac:dyDescent="0.25">
      <c r="B1078" s="448"/>
      <c r="C1078" s="2521" t="s">
        <v>775</v>
      </c>
      <c r="D1078" s="4072">
        <f>D1079</f>
        <v>848496632</v>
      </c>
      <c r="E1078" s="3627">
        <f>E1079</f>
        <v>841935500</v>
      </c>
      <c r="F1078" s="4005">
        <f>E1078/D1078*100</f>
        <v>99.226734467462208</v>
      </c>
      <c r="G1078" s="2997">
        <f>G1079</f>
        <v>100</v>
      </c>
      <c r="H1078" s="3715"/>
      <c r="J1078" s="1205"/>
      <c r="K1078" s="1205"/>
    </row>
    <row r="1079" spans="2:11" s="5" customFormat="1" ht="17.25" hidden="1" customHeight="1" x14ac:dyDescent="0.25">
      <c r="B1079" s="448"/>
      <c r="C1079" s="2473" t="s">
        <v>776</v>
      </c>
      <c r="D1079" s="4301">
        <v>848496632</v>
      </c>
      <c r="E1079" s="3622">
        <v>841935500</v>
      </c>
      <c r="F1079" s="4008">
        <f>E1079/D1079*100</f>
        <v>99.226734467462208</v>
      </c>
      <c r="G1079" s="2968">
        <v>100</v>
      </c>
      <c r="H1079" s="3715"/>
      <c r="J1079" s="1205"/>
      <c r="K1079" s="1205"/>
    </row>
    <row r="1080" spans="2:11" s="5" customFormat="1" ht="11.25" hidden="1" customHeight="1" x14ac:dyDescent="0.25">
      <c r="B1080" s="448"/>
      <c r="C1080" s="2527"/>
      <c r="D1080" s="4276"/>
      <c r="E1080" s="3630"/>
      <c r="F1080" s="2968"/>
      <c r="G1080" s="2968"/>
      <c r="H1080" s="3715"/>
      <c r="J1080" s="1205"/>
      <c r="K1080" s="1205"/>
    </row>
    <row r="1081" spans="2:11" s="5" customFormat="1" ht="18.75" customHeight="1" x14ac:dyDescent="0.25">
      <c r="B1081" s="448"/>
      <c r="C1081" s="2521" t="s">
        <v>777</v>
      </c>
      <c r="D1081" s="4305">
        <f>D1082</f>
        <v>212215000</v>
      </c>
      <c r="E1081" s="3627">
        <f>E1082</f>
        <v>180850000</v>
      </c>
      <c r="F1081" s="4005">
        <f>E1081/D1081*100</f>
        <v>85.220177650024738</v>
      </c>
      <c r="G1081" s="2966">
        <f>G1082</f>
        <v>100</v>
      </c>
      <c r="H1081" s="3715"/>
      <c r="J1081" s="1205"/>
      <c r="K1081" s="1205"/>
    </row>
    <row r="1082" spans="2:11" s="5" customFormat="1" ht="17.25" hidden="1" customHeight="1" x14ac:dyDescent="0.25">
      <c r="B1082" s="448"/>
      <c r="C1082" s="2533" t="s">
        <v>778</v>
      </c>
      <c r="D1082" s="4071">
        <v>212215000</v>
      </c>
      <c r="E1082" s="3625">
        <v>180850000</v>
      </c>
      <c r="F1082" s="4010">
        <f>E1082/D1082*100</f>
        <v>85.220177650024738</v>
      </c>
      <c r="G1082" s="2999">
        <v>100</v>
      </c>
      <c r="H1082" s="3716"/>
      <c r="J1082" s="1205"/>
      <c r="K1082" s="1205"/>
    </row>
    <row r="1083" spans="2:11" s="5" customFormat="1" ht="12" hidden="1" customHeight="1" x14ac:dyDescent="0.25">
      <c r="B1083" s="462"/>
      <c r="C1083" s="2524"/>
      <c r="D1083" s="4066"/>
      <c r="E1083" s="3630"/>
      <c r="F1083" s="2690"/>
      <c r="G1083" s="2968"/>
      <c r="H1083" s="3715"/>
      <c r="J1083" s="1205"/>
      <c r="K1083" s="1205"/>
    </row>
    <row r="1084" spans="2:11" s="4" customFormat="1" ht="18.75" customHeight="1" x14ac:dyDescent="0.25">
      <c r="B1084" s="441"/>
      <c r="C1084" s="2521" t="s">
        <v>779</v>
      </c>
      <c r="D1084" s="4305">
        <f>D1085</f>
        <v>163327000</v>
      </c>
      <c r="E1084" s="3627">
        <f>E1085</f>
        <v>162450000</v>
      </c>
      <c r="F1084" s="4011">
        <f>E1084/D1084*100</f>
        <v>99.463040403607479</v>
      </c>
      <c r="G1084" s="2997">
        <f>G1085</f>
        <v>100</v>
      </c>
      <c r="H1084" s="3718"/>
      <c r="J1084" s="1204"/>
      <c r="K1084" s="1204"/>
    </row>
    <row r="1085" spans="2:11" s="5" customFormat="1" ht="16.5" hidden="1" customHeight="1" x14ac:dyDescent="0.25">
      <c r="B1085" s="448"/>
      <c r="C1085" s="2524" t="s">
        <v>6691</v>
      </c>
      <c r="D1085" s="4066">
        <v>163327000</v>
      </c>
      <c r="E1085" s="3622">
        <v>162450000</v>
      </c>
      <c r="F1085" s="4008">
        <f>E1085/D1085*100</f>
        <v>99.463040403607479</v>
      </c>
      <c r="G1085" s="2968">
        <v>100</v>
      </c>
      <c r="H1085" s="3715"/>
      <c r="J1085" s="1205"/>
      <c r="K1085" s="1205"/>
    </row>
    <row r="1086" spans="2:11" s="5" customFormat="1" ht="11.25" hidden="1" customHeight="1" x14ac:dyDescent="0.25">
      <c r="B1086" s="448"/>
      <c r="C1086" s="2524"/>
      <c r="D1086" s="4066"/>
      <c r="E1086" s="3630"/>
      <c r="F1086" s="2690"/>
      <c r="G1086" s="2968"/>
      <c r="H1086" s="3715"/>
      <c r="J1086" s="1205"/>
      <c r="K1086" s="1205"/>
    </row>
    <row r="1087" spans="2:11" s="4" customFormat="1" ht="18" customHeight="1" x14ac:dyDescent="0.25">
      <c r="B1087" s="441"/>
      <c r="C1087" s="2525" t="s">
        <v>780</v>
      </c>
      <c r="D1087" s="4065">
        <f>D1088</f>
        <v>313683000</v>
      </c>
      <c r="E1087" s="3627">
        <f>E1088</f>
        <v>310783000</v>
      </c>
      <c r="F1087" s="4005">
        <f>E1087/D1087*100</f>
        <v>99.075499788002546</v>
      </c>
      <c r="G1087" s="2966">
        <f>G1088</f>
        <v>100</v>
      </c>
      <c r="H1087" s="1462"/>
      <c r="J1087" s="1204"/>
      <c r="K1087" s="1204"/>
    </row>
    <row r="1088" spans="2:11" s="5" customFormat="1" ht="15" hidden="1" customHeight="1" x14ac:dyDescent="0.25">
      <c r="B1088" s="448"/>
      <c r="C1088" s="2524" t="s">
        <v>781</v>
      </c>
      <c r="D1088" s="4066">
        <v>313683000</v>
      </c>
      <c r="E1088" s="3622">
        <v>310783000</v>
      </c>
      <c r="F1088" s="4008">
        <f>E1088/D1088*100</f>
        <v>99.075499788002546</v>
      </c>
      <c r="G1088" s="2968">
        <v>100</v>
      </c>
      <c r="H1088" s="3715"/>
      <c r="J1088" s="1205"/>
      <c r="K1088" s="1205"/>
    </row>
    <row r="1089" spans="2:11" s="5" customFormat="1" ht="11.25" hidden="1" customHeight="1" x14ac:dyDescent="0.25">
      <c r="B1089" s="448"/>
      <c r="C1089" s="2527"/>
      <c r="D1089" s="4276"/>
      <c r="E1089" s="3630"/>
      <c r="F1089" s="2968"/>
      <c r="G1089" s="2968"/>
      <c r="H1089" s="3715"/>
      <c r="J1089" s="1205"/>
      <c r="K1089" s="1205"/>
    </row>
    <row r="1090" spans="2:11" s="5" customFormat="1" ht="19.5" customHeight="1" x14ac:dyDescent="0.25">
      <c r="B1090" s="448"/>
      <c r="C1090" s="2525" t="s">
        <v>782</v>
      </c>
      <c r="D1090" s="4065">
        <f>D1091</f>
        <v>183735000</v>
      </c>
      <c r="E1090" s="2966">
        <f>E1091</f>
        <v>182950000</v>
      </c>
      <c r="F1090" s="4005">
        <f>E1090/D1090*100</f>
        <v>99.572754238441235</v>
      </c>
      <c r="G1090" s="2966">
        <f>G1091</f>
        <v>100</v>
      </c>
      <c r="H1090" s="3715"/>
      <c r="J1090" s="1205"/>
      <c r="K1090" s="1205"/>
    </row>
    <row r="1091" spans="2:11" s="5" customFormat="1" ht="15.75" hidden="1" customHeight="1" x14ac:dyDescent="0.25">
      <c r="B1091" s="448"/>
      <c r="C1091" s="2526" t="s">
        <v>783</v>
      </c>
      <c r="D1091" s="4301">
        <v>183735000</v>
      </c>
      <c r="E1091" s="2968">
        <v>182950000</v>
      </c>
      <c r="F1091" s="4008">
        <f>E1091/D1091*100</f>
        <v>99.572754238441235</v>
      </c>
      <c r="G1091" s="2968">
        <v>100</v>
      </c>
      <c r="H1091" s="3715"/>
      <c r="J1091" s="1205"/>
      <c r="K1091" s="1205"/>
    </row>
    <row r="1092" spans="2:11" s="12" customFormat="1" ht="12" hidden="1" customHeight="1" x14ac:dyDescent="0.25">
      <c r="B1092" s="448"/>
      <c r="C1092" s="2476"/>
      <c r="D1092" s="4286"/>
      <c r="E1092" s="2999"/>
      <c r="F1092" s="2710"/>
      <c r="G1092" s="2985"/>
      <c r="H1092" s="3715"/>
      <c r="J1092" s="1209"/>
      <c r="K1092" s="1209"/>
    </row>
    <row r="1093" spans="2:11" s="5" customFormat="1" ht="28.5" customHeight="1" x14ac:dyDescent="0.25">
      <c r="B1093" s="453"/>
      <c r="C1093" s="2471" t="s">
        <v>784</v>
      </c>
      <c r="D1093" s="3631">
        <f>D1094+D1103+D1106+D1117+D1109+D1114+D1120+D1123+D1126+D1129+D1132+D1135</f>
        <v>3874159882</v>
      </c>
      <c r="E1093" s="3631">
        <f>E1094+E1103+E1106+E1117+E1109+E1114+E1120+E1123+E1126+E1129+E1132+E1135</f>
        <v>3844858082</v>
      </c>
      <c r="F1093" s="2672">
        <f>E1093/D1093*100</f>
        <v>99.243660538220396</v>
      </c>
      <c r="G1093" s="2670">
        <f>SUM(G1094+G1103+G1106+G1109+G1114+G1117+G1120+G1123+G1126+G1129+G1132+G1135)/12</f>
        <v>100</v>
      </c>
      <c r="H1093" s="3715"/>
      <c r="J1093" s="1205"/>
      <c r="K1093" s="1205"/>
    </row>
    <row r="1094" spans="2:11" s="5" customFormat="1" ht="21" customHeight="1" x14ac:dyDescent="0.25">
      <c r="B1094" s="448"/>
      <c r="C1094" s="2536" t="s">
        <v>785</v>
      </c>
      <c r="D1094" s="4311">
        <f>SUM(D1095:D1101)</f>
        <v>1571835400</v>
      </c>
      <c r="E1094" s="3632">
        <f>SUM(E1095:E1101)</f>
        <v>1571435400</v>
      </c>
      <c r="F1094" s="4005">
        <f>E1094/D1094*100</f>
        <v>99.974552042790236</v>
      </c>
      <c r="G1094" s="2966">
        <f>SUM(G1095:G1101)/7</f>
        <v>100</v>
      </c>
      <c r="H1094" s="3715"/>
      <c r="J1094" s="1205"/>
      <c r="K1094" s="1205"/>
    </row>
    <row r="1095" spans="2:11" s="5" customFormat="1" ht="30" hidden="1" customHeight="1" x14ac:dyDescent="0.25">
      <c r="B1095" s="448"/>
      <c r="C1095" s="2524" t="s">
        <v>786</v>
      </c>
      <c r="D1095" s="4066">
        <v>263103100</v>
      </c>
      <c r="E1095" s="4019">
        <v>263103100</v>
      </c>
      <c r="F1095" s="4008">
        <f>E1095/D1095*100</f>
        <v>100</v>
      </c>
      <c r="G1095" s="3014">
        <v>100</v>
      </c>
      <c r="H1095" s="3715"/>
      <c r="J1095" s="1205"/>
      <c r="K1095" s="1205"/>
    </row>
    <row r="1096" spans="2:11" s="5" customFormat="1" ht="32.25" hidden="1" customHeight="1" x14ac:dyDescent="0.25">
      <c r="B1096" s="448"/>
      <c r="C1096" s="2524" t="s">
        <v>787</v>
      </c>
      <c r="D1096" s="4066">
        <v>181566500</v>
      </c>
      <c r="E1096" s="2968">
        <v>181466500</v>
      </c>
      <c r="F1096" s="4008">
        <f>E1096/D1096*100</f>
        <v>99.944923760715781</v>
      </c>
      <c r="G1096" s="2968">
        <v>100</v>
      </c>
      <c r="H1096" s="3715"/>
      <c r="J1096" s="1205"/>
      <c r="K1096" s="1205"/>
    </row>
    <row r="1097" spans="2:11" s="5" customFormat="1" ht="18" hidden="1" customHeight="1" x14ac:dyDescent="0.25">
      <c r="B1097" s="448"/>
      <c r="C1097" s="2524" t="s">
        <v>788</v>
      </c>
      <c r="D1097" s="4066">
        <v>302755000</v>
      </c>
      <c r="E1097" s="3622">
        <v>302455000</v>
      </c>
      <c r="F1097" s="4008">
        <f>E1097/D1097*100</f>
        <v>99.900909976713848</v>
      </c>
      <c r="G1097" s="2967">
        <v>100</v>
      </c>
      <c r="H1097" s="3715"/>
      <c r="J1097" s="1205"/>
      <c r="K1097" s="1205"/>
    </row>
    <row r="1098" spans="2:11" s="5" customFormat="1" ht="15.75" hidden="1" customHeight="1" x14ac:dyDescent="0.25">
      <c r="B1098" s="448"/>
      <c r="C1098" s="2524" t="s">
        <v>789</v>
      </c>
      <c r="D1098" s="4066">
        <v>109618000</v>
      </c>
      <c r="E1098" s="4019">
        <v>109618000</v>
      </c>
      <c r="F1098" s="4008">
        <f t="shared" ref="F1098:F1101" si="72">E1098/D1098*100</f>
        <v>100</v>
      </c>
      <c r="G1098" s="2967">
        <v>100</v>
      </c>
      <c r="H1098" s="3715"/>
      <c r="J1098" s="1205"/>
      <c r="K1098" s="1205"/>
    </row>
    <row r="1099" spans="2:11" s="5" customFormat="1" ht="18.75" hidden="1" customHeight="1" x14ac:dyDescent="0.25">
      <c r="B1099" s="448"/>
      <c r="C1099" s="2524" t="s">
        <v>790</v>
      </c>
      <c r="D1099" s="4066">
        <v>294996400</v>
      </c>
      <c r="E1099" s="3625">
        <v>294996400</v>
      </c>
      <c r="F1099" s="4008">
        <f t="shared" si="72"/>
        <v>100</v>
      </c>
      <c r="G1099" s="2967">
        <v>100</v>
      </c>
      <c r="H1099" s="3715"/>
      <c r="J1099" s="1205"/>
      <c r="K1099" s="1205"/>
    </row>
    <row r="1100" spans="2:11" s="5" customFormat="1" ht="16.5" hidden="1" customHeight="1" x14ac:dyDescent="0.25">
      <c r="B1100" s="448"/>
      <c r="C1100" s="2524" t="s">
        <v>791</v>
      </c>
      <c r="D1100" s="4066">
        <v>283496400</v>
      </c>
      <c r="E1100" s="2968">
        <v>283496400</v>
      </c>
      <c r="F1100" s="4008">
        <f t="shared" si="72"/>
        <v>100</v>
      </c>
      <c r="G1100" s="2967">
        <v>100</v>
      </c>
      <c r="H1100" s="3715"/>
      <c r="J1100" s="1205"/>
      <c r="K1100" s="1205"/>
    </row>
    <row r="1101" spans="2:11" s="5" customFormat="1" ht="19.5" hidden="1" customHeight="1" x14ac:dyDescent="0.25">
      <c r="B1101" s="448"/>
      <c r="C1101" s="2524" t="s">
        <v>792</v>
      </c>
      <c r="D1101" s="4066">
        <v>136300000</v>
      </c>
      <c r="E1101" s="2968">
        <v>136300000</v>
      </c>
      <c r="F1101" s="4008">
        <f t="shared" si="72"/>
        <v>100</v>
      </c>
      <c r="G1101" s="2967">
        <v>100</v>
      </c>
      <c r="H1101" s="3715"/>
      <c r="J1101" s="1205"/>
      <c r="K1101" s="1205"/>
    </row>
    <row r="1102" spans="2:11" s="5" customFormat="1" ht="10.5" hidden="1" customHeight="1" x14ac:dyDescent="0.25">
      <c r="B1102" s="448"/>
      <c r="C1102" s="2527"/>
      <c r="D1102" s="4276"/>
      <c r="E1102" s="4017"/>
      <c r="F1102" s="2690"/>
      <c r="G1102" s="2967"/>
      <c r="H1102" s="3715"/>
      <c r="J1102" s="1205"/>
      <c r="K1102" s="1205"/>
    </row>
    <row r="1103" spans="2:11" s="5" customFormat="1" ht="21" customHeight="1" x14ac:dyDescent="0.25">
      <c r="B1103" s="448"/>
      <c r="C1103" s="2525" t="s">
        <v>450</v>
      </c>
      <c r="D1103" s="4065">
        <f>D1104</f>
        <v>222409800</v>
      </c>
      <c r="E1103" s="3627">
        <f>E1104</f>
        <v>195659800</v>
      </c>
      <c r="F1103" s="4005">
        <f>E1103/D1103*100</f>
        <v>87.972652284206902</v>
      </c>
      <c r="G1103" s="2969">
        <f>G1104</f>
        <v>100</v>
      </c>
      <c r="H1103" s="3715"/>
      <c r="J1103" s="1205"/>
      <c r="K1103" s="1205"/>
    </row>
    <row r="1104" spans="2:11" s="5" customFormat="1" ht="18.75" hidden="1" customHeight="1" x14ac:dyDescent="0.25">
      <c r="B1104" s="448"/>
      <c r="C1104" s="2473" t="s">
        <v>793</v>
      </c>
      <c r="D1104" s="4066">
        <v>222409800</v>
      </c>
      <c r="E1104" s="3622">
        <v>195659800</v>
      </c>
      <c r="F1104" s="4008">
        <f>E1104/D1104*100</f>
        <v>87.972652284206902</v>
      </c>
      <c r="G1104" s="2967">
        <v>100</v>
      </c>
      <c r="H1104" s="3715"/>
      <c r="J1104" s="1205"/>
      <c r="K1104" s="1205"/>
    </row>
    <row r="1105" spans="2:11" s="5" customFormat="1" ht="13.5" hidden="1" customHeight="1" x14ac:dyDescent="0.25">
      <c r="B1105" s="448"/>
      <c r="C1105" s="2528"/>
      <c r="D1105" s="4276"/>
      <c r="E1105" s="2879"/>
      <c r="F1105" s="2690"/>
      <c r="G1105" s="2967"/>
      <c r="H1105" s="3715"/>
      <c r="J1105" s="1205"/>
      <c r="K1105" s="1205"/>
    </row>
    <row r="1106" spans="2:11" s="5" customFormat="1" ht="20.25" customHeight="1" x14ac:dyDescent="0.25">
      <c r="B1106" s="448"/>
      <c r="C1106" s="2525" t="s">
        <v>455</v>
      </c>
      <c r="D1106" s="4305">
        <f>D1107</f>
        <v>176925000</v>
      </c>
      <c r="E1106" s="2785">
        <f>E1107</f>
        <v>176875000</v>
      </c>
      <c r="F1106" s="4005">
        <f>E1106/D1106*100</f>
        <v>99.971739437614801</v>
      </c>
      <c r="G1106" s="2997">
        <f>G1107</f>
        <v>100</v>
      </c>
      <c r="H1106" s="3715"/>
      <c r="J1106" s="1205"/>
      <c r="K1106" s="1205"/>
    </row>
    <row r="1107" spans="2:11" s="5" customFormat="1" ht="19.5" hidden="1" customHeight="1" x14ac:dyDescent="0.25">
      <c r="B1107" s="448"/>
      <c r="C1107" s="2524" t="s">
        <v>794</v>
      </c>
      <c r="D1107" s="4066">
        <v>176925000</v>
      </c>
      <c r="E1107" s="3014">
        <v>176875000</v>
      </c>
      <c r="F1107" s="4008">
        <f>E1107/D1107*100</f>
        <v>99.971739437614801</v>
      </c>
      <c r="G1107" s="3014">
        <v>100</v>
      </c>
      <c r="H1107" s="3715"/>
      <c r="J1107" s="1205"/>
      <c r="K1107" s="1205"/>
    </row>
    <row r="1108" spans="2:11" s="5" customFormat="1" ht="9.75" hidden="1" customHeight="1" x14ac:dyDescent="0.25">
      <c r="B1108" s="448"/>
      <c r="C1108" s="2527"/>
      <c r="D1108" s="4276"/>
      <c r="E1108" s="3630"/>
      <c r="F1108" s="2690"/>
      <c r="G1108" s="2967"/>
      <c r="H1108" s="3715"/>
      <c r="J1108" s="1205"/>
      <c r="K1108" s="1205"/>
    </row>
    <row r="1109" spans="2:11" s="5" customFormat="1" ht="16.5" customHeight="1" x14ac:dyDescent="0.25">
      <c r="B1109" s="448"/>
      <c r="C1109" s="2525" t="s">
        <v>795</v>
      </c>
      <c r="D1109" s="4065">
        <f>SUM(D1110:D1112)</f>
        <v>503949500</v>
      </c>
      <c r="E1109" s="3633">
        <f>SUM(E1110:E1112)</f>
        <v>503549500</v>
      </c>
      <c r="F1109" s="4005">
        <f>E1109/D1109*100</f>
        <v>99.920626967583061</v>
      </c>
      <c r="G1109" s="2966">
        <f>SUM(G1110:G1112)/3</f>
        <v>100</v>
      </c>
      <c r="H1109" s="1460"/>
      <c r="I1109" s="398"/>
      <c r="J1109" s="1205"/>
      <c r="K1109" s="1205"/>
    </row>
    <row r="1110" spans="2:11" s="5" customFormat="1" ht="17.25" hidden="1" customHeight="1" x14ac:dyDescent="0.25">
      <c r="B1110" s="448"/>
      <c r="C1110" s="2473" t="s">
        <v>796</v>
      </c>
      <c r="D1110" s="4066">
        <v>163716500</v>
      </c>
      <c r="E1110" s="3622">
        <v>163316500</v>
      </c>
      <c r="F1110" s="4008">
        <f>E1110/D1110*100</f>
        <v>99.755675206836202</v>
      </c>
      <c r="G1110" s="3014">
        <v>100</v>
      </c>
      <c r="H1110" s="3715"/>
      <c r="J1110" s="1205"/>
      <c r="K1110" s="1205"/>
    </row>
    <row r="1111" spans="2:11" s="5" customFormat="1" ht="16.5" hidden="1" customHeight="1" x14ac:dyDescent="0.25">
      <c r="B1111" s="448"/>
      <c r="C1111" s="2524" t="s">
        <v>797</v>
      </c>
      <c r="D1111" s="4066">
        <v>182366500</v>
      </c>
      <c r="E1111" s="3622">
        <v>182366500</v>
      </c>
      <c r="F1111" s="4008">
        <f>E1111/D1111*100</f>
        <v>100</v>
      </c>
      <c r="G1111" s="2985">
        <v>100</v>
      </c>
      <c r="H1111" s="3715"/>
      <c r="J1111" s="1205"/>
      <c r="K1111" s="1205"/>
    </row>
    <row r="1112" spans="2:11" s="5" customFormat="1" ht="14.25" hidden="1" customHeight="1" x14ac:dyDescent="0.25">
      <c r="B1112" s="448"/>
      <c r="C1112" s="2524" t="s">
        <v>798</v>
      </c>
      <c r="D1112" s="4066">
        <v>157866500</v>
      </c>
      <c r="E1112" s="2968">
        <v>157866500</v>
      </c>
      <c r="F1112" s="4008">
        <f>E1112/D1112*100</f>
        <v>100</v>
      </c>
      <c r="G1112" s="2968">
        <v>100</v>
      </c>
      <c r="H1112" s="3715"/>
      <c r="J1112" s="1205"/>
      <c r="K1112" s="1205"/>
    </row>
    <row r="1113" spans="2:11" s="5" customFormat="1" ht="11.25" hidden="1" customHeight="1" x14ac:dyDescent="0.25">
      <c r="B1113" s="448"/>
      <c r="C1113" s="2527"/>
      <c r="D1113" s="4276"/>
      <c r="E1113" s="3630"/>
      <c r="F1113" s="2752"/>
      <c r="G1113" s="2985"/>
      <c r="H1113" s="3715"/>
      <c r="J1113" s="1205"/>
      <c r="K1113" s="1205"/>
    </row>
    <row r="1114" spans="2:11" s="5" customFormat="1" ht="17.25" customHeight="1" x14ac:dyDescent="0.25">
      <c r="B1114" s="448"/>
      <c r="C1114" s="2525" t="s">
        <v>799</v>
      </c>
      <c r="D1114" s="4065">
        <f>D1115</f>
        <v>255050000</v>
      </c>
      <c r="E1114" s="3628">
        <f>E1115</f>
        <v>255050000</v>
      </c>
      <c r="F1114" s="4005">
        <f>E1114/D1114*100</f>
        <v>100</v>
      </c>
      <c r="G1114" s="2966">
        <f>G1115</f>
        <v>100</v>
      </c>
      <c r="H1114" s="3715"/>
      <c r="J1114" s="1205"/>
      <c r="K1114" s="1205"/>
    </row>
    <row r="1115" spans="2:11" s="5" customFormat="1" ht="18" hidden="1" customHeight="1" x14ac:dyDescent="0.25">
      <c r="B1115" s="448"/>
      <c r="C1115" s="2524" t="s">
        <v>800</v>
      </c>
      <c r="D1115" s="4066">
        <v>255050000</v>
      </c>
      <c r="E1115" s="3622">
        <v>255050000</v>
      </c>
      <c r="F1115" s="4008">
        <f>E1115/D1115*100</f>
        <v>100</v>
      </c>
      <c r="G1115" s="2968">
        <v>100</v>
      </c>
      <c r="H1115" s="3715"/>
      <c r="J1115" s="1205"/>
      <c r="K1115" s="1205"/>
    </row>
    <row r="1116" spans="2:11" s="5" customFormat="1" ht="12" hidden="1" customHeight="1" x14ac:dyDescent="0.25">
      <c r="B1116" s="448"/>
      <c r="C1116" s="2524"/>
      <c r="D1116" s="4276"/>
      <c r="E1116" s="3630"/>
      <c r="F1116" s="2690"/>
      <c r="G1116" s="2968"/>
      <c r="H1116" s="3715"/>
      <c r="J1116" s="1205"/>
      <c r="K1116" s="1205"/>
    </row>
    <row r="1117" spans="2:11" s="4" customFormat="1" ht="18" customHeight="1" x14ac:dyDescent="0.25">
      <c r="B1117" s="441"/>
      <c r="C1117" s="2525" t="s">
        <v>801</v>
      </c>
      <c r="D1117" s="4065">
        <f>D1118</f>
        <v>149666500</v>
      </c>
      <c r="E1117" s="2695">
        <f>E1118</f>
        <v>149666500</v>
      </c>
      <c r="F1117" s="4005">
        <f>E1117/D1117*100</f>
        <v>100</v>
      </c>
      <c r="G1117" s="2966">
        <f>G1118</f>
        <v>100</v>
      </c>
      <c r="H1117" s="1462"/>
      <c r="J1117" s="1204"/>
      <c r="K1117" s="1204"/>
    </row>
    <row r="1118" spans="2:11" s="5" customFormat="1" ht="18" hidden="1" customHeight="1" x14ac:dyDescent="0.25">
      <c r="B1118" s="448"/>
      <c r="C1118" s="2533" t="s">
        <v>802</v>
      </c>
      <c r="D1118" s="4071">
        <v>149666500</v>
      </c>
      <c r="E1118" s="2999">
        <v>149666500</v>
      </c>
      <c r="F1118" s="4008">
        <f>E1118/D1118*100</f>
        <v>100</v>
      </c>
      <c r="G1118" s="2999">
        <v>100</v>
      </c>
      <c r="H1118" s="3716"/>
      <c r="J1118" s="1205"/>
      <c r="K1118" s="1205"/>
    </row>
    <row r="1119" spans="2:11" s="5" customFormat="1" ht="9.75" hidden="1" customHeight="1" x14ac:dyDescent="0.25">
      <c r="B1119" s="462"/>
      <c r="C1119" s="2524"/>
      <c r="D1119" s="4276"/>
      <c r="E1119" s="3630"/>
      <c r="F1119" s="2690"/>
      <c r="G1119" s="2968"/>
      <c r="H1119" s="3715"/>
      <c r="J1119" s="1205"/>
      <c r="K1119" s="1205"/>
    </row>
    <row r="1120" spans="2:11" s="4" customFormat="1" ht="18" customHeight="1" x14ac:dyDescent="0.25">
      <c r="B1120" s="441"/>
      <c r="C1120" s="2538" t="s">
        <v>803</v>
      </c>
      <c r="D1120" s="4072">
        <f>D1121</f>
        <v>139650000</v>
      </c>
      <c r="E1120" s="3627">
        <f>E1121</f>
        <v>139650000</v>
      </c>
      <c r="F1120" s="4011">
        <f>E1120/D1120*100</f>
        <v>100</v>
      </c>
      <c r="G1120" s="2997">
        <f>G1121</f>
        <v>100</v>
      </c>
      <c r="H1120" s="3718"/>
      <c r="J1120" s="1204"/>
      <c r="K1120" s="1204"/>
    </row>
    <row r="1121" spans="2:11" s="5" customFormat="1" ht="18" hidden="1" customHeight="1" x14ac:dyDescent="0.25">
      <c r="B1121" s="448"/>
      <c r="C1121" s="2524" t="s">
        <v>804</v>
      </c>
      <c r="D1121" s="4066">
        <v>139650000</v>
      </c>
      <c r="E1121" s="3622">
        <v>139650000</v>
      </c>
      <c r="F1121" s="4008">
        <f>E1121/D1121*100</f>
        <v>100</v>
      </c>
      <c r="G1121" s="2968">
        <v>100</v>
      </c>
      <c r="H1121" s="3715"/>
      <c r="J1121" s="1205"/>
      <c r="K1121" s="1205"/>
    </row>
    <row r="1122" spans="2:11" s="5" customFormat="1" ht="9.75" hidden="1" customHeight="1" x14ac:dyDescent="0.25">
      <c r="B1122" s="448"/>
      <c r="C1122" s="2524"/>
      <c r="D1122" s="4276"/>
      <c r="E1122" s="3630"/>
      <c r="F1122" s="2690"/>
      <c r="G1122" s="2968"/>
      <c r="H1122" s="3715"/>
      <c r="J1122" s="1205"/>
      <c r="K1122" s="1205"/>
    </row>
    <row r="1123" spans="2:11" s="4" customFormat="1" ht="21.75" customHeight="1" x14ac:dyDescent="0.25">
      <c r="B1123" s="441"/>
      <c r="C1123" s="2525" t="s">
        <v>805</v>
      </c>
      <c r="D1123" s="4065">
        <f>D1124</f>
        <v>203709800</v>
      </c>
      <c r="E1123" s="3628">
        <f>E1124</f>
        <v>203408000</v>
      </c>
      <c r="F1123" s="4005">
        <f>E1123/D1123*100</f>
        <v>99.851848070146843</v>
      </c>
      <c r="G1123" s="2966">
        <f>G1124</f>
        <v>100</v>
      </c>
      <c r="H1123" s="1462"/>
      <c r="J1123" s="1204"/>
      <c r="K1123" s="1204"/>
    </row>
    <row r="1124" spans="2:11" s="5" customFormat="1" ht="18" hidden="1" customHeight="1" x14ac:dyDescent="0.25">
      <c r="B1124" s="448"/>
      <c r="C1124" s="2524" t="s">
        <v>806</v>
      </c>
      <c r="D1124" s="4066">
        <v>203709800</v>
      </c>
      <c r="E1124" s="3622">
        <v>203408000</v>
      </c>
      <c r="F1124" s="4008">
        <f>E1124/D1124*100</f>
        <v>99.851848070146843</v>
      </c>
      <c r="G1124" s="2968">
        <v>100</v>
      </c>
      <c r="H1124" s="3715"/>
      <c r="J1124" s="1205"/>
      <c r="K1124" s="1205"/>
    </row>
    <row r="1125" spans="2:11" s="5" customFormat="1" ht="9.75" hidden="1" customHeight="1" x14ac:dyDescent="0.25">
      <c r="B1125" s="448"/>
      <c r="C1125" s="2524"/>
      <c r="D1125" s="4276"/>
      <c r="E1125" s="3630"/>
      <c r="F1125" s="2690"/>
      <c r="G1125" s="2968"/>
      <c r="H1125" s="3715"/>
      <c r="J1125" s="1205"/>
      <c r="K1125" s="1205"/>
    </row>
    <row r="1126" spans="2:11" s="4" customFormat="1" ht="27.75" customHeight="1" x14ac:dyDescent="0.25">
      <c r="B1126" s="441"/>
      <c r="C1126" s="2525" t="s">
        <v>807</v>
      </c>
      <c r="D1126" s="4065">
        <f>D1127</f>
        <v>257350000</v>
      </c>
      <c r="E1126" s="3628">
        <f>E1127</f>
        <v>257350000</v>
      </c>
      <c r="F1126" s="4005">
        <f>E1126/D1126*100</f>
        <v>100</v>
      </c>
      <c r="G1126" s="2966">
        <f>G1127</f>
        <v>100</v>
      </c>
      <c r="H1126" s="1462"/>
      <c r="J1126" s="1204"/>
      <c r="K1126" s="1204"/>
    </row>
    <row r="1127" spans="2:11" s="5" customFormat="1" ht="18" hidden="1" customHeight="1" x14ac:dyDescent="0.25">
      <c r="B1127" s="448"/>
      <c r="C1127" s="2524" t="s">
        <v>808</v>
      </c>
      <c r="D1127" s="4066">
        <v>257350000</v>
      </c>
      <c r="E1127" s="3622">
        <v>257350000</v>
      </c>
      <c r="F1127" s="4008">
        <f>E1127/D1127*100</f>
        <v>100</v>
      </c>
      <c r="G1127" s="2968">
        <v>100</v>
      </c>
      <c r="H1127" s="3715"/>
      <c r="J1127" s="1205"/>
      <c r="K1127" s="1205"/>
    </row>
    <row r="1128" spans="2:11" s="5" customFormat="1" ht="10.5" hidden="1" customHeight="1" x14ac:dyDescent="0.25">
      <c r="B1128" s="448"/>
      <c r="C1128" s="2524"/>
      <c r="D1128" s="4276" t="s">
        <v>809</v>
      </c>
      <c r="E1128" s="3736"/>
      <c r="F1128" s="2690"/>
      <c r="G1128" s="2968"/>
      <c r="H1128" s="3715"/>
      <c r="J1128" s="1205"/>
      <c r="K1128" s="1205"/>
    </row>
    <row r="1129" spans="2:11" s="4" customFormat="1" ht="15.75" customHeight="1" x14ac:dyDescent="0.25">
      <c r="B1129" s="441"/>
      <c r="C1129" s="2525" t="s">
        <v>810</v>
      </c>
      <c r="D1129" s="4065">
        <f>D1130</f>
        <v>124750000</v>
      </c>
      <c r="E1129" s="3628">
        <f>E1130</f>
        <v>124250000</v>
      </c>
      <c r="F1129" s="4005">
        <f>E1129/D1129*100</f>
        <v>99.599198396793582</v>
      </c>
      <c r="G1129" s="2966">
        <f>G1130</f>
        <v>100</v>
      </c>
      <c r="H1129" s="1462"/>
      <c r="J1129" s="1204"/>
      <c r="K1129" s="1204"/>
    </row>
    <row r="1130" spans="2:11" s="5" customFormat="1" ht="18" hidden="1" customHeight="1" x14ac:dyDescent="0.25">
      <c r="B1130" s="448"/>
      <c r="C1130" s="2524" t="s">
        <v>811</v>
      </c>
      <c r="D1130" s="4066">
        <v>124750000</v>
      </c>
      <c r="E1130" s="3622">
        <v>124250000</v>
      </c>
      <c r="F1130" s="4008">
        <f>E1130/D1130*100</f>
        <v>99.599198396793582</v>
      </c>
      <c r="G1130" s="2968">
        <v>100</v>
      </c>
      <c r="H1130" s="3715"/>
      <c r="J1130" s="1205"/>
      <c r="K1130" s="1205"/>
    </row>
    <row r="1131" spans="2:11" s="5" customFormat="1" ht="10.5" hidden="1" customHeight="1" x14ac:dyDescent="0.25">
      <c r="B1131" s="448"/>
      <c r="C1131" s="2524"/>
      <c r="D1131" s="4276"/>
      <c r="E1131" s="3630"/>
      <c r="F1131" s="2690"/>
      <c r="G1131" s="2968"/>
      <c r="H1131" s="3715"/>
      <c r="J1131" s="1205"/>
      <c r="K1131" s="1205"/>
    </row>
    <row r="1132" spans="2:11" s="4" customFormat="1" ht="27" customHeight="1" x14ac:dyDescent="0.25">
      <c r="B1132" s="441"/>
      <c r="C1132" s="2525" t="s">
        <v>812</v>
      </c>
      <c r="D1132" s="4065">
        <f>D1133</f>
        <v>66110782</v>
      </c>
      <c r="E1132" s="2966">
        <f>E1133</f>
        <v>66110782</v>
      </c>
      <c r="F1132" s="4005">
        <f>E1132/D1132*100</f>
        <v>100</v>
      </c>
      <c r="G1132" s="2966">
        <f>G1133</f>
        <v>100</v>
      </c>
      <c r="H1132" s="1462"/>
      <c r="J1132" s="1204"/>
      <c r="K1132" s="1204"/>
    </row>
    <row r="1133" spans="2:11" s="5" customFormat="1" ht="30" hidden="1" customHeight="1" x14ac:dyDescent="0.25">
      <c r="B1133" s="448"/>
      <c r="C1133" s="2524" t="s">
        <v>813</v>
      </c>
      <c r="D1133" s="4066">
        <v>66110782</v>
      </c>
      <c r="E1133" s="2968">
        <v>66110782</v>
      </c>
      <c r="F1133" s="4008">
        <f>E1133/D1133*100</f>
        <v>100</v>
      </c>
      <c r="G1133" s="2968">
        <v>100</v>
      </c>
      <c r="H1133" s="3715"/>
      <c r="J1133" s="1205"/>
      <c r="K1133" s="1205"/>
    </row>
    <row r="1134" spans="2:11" s="5" customFormat="1" ht="9" hidden="1" customHeight="1" x14ac:dyDescent="0.25">
      <c r="B1134" s="448"/>
      <c r="C1134" s="2527"/>
      <c r="D1134" s="4276"/>
      <c r="E1134" s="2813"/>
      <c r="F1134" s="2966"/>
      <c r="G1134" s="2966"/>
      <c r="H1134" s="3715"/>
      <c r="J1134" s="1205"/>
      <c r="K1134" s="1205"/>
    </row>
    <row r="1135" spans="2:11" s="4" customFormat="1" ht="16.5" customHeight="1" x14ac:dyDescent="0.25">
      <c r="B1135" s="441"/>
      <c r="C1135" s="2525" t="s">
        <v>814</v>
      </c>
      <c r="D1135" s="4065">
        <f>D1136</f>
        <v>202753100</v>
      </c>
      <c r="E1135" s="2695">
        <f>E1136</f>
        <v>201853100</v>
      </c>
      <c r="F1135" s="4005">
        <f>E1135/D1135*100</f>
        <v>99.556110362800865</v>
      </c>
      <c r="G1135" s="4005">
        <f>G1136</f>
        <v>100</v>
      </c>
      <c r="H1135" s="1462"/>
      <c r="J1135" s="1204"/>
      <c r="K1135" s="1204"/>
    </row>
    <row r="1136" spans="2:11" s="5" customFormat="1" ht="19.5" hidden="1" customHeight="1" x14ac:dyDescent="0.25">
      <c r="B1136" s="448"/>
      <c r="C1136" s="2524" t="s">
        <v>815</v>
      </c>
      <c r="D1136" s="4066">
        <v>202753100</v>
      </c>
      <c r="E1136" s="2968">
        <v>201853100</v>
      </c>
      <c r="F1136" s="4008">
        <f>E1136/D1136*100</f>
        <v>99.556110362800865</v>
      </c>
      <c r="G1136" s="4008">
        <v>100</v>
      </c>
      <c r="H1136" s="3715"/>
      <c r="J1136" s="1205"/>
      <c r="K1136" s="1205"/>
    </row>
    <row r="1137" spans="2:11" s="5" customFormat="1" ht="12.75" hidden="1" customHeight="1" x14ac:dyDescent="0.25">
      <c r="B1137" s="448"/>
      <c r="C1137" s="2528"/>
      <c r="D1137" s="4305"/>
      <c r="E1137" s="2801"/>
      <c r="F1137" s="3021"/>
      <c r="G1137" s="3021"/>
      <c r="H1137" s="3715"/>
      <c r="J1137" s="1205"/>
      <c r="K1137" s="1205"/>
    </row>
    <row r="1138" spans="2:11" s="5" customFormat="1" ht="18" customHeight="1" x14ac:dyDescent="0.25">
      <c r="B1138" s="453"/>
      <c r="C1138" s="2532" t="s">
        <v>816</v>
      </c>
      <c r="D1138" s="4106">
        <f>D1139+D1142+D1146+D1149+D1152</f>
        <v>3370935635</v>
      </c>
      <c r="E1138" s="2672">
        <f>E1139+E1142+E1146+E1149+E1152</f>
        <v>3061769935</v>
      </c>
      <c r="F1138" s="2672">
        <f>E1138/D1138*100</f>
        <v>90.828489966109956</v>
      </c>
      <c r="G1138" s="2996">
        <f>SUM(G1139+G1142+G1146+G1149+G1152)/5</f>
        <v>97.141999999999996</v>
      </c>
      <c r="H1138" s="3715"/>
      <c r="J1138" s="1205"/>
      <c r="K1138" s="1205"/>
    </row>
    <row r="1139" spans="2:11" s="5" customFormat="1" ht="16.5" customHeight="1" x14ac:dyDescent="0.25">
      <c r="B1139" s="448"/>
      <c r="C1139" s="2521" t="s">
        <v>817</v>
      </c>
      <c r="D1139" s="4305">
        <f>D1140</f>
        <v>553000000</v>
      </c>
      <c r="E1139" s="2785">
        <f>E1140</f>
        <v>550800000</v>
      </c>
      <c r="F1139" s="4005">
        <f>E1139/D1139*100</f>
        <v>99.602169981916816</v>
      </c>
      <c r="G1139" s="2997">
        <f>G1140</f>
        <v>100</v>
      </c>
      <c r="H1139" s="3715"/>
      <c r="J1139" s="1205"/>
      <c r="K1139" s="1205"/>
    </row>
    <row r="1140" spans="2:11" s="5" customFormat="1" ht="17.25" hidden="1" customHeight="1" x14ac:dyDescent="0.25">
      <c r="B1140" s="448"/>
      <c r="C1140" s="2524" t="s">
        <v>818</v>
      </c>
      <c r="D1140" s="4066">
        <v>553000000</v>
      </c>
      <c r="E1140" s="2810">
        <v>550800000</v>
      </c>
      <c r="F1140" s="4008">
        <f>E1140/D1140*100</f>
        <v>99.602169981916816</v>
      </c>
      <c r="G1140" s="2968">
        <v>100</v>
      </c>
      <c r="H1140" s="3715"/>
      <c r="J1140" s="1205"/>
      <c r="K1140" s="1205"/>
    </row>
    <row r="1141" spans="2:11" s="5" customFormat="1" ht="10.5" hidden="1" customHeight="1" x14ac:dyDescent="0.25">
      <c r="B1141" s="448"/>
      <c r="C1141" s="2526"/>
      <c r="D1141" s="4301"/>
      <c r="E1141" s="2818"/>
      <c r="F1141" s="2710"/>
      <c r="G1141" s="2999"/>
      <c r="H1141" s="3715"/>
      <c r="J1141" s="1205"/>
      <c r="K1141" s="1205"/>
    </row>
    <row r="1142" spans="2:11" s="4" customFormat="1" ht="15.75" customHeight="1" x14ac:dyDescent="0.25">
      <c r="B1142" s="441"/>
      <c r="C1142" s="2525" t="s">
        <v>819</v>
      </c>
      <c r="D1142" s="4065">
        <f>SUM(D1143:D1144)</f>
        <v>623600000</v>
      </c>
      <c r="E1142" s="2695">
        <f>SUM(E1143:E1144)</f>
        <v>594062300</v>
      </c>
      <c r="F1142" s="4005">
        <f>E1142/D1142*100</f>
        <v>95.263357921744714</v>
      </c>
      <c r="G1142" s="2966">
        <f>SUM(G1143:G1144)/2</f>
        <v>100</v>
      </c>
      <c r="H1142" s="1462"/>
      <c r="J1142" s="1204"/>
      <c r="K1142" s="1204"/>
    </row>
    <row r="1143" spans="2:11" s="5" customFormat="1" ht="15.75" hidden="1" customHeight="1" x14ac:dyDescent="0.25">
      <c r="B1143" s="448"/>
      <c r="C1143" s="2524" t="s">
        <v>3430</v>
      </c>
      <c r="D1143" s="4066">
        <v>450000000</v>
      </c>
      <c r="E1143" s="2968">
        <v>449500000</v>
      </c>
      <c r="F1143" s="4008">
        <f>E1143/D1143*100</f>
        <v>99.8888888888889</v>
      </c>
      <c r="G1143" s="2968">
        <v>100</v>
      </c>
      <c r="H1143" s="3715"/>
      <c r="J1143" s="1205"/>
      <c r="K1143" s="1205"/>
    </row>
    <row r="1144" spans="2:11" s="5" customFormat="1" ht="20.25" hidden="1" customHeight="1" x14ac:dyDescent="0.25">
      <c r="B1144" s="448"/>
      <c r="C1144" s="2524" t="s">
        <v>820</v>
      </c>
      <c r="D1144" s="4066">
        <v>173600000</v>
      </c>
      <c r="E1144" s="2968">
        <v>144562300</v>
      </c>
      <c r="F1144" s="4008">
        <f>E1144/D1144*100</f>
        <v>83.273214285714275</v>
      </c>
      <c r="G1144" s="2968">
        <v>100</v>
      </c>
      <c r="H1144" s="3715"/>
      <c r="J1144" s="1205"/>
      <c r="K1144" s="1205"/>
    </row>
    <row r="1145" spans="2:11" s="5" customFormat="1" ht="10.5" hidden="1" customHeight="1" x14ac:dyDescent="0.25">
      <c r="B1145" s="448"/>
      <c r="C1145" s="2524"/>
      <c r="D1145" s="4066"/>
      <c r="E1145" s="2810"/>
      <c r="F1145" s="2690"/>
      <c r="G1145" s="2999"/>
      <c r="H1145" s="3715"/>
      <c r="J1145" s="1205"/>
      <c r="K1145" s="1205"/>
    </row>
    <row r="1146" spans="2:11" s="4" customFormat="1" ht="18" customHeight="1" x14ac:dyDescent="0.25">
      <c r="B1146" s="441"/>
      <c r="C1146" s="2525" t="s">
        <v>821</v>
      </c>
      <c r="D1146" s="4065">
        <f>D1147</f>
        <v>279050000</v>
      </c>
      <c r="E1146" s="2695">
        <f>E1147</f>
        <v>260200000</v>
      </c>
      <c r="F1146" s="4005">
        <f>E1146/D1146*100</f>
        <v>93.244938183121306</v>
      </c>
      <c r="G1146" s="3000">
        <f>G1147</f>
        <v>100</v>
      </c>
      <c r="H1146" s="1462"/>
      <c r="J1146" s="1204"/>
      <c r="K1146" s="1204"/>
    </row>
    <row r="1147" spans="2:11" s="5" customFormat="1" ht="17.25" hidden="1" customHeight="1" x14ac:dyDescent="0.25">
      <c r="B1147" s="448"/>
      <c r="C1147" s="2524" t="s">
        <v>822</v>
      </c>
      <c r="D1147" s="4066">
        <v>279050000</v>
      </c>
      <c r="E1147" s="3622">
        <v>260200000</v>
      </c>
      <c r="F1147" s="4008">
        <f>E1147/D1147*100</f>
        <v>93.244938183121306</v>
      </c>
      <c r="G1147" s="2999">
        <v>100</v>
      </c>
      <c r="H1147" s="3715"/>
      <c r="J1147" s="1205"/>
      <c r="K1147" s="1205"/>
    </row>
    <row r="1148" spans="2:11" s="5" customFormat="1" ht="12.75" hidden="1" customHeight="1" x14ac:dyDescent="0.25">
      <c r="B1148" s="448"/>
      <c r="C1148" s="2524"/>
      <c r="D1148" s="4066"/>
      <c r="E1148" s="2810"/>
      <c r="F1148" s="2690"/>
      <c r="G1148" s="2999"/>
      <c r="H1148" s="3715"/>
      <c r="J1148" s="1205"/>
      <c r="K1148" s="1205"/>
    </row>
    <row r="1149" spans="2:11" s="4" customFormat="1" ht="27" customHeight="1" x14ac:dyDescent="0.25">
      <c r="B1149" s="441"/>
      <c r="C1149" s="2525" t="s">
        <v>823</v>
      </c>
      <c r="D1149" s="4065">
        <f>D1150</f>
        <v>519737635</v>
      </c>
      <c r="E1149" s="2695">
        <f>E1150</f>
        <v>316887635</v>
      </c>
      <c r="F1149" s="4005">
        <f>E1149/D1149*100</f>
        <v>60.9706924533183</v>
      </c>
      <c r="G1149" s="3000">
        <f>G1150</f>
        <v>85.71</v>
      </c>
      <c r="H1149" s="1462"/>
      <c r="J1149" s="1204"/>
      <c r="K1149" s="1204"/>
    </row>
    <row r="1150" spans="2:11" s="5" customFormat="1" ht="19.5" hidden="1" customHeight="1" x14ac:dyDescent="0.25">
      <c r="B1150" s="448"/>
      <c r="C1150" s="2524" t="s">
        <v>824</v>
      </c>
      <c r="D1150" s="4066">
        <v>519737635</v>
      </c>
      <c r="E1150" s="3622">
        <v>316887635</v>
      </c>
      <c r="F1150" s="4008">
        <f>E1150/D1150*100</f>
        <v>60.9706924533183</v>
      </c>
      <c r="G1150" s="2999">
        <v>85.71</v>
      </c>
      <c r="H1150" s="3715"/>
      <c r="J1150" s="1205"/>
      <c r="K1150" s="1205"/>
    </row>
    <row r="1151" spans="2:11" s="5" customFormat="1" ht="11.25" hidden="1" customHeight="1" x14ac:dyDescent="0.25">
      <c r="B1151" s="448"/>
      <c r="C1151" s="2524"/>
      <c r="D1151" s="4066"/>
      <c r="E1151" s="2810"/>
      <c r="F1151" s="2690"/>
      <c r="G1151" s="2999"/>
      <c r="H1151" s="3715"/>
      <c r="J1151" s="1205"/>
      <c r="K1151" s="1205"/>
    </row>
    <row r="1152" spans="2:11" s="4" customFormat="1" ht="18.75" customHeight="1" x14ac:dyDescent="0.25">
      <c r="B1152" s="441"/>
      <c r="C1152" s="2525" t="s">
        <v>825</v>
      </c>
      <c r="D1152" s="4065">
        <f>D1153</f>
        <v>1395548000</v>
      </c>
      <c r="E1152" s="2695">
        <f>E1153</f>
        <v>1339820000</v>
      </c>
      <c r="F1152" s="4005">
        <f>E1152/D1152*100</f>
        <v>96.006729972741894</v>
      </c>
      <c r="G1152" s="3000">
        <f>G1153</f>
        <v>100</v>
      </c>
      <c r="H1152" s="1462"/>
      <c r="J1152" s="1204"/>
      <c r="K1152" s="1204"/>
    </row>
    <row r="1153" spans="1:11" s="5" customFormat="1" ht="15.75" hidden="1" customHeight="1" x14ac:dyDescent="0.25">
      <c r="B1153" s="448"/>
      <c r="C1153" s="2524" t="s">
        <v>826</v>
      </c>
      <c r="D1153" s="4066">
        <v>1395548000</v>
      </c>
      <c r="E1153" s="3622">
        <v>1339820000</v>
      </c>
      <c r="F1153" s="4008">
        <f>E1153/D1153*100</f>
        <v>96.006729972741894</v>
      </c>
      <c r="G1153" s="2999">
        <v>100</v>
      </c>
      <c r="H1153" s="3715"/>
      <c r="J1153" s="1205"/>
      <c r="K1153" s="1205"/>
    </row>
    <row r="1154" spans="1:11" s="12" customFormat="1" ht="12" hidden="1" customHeight="1" x14ac:dyDescent="0.25">
      <c r="B1154" s="448"/>
      <c r="C1154" s="2475"/>
      <c r="D1154" s="4317"/>
      <c r="E1154" s="3138"/>
      <c r="F1154" s="3024"/>
      <c r="G1154" s="3052"/>
      <c r="H1154" s="3715"/>
      <c r="J1154" s="1209"/>
      <c r="K1154" s="1209"/>
    </row>
    <row r="1155" spans="1:11" s="5" customFormat="1" ht="16.5" customHeight="1" x14ac:dyDescent="0.25">
      <c r="B1155" s="453"/>
      <c r="C1155" s="2471" t="s">
        <v>827</v>
      </c>
      <c r="D1155" s="4106">
        <f>D1156</f>
        <v>2532243470</v>
      </c>
      <c r="E1155" s="3631">
        <f>E1156</f>
        <v>2194043776</v>
      </c>
      <c r="F1155" s="2672">
        <f>E1155/D1155*100</f>
        <v>86.644266319304592</v>
      </c>
      <c r="G1155" s="2670">
        <f>G1156</f>
        <v>100</v>
      </c>
      <c r="H1155" s="3715"/>
      <c r="J1155" s="1205"/>
      <c r="K1155" s="1205"/>
    </row>
    <row r="1156" spans="1:11" s="5" customFormat="1" ht="18" customHeight="1" x14ac:dyDescent="0.25">
      <c r="B1156" s="448"/>
      <c r="C1156" s="2537" t="s">
        <v>828</v>
      </c>
      <c r="D1156" s="4305">
        <f>SUM(D1157:D1158)</f>
        <v>2532243470</v>
      </c>
      <c r="E1156" s="3632">
        <f>E1157+E1158</f>
        <v>2194043776</v>
      </c>
      <c r="F1156" s="4005">
        <f>E1156/D1156*100</f>
        <v>86.644266319304592</v>
      </c>
      <c r="G1156" s="2677">
        <f>SUM(G1157:G1158)/2</f>
        <v>100</v>
      </c>
      <c r="H1156" s="3715"/>
      <c r="J1156" s="1205"/>
      <c r="K1156" s="1205"/>
    </row>
    <row r="1157" spans="1:11" s="5" customFormat="1" ht="14.25" hidden="1" customHeight="1" x14ac:dyDescent="0.25">
      <c r="B1157" s="448"/>
      <c r="C1157" s="2526" t="s">
        <v>829</v>
      </c>
      <c r="D1157" s="4066">
        <v>1530668081</v>
      </c>
      <c r="E1157" s="3622">
        <v>1254366780</v>
      </c>
      <c r="F1157" s="4008">
        <f>E1157/D1157*100</f>
        <v>81.948973495319137</v>
      </c>
      <c r="G1157" s="2683">
        <v>100</v>
      </c>
      <c r="H1157" s="3715"/>
      <c r="J1157" s="1205"/>
      <c r="K1157" s="1205"/>
    </row>
    <row r="1158" spans="1:11" s="5" customFormat="1" ht="18" hidden="1" customHeight="1" x14ac:dyDescent="0.25">
      <c r="B1158" s="448"/>
      <c r="C1158" s="2524" t="s">
        <v>830</v>
      </c>
      <c r="D1158" s="4066">
        <v>1001575389</v>
      </c>
      <c r="E1158" s="3625">
        <v>939676996</v>
      </c>
      <c r="F1158" s="4008">
        <f>E1158/D1158*100</f>
        <v>93.819896766652676</v>
      </c>
      <c r="G1158" s="2683">
        <v>100</v>
      </c>
      <c r="H1158" s="3715"/>
      <c r="J1158" s="1205"/>
      <c r="K1158" s="1205"/>
    </row>
    <row r="1159" spans="1:11" ht="12" hidden="1" customHeight="1" x14ac:dyDescent="0.25">
      <c r="B1159" s="441"/>
      <c r="C1159" s="2528"/>
      <c r="D1159" s="4286"/>
      <c r="E1159" s="2999"/>
      <c r="F1159" s="2778"/>
      <c r="G1159" s="2985"/>
      <c r="H1159" s="1463"/>
    </row>
    <row r="1160" spans="1:11" s="27" customFormat="1" ht="16.5" customHeight="1" x14ac:dyDescent="0.25">
      <c r="A1160" s="6"/>
      <c r="B1160" s="440"/>
      <c r="C1160" s="2471" t="s">
        <v>831</v>
      </c>
      <c r="D1160" s="4106">
        <f>SUM(D1161+D1165+D1169+D1173+D1177)</f>
        <v>3724433676</v>
      </c>
      <c r="E1160" s="2672">
        <f>SUM(E1161+E1165+E1169+E1173+E1177)</f>
        <v>3546098160</v>
      </c>
      <c r="F1160" s="2672">
        <f>E1160/D1160*100</f>
        <v>95.21174139442509</v>
      </c>
      <c r="G1160" s="2670">
        <f>SUM(G1161+G1165+G1169+G1173+G1177)/5</f>
        <v>100</v>
      </c>
      <c r="H1160" s="3712"/>
      <c r="J1160" s="995"/>
      <c r="K1160" s="995"/>
    </row>
    <row r="1161" spans="1:11" s="27" customFormat="1" ht="16.5" customHeight="1" x14ac:dyDescent="0.25">
      <c r="A1161" s="6"/>
      <c r="B1161" s="441"/>
      <c r="C1161" s="2525" t="s">
        <v>832</v>
      </c>
      <c r="D1161" s="4305">
        <f>SUM(D1162:D1163)</f>
        <v>1082755000</v>
      </c>
      <c r="E1161" s="2785">
        <f>SUM(E1162:E1163)</f>
        <v>1047211900</v>
      </c>
      <c r="F1161" s="4005">
        <f>E1161/D1161*100</f>
        <v>96.717346029341826</v>
      </c>
      <c r="G1161" s="2969">
        <f>SUM(G1162:G1163)/2</f>
        <v>100</v>
      </c>
      <c r="H1161" s="1463"/>
      <c r="J1161" s="995"/>
      <c r="K1161" s="995"/>
    </row>
    <row r="1162" spans="1:11" s="27" customFormat="1" ht="15.75" hidden="1" customHeight="1" x14ac:dyDescent="0.25">
      <c r="A1162" s="6"/>
      <c r="B1162" s="441"/>
      <c r="C1162" s="2524" t="s">
        <v>833</v>
      </c>
      <c r="D1162" s="3622">
        <v>243745000</v>
      </c>
      <c r="E1162" s="3622">
        <v>242627000</v>
      </c>
      <c r="F1162" s="4008">
        <f>E1162/D1162*100</f>
        <v>99.541323924593328</v>
      </c>
      <c r="G1162" s="2967">
        <v>100</v>
      </c>
      <c r="H1162" s="1463"/>
      <c r="J1162" s="995"/>
      <c r="K1162" s="995"/>
    </row>
    <row r="1163" spans="1:11" s="31" customFormat="1" ht="15.75" hidden="1" customHeight="1" x14ac:dyDescent="0.25">
      <c r="A1163" s="5"/>
      <c r="B1163" s="448"/>
      <c r="C1163" s="2526" t="s">
        <v>834</v>
      </c>
      <c r="D1163" s="3622">
        <v>839010000</v>
      </c>
      <c r="E1163" s="3622">
        <v>804584900</v>
      </c>
      <c r="F1163" s="4008">
        <f>E1163/D1163*100</f>
        <v>95.896938057949257</v>
      </c>
      <c r="G1163" s="2967">
        <v>100</v>
      </c>
      <c r="H1163" s="3715"/>
      <c r="J1163" s="1211"/>
      <c r="K1163" s="1211"/>
    </row>
    <row r="1164" spans="1:11" s="27" customFormat="1" ht="12" hidden="1" customHeight="1" x14ac:dyDescent="0.25">
      <c r="A1164" s="6"/>
      <c r="B1164" s="441"/>
      <c r="C1164" s="2527"/>
      <c r="D1164" s="4299"/>
      <c r="E1164" s="3021"/>
      <c r="F1164" s="2734"/>
      <c r="G1164" s="2967"/>
      <c r="H1164" s="1463"/>
      <c r="J1164" s="995"/>
      <c r="K1164" s="995"/>
    </row>
    <row r="1165" spans="1:11" s="27" customFormat="1" ht="16.5" customHeight="1" x14ac:dyDescent="0.25">
      <c r="A1165" s="6"/>
      <c r="B1165" s="441"/>
      <c r="C1165" s="2525" t="s">
        <v>835</v>
      </c>
      <c r="D1165" s="4065">
        <f>SUM(D1166:D1167)</f>
        <v>687850000</v>
      </c>
      <c r="E1165" s="2695">
        <f>SUM(E1166:E1167)</f>
        <v>675614000</v>
      </c>
      <c r="F1165" s="4005">
        <f>E1165/D1165*100</f>
        <v>98.221123791524306</v>
      </c>
      <c r="G1165" s="2969">
        <f>SUM(G1166:G1167)/2</f>
        <v>100</v>
      </c>
      <c r="H1165" s="1463"/>
      <c r="J1165" s="995"/>
      <c r="K1165" s="995"/>
    </row>
    <row r="1166" spans="1:11" s="27" customFormat="1" ht="14.25" hidden="1" customHeight="1" x14ac:dyDescent="0.25">
      <c r="A1166" s="6"/>
      <c r="B1166" s="441"/>
      <c r="C1166" s="2524" t="s">
        <v>836</v>
      </c>
      <c r="D1166" s="3622">
        <v>434100000</v>
      </c>
      <c r="E1166" s="3622">
        <v>433764000</v>
      </c>
      <c r="F1166" s="4008">
        <f>E1166/D1166*100</f>
        <v>99.922598479612986</v>
      </c>
      <c r="G1166" s="2967">
        <v>100</v>
      </c>
      <c r="H1166" s="1463"/>
      <c r="J1166" s="995"/>
      <c r="K1166" s="995"/>
    </row>
    <row r="1167" spans="1:11" s="31" customFormat="1" ht="15" hidden="1" customHeight="1" x14ac:dyDescent="0.25">
      <c r="A1167" s="5"/>
      <c r="B1167" s="448"/>
      <c r="C1167" s="2524" t="s">
        <v>837</v>
      </c>
      <c r="D1167" s="3625">
        <v>253750000</v>
      </c>
      <c r="E1167" s="3625">
        <v>241850000</v>
      </c>
      <c r="F1167" s="4008">
        <f>E1167/D1167*100</f>
        <v>95.310344827586206</v>
      </c>
      <c r="G1167" s="2967">
        <v>100</v>
      </c>
      <c r="H1167" s="3715"/>
      <c r="J1167" s="1211"/>
      <c r="K1167" s="1211"/>
    </row>
    <row r="1168" spans="1:11" s="27" customFormat="1" ht="11.25" hidden="1" customHeight="1" x14ac:dyDescent="0.25">
      <c r="A1168" s="6"/>
      <c r="B1168" s="441"/>
      <c r="C1168" s="2528"/>
      <c r="D1168" s="4276"/>
      <c r="E1168" s="3140"/>
      <c r="F1168" s="2734"/>
      <c r="G1168" s="2967"/>
      <c r="H1168" s="1463"/>
      <c r="J1168" s="995"/>
      <c r="K1168" s="995"/>
    </row>
    <row r="1169" spans="1:11" s="27" customFormat="1" ht="18.75" customHeight="1" x14ac:dyDescent="0.25">
      <c r="A1169" s="6"/>
      <c r="B1169" s="441"/>
      <c r="C1169" s="2525" t="s">
        <v>838</v>
      </c>
      <c r="D1169" s="4065">
        <f>SUM(D1170:D1171)</f>
        <v>663001176</v>
      </c>
      <c r="E1169" s="2695">
        <f>SUM(E1170:E1171)</f>
        <v>662219560</v>
      </c>
      <c r="F1169" s="4005">
        <f>E1169/D1169*100</f>
        <v>99.882109409712413</v>
      </c>
      <c r="G1169" s="2969">
        <f>SUM(G1170:G1171)/2</f>
        <v>100</v>
      </c>
      <c r="H1169" s="1463"/>
      <c r="J1169" s="995"/>
      <c r="K1169" s="995"/>
    </row>
    <row r="1170" spans="1:11" s="27" customFormat="1" ht="16.5" hidden="1" customHeight="1" x14ac:dyDescent="0.25">
      <c r="A1170" s="6"/>
      <c r="B1170" s="441"/>
      <c r="C1170" s="2524" t="s">
        <v>839</v>
      </c>
      <c r="D1170" s="4066">
        <v>410211616</v>
      </c>
      <c r="E1170" s="2968">
        <v>410050000</v>
      </c>
      <c r="F1170" s="4008">
        <f>E1170/D1170*100</f>
        <v>99.960601798267945</v>
      </c>
      <c r="G1170" s="2968">
        <v>100</v>
      </c>
      <c r="H1170" s="1463"/>
      <c r="J1170" s="995"/>
      <c r="K1170" s="995"/>
    </row>
    <row r="1171" spans="1:11" ht="15" hidden="1" customHeight="1" x14ac:dyDescent="0.25">
      <c r="B1171" s="441"/>
      <c r="C1171" s="2473" t="s">
        <v>840</v>
      </c>
      <c r="D1171" s="4066">
        <v>252789560</v>
      </c>
      <c r="E1171" s="2968">
        <v>252169560</v>
      </c>
      <c r="F1171" s="4008">
        <f>E1171/D1171*100</f>
        <v>99.75473670668994</v>
      </c>
      <c r="G1171" s="2967">
        <v>100</v>
      </c>
      <c r="H1171" s="1463"/>
    </row>
    <row r="1172" spans="1:11" ht="12" hidden="1" customHeight="1" x14ac:dyDescent="0.25">
      <c r="B1172" s="441"/>
      <c r="C1172" s="2473"/>
      <c r="D1172" s="4066"/>
      <c r="E1172" s="2968"/>
      <c r="F1172" s="3035"/>
      <c r="G1172" s="2967"/>
      <c r="H1172" s="1463"/>
    </row>
    <row r="1173" spans="1:11" s="32" customFormat="1" ht="19.5" customHeight="1" x14ac:dyDescent="0.25">
      <c r="A1173" s="1"/>
      <c r="B1173" s="441"/>
      <c r="C1173" s="2474" t="s">
        <v>841</v>
      </c>
      <c r="D1173" s="4065">
        <f>SUM(D1174:D1175)</f>
        <v>765335000</v>
      </c>
      <c r="E1173" s="2695">
        <f>SUM(E1174:E1175)</f>
        <v>659745000</v>
      </c>
      <c r="F1173" s="4005">
        <f>E1173/D1173*100</f>
        <v>86.203427257344828</v>
      </c>
      <c r="G1173" s="2969">
        <f>SUM(G1174:G1175)/2</f>
        <v>100</v>
      </c>
      <c r="H1173" s="1462"/>
      <c r="J1173" s="1208"/>
      <c r="K1173" s="1208"/>
    </row>
    <row r="1174" spans="1:11" ht="19.5" hidden="1" customHeight="1" x14ac:dyDescent="0.25">
      <c r="B1174" s="441"/>
      <c r="C1174" s="2473" t="s">
        <v>842</v>
      </c>
      <c r="D1174" s="4066">
        <v>254350000</v>
      </c>
      <c r="E1174" s="2968">
        <v>239310000</v>
      </c>
      <c r="F1174" s="4008">
        <f>E1174/D1174*100</f>
        <v>94.086888146255163</v>
      </c>
      <c r="G1174" s="2967">
        <v>100</v>
      </c>
      <c r="H1174" s="1463"/>
    </row>
    <row r="1175" spans="1:11" ht="15.75" hidden="1" customHeight="1" x14ac:dyDescent="0.25">
      <c r="B1175" s="441"/>
      <c r="C1175" s="2473" t="s">
        <v>843</v>
      </c>
      <c r="D1175" s="4066">
        <v>510985000</v>
      </c>
      <c r="E1175" s="2968">
        <v>420435000</v>
      </c>
      <c r="F1175" s="4008">
        <f>E1175/D1175*100</f>
        <v>82.279323267806291</v>
      </c>
      <c r="G1175" s="2967">
        <v>100</v>
      </c>
      <c r="H1175" s="1463"/>
    </row>
    <row r="1176" spans="1:11" ht="9" hidden="1" customHeight="1" x14ac:dyDescent="0.25">
      <c r="B1176" s="441"/>
      <c r="C1176" s="2473"/>
      <c r="D1176" s="4066"/>
      <c r="E1176" s="2968"/>
      <c r="F1176" s="3035"/>
      <c r="G1176" s="2967"/>
      <c r="H1176" s="1463"/>
    </row>
    <row r="1177" spans="1:11" s="32" customFormat="1" ht="19.5" customHeight="1" x14ac:dyDescent="0.25">
      <c r="A1177" s="1"/>
      <c r="B1177" s="441"/>
      <c r="C1177" s="2474" t="s">
        <v>844</v>
      </c>
      <c r="D1177" s="4065">
        <f>D1178</f>
        <v>525492500</v>
      </c>
      <c r="E1177" s="2695">
        <f>E1178</f>
        <v>501307700</v>
      </c>
      <c r="F1177" s="4005">
        <f>E1177/D1177*100</f>
        <v>95.397688834759776</v>
      </c>
      <c r="G1177" s="2969">
        <f>G1178</f>
        <v>100</v>
      </c>
      <c r="H1177" s="1462"/>
      <c r="J1177" s="1208"/>
      <c r="K1177" s="1208"/>
    </row>
    <row r="1178" spans="1:11" ht="13.5" hidden="1" customHeight="1" x14ac:dyDescent="0.25">
      <c r="B1178" s="441"/>
      <c r="C1178" s="2473" t="s">
        <v>845</v>
      </c>
      <c r="D1178" s="4066">
        <v>525492500</v>
      </c>
      <c r="E1178" s="2968">
        <v>501307700</v>
      </c>
      <c r="F1178" s="4008">
        <f>E1178/D1178*100</f>
        <v>95.397688834759776</v>
      </c>
      <c r="G1178" s="2967">
        <v>100</v>
      </c>
      <c r="H1178" s="1463"/>
    </row>
    <row r="1179" spans="1:11" ht="12" hidden="1" customHeight="1" x14ac:dyDescent="0.25">
      <c r="B1179" s="441"/>
      <c r="C1179" s="2475"/>
      <c r="D1179" s="4301"/>
      <c r="E1179" s="3022"/>
      <c r="F1179" s="4008"/>
      <c r="G1179" s="2993"/>
      <c r="H1179" s="1463"/>
    </row>
    <row r="1180" spans="1:11" s="27" customFormat="1" ht="16.5" customHeight="1" x14ac:dyDescent="0.25">
      <c r="A1180" s="6"/>
      <c r="B1180" s="440"/>
      <c r="C1180" s="2471" t="s">
        <v>846</v>
      </c>
      <c r="D1180" s="4106">
        <f>SUM(D1181+D1184+D1187)</f>
        <v>6416506810</v>
      </c>
      <c r="E1180" s="3626">
        <f>E1181+E1184+E1187</f>
        <v>6339172600</v>
      </c>
      <c r="F1180" s="2672">
        <f>E1180/D1180*100</f>
        <v>98.794761506689653</v>
      </c>
      <c r="G1180" s="2670">
        <f>SUM(G1181+G1184+G1187)/3</f>
        <v>100</v>
      </c>
      <c r="H1180" s="1463"/>
      <c r="J1180" s="995"/>
      <c r="K1180" s="995"/>
    </row>
    <row r="1181" spans="1:11" s="27" customFormat="1" ht="19.5" customHeight="1" x14ac:dyDescent="0.25">
      <c r="A1181" s="6"/>
      <c r="B1181" s="441"/>
      <c r="C1181" s="2521" t="s">
        <v>847</v>
      </c>
      <c r="D1181" s="4305">
        <f>D1182</f>
        <v>2103150200</v>
      </c>
      <c r="E1181" s="3627">
        <f>E1182</f>
        <v>2065675000</v>
      </c>
      <c r="F1181" s="4005">
        <f>E1181/D1181*100</f>
        <v>98.218139626927254</v>
      </c>
      <c r="G1181" s="2997">
        <f>G1182</f>
        <v>100</v>
      </c>
      <c r="H1181" s="1463"/>
      <c r="J1181" s="995"/>
      <c r="K1181" s="995"/>
    </row>
    <row r="1182" spans="1:11" s="27" customFormat="1" ht="16.5" hidden="1" customHeight="1" x14ac:dyDescent="0.25">
      <c r="A1182" s="6"/>
      <c r="B1182" s="441"/>
      <c r="C1182" s="2524" t="s">
        <v>848</v>
      </c>
      <c r="D1182" s="4066">
        <v>2103150200</v>
      </c>
      <c r="E1182" s="3622">
        <v>2065675000</v>
      </c>
      <c r="F1182" s="4008">
        <f>E1182/D1182*100</f>
        <v>98.218139626927254</v>
      </c>
      <c r="G1182" s="2968">
        <v>100</v>
      </c>
      <c r="H1182" s="1463"/>
      <c r="J1182" s="995"/>
      <c r="K1182" s="995"/>
    </row>
    <row r="1183" spans="1:11" s="27" customFormat="1" ht="10.5" hidden="1" customHeight="1" x14ac:dyDescent="0.25">
      <c r="A1183" s="6"/>
      <c r="B1183" s="441"/>
      <c r="C1183" s="2527"/>
      <c r="D1183" s="4276"/>
      <c r="E1183" s="3630"/>
      <c r="F1183" s="4008"/>
      <c r="G1183" s="2968"/>
      <c r="H1183" s="1463"/>
      <c r="J1183" s="995"/>
      <c r="K1183" s="995"/>
    </row>
    <row r="1184" spans="1:11" s="27" customFormat="1" ht="18" customHeight="1" x14ac:dyDescent="0.25">
      <c r="A1184" s="6"/>
      <c r="B1184" s="441"/>
      <c r="C1184" s="2521" t="s">
        <v>849</v>
      </c>
      <c r="D1184" s="4305">
        <f>D1185</f>
        <v>2234444600</v>
      </c>
      <c r="E1184" s="3628">
        <f>E1185</f>
        <v>2226817600</v>
      </c>
      <c r="F1184" s="4005">
        <f>E1184/D1184*100</f>
        <v>99.658662380799228</v>
      </c>
      <c r="G1184" s="2969">
        <f>G1185</f>
        <v>100</v>
      </c>
      <c r="H1184" s="1463"/>
      <c r="J1184" s="995"/>
      <c r="K1184" s="995"/>
    </row>
    <row r="1185" spans="1:11" s="27" customFormat="1" ht="18.75" hidden="1" customHeight="1" x14ac:dyDescent="0.25">
      <c r="A1185" s="6"/>
      <c r="B1185" s="441"/>
      <c r="C1185" s="2524" t="s">
        <v>850</v>
      </c>
      <c r="D1185" s="4066">
        <v>2234444600</v>
      </c>
      <c r="E1185" s="3622">
        <v>2226817600</v>
      </c>
      <c r="F1185" s="4008">
        <f>E1185/D1185*100</f>
        <v>99.658662380799228</v>
      </c>
      <c r="G1185" s="2967">
        <v>100</v>
      </c>
      <c r="H1185" s="1463"/>
      <c r="J1185" s="995"/>
      <c r="K1185" s="995"/>
    </row>
    <row r="1186" spans="1:11" s="27" customFormat="1" ht="10.5" hidden="1" customHeight="1" x14ac:dyDescent="0.25">
      <c r="A1186" s="6"/>
      <c r="B1186" s="441"/>
      <c r="C1186" s="2528"/>
      <c r="D1186" s="4276"/>
      <c r="E1186" s="3630"/>
      <c r="F1186" s="3035"/>
      <c r="G1186" s="2967"/>
      <c r="H1186" s="1463"/>
      <c r="J1186" s="995"/>
      <c r="K1186" s="995"/>
    </row>
    <row r="1187" spans="1:11" s="27" customFormat="1" ht="18" customHeight="1" x14ac:dyDescent="0.25">
      <c r="A1187" s="6"/>
      <c r="B1187" s="441"/>
      <c r="C1187" s="2525" t="s">
        <v>851</v>
      </c>
      <c r="D1187" s="4065">
        <f>SUM(D1188:D1189)</f>
        <v>2078912010</v>
      </c>
      <c r="E1187" s="3628">
        <f>E1188+E1189</f>
        <v>2046680000</v>
      </c>
      <c r="F1187" s="4005">
        <f>E1187/D1187*100</f>
        <v>98.44957314956298</v>
      </c>
      <c r="G1187" s="2966">
        <f>SUM(G1188:G1189)/2</f>
        <v>100</v>
      </c>
      <c r="H1187" s="1463"/>
      <c r="J1187" s="995"/>
      <c r="K1187" s="995"/>
    </row>
    <row r="1188" spans="1:11" s="27" customFormat="1" ht="15.75" hidden="1" customHeight="1" x14ac:dyDescent="0.25">
      <c r="A1188" s="6"/>
      <c r="B1188" s="441"/>
      <c r="C1188" s="2524" t="s">
        <v>852</v>
      </c>
      <c r="D1188" s="4066">
        <v>501577810</v>
      </c>
      <c r="E1188" s="3622">
        <v>492320800</v>
      </c>
      <c r="F1188" s="4008">
        <f>E1188/D1188*100</f>
        <v>98.15442194302814</v>
      </c>
      <c r="G1188" s="2968">
        <v>100</v>
      </c>
      <c r="H1188" s="1463"/>
      <c r="J1188" s="995"/>
      <c r="K1188" s="995"/>
    </row>
    <row r="1189" spans="1:11" s="27" customFormat="1" ht="15" hidden="1" customHeight="1" x14ac:dyDescent="0.25">
      <c r="A1189" s="6"/>
      <c r="B1189" s="441"/>
      <c r="C1189" s="2526" t="s">
        <v>853</v>
      </c>
      <c r="D1189" s="4066">
        <v>1577334200</v>
      </c>
      <c r="E1189" s="3622">
        <v>1554359200</v>
      </c>
      <c r="F1189" s="4008">
        <f>E1189/D1189*100</f>
        <v>98.543428526434028</v>
      </c>
      <c r="G1189" s="3014">
        <v>100</v>
      </c>
      <c r="H1189" s="1463"/>
      <c r="J1189" s="995"/>
      <c r="K1189" s="995"/>
    </row>
    <row r="1190" spans="1:11" ht="12.75" hidden="1" customHeight="1" x14ac:dyDescent="0.25">
      <c r="B1190" s="441"/>
      <c r="C1190" s="2476"/>
      <c r="D1190" s="4071"/>
      <c r="E1190" s="3022"/>
      <c r="F1190" s="2778"/>
      <c r="G1190" s="2985"/>
      <c r="H1190" s="1463"/>
    </row>
    <row r="1191" spans="1:11" ht="17.25" customHeight="1" x14ac:dyDescent="0.25">
      <c r="B1191" s="440"/>
      <c r="C1191" s="2471" t="s">
        <v>854</v>
      </c>
      <c r="D1191" s="4106">
        <f>SUM(D1192+D1195+D1200+D1203)</f>
        <v>3175788676</v>
      </c>
      <c r="E1191" s="3631">
        <f>E1192+E1195+E1200+E1203</f>
        <v>2901562287</v>
      </c>
      <c r="F1191" s="2672">
        <f>E1191/D1191*100</f>
        <v>91.365093305093708</v>
      </c>
      <c r="G1191" s="2996">
        <f>SUM(G1192+G1195+G1200+G1203)/4</f>
        <v>100</v>
      </c>
      <c r="H1191" s="1463"/>
    </row>
    <row r="1192" spans="1:11" s="27" customFormat="1" ht="18" customHeight="1" x14ac:dyDescent="0.25">
      <c r="A1192" s="6"/>
      <c r="B1192" s="441"/>
      <c r="C1192" s="2521" t="s">
        <v>855</v>
      </c>
      <c r="D1192" s="4305">
        <f>D1193</f>
        <v>458779982</v>
      </c>
      <c r="E1192" s="3627">
        <f>E1193</f>
        <v>443351000</v>
      </c>
      <c r="F1192" s="4005">
        <f>E1192/D1192*100</f>
        <v>96.636953963697565</v>
      </c>
      <c r="G1192" s="2997">
        <f>G1193</f>
        <v>100</v>
      </c>
      <c r="H1192" s="1463"/>
      <c r="J1192" s="995"/>
      <c r="K1192" s="995"/>
    </row>
    <row r="1193" spans="1:11" s="27" customFormat="1" ht="16.5" hidden="1" customHeight="1" x14ac:dyDescent="0.25">
      <c r="A1193" s="6"/>
      <c r="B1193" s="441"/>
      <c r="C1193" s="2524" t="s">
        <v>856</v>
      </c>
      <c r="D1193" s="4066">
        <v>458779982</v>
      </c>
      <c r="E1193" s="3622">
        <v>443351000</v>
      </c>
      <c r="F1193" s="4008">
        <f>E1193/D1193*100</f>
        <v>96.636953963697565</v>
      </c>
      <c r="G1193" s="2968">
        <v>100</v>
      </c>
      <c r="H1193" s="1463"/>
      <c r="J1193" s="995"/>
      <c r="K1193" s="995"/>
    </row>
    <row r="1194" spans="1:11" ht="10.5" hidden="1" customHeight="1" x14ac:dyDescent="0.25">
      <c r="B1194" s="441"/>
      <c r="C1194" s="2527"/>
      <c r="D1194" s="4276"/>
      <c r="E1194" s="3630"/>
      <c r="F1194" s="2968"/>
      <c r="G1194" s="2968"/>
      <c r="H1194" s="1463"/>
    </row>
    <row r="1195" spans="1:11" s="27" customFormat="1" ht="27" customHeight="1" x14ac:dyDescent="0.25">
      <c r="A1195" s="6"/>
      <c r="B1195" s="441"/>
      <c r="C1195" s="2525" t="s">
        <v>857</v>
      </c>
      <c r="D1195" s="4065">
        <f>SUM(D1196:D1198)</f>
        <v>998634507</v>
      </c>
      <c r="E1195" s="3633">
        <f>SUM(E1196:E1198)</f>
        <v>889100744</v>
      </c>
      <c r="F1195" s="4005">
        <f>E1195/D1195*100</f>
        <v>89.031646490060652</v>
      </c>
      <c r="G1195" s="2966">
        <f>SUM(G1196:G1198)/3</f>
        <v>100</v>
      </c>
      <c r="H1195" s="1463"/>
      <c r="J1195" s="995"/>
      <c r="K1195" s="995"/>
    </row>
    <row r="1196" spans="1:11" s="27" customFormat="1" ht="15.75" hidden="1" customHeight="1" x14ac:dyDescent="0.25">
      <c r="A1196" s="6"/>
      <c r="B1196" s="441"/>
      <c r="C1196" s="2524" t="s">
        <v>858</v>
      </c>
      <c r="D1196" s="4066">
        <v>264400000</v>
      </c>
      <c r="E1196" s="3014">
        <v>208433000</v>
      </c>
      <c r="F1196" s="4008">
        <f>E1196/D1196*100</f>
        <v>78.832450832072624</v>
      </c>
      <c r="G1196" s="3014">
        <v>100</v>
      </c>
      <c r="H1196" s="1463"/>
      <c r="J1196" s="995"/>
      <c r="K1196" s="995"/>
    </row>
    <row r="1197" spans="1:11" ht="16.5" hidden="1" customHeight="1" x14ac:dyDescent="0.25">
      <c r="B1197" s="441"/>
      <c r="C1197" s="2476" t="s">
        <v>859</v>
      </c>
      <c r="D1197" s="4071">
        <v>431201739</v>
      </c>
      <c r="E1197" s="3622">
        <v>385129896</v>
      </c>
      <c r="F1197" s="4008">
        <f>E1197/D1197*100</f>
        <v>89.315478386788229</v>
      </c>
      <c r="G1197" s="3014">
        <v>100</v>
      </c>
      <c r="H1197" s="1463"/>
    </row>
    <row r="1198" spans="1:11" ht="17.25" hidden="1" customHeight="1" x14ac:dyDescent="0.25">
      <c r="B1198" s="441"/>
      <c r="C1198" s="2473" t="s">
        <v>860</v>
      </c>
      <c r="D1198" s="4066">
        <v>303032768</v>
      </c>
      <c r="E1198" s="3622">
        <v>295537848</v>
      </c>
      <c r="F1198" s="4008">
        <f>E1198/D1198*100</f>
        <v>97.526696518839842</v>
      </c>
      <c r="G1198" s="3014">
        <v>100</v>
      </c>
      <c r="H1198" s="1463"/>
    </row>
    <row r="1199" spans="1:11" ht="11.25" hidden="1" customHeight="1" x14ac:dyDescent="0.25">
      <c r="B1199" s="441"/>
      <c r="C1199" s="2473"/>
      <c r="D1199" s="4066"/>
      <c r="E1199" s="3630"/>
      <c r="F1199" s="3035"/>
      <c r="G1199" s="2967"/>
      <c r="H1199" s="1463"/>
    </row>
    <row r="1200" spans="1:11" s="32" customFormat="1" ht="20.25" customHeight="1" x14ac:dyDescent="0.25">
      <c r="A1200" s="1"/>
      <c r="B1200" s="441"/>
      <c r="C1200" s="2477" t="s">
        <v>861</v>
      </c>
      <c r="D1200" s="4300">
        <f>D1201</f>
        <v>614932543</v>
      </c>
      <c r="E1200" s="2821">
        <f>E1201</f>
        <v>575010543</v>
      </c>
      <c r="F1200" s="4005">
        <f>E1200/D1200*100</f>
        <v>93.507905793172512</v>
      </c>
      <c r="G1200" s="3000">
        <f>G1201</f>
        <v>100</v>
      </c>
      <c r="H1200" s="3719"/>
      <c r="J1200" s="1208"/>
      <c r="K1200" s="1208"/>
    </row>
    <row r="1201" spans="1:11" ht="15" hidden="1" customHeight="1" x14ac:dyDescent="0.25">
      <c r="B1201" s="449"/>
      <c r="C1201" s="2473" t="s">
        <v>862</v>
      </c>
      <c r="D1201" s="4066">
        <v>614932543</v>
      </c>
      <c r="E1201" s="2968">
        <v>575010543</v>
      </c>
      <c r="F1201" s="4008">
        <f>E1201/D1201*100</f>
        <v>93.507905793172512</v>
      </c>
      <c r="G1201" s="2968">
        <v>100</v>
      </c>
      <c r="H1201" s="1463"/>
    </row>
    <row r="1202" spans="1:11" ht="12" hidden="1" customHeight="1" x14ac:dyDescent="0.25">
      <c r="B1202" s="441"/>
      <c r="C1202" s="2479"/>
      <c r="D1202" s="4154"/>
      <c r="E1202" s="4020"/>
      <c r="F1202" s="3185"/>
      <c r="G1202" s="2683"/>
      <c r="H1202" s="3712"/>
    </row>
    <row r="1203" spans="1:11" s="32" customFormat="1" ht="18" customHeight="1" x14ac:dyDescent="0.25">
      <c r="A1203" s="1"/>
      <c r="B1203" s="441"/>
      <c r="C1203" s="2474" t="s">
        <v>863</v>
      </c>
      <c r="D1203" s="4065">
        <f>D1204</f>
        <v>1103441644</v>
      </c>
      <c r="E1203" s="3632">
        <f>SUM(E1204:E1204)</f>
        <v>994100000</v>
      </c>
      <c r="F1203" s="4005">
        <f>E1203/D1203*100</f>
        <v>90.090853957293632</v>
      </c>
      <c r="G1203" s="2969">
        <f>G1204</f>
        <v>100</v>
      </c>
      <c r="H1203" s="1462"/>
      <c r="J1203" s="1208"/>
      <c r="K1203" s="1208"/>
    </row>
    <row r="1204" spans="1:11" ht="18" hidden="1" customHeight="1" x14ac:dyDescent="0.25">
      <c r="B1204" s="441"/>
      <c r="C1204" s="2473" t="s">
        <v>864</v>
      </c>
      <c r="D1204" s="4066">
        <v>1103441644</v>
      </c>
      <c r="E1204" s="3622">
        <v>994100000</v>
      </c>
      <c r="F1204" s="4008">
        <f>E1204/D1204*100</f>
        <v>90.090853957293632</v>
      </c>
      <c r="G1204" s="2967">
        <v>100</v>
      </c>
      <c r="H1204" s="1463"/>
    </row>
    <row r="1205" spans="1:11" ht="12" hidden="1" customHeight="1" x14ac:dyDescent="0.25">
      <c r="B1205" s="441"/>
      <c r="C1205" s="2475"/>
      <c r="D1205" s="4301"/>
      <c r="E1205" s="3022"/>
      <c r="F1205" s="2784"/>
      <c r="G1205" s="2993"/>
      <c r="H1205" s="1463"/>
    </row>
    <row r="1206" spans="1:11" s="27" customFormat="1" ht="18" customHeight="1" x14ac:dyDescent="0.25">
      <c r="A1206" s="6"/>
      <c r="B1206" s="440"/>
      <c r="C1206" s="2471" t="s">
        <v>865</v>
      </c>
      <c r="D1206" s="4106">
        <f>SUM(D1207+D1212+D1215)</f>
        <v>716122184</v>
      </c>
      <c r="E1206" s="4021">
        <f>E1207+E1212+E1215</f>
        <v>701638235</v>
      </c>
      <c r="F1206" s="2672">
        <f>E1206/D1206*100</f>
        <v>97.977447239645912</v>
      </c>
      <c r="G1206" s="2670">
        <f>SUM(G1207+G1212+G1215)/3</f>
        <v>88.8888888888889</v>
      </c>
      <c r="H1206" s="1463"/>
      <c r="J1206" s="995"/>
      <c r="K1206" s="995"/>
    </row>
    <row r="1207" spans="1:11" s="27" customFormat="1" ht="18.75" customHeight="1" x14ac:dyDescent="0.25">
      <c r="A1207" s="6"/>
      <c r="B1207" s="441"/>
      <c r="C1207" s="2525" t="s">
        <v>866</v>
      </c>
      <c r="D1207" s="4305">
        <f>SUM(D1208:D1210)</f>
        <v>324848184</v>
      </c>
      <c r="E1207" s="3627">
        <f>SUM(E1208:E1210)</f>
        <v>315322472</v>
      </c>
      <c r="F1207" s="4005">
        <f>E1207/D1207*100</f>
        <v>97.067641911151952</v>
      </c>
      <c r="G1207" s="2969">
        <f>SUM(G1208:G1209)/3</f>
        <v>66.666666666666671</v>
      </c>
      <c r="H1207" s="1463"/>
      <c r="J1207" s="995"/>
      <c r="K1207" s="995"/>
    </row>
    <row r="1208" spans="1:11" s="27" customFormat="1" ht="27.75" hidden="1" customHeight="1" x14ac:dyDescent="0.25">
      <c r="A1208" s="6"/>
      <c r="B1208" s="441"/>
      <c r="C1208" s="2473" t="s">
        <v>867</v>
      </c>
      <c r="D1208" s="4066">
        <v>93216000</v>
      </c>
      <c r="E1208" s="3622">
        <v>93070000</v>
      </c>
      <c r="F1208" s="4008">
        <f>E1208/D1208*100</f>
        <v>99.843374527978028</v>
      </c>
      <c r="G1208" s="2967">
        <v>100</v>
      </c>
      <c r="H1208" s="1463"/>
      <c r="J1208" s="995"/>
      <c r="K1208" s="995"/>
    </row>
    <row r="1209" spans="1:11" s="31" customFormat="1" ht="18.75" hidden="1" customHeight="1" x14ac:dyDescent="0.25">
      <c r="A1209" s="5"/>
      <c r="B1209" s="448"/>
      <c r="C1209" s="2526" t="s">
        <v>868</v>
      </c>
      <c r="D1209" s="4071">
        <v>196269610</v>
      </c>
      <c r="E1209" s="2999">
        <v>193289898</v>
      </c>
      <c r="F1209" s="4008">
        <f t="shared" ref="F1209:F1210" si="73">E1209/D1209*100</f>
        <v>98.481827115262519</v>
      </c>
      <c r="G1209" s="2967">
        <v>100</v>
      </c>
      <c r="H1209" s="3715"/>
      <c r="J1209" s="1211"/>
      <c r="K1209" s="1211"/>
    </row>
    <row r="1210" spans="1:11" s="31" customFormat="1" ht="16.5" hidden="1" customHeight="1" x14ac:dyDescent="0.25">
      <c r="A1210" s="5"/>
      <c r="B1210" s="448"/>
      <c r="C1210" s="2524" t="s">
        <v>869</v>
      </c>
      <c r="D1210" s="4066">
        <v>35362574</v>
      </c>
      <c r="E1210" s="2968">
        <v>28962574</v>
      </c>
      <c r="F1210" s="4008">
        <f t="shared" si="73"/>
        <v>81.901769933376457</v>
      </c>
      <c r="G1210" s="2967">
        <v>100</v>
      </c>
      <c r="H1210" s="3715"/>
      <c r="J1210" s="1211"/>
      <c r="K1210" s="1211"/>
    </row>
    <row r="1211" spans="1:11" s="27" customFormat="1" ht="11.25" hidden="1" customHeight="1" x14ac:dyDescent="0.25">
      <c r="A1211" s="6"/>
      <c r="B1211" s="441"/>
      <c r="C1211" s="2527"/>
      <c r="D1211" s="4276"/>
      <c r="E1211" s="4014"/>
      <c r="F1211" s="2734"/>
      <c r="G1211" s="2969"/>
      <c r="H1211" s="1463"/>
      <c r="J1211" s="995"/>
      <c r="K1211" s="995"/>
    </row>
    <row r="1212" spans="1:11" s="27" customFormat="1" ht="18" customHeight="1" x14ac:dyDescent="0.25">
      <c r="A1212" s="6"/>
      <c r="B1212" s="441"/>
      <c r="C1212" s="2538" t="s">
        <v>870</v>
      </c>
      <c r="D1212" s="4305">
        <f>D1213</f>
        <v>78804000</v>
      </c>
      <c r="E1212" s="4022">
        <f>E1213</f>
        <v>76745763</v>
      </c>
      <c r="F1212" s="4005">
        <f>E1212/D1212*100</f>
        <v>97.388156692553679</v>
      </c>
      <c r="G1212" s="4023">
        <f>G1213</f>
        <v>100</v>
      </c>
      <c r="H1212" s="1463"/>
      <c r="J1212" s="995"/>
      <c r="K1212" s="995"/>
    </row>
    <row r="1213" spans="1:11" s="27" customFormat="1" ht="28.5" hidden="1" customHeight="1" x14ac:dyDescent="0.25">
      <c r="A1213" s="6"/>
      <c r="B1213" s="441"/>
      <c r="C1213" s="2524" t="s">
        <v>871</v>
      </c>
      <c r="D1213" s="4066">
        <v>78804000</v>
      </c>
      <c r="E1213" s="4024">
        <v>76745763</v>
      </c>
      <c r="F1213" s="4008">
        <f>E1213/D1213*100</f>
        <v>97.388156692553679</v>
      </c>
      <c r="G1213" s="2760">
        <v>100</v>
      </c>
      <c r="H1213" s="1463"/>
      <c r="J1213" s="995"/>
      <c r="K1213" s="995"/>
    </row>
    <row r="1214" spans="1:11" s="27" customFormat="1" ht="9" hidden="1" customHeight="1" x14ac:dyDescent="0.25">
      <c r="A1214" s="6"/>
      <c r="B1214" s="441"/>
      <c r="C1214" s="2528"/>
      <c r="D1214" s="4276"/>
      <c r="E1214" s="4025"/>
      <c r="F1214" s="2968"/>
      <c r="G1214" s="2967"/>
      <c r="H1214" s="1463"/>
      <c r="J1214" s="995"/>
      <c r="K1214" s="995"/>
    </row>
    <row r="1215" spans="1:11" s="27" customFormat="1" ht="19.5" customHeight="1" x14ac:dyDescent="0.25">
      <c r="A1215" s="6"/>
      <c r="B1215" s="441"/>
      <c r="C1215" s="2525" t="s">
        <v>872</v>
      </c>
      <c r="D1215" s="4065">
        <f>D1216</f>
        <v>312470000</v>
      </c>
      <c r="E1215" s="4026">
        <f>E1216</f>
        <v>309570000</v>
      </c>
      <c r="F1215" s="4005">
        <f>E1215/D1215*100</f>
        <v>99.071910903446735</v>
      </c>
      <c r="G1215" s="2997">
        <f>G1216</f>
        <v>100</v>
      </c>
      <c r="H1215" s="1463"/>
      <c r="J1215" s="995"/>
      <c r="K1215" s="995"/>
    </row>
    <row r="1216" spans="1:11" s="27" customFormat="1" ht="15" hidden="1" customHeight="1" x14ac:dyDescent="0.25">
      <c r="A1216" s="6"/>
      <c r="B1216" s="441"/>
      <c r="C1216" s="2473" t="s">
        <v>873</v>
      </c>
      <c r="D1216" s="4301">
        <v>312470000</v>
      </c>
      <c r="E1216" s="3622">
        <v>309570000</v>
      </c>
      <c r="F1216" s="4008">
        <f>E1216/D1216*100</f>
        <v>99.071910903446735</v>
      </c>
      <c r="G1216" s="3014">
        <v>100</v>
      </c>
      <c r="H1216" s="1463"/>
      <c r="J1216" s="995"/>
      <c r="K1216" s="995"/>
    </row>
    <row r="1217" spans="1:11" ht="12" hidden="1" customHeight="1" x14ac:dyDescent="0.25">
      <c r="B1217" s="441"/>
      <c r="C1217" s="2476"/>
      <c r="D1217" s="4071"/>
      <c r="E1217" s="3022"/>
      <c r="F1217" s="2999"/>
      <c r="G1217" s="2999"/>
      <c r="H1217" s="1463"/>
    </row>
    <row r="1218" spans="1:11" ht="17.25" customHeight="1" x14ac:dyDescent="0.25">
      <c r="B1218" s="440"/>
      <c r="C1218" s="2471" t="s">
        <v>874</v>
      </c>
      <c r="D1218" s="4106">
        <f>SUM(D1219+D1222+D1225+D1228+D1231+D1239+D1242+D1245)</f>
        <v>10129627350</v>
      </c>
      <c r="E1218" s="3626">
        <f>E1219+E1222+E1225+E1228+E1231+E1239+E1242+E1245</f>
        <v>9568778740</v>
      </c>
      <c r="F1218" s="2672">
        <f>E1218/D1218*100</f>
        <v>94.463284870987877</v>
      </c>
      <c r="G1218" s="2670">
        <f>SUM(G1219+G1222+G1225+G1228+G1231+G1239+G1242+G1245)/8</f>
        <v>87.5</v>
      </c>
      <c r="H1218" s="1463"/>
    </row>
    <row r="1219" spans="1:11" s="27" customFormat="1" ht="17.25" customHeight="1" x14ac:dyDescent="0.25">
      <c r="A1219" s="6"/>
      <c r="B1219" s="441"/>
      <c r="C1219" s="2521" t="s">
        <v>875</v>
      </c>
      <c r="D1219" s="4305">
        <f>D1220</f>
        <v>1162092785</v>
      </c>
      <c r="E1219" s="3627">
        <f>E1220</f>
        <v>1114256000</v>
      </c>
      <c r="F1219" s="4005">
        <f>E1219/D1219*100</f>
        <v>95.883565786014231</v>
      </c>
      <c r="G1219" s="2997">
        <f>G1220</f>
        <v>100</v>
      </c>
      <c r="H1219" s="1463"/>
      <c r="J1219" s="995"/>
      <c r="K1219" s="995"/>
    </row>
    <row r="1220" spans="1:11" s="27" customFormat="1" ht="17.25" hidden="1" customHeight="1" x14ac:dyDescent="0.25">
      <c r="A1220" s="6"/>
      <c r="B1220" s="441"/>
      <c r="C1220" s="2524" t="s">
        <v>876</v>
      </c>
      <c r="D1220" s="4066">
        <v>1162092785</v>
      </c>
      <c r="E1220" s="3622">
        <v>1114256000</v>
      </c>
      <c r="F1220" s="4008">
        <f>E1220/D1220*100</f>
        <v>95.883565786014231</v>
      </c>
      <c r="G1220" s="3014">
        <v>100</v>
      </c>
      <c r="H1220" s="1463"/>
      <c r="J1220" s="995"/>
      <c r="K1220" s="995"/>
    </row>
    <row r="1221" spans="1:11" s="27" customFormat="1" ht="8.25" hidden="1" customHeight="1" x14ac:dyDescent="0.25">
      <c r="A1221" s="6"/>
      <c r="B1221" s="441"/>
      <c r="C1221" s="2527"/>
      <c r="D1221" s="4299"/>
      <c r="E1221" s="3630"/>
      <c r="F1221" s="2734"/>
      <c r="G1221" s="2967"/>
      <c r="H1221" s="1463"/>
      <c r="J1221" s="995"/>
      <c r="K1221" s="995"/>
    </row>
    <row r="1222" spans="1:11" s="27" customFormat="1" ht="20.25" customHeight="1" x14ac:dyDescent="0.25">
      <c r="A1222" s="6"/>
      <c r="B1222" s="441"/>
      <c r="C1222" s="2521" t="s">
        <v>877</v>
      </c>
      <c r="D1222" s="4065">
        <f>D1223</f>
        <v>1512290000</v>
      </c>
      <c r="E1222" s="3633">
        <f>E1223</f>
        <v>1496689500</v>
      </c>
      <c r="F1222" s="4005">
        <f>E1222/D1222*100</f>
        <v>98.968418755661943</v>
      </c>
      <c r="G1222" s="2966">
        <f>G1223</f>
        <v>100</v>
      </c>
      <c r="H1222" s="1463"/>
      <c r="J1222" s="995"/>
      <c r="K1222" s="995"/>
    </row>
    <row r="1223" spans="1:11" s="27" customFormat="1" ht="19.5" hidden="1" customHeight="1" x14ac:dyDescent="0.25">
      <c r="A1223" s="6"/>
      <c r="B1223" s="441"/>
      <c r="C1223" s="2524" t="s">
        <v>878</v>
      </c>
      <c r="D1223" s="4066">
        <v>1512290000</v>
      </c>
      <c r="E1223" s="3622">
        <v>1496689500</v>
      </c>
      <c r="F1223" s="4008">
        <f>E1223/D1223*100</f>
        <v>98.968418755661943</v>
      </c>
      <c r="G1223" s="2968">
        <v>100</v>
      </c>
      <c r="H1223" s="1463"/>
      <c r="J1223" s="995"/>
      <c r="K1223" s="995"/>
    </row>
    <row r="1224" spans="1:11" ht="9.75" hidden="1" customHeight="1" x14ac:dyDescent="0.25">
      <c r="B1224" s="441"/>
      <c r="C1224" s="2535"/>
      <c r="D1224" s="4299"/>
      <c r="E1224" s="3630"/>
      <c r="F1224" s="2734"/>
      <c r="G1224" s="2967"/>
      <c r="H1224" s="1463"/>
    </row>
    <row r="1225" spans="1:11" s="27" customFormat="1" ht="30" customHeight="1" x14ac:dyDescent="0.25">
      <c r="A1225" s="6"/>
      <c r="B1225" s="441"/>
      <c r="C1225" s="2525" t="s">
        <v>879</v>
      </c>
      <c r="D1225" s="4065">
        <f>D1226</f>
        <v>1233063240</v>
      </c>
      <c r="E1225" s="3628">
        <f>E1226</f>
        <v>1132276240</v>
      </c>
      <c r="F1225" s="4005">
        <f>E1225/D1225*100</f>
        <v>91.826291083010474</v>
      </c>
      <c r="G1225" s="2734">
        <f>G1226</f>
        <v>100</v>
      </c>
      <c r="H1225" s="1463"/>
      <c r="J1225" s="995"/>
      <c r="K1225" s="995"/>
    </row>
    <row r="1226" spans="1:11" s="27" customFormat="1" ht="17.25" hidden="1" customHeight="1" x14ac:dyDescent="0.25">
      <c r="A1226" s="6"/>
      <c r="B1226" s="441"/>
      <c r="C1226" s="2524" t="s">
        <v>880</v>
      </c>
      <c r="D1226" s="4066">
        <v>1233063240</v>
      </c>
      <c r="E1226" s="3622">
        <v>1132276240</v>
      </c>
      <c r="F1226" s="4008">
        <f>E1226/D1226*100</f>
        <v>91.826291083010474</v>
      </c>
      <c r="G1226" s="2760">
        <v>100</v>
      </c>
      <c r="H1226" s="1463"/>
      <c r="J1226" s="995"/>
      <c r="K1226" s="995"/>
    </row>
    <row r="1227" spans="1:11" ht="11.25" hidden="1" customHeight="1" x14ac:dyDescent="0.25">
      <c r="B1227" s="441"/>
      <c r="C1227" s="2527"/>
      <c r="D1227" s="4299"/>
      <c r="E1227" s="3630"/>
      <c r="F1227" s="3035"/>
      <c r="G1227" s="3035"/>
      <c r="H1227" s="1463"/>
    </row>
    <row r="1228" spans="1:11" s="27" customFormat="1" ht="27.75" customHeight="1" x14ac:dyDescent="0.25">
      <c r="A1228" s="6"/>
      <c r="B1228" s="441"/>
      <c r="C1228" s="2521" t="s">
        <v>881</v>
      </c>
      <c r="D1228" s="4065">
        <f>D1229</f>
        <v>725416325</v>
      </c>
      <c r="E1228" s="4013">
        <f>E1229</f>
        <v>654116000</v>
      </c>
      <c r="F1228" s="4005">
        <f>E1228/D1228*100</f>
        <v>90.171116565373694</v>
      </c>
      <c r="G1228" s="2695">
        <f>G1229</f>
        <v>100</v>
      </c>
      <c r="H1228" s="1463"/>
      <c r="J1228" s="995"/>
      <c r="K1228" s="995"/>
    </row>
    <row r="1229" spans="1:11" s="27" customFormat="1" ht="19.5" hidden="1" customHeight="1" x14ac:dyDescent="0.25">
      <c r="A1229" s="6"/>
      <c r="B1229" s="441"/>
      <c r="C1229" s="2524" t="s">
        <v>882</v>
      </c>
      <c r="D1229" s="4066">
        <v>725416325</v>
      </c>
      <c r="E1229" s="3625">
        <v>654116000</v>
      </c>
      <c r="F1229" s="4008">
        <f>E1229/D1229*100</f>
        <v>90.171116565373694</v>
      </c>
      <c r="G1229" s="2690">
        <v>100</v>
      </c>
      <c r="H1229" s="1463"/>
      <c r="J1229" s="995"/>
      <c r="K1229" s="995"/>
    </row>
    <row r="1230" spans="1:11" ht="9.75" hidden="1" customHeight="1" x14ac:dyDescent="0.25">
      <c r="B1230" s="441"/>
      <c r="C1230" s="2527"/>
      <c r="D1230" s="4276"/>
      <c r="E1230" s="4017"/>
      <c r="F1230" s="3035"/>
      <c r="G1230" s="2967"/>
      <c r="H1230" s="1463"/>
    </row>
    <row r="1231" spans="1:11" s="32" customFormat="1" ht="17.25" customHeight="1" x14ac:dyDescent="0.25">
      <c r="A1231" s="1"/>
      <c r="B1231" s="441"/>
      <c r="C1231" s="2525" t="s">
        <v>883</v>
      </c>
      <c r="D1231" s="4065">
        <f>SUM(D1232:D1237)</f>
        <v>2614040000</v>
      </c>
      <c r="E1231" s="4012">
        <f>SUM(E1232:E1237)</f>
        <v>2435305000</v>
      </c>
      <c r="F1231" s="4005">
        <f>E1231/D1231*100</f>
        <v>93.162499426175572</v>
      </c>
      <c r="G1231" s="2969">
        <f>SUM(G1232:G1237)/6</f>
        <v>100</v>
      </c>
      <c r="H1231" s="1462"/>
      <c r="J1231" s="1208"/>
      <c r="K1231" s="1208"/>
    </row>
    <row r="1232" spans="1:11" s="196" customFormat="1" ht="16.5" hidden="1" customHeight="1" x14ac:dyDescent="0.25">
      <c r="A1232" s="12"/>
      <c r="B1232" s="448"/>
      <c r="C1232" s="2524" t="s">
        <v>884</v>
      </c>
      <c r="D1232" s="4066">
        <v>471290000</v>
      </c>
      <c r="E1232" s="3622">
        <v>465070000</v>
      </c>
      <c r="F1232" s="4008">
        <f>E1232/D1232*100</f>
        <v>98.680218124721506</v>
      </c>
      <c r="G1232" s="2967">
        <v>100</v>
      </c>
      <c r="H1232" s="3715"/>
      <c r="J1232" s="1212"/>
      <c r="K1232" s="1212"/>
    </row>
    <row r="1233" spans="1:11" s="196" customFormat="1" ht="16.5" hidden="1" customHeight="1" x14ac:dyDescent="0.25">
      <c r="A1233" s="12"/>
      <c r="B1233" s="448"/>
      <c r="C1233" s="2524" t="s">
        <v>885</v>
      </c>
      <c r="D1233" s="4066">
        <v>342660000</v>
      </c>
      <c r="E1233" s="2968">
        <v>311330000</v>
      </c>
      <c r="F1233" s="4008">
        <f t="shared" ref="F1233:F1237" si="74">E1233/D1233*100</f>
        <v>90.856826008288095</v>
      </c>
      <c r="G1233" s="2967">
        <v>100</v>
      </c>
      <c r="H1233" s="3715"/>
      <c r="J1233" s="1212"/>
      <c r="K1233" s="1212"/>
    </row>
    <row r="1234" spans="1:11" s="196" customFormat="1" ht="15" hidden="1" customHeight="1" x14ac:dyDescent="0.25">
      <c r="A1234" s="12"/>
      <c r="B1234" s="448"/>
      <c r="C1234" s="2524" t="s">
        <v>886</v>
      </c>
      <c r="D1234" s="4066">
        <v>784905000</v>
      </c>
      <c r="E1234" s="3625">
        <v>749045000</v>
      </c>
      <c r="F1234" s="4008">
        <f t="shared" si="74"/>
        <v>95.431294233060044</v>
      </c>
      <c r="G1234" s="2967">
        <v>100</v>
      </c>
      <c r="H1234" s="3715"/>
      <c r="J1234" s="1212"/>
      <c r="K1234" s="1212"/>
    </row>
    <row r="1235" spans="1:11" s="196" customFormat="1" ht="15.75" hidden="1" customHeight="1" x14ac:dyDescent="0.25">
      <c r="A1235" s="12"/>
      <c r="B1235" s="448"/>
      <c r="C1235" s="2524" t="s">
        <v>887</v>
      </c>
      <c r="D1235" s="4066">
        <v>344000000</v>
      </c>
      <c r="E1235" s="3625">
        <v>306810000</v>
      </c>
      <c r="F1235" s="4008">
        <f t="shared" si="74"/>
        <v>89.188953488372093</v>
      </c>
      <c r="G1235" s="2967">
        <v>100</v>
      </c>
      <c r="H1235" s="3715"/>
      <c r="J1235" s="1212"/>
      <c r="K1235" s="1212"/>
    </row>
    <row r="1236" spans="1:11" s="196" customFormat="1" ht="15.75" hidden="1" customHeight="1" x14ac:dyDescent="0.25">
      <c r="A1236" s="12"/>
      <c r="B1236" s="448"/>
      <c r="C1236" s="2524" t="s">
        <v>888</v>
      </c>
      <c r="D1236" s="4066">
        <v>391535000</v>
      </c>
      <c r="E1236" s="3625">
        <v>355300000</v>
      </c>
      <c r="F1236" s="4008">
        <f t="shared" si="74"/>
        <v>90.745399517284525</v>
      </c>
      <c r="G1236" s="2967">
        <v>100</v>
      </c>
      <c r="H1236" s="3715"/>
      <c r="J1236" s="1212"/>
      <c r="K1236" s="1212"/>
    </row>
    <row r="1237" spans="1:11" s="196" customFormat="1" ht="15.75" hidden="1" customHeight="1" x14ac:dyDescent="0.25">
      <c r="A1237" s="12"/>
      <c r="B1237" s="448"/>
      <c r="C1237" s="2524" t="s">
        <v>889</v>
      </c>
      <c r="D1237" s="4066">
        <v>279650000</v>
      </c>
      <c r="E1237" s="2968">
        <v>247750000</v>
      </c>
      <c r="F1237" s="4008">
        <f t="shared" si="74"/>
        <v>88.592883962095485</v>
      </c>
      <c r="G1237" s="2967">
        <v>100</v>
      </c>
      <c r="H1237" s="3715"/>
      <c r="J1237" s="1212"/>
      <c r="K1237" s="1212"/>
    </row>
    <row r="1238" spans="1:11" ht="9.75" hidden="1" customHeight="1" x14ac:dyDescent="0.25">
      <c r="B1238" s="441"/>
      <c r="C1238" s="2527"/>
      <c r="D1238" s="4276"/>
      <c r="E1238" s="4014"/>
      <c r="F1238" s="3035"/>
      <c r="G1238" s="2967"/>
      <c r="H1238" s="1463"/>
    </row>
    <row r="1239" spans="1:11" s="32" customFormat="1" ht="16.5" customHeight="1" x14ac:dyDescent="0.25">
      <c r="A1239" s="1"/>
      <c r="B1239" s="441"/>
      <c r="C1239" s="2525" t="s">
        <v>890</v>
      </c>
      <c r="D1239" s="4065">
        <f>D1240</f>
        <v>865675000</v>
      </c>
      <c r="E1239" s="4006">
        <f>E1240</f>
        <v>851740000</v>
      </c>
      <c r="F1239" s="4005">
        <f>E1239/D1239*100</f>
        <v>98.390273486008027</v>
      </c>
      <c r="G1239" s="2984">
        <f>G1240</f>
        <v>100</v>
      </c>
      <c r="H1239" s="1462"/>
      <c r="J1239" s="1208"/>
      <c r="K1239" s="1208"/>
    </row>
    <row r="1240" spans="1:11" s="196" customFormat="1" ht="15" hidden="1" customHeight="1" x14ac:dyDescent="0.25">
      <c r="A1240" s="12"/>
      <c r="B1240" s="448"/>
      <c r="C1240" s="2524" t="s">
        <v>891</v>
      </c>
      <c r="D1240" s="4066">
        <v>865675000</v>
      </c>
      <c r="E1240" s="3625">
        <v>851740000</v>
      </c>
      <c r="F1240" s="4008">
        <f>E1240/D1240*100</f>
        <v>98.390273486008027</v>
      </c>
      <c r="G1240" s="2967">
        <v>100</v>
      </c>
      <c r="H1240" s="3715"/>
      <c r="J1240" s="1212"/>
      <c r="K1240" s="1212"/>
    </row>
    <row r="1241" spans="1:11" ht="8.25" hidden="1" customHeight="1" x14ac:dyDescent="0.25">
      <c r="B1241" s="441"/>
      <c r="C1241" s="2527"/>
      <c r="D1241" s="4276"/>
      <c r="E1241" s="4014"/>
      <c r="F1241" s="3035"/>
      <c r="G1241" s="2967"/>
      <c r="H1241" s="1463"/>
    </row>
    <row r="1242" spans="1:11" s="32" customFormat="1" ht="15.75" customHeight="1" x14ac:dyDescent="0.25">
      <c r="A1242" s="1"/>
      <c r="B1242" s="441"/>
      <c r="C1242" s="2525" t="s">
        <v>892</v>
      </c>
      <c r="D1242" s="4065">
        <f>D1243</f>
        <v>69795000</v>
      </c>
      <c r="E1242" s="2695">
        <f>E1243</f>
        <v>1670000</v>
      </c>
      <c r="F1242" s="2966">
        <v>0</v>
      </c>
      <c r="G1242" s="2966">
        <v>0</v>
      </c>
      <c r="H1242" s="1462"/>
      <c r="J1242" s="1208"/>
      <c r="K1242" s="1208"/>
    </row>
    <row r="1243" spans="1:11" s="196" customFormat="1" ht="18" hidden="1" customHeight="1" x14ac:dyDescent="0.25">
      <c r="A1243" s="12"/>
      <c r="B1243" s="448"/>
      <c r="C1243" s="2533" t="s">
        <v>893</v>
      </c>
      <c r="D1243" s="4071">
        <v>69795000</v>
      </c>
      <c r="E1243" s="2999">
        <v>1670000</v>
      </c>
      <c r="F1243" s="2999">
        <v>0</v>
      </c>
      <c r="G1243" s="2999">
        <v>0</v>
      </c>
      <c r="H1243" s="3716"/>
      <c r="J1243" s="1212"/>
      <c r="K1243" s="1212"/>
    </row>
    <row r="1244" spans="1:11" ht="10.5" hidden="1" customHeight="1" x14ac:dyDescent="0.25">
      <c r="B1244" s="449"/>
      <c r="C1244" s="2527"/>
      <c r="D1244" s="4276"/>
      <c r="E1244" s="3630"/>
      <c r="F1244" s="3035"/>
      <c r="G1244" s="2967"/>
      <c r="H1244" s="1463"/>
    </row>
    <row r="1245" spans="1:11" s="32" customFormat="1" ht="20.25" customHeight="1" x14ac:dyDescent="0.25">
      <c r="A1245" s="1"/>
      <c r="B1245" s="441"/>
      <c r="C1245" s="2538" t="s">
        <v>894</v>
      </c>
      <c r="D1245" s="4072">
        <f>SUM(D1246:D1247)</f>
        <v>1947255000</v>
      </c>
      <c r="E1245" s="4018">
        <f>E1246+E1247</f>
        <v>1882726000</v>
      </c>
      <c r="F1245" s="4011">
        <f>E1245/D1245*100</f>
        <v>96.686155639605502</v>
      </c>
      <c r="G1245" s="2677">
        <f>SUM(G1246:G1247)/2</f>
        <v>100</v>
      </c>
      <c r="H1245" s="3718"/>
      <c r="J1245" s="1208"/>
      <c r="K1245" s="1208"/>
    </row>
    <row r="1246" spans="1:11" s="196" customFormat="1" hidden="1" x14ac:dyDescent="0.25">
      <c r="A1246" s="12"/>
      <c r="B1246" s="448"/>
      <c r="C1246" s="2524" t="s">
        <v>895</v>
      </c>
      <c r="D1246" s="4066">
        <v>401250000</v>
      </c>
      <c r="E1246" s="3622">
        <v>350670000</v>
      </c>
      <c r="F1246" s="4008">
        <f>E1246/D1246*100</f>
        <v>87.394392523364488</v>
      </c>
      <c r="G1246" s="2967">
        <v>100</v>
      </c>
      <c r="H1246" s="3715"/>
      <c r="J1246" s="1212"/>
      <c r="K1246" s="1212"/>
    </row>
    <row r="1247" spans="1:11" s="196" customFormat="1" ht="18.75" hidden="1" customHeight="1" x14ac:dyDescent="0.25">
      <c r="A1247" s="12"/>
      <c r="B1247" s="448"/>
      <c r="C1247" s="2524" t="s">
        <v>896</v>
      </c>
      <c r="D1247" s="4066">
        <v>1546005000</v>
      </c>
      <c r="E1247" s="3622">
        <v>1532056000</v>
      </c>
      <c r="F1247" s="4008">
        <f>E1247/D1247*100</f>
        <v>99.097739011193369</v>
      </c>
      <c r="G1247" s="2967">
        <v>100</v>
      </c>
      <c r="H1247" s="1460"/>
      <c r="I1247" s="399"/>
      <c r="J1247" s="1212"/>
      <c r="K1247" s="1212"/>
    </row>
    <row r="1248" spans="1:11" s="196" customFormat="1" ht="12" hidden="1" customHeight="1" x14ac:dyDescent="0.25">
      <c r="A1248" s="12"/>
      <c r="B1248" s="448"/>
      <c r="C1248" s="2539"/>
      <c r="D1248" s="4312"/>
      <c r="E1248" s="3138"/>
      <c r="F1248" s="3054"/>
      <c r="G1248" s="3052"/>
      <c r="H1248" s="3715"/>
      <c r="J1248" s="1212"/>
      <c r="K1248" s="1212"/>
    </row>
    <row r="1249" spans="1:11" ht="16.5" customHeight="1" x14ac:dyDescent="0.25">
      <c r="B1249" s="440"/>
      <c r="C1249" s="2471" t="s">
        <v>897</v>
      </c>
      <c r="D1249" s="4106">
        <f>SUM(D1250+D1255+D1259+D1262+D1266)</f>
        <v>3506452506</v>
      </c>
      <c r="E1249" s="3626">
        <f>E1250+E1255+E1259+E1262+E1266</f>
        <v>3226202906</v>
      </c>
      <c r="F1249" s="2672">
        <f>E1249/D1249*100</f>
        <v>92.00760313962742</v>
      </c>
      <c r="G1249" s="2670">
        <f>SUM(G1250+G1255+G1259+G1262+G1266)/5</f>
        <v>97.3</v>
      </c>
      <c r="H1249" s="1463"/>
    </row>
    <row r="1250" spans="1:11" s="27" customFormat="1" ht="18" customHeight="1" x14ac:dyDescent="0.25">
      <c r="A1250" s="6"/>
      <c r="B1250" s="441"/>
      <c r="C1250" s="2521" t="s">
        <v>898</v>
      </c>
      <c r="D1250" s="4305">
        <f>SUM(D1251:D1253)</f>
        <v>590408362</v>
      </c>
      <c r="E1250" s="3627">
        <f>SUM(E1251:E1253)</f>
        <v>576562162</v>
      </c>
      <c r="F1250" s="4005">
        <f>E1250/D1250*100</f>
        <v>97.654809638349931</v>
      </c>
      <c r="G1250" s="2677">
        <f>SUM(G1251:G1253)/3</f>
        <v>100</v>
      </c>
      <c r="H1250" s="1463"/>
      <c r="J1250" s="995"/>
      <c r="K1250" s="995"/>
    </row>
    <row r="1251" spans="1:11" s="31" customFormat="1" ht="18.75" hidden="1" customHeight="1" x14ac:dyDescent="0.25">
      <c r="A1251" s="5"/>
      <c r="B1251" s="448"/>
      <c r="C1251" s="2524" t="s">
        <v>899</v>
      </c>
      <c r="D1251" s="4066">
        <v>92319624</v>
      </c>
      <c r="E1251" s="3625">
        <v>92319624</v>
      </c>
      <c r="F1251" s="4008">
        <f>E1251/D1251*100</f>
        <v>100</v>
      </c>
      <c r="G1251" s="2967">
        <v>100</v>
      </c>
      <c r="H1251" s="3715"/>
      <c r="J1251" s="1211"/>
      <c r="K1251" s="1211"/>
    </row>
    <row r="1252" spans="1:11" s="196" customFormat="1" ht="15.75" hidden="1" customHeight="1" x14ac:dyDescent="0.25">
      <c r="A1252" s="12"/>
      <c r="B1252" s="448"/>
      <c r="C1252" s="2526" t="s">
        <v>900</v>
      </c>
      <c r="D1252" s="4301">
        <v>276191000</v>
      </c>
      <c r="E1252" s="3625">
        <v>263244800</v>
      </c>
      <c r="F1252" s="4008">
        <f t="shared" ref="F1252:F1253" si="75">E1252/D1252*100</f>
        <v>95.312591648533086</v>
      </c>
      <c r="G1252" s="2967">
        <v>100</v>
      </c>
      <c r="H1252" s="3715"/>
      <c r="J1252" s="1212"/>
      <c r="K1252" s="1212"/>
    </row>
    <row r="1253" spans="1:11" s="196" customFormat="1" ht="14.25" hidden="1" customHeight="1" x14ac:dyDescent="0.25">
      <c r="A1253" s="12"/>
      <c r="B1253" s="448"/>
      <c r="C1253" s="2524" t="s">
        <v>901</v>
      </c>
      <c r="D1253" s="4066">
        <v>221897738</v>
      </c>
      <c r="E1253" s="3625">
        <v>220997738</v>
      </c>
      <c r="F1253" s="4008">
        <f t="shared" si="75"/>
        <v>99.594407762732587</v>
      </c>
      <c r="G1253" s="2967">
        <v>100</v>
      </c>
      <c r="H1253" s="3715"/>
      <c r="J1253" s="1212"/>
      <c r="K1253" s="1212"/>
    </row>
    <row r="1254" spans="1:11" s="196" customFormat="1" ht="11.25" hidden="1" customHeight="1" x14ac:dyDescent="0.25">
      <c r="A1254" s="12"/>
      <c r="B1254" s="448"/>
      <c r="C1254" s="2526"/>
      <c r="D1254" s="4301"/>
      <c r="E1254" s="3628"/>
      <c r="F1254" s="2968"/>
      <c r="G1254" s="2967"/>
      <c r="H1254" s="3715"/>
      <c r="J1254" s="1212"/>
      <c r="K1254" s="1212"/>
    </row>
    <row r="1255" spans="1:11" s="27" customFormat="1" ht="21" customHeight="1" x14ac:dyDescent="0.25">
      <c r="A1255" s="6"/>
      <c r="B1255" s="441"/>
      <c r="C1255" s="2525" t="s">
        <v>902</v>
      </c>
      <c r="D1255" s="4065">
        <f>SUM(D1256:D1257)</f>
        <v>1370290500</v>
      </c>
      <c r="E1255" s="2695">
        <f>SUM(E1256:E1257)</f>
        <v>1152383746</v>
      </c>
      <c r="F1255" s="4011">
        <f>E1255/D1255*100</f>
        <v>84.097769487564861</v>
      </c>
      <c r="G1255" s="2966">
        <f>SUM(G1256:G1257)/2</f>
        <v>100</v>
      </c>
      <c r="H1255" s="1463"/>
      <c r="J1255" s="995"/>
      <c r="K1255" s="995"/>
    </row>
    <row r="1256" spans="1:11" s="27" customFormat="1" ht="14.25" hidden="1" customHeight="1" x14ac:dyDescent="0.25">
      <c r="A1256" s="6"/>
      <c r="B1256" s="441"/>
      <c r="C1256" s="2526" t="s">
        <v>903</v>
      </c>
      <c r="D1256" s="4066">
        <v>1002165500</v>
      </c>
      <c r="E1256" s="2968">
        <v>793317146</v>
      </c>
      <c r="F1256" s="4008">
        <f>E1256/D1256*100</f>
        <v>79.160292985539812</v>
      </c>
      <c r="G1256" s="2968">
        <v>100</v>
      </c>
      <c r="H1256" s="1463"/>
      <c r="J1256" s="995"/>
      <c r="K1256" s="995"/>
    </row>
    <row r="1257" spans="1:11" s="27" customFormat="1" ht="15.75" hidden="1" customHeight="1" x14ac:dyDescent="0.25">
      <c r="A1257" s="6"/>
      <c r="B1257" s="441"/>
      <c r="C1257" s="2473" t="s">
        <v>904</v>
      </c>
      <c r="D1257" s="4066">
        <v>368125000</v>
      </c>
      <c r="E1257" s="2968">
        <v>359066600</v>
      </c>
      <c r="F1257" s="4008">
        <f>E1257/D1257*100</f>
        <v>97.539314091680822</v>
      </c>
      <c r="G1257" s="2968">
        <v>100</v>
      </c>
      <c r="H1257" s="1463"/>
      <c r="J1257" s="995"/>
      <c r="K1257" s="995"/>
    </row>
    <row r="1258" spans="1:11" ht="9.75" hidden="1" customHeight="1" x14ac:dyDescent="0.25">
      <c r="B1258" s="441"/>
      <c r="C1258" s="2527"/>
      <c r="D1258" s="4276"/>
      <c r="E1258" s="4027"/>
      <c r="F1258" s="2778"/>
      <c r="G1258" s="2985"/>
      <c r="H1258" s="1463"/>
    </row>
    <row r="1259" spans="1:11" s="27" customFormat="1" ht="18.75" customHeight="1" x14ac:dyDescent="0.25">
      <c r="A1259" s="6"/>
      <c r="B1259" s="441"/>
      <c r="C1259" s="2474" t="s">
        <v>905</v>
      </c>
      <c r="D1259" s="4065">
        <v>94722874</v>
      </c>
      <c r="E1259" s="2695">
        <v>94722874</v>
      </c>
      <c r="F1259" s="4011">
        <f>E1259/D1259*100</f>
        <v>100</v>
      </c>
      <c r="G1259" s="2966">
        <f>G1260</f>
        <v>100</v>
      </c>
      <c r="H1259" s="1463"/>
      <c r="J1259" s="995"/>
      <c r="K1259" s="995"/>
    </row>
    <row r="1260" spans="1:11" s="27" customFormat="1" ht="21" hidden="1" customHeight="1" x14ac:dyDescent="0.25">
      <c r="A1260" s="6"/>
      <c r="B1260" s="441"/>
      <c r="C1260" s="2524" t="s">
        <v>906</v>
      </c>
      <c r="D1260" s="4066">
        <v>94722874</v>
      </c>
      <c r="E1260" s="2968">
        <v>94722874</v>
      </c>
      <c r="F1260" s="4008">
        <f>E1260/D1260*100</f>
        <v>100</v>
      </c>
      <c r="G1260" s="2968">
        <v>100</v>
      </c>
      <c r="H1260" s="1463"/>
      <c r="J1260" s="995"/>
      <c r="K1260" s="995"/>
    </row>
    <row r="1261" spans="1:11" s="27" customFormat="1" ht="12.75" hidden="1" customHeight="1" x14ac:dyDescent="0.25">
      <c r="A1261" s="6"/>
      <c r="B1261" s="441"/>
      <c r="C1261" s="2527"/>
      <c r="D1261" s="4276"/>
      <c r="E1261" s="4014"/>
      <c r="F1261" s="2778"/>
      <c r="G1261" s="2985"/>
      <c r="H1261" s="1463"/>
      <c r="J1261" s="995"/>
      <c r="K1261" s="995"/>
    </row>
    <row r="1262" spans="1:11" s="27" customFormat="1" ht="19.5" customHeight="1" x14ac:dyDescent="0.25">
      <c r="A1262" s="6"/>
      <c r="B1262" s="441"/>
      <c r="C1262" s="2525" t="s">
        <v>907</v>
      </c>
      <c r="D1262" s="4065">
        <v>918591758</v>
      </c>
      <c r="E1262" s="3628">
        <f>E1263+E1264</f>
        <v>909621708</v>
      </c>
      <c r="F1262" s="4005">
        <f>E1262/D1262*100</f>
        <v>99.023499838543074</v>
      </c>
      <c r="G1262" s="2966">
        <f>SUM(G1263:G1264)/2</f>
        <v>100</v>
      </c>
      <c r="H1262" s="1463"/>
      <c r="J1262" s="995"/>
      <c r="K1262" s="995"/>
    </row>
    <row r="1263" spans="1:11" s="27" customFormat="1" ht="15" hidden="1" customHeight="1" x14ac:dyDescent="0.25">
      <c r="A1263" s="6"/>
      <c r="B1263" s="441"/>
      <c r="C1263" s="2524" t="s">
        <v>908</v>
      </c>
      <c r="D1263" s="4066">
        <v>859190050</v>
      </c>
      <c r="E1263" s="3625">
        <v>851220000</v>
      </c>
      <c r="F1263" s="4008">
        <f>E1263/D1263*100</f>
        <v>99.072376361900368</v>
      </c>
      <c r="G1263" s="3014">
        <v>100</v>
      </c>
      <c r="H1263" s="1463"/>
      <c r="J1263" s="995"/>
      <c r="K1263" s="995"/>
    </row>
    <row r="1264" spans="1:11" s="31" customFormat="1" ht="15" hidden="1" customHeight="1" x14ac:dyDescent="0.25">
      <c r="A1264" s="5"/>
      <c r="B1264" s="448"/>
      <c r="C1264" s="2526" t="s">
        <v>909</v>
      </c>
      <c r="D1264" s="4071">
        <v>59401708</v>
      </c>
      <c r="E1264" s="2999">
        <v>58401708</v>
      </c>
      <c r="F1264" s="4008">
        <f>E1264/D1264*100</f>
        <v>98.316546722865269</v>
      </c>
      <c r="G1264" s="2999">
        <v>100</v>
      </c>
      <c r="H1264" s="3715"/>
      <c r="J1264" s="1211"/>
      <c r="K1264" s="1211"/>
    </row>
    <row r="1265" spans="1:11" s="27" customFormat="1" ht="12" hidden="1" customHeight="1" x14ac:dyDescent="0.25">
      <c r="A1265" s="6"/>
      <c r="B1265" s="441"/>
      <c r="C1265" s="2527"/>
      <c r="D1265" s="4276"/>
      <c r="E1265" s="4017"/>
      <c r="F1265" s="2968"/>
      <c r="G1265" s="2968"/>
      <c r="H1265" s="1463"/>
      <c r="J1265" s="995"/>
      <c r="K1265" s="995"/>
    </row>
    <row r="1266" spans="1:11" s="27" customFormat="1" ht="17.25" customHeight="1" x14ac:dyDescent="0.25">
      <c r="A1266" s="6"/>
      <c r="B1266" s="441"/>
      <c r="C1266" s="2540" t="s">
        <v>910</v>
      </c>
      <c r="D1266" s="4072">
        <f>SUM(D1267:D1270)</f>
        <v>532439012</v>
      </c>
      <c r="E1266" s="4028">
        <f>SUM(E1267:E1270)</f>
        <v>492912416</v>
      </c>
      <c r="F1266" s="4005">
        <f>E1266/D1266*100</f>
        <v>92.576314824955006</v>
      </c>
      <c r="G1266" s="2969">
        <f>SUM(G1267:G1270)/4</f>
        <v>86.5</v>
      </c>
      <c r="H1266" s="1463"/>
      <c r="J1266" s="995"/>
      <c r="K1266" s="995"/>
    </row>
    <row r="1267" spans="1:11" s="27" customFormat="1" ht="19.5" hidden="1" customHeight="1" x14ac:dyDescent="0.25">
      <c r="A1267" s="6"/>
      <c r="B1267" s="441"/>
      <c r="C1267" s="2526" t="s">
        <v>911</v>
      </c>
      <c r="D1267" s="4066">
        <v>128774526</v>
      </c>
      <c r="E1267" s="3625">
        <v>123421830</v>
      </c>
      <c r="F1267" s="4008">
        <f>E1267/D1267*100</f>
        <v>95.843358025639318</v>
      </c>
      <c r="G1267" s="2968">
        <v>100</v>
      </c>
      <c r="H1267" s="1463"/>
      <c r="J1267" s="995"/>
      <c r="K1267" s="995"/>
    </row>
    <row r="1268" spans="1:11" s="31" customFormat="1" ht="18.75" hidden="1" customHeight="1" x14ac:dyDescent="0.25">
      <c r="A1268" s="5"/>
      <c r="B1268" s="448"/>
      <c r="C1268" s="2524" t="s">
        <v>912</v>
      </c>
      <c r="D1268" s="4154">
        <v>70361290</v>
      </c>
      <c r="E1268" s="2999">
        <v>50511290</v>
      </c>
      <c r="F1268" s="4008">
        <f>E1268/D1268*100</f>
        <v>71.788464935762264</v>
      </c>
      <c r="G1268" s="2999">
        <v>71</v>
      </c>
      <c r="H1268" s="3715"/>
      <c r="J1268" s="1211"/>
      <c r="K1268" s="1211"/>
    </row>
    <row r="1269" spans="1:11" s="31" customFormat="1" ht="16.5" hidden="1" customHeight="1" x14ac:dyDescent="0.25">
      <c r="A1269" s="5"/>
      <c r="B1269" s="442"/>
      <c r="C1269" s="2524" t="s">
        <v>913</v>
      </c>
      <c r="D1269" s="4066">
        <v>291124040</v>
      </c>
      <c r="E1269" s="3625">
        <v>286950140</v>
      </c>
      <c r="F1269" s="4008">
        <f>E1269/D1269*100</f>
        <v>98.566281231876289</v>
      </c>
      <c r="G1269" s="2967">
        <v>100</v>
      </c>
      <c r="H1269" s="3715"/>
      <c r="J1269" s="1211"/>
      <c r="K1269" s="1211"/>
    </row>
    <row r="1270" spans="1:11" s="27" customFormat="1" ht="18" hidden="1" customHeight="1" x14ac:dyDescent="0.25">
      <c r="A1270" s="6"/>
      <c r="B1270" s="441"/>
      <c r="C1270" s="2524" t="s">
        <v>914</v>
      </c>
      <c r="D1270" s="4066">
        <v>42179156</v>
      </c>
      <c r="E1270" s="3625">
        <v>32029156</v>
      </c>
      <c r="F1270" s="4008">
        <f>E1270/D1270*100</f>
        <v>75.935981269990322</v>
      </c>
      <c r="G1270" s="2985">
        <v>75</v>
      </c>
      <c r="H1270" s="1463"/>
      <c r="J1270" s="995"/>
      <c r="K1270" s="995"/>
    </row>
    <row r="1271" spans="1:11" ht="12" hidden="1" customHeight="1" x14ac:dyDescent="0.25">
      <c r="B1271" s="441"/>
      <c r="C1271" s="2528"/>
      <c r="D1271" s="4312"/>
      <c r="E1271" s="4029"/>
      <c r="F1271" s="3060"/>
      <c r="G1271" s="3052"/>
      <c r="H1271" s="1463"/>
    </row>
    <row r="1272" spans="1:11" s="27" customFormat="1" ht="18" customHeight="1" x14ac:dyDescent="0.25">
      <c r="A1272" s="6"/>
      <c r="B1272" s="440"/>
      <c r="C1272" s="2532" t="s">
        <v>915</v>
      </c>
      <c r="D1272" s="4106">
        <f>SUM(D1273+D1278+D1290+D1294+D1297+D1300)</f>
        <v>10624125174</v>
      </c>
      <c r="E1272" s="2672">
        <f>SUM(E1273+E1278+E1290+E1294+E1297+E1300)</f>
        <v>9897575845</v>
      </c>
      <c r="F1272" s="2672">
        <f>E1272/D1272*100</f>
        <v>93.16132559527766</v>
      </c>
      <c r="G1272" s="2670">
        <f>SUM(G1273+G1278+G1290+G1294+G1297+G1300)/6</f>
        <v>100</v>
      </c>
      <c r="H1272" s="1463"/>
      <c r="J1272" s="995"/>
      <c r="K1272" s="995"/>
    </row>
    <row r="1273" spans="1:11" s="27" customFormat="1" ht="18" customHeight="1" x14ac:dyDescent="0.25">
      <c r="A1273" s="6"/>
      <c r="B1273" s="441"/>
      <c r="C1273" s="2521" t="s">
        <v>916</v>
      </c>
      <c r="D1273" s="4305">
        <f>SUM(D1274:D1276)</f>
        <v>873712700</v>
      </c>
      <c r="E1273" s="3627">
        <f>SUM(E1274:E1276)</f>
        <v>766106400</v>
      </c>
      <c r="F1273" s="4005">
        <f>E1273/D1273*100</f>
        <v>87.684017869947411</v>
      </c>
      <c r="G1273" s="3002">
        <f>SUM(G1274:G1276)/3</f>
        <v>100</v>
      </c>
      <c r="H1273" s="1463"/>
      <c r="J1273" s="995"/>
      <c r="K1273" s="995"/>
    </row>
    <row r="1274" spans="1:11" s="27" customFormat="1" ht="18" hidden="1" customHeight="1" x14ac:dyDescent="0.25">
      <c r="A1274" s="6"/>
      <c r="B1274" s="441"/>
      <c r="C1274" s="2473" t="s">
        <v>917</v>
      </c>
      <c r="D1274" s="4066">
        <v>230746600</v>
      </c>
      <c r="E1274" s="2999">
        <v>218166600</v>
      </c>
      <c r="F1274" s="4008">
        <f>E1274/D1274*100</f>
        <v>94.548132020146781</v>
      </c>
      <c r="G1274" s="2999">
        <v>100</v>
      </c>
      <c r="H1274" s="1463"/>
      <c r="J1274" s="995"/>
      <c r="K1274" s="995"/>
    </row>
    <row r="1275" spans="1:11" s="27" customFormat="1" ht="15.75" hidden="1" customHeight="1" x14ac:dyDescent="0.25">
      <c r="A1275" s="6"/>
      <c r="B1275" s="441"/>
      <c r="C1275" s="2475" t="s">
        <v>918</v>
      </c>
      <c r="D1275" s="4301">
        <v>152073100</v>
      </c>
      <c r="E1275" s="3622">
        <v>151823100</v>
      </c>
      <c r="F1275" s="4008">
        <f>E1275/D1275*100</f>
        <v>99.835605376624798</v>
      </c>
      <c r="G1275" s="2967">
        <v>100</v>
      </c>
      <c r="H1275" s="1463"/>
      <c r="J1275" s="995"/>
      <c r="K1275" s="995"/>
    </row>
    <row r="1276" spans="1:11" s="27" customFormat="1" ht="15.75" hidden="1" customHeight="1" x14ac:dyDescent="0.25">
      <c r="A1276" s="6"/>
      <c r="B1276" s="441"/>
      <c r="C1276" s="2473" t="s">
        <v>919</v>
      </c>
      <c r="D1276" s="4066">
        <v>490893000</v>
      </c>
      <c r="E1276" s="3622">
        <v>396116700</v>
      </c>
      <c r="F1276" s="4008">
        <f>E1276/D1276*100</f>
        <v>80.693083828858832</v>
      </c>
      <c r="G1276" s="2967">
        <v>100</v>
      </c>
      <c r="H1276" s="1463"/>
      <c r="J1276" s="995"/>
      <c r="K1276" s="995"/>
    </row>
    <row r="1277" spans="1:11" s="27" customFormat="1" ht="11.25" hidden="1" customHeight="1" x14ac:dyDescent="0.25">
      <c r="A1277" s="6"/>
      <c r="B1277" s="441"/>
      <c r="C1277" s="2527"/>
      <c r="D1277" s="4276"/>
      <c r="E1277" s="2879"/>
      <c r="F1277" s="3035"/>
      <c r="G1277" s="2967"/>
      <c r="H1277" s="1463"/>
      <c r="J1277" s="995"/>
      <c r="K1277" s="995"/>
    </row>
    <row r="1278" spans="1:11" s="27" customFormat="1" ht="15.75" customHeight="1" x14ac:dyDescent="0.25">
      <c r="A1278" s="6"/>
      <c r="B1278" s="441"/>
      <c r="C1278" s="2538" t="s">
        <v>920</v>
      </c>
      <c r="D1278" s="4305">
        <f>SUM(D1279:D1288)</f>
        <v>6652505159</v>
      </c>
      <c r="E1278" s="3629">
        <f>SUM(E1279:E1288)</f>
        <v>6202968828</v>
      </c>
      <c r="F1278" s="4005">
        <f>E1278/D1278*100</f>
        <v>93.242600790894031</v>
      </c>
      <c r="G1278" s="2969">
        <f>SUM(G1279:G1288)/10</f>
        <v>100</v>
      </c>
      <c r="H1278" s="1463"/>
      <c r="J1278" s="995"/>
      <c r="K1278" s="995"/>
    </row>
    <row r="1279" spans="1:11" s="27" customFormat="1" ht="16.5" hidden="1" customHeight="1" x14ac:dyDescent="0.25">
      <c r="A1279" s="6"/>
      <c r="B1279" s="441"/>
      <c r="C1279" s="2524" t="s">
        <v>921</v>
      </c>
      <c r="D1279" s="4066">
        <v>724843300</v>
      </c>
      <c r="E1279" s="3622">
        <v>703271000</v>
      </c>
      <c r="F1279" s="4008">
        <f>E1279/D1279*100</f>
        <v>97.023867089617852</v>
      </c>
      <c r="G1279" s="2967">
        <v>100</v>
      </c>
      <c r="H1279" s="1463"/>
      <c r="J1279" s="995"/>
      <c r="K1279" s="995"/>
    </row>
    <row r="1280" spans="1:11" s="31" customFormat="1" ht="17.25" hidden="1" customHeight="1" x14ac:dyDescent="0.25">
      <c r="A1280" s="5"/>
      <c r="B1280" s="448"/>
      <c r="C1280" s="2524" t="s">
        <v>922</v>
      </c>
      <c r="D1280" s="4066">
        <v>164691746</v>
      </c>
      <c r="E1280" s="3622">
        <v>163306600</v>
      </c>
      <c r="F1280" s="4008">
        <f t="shared" ref="F1280:F1288" si="76">E1280/D1280*100</f>
        <v>99.158946314164396</v>
      </c>
      <c r="G1280" s="2967">
        <v>100</v>
      </c>
      <c r="H1280" s="3715"/>
      <c r="J1280" s="1211"/>
      <c r="K1280" s="1211"/>
    </row>
    <row r="1281" spans="1:11" s="31" customFormat="1" ht="15" hidden="1" customHeight="1" x14ac:dyDescent="0.25">
      <c r="A1281" s="5"/>
      <c r="B1281" s="448"/>
      <c r="C1281" s="2526" t="s">
        <v>923</v>
      </c>
      <c r="D1281" s="4066">
        <v>866770834</v>
      </c>
      <c r="E1281" s="3622">
        <v>819133280</v>
      </c>
      <c r="F1281" s="4008">
        <f t="shared" si="76"/>
        <v>94.504019732625196</v>
      </c>
      <c r="G1281" s="2967">
        <v>100</v>
      </c>
      <c r="H1281" s="3715"/>
      <c r="J1281" s="1211"/>
      <c r="K1281" s="1211"/>
    </row>
    <row r="1282" spans="1:11" s="31" customFormat="1" ht="15.75" hidden="1" customHeight="1" x14ac:dyDescent="0.25">
      <c r="A1282" s="5"/>
      <c r="B1282" s="448"/>
      <c r="C1282" s="2524" t="s">
        <v>924</v>
      </c>
      <c r="D1282" s="4066">
        <v>333400000</v>
      </c>
      <c r="E1282" s="2999">
        <v>333400000</v>
      </c>
      <c r="F1282" s="4008">
        <f t="shared" si="76"/>
        <v>100</v>
      </c>
      <c r="G1282" s="2967">
        <v>100</v>
      </c>
      <c r="H1282" s="3715"/>
      <c r="J1282" s="1211"/>
      <c r="K1282" s="1211"/>
    </row>
    <row r="1283" spans="1:11" s="31" customFormat="1" ht="16.5" hidden="1" customHeight="1" x14ac:dyDescent="0.25">
      <c r="A1283" s="5"/>
      <c r="B1283" s="448"/>
      <c r="C1283" s="2524" t="s">
        <v>925</v>
      </c>
      <c r="D1283" s="4066">
        <v>495766791</v>
      </c>
      <c r="E1283" s="2999">
        <v>160700000</v>
      </c>
      <c r="F1283" s="4008">
        <f t="shared" si="76"/>
        <v>32.414434148736682</v>
      </c>
      <c r="G1283" s="2967">
        <v>100</v>
      </c>
      <c r="H1283" s="3715"/>
      <c r="J1283" s="1211"/>
      <c r="K1283" s="1211"/>
    </row>
    <row r="1284" spans="1:11" s="31" customFormat="1" ht="15" hidden="1" customHeight="1" x14ac:dyDescent="0.25">
      <c r="A1284" s="5"/>
      <c r="B1284" s="448"/>
      <c r="C1284" s="2524" t="s">
        <v>926</v>
      </c>
      <c r="D1284" s="4066">
        <v>165174700</v>
      </c>
      <c r="E1284" s="3622">
        <v>150570800</v>
      </c>
      <c r="F1284" s="4008">
        <f t="shared" si="76"/>
        <v>91.15851277465616</v>
      </c>
      <c r="G1284" s="2967">
        <v>100</v>
      </c>
      <c r="H1284" s="3715"/>
      <c r="J1284" s="1211"/>
      <c r="K1284" s="1211"/>
    </row>
    <row r="1285" spans="1:11" s="31" customFormat="1" ht="15.75" hidden="1" customHeight="1" x14ac:dyDescent="0.25">
      <c r="A1285" s="5"/>
      <c r="B1285" s="448"/>
      <c r="C1285" s="2524" t="s">
        <v>927</v>
      </c>
      <c r="D1285" s="4066">
        <v>378724000</v>
      </c>
      <c r="E1285" s="3622">
        <v>373625000</v>
      </c>
      <c r="F1285" s="4008">
        <f t="shared" si="76"/>
        <v>98.653636949335137</v>
      </c>
      <c r="G1285" s="2967">
        <v>100</v>
      </c>
      <c r="H1285" s="3715"/>
      <c r="J1285" s="1211"/>
      <c r="K1285" s="1211"/>
    </row>
    <row r="1286" spans="1:11" s="31" customFormat="1" ht="14.25" hidden="1" customHeight="1" x14ac:dyDescent="0.25">
      <c r="A1286" s="5"/>
      <c r="B1286" s="448"/>
      <c r="C1286" s="2533" t="s">
        <v>928</v>
      </c>
      <c r="D1286" s="4071">
        <v>971327948</v>
      </c>
      <c r="E1286" s="3625">
        <v>965097948</v>
      </c>
      <c r="F1286" s="4010">
        <f t="shared" si="76"/>
        <v>99.358610033529075</v>
      </c>
      <c r="G1286" s="2967">
        <v>100</v>
      </c>
      <c r="H1286" s="3716"/>
      <c r="J1286" s="1211"/>
      <c r="K1286" s="1211"/>
    </row>
    <row r="1287" spans="1:11" s="31" customFormat="1" ht="15" hidden="1" customHeight="1" x14ac:dyDescent="0.25">
      <c r="A1287" s="5"/>
      <c r="B1287" s="462"/>
      <c r="C1287" s="2524" t="s">
        <v>929</v>
      </c>
      <c r="D1287" s="4066">
        <v>1313394200</v>
      </c>
      <c r="E1287" s="3622">
        <v>1298566400</v>
      </c>
      <c r="F1287" s="4008">
        <f t="shared" si="76"/>
        <v>98.871032017653192</v>
      </c>
      <c r="G1287" s="2967">
        <v>100</v>
      </c>
      <c r="H1287" s="3715"/>
      <c r="J1287" s="1211"/>
      <c r="K1287" s="1211"/>
    </row>
    <row r="1288" spans="1:11" s="31" customFormat="1" ht="17.25" hidden="1" customHeight="1" x14ac:dyDescent="0.25">
      <c r="A1288" s="5"/>
      <c r="B1288" s="448"/>
      <c r="C1288" s="2529" t="s">
        <v>930</v>
      </c>
      <c r="D1288" s="4154">
        <v>1238411640</v>
      </c>
      <c r="E1288" s="4030">
        <v>1235297800</v>
      </c>
      <c r="F1288" s="4031">
        <f t="shared" si="76"/>
        <v>99.748561794848769</v>
      </c>
      <c r="G1288" s="2967">
        <v>100</v>
      </c>
      <c r="H1288" s="3717"/>
      <c r="J1288" s="1211"/>
      <c r="K1288" s="1211"/>
    </row>
    <row r="1289" spans="1:11" s="27" customFormat="1" ht="10.5" hidden="1" customHeight="1" x14ac:dyDescent="0.25">
      <c r="A1289" s="6"/>
      <c r="B1289" s="441"/>
      <c r="C1289" s="2528"/>
      <c r="D1289" s="4276"/>
      <c r="E1289" s="3630"/>
      <c r="F1289" s="3035"/>
      <c r="G1289" s="2967"/>
      <c r="H1289" s="1463"/>
      <c r="J1289" s="995"/>
      <c r="K1289" s="995"/>
    </row>
    <row r="1290" spans="1:11" s="25" customFormat="1" ht="21.75" customHeight="1" x14ac:dyDescent="0.25">
      <c r="A1290" s="4"/>
      <c r="B1290" s="441"/>
      <c r="C1290" s="2525" t="s">
        <v>931</v>
      </c>
      <c r="D1290" s="4065">
        <f>SUM(D1291:D1292)</f>
        <v>715245199</v>
      </c>
      <c r="E1290" s="3629">
        <f>SUM(E1291:E1292)</f>
        <v>559651823</v>
      </c>
      <c r="F1290" s="4005">
        <f>E1290/D1290*100</f>
        <v>78.246148842727152</v>
      </c>
      <c r="G1290" s="2969">
        <f>SUM(G1291:G1292)/2</f>
        <v>100</v>
      </c>
      <c r="H1290" s="1462"/>
      <c r="J1290" s="1207"/>
      <c r="K1290" s="1207"/>
    </row>
    <row r="1291" spans="1:11" s="31" customFormat="1" ht="16.5" hidden="1" customHeight="1" x14ac:dyDescent="0.25">
      <c r="A1291" s="5"/>
      <c r="B1291" s="448"/>
      <c r="C1291" s="2524" t="s">
        <v>932</v>
      </c>
      <c r="D1291" s="4066">
        <v>357951199</v>
      </c>
      <c r="E1291" s="3622">
        <v>354623623</v>
      </c>
      <c r="F1291" s="4008">
        <f>E1291/D1291*100</f>
        <v>99.070382775837544</v>
      </c>
      <c r="G1291" s="2967">
        <v>100</v>
      </c>
      <c r="H1291" s="3715"/>
      <c r="J1291" s="1211"/>
      <c r="K1291" s="1211"/>
    </row>
    <row r="1292" spans="1:11" s="31" customFormat="1" ht="14.25" hidden="1" customHeight="1" x14ac:dyDescent="0.25">
      <c r="A1292" s="5"/>
      <c r="B1292" s="448"/>
      <c r="C1292" s="2524" t="s">
        <v>933</v>
      </c>
      <c r="D1292" s="4066">
        <v>357294000</v>
      </c>
      <c r="E1292" s="3622">
        <v>205028200</v>
      </c>
      <c r="F1292" s="4008">
        <f t="shared" ref="F1292" si="77">E1292/D1292*100</f>
        <v>57.383611255716581</v>
      </c>
      <c r="G1292" s="2967">
        <v>100</v>
      </c>
      <c r="H1292" s="3715"/>
      <c r="J1292" s="1211"/>
      <c r="K1292" s="1211"/>
    </row>
    <row r="1293" spans="1:11" s="27" customFormat="1" ht="11.25" hidden="1" customHeight="1" x14ac:dyDescent="0.25">
      <c r="A1293" s="6"/>
      <c r="B1293" s="441"/>
      <c r="C1293" s="2528"/>
      <c r="D1293" s="4276"/>
      <c r="E1293" s="3630"/>
      <c r="F1293" s="3035"/>
      <c r="G1293" s="2967"/>
      <c r="H1293" s="1463"/>
      <c r="J1293" s="995"/>
      <c r="K1293" s="995"/>
    </row>
    <row r="1294" spans="1:11" s="27" customFormat="1" ht="18" customHeight="1" x14ac:dyDescent="0.25">
      <c r="A1294" s="6"/>
      <c r="B1294" s="441"/>
      <c r="C1294" s="2525" t="s">
        <v>934</v>
      </c>
      <c r="D1294" s="4065">
        <f>D1295</f>
        <v>325244052</v>
      </c>
      <c r="E1294" s="2695">
        <f>E1295</f>
        <v>323134994</v>
      </c>
      <c r="F1294" s="4005">
        <f>E1294/D1294*100</f>
        <v>99.351546019971494</v>
      </c>
      <c r="G1294" s="2969">
        <f>G1295</f>
        <v>100</v>
      </c>
      <c r="H1294" s="1463"/>
      <c r="J1294" s="995"/>
      <c r="K1294" s="995"/>
    </row>
    <row r="1295" spans="1:11" s="27" customFormat="1" ht="18.75" hidden="1" customHeight="1" x14ac:dyDescent="0.25">
      <c r="A1295" s="6"/>
      <c r="B1295" s="441"/>
      <c r="C1295" s="2524" t="s">
        <v>935</v>
      </c>
      <c r="D1295" s="4066">
        <v>325244052</v>
      </c>
      <c r="E1295" s="3014">
        <v>323134994</v>
      </c>
      <c r="F1295" s="4008">
        <f>E1295/D1295*100</f>
        <v>99.351546019971494</v>
      </c>
      <c r="G1295" s="3014">
        <v>100</v>
      </c>
      <c r="H1295" s="1463"/>
      <c r="J1295" s="995"/>
      <c r="K1295" s="995"/>
    </row>
    <row r="1296" spans="1:11" s="27" customFormat="1" ht="9.75" hidden="1" customHeight="1" x14ac:dyDescent="0.25">
      <c r="A1296" s="6"/>
      <c r="B1296" s="441"/>
      <c r="C1296" s="2524"/>
      <c r="D1296" s="4066"/>
      <c r="E1296" s="3630"/>
      <c r="F1296" s="2690"/>
      <c r="G1296" s="2967"/>
      <c r="H1296" s="1463"/>
      <c r="J1296" s="995"/>
      <c r="K1296" s="995"/>
    </row>
    <row r="1297" spans="1:11" s="25" customFormat="1" ht="15.75" customHeight="1" x14ac:dyDescent="0.25">
      <c r="A1297" s="4"/>
      <c r="B1297" s="441"/>
      <c r="C1297" s="2525" t="s">
        <v>936</v>
      </c>
      <c r="D1297" s="4065">
        <f>D1298</f>
        <v>277200875</v>
      </c>
      <c r="E1297" s="3628">
        <f>E1298</f>
        <v>276875000</v>
      </c>
      <c r="F1297" s="4005">
        <f>E1297/D1297*100</f>
        <v>99.882440847273656</v>
      </c>
      <c r="G1297" s="2969">
        <f>G1298</f>
        <v>100</v>
      </c>
      <c r="H1297" s="1462"/>
      <c r="J1297" s="1207"/>
      <c r="K1297" s="1207"/>
    </row>
    <row r="1298" spans="1:11" s="27" customFormat="1" ht="18.75" hidden="1" customHeight="1" x14ac:dyDescent="0.25">
      <c r="A1298" s="6"/>
      <c r="B1298" s="441"/>
      <c r="C1298" s="2524" t="s">
        <v>937</v>
      </c>
      <c r="D1298" s="4066">
        <v>277200875</v>
      </c>
      <c r="E1298" s="3625">
        <v>276875000</v>
      </c>
      <c r="F1298" s="4008">
        <f>E1298/D1298*100</f>
        <v>99.882440847273656</v>
      </c>
      <c r="G1298" s="2967">
        <v>100</v>
      </c>
      <c r="H1298" s="1463"/>
      <c r="J1298" s="995"/>
      <c r="K1298" s="995"/>
    </row>
    <row r="1299" spans="1:11" s="27" customFormat="1" ht="10.5" hidden="1" customHeight="1" x14ac:dyDescent="0.25">
      <c r="A1299" s="6"/>
      <c r="B1299" s="441"/>
      <c r="C1299" s="2526"/>
      <c r="D1299" s="4301"/>
      <c r="E1299" s="4017"/>
      <c r="F1299" s="2752"/>
      <c r="G1299" s="2993"/>
      <c r="H1299" s="1463"/>
      <c r="J1299" s="995"/>
      <c r="K1299" s="995"/>
    </row>
    <row r="1300" spans="1:11" s="25" customFormat="1" ht="18.75" customHeight="1" x14ac:dyDescent="0.25">
      <c r="A1300" s="4"/>
      <c r="B1300" s="441"/>
      <c r="C1300" s="2525" t="s">
        <v>938</v>
      </c>
      <c r="D1300" s="4065">
        <f>D1301</f>
        <v>1780217189</v>
      </c>
      <c r="E1300" s="3627">
        <f>E1301</f>
        <v>1768838800</v>
      </c>
      <c r="F1300" s="4005">
        <f>E1300/D1300*100</f>
        <v>99.360842650531225</v>
      </c>
      <c r="G1300" s="2969">
        <f>G1301</f>
        <v>100</v>
      </c>
      <c r="H1300" s="1462"/>
      <c r="J1300" s="1207"/>
      <c r="K1300" s="1207"/>
    </row>
    <row r="1301" spans="1:11" s="27" customFormat="1" ht="19.5" hidden="1" customHeight="1" x14ac:dyDescent="0.25">
      <c r="A1301" s="6"/>
      <c r="B1301" s="441"/>
      <c r="C1301" s="2524" t="s">
        <v>939</v>
      </c>
      <c r="D1301" s="4066">
        <v>1780217189</v>
      </c>
      <c r="E1301" s="3622">
        <v>1768838800</v>
      </c>
      <c r="F1301" s="4008">
        <f>E1301/D1301*100</f>
        <v>99.360842650531225</v>
      </c>
      <c r="G1301" s="2967">
        <v>100</v>
      </c>
      <c r="H1301" s="1463"/>
      <c r="J1301" s="995"/>
      <c r="K1301" s="995"/>
    </row>
    <row r="1302" spans="1:11" ht="12" hidden="1" customHeight="1" x14ac:dyDescent="0.25">
      <c r="B1302" s="441"/>
      <c r="C1302" s="2528"/>
      <c r="D1302" s="4301"/>
      <c r="E1302" s="3022"/>
      <c r="F1302" s="2784"/>
      <c r="G1302" s="2993"/>
      <c r="H1302" s="1463"/>
    </row>
    <row r="1303" spans="1:11" s="27" customFormat="1" ht="20.25" customHeight="1" x14ac:dyDescent="0.25">
      <c r="A1303" s="6"/>
      <c r="B1303" s="440"/>
      <c r="C1303" s="2471" t="s">
        <v>940</v>
      </c>
      <c r="D1303" s="4106">
        <f>SUM(D1304+D1307+D1311)</f>
        <v>5692177642</v>
      </c>
      <c r="E1303" s="3626">
        <f>E1304+E1307+E1311</f>
        <v>5411105988</v>
      </c>
      <c r="F1303" s="2672">
        <f>E1303/D1303*100</f>
        <v>95.062141913384792</v>
      </c>
      <c r="G1303" s="2670">
        <f>SUM(G1304+G1307+G1311)/3</f>
        <v>100</v>
      </c>
      <c r="H1303" s="1463"/>
      <c r="J1303" s="995"/>
      <c r="K1303" s="995"/>
    </row>
    <row r="1304" spans="1:11" s="27" customFormat="1" ht="18.75" customHeight="1" x14ac:dyDescent="0.25">
      <c r="A1304" s="6"/>
      <c r="B1304" s="441"/>
      <c r="C1304" s="2525" t="s">
        <v>941</v>
      </c>
      <c r="D1304" s="4305">
        <f>D1305</f>
        <v>851920000</v>
      </c>
      <c r="E1304" s="3627">
        <f>E1305</f>
        <v>832920000</v>
      </c>
      <c r="F1304" s="4005">
        <f>E1304/D1304*100</f>
        <v>97.769743637900277</v>
      </c>
      <c r="G1304" s="2734">
        <f>G1305</f>
        <v>100</v>
      </c>
      <c r="H1304" s="1463"/>
      <c r="J1304" s="995"/>
      <c r="K1304" s="995"/>
    </row>
    <row r="1305" spans="1:11" s="27" customFormat="1" ht="18.75" hidden="1" customHeight="1" x14ac:dyDescent="0.25">
      <c r="A1305" s="6"/>
      <c r="B1305" s="441"/>
      <c r="C1305" s="2524" t="s">
        <v>942</v>
      </c>
      <c r="D1305" s="4066">
        <v>851920000</v>
      </c>
      <c r="E1305" s="3622">
        <v>832920000</v>
      </c>
      <c r="F1305" s="4008">
        <f>E1305/D1305*100</f>
        <v>97.769743637900277</v>
      </c>
      <c r="G1305" s="2690">
        <v>100</v>
      </c>
      <c r="H1305" s="1463"/>
      <c r="J1305" s="995"/>
      <c r="K1305" s="995"/>
    </row>
    <row r="1306" spans="1:11" s="27" customFormat="1" ht="11.25" hidden="1" customHeight="1" x14ac:dyDescent="0.25">
      <c r="A1306" s="6"/>
      <c r="B1306" s="441"/>
      <c r="C1306" s="2528"/>
      <c r="D1306" s="4299"/>
      <c r="E1306" s="3630"/>
      <c r="F1306" s="2695"/>
      <c r="G1306" s="2967"/>
      <c r="H1306" s="1463"/>
      <c r="J1306" s="995"/>
      <c r="K1306" s="995"/>
    </row>
    <row r="1307" spans="1:11" s="27" customFormat="1" ht="17.25" customHeight="1" x14ac:dyDescent="0.25">
      <c r="A1307" s="6"/>
      <c r="B1307" s="441"/>
      <c r="C1307" s="2525" t="s">
        <v>943</v>
      </c>
      <c r="D1307" s="4065">
        <f>SUM(D1308:D1309)</f>
        <v>2306907642</v>
      </c>
      <c r="E1307" s="4013">
        <f>E1308+E1309</f>
        <v>2072583927</v>
      </c>
      <c r="F1307" s="4005">
        <f>E1307/D1307*100</f>
        <v>89.842518584885767</v>
      </c>
      <c r="G1307" s="2966">
        <f>SUM(G1308:G1309)/2</f>
        <v>100</v>
      </c>
      <c r="H1307" s="1463"/>
      <c r="J1307" s="995"/>
      <c r="K1307" s="995"/>
    </row>
    <row r="1308" spans="1:11" s="27" customFormat="1" ht="16.5" hidden="1" customHeight="1" x14ac:dyDescent="0.25">
      <c r="A1308" s="6"/>
      <c r="B1308" s="441"/>
      <c r="C1308" s="2524" t="s">
        <v>944</v>
      </c>
      <c r="D1308" s="4154">
        <v>1831517642</v>
      </c>
      <c r="E1308" s="3622">
        <v>1693750366</v>
      </c>
      <c r="F1308" s="4008">
        <f>E1308/D1308*100</f>
        <v>92.47797166455031</v>
      </c>
      <c r="G1308" s="2968">
        <v>100</v>
      </c>
      <c r="H1308" s="1463"/>
      <c r="J1308" s="995"/>
      <c r="K1308" s="995"/>
    </row>
    <row r="1309" spans="1:11" ht="18" hidden="1" customHeight="1" x14ac:dyDescent="0.25">
      <c r="B1309" s="441"/>
      <c r="C1309" s="2473" t="s">
        <v>945</v>
      </c>
      <c r="D1309" s="4066">
        <v>475390000</v>
      </c>
      <c r="E1309" s="3622">
        <v>378833561</v>
      </c>
      <c r="F1309" s="4008">
        <f>E1309/D1309*100</f>
        <v>79.689005027451145</v>
      </c>
      <c r="G1309" s="2967">
        <v>100</v>
      </c>
      <c r="H1309" s="1463"/>
    </row>
    <row r="1310" spans="1:11" ht="11.25" hidden="1" customHeight="1" x14ac:dyDescent="0.25">
      <c r="B1310" s="441"/>
      <c r="C1310" s="2475"/>
      <c r="D1310" s="4301"/>
      <c r="E1310" s="3630"/>
      <c r="F1310" s="2784"/>
      <c r="G1310" s="2993"/>
      <c r="H1310" s="1463"/>
    </row>
    <row r="1311" spans="1:11" s="32" customFormat="1" ht="18" customHeight="1" x14ac:dyDescent="0.25">
      <c r="A1311" s="1"/>
      <c r="B1311" s="441"/>
      <c r="C1311" s="2474" t="s">
        <v>946</v>
      </c>
      <c r="D1311" s="4065">
        <f>SUM(D1312:D1313)</f>
        <v>2533350000</v>
      </c>
      <c r="E1311" s="4013">
        <f>SUM(E1312:E1313)</f>
        <v>2505602061</v>
      </c>
      <c r="F1311" s="4005">
        <f>E1311/D1311*100</f>
        <v>98.904693824382733</v>
      </c>
      <c r="G1311" s="2969">
        <f>SUM(G1312:G1313)/2</f>
        <v>100</v>
      </c>
      <c r="H1311" s="1462"/>
      <c r="J1311" s="1208"/>
      <c r="K1311" s="1208"/>
    </row>
    <row r="1312" spans="1:11" ht="16.5" hidden="1" customHeight="1" x14ac:dyDescent="0.25">
      <c r="B1312" s="441"/>
      <c r="C1312" s="2473" t="s">
        <v>947</v>
      </c>
      <c r="D1312" s="4066">
        <v>200400000</v>
      </c>
      <c r="E1312" s="2968">
        <v>200400000</v>
      </c>
      <c r="F1312" s="4008">
        <f>E1312/D1312*100</f>
        <v>100</v>
      </c>
      <c r="G1312" s="2968">
        <v>100</v>
      </c>
      <c r="H1312" s="1463"/>
    </row>
    <row r="1313" spans="1:11" ht="27" hidden="1" customHeight="1" x14ac:dyDescent="0.25">
      <c r="B1313" s="441"/>
      <c r="C1313" s="2473" t="s">
        <v>948</v>
      </c>
      <c r="D1313" s="4066">
        <v>2332950000</v>
      </c>
      <c r="E1313" s="3622">
        <v>2305202061</v>
      </c>
      <c r="F1313" s="4008">
        <f>E1313/D1313*100</f>
        <v>98.810607214042307</v>
      </c>
      <c r="G1313" s="2993">
        <v>100</v>
      </c>
      <c r="H1313" s="1463"/>
    </row>
    <row r="1314" spans="1:11" ht="15.75" hidden="1" customHeight="1" x14ac:dyDescent="0.25">
      <c r="B1314" s="441"/>
      <c r="C1314" s="2475"/>
      <c r="D1314" s="4301"/>
      <c r="E1314" s="3022"/>
      <c r="F1314" s="2784"/>
      <c r="G1314" s="2993"/>
      <c r="H1314" s="1463"/>
    </row>
    <row r="1315" spans="1:11" ht="15.75" customHeight="1" x14ac:dyDescent="0.25">
      <c r="B1315" s="440"/>
      <c r="C1315" s="2471" t="s">
        <v>949</v>
      </c>
      <c r="D1315" s="4106">
        <f>D1316+D1319</f>
        <v>4947141200</v>
      </c>
      <c r="E1315" s="3631">
        <f>E1316+E1319</f>
        <v>4638512000</v>
      </c>
      <c r="F1315" s="2672">
        <f>E1315/D1315*100</f>
        <v>93.761463691394127</v>
      </c>
      <c r="G1315" s="2670">
        <f>SUM(G1316+G1319)/2</f>
        <v>100</v>
      </c>
      <c r="H1315" s="1463"/>
    </row>
    <row r="1316" spans="1:11" s="27" customFormat="1" ht="18.75" customHeight="1" x14ac:dyDescent="0.25">
      <c r="A1316" s="6"/>
      <c r="B1316" s="441"/>
      <c r="C1316" s="2537" t="s">
        <v>950</v>
      </c>
      <c r="D1316" s="4065">
        <f>D1317</f>
        <v>4225141200</v>
      </c>
      <c r="E1316" s="4012">
        <f>E1317</f>
        <v>3922352000</v>
      </c>
      <c r="F1316" s="4005">
        <f>E1316/D1316*100</f>
        <v>92.833631216869151</v>
      </c>
      <c r="G1316" s="2997">
        <f>G1317</f>
        <v>100</v>
      </c>
      <c r="H1316" s="1463"/>
      <c r="J1316" s="995"/>
      <c r="K1316" s="995"/>
    </row>
    <row r="1317" spans="1:11" s="27" customFormat="1" ht="17.25" hidden="1" customHeight="1" x14ac:dyDescent="0.25">
      <c r="A1317" s="6"/>
      <c r="B1317" s="441"/>
      <c r="C1317" s="2526" t="s">
        <v>951</v>
      </c>
      <c r="D1317" s="4066">
        <v>4225141200</v>
      </c>
      <c r="E1317" s="3622">
        <v>3922352000</v>
      </c>
      <c r="F1317" s="4008">
        <f>E1317/D1317*100</f>
        <v>92.833631216869151</v>
      </c>
      <c r="G1317" s="3014">
        <v>100</v>
      </c>
      <c r="H1317" s="1463"/>
      <c r="J1317" s="995"/>
      <c r="K1317" s="995"/>
    </row>
    <row r="1318" spans="1:11" ht="10.5" hidden="1" customHeight="1" x14ac:dyDescent="0.25">
      <c r="B1318" s="441"/>
      <c r="C1318" s="2527"/>
      <c r="D1318" s="4276"/>
      <c r="E1318" s="3630"/>
      <c r="F1318" s="3035"/>
      <c r="G1318" s="2967"/>
      <c r="H1318" s="1463"/>
    </row>
    <row r="1319" spans="1:11" s="27" customFormat="1" ht="18" customHeight="1" x14ac:dyDescent="0.25">
      <c r="A1319" s="6"/>
      <c r="B1319" s="441"/>
      <c r="C1319" s="2537" t="s">
        <v>952</v>
      </c>
      <c r="D1319" s="4065">
        <v>722000000</v>
      </c>
      <c r="E1319" s="4016">
        <f>E1320</f>
        <v>716160000</v>
      </c>
      <c r="F1319" s="4005">
        <f>E1319/D1319*100</f>
        <v>99.19113573407202</v>
      </c>
      <c r="G1319" s="2976">
        <f>G1320</f>
        <v>100</v>
      </c>
      <c r="H1319" s="1463"/>
      <c r="J1319" s="995"/>
      <c r="K1319" s="995"/>
    </row>
    <row r="1320" spans="1:11" s="27" customFormat="1" ht="16.5" hidden="1" customHeight="1" x14ac:dyDescent="0.25">
      <c r="A1320" s="6"/>
      <c r="B1320" s="441"/>
      <c r="C1320" s="2524" t="s">
        <v>953</v>
      </c>
      <c r="D1320" s="4301">
        <f>D1319</f>
        <v>722000000</v>
      </c>
      <c r="E1320" s="3622">
        <v>716160000</v>
      </c>
      <c r="F1320" s="4008">
        <f>E1320/D1320*100</f>
        <v>99.19113573407202</v>
      </c>
      <c r="G1320" s="2985">
        <v>100</v>
      </c>
      <c r="H1320" s="1463"/>
      <c r="J1320" s="995"/>
      <c r="K1320" s="995"/>
    </row>
    <row r="1321" spans="1:11" ht="12" hidden="1" customHeight="1" x14ac:dyDescent="0.25">
      <c r="B1321" s="441"/>
      <c r="C1321" s="2476"/>
      <c r="D1321" s="4071"/>
      <c r="E1321" s="2999"/>
      <c r="F1321" s="2778"/>
      <c r="G1321" s="2985"/>
      <c r="H1321" s="1463"/>
    </row>
    <row r="1322" spans="1:11" ht="18" customHeight="1" x14ac:dyDescent="0.25">
      <c r="B1322" s="440"/>
      <c r="C1322" s="2532" t="s">
        <v>3428</v>
      </c>
      <c r="D1322" s="4106">
        <f>D1323+D1327+D1330</f>
        <v>1561594103</v>
      </c>
      <c r="E1322" s="3626">
        <f>E1323+E1327+E1330</f>
        <v>1552590902</v>
      </c>
      <c r="F1322" s="2672">
        <f>E1322/D1322*100</f>
        <v>99.423460873558383</v>
      </c>
      <c r="G1322" s="2996">
        <f>SUM(G1323+G1327+G1330)/3</f>
        <v>100</v>
      </c>
      <c r="H1322" s="1463"/>
    </row>
    <row r="1323" spans="1:11" s="27" customFormat="1" ht="18" customHeight="1" x14ac:dyDescent="0.25">
      <c r="A1323" s="6"/>
      <c r="B1323" s="441"/>
      <c r="C1323" s="2521" t="s">
        <v>954</v>
      </c>
      <c r="D1323" s="4305">
        <f>SUM(D1324:D1325)</f>
        <v>1136744203</v>
      </c>
      <c r="E1323" s="3627">
        <f>E1324+E1325</f>
        <v>1134576002</v>
      </c>
      <c r="F1323" s="4005">
        <f>E1323/D1323*100</f>
        <v>99.80926218983322</v>
      </c>
      <c r="G1323" s="2997">
        <f>SUM(G1324:G1325)/2</f>
        <v>100</v>
      </c>
      <c r="H1323" s="1463"/>
      <c r="J1323" s="995"/>
      <c r="K1323" s="995"/>
    </row>
    <row r="1324" spans="1:11" s="27" customFormat="1" ht="18.75" hidden="1" customHeight="1" x14ac:dyDescent="0.25">
      <c r="A1324" s="6"/>
      <c r="B1324" s="441"/>
      <c r="C1324" s="2524" t="s">
        <v>955</v>
      </c>
      <c r="D1324" s="4066">
        <v>672713203</v>
      </c>
      <c r="E1324" s="2968">
        <v>671346002</v>
      </c>
      <c r="F1324" s="4010">
        <f>E1324/D1324*100</f>
        <v>99.796763168330443</v>
      </c>
      <c r="G1324" s="2968">
        <v>100</v>
      </c>
      <c r="H1324" s="1463"/>
      <c r="J1324" s="995"/>
      <c r="K1324" s="995"/>
    </row>
    <row r="1325" spans="1:11" s="27" customFormat="1" ht="21.75" hidden="1" customHeight="1" x14ac:dyDescent="0.25">
      <c r="A1325" s="6"/>
      <c r="B1325" s="441"/>
      <c r="C1325" s="2533" t="s">
        <v>956</v>
      </c>
      <c r="D1325" s="4071">
        <v>464031000</v>
      </c>
      <c r="E1325" s="3625">
        <v>463230000</v>
      </c>
      <c r="F1325" s="4010">
        <f>E1325/D1325*100</f>
        <v>99.82738222230843</v>
      </c>
      <c r="G1325" s="2999">
        <v>100</v>
      </c>
      <c r="H1325" s="3711"/>
      <c r="J1325" s="995"/>
      <c r="K1325" s="995"/>
    </row>
    <row r="1326" spans="1:11" s="27" customFormat="1" ht="11.25" hidden="1" customHeight="1" x14ac:dyDescent="0.25">
      <c r="A1326" s="6"/>
      <c r="B1326" s="449"/>
      <c r="C1326" s="2524"/>
      <c r="D1326" s="4066"/>
      <c r="E1326" s="3628"/>
      <c r="F1326" s="2690"/>
      <c r="G1326" s="2968"/>
      <c r="H1326" s="1463"/>
      <c r="J1326" s="995"/>
      <c r="K1326" s="995"/>
    </row>
    <row r="1327" spans="1:11" s="25" customFormat="1" ht="19.5" customHeight="1" x14ac:dyDescent="0.25">
      <c r="A1327" s="4"/>
      <c r="B1327" s="441"/>
      <c r="C1327" s="2521" t="s">
        <v>957</v>
      </c>
      <c r="D1327" s="4072">
        <f>D1328</f>
        <v>232167500</v>
      </c>
      <c r="E1327" s="3627">
        <f>E1328</f>
        <v>225332500</v>
      </c>
      <c r="F1327" s="4011">
        <f>E1327/D1327*100</f>
        <v>97.056004824103297</v>
      </c>
      <c r="G1327" s="2997">
        <f>G1328</f>
        <v>100</v>
      </c>
      <c r="H1327" s="3718"/>
      <c r="J1327" s="1207"/>
      <c r="K1327" s="1207"/>
    </row>
    <row r="1328" spans="1:11" s="27" customFormat="1" ht="15.75" hidden="1" customHeight="1" x14ac:dyDescent="0.25">
      <c r="A1328" s="6"/>
      <c r="B1328" s="441"/>
      <c r="C1328" s="2533" t="s">
        <v>958</v>
      </c>
      <c r="D1328" s="3622">
        <v>232167500</v>
      </c>
      <c r="E1328" s="3622">
        <v>225332500</v>
      </c>
      <c r="F1328" s="4008">
        <f>E1328/D1328*100</f>
        <v>97.056004824103297</v>
      </c>
      <c r="G1328" s="2968">
        <v>100</v>
      </c>
      <c r="H1328" s="1463"/>
      <c r="J1328" s="995"/>
      <c r="K1328" s="995"/>
    </row>
    <row r="1329" spans="1:11" s="27" customFormat="1" ht="9" hidden="1" customHeight="1" x14ac:dyDescent="0.25">
      <c r="A1329" s="6"/>
      <c r="B1329" s="441"/>
      <c r="C1329" s="2533"/>
      <c r="D1329" s="4066"/>
      <c r="E1329" s="3630"/>
      <c r="F1329" s="2710"/>
      <c r="G1329" s="2968"/>
      <c r="H1329" s="1463"/>
      <c r="J1329" s="995"/>
      <c r="K1329" s="995"/>
    </row>
    <row r="1330" spans="1:11" s="25" customFormat="1" ht="16.5" customHeight="1" x14ac:dyDescent="0.25">
      <c r="A1330" s="4"/>
      <c r="B1330" s="441"/>
      <c r="C1330" s="2534" t="s">
        <v>959</v>
      </c>
      <c r="D1330" s="4065">
        <f>D1331</f>
        <v>192682400</v>
      </c>
      <c r="E1330" s="3628">
        <f>E1331</f>
        <v>192682400</v>
      </c>
      <c r="F1330" s="4005">
        <f>E1330/D1330*100</f>
        <v>100</v>
      </c>
      <c r="G1330" s="2966">
        <f>G1331</f>
        <v>100</v>
      </c>
      <c r="H1330" s="1462"/>
      <c r="J1330" s="1207"/>
      <c r="K1330" s="1207"/>
    </row>
    <row r="1331" spans="1:11" s="27" customFormat="1" ht="16.5" hidden="1" customHeight="1" x14ac:dyDescent="0.25">
      <c r="A1331" s="6"/>
      <c r="B1331" s="441"/>
      <c r="C1331" s="2533" t="s">
        <v>960</v>
      </c>
      <c r="D1331" s="3622">
        <v>192682400</v>
      </c>
      <c r="E1331" s="3622">
        <v>192682400</v>
      </c>
      <c r="F1331" s="4008">
        <f>E1331/D1331*100</f>
        <v>100</v>
      </c>
      <c r="G1331" s="3022">
        <v>100</v>
      </c>
      <c r="H1331" s="1463"/>
      <c r="J1331" s="995"/>
      <c r="K1331" s="995"/>
    </row>
    <row r="1332" spans="1:11" ht="9" hidden="1" customHeight="1" x14ac:dyDescent="0.25">
      <c r="B1332" s="441"/>
      <c r="C1332" s="2476"/>
      <c r="D1332" s="4301"/>
      <c r="E1332" s="3022"/>
      <c r="F1332" s="2710"/>
      <c r="G1332" s="2710"/>
      <c r="H1332" s="1463"/>
    </row>
    <row r="1333" spans="1:11" s="27" customFormat="1" ht="17.25" customHeight="1" x14ac:dyDescent="0.25">
      <c r="A1333" s="6"/>
      <c r="B1333" s="440"/>
      <c r="C1333" s="2532" t="s">
        <v>961</v>
      </c>
      <c r="D1333" s="4106">
        <f>D1334</f>
        <v>100000000</v>
      </c>
      <c r="E1333" s="2672">
        <f>E1334</f>
        <v>100000000</v>
      </c>
      <c r="F1333" s="2672">
        <f>E1333/D1333*100</f>
        <v>100</v>
      </c>
      <c r="G1333" s="2996">
        <f>G1334</f>
        <v>100</v>
      </c>
      <c r="H1333" s="1463"/>
      <c r="J1333" s="995"/>
      <c r="K1333" s="995"/>
    </row>
    <row r="1334" spans="1:11" s="27" customFormat="1" ht="20.25" customHeight="1" x14ac:dyDescent="0.25">
      <c r="A1334" s="6"/>
      <c r="B1334" s="441"/>
      <c r="C1334" s="2521" t="s">
        <v>962</v>
      </c>
      <c r="D1334" s="4305">
        <f>D1335</f>
        <v>100000000</v>
      </c>
      <c r="E1334" s="2785">
        <f>E1335</f>
        <v>100000000</v>
      </c>
      <c r="F1334" s="4005">
        <f>E1334/D1334*100</f>
        <v>100</v>
      </c>
      <c r="G1334" s="2997">
        <f>G1335</f>
        <v>100</v>
      </c>
      <c r="H1334" s="1463"/>
      <c r="J1334" s="995"/>
      <c r="K1334" s="995"/>
    </row>
    <row r="1335" spans="1:11" s="27" customFormat="1" ht="17.25" hidden="1" customHeight="1" x14ac:dyDescent="0.25">
      <c r="A1335" s="6"/>
      <c r="B1335" s="441"/>
      <c r="C1335" s="2524" t="s">
        <v>963</v>
      </c>
      <c r="D1335" s="4066">
        <v>100000000</v>
      </c>
      <c r="E1335" s="2968">
        <v>100000000</v>
      </c>
      <c r="F1335" s="4008">
        <f>E1335/D1335*100</f>
        <v>100</v>
      </c>
      <c r="G1335" s="3014">
        <v>100</v>
      </c>
      <c r="H1335" s="1463"/>
      <c r="J1335" s="995"/>
      <c r="K1335" s="995"/>
    </row>
    <row r="1336" spans="1:11" s="27" customFormat="1" ht="12" hidden="1" customHeight="1" x14ac:dyDescent="0.25">
      <c r="A1336" s="6"/>
      <c r="B1336" s="441"/>
      <c r="C1336" s="2535"/>
      <c r="D1336" s="4285"/>
      <c r="E1336" s="3021"/>
      <c r="F1336" s="3021"/>
      <c r="G1336" s="3021"/>
      <c r="H1336" s="1463"/>
      <c r="J1336" s="995"/>
      <c r="K1336" s="995"/>
    </row>
    <row r="1337" spans="1:11" s="25" customFormat="1" ht="16.5" customHeight="1" x14ac:dyDescent="0.25">
      <c r="A1337" s="4"/>
      <c r="B1337" s="440"/>
      <c r="C1337" s="2532" t="s">
        <v>964</v>
      </c>
      <c r="D1337" s="4106">
        <f>D1338</f>
        <v>100000000</v>
      </c>
      <c r="E1337" s="2996">
        <f>E1338</f>
        <v>100000000</v>
      </c>
      <c r="F1337" s="2672">
        <f>E1337/D1337*100</f>
        <v>100</v>
      </c>
      <c r="G1337" s="2996">
        <f>G1338</f>
        <v>100</v>
      </c>
      <c r="H1337" s="1462"/>
      <c r="J1337" s="1207"/>
      <c r="K1337" s="1207"/>
    </row>
    <row r="1338" spans="1:11" s="25" customFormat="1" ht="22.5" customHeight="1" x14ac:dyDescent="0.25">
      <c r="A1338" s="4"/>
      <c r="B1338" s="441"/>
      <c r="C1338" s="2521" t="s">
        <v>965</v>
      </c>
      <c r="D1338" s="4305">
        <f>D1339</f>
        <v>100000000</v>
      </c>
      <c r="E1338" s="2997">
        <f>E1339</f>
        <v>100000000</v>
      </c>
      <c r="F1338" s="4005">
        <f>E1338/D1338*100</f>
        <v>100</v>
      </c>
      <c r="G1338" s="2997">
        <f>G1339</f>
        <v>100</v>
      </c>
      <c r="H1338" s="1462"/>
      <c r="J1338" s="1207"/>
      <c r="K1338" s="1207"/>
    </row>
    <row r="1339" spans="1:11" s="31" customFormat="1" ht="15.75" hidden="1" customHeight="1" x14ac:dyDescent="0.25">
      <c r="A1339" s="5"/>
      <c r="B1339" s="448"/>
      <c r="C1339" s="2524" t="s">
        <v>966</v>
      </c>
      <c r="D1339" s="4066">
        <v>100000000</v>
      </c>
      <c r="E1339" s="3014">
        <v>100000000</v>
      </c>
      <c r="F1339" s="4008">
        <f>E1339/D1339*100</f>
        <v>100</v>
      </c>
      <c r="G1339" s="3014">
        <v>100</v>
      </c>
      <c r="H1339" s="3715"/>
      <c r="J1339" s="1211"/>
      <c r="K1339" s="1211"/>
    </row>
    <row r="1340" spans="1:11" s="27" customFormat="1" ht="12" hidden="1" customHeight="1" x14ac:dyDescent="0.25">
      <c r="A1340" s="6"/>
      <c r="B1340" s="441"/>
      <c r="C1340" s="2528"/>
      <c r="D1340" s="4299"/>
      <c r="E1340" s="3021"/>
      <c r="F1340" s="3021"/>
      <c r="G1340" s="3021"/>
      <c r="H1340" s="1463"/>
      <c r="J1340" s="995"/>
      <c r="K1340" s="995"/>
    </row>
    <row r="1341" spans="1:11" s="25" customFormat="1" ht="15.75" customHeight="1" x14ac:dyDescent="0.25">
      <c r="A1341" s="4"/>
      <c r="B1341" s="440"/>
      <c r="C1341" s="2532" t="s">
        <v>967</v>
      </c>
      <c r="D1341" s="4106">
        <f>D1342</f>
        <v>100000000</v>
      </c>
      <c r="E1341" s="2672">
        <f>E1342</f>
        <v>99825000</v>
      </c>
      <c r="F1341" s="2672">
        <f>E1341/D1341*100</f>
        <v>99.825000000000003</v>
      </c>
      <c r="G1341" s="2996">
        <f>G1342</f>
        <v>100</v>
      </c>
      <c r="H1341" s="1462"/>
      <c r="J1341" s="1207"/>
      <c r="K1341" s="1207"/>
    </row>
    <row r="1342" spans="1:11" s="25" customFormat="1" ht="16.5" customHeight="1" x14ac:dyDescent="0.25">
      <c r="A1342" s="4"/>
      <c r="B1342" s="441"/>
      <c r="C1342" s="2521" t="s">
        <v>968</v>
      </c>
      <c r="D1342" s="4305">
        <f>D1343</f>
        <v>100000000</v>
      </c>
      <c r="E1342" s="2785">
        <f>E1343</f>
        <v>99825000</v>
      </c>
      <c r="F1342" s="4005">
        <f>E1342/D1342*100</f>
        <v>99.825000000000003</v>
      </c>
      <c r="G1342" s="2997">
        <f>G1343</f>
        <v>100</v>
      </c>
      <c r="H1342" s="1462"/>
      <c r="J1342" s="1207"/>
      <c r="K1342" s="1207"/>
    </row>
    <row r="1343" spans="1:11" s="31" customFormat="1" ht="17.25" hidden="1" customHeight="1" x14ac:dyDescent="0.25">
      <c r="A1343" s="5"/>
      <c r="B1343" s="448"/>
      <c r="C1343" s="2524" t="s">
        <v>969</v>
      </c>
      <c r="D1343" s="4066">
        <v>100000000</v>
      </c>
      <c r="E1343" s="2968">
        <v>99825000</v>
      </c>
      <c r="F1343" s="4008">
        <f>E1343/D1343*100</f>
        <v>99.825000000000003</v>
      </c>
      <c r="G1343" s="3014">
        <v>100</v>
      </c>
      <c r="H1343" s="3715"/>
      <c r="J1343" s="1211"/>
      <c r="K1343" s="1211"/>
    </row>
    <row r="1344" spans="1:11" s="27" customFormat="1" ht="12" hidden="1" customHeight="1" x14ac:dyDescent="0.25">
      <c r="A1344" s="6"/>
      <c r="B1344" s="441"/>
      <c r="C1344" s="2528"/>
      <c r="D1344" s="4299"/>
      <c r="E1344" s="3120"/>
      <c r="F1344" s="3120"/>
      <c r="G1344" s="3120"/>
      <c r="H1344" s="1463"/>
      <c r="J1344" s="995"/>
      <c r="K1344" s="995"/>
    </row>
    <row r="1345" spans="1:11" s="25" customFormat="1" ht="16.5" customHeight="1" x14ac:dyDescent="0.25">
      <c r="A1345" s="4"/>
      <c r="B1345" s="440"/>
      <c r="C1345" s="2532" t="s">
        <v>970</v>
      </c>
      <c r="D1345" s="4106">
        <f>D1346</f>
        <v>100000000</v>
      </c>
      <c r="E1345" s="2672">
        <f>E1346</f>
        <v>100000000</v>
      </c>
      <c r="F1345" s="2672">
        <f>E1345/D1345*100</f>
        <v>100</v>
      </c>
      <c r="G1345" s="2996">
        <f>G1346</f>
        <v>100</v>
      </c>
      <c r="H1345" s="1462"/>
      <c r="J1345" s="1207"/>
      <c r="K1345" s="1207"/>
    </row>
    <row r="1346" spans="1:11" s="25" customFormat="1" ht="21" customHeight="1" x14ac:dyDescent="0.25">
      <c r="A1346" s="4"/>
      <c r="B1346" s="441"/>
      <c r="C1346" s="2521" t="s">
        <v>971</v>
      </c>
      <c r="D1346" s="4305">
        <f>D1347</f>
        <v>100000000</v>
      </c>
      <c r="E1346" s="2997">
        <f>E1347</f>
        <v>100000000</v>
      </c>
      <c r="F1346" s="4005">
        <f>E1346/D1346*100</f>
        <v>100</v>
      </c>
      <c r="G1346" s="2997">
        <f>G1347</f>
        <v>100</v>
      </c>
      <c r="H1346" s="1462"/>
      <c r="J1346" s="1207"/>
      <c r="K1346" s="1207"/>
    </row>
    <row r="1347" spans="1:11" s="31" customFormat="1" ht="16.5" hidden="1" customHeight="1" x14ac:dyDescent="0.25">
      <c r="A1347" s="5"/>
      <c r="B1347" s="448"/>
      <c r="C1347" s="2524" t="s">
        <v>972</v>
      </c>
      <c r="D1347" s="4066">
        <v>100000000</v>
      </c>
      <c r="E1347" s="2968">
        <v>100000000</v>
      </c>
      <c r="F1347" s="4008">
        <f>E1347/D1347*100</f>
        <v>100</v>
      </c>
      <c r="G1347" s="2968">
        <v>100</v>
      </c>
      <c r="H1347" s="3715"/>
      <c r="J1347" s="1211"/>
      <c r="K1347" s="1211"/>
    </row>
    <row r="1348" spans="1:11" s="27" customFormat="1" ht="12.75" hidden="1" customHeight="1" x14ac:dyDescent="0.25">
      <c r="A1348" s="6"/>
      <c r="B1348" s="441"/>
      <c r="C1348" s="2528"/>
      <c r="D1348" s="4299"/>
      <c r="E1348" s="3021"/>
      <c r="F1348" s="3021"/>
      <c r="G1348" s="3021"/>
      <c r="H1348" s="1463"/>
      <c r="J1348" s="995"/>
      <c r="K1348" s="995"/>
    </row>
    <row r="1349" spans="1:11" s="25" customFormat="1" ht="15.75" customHeight="1" x14ac:dyDescent="0.25">
      <c r="A1349" s="4"/>
      <c r="B1349" s="440"/>
      <c r="C1349" s="2532" t="s">
        <v>973</v>
      </c>
      <c r="D1349" s="4106">
        <f>D1350</f>
        <v>100000000</v>
      </c>
      <c r="E1349" s="2996">
        <f>E1350</f>
        <v>86800000</v>
      </c>
      <c r="F1349" s="2672">
        <f>E1349/D1349*100</f>
        <v>86.8</v>
      </c>
      <c r="G1349" s="2996">
        <f>G1350</f>
        <v>100</v>
      </c>
      <c r="H1349" s="1462"/>
      <c r="J1349" s="1207"/>
      <c r="K1349" s="1207"/>
    </row>
    <row r="1350" spans="1:11" s="25" customFormat="1" ht="15.75" customHeight="1" x14ac:dyDescent="0.25">
      <c r="A1350" s="4"/>
      <c r="B1350" s="441"/>
      <c r="C1350" s="2521" t="s">
        <v>974</v>
      </c>
      <c r="D1350" s="4305">
        <f>D1351</f>
        <v>100000000</v>
      </c>
      <c r="E1350" s="2997">
        <f>E1351</f>
        <v>86800000</v>
      </c>
      <c r="F1350" s="4005">
        <f>E1350/D1350*100</f>
        <v>86.8</v>
      </c>
      <c r="G1350" s="2997">
        <f>G1351</f>
        <v>100</v>
      </c>
      <c r="H1350" s="1462"/>
      <c r="J1350" s="1207"/>
      <c r="K1350" s="1207"/>
    </row>
    <row r="1351" spans="1:11" s="31" customFormat="1" ht="16.5" hidden="1" customHeight="1" x14ac:dyDescent="0.25">
      <c r="A1351" s="5"/>
      <c r="B1351" s="448"/>
      <c r="C1351" s="2524" t="s">
        <v>975</v>
      </c>
      <c r="D1351" s="4066">
        <v>100000000</v>
      </c>
      <c r="E1351" s="3014">
        <v>86800000</v>
      </c>
      <c r="F1351" s="4008">
        <f>E1351/D1351*100</f>
        <v>86.8</v>
      </c>
      <c r="G1351" s="3014">
        <v>100</v>
      </c>
      <c r="H1351" s="3715"/>
      <c r="J1351" s="1211"/>
      <c r="K1351" s="1211"/>
    </row>
    <row r="1352" spans="1:11" s="27" customFormat="1" ht="12" hidden="1" customHeight="1" x14ac:dyDescent="0.25">
      <c r="A1352" s="6"/>
      <c r="B1352" s="441"/>
      <c r="C1352" s="2528"/>
      <c r="D1352" s="4299"/>
      <c r="E1352" s="3021"/>
      <c r="F1352" s="3021"/>
      <c r="G1352" s="3021"/>
      <c r="H1352" s="1463"/>
      <c r="J1352" s="995"/>
      <c r="K1352" s="995"/>
    </row>
    <row r="1353" spans="1:11" s="25" customFormat="1" ht="18" customHeight="1" x14ac:dyDescent="0.25">
      <c r="A1353" s="4"/>
      <c r="B1353" s="440"/>
      <c r="C1353" s="2532" t="s">
        <v>976</v>
      </c>
      <c r="D1353" s="4106">
        <f>D1354</f>
        <v>100000000</v>
      </c>
      <c r="E1353" s="2672">
        <f>E1354</f>
        <v>94200000</v>
      </c>
      <c r="F1353" s="2672">
        <f>E1353/D1353*100</f>
        <v>94.199999999999989</v>
      </c>
      <c r="G1353" s="2996">
        <f>G1354</f>
        <v>100</v>
      </c>
      <c r="H1353" s="1462"/>
      <c r="J1353" s="1207"/>
      <c r="K1353" s="1207"/>
    </row>
    <row r="1354" spans="1:11" s="25" customFormat="1" ht="18" customHeight="1" x14ac:dyDescent="0.25">
      <c r="A1354" s="4"/>
      <c r="B1354" s="441"/>
      <c r="C1354" s="2521" t="s">
        <v>977</v>
      </c>
      <c r="D1354" s="4305">
        <f>D1355</f>
        <v>100000000</v>
      </c>
      <c r="E1354" s="2785">
        <f>E1355</f>
        <v>94200000</v>
      </c>
      <c r="F1354" s="4005">
        <f>E1354/D1354*100</f>
        <v>94.199999999999989</v>
      </c>
      <c r="G1354" s="2997">
        <f>G1355</f>
        <v>100</v>
      </c>
      <c r="H1354" s="1462"/>
      <c r="J1354" s="1207"/>
      <c r="K1354" s="1207"/>
    </row>
    <row r="1355" spans="1:11" s="31" customFormat="1" ht="16.5" hidden="1" customHeight="1" x14ac:dyDescent="0.25">
      <c r="A1355" s="5"/>
      <c r="B1355" s="448"/>
      <c r="C1355" s="2524" t="s">
        <v>978</v>
      </c>
      <c r="D1355" s="4066">
        <v>100000000</v>
      </c>
      <c r="E1355" s="3014">
        <v>94200000</v>
      </c>
      <c r="F1355" s="4008">
        <f>E1355/D1355*100</f>
        <v>94.199999999999989</v>
      </c>
      <c r="G1355" s="3014">
        <v>100</v>
      </c>
      <c r="H1355" s="3715"/>
      <c r="J1355" s="1211"/>
      <c r="K1355" s="1211"/>
    </row>
    <row r="1356" spans="1:11" s="27" customFormat="1" ht="12" hidden="1" customHeight="1" x14ac:dyDescent="0.25">
      <c r="A1356" s="6"/>
      <c r="B1356" s="441"/>
      <c r="C1356" s="2528"/>
      <c r="D1356" s="4299"/>
      <c r="E1356" s="3021"/>
      <c r="F1356" s="3021"/>
      <c r="G1356" s="3021"/>
      <c r="H1356" s="1463"/>
      <c r="J1356" s="995"/>
      <c r="K1356" s="995"/>
    </row>
    <row r="1357" spans="1:11" s="25" customFormat="1" ht="16.5" customHeight="1" x14ac:dyDescent="0.25">
      <c r="A1357" s="4"/>
      <c r="B1357" s="440"/>
      <c r="C1357" s="2532" t="s">
        <v>979</v>
      </c>
      <c r="D1357" s="4106">
        <f>D1358</f>
        <v>100000000</v>
      </c>
      <c r="E1357" s="2672">
        <f>E1358</f>
        <v>100000000</v>
      </c>
      <c r="F1357" s="2672">
        <f>E1357/D1357*100</f>
        <v>100</v>
      </c>
      <c r="G1357" s="2996">
        <f>G1358</f>
        <v>100</v>
      </c>
      <c r="H1357" s="1462"/>
      <c r="J1357" s="1207"/>
      <c r="K1357" s="1207"/>
    </row>
    <row r="1358" spans="1:11" s="25" customFormat="1" ht="15.75" customHeight="1" x14ac:dyDescent="0.25">
      <c r="A1358" s="4"/>
      <c r="B1358" s="441"/>
      <c r="C1358" s="2521" t="s">
        <v>980</v>
      </c>
      <c r="D1358" s="4305">
        <f>D1359</f>
        <v>100000000</v>
      </c>
      <c r="E1358" s="2785">
        <f>E1359</f>
        <v>100000000</v>
      </c>
      <c r="F1358" s="4005">
        <f>E1358/D1358*100</f>
        <v>100</v>
      </c>
      <c r="G1358" s="2997">
        <f>G1359</f>
        <v>100</v>
      </c>
      <c r="H1358" s="1462"/>
      <c r="J1358" s="1207"/>
      <c r="K1358" s="1207"/>
    </row>
    <row r="1359" spans="1:11" s="31" customFormat="1" ht="15.75" hidden="1" customHeight="1" x14ac:dyDescent="0.25">
      <c r="A1359" s="5"/>
      <c r="B1359" s="448"/>
      <c r="C1359" s="2524" t="s">
        <v>981</v>
      </c>
      <c r="D1359" s="4066">
        <v>100000000</v>
      </c>
      <c r="E1359" s="2968">
        <v>100000000</v>
      </c>
      <c r="F1359" s="4008">
        <f>E1359/D1359*100</f>
        <v>100</v>
      </c>
      <c r="G1359" s="2968">
        <v>100</v>
      </c>
      <c r="H1359" s="3715"/>
      <c r="J1359" s="1211"/>
      <c r="K1359" s="1211"/>
    </row>
    <row r="1360" spans="1:11" s="27" customFormat="1" ht="12" hidden="1" customHeight="1" x14ac:dyDescent="0.25">
      <c r="A1360" s="6"/>
      <c r="B1360" s="441"/>
      <c r="C1360" s="2528"/>
      <c r="D1360" s="4299"/>
      <c r="E1360" s="3021"/>
      <c r="F1360" s="3021"/>
      <c r="G1360" s="3021"/>
      <c r="H1360" s="1463"/>
      <c r="J1360" s="995"/>
      <c r="K1360" s="995"/>
    </row>
    <row r="1361" spans="1:11" s="25" customFormat="1" ht="16.5" customHeight="1" x14ac:dyDescent="0.25">
      <c r="A1361" s="4"/>
      <c r="B1361" s="440"/>
      <c r="C1361" s="2532" t="s">
        <v>982</v>
      </c>
      <c r="D1361" s="4106">
        <f>D1362</f>
        <v>100000000</v>
      </c>
      <c r="E1361" s="2672">
        <f>E1362</f>
        <v>100000000</v>
      </c>
      <c r="F1361" s="2996">
        <f>E1361/D1361*100</f>
        <v>100</v>
      </c>
      <c r="G1361" s="2996">
        <f>G1362</f>
        <v>100</v>
      </c>
      <c r="H1361" s="1462"/>
      <c r="J1361" s="1207"/>
      <c r="K1361" s="1207"/>
    </row>
    <row r="1362" spans="1:11" s="25" customFormat="1" ht="15.75" customHeight="1" x14ac:dyDescent="0.25">
      <c r="A1362" s="4"/>
      <c r="B1362" s="441"/>
      <c r="C1362" s="2521" t="s">
        <v>983</v>
      </c>
      <c r="D1362" s="4305">
        <f>D1363</f>
        <v>100000000</v>
      </c>
      <c r="E1362" s="2785">
        <f>E1363</f>
        <v>100000000</v>
      </c>
      <c r="F1362" s="2997">
        <f>E1362/D1362*100</f>
        <v>100</v>
      </c>
      <c r="G1362" s="2997">
        <f>G1363</f>
        <v>100</v>
      </c>
      <c r="H1362" s="1462"/>
      <c r="J1362" s="1207"/>
      <c r="K1362" s="1207"/>
    </row>
    <row r="1363" spans="1:11" s="31" customFormat="1" ht="16.5" hidden="1" customHeight="1" x14ac:dyDescent="0.25">
      <c r="A1363" s="5"/>
      <c r="B1363" s="448"/>
      <c r="C1363" s="2524" t="s">
        <v>984</v>
      </c>
      <c r="D1363" s="4066">
        <v>100000000</v>
      </c>
      <c r="E1363" s="2968">
        <v>100000000</v>
      </c>
      <c r="F1363" s="3014">
        <f>E1363/D1363*100</f>
        <v>100</v>
      </c>
      <c r="G1363" s="3014">
        <v>100</v>
      </c>
      <c r="H1363" s="3715"/>
      <c r="J1363" s="1211"/>
      <c r="K1363" s="1211"/>
    </row>
    <row r="1364" spans="1:11" s="27" customFormat="1" ht="12" hidden="1" customHeight="1" x14ac:dyDescent="0.25">
      <c r="A1364" s="6"/>
      <c r="B1364" s="441"/>
      <c r="C1364" s="2528"/>
      <c r="D1364" s="4299"/>
      <c r="E1364" s="3021"/>
      <c r="F1364" s="3021"/>
      <c r="G1364" s="3021"/>
      <c r="H1364" s="1463"/>
      <c r="J1364" s="995"/>
      <c r="K1364" s="995"/>
    </row>
    <row r="1365" spans="1:11" s="27" customFormat="1" ht="18.75" customHeight="1" x14ac:dyDescent="0.25">
      <c r="A1365" s="6"/>
      <c r="B1365" s="440"/>
      <c r="C1365" s="2532" t="s">
        <v>985</v>
      </c>
      <c r="D1365" s="4106">
        <f>D1366</f>
        <v>100000000</v>
      </c>
      <c r="E1365" s="2672">
        <f>E1366</f>
        <v>100000000</v>
      </c>
      <c r="F1365" s="2996">
        <f>E1365/D1365*100</f>
        <v>100</v>
      </c>
      <c r="G1365" s="2996">
        <f>G1366</f>
        <v>100</v>
      </c>
      <c r="H1365" s="1463"/>
      <c r="J1365" s="995"/>
      <c r="K1365" s="995"/>
    </row>
    <row r="1366" spans="1:11" s="25" customFormat="1" ht="21" customHeight="1" x14ac:dyDescent="0.25">
      <c r="A1366" s="4"/>
      <c r="B1366" s="441"/>
      <c r="C1366" s="2538" t="s">
        <v>986</v>
      </c>
      <c r="D1366" s="4072">
        <f>D1367</f>
        <v>100000000</v>
      </c>
      <c r="E1366" s="2734">
        <f>E1367</f>
        <v>100000000</v>
      </c>
      <c r="F1366" s="2997">
        <f>E1366/D1366*100</f>
        <v>100</v>
      </c>
      <c r="G1366" s="3070">
        <f>G1367</f>
        <v>100</v>
      </c>
      <c r="H1366" s="1462"/>
      <c r="J1366" s="1207"/>
      <c r="K1366" s="1207"/>
    </row>
    <row r="1367" spans="1:11" s="31" customFormat="1" ht="15" hidden="1" customHeight="1" x14ac:dyDescent="0.25">
      <c r="A1367" s="5"/>
      <c r="B1367" s="448"/>
      <c r="C1367" s="2524" t="s">
        <v>987</v>
      </c>
      <c r="D1367" s="4066">
        <v>100000000</v>
      </c>
      <c r="E1367" s="2968">
        <v>100000000</v>
      </c>
      <c r="F1367" s="3014">
        <f>E1367/D1367*100</f>
        <v>100</v>
      </c>
      <c r="G1367" s="2690">
        <v>100</v>
      </c>
      <c r="H1367" s="3715"/>
      <c r="J1367" s="1211"/>
      <c r="K1367" s="1211"/>
    </row>
    <row r="1368" spans="1:11" s="31" customFormat="1" ht="11.25" hidden="1" customHeight="1" x14ac:dyDescent="0.25">
      <c r="A1368" s="5"/>
      <c r="B1368" s="564"/>
      <c r="C1368" s="2529"/>
      <c r="D1368" s="4154"/>
      <c r="E1368" s="3014"/>
      <c r="F1368" s="2760"/>
      <c r="G1368" s="2760"/>
      <c r="H1368" s="3715"/>
      <c r="J1368" s="1211"/>
      <c r="K1368" s="1211"/>
    </row>
    <row r="1369" spans="1:11" s="25" customFormat="1" ht="19.5" customHeight="1" x14ac:dyDescent="0.25">
      <c r="A1369" s="4"/>
      <c r="B1369" s="459"/>
      <c r="C1369" s="3635" t="s">
        <v>988</v>
      </c>
      <c r="D1369" s="4313">
        <f>D1370</f>
        <v>100000000</v>
      </c>
      <c r="E1369" s="2962">
        <f>E1370</f>
        <v>99830000</v>
      </c>
      <c r="F1369" s="2953">
        <f>E1369/D1369*100</f>
        <v>99.83</v>
      </c>
      <c r="G1369" s="2962">
        <f>G1370</f>
        <v>100</v>
      </c>
      <c r="H1369" s="3718"/>
      <c r="J1369" s="1207"/>
      <c r="K1369" s="1207"/>
    </row>
    <row r="1370" spans="1:11" s="25" customFormat="1" ht="18" customHeight="1" x14ac:dyDescent="0.25">
      <c r="A1370" s="4"/>
      <c r="B1370" s="441"/>
      <c r="C1370" s="2521" t="s">
        <v>989</v>
      </c>
      <c r="D1370" s="4305">
        <f>D1371</f>
        <v>100000000</v>
      </c>
      <c r="E1370" s="2785">
        <f>E1371</f>
        <v>99830000</v>
      </c>
      <c r="F1370" s="2997">
        <f>E1370/D1370*100</f>
        <v>99.83</v>
      </c>
      <c r="G1370" s="2734">
        <f>G1371</f>
        <v>100</v>
      </c>
      <c r="H1370" s="1462"/>
      <c r="J1370" s="1207"/>
      <c r="K1370" s="1207"/>
    </row>
    <row r="1371" spans="1:11" s="31" customFormat="1" ht="15" hidden="1" customHeight="1" x14ac:dyDescent="0.25">
      <c r="A1371" s="5"/>
      <c r="B1371" s="448"/>
      <c r="C1371" s="2524" t="s">
        <v>990</v>
      </c>
      <c r="D1371" s="4066">
        <v>100000000</v>
      </c>
      <c r="E1371" s="3014">
        <v>99830000</v>
      </c>
      <c r="F1371" s="3014">
        <f>E1371/D1371*100</f>
        <v>99.83</v>
      </c>
      <c r="G1371" s="2760">
        <v>100</v>
      </c>
      <c r="H1371" s="3715"/>
      <c r="J1371" s="1211"/>
      <c r="K1371" s="1211"/>
    </row>
    <row r="1372" spans="1:11" s="31" customFormat="1" ht="11.25" hidden="1" customHeight="1" x14ac:dyDescent="0.25">
      <c r="A1372" s="5"/>
      <c r="B1372" s="448"/>
      <c r="C1372" s="2526"/>
      <c r="D1372" s="4301"/>
      <c r="E1372" s="3022"/>
      <c r="F1372" s="2752"/>
      <c r="G1372" s="2752"/>
      <c r="H1372" s="3715"/>
      <c r="J1372" s="1211"/>
      <c r="K1372" s="1211"/>
    </row>
    <row r="1373" spans="1:11" s="25" customFormat="1" ht="21" customHeight="1" x14ac:dyDescent="0.25">
      <c r="A1373" s="4"/>
      <c r="B1373" s="440"/>
      <c r="C1373" s="2532" t="s">
        <v>991</v>
      </c>
      <c r="D1373" s="4106">
        <f>D1374</f>
        <v>100000000</v>
      </c>
      <c r="E1373" s="2672">
        <f>E1374</f>
        <v>100000000</v>
      </c>
      <c r="F1373" s="2996">
        <f>E1373/D1373*100</f>
        <v>100</v>
      </c>
      <c r="G1373" s="2996">
        <f>G1374</f>
        <v>100</v>
      </c>
      <c r="H1373" s="1462"/>
      <c r="J1373" s="1207"/>
      <c r="K1373" s="1207"/>
    </row>
    <row r="1374" spans="1:11" s="25" customFormat="1" ht="20.25" customHeight="1" x14ac:dyDescent="0.25">
      <c r="A1374" s="4"/>
      <c r="B1374" s="441"/>
      <c r="C1374" s="2521" t="s">
        <v>992</v>
      </c>
      <c r="D1374" s="4305">
        <f>D1375</f>
        <v>100000000</v>
      </c>
      <c r="E1374" s="2785">
        <f>E1375</f>
        <v>100000000</v>
      </c>
      <c r="F1374" s="2997">
        <f>E1374/D1374*100</f>
        <v>100</v>
      </c>
      <c r="G1374" s="2997">
        <f>G1375</f>
        <v>100</v>
      </c>
      <c r="H1374" s="1462"/>
      <c r="J1374" s="1207"/>
      <c r="K1374" s="1207"/>
    </row>
    <row r="1375" spans="1:11" s="31" customFormat="1" ht="15.75" hidden="1" customHeight="1" x14ac:dyDescent="0.25">
      <c r="A1375" s="5"/>
      <c r="B1375" s="448"/>
      <c r="C1375" s="2524" t="s">
        <v>993</v>
      </c>
      <c r="D1375" s="4066">
        <v>100000000</v>
      </c>
      <c r="E1375" s="2968">
        <v>100000000</v>
      </c>
      <c r="F1375" s="3014">
        <f>E1375/D1375*100</f>
        <v>100</v>
      </c>
      <c r="G1375" s="2968">
        <v>100</v>
      </c>
      <c r="H1375" s="3715"/>
      <c r="J1375" s="1211"/>
      <c r="K1375" s="1211"/>
    </row>
    <row r="1376" spans="1:11" s="31" customFormat="1" ht="12" hidden="1" customHeight="1" x14ac:dyDescent="0.25">
      <c r="A1376" s="5"/>
      <c r="B1376" s="448"/>
      <c r="C1376" s="2539"/>
      <c r="D1376" s="4301"/>
      <c r="E1376" s="3022"/>
      <c r="F1376" s="2752"/>
      <c r="G1376" s="2752"/>
      <c r="H1376" s="3715"/>
      <c r="J1376" s="1211"/>
      <c r="K1376" s="1211"/>
    </row>
    <row r="1377" spans="1:11" s="25" customFormat="1" ht="23.25" customHeight="1" x14ac:dyDescent="0.25">
      <c r="A1377" s="4"/>
      <c r="B1377" s="440"/>
      <c r="C1377" s="2532" t="s">
        <v>994</v>
      </c>
      <c r="D1377" s="4106">
        <f>D1378</f>
        <v>100000000</v>
      </c>
      <c r="E1377" s="2672">
        <f>E1378</f>
        <v>100000000</v>
      </c>
      <c r="F1377" s="2996">
        <f>E1377/D1377*100</f>
        <v>100</v>
      </c>
      <c r="G1377" s="2996">
        <f>G1378</f>
        <v>100</v>
      </c>
      <c r="H1377" s="1462"/>
      <c r="J1377" s="1207"/>
      <c r="K1377" s="1207"/>
    </row>
    <row r="1378" spans="1:11" s="25" customFormat="1" ht="18.75" customHeight="1" x14ac:dyDescent="0.25">
      <c r="A1378" s="4"/>
      <c r="B1378" s="441"/>
      <c r="C1378" s="2521" t="s">
        <v>995</v>
      </c>
      <c r="D1378" s="4305">
        <f>D1379</f>
        <v>100000000</v>
      </c>
      <c r="E1378" s="2785">
        <f>E1379</f>
        <v>100000000</v>
      </c>
      <c r="F1378" s="2997">
        <f>E1378/D1378*100</f>
        <v>100</v>
      </c>
      <c r="G1378" s="2997">
        <f>G1379</f>
        <v>100</v>
      </c>
      <c r="H1378" s="1462"/>
      <c r="J1378" s="1207"/>
      <c r="K1378" s="1207"/>
    </row>
    <row r="1379" spans="1:11" s="31" customFormat="1" ht="16.5" hidden="1" customHeight="1" x14ac:dyDescent="0.25">
      <c r="A1379" s="5"/>
      <c r="B1379" s="448"/>
      <c r="C1379" s="2524" t="s">
        <v>996</v>
      </c>
      <c r="D1379" s="4066">
        <v>100000000</v>
      </c>
      <c r="E1379" s="2968">
        <v>100000000</v>
      </c>
      <c r="F1379" s="3014">
        <f>E1379/D1379*100</f>
        <v>100</v>
      </c>
      <c r="G1379" s="2968">
        <v>100</v>
      </c>
      <c r="H1379" s="3715"/>
      <c r="J1379" s="1211"/>
      <c r="K1379" s="1211"/>
    </row>
    <row r="1380" spans="1:11" s="31" customFormat="1" ht="11.25" hidden="1" customHeight="1" x14ac:dyDescent="0.25">
      <c r="A1380" s="5"/>
      <c r="B1380" s="448"/>
      <c r="C1380" s="2526"/>
      <c r="D1380" s="4301"/>
      <c r="E1380" s="3022"/>
      <c r="F1380" s="2752"/>
      <c r="G1380" s="2752"/>
      <c r="H1380" s="3715"/>
      <c r="J1380" s="1211"/>
      <c r="K1380" s="1211"/>
    </row>
    <row r="1381" spans="1:11" s="25" customFormat="1" ht="20.25" customHeight="1" x14ac:dyDescent="0.25">
      <c r="A1381" s="4"/>
      <c r="B1381" s="440"/>
      <c r="C1381" s="2532" t="s">
        <v>997</v>
      </c>
      <c r="D1381" s="4106">
        <f>D1382</f>
        <v>100000000</v>
      </c>
      <c r="E1381" s="2672">
        <f>E1382</f>
        <v>100000000</v>
      </c>
      <c r="F1381" s="2996">
        <f>E1381/D1381*100</f>
        <v>100</v>
      </c>
      <c r="G1381" s="2672">
        <f>G1382</f>
        <v>100</v>
      </c>
      <c r="H1381" s="1462"/>
      <c r="J1381" s="1207"/>
      <c r="K1381" s="1207"/>
    </row>
    <row r="1382" spans="1:11" s="25" customFormat="1" ht="17.25" customHeight="1" x14ac:dyDescent="0.25">
      <c r="A1382" s="4"/>
      <c r="B1382" s="441"/>
      <c r="C1382" s="2521" t="s">
        <v>998</v>
      </c>
      <c r="D1382" s="4305">
        <f>D1383</f>
        <v>100000000</v>
      </c>
      <c r="E1382" s="2785">
        <f>E1383</f>
        <v>100000000</v>
      </c>
      <c r="F1382" s="2997">
        <f>E1382/D1382*100</f>
        <v>100</v>
      </c>
      <c r="G1382" s="2734">
        <f>G1383</f>
        <v>100</v>
      </c>
      <c r="H1382" s="1462"/>
      <c r="J1382" s="1207"/>
      <c r="K1382" s="1207"/>
    </row>
    <row r="1383" spans="1:11" s="31" customFormat="1" ht="15" hidden="1" customHeight="1" x14ac:dyDescent="0.25">
      <c r="A1383" s="5"/>
      <c r="B1383" s="448"/>
      <c r="C1383" s="2524" t="s">
        <v>999</v>
      </c>
      <c r="D1383" s="4066">
        <v>100000000</v>
      </c>
      <c r="E1383" s="2690">
        <v>100000000</v>
      </c>
      <c r="F1383" s="3014">
        <f>E1383/D1383*100</f>
        <v>100</v>
      </c>
      <c r="G1383" s="2760">
        <v>100</v>
      </c>
      <c r="H1383" s="3715"/>
      <c r="J1383" s="1211"/>
      <c r="K1383" s="1211"/>
    </row>
    <row r="1384" spans="1:11" s="31" customFormat="1" ht="10.5" hidden="1" customHeight="1" x14ac:dyDescent="0.25">
      <c r="A1384" s="5"/>
      <c r="B1384" s="448"/>
      <c r="C1384" s="2526"/>
      <c r="D1384" s="4301"/>
      <c r="E1384" s="3022"/>
      <c r="F1384" s="2752"/>
      <c r="G1384" s="2752"/>
      <c r="H1384" s="3715"/>
      <c r="J1384" s="1211"/>
      <c r="K1384" s="1211"/>
    </row>
    <row r="1385" spans="1:11" s="25" customFormat="1" ht="15" customHeight="1" x14ac:dyDescent="0.25">
      <c r="A1385" s="4"/>
      <c r="B1385" s="440"/>
      <c r="C1385" s="2532" t="s">
        <v>1000</v>
      </c>
      <c r="D1385" s="4106">
        <f>D1386</f>
        <v>100000000</v>
      </c>
      <c r="E1385" s="2672">
        <f>E1386</f>
        <v>100000000</v>
      </c>
      <c r="F1385" s="2996">
        <f>E1385/D1385*100</f>
        <v>100</v>
      </c>
      <c r="G1385" s="2672">
        <f>G1386</f>
        <v>100</v>
      </c>
      <c r="H1385" s="1462"/>
      <c r="J1385" s="1207"/>
      <c r="K1385" s="1207"/>
    </row>
    <row r="1386" spans="1:11" s="27" customFormat="1" ht="16.5" customHeight="1" x14ac:dyDescent="0.25">
      <c r="A1386" s="6"/>
      <c r="B1386" s="441"/>
      <c r="C1386" s="2521" t="s">
        <v>1001</v>
      </c>
      <c r="D1386" s="4305">
        <f>D1387</f>
        <v>100000000</v>
      </c>
      <c r="E1386" s="2785">
        <f>E1387</f>
        <v>100000000</v>
      </c>
      <c r="F1386" s="2997">
        <f>E1386/D1386*100</f>
        <v>100</v>
      </c>
      <c r="G1386" s="2734">
        <f>G1387</f>
        <v>100</v>
      </c>
      <c r="H1386" s="1463"/>
      <c r="J1386" s="995"/>
      <c r="K1386" s="995"/>
    </row>
    <row r="1387" spans="1:11" s="27" customFormat="1" ht="15.75" hidden="1" customHeight="1" x14ac:dyDescent="0.25">
      <c r="A1387" s="6"/>
      <c r="B1387" s="441"/>
      <c r="C1387" s="2524" t="s">
        <v>1002</v>
      </c>
      <c r="D1387" s="4066">
        <v>100000000</v>
      </c>
      <c r="E1387" s="2690">
        <v>100000000</v>
      </c>
      <c r="F1387" s="3014">
        <f>E1387/D1387*100</f>
        <v>100</v>
      </c>
      <c r="G1387" s="2760">
        <v>100</v>
      </c>
      <c r="H1387" s="1463"/>
      <c r="J1387" s="995"/>
      <c r="K1387" s="995"/>
    </row>
    <row r="1388" spans="1:11" s="27" customFormat="1" ht="10.5" hidden="1" customHeight="1" x14ac:dyDescent="0.25">
      <c r="A1388" s="6"/>
      <c r="B1388" s="441"/>
      <c r="C1388" s="2533"/>
      <c r="D1388" s="4071"/>
      <c r="E1388" s="3022"/>
      <c r="F1388" s="3022"/>
      <c r="G1388" s="3022"/>
      <c r="H1388" s="1463"/>
      <c r="J1388" s="995"/>
      <c r="K1388" s="995"/>
    </row>
    <row r="1389" spans="1:11" s="25" customFormat="1" ht="15.75" customHeight="1" x14ac:dyDescent="0.25">
      <c r="A1389" s="4"/>
      <c r="B1389" s="440"/>
      <c r="C1389" s="2532" t="s">
        <v>1003</v>
      </c>
      <c r="D1389" s="4106">
        <f>D1390</f>
        <v>100000000</v>
      </c>
      <c r="E1389" s="2672">
        <f>E1390</f>
        <v>100000000</v>
      </c>
      <c r="F1389" s="2996">
        <f>E1389/D1389*100</f>
        <v>100</v>
      </c>
      <c r="G1389" s="2996">
        <f>G1390</f>
        <v>100</v>
      </c>
      <c r="H1389" s="1462"/>
      <c r="J1389" s="1207"/>
      <c r="K1389" s="1207"/>
    </row>
    <row r="1390" spans="1:11" s="25" customFormat="1" ht="17.25" customHeight="1" x14ac:dyDescent="0.25">
      <c r="A1390" s="4"/>
      <c r="B1390" s="441"/>
      <c r="C1390" s="2538" t="s">
        <v>1004</v>
      </c>
      <c r="D1390" s="4072">
        <f>D1391</f>
        <v>100000000</v>
      </c>
      <c r="E1390" s="2734">
        <f>E1391</f>
        <v>100000000</v>
      </c>
      <c r="F1390" s="2997">
        <f>E1390/D1390*100</f>
        <v>100</v>
      </c>
      <c r="G1390" s="2997">
        <f>G1391</f>
        <v>100</v>
      </c>
      <c r="H1390" s="1462"/>
      <c r="J1390" s="1207"/>
      <c r="K1390" s="1207"/>
    </row>
    <row r="1391" spans="1:11" s="31" customFormat="1" ht="18" hidden="1" customHeight="1" x14ac:dyDescent="0.25">
      <c r="A1391" s="5"/>
      <c r="B1391" s="448"/>
      <c r="C1391" s="2524" t="s">
        <v>1005</v>
      </c>
      <c r="D1391" s="4066">
        <v>100000000</v>
      </c>
      <c r="E1391" s="2968">
        <v>100000000</v>
      </c>
      <c r="F1391" s="3014">
        <f>E1391/D1391*100</f>
        <v>100</v>
      </c>
      <c r="G1391" s="2690">
        <v>100</v>
      </c>
      <c r="H1391" s="3715"/>
      <c r="J1391" s="1211"/>
      <c r="K1391" s="1211"/>
    </row>
    <row r="1392" spans="1:11" s="27" customFormat="1" ht="10.5" hidden="1" customHeight="1" x14ac:dyDescent="0.25">
      <c r="A1392" s="6"/>
      <c r="B1392" s="441"/>
      <c r="C1392" s="2521"/>
      <c r="D1392" s="4305"/>
      <c r="E1392" s="3021"/>
      <c r="F1392" s="3021"/>
      <c r="G1392" s="3021"/>
      <c r="H1392" s="1463"/>
      <c r="J1392" s="995"/>
      <c r="K1392" s="995"/>
    </row>
    <row r="1393" spans="1:11" s="27" customFormat="1" ht="17.25" customHeight="1" x14ac:dyDescent="0.25">
      <c r="A1393" s="6"/>
      <c r="B1393" s="440"/>
      <c r="C1393" s="2532" t="s">
        <v>1006</v>
      </c>
      <c r="D1393" s="4106">
        <f>D1394</f>
        <v>100000000</v>
      </c>
      <c r="E1393" s="2996">
        <v>100000000</v>
      </c>
      <c r="F1393" s="2996">
        <f>E1393/D1393*100</f>
        <v>100</v>
      </c>
      <c r="G1393" s="2996">
        <f>G1394</f>
        <v>100</v>
      </c>
      <c r="H1393" s="1463"/>
      <c r="J1393" s="995"/>
      <c r="K1393" s="995"/>
    </row>
    <row r="1394" spans="1:11" s="27" customFormat="1" ht="18.75" customHeight="1" x14ac:dyDescent="0.25">
      <c r="A1394" s="6"/>
      <c r="B1394" s="441"/>
      <c r="C1394" s="2521" t="s">
        <v>1007</v>
      </c>
      <c r="D1394" s="4305">
        <f>D1395</f>
        <v>100000000</v>
      </c>
      <c r="E1394" s="2997">
        <v>100000000</v>
      </c>
      <c r="F1394" s="2997">
        <f>E1394/D1394*100</f>
        <v>100</v>
      </c>
      <c r="G1394" s="2997">
        <f>G1395</f>
        <v>100</v>
      </c>
      <c r="H1394" s="1463"/>
      <c r="J1394" s="995"/>
      <c r="K1394" s="995"/>
    </row>
    <row r="1395" spans="1:11" s="31" customFormat="1" ht="15.75" hidden="1" customHeight="1" x14ac:dyDescent="0.25">
      <c r="A1395" s="5"/>
      <c r="B1395" s="442"/>
      <c r="C1395" s="2524" t="s">
        <v>1008</v>
      </c>
      <c r="D1395" s="4066">
        <v>100000000</v>
      </c>
      <c r="E1395" s="3014">
        <v>100000000</v>
      </c>
      <c r="F1395" s="3014">
        <f>E1395/D1395*100</f>
        <v>100</v>
      </c>
      <c r="G1395" s="3014">
        <v>100</v>
      </c>
      <c r="H1395" s="3715"/>
      <c r="J1395" s="1211"/>
      <c r="K1395" s="1211"/>
    </row>
    <row r="1396" spans="1:11" s="27" customFormat="1" ht="9.75" hidden="1" customHeight="1" x14ac:dyDescent="0.25">
      <c r="A1396" s="6"/>
      <c r="B1396" s="441"/>
      <c r="C1396" s="2521"/>
      <c r="D1396" s="4305"/>
      <c r="E1396" s="3021"/>
      <c r="F1396" s="3021"/>
      <c r="G1396" s="3021"/>
      <c r="H1396" s="1463"/>
      <c r="J1396" s="995"/>
      <c r="K1396" s="995"/>
    </row>
    <row r="1397" spans="1:11" s="27" customFormat="1" ht="18" customHeight="1" x14ac:dyDescent="0.25">
      <c r="A1397" s="6"/>
      <c r="B1397" s="440"/>
      <c r="C1397" s="2532" t="s">
        <v>1009</v>
      </c>
      <c r="D1397" s="4106">
        <f>D1398</f>
        <v>100000000</v>
      </c>
      <c r="E1397" s="2996">
        <v>100000000</v>
      </c>
      <c r="F1397" s="2996">
        <f>E1397/D1397*100</f>
        <v>100</v>
      </c>
      <c r="G1397" s="2996">
        <f>G1398</f>
        <v>100</v>
      </c>
      <c r="H1397" s="1463"/>
      <c r="J1397" s="995"/>
      <c r="K1397" s="995"/>
    </row>
    <row r="1398" spans="1:11" s="27" customFormat="1" ht="21" customHeight="1" thickBot="1" x14ac:dyDescent="0.3">
      <c r="A1398" s="6"/>
      <c r="B1398" s="441"/>
      <c r="C1398" s="2521" t="s">
        <v>1010</v>
      </c>
      <c r="D1398" s="4305">
        <f>D1399</f>
        <v>100000000</v>
      </c>
      <c r="E1398" s="2997">
        <v>100000000</v>
      </c>
      <c r="F1398" s="2997">
        <f>E1398/D1398*100</f>
        <v>100</v>
      </c>
      <c r="G1398" s="2997">
        <f>G1399</f>
        <v>100</v>
      </c>
      <c r="H1398" s="1463"/>
      <c r="J1398" s="995"/>
      <c r="K1398" s="995"/>
    </row>
    <row r="1399" spans="1:11" s="27" customFormat="1" ht="16.5" hidden="1" customHeight="1" x14ac:dyDescent="0.25">
      <c r="A1399" s="6"/>
      <c r="B1399" s="441"/>
      <c r="C1399" s="2524" t="s">
        <v>1011</v>
      </c>
      <c r="D1399" s="4066">
        <v>100000000</v>
      </c>
      <c r="E1399" s="3014">
        <v>100000000</v>
      </c>
      <c r="F1399" s="3014">
        <f>E1399/D1399*100</f>
        <v>100</v>
      </c>
      <c r="G1399" s="3014">
        <v>100</v>
      </c>
      <c r="H1399" s="1463"/>
      <c r="J1399" s="995"/>
      <c r="K1399" s="995"/>
    </row>
    <row r="1400" spans="1:11" s="27" customFormat="1" ht="8.25" hidden="1" customHeight="1" thickBot="1" x14ac:dyDescent="0.3">
      <c r="A1400" s="6"/>
      <c r="B1400" s="441"/>
      <c r="C1400" s="2475"/>
      <c r="D1400" s="4299"/>
      <c r="E1400" s="2784"/>
      <c r="F1400" s="2784"/>
      <c r="G1400" s="2784"/>
      <c r="H1400" s="1463"/>
      <c r="J1400" s="995"/>
      <c r="K1400" s="995"/>
    </row>
    <row r="1401" spans="1:11" s="25" customFormat="1" ht="18" customHeight="1" thickBot="1" x14ac:dyDescent="0.3">
      <c r="A1401" s="4"/>
      <c r="B1401" s="440"/>
      <c r="C1401" s="2471" t="s">
        <v>1012</v>
      </c>
      <c r="D1401" s="4106">
        <f>D1402</f>
        <v>2897550000</v>
      </c>
      <c r="E1401" s="3636">
        <f t="shared" ref="E1401:E1402" si="78">E1402</f>
        <v>2828386463</v>
      </c>
      <c r="F1401" s="2996">
        <f>E1401/D1401*100</f>
        <v>97.613033873444806</v>
      </c>
      <c r="G1401" s="2672">
        <f>G1402</f>
        <v>98.98</v>
      </c>
      <c r="H1401" s="1462"/>
      <c r="J1401" s="1207"/>
      <c r="K1401" s="1207"/>
    </row>
    <row r="1402" spans="1:11" s="25" customFormat="1" ht="29.25" customHeight="1" x14ac:dyDescent="0.25">
      <c r="A1402" s="4"/>
      <c r="B1402" s="441"/>
      <c r="C1402" s="2478" t="s">
        <v>1013</v>
      </c>
      <c r="D1402" s="4305">
        <f>D1403</f>
        <v>2897550000</v>
      </c>
      <c r="E1402" s="4012">
        <f t="shared" si="78"/>
        <v>2828386463</v>
      </c>
      <c r="F1402" s="2997">
        <f>E1402/D1402*100</f>
        <v>97.613033873444806</v>
      </c>
      <c r="G1402" s="2785">
        <f>G1403</f>
        <v>98.98</v>
      </c>
      <c r="H1402" s="1462"/>
      <c r="J1402" s="1207"/>
      <c r="K1402" s="1207"/>
    </row>
    <row r="1403" spans="1:11" s="27" customFormat="1" ht="18.75" hidden="1" customHeight="1" x14ac:dyDescent="0.25">
      <c r="A1403" s="6"/>
      <c r="B1403" s="441"/>
      <c r="C1403" s="2473" t="s">
        <v>1014</v>
      </c>
      <c r="D1403" s="4066">
        <v>2897550000</v>
      </c>
      <c r="E1403" s="3625">
        <v>2828386463</v>
      </c>
      <c r="F1403" s="3014">
        <f>E1403/D1403*100</f>
        <v>97.613033873444806</v>
      </c>
      <c r="G1403" s="2690">
        <v>98.98</v>
      </c>
      <c r="H1403" s="1463"/>
      <c r="J1403" s="995"/>
      <c r="K1403" s="995"/>
    </row>
    <row r="1404" spans="1:11" s="27" customFormat="1" ht="12" hidden="1" customHeight="1" x14ac:dyDescent="0.25">
      <c r="A1404" s="6"/>
      <c r="B1404" s="441"/>
      <c r="C1404" s="2476"/>
      <c r="D1404" s="4285"/>
      <c r="E1404" s="2778"/>
      <c r="F1404" s="2778"/>
      <c r="G1404" s="2778"/>
      <c r="H1404" s="1463"/>
      <c r="J1404" s="995"/>
      <c r="K1404" s="995"/>
    </row>
    <row r="1405" spans="1:11" s="25" customFormat="1" ht="28.5" customHeight="1" x14ac:dyDescent="0.25">
      <c r="A1405" s="4"/>
      <c r="B1405" s="440"/>
      <c r="C1405" s="2471" t="s">
        <v>1015</v>
      </c>
      <c r="D1405" s="3631">
        <f>D1406+D1411</f>
        <v>2317810000</v>
      </c>
      <c r="E1405" s="3631">
        <f>E1406+E1411</f>
        <v>1995285400</v>
      </c>
      <c r="F1405" s="2996">
        <f>E1405/D1405*100</f>
        <v>86.084942251521909</v>
      </c>
      <c r="G1405" s="2672">
        <f>SUM(G1406+G1411)/2</f>
        <v>100</v>
      </c>
      <c r="H1405" s="1462"/>
      <c r="J1405" s="1207"/>
      <c r="K1405" s="1207"/>
    </row>
    <row r="1406" spans="1:11" s="25" customFormat="1" ht="18.75" customHeight="1" x14ac:dyDescent="0.25">
      <c r="A1406" s="4"/>
      <c r="B1406" s="441"/>
      <c r="C1406" s="2472" t="s">
        <v>1016</v>
      </c>
      <c r="D1406" s="4028">
        <f>SUM(D1407:D1409)</f>
        <v>1870390000</v>
      </c>
      <c r="E1406" s="4032">
        <f>SUM(E1407:E1409)</f>
        <v>1576765400</v>
      </c>
      <c r="F1406" s="2997">
        <f>E1406/D1406*100</f>
        <v>84.301423767235704</v>
      </c>
      <c r="G1406" s="2734">
        <f>SUM(G1407:G1409)/3</f>
        <v>100</v>
      </c>
      <c r="H1406" s="1462"/>
      <c r="J1406" s="1207"/>
      <c r="K1406" s="1207"/>
    </row>
    <row r="1407" spans="1:11" s="27" customFormat="1" ht="28.5" hidden="1" customHeight="1" x14ac:dyDescent="0.25">
      <c r="A1407" s="6"/>
      <c r="B1407" s="441"/>
      <c r="C1407" s="2473" t="s">
        <v>1017</v>
      </c>
      <c r="D1407" s="3625">
        <v>737800000</v>
      </c>
      <c r="E1407" s="4033">
        <v>625300000</v>
      </c>
      <c r="F1407" s="3014">
        <f>E1407/D1407*100</f>
        <v>84.751965302249928</v>
      </c>
      <c r="G1407" s="2690">
        <v>100</v>
      </c>
      <c r="H1407" s="1463"/>
      <c r="J1407" s="995"/>
      <c r="K1407" s="995"/>
    </row>
    <row r="1408" spans="1:11" s="27" customFormat="1" ht="18.75" hidden="1" customHeight="1" x14ac:dyDescent="0.25">
      <c r="A1408" s="6"/>
      <c r="B1408" s="441"/>
      <c r="C1408" s="2473" t="s">
        <v>1018</v>
      </c>
      <c r="D1408" s="3625">
        <v>771150000</v>
      </c>
      <c r="E1408" s="3625">
        <v>703600000</v>
      </c>
      <c r="F1408" s="3014">
        <f>E1408/D1408*100</f>
        <v>91.240355313492842</v>
      </c>
      <c r="G1408" s="2690">
        <v>100</v>
      </c>
      <c r="H1408" s="1463"/>
      <c r="J1408" s="995"/>
      <c r="K1408" s="995"/>
    </row>
    <row r="1409" spans="1:11" s="27" customFormat="1" ht="15" hidden="1" customHeight="1" x14ac:dyDescent="0.25">
      <c r="A1409" s="6"/>
      <c r="B1409" s="441"/>
      <c r="C1409" s="2476" t="s">
        <v>1019</v>
      </c>
      <c r="D1409" s="3625">
        <v>361440000</v>
      </c>
      <c r="E1409" s="2999">
        <v>247865400</v>
      </c>
      <c r="F1409" s="3014">
        <f>E1409/D1409*100</f>
        <v>68.577191235059757</v>
      </c>
      <c r="G1409" s="2690">
        <v>100</v>
      </c>
      <c r="H1409" s="3711"/>
      <c r="J1409" s="995"/>
      <c r="K1409" s="995"/>
    </row>
    <row r="1410" spans="1:11" s="27" customFormat="1" ht="15" hidden="1" customHeight="1" x14ac:dyDescent="0.25">
      <c r="A1410" s="6"/>
      <c r="B1410" s="449"/>
      <c r="C1410" s="2473"/>
      <c r="D1410" s="3633"/>
      <c r="E1410" s="3633"/>
      <c r="F1410" s="3035"/>
      <c r="G1410" s="3035"/>
      <c r="H1410" s="1463"/>
      <c r="J1410" s="995"/>
      <c r="K1410" s="995"/>
    </row>
    <row r="1411" spans="1:11" s="25" customFormat="1" ht="18" customHeight="1" x14ac:dyDescent="0.25">
      <c r="A1411" s="4"/>
      <c r="B1411" s="441"/>
      <c r="C1411" s="2472" t="s">
        <v>1020</v>
      </c>
      <c r="D1411" s="4028">
        <f>D1412</f>
        <v>447420000</v>
      </c>
      <c r="E1411" s="4032">
        <f>E1412</f>
        <v>418520000</v>
      </c>
      <c r="F1411" s="2997">
        <f>E1411/D1411*100</f>
        <v>93.540744714138839</v>
      </c>
      <c r="G1411" s="2734">
        <f>G1412</f>
        <v>100</v>
      </c>
      <c r="H1411" s="3718"/>
      <c r="J1411" s="1207"/>
      <c r="K1411" s="1207"/>
    </row>
    <row r="1412" spans="1:11" s="27" customFormat="1" ht="16.5" hidden="1" customHeight="1" x14ac:dyDescent="0.25">
      <c r="A1412" s="6"/>
      <c r="B1412" s="441"/>
      <c r="C1412" s="2473" t="s">
        <v>1021</v>
      </c>
      <c r="D1412" s="3637">
        <v>447420000</v>
      </c>
      <c r="E1412" s="3637">
        <v>418520000</v>
      </c>
      <c r="F1412" s="3014">
        <f>E1412/D1412*100</f>
        <v>93.540744714138839</v>
      </c>
      <c r="G1412" s="2690">
        <v>100</v>
      </c>
      <c r="H1412" s="1463"/>
      <c r="J1412" s="995"/>
      <c r="K1412" s="995"/>
    </row>
    <row r="1413" spans="1:11" s="27" customFormat="1" ht="12" hidden="1" customHeight="1" x14ac:dyDescent="0.25">
      <c r="A1413" s="6"/>
      <c r="B1413" s="441"/>
      <c r="C1413" s="2475"/>
      <c r="D1413" s="4299"/>
      <c r="E1413" s="2784"/>
      <c r="F1413" s="2784"/>
      <c r="G1413" s="2784"/>
      <c r="H1413" s="1463"/>
      <c r="J1413" s="995"/>
      <c r="K1413" s="995"/>
    </row>
    <row r="1414" spans="1:11" ht="15.75" customHeight="1" x14ac:dyDescent="0.25">
      <c r="B1414" s="440"/>
      <c r="C1414" s="2532" t="s">
        <v>1022</v>
      </c>
      <c r="D1414" s="4106">
        <f>D1415+D1422</f>
        <v>22986043822</v>
      </c>
      <c r="E1414" s="2672">
        <f>E1415+E1422</f>
        <v>19268919530</v>
      </c>
      <c r="F1414" s="2996">
        <f>E1414/D1414*100</f>
        <v>83.82877749305284</v>
      </c>
      <c r="G1414" s="2672">
        <f>SUM(G1415+G1422)/2</f>
        <v>87.75</v>
      </c>
      <c r="H1414" s="1463"/>
    </row>
    <row r="1415" spans="1:11" s="27" customFormat="1" ht="20.25" customHeight="1" x14ac:dyDescent="0.25">
      <c r="A1415" s="6"/>
      <c r="B1415" s="441"/>
      <c r="C1415" s="2521" t="s">
        <v>1023</v>
      </c>
      <c r="D1415" s="4305">
        <f>D1416+D1419</f>
        <v>6031588000</v>
      </c>
      <c r="E1415" s="2785">
        <f>E1416+E1419</f>
        <v>5130669530</v>
      </c>
      <c r="F1415" s="2997">
        <f>E1415/D1415*100</f>
        <v>85.063328761845142</v>
      </c>
      <c r="G1415" s="2824">
        <f>SUM(G1416+G1419)/2</f>
        <v>86.5</v>
      </c>
      <c r="H1415" s="1463"/>
      <c r="J1415" s="995"/>
      <c r="K1415" s="995"/>
    </row>
    <row r="1416" spans="1:11" s="25" customFormat="1" ht="15.75" customHeight="1" x14ac:dyDescent="0.25">
      <c r="A1416" s="4"/>
      <c r="B1416" s="441"/>
      <c r="C1416" s="2525" t="s">
        <v>1024</v>
      </c>
      <c r="D1416" s="4065">
        <f>D1417</f>
        <v>4592088000</v>
      </c>
      <c r="E1416" s="2695">
        <f>E1417</f>
        <v>3985669530</v>
      </c>
      <c r="F1416" s="2997">
        <f>E1416/D1416*100</f>
        <v>86.794275937220704</v>
      </c>
      <c r="G1416" s="2695">
        <f>G1417</f>
        <v>100</v>
      </c>
      <c r="H1416" s="1462"/>
      <c r="J1416" s="1207"/>
      <c r="K1416" s="1207"/>
    </row>
    <row r="1417" spans="1:11" s="27" customFormat="1" ht="19.5" hidden="1" customHeight="1" x14ac:dyDescent="0.25">
      <c r="A1417" s="6"/>
      <c r="B1417" s="441"/>
      <c r="C1417" s="2524" t="s">
        <v>1025</v>
      </c>
      <c r="D1417" s="3622">
        <v>4592088000</v>
      </c>
      <c r="E1417" s="3622">
        <v>3985669530</v>
      </c>
      <c r="F1417" s="3014">
        <f>E1417/D1417*100</f>
        <v>86.794275937220704</v>
      </c>
      <c r="G1417" s="2690">
        <v>100</v>
      </c>
      <c r="H1417" s="1463"/>
      <c r="J1417" s="995"/>
      <c r="K1417" s="995"/>
    </row>
    <row r="1418" spans="1:11" s="27" customFormat="1" ht="12" hidden="1" customHeight="1" x14ac:dyDescent="0.25">
      <c r="A1418" s="6"/>
      <c r="B1418" s="441"/>
      <c r="C1418" s="2526"/>
      <c r="D1418" s="4066"/>
      <c r="E1418" s="2690"/>
      <c r="F1418" s="2690"/>
      <c r="G1418" s="2690"/>
      <c r="H1418" s="1463"/>
      <c r="J1418" s="995"/>
      <c r="K1418" s="995"/>
    </row>
    <row r="1419" spans="1:11" s="25" customFormat="1" ht="20.25" customHeight="1" x14ac:dyDescent="0.25">
      <c r="A1419" s="4"/>
      <c r="B1419" s="441"/>
      <c r="C1419" s="2525" t="s">
        <v>3429</v>
      </c>
      <c r="D1419" s="4065">
        <f>D1420</f>
        <v>1439500000</v>
      </c>
      <c r="E1419" s="2695">
        <f>E1420</f>
        <v>1145000000</v>
      </c>
      <c r="F1419" s="2997">
        <f>E1419/D1419*100</f>
        <v>79.541507467870787</v>
      </c>
      <c r="G1419" s="2695">
        <f>G1420</f>
        <v>73</v>
      </c>
      <c r="H1419" s="1462"/>
      <c r="J1419" s="1207"/>
      <c r="K1419" s="1207"/>
    </row>
    <row r="1420" spans="1:11" s="196" customFormat="1" ht="18" hidden="1" customHeight="1" x14ac:dyDescent="0.25">
      <c r="A1420" s="12"/>
      <c r="B1420" s="448"/>
      <c r="C1420" s="2524" t="s">
        <v>1026</v>
      </c>
      <c r="D1420" s="3622">
        <v>1439500000</v>
      </c>
      <c r="E1420" s="4030">
        <v>1145000000</v>
      </c>
      <c r="F1420" s="3014">
        <f>E1420/D1420*100</f>
        <v>79.541507467870787</v>
      </c>
      <c r="G1420" s="2690">
        <v>73</v>
      </c>
      <c r="H1420" s="3715"/>
      <c r="J1420" s="1212"/>
      <c r="K1420" s="1212"/>
    </row>
    <row r="1421" spans="1:11" s="196" customFormat="1" ht="9.75" hidden="1" customHeight="1" x14ac:dyDescent="0.25">
      <c r="A1421" s="12"/>
      <c r="B1421" s="448"/>
      <c r="C1421" s="2524"/>
      <c r="D1421" s="4066"/>
      <c r="E1421" s="2690"/>
      <c r="F1421" s="2690"/>
      <c r="G1421" s="2690"/>
      <c r="H1421" s="3715"/>
      <c r="J1421" s="1212"/>
      <c r="K1421" s="1212"/>
    </row>
    <row r="1422" spans="1:11" ht="18" customHeight="1" x14ac:dyDescent="0.25">
      <c r="B1422" s="441"/>
      <c r="C1422" s="2525" t="s">
        <v>1027</v>
      </c>
      <c r="D1422" s="4065">
        <f>D1423+D1426</f>
        <v>16954455822</v>
      </c>
      <c r="E1422" s="2695">
        <f>E1423+E1426</f>
        <v>14138250000</v>
      </c>
      <c r="F1422" s="2997">
        <f>E1422/D1422*100</f>
        <v>83.389582941696617</v>
      </c>
      <c r="G1422" s="2695">
        <f>SUM(G1423+G1426)/2</f>
        <v>89</v>
      </c>
      <c r="H1422" s="1463"/>
    </row>
    <row r="1423" spans="1:11" s="25" customFormat="1" ht="17.25" customHeight="1" x14ac:dyDescent="0.25">
      <c r="A1423" s="4"/>
      <c r="B1423" s="441"/>
      <c r="C1423" s="2525" t="s">
        <v>1028</v>
      </c>
      <c r="D1423" s="4065">
        <f>D1424</f>
        <v>7458029867</v>
      </c>
      <c r="E1423" s="2695">
        <f>E1424</f>
        <v>5425500000</v>
      </c>
      <c r="F1423" s="2997">
        <f>E1423/D1423*100</f>
        <v>72.747094028230435</v>
      </c>
      <c r="G1423" s="2695">
        <f>G1424</f>
        <v>80</v>
      </c>
      <c r="H1423" s="1462"/>
      <c r="J1423" s="1207"/>
      <c r="K1423" s="1207"/>
    </row>
    <row r="1424" spans="1:11" s="196" customFormat="1" ht="17.25" hidden="1" customHeight="1" x14ac:dyDescent="0.25">
      <c r="A1424" s="12"/>
      <c r="B1424" s="442"/>
      <c r="C1424" s="2524" t="s">
        <v>1029</v>
      </c>
      <c r="D1424" s="3622">
        <v>7458029867</v>
      </c>
      <c r="E1424" s="3622">
        <v>5425500000</v>
      </c>
      <c r="F1424" s="3014">
        <f>E1424/D1424*100</f>
        <v>72.747094028230435</v>
      </c>
      <c r="G1424" s="2690">
        <v>80</v>
      </c>
      <c r="H1424" s="3715"/>
      <c r="J1424" s="1212"/>
      <c r="K1424" s="1212"/>
    </row>
    <row r="1425" spans="1:11" s="196" customFormat="1" ht="11.25" hidden="1" customHeight="1" x14ac:dyDescent="0.25">
      <c r="A1425" s="12"/>
      <c r="B1425" s="442"/>
      <c r="C1425" s="2524"/>
      <c r="D1425" s="4066"/>
      <c r="E1425" s="2690"/>
      <c r="F1425" s="2690"/>
      <c r="G1425" s="2690"/>
      <c r="H1425" s="3715"/>
      <c r="J1425" s="1212"/>
      <c r="K1425" s="1212"/>
    </row>
    <row r="1426" spans="1:11" s="32" customFormat="1" ht="16.5" customHeight="1" x14ac:dyDescent="0.25">
      <c r="A1426" s="1"/>
      <c r="B1426" s="441"/>
      <c r="C1426" s="2525" t="s">
        <v>1030</v>
      </c>
      <c r="D1426" s="4065">
        <f>D1427</f>
        <v>9496425955</v>
      </c>
      <c r="E1426" s="2695">
        <f>E1427</f>
        <v>8712750000</v>
      </c>
      <c r="F1426" s="2997">
        <f>E1426/D1426*100</f>
        <v>91.747674770344688</v>
      </c>
      <c r="G1426" s="2695">
        <f>G1427</f>
        <v>98</v>
      </c>
      <c r="H1426" s="1462"/>
      <c r="J1426" s="1208"/>
      <c r="K1426" s="1208"/>
    </row>
    <row r="1427" spans="1:11" ht="16.5" hidden="1" customHeight="1" x14ac:dyDescent="0.25">
      <c r="B1427" s="441"/>
      <c r="C1427" s="2524" t="s">
        <v>1031</v>
      </c>
      <c r="D1427" s="3622">
        <v>9496425955</v>
      </c>
      <c r="E1427" s="3622">
        <v>8712750000</v>
      </c>
      <c r="F1427" s="3014">
        <f>E1427/D1427*100</f>
        <v>91.747674770344688</v>
      </c>
      <c r="G1427" s="2690">
        <v>98</v>
      </c>
      <c r="H1427" s="1463"/>
    </row>
    <row r="1428" spans="1:11" ht="14.25" hidden="1" customHeight="1" x14ac:dyDescent="0.25">
      <c r="B1428" s="441"/>
      <c r="C1428" s="2526"/>
      <c r="D1428" s="4312"/>
      <c r="E1428" s="2752"/>
      <c r="F1428" s="2752"/>
      <c r="G1428" s="2752"/>
      <c r="H1428" s="1463"/>
    </row>
    <row r="1429" spans="1:11" s="121" customFormat="1" ht="17.25" customHeight="1" x14ac:dyDescent="0.25">
      <c r="A1429" s="16"/>
      <c r="B1429" s="447"/>
      <c r="C1429" s="3598" t="s">
        <v>1032</v>
      </c>
      <c r="D1429" s="4294">
        <f>D1431+D1485+D1520+D1529+D1551+D1556+D1560+D1564+D1568+D1579+D1599+D1616+D1622+D1626+D1638+D1645+D1651+D1655+D1665+D1672+D1676+D1680+D1684+D1688+D1692+D1696+D1700+D1704+D1708+D1712+D1716+D1731</f>
        <v>164852857000</v>
      </c>
      <c r="E1429" s="3699">
        <f>E1431+E1485+E1520+E1529+E1551+E1556+E1560+E1564+E1568+E1579+E1599+E1616+E1622+E1626+E1638+E1645+E1651+E1655+E1665+E1672+E1676+E1680+E1684+E1688+E1692+E1696+E1700+E1704+E1708+E1712+E1716+E1731</f>
        <v>162433392836</v>
      </c>
      <c r="F1429" s="3699">
        <f>E1429/D1429*100</f>
        <v>98.532349267080036</v>
      </c>
      <c r="G1429" s="4003">
        <f>SUM(G1431+G1485+G1520+G1529+G1551+G1556+G1564+G1568+G1579+G1599+G1616+G1622+G1626+G1638+G1645+G1651+G1655+G1665+G1672+G1676+G1680+G1684+G1688+G1692+G1696+G1700+G1704+G1708+G1712+G1716+G1731)/31</f>
        <v>97.97803370464662</v>
      </c>
      <c r="H1429" s="3720"/>
      <c r="J1429" s="1213"/>
      <c r="K1429" s="1213"/>
    </row>
    <row r="1430" spans="1:11" ht="7.5" hidden="1" customHeight="1" x14ac:dyDescent="0.25">
      <c r="B1430" s="441"/>
      <c r="C1430" s="2478"/>
      <c r="D1430" s="4276"/>
      <c r="E1430" s="3035"/>
      <c r="F1430" s="2784"/>
      <c r="G1430" s="3035"/>
      <c r="H1430" s="1463"/>
    </row>
    <row r="1431" spans="1:11" ht="18" customHeight="1" x14ac:dyDescent="0.25">
      <c r="B1431" s="440"/>
      <c r="C1431" s="2471" t="s">
        <v>630</v>
      </c>
      <c r="D1431" s="4106">
        <f>D1433+D1442+D1461+D1467+D1472+D1476+D1479+D1482</f>
        <v>38428707000</v>
      </c>
      <c r="E1431" s="2672">
        <f>E1433+E1442+E1461+E1467+E1472+E1476+E1479+E1482</f>
        <v>38428707000</v>
      </c>
      <c r="F1431" s="2719">
        <f>E1431/D1431*100</f>
        <v>100</v>
      </c>
      <c r="G1431" s="2670">
        <f>SUM(G1433+G1442+G1461+G1467+G1472+G1476+G1479)/7</f>
        <v>100</v>
      </c>
      <c r="H1431" s="1462"/>
    </row>
    <row r="1432" spans="1:11" ht="5.25" hidden="1" customHeight="1" x14ac:dyDescent="0.25">
      <c r="B1432" s="441"/>
      <c r="C1432" s="2478"/>
      <c r="D1432" s="4305"/>
      <c r="E1432" s="2785"/>
      <c r="F1432" s="2722"/>
      <c r="G1432" s="3002"/>
      <c r="H1432" s="1462"/>
    </row>
    <row r="1433" spans="1:11" ht="18" customHeight="1" x14ac:dyDescent="0.25">
      <c r="B1433" s="441"/>
      <c r="C1433" s="2474" t="s">
        <v>1033</v>
      </c>
      <c r="D1433" s="4065">
        <f>SUM(D1434:D1440)</f>
        <v>1703049960</v>
      </c>
      <c r="E1433" s="2695">
        <f>SUM(E1434:E1440)</f>
        <v>1703049960</v>
      </c>
      <c r="F1433" s="2966">
        <f>E1433/D1433*100</f>
        <v>100</v>
      </c>
      <c r="G1433" s="2679">
        <f>SUM(G1434:G1440)/6</f>
        <v>100</v>
      </c>
      <c r="H1433" s="1462"/>
    </row>
    <row r="1434" spans="1:11" ht="14.25" hidden="1" customHeight="1" x14ac:dyDescent="0.25">
      <c r="B1434" s="448"/>
      <c r="C1434" s="2473" t="s">
        <v>1034</v>
      </c>
      <c r="D1434" s="4066">
        <v>50000000</v>
      </c>
      <c r="E1434" s="2968">
        <v>50000000</v>
      </c>
      <c r="F1434" s="3014">
        <f>E1434/D1434*100</f>
        <v>100</v>
      </c>
      <c r="G1434" s="2968">
        <v>100</v>
      </c>
      <c r="H1434" s="3715"/>
    </row>
    <row r="1435" spans="1:11" ht="14.25" hidden="1" customHeight="1" x14ac:dyDescent="0.25">
      <c r="B1435" s="448"/>
      <c r="C1435" s="2473" t="s">
        <v>1035</v>
      </c>
      <c r="D1435" s="4066">
        <v>50000000</v>
      </c>
      <c r="E1435" s="2690">
        <v>50000000</v>
      </c>
      <c r="F1435" s="3014">
        <f>E1435/D1435*100</f>
        <v>100</v>
      </c>
      <c r="G1435" s="2690">
        <v>100</v>
      </c>
      <c r="H1435" s="3715"/>
    </row>
    <row r="1436" spans="1:11" ht="14.25" hidden="1" customHeight="1" x14ac:dyDescent="0.25">
      <c r="B1436" s="448"/>
      <c r="C1436" s="2473" t="s">
        <v>1036</v>
      </c>
      <c r="D1436" s="4066">
        <v>70000000</v>
      </c>
      <c r="E1436" s="2690">
        <v>70000000</v>
      </c>
      <c r="F1436" s="3014">
        <f t="shared" ref="F1436:F1440" si="79">E1436/D1436*100</f>
        <v>100</v>
      </c>
      <c r="G1436" s="2690">
        <v>100</v>
      </c>
      <c r="H1436" s="3715"/>
    </row>
    <row r="1437" spans="1:11" ht="14.25" hidden="1" customHeight="1" x14ac:dyDescent="0.25">
      <c r="B1437" s="448"/>
      <c r="C1437" s="2473" t="s">
        <v>1037</v>
      </c>
      <c r="D1437" s="4066">
        <v>1379999960</v>
      </c>
      <c r="E1437" s="2968">
        <v>1379999960</v>
      </c>
      <c r="F1437" s="3014">
        <f t="shared" si="79"/>
        <v>100</v>
      </c>
      <c r="G1437" s="2690">
        <v>100</v>
      </c>
      <c r="H1437" s="3715"/>
    </row>
    <row r="1438" spans="1:11" ht="14.25" hidden="1" customHeight="1" x14ac:dyDescent="0.25">
      <c r="B1438" s="448"/>
      <c r="C1438" s="2473" t="s">
        <v>1038</v>
      </c>
      <c r="D1438" s="4066">
        <v>0</v>
      </c>
      <c r="E1438" s="2690">
        <v>0</v>
      </c>
      <c r="F1438" s="2690">
        <v>0</v>
      </c>
      <c r="G1438" s="2690">
        <v>0</v>
      </c>
      <c r="H1438" s="3715"/>
    </row>
    <row r="1439" spans="1:11" ht="17.25" hidden="1" customHeight="1" x14ac:dyDescent="0.25">
      <c r="B1439" s="448"/>
      <c r="C1439" s="2473" t="s">
        <v>3921</v>
      </c>
      <c r="D1439" s="4066">
        <v>93550000</v>
      </c>
      <c r="E1439" s="2968">
        <v>93550000</v>
      </c>
      <c r="F1439" s="3014">
        <f t="shared" si="79"/>
        <v>100</v>
      </c>
      <c r="G1439" s="2968">
        <v>100</v>
      </c>
      <c r="H1439" s="3715"/>
    </row>
    <row r="1440" spans="1:11" ht="14.25" hidden="1" customHeight="1" x14ac:dyDescent="0.25">
      <c r="B1440" s="448"/>
      <c r="C1440" s="2473" t="s">
        <v>3922</v>
      </c>
      <c r="D1440" s="4066">
        <v>59500000</v>
      </c>
      <c r="E1440" s="2968">
        <v>59500000</v>
      </c>
      <c r="F1440" s="3014">
        <f t="shared" si="79"/>
        <v>100</v>
      </c>
      <c r="G1440" s="2968">
        <v>100</v>
      </c>
      <c r="H1440" s="3715"/>
    </row>
    <row r="1441" spans="2:8" ht="10.5" hidden="1" customHeight="1" x14ac:dyDescent="0.25">
      <c r="B1441" s="448"/>
      <c r="C1441" s="2473"/>
      <c r="D1441" s="4066"/>
      <c r="E1441" s="2690"/>
      <c r="F1441" s="2690"/>
      <c r="G1441" s="2690"/>
      <c r="H1441" s="3715"/>
    </row>
    <row r="1442" spans="2:8" ht="14.25" customHeight="1" x14ac:dyDescent="0.25">
      <c r="B1442" s="441"/>
      <c r="C1442" s="2474" t="s">
        <v>1039</v>
      </c>
      <c r="D1442" s="4065">
        <f>SUM(D1443:D1459)</f>
        <v>2324008000</v>
      </c>
      <c r="E1442" s="2695">
        <f>SUM(E1443:E1459)</f>
        <v>2324008000</v>
      </c>
      <c r="F1442" s="2997">
        <f>E1442/D1442*100</f>
        <v>100</v>
      </c>
      <c r="G1442" s="2969">
        <f>SUM(G1443:G1459)/17</f>
        <v>100</v>
      </c>
      <c r="H1442" s="1462"/>
    </row>
    <row r="1443" spans="2:8" ht="14.25" hidden="1" customHeight="1" x14ac:dyDescent="0.25">
      <c r="B1443" s="448"/>
      <c r="C1443" s="2473" t="s">
        <v>1040</v>
      </c>
      <c r="D1443" s="4066">
        <v>100000000</v>
      </c>
      <c r="E1443" s="2968">
        <v>100000000</v>
      </c>
      <c r="F1443" s="3014">
        <f t="shared" ref="F1443" si="80">E1443/D1443*100</f>
        <v>100</v>
      </c>
      <c r="G1443" s="2967">
        <v>100</v>
      </c>
      <c r="H1443" s="3715"/>
    </row>
    <row r="1444" spans="2:8" ht="14.25" hidden="1" customHeight="1" x14ac:dyDescent="0.25">
      <c r="B1444" s="448"/>
      <c r="C1444" s="2473" t="s">
        <v>3923</v>
      </c>
      <c r="D1444" s="4066">
        <v>53400000</v>
      </c>
      <c r="E1444" s="3140">
        <v>53400000</v>
      </c>
      <c r="F1444" s="2968">
        <f>SUM(E1444/D1444)*100</f>
        <v>100</v>
      </c>
      <c r="G1444" s="2968">
        <v>100</v>
      </c>
      <c r="H1444" s="3715"/>
    </row>
    <row r="1445" spans="2:8" ht="17.25" hidden="1" customHeight="1" x14ac:dyDescent="0.25">
      <c r="B1445" s="448"/>
      <c r="C1445" s="2473" t="s">
        <v>3924</v>
      </c>
      <c r="D1445" s="4066">
        <v>840630000</v>
      </c>
      <c r="E1445" s="2968">
        <v>840630000</v>
      </c>
      <c r="F1445" s="2968">
        <f t="shared" ref="F1445:F1459" si="81">SUM(E1445/D1445)*100</f>
        <v>100</v>
      </c>
      <c r="G1445" s="2968">
        <v>100</v>
      </c>
      <c r="H1445" s="3715"/>
    </row>
    <row r="1446" spans="2:8" ht="18" hidden="1" customHeight="1" x14ac:dyDescent="0.25">
      <c r="B1446" s="448"/>
      <c r="C1446" s="2473" t="s">
        <v>3925</v>
      </c>
      <c r="D1446" s="4066">
        <v>158622000</v>
      </c>
      <c r="E1446" s="2968">
        <v>158622000</v>
      </c>
      <c r="F1446" s="2968">
        <f t="shared" si="81"/>
        <v>100</v>
      </c>
      <c r="G1446" s="2968">
        <v>100</v>
      </c>
      <c r="H1446" s="3715"/>
    </row>
    <row r="1447" spans="2:8" ht="16.5" hidden="1" customHeight="1" x14ac:dyDescent="0.25">
      <c r="B1447" s="448"/>
      <c r="C1447" s="2473" t="s">
        <v>3926</v>
      </c>
      <c r="D1447" s="4066">
        <v>40270000</v>
      </c>
      <c r="E1447" s="2968">
        <v>40270000</v>
      </c>
      <c r="F1447" s="2968">
        <f t="shared" si="81"/>
        <v>100</v>
      </c>
      <c r="G1447" s="2968">
        <v>100</v>
      </c>
      <c r="H1447" s="3715"/>
    </row>
    <row r="1448" spans="2:8" ht="17.25" hidden="1" customHeight="1" x14ac:dyDescent="0.25">
      <c r="B1448" s="448"/>
      <c r="C1448" s="2473" t="s">
        <v>3927</v>
      </c>
      <c r="D1448" s="4066">
        <v>53000000</v>
      </c>
      <c r="E1448" s="2968">
        <v>53000000</v>
      </c>
      <c r="F1448" s="2968">
        <f t="shared" si="81"/>
        <v>100</v>
      </c>
      <c r="G1448" s="2968">
        <v>100</v>
      </c>
      <c r="H1448" s="3715"/>
    </row>
    <row r="1449" spans="2:8" hidden="1" x14ac:dyDescent="0.25">
      <c r="B1449" s="448"/>
      <c r="C1449" s="2473" t="s">
        <v>3928</v>
      </c>
      <c r="D1449" s="4066">
        <v>52380000</v>
      </c>
      <c r="E1449" s="2968">
        <v>52380000</v>
      </c>
      <c r="F1449" s="2968">
        <f t="shared" si="81"/>
        <v>100</v>
      </c>
      <c r="G1449" s="2968">
        <v>100</v>
      </c>
      <c r="H1449" s="3715"/>
    </row>
    <row r="1450" spans="2:8" ht="14.25" hidden="1" customHeight="1" x14ac:dyDescent="0.25">
      <c r="B1450" s="448"/>
      <c r="C1450" s="2473" t="s">
        <v>3929</v>
      </c>
      <c r="D1450" s="4066">
        <v>67250000</v>
      </c>
      <c r="E1450" s="2968">
        <v>67250000</v>
      </c>
      <c r="F1450" s="2968">
        <f t="shared" si="81"/>
        <v>100</v>
      </c>
      <c r="G1450" s="2968">
        <v>100</v>
      </c>
      <c r="H1450" s="3715"/>
    </row>
    <row r="1451" spans="2:8" ht="17.25" hidden="1" customHeight="1" x14ac:dyDescent="0.25">
      <c r="B1451" s="448"/>
      <c r="C1451" s="2473" t="s">
        <v>3930</v>
      </c>
      <c r="D1451" s="4066">
        <v>108486000</v>
      </c>
      <c r="E1451" s="2968">
        <v>108486000</v>
      </c>
      <c r="F1451" s="2968">
        <f t="shared" si="81"/>
        <v>100</v>
      </c>
      <c r="G1451" s="2968">
        <v>100</v>
      </c>
      <c r="H1451" s="3715"/>
    </row>
    <row r="1452" spans="2:8" ht="14.25" hidden="1" customHeight="1" x14ac:dyDescent="0.25">
      <c r="B1452" s="448"/>
      <c r="C1452" s="2473" t="s">
        <v>3931</v>
      </c>
      <c r="D1452" s="4066">
        <v>139296000</v>
      </c>
      <c r="E1452" s="2968">
        <v>139296000</v>
      </c>
      <c r="F1452" s="2968">
        <f t="shared" si="81"/>
        <v>100</v>
      </c>
      <c r="G1452" s="2968">
        <v>100</v>
      </c>
      <c r="H1452" s="3715"/>
    </row>
    <row r="1453" spans="2:8" ht="14.25" hidden="1" customHeight="1" x14ac:dyDescent="0.25">
      <c r="B1453" s="448"/>
      <c r="C1453" s="2473" t="s">
        <v>3932</v>
      </c>
      <c r="D1453" s="4066">
        <v>143071000</v>
      </c>
      <c r="E1453" s="2968">
        <v>143071000</v>
      </c>
      <c r="F1453" s="2968">
        <f t="shared" si="81"/>
        <v>100</v>
      </c>
      <c r="G1453" s="2968">
        <v>100</v>
      </c>
      <c r="H1453" s="3715"/>
    </row>
    <row r="1454" spans="2:8" ht="18" hidden="1" customHeight="1" x14ac:dyDescent="0.25">
      <c r="B1454" s="448"/>
      <c r="C1454" s="2476" t="s">
        <v>3933</v>
      </c>
      <c r="D1454" s="4071">
        <v>139296000</v>
      </c>
      <c r="E1454" s="2999">
        <v>139296000</v>
      </c>
      <c r="F1454" s="2999">
        <f t="shared" si="81"/>
        <v>100</v>
      </c>
      <c r="G1454" s="2999">
        <v>100</v>
      </c>
      <c r="H1454" s="3716"/>
    </row>
    <row r="1455" spans="2:8" ht="28.5" hidden="1" customHeight="1" x14ac:dyDescent="0.25">
      <c r="B1455" s="462"/>
      <c r="C1455" s="2473" t="s">
        <v>3934</v>
      </c>
      <c r="D1455" s="4066">
        <v>73121000</v>
      </c>
      <c r="E1455" s="2968">
        <v>73121000</v>
      </c>
      <c r="F1455" s="2968">
        <f t="shared" si="81"/>
        <v>100</v>
      </c>
      <c r="G1455" s="2968">
        <v>100</v>
      </c>
      <c r="H1455" s="3715"/>
    </row>
    <row r="1456" spans="2:8" ht="31.5" hidden="1" customHeight="1" x14ac:dyDescent="0.25">
      <c r="B1456" s="448"/>
      <c r="C1456" s="2479" t="s">
        <v>3935</v>
      </c>
      <c r="D1456" s="4154">
        <v>67072000</v>
      </c>
      <c r="E1456" s="3014">
        <v>67072000</v>
      </c>
      <c r="F1456" s="3014">
        <f t="shared" si="81"/>
        <v>100</v>
      </c>
      <c r="G1456" s="3014">
        <v>100</v>
      </c>
      <c r="H1456" s="3717"/>
    </row>
    <row r="1457" spans="2:8" ht="17.25" hidden="1" customHeight="1" x14ac:dyDescent="0.25">
      <c r="B1457" s="448"/>
      <c r="C1457" s="2473" t="s">
        <v>3937</v>
      </c>
      <c r="D1457" s="4066">
        <v>83664000</v>
      </c>
      <c r="E1457" s="2968">
        <v>83664000</v>
      </c>
      <c r="F1457" s="2968">
        <f t="shared" si="81"/>
        <v>100</v>
      </c>
      <c r="G1457" s="2968">
        <v>100</v>
      </c>
      <c r="H1457" s="3715"/>
    </row>
    <row r="1458" spans="2:8" ht="15" hidden="1" customHeight="1" x14ac:dyDescent="0.25">
      <c r="B1458" s="448"/>
      <c r="C1458" s="2473" t="s">
        <v>3936</v>
      </c>
      <c r="D1458" s="4066">
        <v>138118000</v>
      </c>
      <c r="E1458" s="2968">
        <v>138118000</v>
      </c>
      <c r="F1458" s="2968">
        <f t="shared" si="81"/>
        <v>100</v>
      </c>
      <c r="G1458" s="2968">
        <v>100</v>
      </c>
      <c r="H1458" s="3715"/>
    </row>
    <row r="1459" spans="2:8" ht="16.5" hidden="1" customHeight="1" x14ac:dyDescent="0.25">
      <c r="B1459" s="448"/>
      <c r="C1459" s="2473" t="s">
        <v>3938</v>
      </c>
      <c r="D1459" s="4066">
        <v>66332000</v>
      </c>
      <c r="E1459" s="2968">
        <v>66332000</v>
      </c>
      <c r="F1459" s="2968">
        <f t="shared" si="81"/>
        <v>100</v>
      </c>
      <c r="G1459" s="2968">
        <v>100</v>
      </c>
      <c r="H1459" s="3715"/>
    </row>
    <row r="1460" spans="2:8" ht="10.5" hidden="1" customHeight="1" x14ac:dyDescent="0.25">
      <c r="B1460" s="448"/>
      <c r="C1460" s="2473"/>
      <c r="D1460" s="4066"/>
      <c r="E1460" s="2690"/>
      <c r="F1460" s="2690"/>
      <c r="G1460" s="2690"/>
      <c r="H1460" s="3715"/>
    </row>
    <row r="1461" spans="2:8" ht="18.75" customHeight="1" x14ac:dyDescent="0.25">
      <c r="B1461" s="441"/>
      <c r="C1461" s="2474" t="s">
        <v>1041</v>
      </c>
      <c r="D1461" s="4065">
        <f>SUM(D1462:D1465)</f>
        <v>669166000</v>
      </c>
      <c r="E1461" s="2695">
        <f>SUM(E1462:E1465)</f>
        <v>669166000</v>
      </c>
      <c r="F1461" s="2997">
        <f>E1461/D1461*100</f>
        <v>100</v>
      </c>
      <c r="G1461" s="2966">
        <f>SUM(G1462:G1465)/4</f>
        <v>100</v>
      </c>
      <c r="H1461" s="1462"/>
    </row>
    <row r="1462" spans="2:8" ht="14.25" hidden="1" customHeight="1" x14ac:dyDescent="0.25">
      <c r="B1462" s="448"/>
      <c r="C1462" s="2473" t="s">
        <v>1042</v>
      </c>
      <c r="D1462" s="4066">
        <v>300000000</v>
      </c>
      <c r="E1462" s="2968">
        <v>300000000</v>
      </c>
      <c r="F1462" s="3014">
        <f t="shared" ref="F1462:F1463" si="82">E1462/D1462*100</f>
        <v>100</v>
      </c>
      <c r="G1462" s="2968">
        <v>100</v>
      </c>
      <c r="H1462" s="3715"/>
    </row>
    <row r="1463" spans="2:8" ht="14.25" hidden="1" customHeight="1" x14ac:dyDescent="0.25">
      <c r="B1463" s="448"/>
      <c r="C1463" s="2473" t="s">
        <v>1043</v>
      </c>
      <c r="D1463" s="4066">
        <v>60000000</v>
      </c>
      <c r="E1463" s="2690">
        <v>60000000</v>
      </c>
      <c r="F1463" s="3014">
        <f t="shared" si="82"/>
        <v>100</v>
      </c>
      <c r="G1463" s="2690">
        <v>100</v>
      </c>
      <c r="H1463" s="3715"/>
    </row>
    <row r="1464" spans="2:8" ht="20.25" hidden="1" customHeight="1" x14ac:dyDescent="0.25">
      <c r="B1464" s="448"/>
      <c r="C1464" s="2473" t="s">
        <v>3939</v>
      </c>
      <c r="D1464" s="4066">
        <v>161616000</v>
      </c>
      <c r="E1464" s="2968">
        <v>161616000</v>
      </c>
      <c r="F1464" s="2968">
        <f t="shared" ref="F1464:F1465" si="83">SUM(E1464/D1464)*100</f>
        <v>100</v>
      </c>
      <c r="G1464" s="2968">
        <v>100</v>
      </c>
      <c r="H1464" s="3715"/>
    </row>
    <row r="1465" spans="2:8" ht="14.25" hidden="1" customHeight="1" x14ac:dyDescent="0.25">
      <c r="B1465" s="448"/>
      <c r="C1465" s="2473" t="s">
        <v>3940</v>
      </c>
      <c r="D1465" s="4066">
        <v>147550000</v>
      </c>
      <c r="E1465" s="2968">
        <v>147550000</v>
      </c>
      <c r="F1465" s="2968">
        <f t="shared" si="83"/>
        <v>100</v>
      </c>
      <c r="G1465" s="2968">
        <v>100</v>
      </c>
      <c r="H1465" s="3715"/>
    </row>
    <row r="1466" spans="2:8" ht="11.25" hidden="1" customHeight="1" x14ac:dyDescent="0.25">
      <c r="B1466" s="448"/>
      <c r="C1466" s="2473"/>
      <c r="D1466" s="4066"/>
      <c r="E1466" s="2690"/>
      <c r="F1466" s="2690"/>
      <c r="G1466" s="2690"/>
      <c r="H1466" s="3715"/>
    </row>
    <row r="1467" spans="2:8" ht="17.25" customHeight="1" x14ac:dyDescent="0.25">
      <c r="B1467" s="441"/>
      <c r="C1467" s="2474" t="s">
        <v>1044</v>
      </c>
      <c r="D1467" s="4065">
        <f>SUM(D1468:D1470)</f>
        <v>21369683040</v>
      </c>
      <c r="E1467" s="2695">
        <f>SUM(E1468:E1470)</f>
        <v>21369683040</v>
      </c>
      <c r="F1467" s="2997">
        <f>E1467/D1467*100</f>
        <v>100</v>
      </c>
      <c r="G1467" s="2969">
        <f>SUM(G1468:G1470)/3</f>
        <v>100</v>
      </c>
      <c r="H1467" s="1462"/>
    </row>
    <row r="1468" spans="2:8" ht="18.75" hidden="1" customHeight="1" x14ac:dyDescent="0.25">
      <c r="B1468" s="448"/>
      <c r="C1468" s="2473" t="s">
        <v>1045</v>
      </c>
      <c r="D1468" s="4066">
        <v>999950000</v>
      </c>
      <c r="E1468" s="2968">
        <v>999950000</v>
      </c>
      <c r="F1468" s="3014">
        <f t="shared" ref="F1468:F1469" si="84">E1468/D1468*100</f>
        <v>100</v>
      </c>
      <c r="G1468" s="2968">
        <v>100</v>
      </c>
      <c r="H1468" s="3715"/>
    </row>
    <row r="1469" spans="2:8" ht="21" hidden="1" customHeight="1" x14ac:dyDescent="0.25">
      <c r="B1469" s="448"/>
      <c r="C1469" s="2473" t="s">
        <v>1046</v>
      </c>
      <c r="D1469" s="4066">
        <v>20217203040</v>
      </c>
      <c r="E1469" s="2968">
        <v>20217203040</v>
      </c>
      <c r="F1469" s="3014">
        <f t="shared" si="84"/>
        <v>100</v>
      </c>
      <c r="G1469" s="2968">
        <v>100</v>
      </c>
      <c r="H1469" s="3715"/>
    </row>
    <row r="1470" spans="2:8" ht="18.75" hidden="1" customHeight="1" x14ac:dyDescent="0.25">
      <c r="B1470" s="448"/>
      <c r="C1470" s="2473" t="s">
        <v>3941</v>
      </c>
      <c r="D1470" s="4066">
        <v>152530000</v>
      </c>
      <c r="E1470" s="2968">
        <v>152530000</v>
      </c>
      <c r="F1470" s="3014">
        <f>E1470/D1470*100</f>
        <v>100</v>
      </c>
      <c r="G1470" s="2968">
        <v>100</v>
      </c>
      <c r="H1470" s="3715"/>
    </row>
    <row r="1471" spans="2:8" ht="12" hidden="1" customHeight="1" x14ac:dyDescent="0.25">
      <c r="B1471" s="448"/>
      <c r="C1471" s="2473"/>
      <c r="D1471" s="4066"/>
      <c r="E1471" s="2690"/>
      <c r="F1471" s="2690"/>
      <c r="G1471" s="2690"/>
      <c r="H1471" s="3715"/>
    </row>
    <row r="1472" spans="2:8" ht="18.75" customHeight="1" x14ac:dyDescent="0.25">
      <c r="B1472" s="441"/>
      <c r="C1472" s="2474" t="s">
        <v>1047</v>
      </c>
      <c r="D1472" s="4065">
        <f>SUM(D1473:D1474)</f>
        <v>350000000</v>
      </c>
      <c r="E1472" s="2695">
        <f>SUM(E1473:E1474)</f>
        <v>350000000</v>
      </c>
      <c r="F1472" s="2997">
        <f>E1472/D1472*100</f>
        <v>100</v>
      </c>
      <c r="G1472" s="2969">
        <f>SUM(G1473:G1474)/2</f>
        <v>100</v>
      </c>
      <c r="H1472" s="1462"/>
    </row>
    <row r="1473" spans="2:8" ht="14.25" hidden="1" customHeight="1" x14ac:dyDescent="0.25">
      <c r="B1473" s="448"/>
      <c r="C1473" s="2473" t="s">
        <v>4739</v>
      </c>
      <c r="D1473" s="4066">
        <v>100000000</v>
      </c>
      <c r="E1473" s="2968">
        <v>100000000</v>
      </c>
      <c r="F1473" s="3014">
        <f t="shared" ref="F1473:F1474" si="85">E1473/D1473*100</f>
        <v>100</v>
      </c>
      <c r="G1473" s="2968">
        <v>100</v>
      </c>
      <c r="H1473" s="3715"/>
    </row>
    <row r="1474" spans="2:8" ht="15" hidden="1" customHeight="1" x14ac:dyDescent="0.25">
      <c r="B1474" s="448"/>
      <c r="C1474" s="2473" t="s">
        <v>1048</v>
      </c>
      <c r="D1474" s="4066">
        <v>250000000</v>
      </c>
      <c r="E1474" s="2968">
        <v>250000000</v>
      </c>
      <c r="F1474" s="3014">
        <f t="shared" si="85"/>
        <v>100</v>
      </c>
      <c r="G1474" s="2968">
        <v>100</v>
      </c>
      <c r="H1474" s="3715"/>
    </row>
    <row r="1475" spans="2:8" ht="9.75" hidden="1" customHeight="1" x14ac:dyDescent="0.25">
      <c r="B1475" s="448"/>
      <c r="C1475" s="2473"/>
      <c r="D1475" s="4066"/>
      <c r="E1475" s="3140"/>
      <c r="F1475" s="2690"/>
      <c r="G1475" s="2967"/>
      <c r="H1475" s="3715"/>
    </row>
    <row r="1476" spans="2:8" ht="20.25" customHeight="1" x14ac:dyDescent="0.25">
      <c r="B1476" s="448"/>
      <c r="C1476" s="2474" t="s">
        <v>1049</v>
      </c>
      <c r="D1476" s="4065">
        <f>D1477</f>
        <v>100000000</v>
      </c>
      <c r="E1476" s="2695">
        <f>E1477</f>
        <v>100000000</v>
      </c>
      <c r="F1476" s="2966">
        <f>SUM(E1476/D1476)*100</f>
        <v>100</v>
      </c>
      <c r="G1476" s="2966">
        <f>G1477</f>
        <v>100</v>
      </c>
      <c r="H1476" s="3715"/>
    </row>
    <row r="1477" spans="2:8" ht="18" hidden="1" customHeight="1" x14ac:dyDescent="0.25">
      <c r="B1477" s="448"/>
      <c r="C1477" s="2473" t="s">
        <v>1050</v>
      </c>
      <c r="D1477" s="4066">
        <v>100000000</v>
      </c>
      <c r="E1477" s="2968">
        <v>100000000</v>
      </c>
      <c r="F1477" s="2968">
        <f>SUM(E1477/D1477)*100</f>
        <v>100</v>
      </c>
      <c r="G1477" s="2968">
        <v>100</v>
      </c>
      <c r="H1477" s="3715"/>
    </row>
    <row r="1478" spans="2:8" ht="10.5" hidden="1" customHeight="1" x14ac:dyDescent="0.25">
      <c r="B1478" s="448"/>
      <c r="C1478" s="2473"/>
      <c r="D1478" s="4066"/>
      <c r="E1478" s="3140"/>
      <c r="F1478" s="2690"/>
      <c r="G1478" s="2967"/>
      <c r="H1478" s="3715"/>
    </row>
    <row r="1479" spans="2:8" ht="17.25" customHeight="1" x14ac:dyDescent="0.25">
      <c r="B1479" s="448"/>
      <c r="C1479" s="2474" t="s">
        <v>1051</v>
      </c>
      <c r="D1479" s="4065">
        <f>D1480</f>
        <v>250000000</v>
      </c>
      <c r="E1479" s="2695">
        <f>E1480</f>
        <v>250000000</v>
      </c>
      <c r="F1479" s="2966">
        <f>SUM(E1479/D1479)*100</f>
        <v>100</v>
      </c>
      <c r="G1479" s="2966">
        <v>100</v>
      </c>
      <c r="H1479" s="3715"/>
    </row>
    <row r="1480" spans="2:8" ht="14.25" hidden="1" customHeight="1" x14ac:dyDescent="0.25">
      <c r="B1480" s="441"/>
      <c r="C1480" s="2476" t="s">
        <v>1052</v>
      </c>
      <c r="D1480" s="4071">
        <v>250000000</v>
      </c>
      <c r="E1480" s="2968">
        <v>250000000</v>
      </c>
      <c r="F1480" s="2968">
        <f>SUM(E1480/D1480)*100</f>
        <v>100</v>
      </c>
      <c r="G1480" s="2968">
        <v>100</v>
      </c>
      <c r="H1480" s="1463"/>
    </row>
    <row r="1481" spans="2:8" ht="9" hidden="1" customHeight="1" x14ac:dyDescent="0.25">
      <c r="B1481" s="441"/>
      <c r="C1481" s="2519"/>
      <c r="D1481" s="4299"/>
      <c r="E1481" s="2784"/>
      <c r="F1481" s="2784"/>
      <c r="G1481" s="2784"/>
      <c r="H1481" s="1463"/>
    </row>
    <row r="1482" spans="2:8" ht="20.25" customHeight="1" x14ac:dyDescent="0.25">
      <c r="B1482" s="441"/>
      <c r="C1482" s="2474" t="s">
        <v>3942</v>
      </c>
      <c r="D1482" s="4065">
        <f>D1483</f>
        <v>11662800000</v>
      </c>
      <c r="E1482" s="2695">
        <f>E1483</f>
        <v>11662800000</v>
      </c>
      <c r="F1482" s="2966">
        <f>SUM(E1482/D1482)*100</f>
        <v>100</v>
      </c>
      <c r="G1482" s="2966">
        <v>100</v>
      </c>
      <c r="H1482" s="1463"/>
    </row>
    <row r="1483" spans="2:8" ht="15.75" hidden="1" customHeight="1" x14ac:dyDescent="0.25">
      <c r="B1483" s="441"/>
      <c r="C1483" s="2475" t="s">
        <v>3943</v>
      </c>
      <c r="D1483" s="4301">
        <v>11662800000</v>
      </c>
      <c r="E1483" s="2968">
        <v>11662800000</v>
      </c>
      <c r="F1483" s="2968">
        <f>SUM(E1483/D1483)*100</f>
        <v>100</v>
      </c>
      <c r="G1483" s="2968">
        <v>100</v>
      </c>
      <c r="H1483" s="1463"/>
    </row>
    <row r="1484" spans="2:8" ht="14.25" hidden="1" customHeight="1" x14ac:dyDescent="0.25">
      <c r="B1484" s="441"/>
      <c r="C1484" s="2541"/>
      <c r="D1484" s="4299"/>
      <c r="E1484" s="2784"/>
      <c r="F1484" s="2784"/>
      <c r="G1484" s="2784"/>
      <c r="H1484" s="1463"/>
    </row>
    <row r="1485" spans="2:8" ht="18" customHeight="1" x14ac:dyDescent="0.25">
      <c r="B1485" s="440"/>
      <c r="C1485" s="2471" t="s">
        <v>398</v>
      </c>
      <c r="D1485" s="4106">
        <f>D1486+D1490+D1494+D1497+D1501+D1504+D1510+D1513+D1516</f>
        <v>13136000000</v>
      </c>
      <c r="E1485" s="2672">
        <f>E1486+E1490+E1494+E1497+E1501+E1504+E1510+E1513+E1516</f>
        <v>12155358000</v>
      </c>
      <c r="F1485" s="2719">
        <f>E1485/D1485*100</f>
        <v>92.534698538367849</v>
      </c>
      <c r="G1485" s="2996">
        <f>SUM(G1486+G1490+G1494+G1497+G1501+G1504+G1510+G1513+G1516)/9</f>
        <v>91.044444444444437</v>
      </c>
      <c r="H1485" s="1462"/>
    </row>
    <row r="1486" spans="2:8" ht="21.75" customHeight="1" x14ac:dyDescent="0.25">
      <c r="B1486" s="441"/>
      <c r="C1486" s="2472" t="s">
        <v>1053</v>
      </c>
      <c r="D1486" s="4072">
        <f>D1487+D1488</f>
        <v>5336000000</v>
      </c>
      <c r="E1486" s="2734">
        <f>E1487+E1488</f>
        <v>4885450000</v>
      </c>
      <c r="F1486" s="2966">
        <f>SUM(E1486/D1486)*100</f>
        <v>91.556409295352324</v>
      </c>
      <c r="G1486" s="2966">
        <f>SUM(G1487:G1488)/2</f>
        <v>49.4</v>
      </c>
      <c r="H1486" s="1462"/>
    </row>
    <row r="1487" spans="2:8" ht="14.25" hidden="1" customHeight="1" x14ac:dyDescent="0.25">
      <c r="B1487" s="448"/>
      <c r="C1487" s="2473" t="s">
        <v>1054</v>
      </c>
      <c r="D1487" s="4066">
        <v>336000000</v>
      </c>
      <c r="E1487" s="2968">
        <v>0</v>
      </c>
      <c r="F1487" s="2968">
        <f>SUM(E1487/D1487)*100</f>
        <v>0</v>
      </c>
      <c r="G1487" s="2968">
        <v>0</v>
      </c>
      <c r="H1487" s="3715"/>
    </row>
    <row r="1488" spans="2:8" ht="14.25" hidden="1" customHeight="1" x14ac:dyDescent="0.25">
      <c r="B1488" s="448"/>
      <c r="C1488" s="2473" t="s">
        <v>1055</v>
      </c>
      <c r="D1488" s="4066">
        <v>5000000000</v>
      </c>
      <c r="E1488" s="2968">
        <v>4885450000</v>
      </c>
      <c r="F1488" s="3014">
        <f t="shared" ref="F1488" si="86">E1488/D1488*100</f>
        <v>97.709000000000003</v>
      </c>
      <c r="G1488" s="2968">
        <v>98.8</v>
      </c>
      <c r="H1488" s="3715"/>
    </row>
    <row r="1489" spans="2:8" ht="12" hidden="1" customHeight="1" x14ac:dyDescent="0.25">
      <c r="B1489" s="448"/>
      <c r="C1489" s="2473"/>
      <c r="D1489" s="4066"/>
      <c r="E1489" s="2690"/>
      <c r="F1489" s="2690"/>
      <c r="G1489" s="2690"/>
      <c r="H1489" s="3715"/>
    </row>
    <row r="1490" spans="2:8" ht="18" customHeight="1" x14ac:dyDescent="0.25">
      <c r="B1490" s="441"/>
      <c r="C1490" s="2474" t="s">
        <v>1056</v>
      </c>
      <c r="D1490" s="4065">
        <f>SUM(D1491:D1492)</f>
        <v>600000000</v>
      </c>
      <c r="E1490" s="2695">
        <f>SUM(E1491:E1492)</f>
        <v>599400000</v>
      </c>
      <c r="F1490" s="2997">
        <f>E1490/D1490*100</f>
        <v>99.9</v>
      </c>
      <c r="G1490" s="2969">
        <f>SUM(G1491:G1492)/2</f>
        <v>100</v>
      </c>
      <c r="H1490" s="1462"/>
    </row>
    <row r="1491" spans="2:8" ht="14.25" hidden="1" customHeight="1" x14ac:dyDescent="0.25">
      <c r="B1491" s="448"/>
      <c r="C1491" s="2473" t="s">
        <v>1057</v>
      </c>
      <c r="D1491" s="4066">
        <v>350000000</v>
      </c>
      <c r="E1491" s="3140">
        <v>350000000</v>
      </c>
      <c r="F1491" s="3014">
        <f t="shared" ref="F1491:F1492" si="87">E1491/D1491*100</f>
        <v>100</v>
      </c>
      <c r="G1491" s="3014">
        <v>100</v>
      </c>
      <c r="H1491" s="3715"/>
    </row>
    <row r="1492" spans="2:8" ht="14.25" hidden="1" customHeight="1" x14ac:dyDescent="0.25">
      <c r="B1492" s="448"/>
      <c r="C1492" s="2473" t="s">
        <v>1058</v>
      </c>
      <c r="D1492" s="4066">
        <v>250000000</v>
      </c>
      <c r="E1492" s="2690">
        <v>249400000</v>
      </c>
      <c r="F1492" s="3014">
        <f t="shared" si="87"/>
        <v>99.76</v>
      </c>
      <c r="G1492" s="2690">
        <v>100</v>
      </c>
      <c r="H1492" s="3715"/>
    </row>
    <row r="1493" spans="2:8" ht="9" hidden="1" customHeight="1" x14ac:dyDescent="0.25">
      <c r="B1493" s="448"/>
      <c r="C1493" s="2473"/>
      <c r="D1493" s="4066"/>
      <c r="E1493" s="2690"/>
      <c r="F1493" s="2690"/>
      <c r="G1493" s="2690"/>
      <c r="H1493" s="3715"/>
    </row>
    <row r="1494" spans="2:8" ht="17.25" customHeight="1" x14ac:dyDescent="0.25">
      <c r="B1494" s="441"/>
      <c r="C1494" s="2474" t="s">
        <v>405</v>
      </c>
      <c r="D1494" s="4065">
        <f>D1495</f>
        <v>800000000</v>
      </c>
      <c r="E1494" s="2695">
        <f>SUM(E1495)</f>
        <v>800000000</v>
      </c>
      <c r="F1494" s="2966">
        <f>SUM(E1494/D1494)*100</f>
        <v>100</v>
      </c>
      <c r="G1494" s="2966">
        <f>G1495</f>
        <v>100</v>
      </c>
      <c r="H1494" s="1462"/>
    </row>
    <row r="1495" spans="2:8" ht="18" hidden="1" customHeight="1" x14ac:dyDescent="0.25">
      <c r="B1495" s="441"/>
      <c r="C1495" s="2476" t="s">
        <v>1059</v>
      </c>
      <c r="D1495" s="4071">
        <v>800000000</v>
      </c>
      <c r="E1495" s="3645">
        <v>800000000</v>
      </c>
      <c r="F1495" s="2999">
        <f>SUM(E1495/D1495)*100</f>
        <v>100</v>
      </c>
      <c r="G1495" s="2985">
        <v>100</v>
      </c>
      <c r="H1495" s="3719"/>
    </row>
    <row r="1496" spans="2:8" ht="11.25" hidden="1" customHeight="1" x14ac:dyDescent="0.25">
      <c r="B1496" s="449"/>
      <c r="C1496" s="2473"/>
      <c r="D1496" s="4065"/>
      <c r="E1496" s="3998"/>
      <c r="F1496" s="2695"/>
      <c r="G1496" s="2969"/>
      <c r="H1496" s="1462"/>
    </row>
    <row r="1497" spans="2:8" ht="18.75" customHeight="1" x14ac:dyDescent="0.25">
      <c r="B1497" s="441"/>
      <c r="C1497" s="2472" t="s">
        <v>409</v>
      </c>
      <c r="D1497" s="4072">
        <f>SUM(D1498:D1499)</f>
        <v>600000000</v>
      </c>
      <c r="E1497" s="2734">
        <f>SUM(E1498:E1499)</f>
        <v>600000000</v>
      </c>
      <c r="F1497" s="2997">
        <f>E1497/D1497*100</f>
        <v>100</v>
      </c>
      <c r="G1497" s="3010">
        <f>SUM(G1498:G1499)/2</f>
        <v>100</v>
      </c>
      <c r="H1497" s="3718"/>
    </row>
    <row r="1498" spans="2:8" ht="18" hidden="1" customHeight="1" x14ac:dyDescent="0.25">
      <c r="B1498" s="448"/>
      <c r="C1498" s="2473" t="s">
        <v>1060</v>
      </c>
      <c r="D1498" s="4066">
        <v>200000000</v>
      </c>
      <c r="E1498" s="3140">
        <v>200000000</v>
      </c>
      <c r="F1498" s="2999">
        <f>SUM(E1498/D1498)*100</f>
        <v>100</v>
      </c>
      <c r="G1498" s="2968">
        <v>100</v>
      </c>
      <c r="H1498" s="3715"/>
    </row>
    <row r="1499" spans="2:8" ht="14.25" hidden="1" customHeight="1" x14ac:dyDescent="0.25">
      <c r="B1499" s="448"/>
      <c r="C1499" s="2473" t="s">
        <v>1061</v>
      </c>
      <c r="D1499" s="4066">
        <v>400000000</v>
      </c>
      <c r="E1499" s="2968">
        <v>400000000</v>
      </c>
      <c r="F1499" s="2968">
        <f>SUM(E1499/D1499)*100</f>
        <v>100</v>
      </c>
      <c r="G1499" s="2967">
        <v>100</v>
      </c>
      <c r="H1499" s="3715"/>
    </row>
    <row r="1500" spans="2:8" ht="9.75" hidden="1" customHeight="1" x14ac:dyDescent="0.25">
      <c r="B1500" s="448"/>
      <c r="C1500" s="2473"/>
      <c r="D1500" s="4066"/>
      <c r="E1500" s="2968"/>
      <c r="F1500" s="2690"/>
      <c r="G1500" s="2967"/>
      <c r="H1500" s="3715"/>
    </row>
    <row r="1501" spans="2:8" ht="19.5" customHeight="1" x14ac:dyDescent="0.25">
      <c r="B1501" s="448"/>
      <c r="C1501" s="2474" t="s">
        <v>1062</v>
      </c>
      <c r="D1501" s="4065">
        <f>D1502</f>
        <v>200000000</v>
      </c>
      <c r="E1501" s="3998">
        <f>E1502</f>
        <v>200000000</v>
      </c>
      <c r="F1501" s="2966">
        <f>SUM(E1501/D1501)*100</f>
        <v>100</v>
      </c>
      <c r="G1501" s="2969">
        <v>100</v>
      </c>
      <c r="H1501" s="3715"/>
    </row>
    <row r="1502" spans="2:8" ht="14.25" hidden="1" customHeight="1" x14ac:dyDescent="0.25">
      <c r="B1502" s="448"/>
      <c r="C1502" s="2473" t="s">
        <v>1063</v>
      </c>
      <c r="D1502" s="4066">
        <v>200000000</v>
      </c>
      <c r="E1502" s="3140">
        <v>200000000</v>
      </c>
      <c r="F1502" s="2968">
        <f>SUM(E1502/D1502)*100</f>
        <v>100</v>
      </c>
      <c r="G1502" s="2690">
        <v>100</v>
      </c>
      <c r="H1502" s="3715"/>
    </row>
    <row r="1503" spans="2:8" ht="10.5" hidden="1" customHeight="1" x14ac:dyDescent="0.25">
      <c r="B1503" s="448"/>
      <c r="C1503" s="2473"/>
      <c r="D1503" s="4066"/>
      <c r="E1503" s="3140"/>
      <c r="F1503" s="2690"/>
      <c r="G1503" s="2690"/>
      <c r="H1503" s="3715"/>
    </row>
    <row r="1504" spans="2:8" ht="31.5" customHeight="1" x14ac:dyDescent="0.25">
      <c r="B1504" s="441"/>
      <c r="C1504" s="2474" t="s">
        <v>1064</v>
      </c>
      <c r="D1504" s="4159">
        <f>SUM(D1505:D1508)</f>
        <v>2700000000</v>
      </c>
      <c r="E1504" s="2966">
        <f>SUM(E1505:E1508)</f>
        <v>2694300000</v>
      </c>
      <c r="F1504" s="2966">
        <f>SUM(E1504/D1504)*100</f>
        <v>99.788888888888891</v>
      </c>
      <c r="G1504" s="2969">
        <f>SUM(G1505:G1507)/3</f>
        <v>100</v>
      </c>
      <c r="H1504" s="1462"/>
    </row>
    <row r="1505" spans="2:9" ht="18.75" hidden="1" customHeight="1" x14ac:dyDescent="0.25">
      <c r="B1505" s="448"/>
      <c r="C1505" s="2473" t="s">
        <v>1065</v>
      </c>
      <c r="D1505" s="4066">
        <v>1000000000</v>
      </c>
      <c r="E1505" s="2968">
        <v>999600000</v>
      </c>
      <c r="F1505" s="2968">
        <f>SUM(E1505/D1505)*100</f>
        <v>99.960000000000008</v>
      </c>
      <c r="G1505" s="2968">
        <v>100</v>
      </c>
      <c r="H1505" s="3715"/>
    </row>
    <row r="1506" spans="2:9" ht="15.75" hidden="1" customHeight="1" x14ac:dyDescent="0.25">
      <c r="B1506" s="448"/>
      <c r="C1506" s="2473" t="s">
        <v>1066</v>
      </c>
      <c r="D1506" s="4066">
        <v>700000000</v>
      </c>
      <c r="E1506" s="3140">
        <v>695000000</v>
      </c>
      <c r="F1506" s="2968">
        <f t="shared" ref="F1506:F1507" si="88">SUM(E1506/D1506)*100</f>
        <v>99.285714285714292</v>
      </c>
      <c r="G1506" s="2967">
        <v>100</v>
      </c>
      <c r="H1506" s="3715"/>
    </row>
    <row r="1507" spans="2:9" ht="17.25" hidden="1" customHeight="1" x14ac:dyDescent="0.25">
      <c r="B1507" s="441"/>
      <c r="C1507" s="2473" t="s">
        <v>1067</v>
      </c>
      <c r="D1507" s="4066">
        <v>1000000000</v>
      </c>
      <c r="E1507" s="3035">
        <v>999700000</v>
      </c>
      <c r="F1507" s="2968">
        <f t="shared" si="88"/>
        <v>99.97</v>
      </c>
      <c r="G1507" s="2690">
        <v>100</v>
      </c>
      <c r="H1507" s="1463"/>
    </row>
    <row r="1508" spans="2:9" ht="14.25" hidden="1" customHeight="1" x14ac:dyDescent="0.25">
      <c r="B1508" s="441"/>
      <c r="C1508" s="2473" t="s">
        <v>1068</v>
      </c>
      <c r="D1508" s="4066" t="s">
        <v>3317</v>
      </c>
      <c r="E1508" s="3140" t="s">
        <v>3317</v>
      </c>
      <c r="F1508" s="3140" t="s">
        <v>3317</v>
      </c>
      <c r="G1508" s="3140" t="s">
        <v>3317</v>
      </c>
      <c r="H1508" s="3640"/>
      <c r="I1508" s="542" t="s">
        <v>3317</v>
      </c>
    </row>
    <row r="1509" spans="2:9" ht="8.25" hidden="1" customHeight="1" x14ac:dyDescent="0.25">
      <c r="B1509" s="441"/>
      <c r="C1509" s="2473"/>
      <c r="D1509" s="4066"/>
      <c r="E1509" s="3140"/>
      <c r="F1509" s="2690"/>
      <c r="G1509" s="2690"/>
      <c r="H1509" s="1463"/>
    </row>
    <row r="1510" spans="2:9" ht="18" customHeight="1" x14ac:dyDescent="0.25">
      <c r="B1510" s="441"/>
      <c r="C1510" s="2474" t="s">
        <v>1069</v>
      </c>
      <c r="D1510" s="4065">
        <f>D1511</f>
        <v>1300000000</v>
      </c>
      <c r="E1510" s="2695">
        <f>E1511</f>
        <v>1275608000</v>
      </c>
      <c r="F1510" s="2966">
        <f>SUM(E1510/D1510)*100</f>
        <v>98.123692307692309</v>
      </c>
      <c r="G1510" s="2695">
        <f>G1511</f>
        <v>100</v>
      </c>
      <c r="H1510" s="1463"/>
    </row>
    <row r="1511" spans="2:9" ht="18.75" hidden="1" customHeight="1" x14ac:dyDescent="0.25">
      <c r="B1511" s="441"/>
      <c r="C1511" s="2473" t="s">
        <v>1070</v>
      </c>
      <c r="D1511" s="4066">
        <v>1300000000</v>
      </c>
      <c r="E1511" s="2690">
        <v>1275608000</v>
      </c>
      <c r="F1511" s="2968">
        <f>SUM(E1511/D1511)*100</f>
        <v>98.123692307692309</v>
      </c>
      <c r="G1511" s="2690">
        <v>100</v>
      </c>
      <c r="H1511" s="1463"/>
    </row>
    <row r="1512" spans="2:9" ht="9" hidden="1" customHeight="1" x14ac:dyDescent="0.25">
      <c r="B1512" s="441"/>
      <c r="C1512" s="2473"/>
      <c r="D1512" s="4066"/>
      <c r="E1512" s="3035"/>
      <c r="F1512" s="2690"/>
      <c r="G1512" s="2690"/>
      <c r="H1512" s="1463"/>
    </row>
    <row r="1513" spans="2:9" ht="16.5" customHeight="1" x14ac:dyDescent="0.25">
      <c r="B1513" s="441"/>
      <c r="C1513" s="2474" t="s">
        <v>1071</v>
      </c>
      <c r="D1513" s="4065">
        <f>D1514</f>
        <v>1000000000</v>
      </c>
      <c r="E1513" s="2695">
        <f>E1514</f>
        <v>500600000</v>
      </c>
      <c r="F1513" s="2966">
        <f>SUM(E1513/D1513)*100</f>
        <v>50.06</v>
      </c>
      <c r="G1513" s="2966">
        <f>G1514</f>
        <v>70</v>
      </c>
      <c r="H1513" s="1463"/>
    </row>
    <row r="1514" spans="2:9" ht="18.75" hidden="1" customHeight="1" x14ac:dyDescent="0.25">
      <c r="B1514" s="441"/>
      <c r="C1514" s="2473" t="s">
        <v>1072</v>
      </c>
      <c r="D1514" s="4066">
        <v>1000000000</v>
      </c>
      <c r="E1514" s="2968">
        <v>500600000</v>
      </c>
      <c r="F1514" s="2968">
        <f>SUM(E1514/D1514)*100</f>
        <v>50.06</v>
      </c>
      <c r="G1514" s="2968">
        <v>70</v>
      </c>
      <c r="H1514" s="1463"/>
    </row>
    <row r="1515" spans="2:9" ht="9" hidden="1" customHeight="1" x14ac:dyDescent="0.25">
      <c r="B1515" s="441"/>
      <c r="C1515" s="2473"/>
      <c r="D1515" s="4066"/>
      <c r="E1515" s="3140"/>
      <c r="F1515" s="2690"/>
      <c r="G1515" s="2690"/>
      <c r="H1515" s="1463"/>
    </row>
    <row r="1516" spans="2:9" ht="17.25" customHeight="1" x14ac:dyDescent="0.25">
      <c r="B1516" s="441"/>
      <c r="C1516" s="2474" t="s">
        <v>1073</v>
      </c>
      <c r="D1516" s="4065">
        <f>SUM(D1517:D1518)</f>
        <v>600000000</v>
      </c>
      <c r="E1516" s="2966">
        <f>SUM(E1517:E1518)</f>
        <v>600000000</v>
      </c>
      <c r="F1516" s="2966">
        <f>SUM(E1516/D1516)*100</f>
        <v>100</v>
      </c>
      <c r="G1516" s="2969">
        <f>SUM(G1517:G1518)/2</f>
        <v>100</v>
      </c>
      <c r="H1516" s="1463"/>
    </row>
    <row r="1517" spans="2:9" ht="18" hidden="1" customHeight="1" x14ac:dyDescent="0.25">
      <c r="B1517" s="441"/>
      <c r="C1517" s="2473" t="s">
        <v>1074</v>
      </c>
      <c r="D1517" s="4066">
        <v>350000000</v>
      </c>
      <c r="E1517" s="2968">
        <v>350000000</v>
      </c>
      <c r="F1517" s="2968">
        <f>SUM(E1517/D1517)*100</f>
        <v>100</v>
      </c>
      <c r="G1517" s="2968">
        <v>100</v>
      </c>
      <c r="H1517" s="1463"/>
    </row>
    <row r="1518" spans="2:9" ht="28.5" hidden="1" customHeight="1" x14ac:dyDescent="0.25">
      <c r="B1518" s="441"/>
      <c r="C1518" s="2473" t="s">
        <v>1075</v>
      </c>
      <c r="D1518" s="4066">
        <v>250000000</v>
      </c>
      <c r="E1518" s="2690">
        <v>250000000</v>
      </c>
      <c r="F1518" s="2968">
        <f>SUM(E1518/D1518)*100</f>
        <v>100</v>
      </c>
      <c r="G1518" s="2967">
        <v>100</v>
      </c>
      <c r="H1518" s="1463"/>
    </row>
    <row r="1519" spans="2:9" ht="14.25" hidden="1" customHeight="1" x14ac:dyDescent="0.25">
      <c r="B1519" s="441"/>
      <c r="C1519" s="2531"/>
      <c r="D1519" s="4299"/>
      <c r="E1519" s="2784"/>
      <c r="F1519" s="2784"/>
      <c r="G1519" s="2784"/>
      <c r="H1519" s="1463"/>
    </row>
    <row r="1520" spans="2:9" ht="18.75" customHeight="1" x14ac:dyDescent="0.25">
      <c r="B1520" s="440"/>
      <c r="C1520" s="2471" t="s">
        <v>1076</v>
      </c>
      <c r="D1520" s="4106">
        <f>D1521</f>
        <v>11700000000</v>
      </c>
      <c r="E1520" s="2672">
        <f>E1521</f>
        <v>11434659317</v>
      </c>
      <c r="F1520" s="2719">
        <f>E1520/D1520*100</f>
        <v>97.732130914529918</v>
      </c>
      <c r="G1520" s="2670">
        <f>G1521</f>
        <v>100</v>
      </c>
      <c r="H1520" s="1462"/>
    </row>
    <row r="1521" spans="2:8" ht="30" customHeight="1" x14ac:dyDescent="0.25">
      <c r="B1521" s="441"/>
      <c r="C1521" s="2472" t="s">
        <v>1077</v>
      </c>
      <c r="D1521" s="4065">
        <f>SUM(D1522:D1527)</f>
        <v>11700000000</v>
      </c>
      <c r="E1521" s="2695">
        <f>SUM(E1522:E1527)</f>
        <v>11434659317</v>
      </c>
      <c r="F1521" s="2966">
        <f>E1521/D1521*100</f>
        <v>97.732130914529918</v>
      </c>
      <c r="G1521" s="2677">
        <f>SUM(G1522:G1527)/6</f>
        <v>100</v>
      </c>
      <c r="H1521" s="1462"/>
    </row>
    <row r="1522" spans="2:8" ht="14.25" hidden="1" customHeight="1" x14ac:dyDescent="0.25">
      <c r="B1522" s="448"/>
      <c r="C1522" s="2473" t="s">
        <v>1078</v>
      </c>
      <c r="D1522" s="4066">
        <v>2000000000</v>
      </c>
      <c r="E1522" s="2968">
        <v>1952475732</v>
      </c>
      <c r="F1522" s="2968">
        <f>SUM(E1522/D1522)*100</f>
        <v>97.623786599999988</v>
      </c>
      <c r="G1522" s="2968">
        <v>100</v>
      </c>
      <c r="H1522" s="3715"/>
    </row>
    <row r="1523" spans="2:8" ht="14.25" hidden="1" customHeight="1" x14ac:dyDescent="0.25">
      <c r="B1523" s="448"/>
      <c r="C1523" s="2473" t="s">
        <v>1079</v>
      </c>
      <c r="D1523" s="4066">
        <v>100000000</v>
      </c>
      <c r="E1523" s="2968">
        <v>99200000</v>
      </c>
      <c r="F1523" s="2968">
        <f t="shared" ref="F1523:F1525" si="89">SUM(E1523/D1523)*100</f>
        <v>99.2</v>
      </c>
      <c r="G1523" s="2968">
        <v>100</v>
      </c>
      <c r="H1523" s="3715"/>
    </row>
    <row r="1524" spans="2:8" ht="14.25" hidden="1" customHeight="1" x14ac:dyDescent="0.25">
      <c r="B1524" s="448"/>
      <c r="C1524" s="2473" t="s">
        <v>1080</v>
      </c>
      <c r="D1524" s="4066">
        <v>200000000</v>
      </c>
      <c r="E1524" s="2968">
        <v>200000000</v>
      </c>
      <c r="F1524" s="2968">
        <f t="shared" si="89"/>
        <v>100</v>
      </c>
      <c r="G1524" s="2968">
        <v>100</v>
      </c>
      <c r="H1524" s="3715"/>
    </row>
    <row r="1525" spans="2:8" ht="16.5" hidden="1" customHeight="1" x14ac:dyDescent="0.25">
      <c r="B1525" s="448"/>
      <c r="C1525" s="2473" t="s">
        <v>1081</v>
      </c>
      <c r="D1525" s="4066">
        <v>3757320000</v>
      </c>
      <c r="E1525" s="2968">
        <v>3667760627</v>
      </c>
      <c r="F1525" s="2968">
        <f t="shared" si="89"/>
        <v>97.61640283499942</v>
      </c>
      <c r="G1525" s="2968">
        <v>100</v>
      </c>
      <c r="H1525" s="3715"/>
    </row>
    <row r="1526" spans="2:8" ht="17.25" hidden="1" customHeight="1" x14ac:dyDescent="0.25">
      <c r="B1526" s="441"/>
      <c r="C1526" s="2476" t="s">
        <v>1082</v>
      </c>
      <c r="D1526" s="4071">
        <v>952499450</v>
      </c>
      <c r="E1526" s="2710">
        <v>912140380</v>
      </c>
      <c r="F1526" s="2968">
        <f>SUM(E1526/D1526)*100</f>
        <v>95.76282484992511</v>
      </c>
      <c r="G1526" s="2710">
        <v>100</v>
      </c>
      <c r="H1526" s="1463"/>
    </row>
    <row r="1527" spans="2:8" ht="14.25" hidden="1" customHeight="1" x14ac:dyDescent="0.25">
      <c r="B1527" s="441"/>
      <c r="C1527" s="2473" t="s">
        <v>1083</v>
      </c>
      <c r="D1527" s="4066">
        <v>4690180550</v>
      </c>
      <c r="E1527" s="2968">
        <v>4603082578</v>
      </c>
      <c r="F1527" s="2968">
        <f>SUM(E1527/D1527)*100</f>
        <v>98.142971873438853</v>
      </c>
      <c r="G1527" s="2968">
        <v>100</v>
      </c>
      <c r="H1527" s="1463"/>
    </row>
    <row r="1528" spans="2:8" ht="14.25" hidden="1" customHeight="1" x14ac:dyDescent="0.25">
      <c r="B1528" s="441"/>
      <c r="C1528" s="2531"/>
      <c r="D1528" s="4299"/>
      <c r="E1528" s="2784"/>
      <c r="F1528" s="2784"/>
      <c r="G1528" s="2784"/>
      <c r="H1528" s="1463"/>
    </row>
    <row r="1529" spans="2:8" ht="17.25" customHeight="1" x14ac:dyDescent="0.25">
      <c r="B1529" s="440"/>
      <c r="C1529" s="2471" t="s">
        <v>1084</v>
      </c>
      <c r="D1529" s="4106">
        <f>D1530+D1534+D1538+D1541+D1545+D1548</f>
        <v>66113000000</v>
      </c>
      <c r="E1529" s="2672">
        <f>E1530+E1534+E1538+E1541+E1545+E1548</f>
        <v>65396500519</v>
      </c>
      <c r="F1529" s="2719">
        <f>E1529/D1529*100</f>
        <v>98.916250236715925</v>
      </c>
      <c r="G1529" s="2670">
        <f>SUM(G1530+G1534+G1538+G1541+G1545+G1548)/6</f>
        <v>100</v>
      </c>
      <c r="H1529" s="1462"/>
    </row>
    <row r="1530" spans="2:8" ht="18.75" customHeight="1" x14ac:dyDescent="0.25">
      <c r="B1530" s="441"/>
      <c r="C1530" s="2472" t="s">
        <v>1085</v>
      </c>
      <c r="D1530" s="4072">
        <f>SUM(D1531:D1532)</f>
        <v>44130000000</v>
      </c>
      <c r="E1530" s="2734">
        <f>SUM(E1531:E1532)</f>
        <v>43420181519</v>
      </c>
      <c r="F1530" s="2966">
        <f>E1530/D1530*100</f>
        <v>98.391528481758442</v>
      </c>
      <c r="G1530" s="2677">
        <f>SUM(G1531:G1532)/2</f>
        <v>100</v>
      </c>
      <c r="H1530" s="1462"/>
    </row>
    <row r="1531" spans="2:8" ht="15" hidden="1" customHeight="1" x14ac:dyDescent="0.25">
      <c r="B1531" s="448"/>
      <c r="C1531" s="2542" t="s">
        <v>1086</v>
      </c>
      <c r="D1531" s="3704">
        <v>23440000000</v>
      </c>
      <c r="E1531" s="2968">
        <v>23419550000</v>
      </c>
      <c r="F1531" s="2968">
        <f>SUM(E1531/D1531)*100</f>
        <v>99.912755972696246</v>
      </c>
      <c r="G1531" s="2967">
        <v>100</v>
      </c>
      <c r="H1531" s="3715"/>
    </row>
    <row r="1532" spans="2:8" ht="17.25" hidden="1" customHeight="1" x14ac:dyDescent="0.25">
      <c r="B1532" s="448"/>
      <c r="C1532" s="2542" t="s">
        <v>1087</v>
      </c>
      <c r="D1532" s="3704">
        <v>20690000000</v>
      </c>
      <c r="E1532" s="2968">
        <v>20000631519</v>
      </c>
      <c r="F1532" s="2968">
        <f>SUM(E1532/D1532)*100</f>
        <v>96.668107873368783</v>
      </c>
      <c r="G1532" s="2967">
        <v>100</v>
      </c>
      <c r="H1532" s="3715"/>
    </row>
    <row r="1533" spans="2:8" ht="8.25" hidden="1" customHeight="1" x14ac:dyDescent="0.25">
      <c r="B1533" s="448"/>
      <c r="C1533" s="2473"/>
      <c r="D1533" s="4066"/>
      <c r="E1533" s="2968"/>
      <c r="F1533" s="2690"/>
      <c r="G1533" s="2967"/>
      <c r="H1533" s="3715"/>
    </row>
    <row r="1534" spans="2:8" ht="18.75" customHeight="1" x14ac:dyDescent="0.25">
      <c r="B1534" s="448"/>
      <c r="C1534" s="2474" t="s">
        <v>1088</v>
      </c>
      <c r="D1534" s="4065">
        <f>SUM(D1535:D1536)</f>
        <v>3483000000</v>
      </c>
      <c r="E1534" s="2695">
        <f>SUM(E1535:E1536)</f>
        <v>3483000000</v>
      </c>
      <c r="F1534" s="2966">
        <f>E1534/D1534*100</f>
        <v>100</v>
      </c>
      <c r="G1534" s="2969">
        <f>SUM(G1535:G1536)/2</f>
        <v>100</v>
      </c>
      <c r="H1534" s="3715"/>
    </row>
    <row r="1535" spans="2:8" ht="16.5" hidden="1" customHeight="1" x14ac:dyDescent="0.25">
      <c r="B1535" s="448"/>
      <c r="C1535" s="2473" t="s">
        <v>1089</v>
      </c>
      <c r="D1535" s="4066">
        <v>983000000</v>
      </c>
      <c r="E1535" s="2968">
        <v>983000000</v>
      </c>
      <c r="F1535" s="2968">
        <f>SUM(E1535/D1535)*100</f>
        <v>100</v>
      </c>
      <c r="G1535" s="2967">
        <v>100</v>
      </c>
      <c r="H1535" s="3715"/>
    </row>
    <row r="1536" spans="2:8" ht="17.25" hidden="1" customHeight="1" x14ac:dyDescent="0.25">
      <c r="B1536" s="448"/>
      <c r="C1536" s="2473" t="s">
        <v>1090</v>
      </c>
      <c r="D1536" s="4066">
        <v>2500000000</v>
      </c>
      <c r="E1536" s="2968">
        <v>2500000000</v>
      </c>
      <c r="F1536" s="2968">
        <f>SUM(E1536/D1536)*100</f>
        <v>100</v>
      </c>
      <c r="G1536" s="2967">
        <v>100</v>
      </c>
      <c r="H1536" s="3715"/>
    </row>
    <row r="1537" spans="2:8" ht="9.75" hidden="1" customHeight="1" x14ac:dyDescent="0.25">
      <c r="B1537" s="448"/>
      <c r="C1537" s="2473"/>
      <c r="D1537" s="4066"/>
      <c r="E1537" s="2968"/>
      <c r="F1537" s="2690"/>
      <c r="G1537" s="2967"/>
      <c r="H1537" s="3715"/>
    </row>
    <row r="1538" spans="2:8" ht="19.5" customHeight="1" x14ac:dyDescent="0.25">
      <c r="B1538" s="441"/>
      <c r="C1538" s="2474" t="s">
        <v>1091</v>
      </c>
      <c r="D1538" s="4065">
        <f>D1539</f>
        <v>1500000000</v>
      </c>
      <c r="E1538" s="2695">
        <f>E1539</f>
        <v>1497320000</v>
      </c>
      <c r="F1538" s="2966">
        <f>E1538/D1538*100</f>
        <v>99.821333333333328</v>
      </c>
      <c r="G1538" s="2969">
        <f>G1539</f>
        <v>100</v>
      </c>
      <c r="H1538" s="1462"/>
    </row>
    <row r="1539" spans="2:8" ht="14.25" hidden="1" customHeight="1" x14ac:dyDescent="0.25">
      <c r="B1539" s="448"/>
      <c r="C1539" s="2476" t="s">
        <v>1092</v>
      </c>
      <c r="D1539" s="4071">
        <v>1500000000</v>
      </c>
      <c r="E1539" s="2999">
        <v>1497320000</v>
      </c>
      <c r="F1539" s="2999">
        <f>SUM(E1539/D1539)*100</f>
        <v>99.821333333333328</v>
      </c>
      <c r="G1539" s="2985">
        <v>100</v>
      </c>
      <c r="H1539" s="3716"/>
    </row>
    <row r="1540" spans="2:8" ht="9.75" hidden="1" customHeight="1" x14ac:dyDescent="0.25">
      <c r="B1540" s="462"/>
      <c r="C1540" s="2473"/>
      <c r="D1540" s="4066"/>
      <c r="E1540" s="2968"/>
      <c r="F1540" s="2690"/>
      <c r="G1540" s="2967"/>
      <c r="H1540" s="3715"/>
    </row>
    <row r="1541" spans="2:8" ht="20.25" customHeight="1" x14ac:dyDescent="0.25">
      <c r="B1541" s="441"/>
      <c r="C1541" s="2472" t="s">
        <v>1093</v>
      </c>
      <c r="D1541" s="4072">
        <f>SUM(D1542:D1543)</f>
        <v>12800000000</v>
      </c>
      <c r="E1541" s="2734">
        <f>SUM(E1542:E1543)</f>
        <v>12796000000</v>
      </c>
      <c r="F1541" s="2997">
        <f>E1541/D1541*100</f>
        <v>99.96875</v>
      </c>
      <c r="G1541" s="2677">
        <f>SUM(G1542:G1543)/2</f>
        <v>100</v>
      </c>
      <c r="H1541" s="3718"/>
    </row>
    <row r="1542" spans="2:8" ht="18" hidden="1" customHeight="1" x14ac:dyDescent="0.25">
      <c r="B1542" s="448"/>
      <c r="C1542" s="2473" t="s">
        <v>1094</v>
      </c>
      <c r="D1542" s="4066">
        <v>2500000000</v>
      </c>
      <c r="E1542" s="2968">
        <v>2500000000</v>
      </c>
      <c r="F1542" s="2968">
        <f>SUM(E1542/D1542)*100</f>
        <v>100</v>
      </c>
      <c r="G1542" s="2967">
        <v>100</v>
      </c>
      <c r="H1542" s="3715"/>
    </row>
    <row r="1543" spans="2:8" ht="17.25" hidden="1" customHeight="1" x14ac:dyDescent="0.25">
      <c r="B1543" s="441"/>
      <c r="C1543" s="2476" t="s">
        <v>1095</v>
      </c>
      <c r="D1543" s="4071">
        <v>10300000000</v>
      </c>
      <c r="E1543" s="2710">
        <v>10296000000</v>
      </c>
      <c r="F1543" s="2968">
        <f>SUM(E1543/D1543)*100</f>
        <v>99.961165048543691</v>
      </c>
      <c r="G1543" s="2778">
        <v>100</v>
      </c>
      <c r="H1543" s="1463"/>
    </row>
    <row r="1544" spans="2:8" ht="12" hidden="1" customHeight="1" x14ac:dyDescent="0.25">
      <c r="B1544" s="441"/>
      <c r="C1544" s="2517"/>
      <c r="D1544" s="4066"/>
      <c r="E1544" s="2690"/>
      <c r="F1544" s="3035"/>
      <c r="G1544" s="3035"/>
      <c r="H1544" s="1463"/>
    </row>
    <row r="1545" spans="2:8" ht="16.5" customHeight="1" x14ac:dyDescent="0.25">
      <c r="B1545" s="441"/>
      <c r="C1545" s="2474" t="s">
        <v>1096</v>
      </c>
      <c r="D1545" s="4065">
        <f>D1546</f>
        <v>1700000000</v>
      </c>
      <c r="E1545" s="2695">
        <f>E1546</f>
        <v>1700000000</v>
      </c>
      <c r="F1545" s="2966">
        <f>E1545/D1545*100</f>
        <v>100</v>
      </c>
      <c r="G1545" s="2695">
        <f>G1546</f>
        <v>100</v>
      </c>
      <c r="H1545" s="1463"/>
    </row>
    <row r="1546" spans="2:8" ht="18.75" hidden="1" customHeight="1" x14ac:dyDescent="0.25">
      <c r="B1546" s="441"/>
      <c r="C1546" s="2473" t="s">
        <v>1097</v>
      </c>
      <c r="D1546" s="4066">
        <v>1700000000</v>
      </c>
      <c r="E1546" s="2690">
        <v>1700000000</v>
      </c>
      <c r="F1546" s="2968">
        <f>SUM(E1546/D1546)*100</f>
        <v>100</v>
      </c>
      <c r="G1546" s="2690">
        <v>100</v>
      </c>
      <c r="H1546" s="1463"/>
    </row>
    <row r="1547" spans="2:8" ht="7.5" hidden="1" customHeight="1" x14ac:dyDescent="0.25">
      <c r="B1547" s="441"/>
      <c r="C1547" s="2517"/>
      <c r="D1547" s="4276"/>
      <c r="E1547" s="3035"/>
      <c r="F1547" s="3035"/>
      <c r="G1547" s="3035"/>
      <c r="H1547" s="1463"/>
    </row>
    <row r="1548" spans="2:8" ht="18" customHeight="1" x14ac:dyDescent="0.25">
      <c r="B1548" s="441"/>
      <c r="C1548" s="2474" t="s">
        <v>1098</v>
      </c>
      <c r="D1548" s="4065">
        <f>D1549</f>
        <v>2500000000</v>
      </c>
      <c r="E1548" s="2695">
        <f>E1549</f>
        <v>2499999000</v>
      </c>
      <c r="F1548" s="2997">
        <f t="shared" ref="F1548:F1549" si="90">SUM(E1548/D1548)*100</f>
        <v>99.999960000000002</v>
      </c>
      <c r="G1548" s="2997">
        <f>G1549</f>
        <v>100</v>
      </c>
      <c r="H1548" s="1463"/>
    </row>
    <row r="1549" spans="2:8" ht="14.25" hidden="1" customHeight="1" x14ac:dyDescent="0.25">
      <c r="B1549" s="441"/>
      <c r="C1549" s="2473" t="s">
        <v>1099</v>
      </c>
      <c r="D1549" s="4066">
        <v>2500000000</v>
      </c>
      <c r="E1549" s="3014">
        <v>2499999000</v>
      </c>
      <c r="F1549" s="3014">
        <f t="shared" si="90"/>
        <v>99.999960000000002</v>
      </c>
      <c r="G1549" s="3014">
        <v>100</v>
      </c>
      <c r="H1549" s="1463"/>
    </row>
    <row r="1550" spans="2:8" ht="14.25" hidden="1" customHeight="1" x14ac:dyDescent="0.25">
      <c r="B1550" s="441"/>
      <c r="C1550" s="2531"/>
      <c r="D1550" s="4299"/>
      <c r="E1550" s="2784"/>
      <c r="F1550" s="2784"/>
      <c r="G1550" s="2784"/>
      <c r="H1550" s="1463"/>
    </row>
    <row r="1551" spans="2:8" ht="21.75" customHeight="1" x14ac:dyDescent="0.25">
      <c r="B1551" s="440"/>
      <c r="C1551" s="2471" t="s">
        <v>1100</v>
      </c>
      <c r="D1551" s="4106">
        <f>D1552</f>
        <v>8216365000</v>
      </c>
      <c r="E1551" s="2672">
        <f>E1552</f>
        <v>8138530000</v>
      </c>
      <c r="F1551" s="2719">
        <f>E1551/D1551*100</f>
        <v>99.052683272955861</v>
      </c>
      <c r="G1551" s="2996">
        <f>G1552</f>
        <v>100</v>
      </c>
      <c r="H1551" s="1462"/>
    </row>
    <row r="1552" spans="2:8" ht="17.25" customHeight="1" x14ac:dyDescent="0.25">
      <c r="B1552" s="441"/>
      <c r="C1552" s="2472" t="s">
        <v>1101</v>
      </c>
      <c r="D1552" s="4072">
        <f>SUM(D1553:D1554)</f>
        <v>8216365000</v>
      </c>
      <c r="E1552" s="2734">
        <f>SUM(E1553:E1554)</f>
        <v>8138530000</v>
      </c>
      <c r="F1552" s="2966">
        <f>E1552/D1552*100</f>
        <v>99.052683272955861</v>
      </c>
      <c r="G1552" s="2997">
        <f>SUM(G1553:G1554)/2</f>
        <v>100</v>
      </c>
      <c r="H1552" s="1462"/>
    </row>
    <row r="1553" spans="2:8" ht="15.75" hidden="1" customHeight="1" x14ac:dyDescent="0.25">
      <c r="B1553" s="448"/>
      <c r="C1553" s="2473" t="s">
        <v>1102</v>
      </c>
      <c r="D1553" s="4066">
        <v>5832730000</v>
      </c>
      <c r="E1553" s="3014">
        <v>5832730000</v>
      </c>
      <c r="F1553" s="2968">
        <f>SUM(E1553/D1553)*100</f>
        <v>100</v>
      </c>
      <c r="G1553" s="3014">
        <v>100</v>
      </c>
      <c r="H1553" s="3715"/>
    </row>
    <row r="1554" spans="2:8" ht="15.75" hidden="1" customHeight="1" x14ac:dyDescent="0.25">
      <c r="B1554" s="448"/>
      <c r="C1554" s="2473" t="s">
        <v>1103</v>
      </c>
      <c r="D1554" s="4066">
        <v>2383635000</v>
      </c>
      <c r="E1554" s="3014">
        <v>2305800000</v>
      </c>
      <c r="F1554" s="2968">
        <f>SUM(E1554/D1554)*100</f>
        <v>96.734609115909109</v>
      </c>
      <c r="G1554" s="3014">
        <v>100</v>
      </c>
      <c r="H1554" s="3715"/>
    </row>
    <row r="1555" spans="2:8" ht="14.25" hidden="1" customHeight="1" x14ac:dyDescent="0.25">
      <c r="B1555" s="441"/>
      <c r="C1555" s="2519"/>
      <c r="D1555" s="4276"/>
      <c r="E1555" s="3035"/>
      <c r="F1555" s="3035"/>
      <c r="G1555" s="3035"/>
      <c r="H1555" s="1463"/>
    </row>
    <row r="1556" spans="2:8" ht="19.5" customHeight="1" x14ac:dyDescent="0.25">
      <c r="B1556" s="440"/>
      <c r="C1556" s="2471" t="s">
        <v>1104</v>
      </c>
      <c r="D1556" s="4106">
        <f>D1557</f>
        <v>200000000</v>
      </c>
      <c r="E1556" s="2672">
        <f>E1557</f>
        <v>200000000</v>
      </c>
      <c r="F1556" s="2719">
        <f>E1556/D1556*100</f>
        <v>100</v>
      </c>
      <c r="G1556" s="2996">
        <f>G1557</f>
        <v>100</v>
      </c>
      <c r="H1556" s="1462"/>
    </row>
    <row r="1557" spans="2:8" ht="19.5" customHeight="1" x14ac:dyDescent="0.25">
      <c r="B1557" s="441"/>
      <c r="C1557" s="2472" t="s">
        <v>1105</v>
      </c>
      <c r="D1557" s="4072">
        <f>D1558</f>
        <v>200000000</v>
      </c>
      <c r="E1557" s="2734">
        <f>E1558</f>
        <v>200000000</v>
      </c>
      <c r="F1557" s="2966">
        <f>E1557/D1557*100</f>
        <v>100</v>
      </c>
      <c r="G1557" s="2997">
        <f>G1558</f>
        <v>100</v>
      </c>
      <c r="H1557" s="1462"/>
    </row>
    <row r="1558" spans="2:8" ht="16.5" hidden="1" customHeight="1" x14ac:dyDescent="0.25">
      <c r="B1558" s="448"/>
      <c r="C1558" s="2473" t="s">
        <v>1106</v>
      </c>
      <c r="D1558" s="4066">
        <v>200000000</v>
      </c>
      <c r="E1558" s="3014">
        <v>200000000</v>
      </c>
      <c r="F1558" s="2968">
        <f>SUM(E1558/D1558)*100</f>
        <v>100</v>
      </c>
      <c r="G1558" s="3014">
        <v>100</v>
      </c>
      <c r="H1558" s="3715"/>
    </row>
    <row r="1559" spans="2:8" ht="14.25" hidden="1" customHeight="1" x14ac:dyDescent="0.25">
      <c r="B1559" s="441"/>
      <c r="C1559" s="2519"/>
      <c r="D1559" s="4276"/>
      <c r="E1559" s="3035"/>
      <c r="F1559" s="3035"/>
      <c r="G1559" s="3035"/>
      <c r="H1559" s="1463"/>
    </row>
    <row r="1560" spans="2:8" ht="18" customHeight="1" x14ac:dyDescent="0.25">
      <c r="B1560" s="440"/>
      <c r="C1560" s="2471" t="s">
        <v>329</v>
      </c>
      <c r="D1560" s="4106"/>
      <c r="E1560" s="3192"/>
      <c r="F1560" s="3192"/>
      <c r="G1560" s="3192"/>
      <c r="H1560" s="1462"/>
    </row>
    <row r="1561" spans="2:8" ht="14.25" customHeight="1" x14ac:dyDescent="0.25">
      <c r="B1561" s="441"/>
      <c r="C1561" s="2472" t="s">
        <v>1107</v>
      </c>
      <c r="D1561" s="4318"/>
      <c r="E1561" s="3641"/>
      <c r="F1561" s="3641"/>
      <c r="G1561" s="3641"/>
      <c r="H1561" s="1462"/>
    </row>
    <row r="1562" spans="2:8" ht="14.25" hidden="1" customHeight="1" x14ac:dyDescent="0.25">
      <c r="B1562" s="448"/>
      <c r="C1562" s="2473" t="s">
        <v>1108</v>
      </c>
      <c r="D1562" s="4319" t="s">
        <v>3317</v>
      </c>
      <c r="E1562" s="3642" t="s">
        <v>3317</v>
      </c>
      <c r="F1562" s="3642" t="s">
        <v>3317</v>
      </c>
      <c r="G1562" s="3642" t="s">
        <v>3317</v>
      </c>
      <c r="H1562" s="3715"/>
    </row>
    <row r="1563" spans="2:8" ht="14.25" hidden="1" customHeight="1" x14ac:dyDescent="0.25">
      <c r="B1563" s="441"/>
      <c r="C1563" s="2531"/>
      <c r="D1563" s="4290"/>
      <c r="E1563" s="3022"/>
      <c r="F1563" s="2752"/>
      <c r="G1563" s="2993"/>
      <c r="H1563" s="1463"/>
    </row>
    <row r="1564" spans="2:8" ht="18" customHeight="1" x14ac:dyDescent="0.25">
      <c r="B1564" s="440"/>
      <c r="C1564" s="2471" t="s">
        <v>1109</v>
      </c>
      <c r="D1564" s="4106">
        <f>SUM(D1565)</f>
        <v>100000000</v>
      </c>
      <c r="E1564" s="2996">
        <f>E1565</f>
        <v>100000000</v>
      </c>
      <c r="F1564" s="2719">
        <f>E1564/D1564*100</f>
        <v>100</v>
      </c>
      <c r="G1564" s="2996">
        <f>G1565</f>
        <v>100</v>
      </c>
      <c r="H1564" s="1462"/>
    </row>
    <row r="1565" spans="2:8" ht="21" customHeight="1" x14ac:dyDescent="0.25">
      <c r="B1565" s="441"/>
      <c r="C1565" s="2472" t="s">
        <v>1110</v>
      </c>
      <c r="D1565" s="4072">
        <f>D1566</f>
        <v>100000000</v>
      </c>
      <c r="E1565" s="2997">
        <f>E1566</f>
        <v>100000000</v>
      </c>
      <c r="F1565" s="2966">
        <f>E1565/D1565*100</f>
        <v>100</v>
      </c>
      <c r="G1565" s="2997">
        <f>G1566</f>
        <v>100</v>
      </c>
      <c r="H1565" s="1462"/>
    </row>
    <row r="1566" spans="2:8" ht="14.25" hidden="1" customHeight="1" x14ac:dyDescent="0.25">
      <c r="B1566" s="448"/>
      <c r="C1566" s="2473" t="s">
        <v>1111</v>
      </c>
      <c r="D1566" s="4066">
        <v>100000000</v>
      </c>
      <c r="E1566" s="3014">
        <v>100000000</v>
      </c>
      <c r="F1566" s="2968">
        <f>SUM(E1566/D1566)*100</f>
        <v>100</v>
      </c>
      <c r="G1566" s="3014">
        <v>100</v>
      </c>
      <c r="H1566" s="3715"/>
    </row>
    <row r="1567" spans="2:8" ht="14.25" hidden="1" customHeight="1" x14ac:dyDescent="0.25">
      <c r="B1567" s="441"/>
      <c r="C1567" s="2531"/>
      <c r="D1567" s="4290"/>
      <c r="E1567" s="3022"/>
      <c r="F1567" s="2752"/>
      <c r="G1567" s="2993"/>
      <c r="H1567" s="1463"/>
    </row>
    <row r="1568" spans="2:8" ht="21" customHeight="1" x14ac:dyDescent="0.25">
      <c r="B1568" s="440"/>
      <c r="C1568" s="2471" t="s">
        <v>1112</v>
      </c>
      <c r="D1568" s="4106">
        <f>D1569+D1573+D1576</f>
        <v>2800000000</v>
      </c>
      <c r="E1568" s="2672">
        <f>E1569+E1573+E1576</f>
        <v>2800000000</v>
      </c>
      <c r="F1568" s="2996">
        <f>E1568/D1568*100</f>
        <v>100</v>
      </c>
      <c r="G1568" s="2996">
        <f>SUM(G1569+G1573+G1576)/3</f>
        <v>100</v>
      </c>
      <c r="H1568" s="1462"/>
    </row>
    <row r="1569" spans="2:8" ht="21.75" customHeight="1" x14ac:dyDescent="0.25">
      <c r="B1569" s="441"/>
      <c r="C1569" s="2472" t="s">
        <v>1113</v>
      </c>
      <c r="D1569" s="4072">
        <f>SUM(D1570:D1571)</f>
        <v>850000000</v>
      </c>
      <c r="E1569" s="2734">
        <f>SUM(E1570:E1571)</f>
        <v>850000000</v>
      </c>
      <c r="F1569" s="2966">
        <f>E1569/D1569*100</f>
        <v>100</v>
      </c>
      <c r="G1569" s="4034">
        <f>SUM(G1570:G1571)/2</f>
        <v>100</v>
      </c>
      <c r="H1569" s="1462"/>
    </row>
    <row r="1570" spans="2:8" ht="18" hidden="1" customHeight="1" x14ac:dyDescent="0.25">
      <c r="B1570" s="448"/>
      <c r="C1570" s="2473" t="s">
        <v>1114</v>
      </c>
      <c r="D1570" s="4066">
        <v>500000000</v>
      </c>
      <c r="E1570" s="2968">
        <v>500000000</v>
      </c>
      <c r="F1570" s="2968">
        <f>SUM(E1570/D1570)*100</f>
        <v>100</v>
      </c>
      <c r="G1570" s="2968">
        <v>100</v>
      </c>
      <c r="H1570" s="3715"/>
    </row>
    <row r="1571" spans="2:8" ht="18.75" hidden="1" customHeight="1" x14ac:dyDescent="0.25">
      <c r="B1571" s="441"/>
      <c r="C1571" s="2476" t="s">
        <v>1115</v>
      </c>
      <c r="D1571" s="4071">
        <v>350000000</v>
      </c>
      <c r="E1571" s="2710">
        <v>350000000</v>
      </c>
      <c r="F1571" s="2968">
        <f>SUM(E1571/D1571)*100</f>
        <v>100</v>
      </c>
      <c r="G1571" s="2710">
        <v>100</v>
      </c>
      <c r="H1571" s="1463"/>
    </row>
    <row r="1572" spans="2:8" ht="11.25" hidden="1" customHeight="1" x14ac:dyDescent="0.25">
      <c r="B1572" s="441"/>
      <c r="C1572" s="2474"/>
      <c r="D1572" s="4066"/>
      <c r="E1572" s="3035"/>
      <c r="F1572" s="3035"/>
      <c r="G1572" s="3035"/>
      <c r="H1572" s="1463"/>
    </row>
    <row r="1573" spans="2:8" ht="23.25" customHeight="1" x14ac:dyDescent="0.25">
      <c r="B1573" s="441"/>
      <c r="C1573" s="2474" t="s">
        <v>1116</v>
      </c>
      <c r="D1573" s="4065">
        <f>D1574</f>
        <v>450000000</v>
      </c>
      <c r="E1573" s="2695">
        <f>E1574</f>
        <v>450000000</v>
      </c>
      <c r="F1573" s="2966">
        <f>E1573/D1573*100</f>
        <v>100</v>
      </c>
      <c r="G1573" s="2695">
        <f>G1574</f>
        <v>100</v>
      </c>
      <c r="H1573" s="1463"/>
    </row>
    <row r="1574" spans="2:8" ht="18" hidden="1" customHeight="1" x14ac:dyDescent="0.25">
      <c r="B1574" s="441"/>
      <c r="C1574" s="2473" t="s">
        <v>1117</v>
      </c>
      <c r="D1574" s="4066">
        <v>450000000</v>
      </c>
      <c r="E1574" s="2690">
        <v>450000000</v>
      </c>
      <c r="F1574" s="2968">
        <f>SUM(E1574/D1574)*100</f>
        <v>100</v>
      </c>
      <c r="G1574" s="2690">
        <v>100</v>
      </c>
      <c r="H1574" s="1463"/>
    </row>
    <row r="1575" spans="2:8" ht="10.5" hidden="1" customHeight="1" x14ac:dyDescent="0.25">
      <c r="B1575" s="441"/>
      <c r="C1575" s="2517"/>
      <c r="D1575" s="4066"/>
      <c r="E1575" s="3035"/>
      <c r="F1575" s="3035"/>
      <c r="G1575" s="3035"/>
      <c r="H1575" s="1463"/>
    </row>
    <row r="1576" spans="2:8" ht="20.25" customHeight="1" x14ac:dyDescent="0.25">
      <c r="B1576" s="441"/>
      <c r="C1576" s="2474" t="s">
        <v>1118</v>
      </c>
      <c r="D1576" s="4065">
        <f>D1577</f>
        <v>1500000000</v>
      </c>
      <c r="E1576" s="3998">
        <f>E1577</f>
        <v>1500000000</v>
      </c>
      <c r="F1576" s="2966">
        <f>E1576/D1576*100</f>
        <v>100</v>
      </c>
      <c r="G1576" s="2695">
        <f>G1577</f>
        <v>100</v>
      </c>
      <c r="H1576" s="1463"/>
    </row>
    <row r="1577" spans="2:8" ht="17.25" hidden="1" customHeight="1" x14ac:dyDescent="0.25">
      <c r="B1577" s="441"/>
      <c r="C1577" s="2473" t="s">
        <v>1119</v>
      </c>
      <c r="D1577" s="4066">
        <v>1500000000</v>
      </c>
      <c r="E1577" s="2690">
        <v>1500000000</v>
      </c>
      <c r="F1577" s="2968">
        <f>SUM(E1577/D1577)*100</f>
        <v>100</v>
      </c>
      <c r="G1577" s="3035">
        <v>100</v>
      </c>
      <c r="H1577" s="1463"/>
    </row>
    <row r="1578" spans="2:8" ht="14.25" hidden="1" customHeight="1" x14ac:dyDescent="0.25">
      <c r="B1578" s="441"/>
      <c r="C1578" s="2531"/>
      <c r="D1578" s="4301"/>
      <c r="E1578" s="2784"/>
      <c r="F1578" s="2784"/>
      <c r="G1578" s="2784"/>
      <c r="H1578" s="1463"/>
    </row>
    <row r="1579" spans="2:8" ht="19.5" customHeight="1" x14ac:dyDescent="0.25">
      <c r="B1579" s="440"/>
      <c r="C1579" s="2471" t="s">
        <v>5554</v>
      </c>
      <c r="D1579" s="4106">
        <f>D1580+D1583+D1588+D1591+D1595</f>
        <v>1289735000</v>
      </c>
      <c r="E1579" s="2672">
        <f>E1580+E1583+E1588+E1591+E1595</f>
        <v>1289735000</v>
      </c>
      <c r="F1579" s="2996">
        <f>E1579/D1579*100</f>
        <v>100</v>
      </c>
      <c r="G1579" s="2996">
        <f>SUM(G1583+G1588+G1591+G1595)/4</f>
        <v>100</v>
      </c>
      <c r="H1579" s="1462"/>
    </row>
    <row r="1580" spans="2:8" ht="19.5" customHeight="1" x14ac:dyDescent="0.25">
      <c r="B1580" s="441"/>
      <c r="C1580" s="2472" t="s">
        <v>1120</v>
      </c>
      <c r="D1580" s="4318"/>
      <c r="E1580" s="3641"/>
      <c r="F1580" s="3641"/>
      <c r="G1580" s="3641"/>
      <c r="H1580" s="1462"/>
    </row>
    <row r="1581" spans="2:8" ht="27.75" hidden="1" customHeight="1" x14ac:dyDescent="0.25">
      <c r="B1581" s="448"/>
      <c r="C1581" s="2476" t="s">
        <v>1121</v>
      </c>
      <c r="D1581" s="4295" t="s">
        <v>3317</v>
      </c>
      <c r="E1581" s="3643" t="s">
        <v>3317</v>
      </c>
      <c r="F1581" s="3643" t="s">
        <v>3317</v>
      </c>
      <c r="G1581" s="3643" t="s">
        <v>3317</v>
      </c>
      <c r="H1581" s="3716"/>
    </row>
    <row r="1582" spans="2:8" ht="10.5" hidden="1" customHeight="1" x14ac:dyDescent="0.25">
      <c r="B1582" s="462"/>
      <c r="C1582" s="2473"/>
      <c r="D1582" s="4066"/>
      <c r="E1582" s="2690"/>
      <c r="F1582" s="2690"/>
      <c r="G1582" s="2690"/>
      <c r="H1582" s="3715"/>
    </row>
    <row r="1583" spans="2:8" ht="17.25" customHeight="1" x14ac:dyDescent="0.25">
      <c r="B1583" s="441"/>
      <c r="C1583" s="2472" t="s">
        <v>1122</v>
      </c>
      <c r="D1583" s="4072">
        <f>SUM(D1584:D1586)</f>
        <v>289735000</v>
      </c>
      <c r="E1583" s="2734">
        <f>SUM(E1584:E1586)</f>
        <v>289735000</v>
      </c>
      <c r="F1583" s="2997">
        <f>SUM(E1583/D1583)*100</f>
        <v>100</v>
      </c>
      <c r="G1583" s="2734">
        <f>SUM(G1584:G1585)/2</f>
        <v>100</v>
      </c>
      <c r="H1583" s="3712"/>
    </row>
    <row r="1584" spans="2:8" ht="18.75" hidden="1" customHeight="1" x14ac:dyDescent="0.25">
      <c r="B1584" s="441"/>
      <c r="C1584" s="2473" t="s">
        <v>1123</v>
      </c>
      <c r="D1584" s="4066">
        <v>100000000</v>
      </c>
      <c r="E1584" s="2968">
        <v>100000000</v>
      </c>
      <c r="F1584" s="2968">
        <f>E1584/D1584*100</f>
        <v>100</v>
      </c>
      <c r="G1584" s="2968">
        <v>100</v>
      </c>
      <c r="H1584" s="1463"/>
    </row>
    <row r="1585" spans="2:8" ht="18" hidden="1" customHeight="1" x14ac:dyDescent="0.25">
      <c r="B1585" s="441"/>
      <c r="C1585" s="2473" t="s">
        <v>1124</v>
      </c>
      <c r="D1585" s="4066">
        <v>189735000</v>
      </c>
      <c r="E1585" s="2968">
        <v>189735000</v>
      </c>
      <c r="F1585" s="2968">
        <f>SUM(E1585/D1585)*100</f>
        <v>100</v>
      </c>
      <c r="G1585" s="2967">
        <v>100</v>
      </c>
      <c r="H1585" s="1463"/>
    </row>
    <row r="1586" spans="2:8" ht="16.5" hidden="1" customHeight="1" x14ac:dyDescent="0.25">
      <c r="B1586" s="441"/>
      <c r="C1586" s="2473" t="s">
        <v>1125</v>
      </c>
      <c r="D1586" s="4320" t="s">
        <v>3317</v>
      </c>
      <c r="E1586" s="3644" t="s">
        <v>3317</v>
      </c>
      <c r="F1586" s="3644" t="s">
        <v>3317</v>
      </c>
      <c r="G1586" s="3644" t="s">
        <v>3317</v>
      </c>
      <c r="H1586" s="1463"/>
    </row>
    <row r="1587" spans="2:8" ht="9.75" hidden="1" customHeight="1" x14ac:dyDescent="0.25">
      <c r="B1587" s="441"/>
      <c r="C1587" s="2517"/>
      <c r="D1587" s="4276"/>
      <c r="E1587" s="3035"/>
      <c r="F1587" s="3035"/>
      <c r="G1587" s="3035"/>
      <c r="H1587" s="1463"/>
    </row>
    <row r="1588" spans="2:8" ht="18.75" customHeight="1" x14ac:dyDescent="0.25">
      <c r="B1588" s="441"/>
      <c r="C1588" s="2474" t="s">
        <v>1126</v>
      </c>
      <c r="D1588" s="4065">
        <f>D1589</f>
        <v>150000000</v>
      </c>
      <c r="E1588" s="2695">
        <f>E1589</f>
        <v>150000000</v>
      </c>
      <c r="F1588" s="2966">
        <f>SUM(E1588/D1588)*100</f>
        <v>100</v>
      </c>
      <c r="G1588" s="2969">
        <v>100</v>
      </c>
      <c r="H1588" s="1463"/>
    </row>
    <row r="1589" spans="2:8" ht="20.25" hidden="1" customHeight="1" x14ac:dyDescent="0.25">
      <c r="B1589" s="441"/>
      <c r="C1589" s="2473" t="s">
        <v>1127</v>
      </c>
      <c r="D1589" s="4066">
        <v>150000000</v>
      </c>
      <c r="E1589" s="2968">
        <v>150000000</v>
      </c>
      <c r="F1589" s="2968">
        <f>SUM(E1589/D1589)*100</f>
        <v>100</v>
      </c>
      <c r="G1589" s="2967">
        <v>100</v>
      </c>
      <c r="H1589" s="1463"/>
    </row>
    <row r="1590" spans="2:8" ht="9.75" hidden="1" customHeight="1" x14ac:dyDescent="0.25">
      <c r="B1590" s="441"/>
      <c r="C1590" s="2517"/>
      <c r="D1590" s="4276"/>
      <c r="E1590" s="3035"/>
      <c r="F1590" s="3035"/>
      <c r="G1590" s="3035"/>
      <c r="H1590" s="1463"/>
    </row>
    <row r="1591" spans="2:8" ht="18.75" customHeight="1" x14ac:dyDescent="0.25">
      <c r="B1591" s="441"/>
      <c r="C1591" s="2474" t="s">
        <v>1128</v>
      </c>
      <c r="D1591" s="4065">
        <f>SUM(D1592:D1593)</f>
        <v>100000000</v>
      </c>
      <c r="E1591" s="2695">
        <f>SUM(E1592:E1593)</f>
        <v>100000000</v>
      </c>
      <c r="F1591" s="2966">
        <f>SUM(E1591/D1591)*100</f>
        <v>100</v>
      </c>
      <c r="G1591" s="2695">
        <f>SUM(G1593)/1</f>
        <v>100</v>
      </c>
      <c r="H1591" s="1463"/>
    </row>
    <row r="1592" spans="2:8" ht="17.25" hidden="1" customHeight="1" x14ac:dyDescent="0.25">
      <c r="B1592" s="441"/>
      <c r="C1592" s="2473" t="s">
        <v>1129</v>
      </c>
      <c r="D1592" s="4276" t="s">
        <v>3317</v>
      </c>
      <c r="E1592" s="3035" t="s">
        <v>3317</v>
      </c>
      <c r="F1592" s="3035" t="s">
        <v>3317</v>
      </c>
      <c r="G1592" s="3035" t="s">
        <v>3317</v>
      </c>
      <c r="H1592" s="1463"/>
    </row>
    <row r="1593" spans="2:8" ht="14.25" hidden="1" customHeight="1" x14ac:dyDescent="0.25">
      <c r="B1593" s="441"/>
      <c r="C1593" s="2473" t="s">
        <v>1130</v>
      </c>
      <c r="D1593" s="4066">
        <v>100000000</v>
      </c>
      <c r="E1593" s="2968">
        <v>100000000</v>
      </c>
      <c r="F1593" s="2968">
        <f>SUM(E1593/D1593)*100</f>
        <v>100</v>
      </c>
      <c r="G1593" s="2690">
        <v>100</v>
      </c>
      <c r="H1593" s="1463"/>
    </row>
    <row r="1594" spans="2:8" ht="10.5" hidden="1" customHeight="1" x14ac:dyDescent="0.25">
      <c r="B1594" s="441"/>
      <c r="C1594" s="2517"/>
      <c r="D1594" s="4276"/>
      <c r="E1594" s="3035"/>
      <c r="F1594" s="3035"/>
      <c r="G1594" s="3035"/>
      <c r="H1594" s="1463"/>
    </row>
    <row r="1595" spans="2:8" ht="30.75" customHeight="1" x14ac:dyDescent="0.25">
      <c r="B1595" s="441"/>
      <c r="C1595" s="2474" t="s">
        <v>1131</v>
      </c>
      <c r="D1595" s="4065">
        <f>SUM(D1596:D1597)</f>
        <v>750000000</v>
      </c>
      <c r="E1595" s="2695">
        <f>SUM(E1596:E1597)</f>
        <v>750000000</v>
      </c>
      <c r="F1595" s="2966">
        <f>SUM(E1595/D1595)*100</f>
        <v>100</v>
      </c>
      <c r="G1595" s="2695">
        <f>SUM(G1596:G1597)/2</f>
        <v>100</v>
      </c>
      <c r="H1595" s="1463"/>
    </row>
    <row r="1596" spans="2:8" ht="21" hidden="1" customHeight="1" x14ac:dyDescent="0.25">
      <c r="B1596" s="441"/>
      <c r="C1596" s="2473" t="s">
        <v>1132</v>
      </c>
      <c r="D1596" s="4066">
        <v>200000000</v>
      </c>
      <c r="E1596" s="2690">
        <v>200000000</v>
      </c>
      <c r="F1596" s="2968">
        <f>SUM(E1596/D1596)*100</f>
        <v>100</v>
      </c>
      <c r="G1596" s="2690">
        <v>100</v>
      </c>
      <c r="H1596" s="1463"/>
    </row>
    <row r="1597" spans="2:8" ht="17.25" hidden="1" customHeight="1" x14ac:dyDescent="0.25">
      <c r="B1597" s="441"/>
      <c r="C1597" s="2473" t="s">
        <v>1133</v>
      </c>
      <c r="D1597" s="4066">
        <v>550000000</v>
      </c>
      <c r="E1597" s="2690">
        <v>550000000</v>
      </c>
      <c r="F1597" s="2968">
        <f>SUM(E1597/D1597)*100</f>
        <v>100</v>
      </c>
      <c r="G1597" s="2968">
        <v>100</v>
      </c>
      <c r="H1597" s="1463"/>
    </row>
    <row r="1598" spans="2:8" ht="14.25" hidden="1" customHeight="1" x14ac:dyDescent="0.25">
      <c r="B1598" s="441"/>
      <c r="C1598" s="2531"/>
      <c r="D1598" s="4299"/>
      <c r="E1598" s="2784"/>
      <c r="F1598" s="2784"/>
      <c r="G1598" s="2784"/>
      <c r="H1598" s="1463"/>
    </row>
    <row r="1599" spans="2:8" ht="20.25" customHeight="1" x14ac:dyDescent="0.25">
      <c r="B1599" s="440"/>
      <c r="C1599" s="2471" t="s">
        <v>1134</v>
      </c>
      <c r="D1599" s="4106">
        <f>D1600+D1609+D1613</f>
        <v>1800000000</v>
      </c>
      <c r="E1599" s="2672">
        <f>E1600+E1609+E1613</f>
        <v>1800000000</v>
      </c>
      <c r="F1599" s="2996">
        <f>SUM(E1599/D1599)*100</f>
        <v>100</v>
      </c>
      <c r="G1599" s="2670">
        <f>SUM(G1600+G1609+G1613)/3</f>
        <v>100</v>
      </c>
      <c r="H1599" s="1462"/>
    </row>
    <row r="1600" spans="2:8" ht="22.5" customHeight="1" x14ac:dyDescent="0.25">
      <c r="B1600" s="441"/>
      <c r="C1600" s="2472" t="s">
        <v>1135</v>
      </c>
      <c r="D1600" s="4072">
        <f>SUM(D1601:D1607)</f>
        <v>1250000000</v>
      </c>
      <c r="E1600" s="2734">
        <f>SUM(E1601:E1607)</f>
        <v>1250000000</v>
      </c>
      <c r="F1600" s="2997">
        <f>SUM(E1600/D1600)*100</f>
        <v>100</v>
      </c>
      <c r="G1600" s="2677">
        <f>SUM(G1601:G1607)/7</f>
        <v>100</v>
      </c>
      <c r="H1600" s="1462"/>
    </row>
    <row r="1601" spans="2:8" ht="19.5" hidden="1" customHeight="1" x14ac:dyDescent="0.25">
      <c r="B1601" s="448"/>
      <c r="C1601" s="2473" t="s">
        <v>1136</v>
      </c>
      <c r="D1601" s="4066">
        <v>150000000</v>
      </c>
      <c r="E1601" s="2968">
        <v>150000000</v>
      </c>
      <c r="F1601" s="2968">
        <f t="shared" ref="F1601:F1614" si="91">SUM(E1601/D1601)*100</f>
        <v>100</v>
      </c>
      <c r="G1601" s="2967">
        <v>100</v>
      </c>
      <c r="H1601" s="3715"/>
    </row>
    <row r="1602" spans="2:8" ht="18" hidden="1" customHeight="1" x14ac:dyDescent="0.25">
      <c r="B1602" s="448"/>
      <c r="C1602" s="2473" t="s">
        <v>1137</v>
      </c>
      <c r="D1602" s="4066">
        <v>200000000</v>
      </c>
      <c r="E1602" s="2968">
        <v>200000000</v>
      </c>
      <c r="F1602" s="2968">
        <f t="shared" si="91"/>
        <v>100</v>
      </c>
      <c r="G1602" s="2967">
        <v>100</v>
      </c>
      <c r="H1602" s="3715"/>
    </row>
    <row r="1603" spans="2:8" ht="18.75" hidden="1" customHeight="1" x14ac:dyDescent="0.25">
      <c r="B1603" s="448"/>
      <c r="C1603" s="2473" t="s">
        <v>1138</v>
      </c>
      <c r="D1603" s="4066">
        <v>150000000</v>
      </c>
      <c r="E1603" s="3140">
        <v>150000000</v>
      </c>
      <c r="F1603" s="2968">
        <f t="shared" si="91"/>
        <v>100</v>
      </c>
      <c r="G1603" s="2967">
        <v>100</v>
      </c>
      <c r="H1603" s="3715"/>
    </row>
    <row r="1604" spans="2:8" ht="17.25" hidden="1" customHeight="1" x14ac:dyDescent="0.25">
      <c r="B1604" s="448"/>
      <c r="C1604" s="2473" t="s">
        <v>1139</v>
      </c>
      <c r="D1604" s="4066">
        <v>200000000</v>
      </c>
      <c r="E1604" s="3140">
        <v>200000000</v>
      </c>
      <c r="F1604" s="2968">
        <f t="shared" si="91"/>
        <v>100</v>
      </c>
      <c r="G1604" s="2967">
        <v>100</v>
      </c>
      <c r="H1604" s="3715"/>
    </row>
    <row r="1605" spans="2:8" ht="20.25" hidden="1" customHeight="1" x14ac:dyDescent="0.25">
      <c r="B1605" s="448"/>
      <c r="C1605" s="2473" t="s">
        <v>1140</v>
      </c>
      <c r="D1605" s="4066">
        <v>200000000</v>
      </c>
      <c r="E1605" s="2690">
        <v>200000000</v>
      </c>
      <c r="F1605" s="2968">
        <f t="shared" si="91"/>
        <v>100</v>
      </c>
      <c r="G1605" s="2967">
        <v>100</v>
      </c>
      <c r="H1605" s="3715"/>
    </row>
    <row r="1606" spans="2:8" ht="22.5" hidden="1" customHeight="1" x14ac:dyDescent="0.25">
      <c r="B1606" s="441"/>
      <c r="C1606" s="2473" t="s">
        <v>1141</v>
      </c>
      <c r="D1606" s="4066">
        <v>200000000</v>
      </c>
      <c r="E1606" s="3140">
        <v>200000000</v>
      </c>
      <c r="F1606" s="2968">
        <f t="shared" si="91"/>
        <v>100</v>
      </c>
      <c r="G1606" s="2967">
        <v>100</v>
      </c>
      <c r="H1606" s="1462"/>
    </row>
    <row r="1607" spans="2:8" ht="18" hidden="1" customHeight="1" x14ac:dyDescent="0.25">
      <c r="B1607" s="448"/>
      <c r="C1607" s="2473" t="s">
        <v>1142</v>
      </c>
      <c r="D1607" s="4066">
        <v>150000000</v>
      </c>
      <c r="E1607" s="2968">
        <v>150000000</v>
      </c>
      <c r="F1607" s="2968">
        <f t="shared" si="91"/>
        <v>100</v>
      </c>
      <c r="G1607" s="2967">
        <v>100</v>
      </c>
      <c r="H1607" s="3715"/>
    </row>
    <row r="1608" spans="2:8" ht="9.75" hidden="1" customHeight="1" x14ac:dyDescent="0.25">
      <c r="B1608" s="448"/>
      <c r="C1608" s="2476"/>
      <c r="D1608" s="4071"/>
      <c r="E1608" s="2999"/>
      <c r="F1608" s="2968"/>
      <c r="G1608" s="2967"/>
      <c r="H1608" s="3715"/>
    </row>
    <row r="1609" spans="2:8" ht="18" customHeight="1" x14ac:dyDescent="0.25">
      <c r="B1609" s="441"/>
      <c r="C1609" s="2474" t="s">
        <v>1143</v>
      </c>
      <c r="D1609" s="4065">
        <f>SUM(D1610:D1611)</f>
        <v>350000000</v>
      </c>
      <c r="E1609" s="2695">
        <f>SUM(E1610:E1611)</f>
        <v>350000000</v>
      </c>
      <c r="F1609" s="2966">
        <f t="shared" si="91"/>
        <v>100</v>
      </c>
      <c r="G1609" s="2695">
        <f>SUM(G1610:G1611)/2</f>
        <v>100</v>
      </c>
      <c r="H1609" s="1462"/>
    </row>
    <row r="1610" spans="2:8" ht="15.75" hidden="1" customHeight="1" x14ac:dyDescent="0.25">
      <c r="B1610" s="441"/>
      <c r="C1610" s="2473" t="s">
        <v>1144</v>
      </c>
      <c r="D1610" s="4066">
        <v>150000000</v>
      </c>
      <c r="E1610" s="2690">
        <v>150000000</v>
      </c>
      <c r="F1610" s="2968">
        <f t="shared" si="91"/>
        <v>100</v>
      </c>
      <c r="G1610" s="2690">
        <v>100</v>
      </c>
      <c r="H1610" s="1463"/>
    </row>
    <row r="1611" spans="2:8" ht="14.25" hidden="1" customHeight="1" x14ac:dyDescent="0.25">
      <c r="B1611" s="441"/>
      <c r="C1611" s="2473" t="s">
        <v>1145</v>
      </c>
      <c r="D1611" s="4066">
        <v>200000000</v>
      </c>
      <c r="E1611" s="2690">
        <v>200000000</v>
      </c>
      <c r="F1611" s="2968">
        <f t="shared" si="91"/>
        <v>100</v>
      </c>
      <c r="G1611" s="2690">
        <v>100</v>
      </c>
      <c r="H1611" s="1463"/>
    </row>
    <row r="1612" spans="2:8" ht="8.25" hidden="1" customHeight="1" x14ac:dyDescent="0.25">
      <c r="B1612" s="441"/>
      <c r="C1612" s="2473"/>
      <c r="D1612" s="4276"/>
      <c r="E1612" s="3035"/>
      <c r="F1612" s="3035"/>
      <c r="G1612" s="3035"/>
      <c r="H1612" s="1463"/>
    </row>
    <row r="1613" spans="2:8" ht="18" customHeight="1" x14ac:dyDescent="0.25">
      <c r="B1613" s="441"/>
      <c r="C1613" s="2474" t="s">
        <v>1146</v>
      </c>
      <c r="D1613" s="4065">
        <f>D1614</f>
        <v>200000000</v>
      </c>
      <c r="E1613" s="2695">
        <f>E1614</f>
        <v>200000000</v>
      </c>
      <c r="F1613" s="2966">
        <f t="shared" si="91"/>
        <v>100</v>
      </c>
      <c r="G1613" s="2695">
        <f>G1614</f>
        <v>100</v>
      </c>
      <c r="H1613" s="1462"/>
    </row>
    <row r="1614" spans="2:8" ht="14.25" hidden="1" customHeight="1" x14ac:dyDescent="0.25">
      <c r="B1614" s="441"/>
      <c r="C1614" s="2473" t="s">
        <v>1147</v>
      </c>
      <c r="D1614" s="4066">
        <v>200000000</v>
      </c>
      <c r="E1614" s="2690">
        <v>200000000</v>
      </c>
      <c r="F1614" s="2968">
        <f t="shared" si="91"/>
        <v>100</v>
      </c>
      <c r="G1614" s="2690">
        <v>100</v>
      </c>
      <c r="H1614" s="1463"/>
    </row>
    <row r="1615" spans="2:8" ht="14.25" hidden="1" customHeight="1" x14ac:dyDescent="0.25">
      <c r="B1615" s="441"/>
      <c r="C1615" s="2531"/>
      <c r="D1615" s="4299"/>
      <c r="E1615" s="2784"/>
      <c r="F1615" s="2784"/>
      <c r="G1615" s="2784"/>
      <c r="H1615" s="1463"/>
    </row>
    <row r="1616" spans="2:8" ht="17.25" customHeight="1" x14ac:dyDescent="0.25">
      <c r="B1616" s="440"/>
      <c r="C1616" s="2471" t="s">
        <v>1148</v>
      </c>
      <c r="D1616" s="4106">
        <f>D1617</f>
        <v>300000000</v>
      </c>
      <c r="E1616" s="2672">
        <f>E1617</f>
        <v>300000000</v>
      </c>
      <c r="F1616" s="2996">
        <f>SUM(E1616/D1616)*100</f>
        <v>100</v>
      </c>
      <c r="G1616" s="2672">
        <f>G1617</f>
        <v>100</v>
      </c>
      <c r="H1616" s="1463"/>
    </row>
    <row r="1617" spans="2:8" ht="21" customHeight="1" x14ac:dyDescent="0.25">
      <c r="B1617" s="441"/>
      <c r="C1617" s="2478" t="s">
        <v>1149</v>
      </c>
      <c r="D1617" s="4305">
        <f>SUM(D1618:D1620)</f>
        <v>300000000</v>
      </c>
      <c r="E1617" s="2785">
        <f>SUM(E1618:E1620)</f>
        <v>300000000</v>
      </c>
      <c r="F1617" s="2997">
        <f>SUM(E1617/D1617)*100</f>
        <v>100</v>
      </c>
      <c r="G1617" s="2785">
        <f>G1620</f>
        <v>100</v>
      </c>
      <c r="H1617" s="1463"/>
    </row>
    <row r="1618" spans="2:8" ht="14.25" hidden="1" customHeight="1" x14ac:dyDescent="0.25">
      <c r="B1618" s="441"/>
      <c r="C1618" s="2476" t="s">
        <v>1150</v>
      </c>
      <c r="D1618" s="4071" t="s">
        <v>3317</v>
      </c>
      <c r="E1618" s="3645" t="s">
        <v>3317</v>
      </c>
      <c r="F1618" s="3645" t="s">
        <v>3317</v>
      </c>
      <c r="G1618" s="3645" t="s">
        <v>3317</v>
      </c>
      <c r="H1618" s="3711"/>
    </row>
    <row r="1619" spans="2:8" ht="14.25" hidden="1" customHeight="1" x14ac:dyDescent="0.25">
      <c r="B1619" s="449"/>
      <c r="C1619" s="2473" t="s">
        <v>1151</v>
      </c>
      <c r="D1619" s="4321" t="s">
        <v>3317</v>
      </c>
      <c r="E1619" s="3646" t="s">
        <v>3317</v>
      </c>
      <c r="F1619" s="3646" t="s">
        <v>3317</v>
      </c>
      <c r="G1619" s="3646" t="s">
        <v>3317</v>
      </c>
      <c r="H1619" s="1463"/>
    </row>
    <row r="1620" spans="2:8" ht="16.5" hidden="1" customHeight="1" x14ac:dyDescent="0.25">
      <c r="B1620" s="441"/>
      <c r="C1620" s="2479" t="s">
        <v>1152</v>
      </c>
      <c r="D1620" s="4154">
        <v>300000000</v>
      </c>
      <c r="E1620" s="3014">
        <v>300000000</v>
      </c>
      <c r="F1620" s="3014">
        <f t="shared" ref="F1620" si="92">SUM(E1620/D1620)*100</f>
        <v>100</v>
      </c>
      <c r="G1620" s="3014">
        <v>100</v>
      </c>
      <c r="H1620" s="3712"/>
    </row>
    <row r="1621" spans="2:8" ht="14.25" hidden="1" customHeight="1" x14ac:dyDescent="0.25">
      <c r="B1621" s="441"/>
      <c r="C1621" s="2531"/>
      <c r="D1621" s="4299"/>
      <c r="E1621" s="2784"/>
      <c r="F1621" s="2784"/>
      <c r="G1621" s="2784"/>
      <c r="H1621" s="1463"/>
    </row>
    <row r="1622" spans="2:8" ht="18" customHeight="1" x14ac:dyDescent="0.25">
      <c r="B1622" s="440"/>
      <c r="C1622" s="2471" t="s">
        <v>846</v>
      </c>
      <c r="D1622" s="4106">
        <f>D1623</f>
        <v>450000000</v>
      </c>
      <c r="E1622" s="2996">
        <f>E1623</f>
        <v>450000000</v>
      </c>
      <c r="F1622" s="2996">
        <f>SUM(E1622/D1622)*100</f>
        <v>100</v>
      </c>
      <c r="G1622" s="2996">
        <f>G1623</f>
        <v>100</v>
      </c>
      <c r="H1622" s="1463"/>
    </row>
    <row r="1623" spans="2:8" ht="23.25" customHeight="1" x14ac:dyDescent="0.25">
      <c r="B1623" s="441"/>
      <c r="C1623" s="2478" t="s">
        <v>1153</v>
      </c>
      <c r="D1623" s="4305">
        <f>SUM(D1624:D1624)</f>
        <v>450000000</v>
      </c>
      <c r="E1623" s="4034">
        <f>E1624</f>
        <v>450000000</v>
      </c>
      <c r="F1623" s="2997">
        <f>SUM(E1623/D1623)*100</f>
        <v>100</v>
      </c>
      <c r="G1623" s="4034">
        <f>G1624</f>
        <v>100</v>
      </c>
      <c r="H1623" s="1463"/>
    </row>
    <row r="1624" spans="2:8" ht="15.75" hidden="1" customHeight="1" x14ac:dyDescent="0.25">
      <c r="B1624" s="441"/>
      <c r="C1624" s="2473" t="s">
        <v>1154</v>
      </c>
      <c r="D1624" s="4066">
        <v>450000000</v>
      </c>
      <c r="E1624" s="2968">
        <v>450000000</v>
      </c>
      <c r="F1624" s="3014">
        <f>SUM(E1624/D1624)*100</f>
        <v>100</v>
      </c>
      <c r="G1624" s="2968">
        <v>100</v>
      </c>
      <c r="H1624" s="1463"/>
    </row>
    <row r="1625" spans="2:8" ht="14.25" hidden="1" customHeight="1" x14ac:dyDescent="0.25">
      <c r="B1625" s="441"/>
      <c r="C1625" s="2531"/>
      <c r="D1625" s="4299"/>
      <c r="E1625" s="2784"/>
      <c r="F1625" s="2784"/>
      <c r="G1625" s="2784"/>
      <c r="H1625" s="1463"/>
    </row>
    <row r="1626" spans="2:8" ht="18.75" customHeight="1" x14ac:dyDescent="0.25">
      <c r="B1626" s="440"/>
      <c r="C1626" s="2471" t="s">
        <v>1155</v>
      </c>
      <c r="D1626" s="4106">
        <f>SUM(D1627+D1635)</f>
        <v>1250000000</v>
      </c>
      <c r="E1626" s="2672">
        <f>SUM(E1627+E1635)</f>
        <v>1250000000</v>
      </c>
      <c r="F1626" s="2996">
        <f>SUM(E1626/D1626)*100</f>
        <v>100</v>
      </c>
      <c r="G1626" s="2670">
        <f>SUM(G1627+G1635)/2</f>
        <v>100</v>
      </c>
      <c r="H1626" s="1462"/>
    </row>
    <row r="1627" spans="2:8" ht="27" customHeight="1" x14ac:dyDescent="0.25">
      <c r="B1627" s="441"/>
      <c r="C1627" s="2472" t="s">
        <v>1156</v>
      </c>
      <c r="D1627" s="4072">
        <f>SUM(D1628:D1633)</f>
        <v>1000000000</v>
      </c>
      <c r="E1627" s="2734">
        <f>SUM(E1628:E1633)</f>
        <v>1000000000</v>
      </c>
      <c r="F1627" s="2997">
        <f>SUM(E1627/D1627)*100</f>
        <v>100</v>
      </c>
      <c r="G1627" s="2677">
        <f>SUM(G1628:G1633)/6</f>
        <v>100</v>
      </c>
      <c r="H1627" s="1462"/>
    </row>
    <row r="1628" spans="2:8" ht="18.75" hidden="1" customHeight="1" x14ac:dyDescent="0.25">
      <c r="B1628" s="441"/>
      <c r="C1628" s="2476" t="s">
        <v>1157</v>
      </c>
      <c r="D1628" s="4071">
        <v>150000000</v>
      </c>
      <c r="E1628" s="2968">
        <v>150000000</v>
      </c>
      <c r="F1628" s="2968">
        <f t="shared" ref="F1628:F1631" si="93">SUM(E1628/D1628)*100</f>
        <v>100</v>
      </c>
      <c r="G1628" s="2968">
        <v>100</v>
      </c>
      <c r="H1628" s="1463"/>
    </row>
    <row r="1629" spans="2:8" ht="18" hidden="1" customHeight="1" x14ac:dyDescent="0.25">
      <c r="B1629" s="441"/>
      <c r="C1629" s="2473" t="s">
        <v>1158</v>
      </c>
      <c r="D1629" s="4066">
        <v>150000000</v>
      </c>
      <c r="E1629" s="2690">
        <v>150000000</v>
      </c>
      <c r="F1629" s="2968">
        <f t="shared" si="93"/>
        <v>100</v>
      </c>
      <c r="G1629" s="2690">
        <v>100</v>
      </c>
      <c r="H1629" s="1463"/>
    </row>
    <row r="1630" spans="2:8" ht="16.5" hidden="1" customHeight="1" x14ac:dyDescent="0.25">
      <c r="B1630" s="441"/>
      <c r="C1630" s="2473" t="s">
        <v>1159</v>
      </c>
      <c r="D1630" s="4066">
        <v>50000000</v>
      </c>
      <c r="E1630" s="2690">
        <v>50000000</v>
      </c>
      <c r="F1630" s="2968">
        <f t="shared" si="93"/>
        <v>100</v>
      </c>
      <c r="G1630" s="2690">
        <v>100</v>
      </c>
      <c r="H1630" s="1463"/>
    </row>
    <row r="1631" spans="2:8" ht="15" hidden="1" customHeight="1" x14ac:dyDescent="0.25">
      <c r="B1631" s="441"/>
      <c r="C1631" s="2473" t="s">
        <v>1160</v>
      </c>
      <c r="D1631" s="4066">
        <v>300000000</v>
      </c>
      <c r="E1631" s="2968">
        <v>300000000</v>
      </c>
      <c r="F1631" s="2968">
        <f t="shared" si="93"/>
        <v>100</v>
      </c>
      <c r="G1631" s="2968">
        <v>100</v>
      </c>
      <c r="H1631" s="1463"/>
    </row>
    <row r="1632" spans="2:8" ht="16.5" hidden="1" customHeight="1" x14ac:dyDescent="0.25">
      <c r="B1632" s="441"/>
      <c r="C1632" s="2473" t="s">
        <v>1161</v>
      </c>
      <c r="D1632" s="4066">
        <v>200000000</v>
      </c>
      <c r="E1632" s="2690">
        <v>200000000</v>
      </c>
      <c r="F1632" s="2968">
        <f t="shared" ref="F1632:F1633" si="94">SUM(E1632/D1632)*100</f>
        <v>100</v>
      </c>
      <c r="G1632" s="2690">
        <v>100</v>
      </c>
      <c r="H1632" s="1463"/>
    </row>
    <row r="1633" spans="2:8" ht="14.25" hidden="1" customHeight="1" x14ac:dyDescent="0.25">
      <c r="B1633" s="441"/>
      <c r="C1633" s="2473" t="s">
        <v>1162</v>
      </c>
      <c r="D1633" s="4066">
        <v>150000000</v>
      </c>
      <c r="E1633" s="2690">
        <v>150000000</v>
      </c>
      <c r="F1633" s="2968">
        <f t="shared" si="94"/>
        <v>100</v>
      </c>
      <c r="G1633" s="2690">
        <v>100</v>
      </c>
      <c r="H1633" s="1463"/>
    </row>
    <row r="1634" spans="2:8" ht="10.5" hidden="1" customHeight="1" x14ac:dyDescent="0.25">
      <c r="B1634" s="441"/>
      <c r="C1634" s="2517"/>
      <c r="D1634" s="4276"/>
      <c r="E1634" s="3035"/>
      <c r="F1634" s="3035"/>
      <c r="G1634" s="3035"/>
      <c r="H1634" s="1463"/>
    </row>
    <row r="1635" spans="2:8" ht="16.5" customHeight="1" x14ac:dyDescent="0.25">
      <c r="B1635" s="441"/>
      <c r="C1635" s="2474" t="s">
        <v>1163</v>
      </c>
      <c r="D1635" s="4065">
        <f>D1636</f>
        <v>250000000</v>
      </c>
      <c r="E1635" s="2695">
        <f>E1636</f>
        <v>250000000</v>
      </c>
      <c r="F1635" s="2997">
        <f>SUM(E1635/D1635)*100</f>
        <v>100</v>
      </c>
      <c r="G1635" s="2695">
        <f>G1636</f>
        <v>100</v>
      </c>
      <c r="H1635" s="1463"/>
    </row>
    <row r="1636" spans="2:8" ht="20.25" hidden="1" customHeight="1" x14ac:dyDescent="0.25">
      <c r="B1636" s="441"/>
      <c r="C1636" s="2473" t="s">
        <v>1164</v>
      </c>
      <c r="D1636" s="4066">
        <v>250000000</v>
      </c>
      <c r="E1636" s="2690">
        <v>250000000</v>
      </c>
      <c r="F1636" s="2968">
        <f t="shared" ref="F1636" si="95">SUM(E1636/D1636)*100</f>
        <v>100</v>
      </c>
      <c r="G1636" s="2690">
        <v>100</v>
      </c>
      <c r="H1636" s="1463"/>
    </row>
    <row r="1637" spans="2:8" ht="14.25" hidden="1" customHeight="1" x14ac:dyDescent="0.25">
      <c r="B1637" s="441"/>
      <c r="C1637" s="2531"/>
      <c r="D1637" s="4299"/>
      <c r="E1637" s="2784"/>
      <c r="F1637" s="2784"/>
      <c r="G1637" s="2784"/>
      <c r="H1637" s="1463"/>
    </row>
    <row r="1638" spans="2:8" ht="16.5" customHeight="1" x14ac:dyDescent="0.25">
      <c r="B1638" s="440"/>
      <c r="C1638" s="2471" t="s">
        <v>1165</v>
      </c>
      <c r="D1638" s="4106">
        <f>SUM(D1639+D1642)</f>
        <v>1600000000</v>
      </c>
      <c r="E1638" s="2672">
        <f>SUM(E1639+E1642)</f>
        <v>1600000000</v>
      </c>
      <c r="F1638" s="2672">
        <f>E1638/D1638*100</f>
        <v>100</v>
      </c>
      <c r="G1638" s="2670">
        <f>SUM(G1639+G1642)/2</f>
        <v>100</v>
      </c>
      <c r="H1638" s="1462"/>
    </row>
    <row r="1639" spans="2:8" ht="18" customHeight="1" x14ac:dyDescent="0.25">
      <c r="B1639" s="441"/>
      <c r="C1639" s="2472" t="s">
        <v>1166</v>
      </c>
      <c r="D1639" s="4072">
        <f>D1640</f>
        <v>1200000000</v>
      </c>
      <c r="E1639" s="2734">
        <f>E1640</f>
        <v>1200000000</v>
      </c>
      <c r="F1639" s="2966">
        <f>E1639/D1639*100</f>
        <v>100</v>
      </c>
      <c r="G1639" s="2677">
        <f>G1640</f>
        <v>100</v>
      </c>
      <c r="H1639" s="1462"/>
    </row>
    <row r="1640" spans="2:8" ht="19.5" hidden="1" customHeight="1" x14ac:dyDescent="0.25">
      <c r="B1640" s="448"/>
      <c r="C1640" s="2473" t="s">
        <v>1167</v>
      </c>
      <c r="D1640" s="4066">
        <v>1200000000</v>
      </c>
      <c r="E1640" s="3140">
        <v>1200000000</v>
      </c>
      <c r="F1640" s="2690">
        <f>E1640/D1640*100</f>
        <v>100</v>
      </c>
      <c r="G1640" s="2967">
        <v>100</v>
      </c>
      <c r="H1640" s="3715"/>
    </row>
    <row r="1641" spans="2:8" ht="9" hidden="1" customHeight="1" x14ac:dyDescent="0.25">
      <c r="B1641" s="448"/>
      <c r="C1641" s="2476"/>
      <c r="D1641" s="4066"/>
      <c r="E1641" s="3140"/>
      <c r="F1641" s="2690"/>
      <c r="G1641" s="2967"/>
      <c r="H1641" s="3715"/>
    </row>
    <row r="1642" spans="2:8" ht="14.25" customHeight="1" x14ac:dyDescent="0.25">
      <c r="B1642" s="441"/>
      <c r="C1642" s="2474" t="s">
        <v>1168</v>
      </c>
      <c r="D1642" s="4065">
        <f>D1643</f>
        <v>400000000</v>
      </c>
      <c r="E1642" s="2966">
        <f>E1643</f>
        <v>400000000</v>
      </c>
      <c r="F1642" s="2966">
        <v>100</v>
      </c>
      <c r="G1642" s="2695">
        <f>G1643</f>
        <v>100</v>
      </c>
      <c r="H1642" s="1463"/>
    </row>
    <row r="1643" spans="2:8" ht="14.25" hidden="1" customHeight="1" x14ac:dyDescent="0.25">
      <c r="B1643" s="441"/>
      <c r="C1643" s="2473" t="s">
        <v>1169</v>
      </c>
      <c r="D1643" s="3704">
        <v>400000000</v>
      </c>
      <c r="E1643" s="2968">
        <v>400000000</v>
      </c>
      <c r="F1643" s="2968">
        <v>100</v>
      </c>
      <c r="G1643" s="2690">
        <v>100</v>
      </c>
      <c r="H1643" s="1463"/>
    </row>
    <row r="1644" spans="2:8" ht="14.25" hidden="1" customHeight="1" x14ac:dyDescent="0.25">
      <c r="B1644" s="441"/>
      <c r="C1644" s="2531"/>
      <c r="D1644" s="4299"/>
      <c r="E1644" s="2784"/>
      <c r="F1644" s="2784"/>
      <c r="G1644" s="2784"/>
      <c r="H1644" s="1463"/>
    </row>
    <row r="1645" spans="2:8" ht="16.5" customHeight="1" x14ac:dyDescent="0.25">
      <c r="B1645" s="440"/>
      <c r="C1645" s="2471" t="s">
        <v>1170</v>
      </c>
      <c r="D1645" s="4106">
        <f>D1646</f>
        <v>850000000</v>
      </c>
      <c r="E1645" s="2672">
        <f>E1646</f>
        <v>850000000</v>
      </c>
      <c r="F1645" s="2672">
        <f>E1645/D1645*100</f>
        <v>100</v>
      </c>
      <c r="G1645" s="2670">
        <f>G1646</f>
        <v>100</v>
      </c>
      <c r="H1645" s="1462"/>
    </row>
    <row r="1646" spans="2:8" ht="20.25" customHeight="1" x14ac:dyDescent="0.25">
      <c r="B1646" s="441"/>
      <c r="C1646" s="2472" t="s">
        <v>1171</v>
      </c>
      <c r="D1646" s="4072">
        <f>SUM(D1647:D1649)</f>
        <v>850000000</v>
      </c>
      <c r="E1646" s="2734">
        <f>SUM(E1647:E1649)</f>
        <v>850000000</v>
      </c>
      <c r="F1646" s="2966">
        <f>E1646/D1646*100</f>
        <v>100</v>
      </c>
      <c r="G1646" s="2677">
        <f>SUM(G1647:G1649)/3</f>
        <v>100</v>
      </c>
      <c r="H1646" s="1462"/>
    </row>
    <row r="1647" spans="2:8" ht="14.25" hidden="1" customHeight="1" x14ac:dyDescent="0.25">
      <c r="B1647" s="448"/>
      <c r="C1647" s="2473" t="s">
        <v>1172</v>
      </c>
      <c r="D1647" s="4066">
        <v>400000000</v>
      </c>
      <c r="E1647" s="3140">
        <v>400000000</v>
      </c>
      <c r="F1647" s="2690">
        <f>E1647/D1647*100</f>
        <v>100</v>
      </c>
      <c r="G1647" s="2967">
        <v>100</v>
      </c>
      <c r="H1647" s="3715"/>
    </row>
    <row r="1648" spans="2:8" ht="14.25" hidden="1" customHeight="1" x14ac:dyDescent="0.25">
      <c r="B1648" s="448"/>
      <c r="C1648" s="2476" t="s">
        <v>1173</v>
      </c>
      <c r="D1648" s="4066">
        <v>250000000</v>
      </c>
      <c r="E1648" s="3140">
        <v>250000000</v>
      </c>
      <c r="F1648" s="2690">
        <f t="shared" ref="F1648:F1649" si="96">E1648/D1648*100</f>
        <v>100</v>
      </c>
      <c r="G1648" s="2967">
        <v>100</v>
      </c>
      <c r="H1648" s="3715"/>
    </row>
    <row r="1649" spans="2:8" ht="14.25" hidden="1" customHeight="1" x14ac:dyDescent="0.25">
      <c r="B1649" s="448"/>
      <c r="C1649" s="2476" t="s">
        <v>1174</v>
      </c>
      <c r="D1649" s="4066">
        <v>200000000</v>
      </c>
      <c r="E1649" s="2999">
        <v>200000000</v>
      </c>
      <c r="F1649" s="2690">
        <f t="shared" si="96"/>
        <v>100</v>
      </c>
      <c r="G1649" s="2967">
        <v>100</v>
      </c>
      <c r="H1649" s="3715"/>
    </row>
    <row r="1650" spans="2:8" ht="14.25" hidden="1" customHeight="1" x14ac:dyDescent="0.25">
      <c r="B1650" s="441"/>
      <c r="C1650" s="2519"/>
      <c r="D1650" s="4276"/>
      <c r="E1650" s="3035"/>
      <c r="F1650" s="3035"/>
      <c r="G1650" s="3035"/>
      <c r="H1650" s="1463"/>
    </row>
    <row r="1651" spans="2:8" ht="16.5" customHeight="1" x14ac:dyDescent="0.25">
      <c r="B1651" s="440"/>
      <c r="C1651" s="2471" t="s">
        <v>1175</v>
      </c>
      <c r="D1651" s="4106">
        <f>D1652</f>
        <v>300000000</v>
      </c>
      <c r="E1651" s="2996">
        <f>E1652</f>
        <v>300000000</v>
      </c>
      <c r="F1651" s="2672">
        <f>E1651/D1651*100</f>
        <v>100</v>
      </c>
      <c r="G1651" s="2996">
        <f>G1652</f>
        <v>100</v>
      </c>
      <c r="H1651" s="1462"/>
    </row>
    <row r="1652" spans="2:8" ht="18" customHeight="1" x14ac:dyDescent="0.25">
      <c r="B1652" s="441"/>
      <c r="C1652" s="2472" t="s">
        <v>1176</v>
      </c>
      <c r="D1652" s="4072">
        <f>D1653</f>
        <v>300000000</v>
      </c>
      <c r="E1652" s="4034">
        <f>E1653</f>
        <v>300000000</v>
      </c>
      <c r="F1652" s="2966">
        <f>E1652/D1652*100</f>
        <v>100</v>
      </c>
      <c r="G1652" s="4034">
        <f>G1653</f>
        <v>100</v>
      </c>
      <c r="H1652" s="1462"/>
    </row>
    <row r="1653" spans="2:8" ht="16.5" hidden="1" customHeight="1" x14ac:dyDescent="0.25">
      <c r="B1653" s="448"/>
      <c r="C1653" s="2473" t="s">
        <v>1177</v>
      </c>
      <c r="D1653" s="4066">
        <v>300000000</v>
      </c>
      <c r="E1653" s="2968">
        <v>300000000</v>
      </c>
      <c r="F1653" s="2690">
        <f>E1653/D1653*100</f>
        <v>100</v>
      </c>
      <c r="G1653" s="2968">
        <v>100</v>
      </c>
      <c r="H1653" s="3715"/>
    </row>
    <row r="1654" spans="2:8" ht="14.25" hidden="1" customHeight="1" x14ac:dyDescent="0.25">
      <c r="B1654" s="441"/>
      <c r="C1654" s="2519"/>
      <c r="D1654" s="4276"/>
      <c r="E1654" s="3035"/>
      <c r="F1654" s="3035"/>
      <c r="G1654" s="3035"/>
      <c r="H1654" s="1463"/>
    </row>
    <row r="1655" spans="2:8" ht="16.5" customHeight="1" x14ac:dyDescent="0.25">
      <c r="B1655" s="440"/>
      <c r="C1655" s="2471" t="s">
        <v>1178</v>
      </c>
      <c r="D1655" s="4106">
        <f>SUM(D1656+D1660)</f>
        <v>1284000000</v>
      </c>
      <c r="E1655" s="2672">
        <f>SUM(E1656+E1660)</f>
        <v>1284000000</v>
      </c>
      <c r="F1655" s="2672">
        <f>E1655/D1655*100</f>
        <v>100</v>
      </c>
      <c r="G1655" s="2996">
        <f>SUM(G1656+G1660)/2</f>
        <v>100</v>
      </c>
      <c r="H1655" s="1462"/>
    </row>
    <row r="1656" spans="2:8" ht="15.75" customHeight="1" x14ac:dyDescent="0.25">
      <c r="B1656" s="441"/>
      <c r="C1656" s="2472" t="s">
        <v>1179</v>
      </c>
      <c r="D1656" s="4072">
        <f>SUM(D1657:D1658)</f>
        <v>655980000</v>
      </c>
      <c r="E1656" s="2734">
        <f>SUM(E1657:E1658)</f>
        <v>655980000</v>
      </c>
      <c r="F1656" s="2966">
        <f>E1656/D1656*100</f>
        <v>100</v>
      </c>
      <c r="G1656" s="4034">
        <f>SUM(G1657:G1658)/2</f>
        <v>100</v>
      </c>
      <c r="H1656" s="1462"/>
    </row>
    <row r="1657" spans="2:8" ht="16.5" hidden="1" customHeight="1" x14ac:dyDescent="0.25">
      <c r="B1657" s="448"/>
      <c r="C1657" s="2473" t="s">
        <v>1180</v>
      </c>
      <c r="D1657" s="4066">
        <v>400000000</v>
      </c>
      <c r="E1657" s="2968">
        <v>400000000</v>
      </c>
      <c r="F1657" s="2690">
        <f>E1657/D1657*100</f>
        <v>100</v>
      </c>
      <c r="G1657" s="2968">
        <v>100</v>
      </c>
      <c r="H1657" s="3715"/>
    </row>
    <row r="1658" spans="2:8" ht="15" hidden="1" customHeight="1" x14ac:dyDescent="0.25">
      <c r="B1658" s="441"/>
      <c r="C1658" s="2476" t="s">
        <v>1181</v>
      </c>
      <c r="D1658" s="4071">
        <v>255980000</v>
      </c>
      <c r="E1658" s="2710">
        <v>255980000</v>
      </c>
      <c r="F1658" s="2690">
        <f>E1658/D1658*100</f>
        <v>100</v>
      </c>
      <c r="G1658" s="2710">
        <v>100</v>
      </c>
      <c r="H1658" s="1463"/>
    </row>
    <row r="1659" spans="2:8" ht="12" hidden="1" customHeight="1" x14ac:dyDescent="0.25">
      <c r="B1659" s="441"/>
      <c r="C1659" s="2517"/>
      <c r="D1659" s="4276"/>
      <c r="E1659" s="3035"/>
      <c r="F1659" s="3185"/>
      <c r="G1659" s="3035"/>
      <c r="H1659" s="1463"/>
    </row>
    <row r="1660" spans="2:8" ht="14.25" customHeight="1" x14ac:dyDescent="0.25">
      <c r="B1660" s="441"/>
      <c r="C1660" s="2474" t="s">
        <v>1182</v>
      </c>
      <c r="D1660" s="4065">
        <v>628020000</v>
      </c>
      <c r="E1660" s="2695">
        <v>628020000</v>
      </c>
      <c r="F1660" s="2695">
        <f>E1660/D1660*100</f>
        <v>100</v>
      </c>
      <c r="G1660" s="2695">
        <f>SUM(G1661:G1663)/3</f>
        <v>100</v>
      </c>
      <c r="H1660" s="1462"/>
    </row>
    <row r="1661" spans="2:8" ht="14.25" hidden="1" customHeight="1" x14ac:dyDescent="0.25">
      <c r="B1661" s="441"/>
      <c r="C1661" s="2473" t="s">
        <v>1183</v>
      </c>
      <c r="D1661" s="4066">
        <v>263740000</v>
      </c>
      <c r="E1661" s="2968">
        <v>263740000</v>
      </c>
      <c r="F1661" s="2690">
        <f>E1661/D1661*100</f>
        <v>100</v>
      </c>
      <c r="G1661" s="2968">
        <v>100</v>
      </c>
      <c r="H1661" s="1463"/>
    </row>
    <row r="1662" spans="2:8" ht="14.25" hidden="1" customHeight="1" x14ac:dyDescent="0.25">
      <c r="B1662" s="441"/>
      <c r="C1662" s="2473" t="s">
        <v>1184</v>
      </c>
      <c r="D1662" s="4066">
        <v>150285000</v>
      </c>
      <c r="E1662" s="2968">
        <v>150285000</v>
      </c>
      <c r="F1662" s="2690">
        <f>E1662/D1662*100</f>
        <v>100</v>
      </c>
      <c r="G1662" s="2968">
        <v>100</v>
      </c>
      <c r="H1662" s="1463"/>
    </row>
    <row r="1663" spans="2:8" ht="14.25" hidden="1" customHeight="1" x14ac:dyDescent="0.25">
      <c r="B1663" s="444"/>
      <c r="C1663" s="2473" t="s">
        <v>1185</v>
      </c>
      <c r="D1663" s="4066">
        <v>213995000</v>
      </c>
      <c r="E1663" s="2690">
        <v>213995000</v>
      </c>
      <c r="F1663" s="2690">
        <f>E1663/D1663*100</f>
        <v>100</v>
      </c>
      <c r="G1663" s="2690">
        <v>100</v>
      </c>
      <c r="H1663" s="1463"/>
    </row>
    <row r="1664" spans="2:8" ht="14.25" hidden="1" customHeight="1" x14ac:dyDescent="0.25">
      <c r="B1664" s="441"/>
      <c r="C1664" s="2531"/>
      <c r="D1664" s="4299"/>
      <c r="E1664" s="2784"/>
      <c r="F1664" s="2784"/>
      <c r="G1664" s="2784"/>
      <c r="H1664" s="1463"/>
    </row>
    <row r="1665" spans="2:8" ht="17.25" customHeight="1" x14ac:dyDescent="0.25">
      <c r="B1665" s="440"/>
      <c r="C1665" s="2471" t="s">
        <v>1186</v>
      </c>
      <c r="D1665" s="4106">
        <f>D1666</f>
        <v>1400000000</v>
      </c>
      <c r="E1665" s="2672">
        <f>E1666</f>
        <v>1400000000</v>
      </c>
      <c r="F1665" s="2672">
        <f t="shared" ref="F1665:F1670" si="97">E1665/D1665*100</f>
        <v>100</v>
      </c>
      <c r="G1665" s="2670">
        <f>G1666</f>
        <v>100</v>
      </c>
      <c r="H1665" s="1462"/>
    </row>
    <row r="1666" spans="2:8" ht="20.25" customHeight="1" x14ac:dyDescent="0.25">
      <c r="B1666" s="441"/>
      <c r="C1666" s="2472" t="s">
        <v>1187</v>
      </c>
      <c r="D1666" s="4072">
        <f>SUM(D1667:D1670)</f>
        <v>1400000000</v>
      </c>
      <c r="E1666" s="2734">
        <f>SUM(E1667:E1670)</f>
        <v>1400000000</v>
      </c>
      <c r="F1666" s="2966">
        <f t="shared" si="97"/>
        <v>100</v>
      </c>
      <c r="G1666" s="2677">
        <f>SUM(G1667:G1670)/4</f>
        <v>100</v>
      </c>
      <c r="H1666" s="1462"/>
    </row>
    <row r="1667" spans="2:8" ht="14.25" hidden="1" customHeight="1" x14ac:dyDescent="0.25">
      <c r="B1667" s="448"/>
      <c r="C1667" s="2473" t="s">
        <v>1188</v>
      </c>
      <c r="D1667" s="4066">
        <v>400000000</v>
      </c>
      <c r="E1667" s="2968">
        <v>400000000</v>
      </c>
      <c r="F1667" s="2968">
        <f t="shared" si="97"/>
        <v>100</v>
      </c>
      <c r="G1667" s="2968">
        <v>100</v>
      </c>
      <c r="H1667" s="3715"/>
    </row>
    <row r="1668" spans="2:8" ht="14.25" hidden="1" customHeight="1" x14ac:dyDescent="0.25">
      <c r="B1668" s="441"/>
      <c r="C1668" s="2473" t="s">
        <v>1189</v>
      </c>
      <c r="D1668" s="4066">
        <v>350000000</v>
      </c>
      <c r="E1668" s="2690">
        <v>350000000</v>
      </c>
      <c r="F1668" s="2690">
        <f t="shared" si="97"/>
        <v>100</v>
      </c>
      <c r="G1668" s="2690">
        <v>100</v>
      </c>
      <c r="H1668" s="1463"/>
    </row>
    <row r="1669" spans="2:8" ht="14.25" hidden="1" customHeight="1" x14ac:dyDescent="0.25">
      <c r="B1669" s="441"/>
      <c r="C1669" s="2473" t="s">
        <v>1190</v>
      </c>
      <c r="D1669" s="4066">
        <v>350000000</v>
      </c>
      <c r="E1669" s="2968">
        <v>350000000</v>
      </c>
      <c r="F1669" s="2690">
        <f t="shared" si="97"/>
        <v>100</v>
      </c>
      <c r="G1669" s="2968">
        <v>100</v>
      </c>
      <c r="H1669" s="1463"/>
    </row>
    <row r="1670" spans="2:8" ht="14.25" hidden="1" customHeight="1" x14ac:dyDescent="0.25">
      <c r="B1670" s="441"/>
      <c r="C1670" s="2473" t="s">
        <v>1191</v>
      </c>
      <c r="D1670" s="4066">
        <v>300000000</v>
      </c>
      <c r="E1670" s="2690">
        <v>300000000</v>
      </c>
      <c r="F1670" s="2690">
        <f t="shared" si="97"/>
        <v>100</v>
      </c>
      <c r="G1670" s="2690">
        <v>100</v>
      </c>
      <c r="H1670" s="1463"/>
    </row>
    <row r="1671" spans="2:8" ht="14.25" hidden="1" customHeight="1" x14ac:dyDescent="0.25">
      <c r="B1671" s="441"/>
      <c r="C1671" s="2475"/>
      <c r="D1671" s="4299"/>
      <c r="E1671" s="2784"/>
      <c r="F1671" s="2784"/>
      <c r="G1671" s="2784"/>
      <c r="H1671" s="1463"/>
    </row>
    <row r="1672" spans="2:8" ht="16.5" customHeight="1" x14ac:dyDescent="0.25">
      <c r="B1672" s="440"/>
      <c r="C1672" s="2471" t="s">
        <v>1192</v>
      </c>
      <c r="D1672" s="4106">
        <f>D1673</f>
        <v>300000000</v>
      </c>
      <c r="E1672" s="2672">
        <f>E1673</f>
        <v>300000000</v>
      </c>
      <c r="F1672" s="2672">
        <f>E1672/D1672*100</f>
        <v>100</v>
      </c>
      <c r="G1672" s="2996">
        <f>G1673</f>
        <v>100</v>
      </c>
      <c r="H1672" s="1462"/>
    </row>
    <row r="1673" spans="2:8" ht="18" customHeight="1" x14ac:dyDescent="0.25">
      <c r="B1673" s="441"/>
      <c r="C1673" s="2472" t="s">
        <v>1193</v>
      </c>
      <c r="D1673" s="4072">
        <f>D1674</f>
        <v>300000000</v>
      </c>
      <c r="E1673" s="2734">
        <f>E1674</f>
        <v>300000000</v>
      </c>
      <c r="F1673" s="2966">
        <f>E1673/D1673*100</f>
        <v>100</v>
      </c>
      <c r="G1673" s="4034">
        <f>G1674</f>
        <v>100</v>
      </c>
      <c r="H1673" s="1462"/>
    </row>
    <row r="1674" spans="2:8" ht="18" hidden="1" customHeight="1" x14ac:dyDescent="0.25">
      <c r="B1674" s="448"/>
      <c r="C1674" s="2473" t="s">
        <v>1194</v>
      </c>
      <c r="D1674" s="4066">
        <v>300000000</v>
      </c>
      <c r="E1674" s="2690">
        <v>300000000</v>
      </c>
      <c r="F1674" s="2968">
        <f>E1674/D1674*100</f>
        <v>100</v>
      </c>
      <c r="G1674" s="2968">
        <v>100</v>
      </c>
      <c r="H1674" s="3715"/>
    </row>
    <row r="1675" spans="2:8" ht="14.25" hidden="1" customHeight="1" x14ac:dyDescent="0.25">
      <c r="B1675" s="441"/>
      <c r="C1675" s="2519"/>
      <c r="D1675" s="4071"/>
      <c r="E1675" s="2999"/>
      <c r="F1675" s="2999"/>
      <c r="G1675" s="2999"/>
      <c r="H1675" s="1463"/>
    </row>
    <row r="1676" spans="2:8" ht="18" customHeight="1" x14ac:dyDescent="0.25">
      <c r="B1676" s="440"/>
      <c r="C1676" s="2471" t="s">
        <v>1195</v>
      </c>
      <c r="D1676" s="4106">
        <f>D1677</f>
        <v>300000000</v>
      </c>
      <c r="E1676" s="2672">
        <f>E1677</f>
        <v>300000000</v>
      </c>
      <c r="F1676" s="2672">
        <f>E1676/D1676*100</f>
        <v>100</v>
      </c>
      <c r="G1676" s="2996">
        <f>G1677</f>
        <v>100</v>
      </c>
      <c r="H1676" s="1462"/>
    </row>
    <row r="1677" spans="2:8" ht="23.25" customHeight="1" x14ac:dyDescent="0.25">
      <c r="B1677" s="441"/>
      <c r="C1677" s="2472" t="s">
        <v>1196</v>
      </c>
      <c r="D1677" s="4072">
        <f>D1678</f>
        <v>300000000</v>
      </c>
      <c r="E1677" s="2734">
        <f>E1678</f>
        <v>300000000</v>
      </c>
      <c r="F1677" s="2966">
        <f>E1677/D1677*100</f>
        <v>100</v>
      </c>
      <c r="G1677" s="4034">
        <f>G1678</f>
        <v>100</v>
      </c>
      <c r="H1677" s="1462"/>
    </row>
    <row r="1678" spans="2:8" ht="14.25" hidden="1" customHeight="1" x14ac:dyDescent="0.25">
      <c r="B1678" s="448"/>
      <c r="C1678" s="2473" t="s">
        <v>1197</v>
      </c>
      <c r="D1678" s="4066">
        <v>300000000</v>
      </c>
      <c r="E1678" s="2690">
        <v>300000000</v>
      </c>
      <c r="F1678" s="2968">
        <f>E1678/D1678*100</f>
        <v>100</v>
      </c>
      <c r="G1678" s="2968">
        <v>100</v>
      </c>
      <c r="H1678" s="3715"/>
    </row>
    <row r="1679" spans="2:8" ht="14.25" hidden="1" customHeight="1" x14ac:dyDescent="0.25">
      <c r="B1679" s="441"/>
      <c r="C1679" s="2519"/>
      <c r="D1679" s="4071"/>
      <c r="E1679" s="2999"/>
      <c r="F1679" s="2999"/>
      <c r="G1679" s="2999"/>
      <c r="H1679" s="1463"/>
    </row>
    <row r="1680" spans="2:8" ht="18" customHeight="1" x14ac:dyDescent="0.25">
      <c r="B1680" s="440"/>
      <c r="C1680" s="2471" t="s">
        <v>1198</v>
      </c>
      <c r="D1680" s="4106">
        <f>D1681</f>
        <v>300000000</v>
      </c>
      <c r="E1680" s="2672">
        <f>E1681</f>
        <v>300000000</v>
      </c>
      <c r="F1680" s="2672">
        <f>E1680/D1680*100</f>
        <v>100</v>
      </c>
      <c r="G1680" s="2996">
        <f>G1681</f>
        <v>100</v>
      </c>
      <c r="H1680" s="1462"/>
    </row>
    <row r="1681" spans="2:8" ht="17.25" customHeight="1" x14ac:dyDescent="0.25">
      <c r="B1681" s="441"/>
      <c r="C1681" s="2472" t="s">
        <v>1199</v>
      </c>
      <c r="D1681" s="4072">
        <f>D1682</f>
        <v>300000000</v>
      </c>
      <c r="E1681" s="2734">
        <f>E1682</f>
        <v>300000000</v>
      </c>
      <c r="F1681" s="2966">
        <f>E1681/D1681*100</f>
        <v>100</v>
      </c>
      <c r="G1681" s="4034">
        <f>G1682</f>
        <v>100</v>
      </c>
      <c r="H1681" s="1462"/>
    </row>
    <row r="1682" spans="2:8" ht="21.75" hidden="1" customHeight="1" x14ac:dyDescent="0.25">
      <c r="B1682" s="448"/>
      <c r="C1682" s="2473" t="s">
        <v>1200</v>
      </c>
      <c r="D1682" s="4066">
        <v>300000000</v>
      </c>
      <c r="E1682" s="2690">
        <v>300000000</v>
      </c>
      <c r="F1682" s="2968">
        <f>E1682/D1682*100</f>
        <v>100</v>
      </c>
      <c r="G1682" s="2968">
        <v>100</v>
      </c>
      <c r="H1682" s="3715"/>
    </row>
    <row r="1683" spans="2:8" ht="14.25" hidden="1" customHeight="1" x14ac:dyDescent="0.25">
      <c r="B1683" s="441"/>
      <c r="C1683" s="2519"/>
      <c r="D1683" s="4071"/>
      <c r="E1683" s="2999"/>
      <c r="F1683" s="2999"/>
      <c r="G1683" s="2999"/>
      <c r="H1683" s="1463"/>
    </row>
    <row r="1684" spans="2:8" ht="18" customHeight="1" x14ac:dyDescent="0.25">
      <c r="B1684" s="440"/>
      <c r="C1684" s="2471" t="s">
        <v>1201</v>
      </c>
      <c r="D1684" s="4106">
        <f>D1685</f>
        <v>300000000</v>
      </c>
      <c r="E1684" s="2672">
        <f>E1685</f>
        <v>300000000</v>
      </c>
      <c r="F1684" s="2672">
        <f>E1684/D1684*100</f>
        <v>100</v>
      </c>
      <c r="G1684" s="2996">
        <f>G1685</f>
        <v>100</v>
      </c>
      <c r="H1684" s="1462"/>
    </row>
    <row r="1685" spans="2:8" ht="19.5" customHeight="1" x14ac:dyDescent="0.25">
      <c r="B1685" s="441"/>
      <c r="C1685" s="2472" t="s">
        <v>1202</v>
      </c>
      <c r="D1685" s="4072">
        <f>D1686</f>
        <v>300000000</v>
      </c>
      <c r="E1685" s="2734">
        <f>E1686</f>
        <v>300000000</v>
      </c>
      <c r="F1685" s="2966">
        <f>E1685/D1685*100</f>
        <v>100</v>
      </c>
      <c r="G1685" s="4034">
        <f>G1686</f>
        <v>100</v>
      </c>
      <c r="H1685" s="1462"/>
    </row>
    <row r="1686" spans="2:8" ht="16.5" hidden="1" customHeight="1" x14ac:dyDescent="0.25">
      <c r="B1686" s="448"/>
      <c r="C1686" s="2473" t="s">
        <v>1203</v>
      </c>
      <c r="D1686" s="4066">
        <v>300000000</v>
      </c>
      <c r="E1686" s="2690">
        <v>300000000</v>
      </c>
      <c r="F1686" s="2968">
        <f>E1686/D1686*100</f>
        <v>100</v>
      </c>
      <c r="G1686" s="2968">
        <v>100</v>
      </c>
      <c r="H1686" s="3715"/>
    </row>
    <row r="1687" spans="2:8" ht="14.25" hidden="1" customHeight="1" x14ac:dyDescent="0.25">
      <c r="B1687" s="441"/>
      <c r="C1687" s="2519"/>
      <c r="D1687" s="4071"/>
      <c r="E1687" s="2999"/>
      <c r="F1687" s="2999"/>
      <c r="G1687" s="2999"/>
      <c r="H1687" s="1463"/>
    </row>
    <row r="1688" spans="2:8" ht="17.25" customHeight="1" x14ac:dyDescent="0.25">
      <c r="B1688" s="440"/>
      <c r="C1688" s="2471" t="s">
        <v>1204</v>
      </c>
      <c r="D1688" s="4106">
        <f>D1689</f>
        <v>300000000</v>
      </c>
      <c r="E1688" s="2672">
        <f>E1689</f>
        <v>300000000</v>
      </c>
      <c r="F1688" s="2672">
        <f>E1688/D1688*100</f>
        <v>100</v>
      </c>
      <c r="G1688" s="2996">
        <f>G1689</f>
        <v>100</v>
      </c>
      <c r="H1688" s="1462"/>
    </row>
    <row r="1689" spans="2:8" ht="18" customHeight="1" x14ac:dyDescent="0.25">
      <c r="B1689" s="441"/>
      <c r="C1689" s="2472" t="s">
        <v>1205</v>
      </c>
      <c r="D1689" s="4072">
        <f>D1690</f>
        <v>300000000</v>
      </c>
      <c r="E1689" s="2734">
        <f>E1690</f>
        <v>300000000</v>
      </c>
      <c r="F1689" s="2966">
        <f>E1689/D1689*100</f>
        <v>100</v>
      </c>
      <c r="G1689" s="4034">
        <f>G1690</f>
        <v>100</v>
      </c>
      <c r="H1689" s="1462"/>
    </row>
    <row r="1690" spans="2:8" ht="21" hidden="1" customHeight="1" x14ac:dyDescent="0.25">
      <c r="B1690" s="448"/>
      <c r="C1690" s="2473" t="s">
        <v>1206</v>
      </c>
      <c r="D1690" s="4066">
        <v>300000000</v>
      </c>
      <c r="E1690" s="2690">
        <v>300000000</v>
      </c>
      <c r="F1690" s="2968">
        <f>E1690/D1690*100</f>
        <v>100</v>
      </c>
      <c r="G1690" s="2968">
        <v>100</v>
      </c>
      <c r="H1690" s="3715"/>
    </row>
    <row r="1691" spans="2:8" ht="14.25" hidden="1" customHeight="1" x14ac:dyDescent="0.25">
      <c r="B1691" s="441"/>
      <c r="C1691" s="2519"/>
      <c r="D1691" s="4071"/>
      <c r="E1691" s="2999"/>
      <c r="F1691" s="2710"/>
      <c r="G1691" s="2985"/>
      <c r="H1691" s="1463"/>
    </row>
    <row r="1692" spans="2:8" ht="17.25" customHeight="1" x14ac:dyDescent="0.25">
      <c r="B1692" s="440"/>
      <c r="C1692" s="2471" t="s">
        <v>1207</v>
      </c>
      <c r="D1692" s="4106">
        <f>D1693</f>
        <v>350000000</v>
      </c>
      <c r="E1692" s="2672">
        <f>E1693</f>
        <v>350000000</v>
      </c>
      <c r="F1692" s="2672">
        <f>E1692/D1692*100</f>
        <v>100</v>
      </c>
      <c r="G1692" s="2996">
        <f>G1693</f>
        <v>100</v>
      </c>
      <c r="H1692" s="1462"/>
    </row>
    <row r="1693" spans="2:8" ht="18" customHeight="1" x14ac:dyDescent="0.25">
      <c r="B1693" s="441"/>
      <c r="C1693" s="2478" t="s">
        <v>1208</v>
      </c>
      <c r="D1693" s="4305">
        <f>D1694</f>
        <v>350000000</v>
      </c>
      <c r="E1693" s="2785">
        <f>E1694</f>
        <v>350000000</v>
      </c>
      <c r="F1693" s="2966">
        <f>E1693/D1693*100</f>
        <v>100</v>
      </c>
      <c r="G1693" s="4034">
        <v>100</v>
      </c>
      <c r="H1693" s="1462"/>
    </row>
    <row r="1694" spans="2:8" ht="18" hidden="1" customHeight="1" x14ac:dyDescent="0.25">
      <c r="B1694" s="441"/>
      <c r="C1694" s="2473" t="s">
        <v>1209</v>
      </c>
      <c r="D1694" s="4066">
        <v>350000000</v>
      </c>
      <c r="E1694" s="2690">
        <v>350000000</v>
      </c>
      <c r="F1694" s="2968">
        <f>E1694/D1694*100</f>
        <v>100</v>
      </c>
      <c r="G1694" s="2968">
        <v>100</v>
      </c>
      <c r="H1694" s="1463"/>
    </row>
    <row r="1695" spans="2:8" ht="14.25" hidden="1" customHeight="1" x14ac:dyDescent="0.25">
      <c r="B1695" s="441"/>
      <c r="C1695" s="2531"/>
      <c r="D1695" s="4301"/>
      <c r="E1695" s="3022"/>
      <c r="F1695" s="2752"/>
      <c r="G1695" s="2993"/>
      <c r="H1695" s="1463"/>
    </row>
    <row r="1696" spans="2:8" ht="18" customHeight="1" x14ac:dyDescent="0.25">
      <c r="B1696" s="440"/>
      <c r="C1696" s="2471" t="s">
        <v>1210</v>
      </c>
      <c r="D1696" s="4106">
        <f>D1697</f>
        <v>300000000</v>
      </c>
      <c r="E1696" s="2672">
        <f>E1697</f>
        <v>300000000</v>
      </c>
      <c r="F1696" s="2672">
        <f>E1696/D1696*100</f>
        <v>100</v>
      </c>
      <c r="G1696" s="2996">
        <f>G1697</f>
        <v>100</v>
      </c>
      <c r="H1696" s="1462"/>
    </row>
    <row r="1697" spans="2:8" ht="21" customHeight="1" x14ac:dyDescent="0.25">
      <c r="B1697" s="441"/>
      <c r="C1697" s="2478" t="s">
        <v>1211</v>
      </c>
      <c r="D1697" s="4305">
        <f>D1698</f>
        <v>300000000</v>
      </c>
      <c r="E1697" s="2785">
        <f>E1698</f>
        <v>300000000</v>
      </c>
      <c r="F1697" s="2966">
        <f>E1697/D1697*100</f>
        <v>100</v>
      </c>
      <c r="G1697" s="4034">
        <f>G1698</f>
        <v>100</v>
      </c>
      <c r="H1697" s="1462"/>
    </row>
    <row r="1698" spans="2:8" ht="14.25" hidden="1" customHeight="1" x14ac:dyDescent="0.25">
      <c r="B1698" s="441"/>
      <c r="C1698" s="2473" t="s">
        <v>1212</v>
      </c>
      <c r="D1698" s="4066">
        <v>300000000</v>
      </c>
      <c r="E1698" s="2690">
        <v>300000000</v>
      </c>
      <c r="F1698" s="2968">
        <f>E1698/D1698*100</f>
        <v>100</v>
      </c>
      <c r="G1698" s="2968">
        <v>100</v>
      </c>
      <c r="H1698" s="1463"/>
    </row>
    <row r="1699" spans="2:8" ht="14.25" hidden="1" customHeight="1" x14ac:dyDescent="0.25">
      <c r="B1699" s="441"/>
      <c r="C1699" s="2531"/>
      <c r="D1699" s="4301"/>
      <c r="E1699" s="3022"/>
      <c r="F1699" s="2752"/>
      <c r="G1699" s="2993"/>
      <c r="H1699" s="1463"/>
    </row>
    <row r="1700" spans="2:8" ht="18" customHeight="1" x14ac:dyDescent="0.25">
      <c r="B1700" s="440"/>
      <c r="C1700" s="2471" t="s">
        <v>1213</v>
      </c>
      <c r="D1700" s="4106">
        <f>D1701</f>
        <v>300000000</v>
      </c>
      <c r="E1700" s="2996">
        <f>E1701</f>
        <v>300000000</v>
      </c>
      <c r="F1700" s="2672">
        <f>E1700/D1700*100</f>
        <v>100</v>
      </c>
      <c r="G1700" s="2996">
        <f>G1701</f>
        <v>100</v>
      </c>
      <c r="H1700" s="1462"/>
    </row>
    <row r="1701" spans="2:8" ht="18" customHeight="1" x14ac:dyDescent="0.25">
      <c r="B1701" s="441"/>
      <c r="C1701" s="2478" t="s">
        <v>1214</v>
      </c>
      <c r="D1701" s="4305">
        <f>D1702</f>
        <v>300000000</v>
      </c>
      <c r="E1701" s="4034">
        <f>E1702</f>
        <v>300000000</v>
      </c>
      <c r="F1701" s="2966">
        <f>E1701/D1701*100</f>
        <v>100</v>
      </c>
      <c r="G1701" s="4034">
        <f>G1702</f>
        <v>100</v>
      </c>
      <c r="H1701" s="1462"/>
    </row>
    <row r="1702" spans="2:8" ht="18" hidden="1" customHeight="1" x14ac:dyDescent="0.25">
      <c r="B1702" s="448"/>
      <c r="C1702" s="2473" t="s">
        <v>1215</v>
      </c>
      <c r="D1702" s="4066">
        <v>300000000</v>
      </c>
      <c r="E1702" s="2690">
        <v>300000000</v>
      </c>
      <c r="F1702" s="2968">
        <f>E1702/D1702*100</f>
        <v>100</v>
      </c>
      <c r="G1702" s="2968">
        <v>100</v>
      </c>
      <c r="H1702" s="3715"/>
    </row>
    <row r="1703" spans="2:8" ht="14.25" hidden="1" customHeight="1" x14ac:dyDescent="0.25">
      <c r="B1703" s="441"/>
      <c r="C1703" s="2531"/>
      <c r="D1703" s="4301"/>
      <c r="E1703" s="3022"/>
      <c r="F1703" s="2752"/>
      <c r="G1703" s="2993"/>
      <c r="H1703" s="1463"/>
    </row>
    <row r="1704" spans="2:8" ht="17.25" customHeight="1" x14ac:dyDescent="0.25">
      <c r="B1704" s="440"/>
      <c r="C1704" s="2471" t="s">
        <v>1216</v>
      </c>
      <c r="D1704" s="4106">
        <f>D1705</f>
        <v>300000000</v>
      </c>
      <c r="E1704" s="2672">
        <f>E1705</f>
        <v>300000000</v>
      </c>
      <c r="F1704" s="2672">
        <f>E1704/D1704*100</f>
        <v>100</v>
      </c>
      <c r="G1704" s="2996">
        <f>G1705</f>
        <v>100</v>
      </c>
      <c r="H1704" s="1462"/>
    </row>
    <row r="1705" spans="2:8" ht="18.75" customHeight="1" x14ac:dyDescent="0.25">
      <c r="B1705" s="441"/>
      <c r="C1705" s="2478" t="s">
        <v>1217</v>
      </c>
      <c r="D1705" s="4305">
        <f>D1706</f>
        <v>300000000</v>
      </c>
      <c r="E1705" s="2785">
        <f>E1706</f>
        <v>300000000</v>
      </c>
      <c r="F1705" s="2966">
        <f>E1705/D1705*100</f>
        <v>100</v>
      </c>
      <c r="G1705" s="4034">
        <f>G1706</f>
        <v>100</v>
      </c>
      <c r="H1705" s="1462"/>
    </row>
    <row r="1706" spans="2:8" ht="18.75" hidden="1" customHeight="1" x14ac:dyDescent="0.25">
      <c r="B1706" s="441"/>
      <c r="C1706" s="2473" t="s">
        <v>1218</v>
      </c>
      <c r="D1706" s="4066">
        <v>300000000</v>
      </c>
      <c r="E1706" s="2690">
        <v>300000000</v>
      </c>
      <c r="F1706" s="2968">
        <f>E1706/D1706*100</f>
        <v>100</v>
      </c>
      <c r="G1706" s="2968">
        <v>100</v>
      </c>
      <c r="H1706" s="1463"/>
    </row>
    <row r="1707" spans="2:8" ht="14.25" hidden="1" customHeight="1" x14ac:dyDescent="0.25">
      <c r="B1707" s="441"/>
      <c r="C1707" s="2531"/>
      <c r="D1707" s="4301"/>
      <c r="E1707" s="3022"/>
      <c r="F1707" s="2752"/>
      <c r="G1707" s="2993"/>
      <c r="H1707" s="1463"/>
    </row>
    <row r="1708" spans="2:8" ht="18" customHeight="1" x14ac:dyDescent="0.25">
      <c r="B1708" s="440"/>
      <c r="C1708" s="2471" t="s">
        <v>1219</v>
      </c>
      <c r="D1708" s="4106">
        <f>D1709</f>
        <v>300000000</v>
      </c>
      <c r="E1708" s="2672">
        <f>E1709</f>
        <v>300000000</v>
      </c>
      <c r="F1708" s="2672">
        <f>E1708/D1708*100</f>
        <v>100</v>
      </c>
      <c r="G1708" s="2996">
        <f>G1709</f>
        <v>100</v>
      </c>
      <c r="H1708" s="1463"/>
    </row>
    <row r="1709" spans="2:8" ht="19.5" customHeight="1" x14ac:dyDescent="0.25">
      <c r="B1709" s="441"/>
      <c r="C1709" s="2478" t="s">
        <v>1220</v>
      </c>
      <c r="D1709" s="4305">
        <f>D1710</f>
        <v>300000000</v>
      </c>
      <c r="E1709" s="2785">
        <f>E1710</f>
        <v>300000000</v>
      </c>
      <c r="F1709" s="2966">
        <f>E1709/D1709*100</f>
        <v>100</v>
      </c>
      <c r="G1709" s="4034">
        <f>G1710</f>
        <v>100</v>
      </c>
      <c r="H1709" s="1462"/>
    </row>
    <row r="1710" spans="2:8" ht="14.25" hidden="1" customHeight="1" x14ac:dyDescent="0.25">
      <c r="B1710" s="448"/>
      <c r="C1710" s="2473" t="s">
        <v>1221</v>
      </c>
      <c r="D1710" s="4066">
        <v>300000000</v>
      </c>
      <c r="E1710" s="2690">
        <v>300000000</v>
      </c>
      <c r="F1710" s="2968">
        <f>E1710/D1710*100</f>
        <v>100</v>
      </c>
      <c r="G1710" s="2968">
        <v>100</v>
      </c>
      <c r="H1710" s="3715"/>
    </row>
    <row r="1711" spans="2:8" ht="14.25" hidden="1" customHeight="1" x14ac:dyDescent="0.25">
      <c r="B1711" s="441"/>
      <c r="C1711" s="2531"/>
      <c r="D1711" s="4299"/>
      <c r="E1711" s="2784"/>
      <c r="F1711" s="2784"/>
      <c r="G1711" s="2784"/>
      <c r="H1711" s="1463"/>
    </row>
    <row r="1712" spans="2:8" ht="18" customHeight="1" x14ac:dyDescent="0.25">
      <c r="B1712" s="440"/>
      <c r="C1712" s="2471" t="s">
        <v>1222</v>
      </c>
      <c r="D1712" s="4106">
        <f>D1713</f>
        <v>250250000</v>
      </c>
      <c r="E1712" s="2672">
        <f>E1713</f>
        <v>250250000</v>
      </c>
      <c r="F1712" s="2996">
        <f>SUM(E1712/D1712)*100</f>
        <v>100</v>
      </c>
      <c r="G1712" s="2996">
        <f>G1713</f>
        <v>100</v>
      </c>
      <c r="H1712" s="1463"/>
    </row>
    <row r="1713" spans="2:8" ht="18" customHeight="1" x14ac:dyDescent="0.25">
      <c r="B1713" s="441"/>
      <c r="C1713" s="2478" t="s">
        <v>1223</v>
      </c>
      <c r="D1713" s="4305">
        <f>D1714</f>
        <v>250250000</v>
      </c>
      <c r="E1713" s="2785">
        <f>E1714</f>
        <v>250250000</v>
      </c>
      <c r="F1713" s="2966">
        <f>SUM(E1713/D1713)*100</f>
        <v>100</v>
      </c>
      <c r="G1713" s="2966">
        <f>G1714</f>
        <v>100</v>
      </c>
      <c r="H1713" s="1462"/>
    </row>
    <row r="1714" spans="2:8" ht="14.25" hidden="1" customHeight="1" x14ac:dyDescent="0.25">
      <c r="B1714" s="441"/>
      <c r="C1714" s="2473" t="s">
        <v>1224</v>
      </c>
      <c r="D1714" s="4066">
        <v>250250000</v>
      </c>
      <c r="E1714" s="2968">
        <v>250250000</v>
      </c>
      <c r="F1714" s="2968">
        <f>SUM(E1714/D1714)*100</f>
        <v>100</v>
      </c>
      <c r="G1714" s="2968">
        <v>100</v>
      </c>
      <c r="H1714" s="1463"/>
    </row>
    <row r="1715" spans="2:8" ht="11.25" hidden="1" customHeight="1" x14ac:dyDescent="0.25">
      <c r="B1715" s="441"/>
      <c r="C1715" s="2519"/>
      <c r="D1715" s="4285"/>
      <c r="E1715" s="2778"/>
      <c r="F1715" s="2778"/>
      <c r="G1715" s="2778"/>
      <c r="H1715" s="1463"/>
    </row>
    <row r="1716" spans="2:8" ht="19.5" customHeight="1" x14ac:dyDescent="0.25">
      <c r="B1716" s="440"/>
      <c r="C1716" s="2471" t="s">
        <v>1225</v>
      </c>
      <c r="D1716" s="4106">
        <f>SUM(D1717+D1722+D1725)</f>
        <v>5350000000</v>
      </c>
      <c r="E1716" s="2672">
        <f>SUM(E1717+E1722+E1725)</f>
        <v>5330853000</v>
      </c>
      <c r="F1716" s="2996">
        <f>SUM(E1716/D1716)*100</f>
        <v>99.642112149532707</v>
      </c>
      <c r="G1716" s="2996">
        <v>49.999600399600403</v>
      </c>
      <c r="H1716" s="3718"/>
    </row>
    <row r="1717" spans="2:8" ht="18" customHeight="1" x14ac:dyDescent="0.25">
      <c r="B1717" s="441"/>
      <c r="C1717" s="2472" t="s">
        <v>1226</v>
      </c>
      <c r="D1717" s="4072">
        <f>SUM(D1718:D1720)</f>
        <v>1800000000</v>
      </c>
      <c r="E1717" s="2734">
        <f>SUM(E1718:E1720)</f>
        <v>1800000000</v>
      </c>
      <c r="F1717" s="2997">
        <f>SUM(E1717/D1717)*100</f>
        <v>100</v>
      </c>
      <c r="G1717" s="2966">
        <f>SUM(G1718:G1720)/3</f>
        <v>100</v>
      </c>
      <c r="H1717" s="1462"/>
    </row>
    <row r="1718" spans="2:8" ht="14.25" hidden="1" customHeight="1" x14ac:dyDescent="0.25">
      <c r="B1718" s="441"/>
      <c r="C1718" s="2473" t="s">
        <v>1227</v>
      </c>
      <c r="D1718" s="4066">
        <v>1200000000</v>
      </c>
      <c r="E1718" s="2690">
        <v>1200000000</v>
      </c>
      <c r="F1718" s="2968">
        <f t="shared" ref="F1718:F1720" si="98">SUM(E1718/D1718)*100</f>
        <v>100</v>
      </c>
      <c r="G1718" s="2968">
        <v>100</v>
      </c>
      <c r="H1718" s="1463"/>
    </row>
    <row r="1719" spans="2:8" ht="14.25" hidden="1" customHeight="1" x14ac:dyDescent="0.25">
      <c r="B1719" s="441"/>
      <c r="C1719" s="2473" t="s">
        <v>1228</v>
      </c>
      <c r="D1719" s="4066">
        <v>200000000</v>
      </c>
      <c r="E1719" s="2690">
        <v>200000000</v>
      </c>
      <c r="F1719" s="2968">
        <f t="shared" si="98"/>
        <v>100</v>
      </c>
      <c r="G1719" s="2968">
        <v>100</v>
      </c>
      <c r="H1719" s="1463"/>
    </row>
    <row r="1720" spans="2:8" ht="14.25" hidden="1" customHeight="1" x14ac:dyDescent="0.25">
      <c r="B1720" s="441"/>
      <c r="C1720" s="2473" t="s">
        <v>1229</v>
      </c>
      <c r="D1720" s="4066">
        <v>400000000</v>
      </c>
      <c r="E1720" s="2690">
        <v>400000000</v>
      </c>
      <c r="F1720" s="2968">
        <f t="shared" si="98"/>
        <v>100</v>
      </c>
      <c r="G1720" s="2968">
        <v>100</v>
      </c>
      <c r="H1720" s="1463"/>
    </row>
    <row r="1721" spans="2:8" ht="9.75" hidden="1" customHeight="1" x14ac:dyDescent="0.25">
      <c r="B1721" s="441"/>
      <c r="C1721" s="2517"/>
      <c r="D1721" s="4276"/>
      <c r="E1721" s="3035"/>
      <c r="F1721" s="3035"/>
      <c r="G1721" s="3035"/>
      <c r="H1721" s="1463"/>
    </row>
    <row r="1722" spans="2:8" ht="18.75" customHeight="1" x14ac:dyDescent="0.25">
      <c r="B1722" s="441"/>
      <c r="C1722" s="2474" t="s">
        <v>1230</v>
      </c>
      <c r="D1722" s="4065">
        <f>D1723</f>
        <v>200000000</v>
      </c>
      <c r="E1722" s="2695">
        <f>E1723</f>
        <v>200000000</v>
      </c>
      <c r="F1722" s="2966">
        <f>SUM(E1722/D1722)*100</f>
        <v>100</v>
      </c>
      <c r="G1722" s="2695">
        <f>G1723</f>
        <v>100</v>
      </c>
      <c r="H1722" s="1462"/>
    </row>
    <row r="1723" spans="2:8" ht="15.75" hidden="1" customHeight="1" x14ac:dyDescent="0.25">
      <c r="B1723" s="448"/>
      <c r="C1723" s="2473" t="s">
        <v>1231</v>
      </c>
      <c r="D1723" s="4066">
        <v>200000000</v>
      </c>
      <c r="E1723" s="2690">
        <v>200000000</v>
      </c>
      <c r="F1723" s="2968">
        <f>SUM(E1723/D1723)*100</f>
        <v>100</v>
      </c>
      <c r="G1723" s="2690">
        <v>100</v>
      </c>
      <c r="H1723" s="3715"/>
    </row>
    <row r="1724" spans="2:8" ht="9.75" hidden="1" customHeight="1" x14ac:dyDescent="0.25">
      <c r="B1724" s="441"/>
      <c r="C1724" s="2517"/>
      <c r="D1724" s="4276"/>
      <c r="E1724" s="3035"/>
      <c r="F1724" s="3035"/>
      <c r="G1724" s="3035"/>
      <c r="H1724" s="1463"/>
    </row>
    <row r="1725" spans="2:8" ht="18.75" customHeight="1" x14ac:dyDescent="0.25">
      <c r="B1725" s="441"/>
      <c r="C1725" s="2474" t="s">
        <v>1232</v>
      </c>
      <c r="D1725" s="4065">
        <f>SUM(D1726:D1729)</f>
        <v>3350000000</v>
      </c>
      <c r="E1725" s="2695">
        <f>SUM(E1726:E1729)</f>
        <v>3330853000</v>
      </c>
      <c r="F1725" s="2966">
        <f>SUM(E1725/D1725)*100</f>
        <v>99.428447761194022</v>
      </c>
      <c r="G1725" s="2695">
        <f>SUM(G1726:G1729)/4</f>
        <v>99.875</v>
      </c>
      <c r="H1725" s="1462"/>
    </row>
    <row r="1726" spans="2:8" ht="14.25" hidden="1" customHeight="1" x14ac:dyDescent="0.25">
      <c r="B1726" s="441"/>
      <c r="C1726" s="2473" t="s">
        <v>1233</v>
      </c>
      <c r="D1726" s="4066">
        <v>1300000000</v>
      </c>
      <c r="E1726" s="2968">
        <v>1280853000</v>
      </c>
      <c r="F1726" s="2968">
        <f>SUM(E1726/D1726)*100</f>
        <v>98.527153846153851</v>
      </c>
      <c r="G1726" s="2968">
        <v>99.5</v>
      </c>
      <c r="H1726" s="1463"/>
    </row>
    <row r="1727" spans="2:8" ht="15.75" hidden="1" customHeight="1" x14ac:dyDescent="0.25">
      <c r="B1727" s="441"/>
      <c r="C1727" s="2473" t="s">
        <v>1234</v>
      </c>
      <c r="D1727" s="4066">
        <v>350000000</v>
      </c>
      <c r="E1727" s="2968">
        <v>350000000</v>
      </c>
      <c r="F1727" s="2968">
        <f>SUM(E1727/D1727)*100</f>
        <v>100</v>
      </c>
      <c r="G1727" s="2968">
        <v>100</v>
      </c>
      <c r="H1727" s="1463"/>
    </row>
    <row r="1728" spans="2:8" ht="15" hidden="1" customHeight="1" x14ac:dyDescent="0.25">
      <c r="B1728" s="441"/>
      <c r="C1728" s="2473" t="s">
        <v>1235</v>
      </c>
      <c r="D1728" s="4066">
        <v>1400000000</v>
      </c>
      <c r="E1728" s="2690">
        <v>1400000000</v>
      </c>
      <c r="F1728" s="2968">
        <f>SUM(E1728/D1728)*100</f>
        <v>100</v>
      </c>
      <c r="G1728" s="2690">
        <v>100</v>
      </c>
      <c r="H1728" s="1463"/>
    </row>
    <row r="1729" spans="1:11" ht="29.25" hidden="1" customHeight="1" x14ac:dyDescent="0.25">
      <c r="B1729" s="441"/>
      <c r="C1729" s="2473" t="s">
        <v>1236</v>
      </c>
      <c r="D1729" s="4066">
        <v>300000000</v>
      </c>
      <c r="E1729" s="2690">
        <v>300000000</v>
      </c>
      <c r="F1729" s="2968">
        <f>SUM(E1729/D1729)*100</f>
        <v>100</v>
      </c>
      <c r="G1729" s="2690">
        <v>100</v>
      </c>
      <c r="H1729" s="1463"/>
    </row>
    <row r="1730" spans="1:11" ht="14.25" hidden="1" customHeight="1" x14ac:dyDescent="0.25">
      <c r="B1730" s="441"/>
      <c r="C1730" s="2531"/>
      <c r="D1730" s="4299"/>
      <c r="E1730" s="2784"/>
      <c r="F1730" s="2784"/>
      <c r="G1730" s="2784"/>
      <c r="H1730" s="1463"/>
    </row>
    <row r="1731" spans="1:11" ht="18" customHeight="1" x14ac:dyDescent="0.25">
      <c r="B1731" s="440"/>
      <c r="C1731" s="2471" t="s">
        <v>1237</v>
      </c>
      <c r="D1731" s="4106">
        <f>SUM(D1732:D1735)</f>
        <v>4984800000</v>
      </c>
      <c r="E1731" s="2672">
        <f>SUM(E1732:E1735)</f>
        <v>4624800000</v>
      </c>
      <c r="F1731" s="2672">
        <f>E1731/D1731*100</f>
        <v>92.778045257583059</v>
      </c>
      <c r="G1731" s="2670">
        <f>SUM(G1732:G1735)/4</f>
        <v>96.275000000000006</v>
      </c>
      <c r="H1731" s="1462"/>
    </row>
    <row r="1732" spans="1:11" ht="16.5" hidden="1" customHeight="1" x14ac:dyDescent="0.25">
      <c r="B1732" s="448"/>
      <c r="C1732" s="2479" t="s">
        <v>1238</v>
      </c>
      <c r="D1732" s="4154">
        <v>600000000</v>
      </c>
      <c r="E1732" s="2940">
        <v>600000000</v>
      </c>
      <c r="F1732" s="2968">
        <f>SUM(E1732/D1732)*100</f>
        <v>100</v>
      </c>
      <c r="G1732" s="2683">
        <v>100</v>
      </c>
      <c r="H1732" s="3715"/>
    </row>
    <row r="1733" spans="1:11" ht="14.25" hidden="1" customHeight="1" x14ac:dyDescent="0.25">
      <c r="B1733" s="448"/>
      <c r="C1733" s="2473" t="s">
        <v>1239</v>
      </c>
      <c r="D1733" s="4066">
        <v>850000000</v>
      </c>
      <c r="E1733" s="2968">
        <v>800000000</v>
      </c>
      <c r="F1733" s="2968">
        <f t="shared" ref="F1733:F1734" si="99">SUM(E1733/D1733)*100</f>
        <v>94.117647058823522</v>
      </c>
      <c r="G1733" s="2968">
        <v>95.1</v>
      </c>
      <c r="H1733" s="3715"/>
    </row>
    <row r="1734" spans="1:11" ht="14.25" hidden="1" customHeight="1" x14ac:dyDescent="0.25">
      <c r="B1734" s="448"/>
      <c r="C1734" s="2473" t="s">
        <v>1240</v>
      </c>
      <c r="D1734" s="4066">
        <v>750000000</v>
      </c>
      <c r="E1734" s="2968">
        <v>750000000</v>
      </c>
      <c r="F1734" s="2968">
        <f t="shared" si="99"/>
        <v>100</v>
      </c>
      <c r="G1734" s="2968">
        <v>100</v>
      </c>
      <c r="H1734" s="3715"/>
    </row>
    <row r="1735" spans="1:11" ht="14.25" hidden="1" customHeight="1" x14ac:dyDescent="0.25">
      <c r="B1735" s="441"/>
      <c r="C1735" s="2473" t="s">
        <v>1241</v>
      </c>
      <c r="D1735" s="4066">
        <v>2784800000</v>
      </c>
      <c r="E1735" s="2690">
        <v>2474800000</v>
      </c>
      <c r="F1735" s="2968">
        <f>SUM(E1735/D1735)*100</f>
        <v>88.868141338695779</v>
      </c>
      <c r="G1735" s="2690">
        <v>90</v>
      </c>
      <c r="H1735" s="1463"/>
    </row>
    <row r="1736" spans="1:11" ht="12" hidden="1" customHeight="1" x14ac:dyDescent="0.25">
      <c r="B1736" s="441"/>
      <c r="C1736" s="2475"/>
      <c r="D1736" s="4322"/>
      <c r="E1736" s="2784"/>
      <c r="F1736" s="2784"/>
      <c r="G1736" s="2784"/>
      <c r="H1736" s="1463"/>
    </row>
    <row r="1737" spans="1:11" ht="15.75" customHeight="1" x14ac:dyDescent="0.25">
      <c r="B1737" s="454"/>
      <c r="C1737" s="3598" t="s">
        <v>1242</v>
      </c>
      <c r="D1737" s="4294">
        <f>SUM(D1739+D1785+D1845+D1852+D1869+D1873+D1884+D1890+D1918+D1942+D1960+D1975+D1985+D1989+D1997+D2005+D2017)</f>
        <v>164029053000</v>
      </c>
      <c r="E1737" s="3699">
        <f>SUM(E1739+E1785+E1845+E1852+E1869+E1873+E1884+E1890+E1918+E1942+E1960+E1975+E1985+E1989+E1997+E2005+E2017)</f>
        <v>140407661423</v>
      </c>
      <c r="F1737" s="3699">
        <f>E1737/D1737*100</f>
        <v>85.599263578629575</v>
      </c>
      <c r="G1737" s="3699">
        <f>SUM(G1739+G1785+G1845+G1852+G1869+G1873+G1884+G1890+G1918+G1942+G1960+G1975+G1985+G1989+G1997+G2005+G2017)/17</f>
        <v>94.694748665344704</v>
      </c>
      <c r="H1737" s="3723"/>
      <c r="J1737" s="1214"/>
    </row>
    <row r="1738" spans="1:11" s="121" customFormat="1" ht="7.5" hidden="1" customHeight="1" x14ac:dyDescent="0.25">
      <c r="A1738" s="16"/>
      <c r="B1738" s="455"/>
      <c r="C1738" s="2503"/>
      <c r="D1738" s="4303"/>
      <c r="E1738" s="2722"/>
      <c r="F1738" s="2955"/>
      <c r="G1738" s="2955"/>
      <c r="H1738" s="1463"/>
      <c r="J1738" s="1213"/>
      <c r="K1738" s="1213"/>
    </row>
    <row r="1739" spans="1:11" s="27" customFormat="1" ht="19.5" customHeight="1" x14ac:dyDescent="0.25">
      <c r="A1739" s="6"/>
      <c r="B1739" s="440"/>
      <c r="C1739" s="2543" t="s">
        <v>3497</v>
      </c>
      <c r="D1739" s="4303">
        <f>SUM(D1740+D1745+D1760+D1765+D1769+D1782)</f>
        <v>41039358880</v>
      </c>
      <c r="E1739" s="2786">
        <f>SUM(E1740+E1745+E1760+E1765+E1769+E1782)</f>
        <v>33294732594</v>
      </c>
      <c r="F1739" s="3095">
        <f>E1739/D1739*100</f>
        <v>81.128783447505938</v>
      </c>
      <c r="G1739" s="2962">
        <f>SUM(G1740+G1745+G1760+G1765+G1769+G1782)/6</f>
        <v>91.318549641307257</v>
      </c>
      <c r="H1739" s="1463"/>
      <c r="J1739" s="995"/>
      <c r="K1739" s="995"/>
    </row>
    <row r="1740" spans="1:11" s="27" customFormat="1" ht="20.25" customHeight="1" x14ac:dyDescent="0.25">
      <c r="A1740" s="6"/>
      <c r="B1740" s="441"/>
      <c r="C1740" s="2491" t="s">
        <v>243</v>
      </c>
      <c r="D1740" s="4159">
        <f>SUM(D1741:D1743)</f>
        <v>839245000</v>
      </c>
      <c r="E1740" s="2813">
        <f>SUM(E1741:E1743)</f>
        <v>792358800</v>
      </c>
      <c r="F1740" s="2695">
        <f>E1740/D1740*100</f>
        <v>94.413288133977574</v>
      </c>
      <c r="G1740" s="2966">
        <f>SUM(G1741:G1743)/3</f>
        <v>91.973333333333343</v>
      </c>
      <c r="H1740" s="1463"/>
      <c r="J1740" s="995"/>
      <c r="K1740" s="995"/>
    </row>
    <row r="1741" spans="1:11" s="27" customFormat="1" ht="15.75" hidden="1" customHeight="1" x14ac:dyDescent="0.25">
      <c r="A1741" s="6"/>
      <c r="B1741" s="441"/>
      <c r="C1741" s="2473" t="s">
        <v>1244</v>
      </c>
      <c r="D1741" s="4323">
        <v>468000000</v>
      </c>
      <c r="E1741" s="2968">
        <v>468000000</v>
      </c>
      <c r="F1741" s="2690">
        <f t="shared" ref="F1741:F1743" si="100">E1741/D1741*100</f>
        <v>100</v>
      </c>
      <c r="G1741" s="2968">
        <v>100</v>
      </c>
      <c r="H1741" s="1463"/>
      <c r="J1741" s="995"/>
      <c r="K1741" s="995"/>
    </row>
    <row r="1742" spans="1:11" s="27" customFormat="1" ht="18.75" hidden="1" customHeight="1" x14ac:dyDescent="0.25">
      <c r="A1742" s="6"/>
      <c r="B1742" s="441"/>
      <c r="C1742" s="2544" t="s">
        <v>1245</v>
      </c>
      <c r="D1742" s="4323">
        <v>239245000</v>
      </c>
      <c r="E1742" s="2968">
        <v>205558800</v>
      </c>
      <c r="F1742" s="2690">
        <f>E1742/D1742*100</f>
        <v>85.919789337290226</v>
      </c>
      <c r="G1742" s="2968">
        <v>85.92</v>
      </c>
      <c r="H1742" s="1463"/>
      <c r="J1742" s="995"/>
      <c r="K1742" s="995"/>
    </row>
    <row r="1743" spans="1:11" s="27" customFormat="1" ht="18.75" hidden="1" customHeight="1" x14ac:dyDescent="0.25">
      <c r="A1743" s="6"/>
      <c r="B1743" s="441"/>
      <c r="C1743" s="2544" t="s">
        <v>1246</v>
      </c>
      <c r="D1743" s="4323">
        <v>132000000</v>
      </c>
      <c r="E1743" s="2968">
        <v>118800000</v>
      </c>
      <c r="F1743" s="2690">
        <f t="shared" si="100"/>
        <v>90</v>
      </c>
      <c r="G1743" s="2968">
        <v>90</v>
      </c>
      <c r="H1743" s="1463"/>
      <c r="J1743" s="995"/>
      <c r="K1743" s="995"/>
    </row>
    <row r="1744" spans="1:11" s="27" customFormat="1" ht="10.5" hidden="1" customHeight="1" x14ac:dyDescent="0.25">
      <c r="A1744" s="6"/>
      <c r="B1744" s="441"/>
      <c r="C1744" s="2544"/>
      <c r="D1744" s="4066"/>
      <c r="E1744" s="2968"/>
      <c r="F1744" s="2968"/>
      <c r="G1744" s="2968"/>
      <c r="H1744" s="1463"/>
      <c r="J1744" s="995"/>
      <c r="K1744" s="995"/>
    </row>
    <row r="1745" spans="1:11" s="27" customFormat="1" ht="18.75" customHeight="1" x14ac:dyDescent="0.25">
      <c r="A1745" s="6"/>
      <c r="B1745" s="441"/>
      <c r="C1745" s="2545" t="s">
        <v>1247</v>
      </c>
      <c r="D1745" s="4324">
        <f>SUM(D1746:D1758)</f>
        <v>33107213880</v>
      </c>
      <c r="E1745" s="3540">
        <f>SUM(E1746:E1758)</f>
        <v>26379679944</v>
      </c>
      <c r="F1745" s="2695">
        <f>E1745/D1745*100</f>
        <v>79.679552739217087</v>
      </c>
      <c r="G1745" s="2997">
        <f>SUM(G1746:G1758)/13</f>
        <v>90.239230769230772</v>
      </c>
      <c r="H1745" s="1463"/>
      <c r="J1745" s="995"/>
      <c r="K1745" s="995"/>
    </row>
    <row r="1746" spans="1:11" s="27" customFormat="1" ht="15.75" hidden="1" customHeight="1" x14ac:dyDescent="0.25">
      <c r="A1746" s="6"/>
      <c r="B1746" s="441"/>
      <c r="C1746" s="2544" t="s">
        <v>363</v>
      </c>
      <c r="D1746" s="4066">
        <v>12963059242</v>
      </c>
      <c r="E1746" s="4035">
        <v>11746585989</v>
      </c>
      <c r="F1746" s="2690">
        <f t="shared" ref="F1746:F1752" si="101">E1746/D1746*100</f>
        <v>90.615847460924542</v>
      </c>
      <c r="G1746" s="4036">
        <v>90.62</v>
      </c>
      <c r="H1746" s="1463"/>
      <c r="J1746" s="995"/>
      <c r="K1746" s="995"/>
    </row>
    <row r="1747" spans="1:11" s="27" customFormat="1" ht="17.25" hidden="1" customHeight="1" x14ac:dyDescent="0.25">
      <c r="A1747" s="6"/>
      <c r="B1747" s="441"/>
      <c r="C1747" s="2546" t="s">
        <v>1248</v>
      </c>
      <c r="D1747" s="4066">
        <v>399739000</v>
      </c>
      <c r="E1747" s="4035">
        <v>399739000</v>
      </c>
      <c r="F1747" s="2690">
        <f t="shared" si="101"/>
        <v>100</v>
      </c>
      <c r="G1747" s="4036">
        <v>100</v>
      </c>
      <c r="H1747" s="1463"/>
      <c r="J1747" s="995"/>
      <c r="K1747" s="995"/>
    </row>
    <row r="1748" spans="1:11" s="27" customFormat="1" ht="15.75" hidden="1" customHeight="1" x14ac:dyDescent="0.25">
      <c r="A1748" s="6"/>
      <c r="B1748" s="441"/>
      <c r="C1748" s="2524" t="s">
        <v>1249</v>
      </c>
      <c r="D1748" s="4066">
        <v>3499336638</v>
      </c>
      <c r="E1748" s="2968">
        <v>3459786405</v>
      </c>
      <c r="F1748" s="2690">
        <f>E1748/D1748*100</f>
        <v>98.86977912983518</v>
      </c>
      <c r="G1748" s="4036">
        <v>98.87</v>
      </c>
      <c r="H1748" s="1463"/>
      <c r="J1748" s="995"/>
      <c r="K1748" s="995"/>
    </row>
    <row r="1749" spans="1:11" s="27" customFormat="1" ht="16.5" hidden="1" customHeight="1" x14ac:dyDescent="0.25">
      <c r="A1749" s="6"/>
      <c r="B1749" s="441"/>
      <c r="C1749" s="2524" t="s">
        <v>1250</v>
      </c>
      <c r="D1749" s="4066">
        <v>300000000</v>
      </c>
      <c r="E1749" s="2968">
        <v>296560000</v>
      </c>
      <c r="F1749" s="2690">
        <f t="shared" si="101"/>
        <v>98.853333333333339</v>
      </c>
      <c r="G1749" s="4036">
        <v>98.85</v>
      </c>
      <c r="H1749" s="1463"/>
      <c r="J1749" s="995"/>
      <c r="K1749" s="995"/>
    </row>
    <row r="1750" spans="1:11" s="20" customFormat="1" ht="14.25" hidden="1" customHeight="1" x14ac:dyDescent="0.25">
      <c r="A1750" s="963"/>
      <c r="B1750" s="441"/>
      <c r="C1750" s="2524" t="s">
        <v>1251</v>
      </c>
      <c r="D1750" s="4066">
        <v>88650000</v>
      </c>
      <c r="E1750" s="2968">
        <v>88650000</v>
      </c>
      <c r="F1750" s="2690">
        <f t="shared" si="101"/>
        <v>100</v>
      </c>
      <c r="G1750" s="4036">
        <v>100</v>
      </c>
      <c r="H1750" s="1463"/>
      <c r="J1750" s="536"/>
      <c r="K1750" s="536"/>
    </row>
    <row r="1751" spans="1:11" s="20" customFormat="1" ht="18" hidden="1" customHeight="1" x14ac:dyDescent="0.25">
      <c r="A1751" s="963"/>
      <c r="B1751" s="441"/>
      <c r="C1751" s="2524" t="s">
        <v>1252</v>
      </c>
      <c r="D1751" s="4066">
        <v>171200000</v>
      </c>
      <c r="E1751" s="2968">
        <v>155628000</v>
      </c>
      <c r="F1751" s="2690">
        <f t="shared" si="101"/>
        <v>90.904205607476641</v>
      </c>
      <c r="G1751" s="4036">
        <v>90.99</v>
      </c>
      <c r="H1751" s="1463"/>
      <c r="J1751" s="536"/>
      <c r="K1751" s="536"/>
    </row>
    <row r="1752" spans="1:11" s="20" customFormat="1" ht="15" hidden="1" customHeight="1" x14ac:dyDescent="0.25">
      <c r="A1752" s="963"/>
      <c r="B1752" s="441"/>
      <c r="C1752" s="2524" t="s">
        <v>1253</v>
      </c>
      <c r="D1752" s="4066">
        <v>755860000</v>
      </c>
      <c r="E1752" s="2968">
        <v>710431550</v>
      </c>
      <c r="F1752" s="2690">
        <f t="shared" si="101"/>
        <v>93.989832773264894</v>
      </c>
      <c r="G1752" s="4036">
        <v>93.99</v>
      </c>
      <c r="H1752" s="1463"/>
      <c r="J1752" s="536"/>
      <c r="K1752" s="536"/>
    </row>
    <row r="1753" spans="1:11" s="20" customFormat="1" ht="16.5" hidden="1" customHeight="1" x14ac:dyDescent="0.25">
      <c r="A1753" s="963"/>
      <c r="B1753" s="441"/>
      <c r="C1753" s="2524" t="s">
        <v>1254</v>
      </c>
      <c r="D1753" s="4066">
        <v>5404820000</v>
      </c>
      <c r="E1753" s="2968">
        <v>0</v>
      </c>
      <c r="F1753" s="2968">
        <v>0</v>
      </c>
      <c r="G1753" s="2968">
        <v>0</v>
      </c>
      <c r="H1753" s="1463"/>
      <c r="J1753" s="536"/>
      <c r="K1753" s="536"/>
    </row>
    <row r="1754" spans="1:11" s="20" customFormat="1" ht="15.75" hidden="1" customHeight="1" x14ac:dyDescent="0.25">
      <c r="A1754" s="963"/>
      <c r="B1754" s="441"/>
      <c r="C1754" s="2533" t="s">
        <v>1255</v>
      </c>
      <c r="D1754" s="4066">
        <v>6686400000</v>
      </c>
      <c r="E1754" s="2968">
        <v>6685800000</v>
      </c>
      <c r="F1754" s="2690">
        <f t="shared" ref="F1754:F1758" si="102">E1754/D1754*100</f>
        <v>99.99102656137832</v>
      </c>
      <c r="G1754" s="4036">
        <v>99.99</v>
      </c>
      <c r="H1754" s="1463"/>
      <c r="J1754" s="536"/>
      <c r="K1754" s="536"/>
    </row>
    <row r="1755" spans="1:11" s="20" customFormat="1" ht="14.25" hidden="1" customHeight="1" x14ac:dyDescent="0.25">
      <c r="A1755" s="963"/>
      <c r="B1755" s="441"/>
      <c r="C1755" s="2533" t="s">
        <v>1256</v>
      </c>
      <c r="D1755" s="4066">
        <v>860190000</v>
      </c>
      <c r="E1755" s="2968">
        <v>859890000</v>
      </c>
      <c r="F1755" s="2690">
        <f t="shared" si="102"/>
        <v>99.965123984236044</v>
      </c>
      <c r="G1755" s="4036">
        <v>99.97</v>
      </c>
      <c r="H1755" s="1463"/>
      <c r="J1755" s="536"/>
      <c r="K1755" s="536"/>
    </row>
    <row r="1756" spans="1:11" s="20" customFormat="1" ht="16.5" hidden="1" customHeight="1" x14ac:dyDescent="0.25">
      <c r="A1756" s="963"/>
      <c r="B1756" s="441"/>
      <c r="C1756" s="2533" t="s">
        <v>1257</v>
      </c>
      <c r="D1756" s="4066">
        <v>866190000</v>
      </c>
      <c r="E1756" s="2968">
        <v>865140000</v>
      </c>
      <c r="F1756" s="2690">
        <f t="shared" si="102"/>
        <v>99.878779482561569</v>
      </c>
      <c r="G1756" s="4036">
        <v>99.88</v>
      </c>
      <c r="H1756" s="1463"/>
      <c r="J1756" s="536"/>
      <c r="K1756" s="536"/>
    </row>
    <row r="1757" spans="1:11" s="20" customFormat="1" ht="16.5" hidden="1" customHeight="1" x14ac:dyDescent="0.25">
      <c r="A1757" s="963"/>
      <c r="B1757" s="441"/>
      <c r="C1757" s="2533" t="s">
        <v>1258</v>
      </c>
      <c r="D1757" s="4066">
        <v>543200000</v>
      </c>
      <c r="E1757" s="2968">
        <v>543200000</v>
      </c>
      <c r="F1757" s="2690">
        <f t="shared" si="102"/>
        <v>100</v>
      </c>
      <c r="G1757" s="4036">
        <v>100</v>
      </c>
      <c r="H1757" s="1463"/>
      <c r="J1757" s="536"/>
      <c r="K1757" s="536"/>
    </row>
    <row r="1758" spans="1:11" s="20" customFormat="1" ht="15.75" hidden="1" customHeight="1" x14ac:dyDescent="0.25">
      <c r="A1758" s="963"/>
      <c r="B1758" s="441"/>
      <c r="C1758" s="2533" t="s">
        <v>1259</v>
      </c>
      <c r="D1758" s="4066">
        <v>568569000</v>
      </c>
      <c r="E1758" s="2968">
        <v>568269000</v>
      </c>
      <c r="F1758" s="2690">
        <f t="shared" si="102"/>
        <v>99.947235955530473</v>
      </c>
      <c r="G1758" s="4037">
        <v>99.95</v>
      </c>
      <c r="H1758" s="1463"/>
      <c r="J1758" s="536"/>
      <c r="K1758" s="536"/>
    </row>
    <row r="1759" spans="1:11" s="20" customFormat="1" ht="9.75" hidden="1" customHeight="1" x14ac:dyDescent="0.25">
      <c r="A1759" s="963"/>
      <c r="B1759" s="441"/>
      <c r="C1759" s="2533"/>
      <c r="D1759" s="4066"/>
      <c r="E1759" s="2968"/>
      <c r="F1759" s="2999"/>
      <c r="G1759" s="2999"/>
      <c r="H1759" s="1463"/>
      <c r="J1759" s="536"/>
      <c r="K1759" s="536"/>
    </row>
    <row r="1760" spans="1:11" s="20" customFormat="1" ht="18" customHeight="1" x14ac:dyDescent="0.25">
      <c r="A1760" s="963"/>
      <c r="B1760" s="441"/>
      <c r="C1760" s="2525" t="s">
        <v>1260</v>
      </c>
      <c r="D1760" s="4324">
        <f>SUM(D1761:D1763)</f>
        <v>385000000</v>
      </c>
      <c r="E1760" s="3540">
        <f>SUM(E1761:E1763)</f>
        <v>382307950</v>
      </c>
      <c r="F1760" s="2695">
        <f>E1760/D1760*100</f>
        <v>99.30076623376624</v>
      </c>
      <c r="G1760" s="3000">
        <f>SUM(G1761:G1763)/3</f>
        <v>100</v>
      </c>
      <c r="H1760" s="1463"/>
      <c r="J1760" s="536"/>
      <c r="K1760" s="536"/>
    </row>
    <row r="1761" spans="1:11" s="20" customFormat="1" ht="15.75" hidden="1" customHeight="1" x14ac:dyDescent="0.25">
      <c r="A1761" s="963"/>
      <c r="B1761" s="441"/>
      <c r="C1761" s="2524" t="s">
        <v>1261</v>
      </c>
      <c r="D1761" s="4066">
        <v>125000000</v>
      </c>
      <c r="E1761" s="4035">
        <v>125000000</v>
      </c>
      <c r="F1761" s="2690">
        <f>E1761/D1761*100</f>
        <v>100</v>
      </c>
      <c r="G1761" s="2999">
        <v>100</v>
      </c>
      <c r="H1761" s="1463"/>
      <c r="J1761" s="536"/>
      <c r="K1761" s="536"/>
    </row>
    <row r="1762" spans="1:11" s="20" customFormat="1" ht="18" hidden="1" customHeight="1" x14ac:dyDescent="0.25">
      <c r="A1762" s="963"/>
      <c r="B1762" s="444"/>
      <c r="C1762" s="2524" t="s">
        <v>1262</v>
      </c>
      <c r="D1762" s="4066">
        <v>210000000</v>
      </c>
      <c r="E1762" s="2968">
        <v>210000000</v>
      </c>
      <c r="F1762" s="2690">
        <f>E1762/D1762*100</f>
        <v>100</v>
      </c>
      <c r="G1762" s="2968">
        <v>100</v>
      </c>
      <c r="H1762" s="1463"/>
      <c r="J1762" s="536"/>
      <c r="K1762" s="536"/>
    </row>
    <row r="1763" spans="1:11" s="20" customFormat="1" ht="18.75" hidden="1" customHeight="1" x14ac:dyDescent="0.25">
      <c r="A1763" s="963"/>
      <c r="B1763" s="441"/>
      <c r="C1763" s="2533" t="s">
        <v>1263</v>
      </c>
      <c r="D1763" s="4066">
        <v>50000000</v>
      </c>
      <c r="E1763" s="2968">
        <v>47307950</v>
      </c>
      <c r="F1763" s="2690">
        <f>E1763/D1763*100</f>
        <v>94.615899999999996</v>
      </c>
      <c r="G1763" s="2999">
        <v>100</v>
      </c>
      <c r="H1763" s="1463"/>
      <c r="J1763" s="536"/>
      <c r="K1763" s="536"/>
    </row>
    <row r="1764" spans="1:11" s="20" customFormat="1" ht="10.5" hidden="1" customHeight="1" x14ac:dyDescent="0.25">
      <c r="A1764" s="963"/>
      <c r="B1764" s="441"/>
      <c r="C1764" s="2533"/>
      <c r="D1764" s="4066"/>
      <c r="E1764" s="2999"/>
      <c r="F1764" s="2999"/>
      <c r="G1764" s="2999"/>
      <c r="H1764" s="1463"/>
      <c r="J1764" s="536"/>
      <c r="K1764" s="536"/>
    </row>
    <row r="1765" spans="1:11" s="20" customFormat="1" ht="18" customHeight="1" x14ac:dyDescent="0.25">
      <c r="A1765" s="963"/>
      <c r="B1765" s="441"/>
      <c r="C1765" s="2534" t="s">
        <v>1264</v>
      </c>
      <c r="D1765" s="4324">
        <f>SUM(D1766:D1767)</f>
        <v>701975000</v>
      </c>
      <c r="E1765" s="3540">
        <f>SUM(E1766:E1767)</f>
        <v>611905900</v>
      </c>
      <c r="F1765" s="2695">
        <f>E1765/D1765*100</f>
        <v>87.169186936856718</v>
      </c>
      <c r="G1765" s="3000">
        <f>SUM(G1766:G1767)/2</f>
        <v>90.704999999999998</v>
      </c>
      <c r="H1765" s="1463"/>
      <c r="J1765" s="536"/>
      <c r="K1765" s="536"/>
    </row>
    <row r="1766" spans="1:11" s="20" customFormat="1" ht="16.5" hidden="1" customHeight="1" x14ac:dyDescent="0.25">
      <c r="A1766" s="963"/>
      <c r="B1766" s="441"/>
      <c r="C1766" s="2524" t="s">
        <v>1265</v>
      </c>
      <c r="D1766" s="4066">
        <v>337700000</v>
      </c>
      <c r="E1766" s="4035">
        <v>274920900</v>
      </c>
      <c r="F1766" s="2690">
        <f>E1766/D1766*100</f>
        <v>81.409801599052415</v>
      </c>
      <c r="G1766" s="2999">
        <v>81.41</v>
      </c>
      <c r="H1766" s="1463"/>
      <c r="J1766" s="536"/>
      <c r="K1766" s="536"/>
    </row>
    <row r="1767" spans="1:11" s="20" customFormat="1" ht="18.75" hidden="1" customHeight="1" x14ac:dyDescent="0.25">
      <c r="A1767" s="963"/>
      <c r="B1767" s="441"/>
      <c r="C1767" s="2524" t="s">
        <v>1266</v>
      </c>
      <c r="D1767" s="4066">
        <v>364275000</v>
      </c>
      <c r="E1767" s="4035">
        <v>336985000</v>
      </c>
      <c r="F1767" s="2690">
        <f>E1767/D1767*100</f>
        <v>92.508407110013039</v>
      </c>
      <c r="G1767" s="2999">
        <v>100</v>
      </c>
      <c r="H1767" s="1463"/>
      <c r="J1767" s="536"/>
      <c r="K1767" s="536"/>
    </row>
    <row r="1768" spans="1:11" s="20" customFormat="1" ht="7.5" hidden="1" customHeight="1" x14ac:dyDescent="0.25">
      <c r="A1768" s="963"/>
      <c r="B1768" s="441"/>
      <c r="C1768" s="2524"/>
      <c r="D1768" s="4066"/>
      <c r="E1768" s="4035"/>
      <c r="F1768" s="2690"/>
      <c r="G1768" s="2999"/>
      <c r="H1768" s="1463"/>
      <c r="J1768" s="536"/>
      <c r="K1768" s="536"/>
    </row>
    <row r="1769" spans="1:11" s="20" customFormat="1" ht="17.25" customHeight="1" x14ac:dyDescent="0.25">
      <c r="A1769" s="963"/>
      <c r="B1769" s="441"/>
      <c r="C1769" s="2525" t="s">
        <v>1267</v>
      </c>
      <c r="D1769" s="4324">
        <f>SUM(D1770:D1780)</f>
        <v>5443350000</v>
      </c>
      <c r="E1769" s="3540">
        <f>SUM(E1770:E1780)</f>
        <v>4571980000</v>
      </c>
      <c r="F1769" s="2695">
        <f>E1769/D1769*100</f>
        <v>83.992026968686559</v>
      </c>
      <c r="G1769" s="3000">
        <f>SUM(G1770:G1780)/11</f>
        <v>76.073733745279497</v>
      </c>
      <c r="H1769" s="1463"/>
      <c r="J1769" s="536"/>
      <c r="K1769" s="536"/>
    </row>
    <row r="1770" spans="1:11" s="20" customFormat="1" ht="18" hidden="1" customHeight="1" x14ac:dyDescent="0.25">
      <c r="A1770" s="963"/>
      <c r="B1770" s="441"/>
      <c r="C1770" s="2524" t="s">
        <v>1268</v>
      </c>
      <c r="D1770" s="4286">
        <v>97600000</v>
      </c>
      <c r="E1770" s="2968">
        <v>97600000</v>
      </c>
      <c r="F1770" s="2690">
        <f>E1770/D1770*100</f>
        <v>100</v>
      </c>
      <c r="G1770" s="2999">
        <v>100</v>
      </c>
      <c r="H1770" s="1463"/>
      <c r="J1770" s="536"/>
      <c r="K1770" s="536"/>
    </row>
    <row r="1771" spans="1:11" s="20" customFormat="1" ht="15" hidden="1" customHeight="1" x14ac:dyDescent="0.25">
      <c r="A1771" s="963"/>
      <c r="B1771" s="441"/>
      <c r="C1771" s="2524" t="s">
        <v>1269</v>
      </c>
      <c r="D1771" s="4066">
        <v>322650000</v>
      </c>
      <c r="E1771" s="2968">
        <v>313900000</v>
      </c>
      <c r="F1771" s="2690">
        <f>E1771/D1771*100</f>
        <v>97.288083062141638</v>
      </c>
      <c r="G1771" s="2968">
        <v>97.29</v>
      </c>
      <c r="H1771" s="1463"/>
      <c r="J1771" s="536"/>
      <c r="K1771" s="536"/>
    </row>
    <row r="1772" spans="1:11" s="20" customFormat="1" ht="15.75" hidden="1" customHeight="1" x14ac:dyDescent="0.25">
      <c r="A1772" s="963"/>
      <c r="B1772" s="441"/>
      <c r="C1772" s="2524" t="s">
        <v>1270</v>
      </c>
      <c r="D1772" s="4066">
        <v>95250000</v>
      </c>
      <c r="E1772" s="2968">
        <v>95250000</v>
      </c>
      <c r="F1772" s="2690">
        <f t="shared" ref="F1772:F1780" si="103">E1772/D1772*100</f>
        <v>100</v>
      </c>
      <c r="G1772" s="2999">
        <v>100</v>
      </c>
      <c r="H1772" s="1463"/>
      <c r="J1772" s="536"/>
      <c r="K1772" s="536"/>
    </row>
    <row r="1773" spans="1:11" s="20" customFormat="1" ht="17.25" hidden="1" customHeight="1" x14ac:dyDescent="0.25">
      <c r="A1773" s="963"/>
      <c r="B1773" s="441"/>
      <c r="C1773" s="2524" t="s">
        <v>1271</v>
      </c>
      <c r="D1773" s="4066">
        <v>170250000</v>
      </c>
      <c r="E1773" s="2968">
        <v>170250000</v>
      </c>
      <c r="F1773" s="2690">
        <f t="shared" si="103"/>
        <v>100</v>
      </c>
      <c r="G1773" s="2999">
        <v>100</v>
      </c>
      <c r="H1773" s="1463"/>
      <c r="J1773" s="536"/>
      <c r="K1773" s="536"/>
    </row>
    <row r="1774" spans="1:11" s="20" customFormat="1" ht="18" hidden="1" customHeight="1" x14ac:dyDescent="0.25">
      <c r="A1774" s="963"/>
      <c r="B1774" s="441"/>
      <c r="C1774" s="2524" t="s">
        <v>1272</v>
      </c>
      <c r="D1774" s="4066">
        <v>2792600000</v>
      </c>
      <c r="E1774" s="2968">
        <v>2792600000</v>
      </c>
      <c r="F1774" s="2690">
        <f t="shared" si="103"/>
        <v>100</v>
      </c>
      <c r="G1774" s="2999">
        <v>100</v>
      </c>
      <c r="H1774" s="1463"/>
      <c r="J1774" s="536"/>
      <c r="K1774" s="536"/>
    </row>
    <row r="1775" spans="1:11" s="20" customFormat="1" ht="17.25" hidden="1" customHeight="1" x14ac:dyDescent="0.25">
      <c r="A1775" s="963"/>
      <c r="B1775" s="441"/>
      <c r="C1775" s="2533" t="s">
        <v>1273</v>
      </c>
      <c r="D1775" s="4066">
        <v>376500000</v>
      </c>
      <c r="E1775" s="2968">
        <v>182479000</v>
      </c>
      <c r="F1775" s="2690">
        <f t="shared" si="103"/>
        <v>48.467197875166001</v>
      </c>
      <c r="G1775" s="2968">
        <v>48.47</v>
      </c>
      <c r="H1775" s="1463"/>
      <c r="J1775" s="536"/>
      <c r="K1775" s="536"/>
    </row>
    <row r="1776" spans="1:11" s="20" customFormat="1" ht="15.75" hidden="1" customHeight="1" x14ac:dyDescent="0.25">
      <c r="A1776" s="963"/>
      <c r="B1776" s="441"/>
      <c r="C1776" s="2533" t="s">
        <v>1274</v>
      </c>
      <c r="D1776" s="4066">
        <v>347700000</v>
      </c>
      <c r="E1776" s="2968">
        <v>182697000</v>
      </c>
      <c r="F1776" s="2690">
        <f t="shared" si="103"/>
        <v>52.544434857635892</v>
      </c>
      <c r="G1776" s="2968">
        <v>52.544434857635892</v>
      </c>
      <c r="H1776" s="1463"/>
      <c r="J1776" s="536"/>
      <c r="K1776" s="536"/>
    </row>
    <row r="1777" spans="1:13" s="20" customFormat="1" ht="14.25" hidden="1" customHeight="1" x14ac:dyDescent="0.25">
      <c r="A1777" s="963"/>
      <c r="B1777" s="441"/>
      <c r="C1777" s="2533" t="s">
        <v>1275</v>
      </c>
      <c r="D1777" s="4066">
        <v>286900000</v>
      </c>
      <c r="E1777" s="2968">
        <v>182327000</v>
      </c>
      <c r="F1777" s="2690">
        <f t="shared" si="103"/>
        <v>63.550714534681077</v>
      </c>
      <c r="G1777" s="2968">
        <v>63.550714534681077</v>
      </c>
      <c r="H1777" s="1463"/>
      <c r="J1777" s="536"/>
      <c r="K1777" s="536"/>
    </row>
    <row r="1778" spans="1:13" s="20" customFormat="1" ht="15.75" hidden="1" customHeight="1" x14ac:dyDescent="0.25">
      <c r="A1778" s="963"/>
      <c r="B1778" s="441"/>
      <c r="C1778" s="2533" t="s">
        <v>1276</v>
      </c>
      <c r="D1778" s="4066">
        <v>334100000</v>
      </c>
      <c r="E1778" s="2968">
        <v>182697000</v>
      </c>
      <c r="F1778" s="2690">
        <f t="shared" si="103"/>
        <v>54.683328344806945</v>
      </c>
      <c r="G1778" s="2968">
        <v>54.683328344806945</v>
      </c>
      <c r="H1778" s="1463"/>
      <c r="J1778" s="536"/>
      <c r="K1778" s="536"/>
    </row>
    <row r="1779" spans="1:13" s="20" customFormat="1" ht="15.75" hidden="1" customHeight="1" x14ac:dyDescent="0.25">
      <c r="A1779" s="963"/>
      <c r="B1779" s="441"/>
      <c r="C1779" s="2533" t="s">
        <v>1277</v>
      </c>
      <c r="D1779" s="4066">
        <v>294900000</v>
      </c>
      <c r="E1779" s="2968">
        <v>182697000</v>
      </c>
      <c r="F1779" s="2690">
        <f t="shared" si="103"/>
        <v>61.952187182095628</v>
      </c>
      <c r="G1779" s="2968">
        <v>61.952187182095628</v>
      </c>
      <c r="H1779" s="1463"/>
      <c r="J1779" s="536"/>
      <c r="K1779" s="536"/>
    </row>
    <row r="1780" spans="1:13" s="20" customFormat="1" ht="18.75" hidden="1" customHeight="1" x14ac:dyDescent="0.25">
      <c r="A1780" s="963"/>
      <c r="B1780" s="441"/>
      <c r="C1780" s="2533" t="s">
        <v>1278</v>
      </c>
      <c r="D1780" s="4066">
        <v>324900000</v>
      </c>
      <c r="E1780" s="2968">
        <v>189483000</v>
      </c>
      <c r="F1780" s="2690">
        <f t="shared" si="103"/>
        <v>58.320406278855032</v>
      </c>
      <c r="G1780" s="2968">
        <v>58.320406278855032</v>
      </c>
      <c r="H1780" s="1463"/>
      <c r="J1780" s="536"/>
      <c r="K1780" s="536"/>
    </row>
    <row r="1781" spans="1:13" s="20" customFormat="1" ht="11.25" hidden="1" customHeight="1" x14ac:dyDescent="0.25">
      <c r="A1781" s="963"/>
      <c r="B1781" s="441"/>
      <c r="C1781" s="2533"/>
      <c r="D1781" s="4276"/>
      <c r="E1781" s="2968"/>
      <c r="F1781" s="2999"/>
      <c r="G1781" s="2999"/>
      <c r="H1781" s="1463"/>
      <c r="J1781" s="536"/>
      <c r="K1781" s="536"/>
    </row>
    <row r="1782" spans="1:13" s="20" customFormat="1" ht="16.5" customHeight="1" x14ac:dyDescent="0.25">
      <c r="A1782" s="963"/>
      <c r="B1782" s="441"/>
      <c r="C1782" s="2525" t="s">
        <v>1279</v>
      </c>
      <c r="D1782" s="4065">
        <f>D1783</f>
        <v>562575000</v>
      </c>
      <c r="E1782" s="3116">
        <f>E1783</f>
        <v>556500000</v>
      </c>
      <c r="F1782" s="2695">
        <f>E1782/D1782*100</f>
        <v>98.92014398080255</v>
      </c>
      <c r="G1782" s="3000">
        <f>G1783</f>
        <v>98.92</v>
      </c>
      <c r="H1782" s="1463"/>
      <c r="J1782" s="536"/>
      <c r="K1782" s="536"/>
    </row>
    <row r="1783" spans="1:13" s="20" customFormat="1" ht="16.5" hidden="1" customHeight="1" x14ac:dyDescent="0.25">
      <c r="A1783" s="963"/>
      <c r="B1783" s="441"/>
      <c r="C1783" s="2524" t="s">
        <v>1280</v>
      </c>
      <c r="D1783" s="4066">
        <v>562575000</v>
      </c>
      <c r="E1783" s="4035">
        <v>556500000</v>
      </c>
      <c r="F1783" s="2690">
        <f>E1783/D1783*100</f>
        <v>98.92014398080255</v>
      </c>
      <c r="G1783" s="2999">
        <v>98.92</v>
      </c>
      <c r="H1783" s="1463"/>
      <c r="J1783" s="536"/>
      <c r="K1783" s="536"/>
    </row>
    <row r="1784" spans="1:13" s="20" customFormat="1" ht="14.25" hidden="1" customHeight="1" x14ac:dyDescent="0.25">
      <c r="A1784" s="963"/>
      <c r="B1784" s="441"/>
      <c r="C1784" s="2476"/>
      <c r="D1784" s="4276"/>
      <c r="E1784" s="2690"/>
      <c r="F1784" s="2778"/>
      <c r="G1784" s="2778"/>
      <c r="H1784" s="1463"/>
      <c r="J1784" s="536"/>
      <c r="K1784" s="536">
        <f>SUM(K1786+K1789+K1800+K1805+K1813+K1822+K1825+K1829+K1832+K1835)</f>
        <v>20851996264</v>
      </c>
    </row>
    <row r="1785" spans="1:13" s="20" customFormat="1" ht="17.25" customHeight="1" x14ac:dyDescent="0.25">
      <c r="A1785" s="963"/>
      <c r="B1785" s="440"/>
      <c r="C1785" s="2497" t="s">
        <v>252</v>
      </c>
      <c r="D1785" s="4080">
        <f>SUM(D1786+D1789+D1800+D1805+D1810+D1813+D1822+D1825+D1829+D1832+D1835)</f>
        <v>24456340328</v>
      </c>
      <c r="E1785" s="2786">
        <f>SUM(E1786+E1789+E1800+E1805+E1810+E1813+E1822+E1825+E1829+E1832+E1835)</f>
        <v>20851996264</v>
      </c>
      <c r="F1785" s="2719">
        <f>E1785/D1785*100</f>
        <v>85.262128283873295</v>
      </c>
      <c r="G1785" s="2672">
        <f>SUM(G1786+G1789+G1800+G1805+G1810+G1813+G1822+G1825+G1829+G1832+G1835)/11</f>
        <v>83.508838383838381</v>
      </c>
      <c r="H1785" s="1463"/>
      <c r="J1785" s="536">
        <v>24456340328</v>
      </c>
      <c r="K1785" s="536">
        <v>20926746264</v>
      </c>
      <c r="M1785" s="996">
        <f>SUM(K1785-K1784)</f>
        <v>74750000</v>
      </c>
    </row>
    <row r="1786" spans="1:13" s="20" customFormat="1" ht="18.75" customHeight="1" x14ac:dyDescent="0.25">
      <c r="A1786" s="963"/>
      <c r="B1786" s="441"/>
      <c r="C1786" s="2565" t="s">
        <v>1281</v>
      </c>
      <c r="D1786" s="4065">
        <f>D1787</f>
        <v>246000000</v>
      </c>
      <c r="E1786" s="2824">
        <f>E1787</f>
        <v>74750000</v>
      </c>
      <c r="F1786" s="2966">
        <f>E1786/D1786*100</f>
        <v>30.386178861788615</v>
      </c>
      <c r="G1786" s="2734">
        <f>G1787</f>
        <v>30</v>
      </c>
      <c r="H1786" s="1463"/>
      <c r="J1786" s="536"/>
      <c r="K1786" s="536">
        <v>74750000</v>
      </c>
    </row>
    <row r="1787" spans="1:13" s="20" customFormat="1" ht="16.5" hidden="1" customHeight="1" x14ac:dyDescent="0.25">
      <c r="A1787" s="963"/>
      <c r="B1787" s="441"/>
      <c r="C1787" s="2524" t="s">
        <v>1282</v>
      </c>
      <c r="D1787" s="4066">
        <v>246000000</v>
      </c>
      <c r="E1787" s="4038">
        <v>74750000</v>
      </c>
      <c r="F1787" s="2690">
        <f>E1787/D1787*100</f>
        <v>30.386178861788615</v>
      </c>
      <c r="G1787" s="2690">
        <v>30</v>
      </c>
      <c r="H1787" s="1463"/>
      <c r="J1787" s="536"/>
      <c r="K1787" s="536"/>
    </row>
    <row r="1788" spans="1:13" s="20" customFormat="1" ht="9.75" hidden="1" customHeight="1" x14ac:dyDescent="0.25">
      <c r="A1788" s="963"/>
      <c r="B1788" s="441"/>
      <c r="C1788" s="2494"/>
      <c r="D1788" s="4286"/>
      <c r="E1788" s="2690"/>
      <c r="F1788" s="3035"/>
      <c r="G1788" s="3035"/>
      <c r="H1788" s="1463"/>
      <c r="J1788" s="536"/>
      <c r="K1788" s="536"/>
    </row>
    <row r="1789" spans="1:13" s="20" customFormat="1" ht="15.75" customHeight="1" x14ac:dyDescent="0.25">
      <c r="A1789" s="963"/>
      <c r="B1789" s="441"/>
      <c r="C1789" s="2491" t="s">
        <v>1283</v>
      </c>
      <c r="D1789" s="4159">
        <f>SUM(D1790:D1798)</f>
        <v>11538156328</v>
      </c>
      <c r="E1789" s="2813">
        <f>SUM(E1790:E1798)</f>
        <v>10750319600</v>
      </c>
      <c r="F1789" s="2695">
        <f>E1789/D1789*100</f>
        <v>93.171901076707272</v>
      </c>
      <c r="G1789" s="2695">
        <f>SUM(G1790:G1798)/9</f>
        <v>97.555555555555557</v>
      </c>
      <c r="H1789" s="1463"/>
      <c r="J1789" s="536"/>
      <c r="K1789" s="536">
        <v>10750319600</v>
      </c>
    </row>
    <row r="1790" spans="1:13" s="20" customFormat="1" ht="17.25" hidden="1" customHeight="1" x14ac:dyDescent="0.25">
      <c r="A1790" s="963"/>
      <c r="B1790" s="441"/>
      <c r="C1790" s="2473" t="s">
        <v>1284</v>
      </c>
      <c r="D1790" s="4066">
        <v>1585740000</v>
      </c>
      <c r="E1790" s="4038">
        <v>1585740000</v>
      </c>
      <c r="F1790" s="2690">
        <f>E1790/D1790*100</f>
        <v>100</v>
      </c>
      <c r="G1790" s="2690">
        <v>100</v>
      </c>
      <c r="H1790" s="1463"/>
      <c r="J1790" s="536"/>
      <c r="K1790" s="536"/>
    </row>
    <row r="1791" spans="1:13" s="20" customFormat="1" ht="15.75" hidden="1" customHeight="1" x14ac:dyDescent="0.25">
      <c r="A1791" s="963"/>
      <c r="B1791" s="441"/>
      <c r="C1791" s="2473" t="s">
        <v>1285</v>
      </c>
      <c r="D1791" s="4066">
        <v>4585144740</v>
      </c>
      <c r="E1791" s="2685">
        <v>4373710000</v>
      </c>
      <c r="F1791" s="2690">
        <f>E1791/D1791*100</f>
        <v>95.388700859201222</v>
      </c>
      <c r="G1791" s="2685">
        <v>95</v>
      </c>
      <c r="H1791" s="1463"/>
      <c r="J1791" s="536"/>
      <c r="K1791" s="536"/>
    </row>
    <row r="1792" spans="1:13" s="20" customFormat="1" ht="16.5" hidden="1" customHeight="1" x14ac:dyDescent="0.25">
      <c r="A1792" s="963"/>
      <c r="B1792" s="441"/>
      <c r="C1792" s="2473" t="s">
        <v>1286</v>
      </c>
      <c r="D1792" s="4066">
        <v>946850000</v>
      </c>
      <c r="E1792" s="2685">
        <v>759000000</v>
      </c>
      <c r="F1792" s="2690">
        <f>E1792/D1792*100</f>
        <v>80.160532291281612</v>
      </c>
      <c r="G1792" s="2685">
        <v>100</v>
      </c>
      <c r="H1792" s="1463"/>
      <c r="J1792" s="536"/>
      <c r="K1792" s="536"/>
    </row>
    <row r="1793" spans="1:11" s="20" customFormat="1" ht="15.75" hidden="1" customHeight="1" x14ac:dyDescent="0.25">
      <c r="A1793" s="963"/>
      <c r="B1793" s="441"/>
      <c r="C1793" s="2473" t="s">
        <v>1287</v>
      </c>
      <c r="D1793" s="4066">
        <v>72970000</v>
      </c>
      <c r="E1793" s="2685">
        <v>72970000</v>
      </c>
      <c r="F1793" s="2690">
        <f>E1793/D1793*100</f>
        <v>100</v>
      </c>
      <c r="G1793" s="2685">
        <v>100</v>
      </c>
      <c r="H1793" s="1463"/>
      <c r="J1793" s="536"/>
      <c r="K1793" s="536"/>
    </row>
    <row r="1794" spans="1:11" s="20" customFormat="1" ht="15.75" hidden="1" customHeight="1" x14ac:dyDescent="0.25">
      <c r="A1794" s="963"/>
      <c r="B1794" s="441"/>
      <c r="C1794" s="2473" t="s">
        <v>1288</v>
      </c>
      <c r="D1794" s="4066">
        <v>1366568072</v>
      </c>
      <c r="E1794" s="2685">
        <v>1128408000</v>
      </c>
      <c r="F1794" s="2690">
        <f t="shared" ref="F1794:F1796" si="104">E1794/D1794*100</f>
        <v>82.572395998433663</v>
      </c>
      <c r="G1794" s="2685">
        <v>83</v>
      </c>
      <c r="H1794" s="1463"/>
      <c r="J1794" s="536"/>
      <c r="K1794" s="536"/>
    </row>
    <row r="1795" spans="1:11" s="20" customFormat="1" ht="15" hidden="1" customHeight="1" x14ac:dyDescent="0.25">
      <c r="A1795" s="963"/>
      <c r="B1795" s="441"/>
      <c r="C1795" s="2473" t="s">
        <v>1289</v>
      </c>
      <c r="D1795" s="4066">
        <v>435050000</v>
      </c>
      <c r="E1795" s="2685">
        <v>433150000</v>
      </c>
      <c r="F1795" s="2690">
        <f t="shared" si="104"/>
        <v>99.56326858981727</v>
      </c>
      <c r="G1795" s="2685">
        <v>100</v>
      </c>
      <c r="H1795" s="1463"/>
      <c r="J1795" s="536"/>
      <c r="K1795" s="536"/>
    </row>
    <row r="1796" spans="1:11" s="20" customFormat="1" ht="17.25" hidden="1" customHeight="1" x14ac:dyDescent="0.25">
      <c r="A1796" s="963"/>
      <c r="B1796" s="441"/>
      <c r="C1796" s="2524" t="s">
        <v>1290</v>
      </c>
      <c r="D1796" s="4066">
        <v>327789000</v>
      </c>
      <c r="E1796" s="2685">
        <v>327000000</v>
      </c>
      <c r="F1796" s="2690">
        <f t="shared" si="104"/>
        <v>99.759296376632534</v>
      </c>
      <c r="G1796" s="2685">
        <v>100</v>
      </c>
      <c r="H1796" s="1463"/>
      <c r="J1796" s="536"/>
      <c r="K1796" s="536"/>
    </row>
    <row r="1797" spans="1:11" s="20" customFormat="1" ht="15.75" hidden="1" customHeight="1" x14ac:dyDescent="0.25">
      <c r="A1797" s="963"/>
      <c r="B1797" s="441"/>
      <c r="C1797" s="2524" t="s">
        <v>1291</v>
      </c>
      <c r="D1797" s="4066">
        <v>751193500</v>
      </c>
      <c r="E1797" s="4038">
        <v>746805000</v>
      </c>
      <c r="F1797" s="2690">
        <f>E1797/D1797*100</f>
        <v>99.415796329441093</v>
      </c>
      <c r="G1797" s="2685">
        <v>100</v>
      </c>
      <c r="H1797" s="1463"/>
      <c r="J1797" s="536"/>
      <c r="K1797" s="536"/>
    </row>
    <row r="1798" spans="1:11" s="20" customFormat="1" ht="16.5" hidden="1" customHeight="1" x14ac:dyDescent="0.25">
      <c r="A1798" s="963"/>
      <c r="B1798" s="441"/>
      <c r="C1798" s="2494" t="s">
        <v>1292</v>
      </c>
      <c r="D1798" s="3704">
        <v>1466851016</v>
      </c>
      <c r="E1798" s="2690">
        <v>1323536600</v>
      </c>
      <c r="F1798" s="2690">
        <f>E1798/D1798*100</f>
        <v>90.229790589721347</v>
      </c>
      <c r="G1798" s="2690">
        <v>100</v>
      </c>
      <c r="H1798" s="1463"/>
      <c r="J1798" s="536"/>
      <c r="K1798" s="536"/>
    </row>
    <row r="1799" spans="1:11" s="20" customFormat="1" ht="10.5" hidden="1" customHeight="1" x14ac:dyDescent="0.25">
      <c r="A1799" s="963"/>
      <c r="B1799" s="441"/>
      <c r="C1799" s="2494"/>
      <c r="D1799" s="3704"/>
      <c r="E1799" s="2690"/>
      <c r="F1799" s="3035"/>
      <c r="G1799" s="3035"/>
      <c r="H1799" s="1463"/>
      <c r="J1799" s="536"/>
      <c r="K1799" s="536"/>
    </row>
    <row r="1800" spans="1:11" s="20" customFormat="1" ht="18" customHeight="1" x14ac:dyDescent="0.25">
      <c r="A1800" s="963"/>
      <c r="B1800" s="441"/>
      <c r="C1800" s="2491" t="s">
        <v>680</v>
      </c>
      <c r="D1800" s="4159">
        <f>SUM(D1801:D1803)</f>
        <v>2760905000</v>
      </c>
      <c r="E1800" s="2813">
        <f>SUM(E1801:E1803)</f>
        <v>2754028064</v>
      </c>
      <c r="F1800" s="2695">
        <f>E1800/D1800*100</f>
        <v>99.750917326021721</v>
      </c>
      <c r="G1800" s="2695">
        <f>SUM(G1801:G1803)/3</f>
        <v>100</v>
      </c>
      <c r="H1800" s="1463"/>
      <c r="J1800" s="536"/>
      <c r="K1800" s="536">
        <v>2754028064</v>
      </c>
    </row>
    <row r="1801" spans="1:11" s="20" customFormat="1" ht="15.75" hidden="1" customHeight="1" x14ac:dyDescent="0.25">
      <c r="A1801" s="963"/>
      <c r="B1801" s="441"/>
      <c r="C1801" s="2524" t="s">
        <v>1293</v>
      </c>
      <c r="D1801" s="4066">
        <v>2000000000</v>
      </c>
      <c r="E1801" s="2685">
        <v>1997654064</v>
      </c>
      <c r="F1801" s="2690">
        <f>E1801/D1801*100</f>
        <v>99.882703199999995</v>
      </c>
      <c r="G1801" s="2685">
        <v>100</v>
      </c>
      <c r="H1801" s="1463"/>
      <c r="J1801" s="536"/>
      <c r="K1801" s="536"/>
    </row>
    <row r="1802" spans="1:11" s="20" customFormat="1" ht="16.5" hidden="1" customHeight="1" x14ac:dyDescent="0.25">
      <c r="A1802" s="963"/>
      <c r="B1802" s="441"/>
      <c r="C1802" s="2524" t="s">
        <v>1294</v>
      </c>
      <c r="D1802" s="4066">
        <v>650000000</v>
      </c>
      <c r="E1802" s="2685">
        <v>645469000</v>
      </c>
      <c r="F1802" s="2690">
        <f>E1802/D1802*100</f>
        <v>99.302923076923079</v>
      </c>
      <c r="G1802" s="2685">
        <v>100</v>
      </c>
      <c r="H1802" s="1463"/>
      <c r="J1802" s="536"/>
      <c r="K1802" s="536"/>
    </row>
    <row r="1803" spans="1:11" s="20" customFormat="1" ht="17.25" hidden="1" customHeight="1" x14ac:dyDescent="0.25">
      <c r="A1803" s="963"/>
      <c r="B1803" s="441"/>
      <c r="C1803" s="2524" t="s">
        <v>1295</v>
      </c>
      <c r="D1803" s="4066">
        <v>110905000</v>
      </c>
      <c r="E1803" s="4039">
        <v>110905000</v>
      </c>
      <c r="F1803" s="2690">
        <f>E1803/D1803*100</f>
        <v>100</v>
      </c>
      <c r="G1803" s="2685">
        <v>100</v>
      </c>
      <c r="H1803" s="1463"/>
      <c r="J1803" s="536"/>
      <c r="K1803" s="536"/>
    </row>
    <row r="1804" spans="1:11" s="20" customFormat="1" ht="10.5" hidden="1" customHeight="1" x14ac:dyDescent="0.25">
      <c r="A1804" s="963"/>
      <c r="B1804" s="444"/>
      <c r="C1804" s="2551"/>
      <c r="D1804" s="4325"/>
      <c r="E1804" s="2685"/>
      <c r="F1804" s="2685"/>
      <c r="G1804" s="2685"/>
      <c r="H1804" s="1463"/>
      <c r="J1804" s="536"/>
      <c r="K1804" s="536"/>
    </row>
    <row r="1805" spans="1:11" s="20" customFormat="1" ht="16.5" customHeight="1" x14ac:dyDescent="0.25">
      <c r="A1805" s="963"/>
      <c r="B1805" s="441"/>
      <c r="C1805" s="2525" t="s">
        <v>1296</v>
      </c>
      <c r="D1805" s="4065">
        <f>SUM(D1806:D1808)</f>
        <v>1641240000</v>
      </c>
      <c r="E1805" s="2695">
        <f>SUM(E1806:E1808)</f>
        <v>1003675500</v>
      </c>
      <c r="F1805" s="2695">
        <f>E1805/D1805*100</f>
        <v>61.153487606931343</v>
      </c>
      <c r="G1805" s="2679">
        <f>SUM(G1806:G1808)/3</f>
        <v>96.666666666666671</v>
      </c>
      <c r="H1805" s="1463"/>
      <c r="J1805" s="536"/>
      <c r="K1805" s="536">
        <v>1003675500</v>
      </c>
    </row>
    <row r="1806" spans="1:11" s="20" customFormat="1" ht="14.25" hidden="1" customHeight="1" x14ac:dyDescent="0.25">
      <c r="A1806" s="963"/>
      <c r="B1806" s="441"/>
      <c r="C1806" s="2473" t="s">
        <v>1297</v>
      </c>
      <c r="D1806" s="4066">
        <v>1163340000</v>
      </c>
      <c r="E1806" s="2685">
        <v>641425500</v>
      </c>
      <c r="F1806" s="2690">
        <f>E1806/D1806*100</f>
        <v>55.136546495435553</v>
      </c>
      <c r="G1806" s="2685">
        <v>90</v>
      </c>
      <c r="H1806" s="1463"/>
      <c r="J1806" s="536"/>
      <c r="K1806" s="536"/>
    </row>
    <row r="1807" spans="1:11" s="20" customFormat="1" ht="15.75" hidden="1" customHeight="1" x14ac:dyDescent="0.25">
      <c r="A1807" s="963"/>
      <c r="B1807" s="441"/>
      <c r="C1807" s="2524" t="s">
        <v>1298</v>
      </c>
      <c r="D1807" s="4066">
        <v>296600000</v>
      </c>
      <c r="E1807" s="2685">
        <v>271600000</v>
      </c>
      <c r="F1807" s="2690">
        <f>E1807/D1807*100</f>
        <v>91.57113958192852</v>
      </c>
      <c r="G1807" s="2685">
        <v>100</v>
      </c>
      <c r="H1807" s="1463"/>
      <c r="J1807" s="536"/>
      <c r="K1807" s="536"/>
    </row>
    <row r="1808" spans="1:11" s="20" customFormat="1" ht="14.25" hidden="1" customHeight="1" x14ac:dyDescent="0.25">
      <c r="A1808" s="963"/>
      <c r="B1808" s="441"/>
      <c r="C1808" s="2524" t="s">
        <v>1299</v>
      </c>
      <c r="D1808" s="4066">
        <v>181300000</v>
      </c>
      <c r="E1808" s="4038">
        <v>90650000</v>
      </c>
      <c r="F1808" s="2690">
        <f>E1808/D1808*100</f>
        <v>50</v>
      </c>
      <c r="G1808" s="2685">
        <v>100</v>
      </c>
      <c r="H1808" s="1463"/>
      <c r="J1808" s="536"/>
      <c r="K1808" s="536"/>
    </row>
    <row r="1809" spans="1:11" s="20" customFormat="1" ht="9" hidden="1" customHeight="1" x14ac:dyDescent="0.25">
      <c r="A1809" s="963"/>
      <c r="B1809" s="441"/>
      <c r="C1809" s="2494"/>
      <c r="D1809" s="3704"/>
      <c r="E1809" s="2685"/>
      <c r="F1809" s="2685"/>
      <c r="G1809" s="2685"/>
      <c r="H1809" s="1463"/>
      <c r="J1809" s="536"/>
      <c r="K1809" s="536"/>
    </row>
    <row r="1810" spans="1:11" s="20" customFormat="1" ht="15.75" customHeight="1" x14ac:dyDescent="0.25">
      <c r="A1810" s="963"/>
      <c r="B1810" s="441"/>
      <c r="C1810" s="2474" t="s">
        <v>1300</v>
      </c>
      <c r="D1810" s="4065">
        <f>SUM(D1811)</f>
        <v>30750000</v>
      </c>
      <c r="E1810" s="2679">
        <v>0</v>
      </c>
      <c r="F1810" s="2679">
        <v>0</v>
      </c>
      <c r="G1810" s="2679">
        <v>0</v>
      </c>
      <c r="H1810" s="1463"/>
      <c r="J1810" s="536"/>
      <c r="K1810" s="536"/>
    </row>
    <row r="1811" spans="1:11" s="20" customFormat="1" ht="17.25" hidden="1" customHeight="1" x14ac:dyDescent="0.25">
      <c r="A1811" s="963"/>
      <c r="B1811" s="441"/>
      <c r="C1811" s="2524" t="s">
        <v>1301</v>
      </c>
      <c r="D1811" s="4066">
        <v>30750000</v>
      </c>
      <c r="E1811" s="2685">
        <v>0</v>
      </c>
      <c r="F1811" s="2685">
        <v>0</v>
      </c>
      <c r="G1811" s="2685">
        <v>0</v>
      </c>
      <c r="H1811" s="1463"/>
      <c r="J1811" s="536"/>
      <c r="K1811" s="536"/>
    </row>
    <row r="1812" spans="1:11" s="20" customFormat="1" ht="11.25" hidden="1" customHeight="1" x14ac:dyDescent="0.25">
      <c r="A1812" s="963"/>
      <c r="B1812" s="441"/>
      <c r="C1812" s="2494"/>
      <c r="D1812" s="3704"/>
      <c r="E1812" s="2690"/>
      <c r="F1812" s="3035"/>
      <c r="G1812" s="3035"/>
      <c r="H1812" s="1463"/>
      <c r="J1812" s="536"/>
      <c r="K1812" s="536"/>
    </row>
    <row r="1813" spans="1:11" s="20" customFormat="1" ht="19.5" customHeight="1" x14ac:dyDescent="0.25">
      <c r="A1813" s="963"/>
      <c r="B1813" s="441"/>
      <c r="C1813" s="2552" t="s">
        <v>1302</v>
      </c>
      <c r="D1813" s="4159">
        <f>SUM(D1814:D1820)</f>
        <v>1562865000</v>
      </c>
      <c r="E1813" s="2813">
        <f>SUM(E1814:E1820)</f>
        <v>1447863000</v>
      </c>
      <c r="F1813" s="2695">
        <f>E1813/D1813*100</f>
        <v>92.641590924360074</v>
      </c>
      <c r="G1813" s="2695">
        <f>SUM(G1814:G1820)/7</f>
        <v>100</v>
      </c>
      <c r="H1813" s="1463"/>
      <c r="J1813" s="536"/>
      <c r="K1813" s="536">
        <v>1447863000</v>
      </c>
    </row>
    <row r="1814" spans="1:11" s="20" customFormat="1" ht="15" hidden="1" customHeight="1" x14ac:dyDescent="0.25">
      <c r="A1814" s="963"/>
      <c r="B1814" s="441"/>
      <c r="C1814" s="2524" t="s">
        <v>1303</v>
      </c>
      <c r="D1814" s="4066">
        <v>304360000</v>
      </c>
      <c r="E1814" s="4038">
        <v>304360000</v>
      </c>
      <c r="F1814" s="2690">
        <f>E1814/D1814*100</f>
        <v>100</v>
      </c>
      <c r="G1814" s="2690">
        <v>100</v>
      </c>
      <c r="H1814" s="1463"/>
      <c r="J1814" s="536"/>
      <c r="K1814" s="536"/>
    </row>
    <row r="1815" spans="1:11" s="20" customFormat="1" ht="15" hidden="1" customHeight="1" x14ac:dyDescent="0.25">
      <c r="A1815" s="963"/>
      <c r="B1815" s="441"/>
      <c r="C1815" s="2524" t="s">
        <v>1304</v>
      </c>
      <c r="D1815" s="4066">
        <v>353750000</v>
      </c>
      <c r="E1815" s="2685">
        <v>318500000</v>
      </c>
      <c r="F1815" s="2690">
        <f>E1815/D1815*100</f>
        <v>90.035335689045937</v>
      </c>
      <c r="G1815" s="2685">
        <v>100</v>
      </c>
      <c r="H1815" s="1463"/>
      <c r="J1815" s="536"/>
      <c r="K1815" s="536"/>
    </row>
    <row r="1816" spans="1:11" s="20" customFormat="1" ht="14.25" hidden="1" customHeight="1" x14ac:dyDescent="0.25">
      <c r="A1816" s="963"/>
      <c r="B1816" s="441"/>
      <c r="C1816" s="2524" t="s">
        <v>1305</v>
      </c>
      <c r="D1816" s="4066">
        <v>306250000</v>
      </c>
      <c r="E1816" s="2685">
        <v>262000000</v>
      </c>
      <c r="F1816" s="2690">
        <f>E1816/D1816*100</f>
        <v>85.551020408163268</v>
      </c>
      <c r="G1816" s="2685">
        <v>100</v>
      </c>
      <c r="H1816" s="1463"/>
      <c r="J1816" s="536"/>
      <c r="K1816" s="536"/>
    </row>
    <row r="1817" spans="1:11" s="20" customFormat="1" ht="13.5" hidden="1" customHeight="1" x14ac:dyDescent="0.25">
      <c r="A1817" s="963"/>
      <c r="B1817" s="441"/>
      <c r="C1817" s="2524" t="s">
        <v>6662</v>
      </c>
      <c r="D1817" s="4066">
        <v>176300000</v>
      </c>
      <c r="E1817" s="4038">
        <v>176300000</v>
      </c>
      <c r="F1817" s="2690">
        <f>E1817/D1817*100</f>
        <v>100</v>
      </c>
      <c r="G1817" s="2690">
        <v>100</v>
      </c>
      <c r="H1817" s="1463"/>
      <c r="J1817" s="536"/>
      <c r="K1817" s="536"/>
    </row>
    <row r="1818" spans="1:11" s="20" customFormat="1" ht="15.75" hidden="1" customHeight="1" x14ac:dyDescent="0.25">
      <c r="A1818" s="963"/>
      <c r="B1818" s="441"/>
      <c r="C1818" s="2524" t="s">
        <v>1307</v>
      </c>
      <c r="D1818" s="4066">
        <v>115705000</v>
      </c>
      <c r="E1818" s="4038">
        <v>112203000</v>
      </c>
      <c r="F1818" s="2690">
        <f t="shared" ref="F1818:F1820" si="105">E1818/D1818*100</f>
        <v>96.973337366578804</v>
      </c>
      <c r="G1818" s="2685">
        <v>100</v>
      </c>
      <c r="H1818" s="1463"/>
      <c r="J1818" s="536"/>
      <c r="K1818" s="536"/>
    </row>
    <row r="1819" spans="1:11" s="20" customFormat="1" ht="13.5" hidden="1" customHeight="1" x14ac:dyDescent="0.25">
      <c r="A1819" s="963"/>
      <c r="B1819" s="441"/>
      <c r="C1819" s="2524" t="s">
        <v>1308</v>
      </c>
      <c r="D1819" s="4066">
        <v>250000000</v>
      </c>
      <c r="E1819" s="4038">
        <v>218000000</v>
      </c>
      <c r="F1819" s="2690">
        <f t="shared" si="105"/>
        <v>87.2</v>
      </c>
      <c r="G1819" s="2690">
        <v>100</v>
      </c>
      <c r="H1819" s="1463"/>
      <c r="J1819" s="536"/>
      <c r="K1819" s="536"/>
    </row>
    <row r="1820" spans="1:11" s="20" customFormat="1" ht="18" hidden="1" customHeight="1" x14ac:dyDescent="0.25">
      <c r="A1820" s="963"/>
      <c r="B1820" s="441"/>
      <c r="C1820" s="2524" t="s">
        <v>1309</v>
      </c>
      <c r="D1820" s="4066">
        <v>56500000</v>
      </c>
      <c r="E1820" s="4038">
        <v>56500000</v>
      </c>
      <c r="F1820" s="2690">
        <f t="shared" si="105"/>
        <v>100</v>
      </c>
      <c r="G1820" s="2690">
        <v>100</v>
      </c>
      <c r="H1820" s="1463"/>
      <c r="J1820" s="536"/>
      <c r="K1820" s="536"/>
    </row>
    <row r="1821" spans="1:11" s="20" customFormat="1" ht="10.5" hidden="1" customHeight="1" x14ac:dyDescent="0.25">
      <c r="A1821" s="963"/>
      <c r="B1821" s="441"/>
      <c r="C1821" s="2553"/>
      <c r="D1821" s="3704"/>
      <c r="E1821" s="2690"/>
      <c r="F1821" s="2690"/>
      <c r="G1821" s="2690"/>
      <c r="H1821" s="1463"/>
      <c r="J1821" s="536"/>
      <c r="K1821" s="536"/>
    </row>
    <row r="1822" spans="1:11" s="20" customFormat="1" ht="18" customHeight="1" x14ac:dyDescent="0.25">
      <c r="A1822" s="963"/>
      <c r="B1822" s="441"/>
      <c r="C1822" s="2525" t="s">
        <v>1310</v>
      </c>
      <c r="D1822" s="4297">
        <f>D1823</f>
        <v>240200000</v>
      </c>
      <c r="E1822" s="3978">
        <f>E1823</f>
        <v>227700000</v>
      </c>
      <c r="F1822" s="2695">
        <f>E1822/D1822*100</f>
        <v>94.796003330557866</v>
      </c>
      <c r="G1822" s="2679">
        <f>G1823</f>
        <v>100</v>
      </c>
      <c r="H1822" s="1463"/>
      <c r="J1822" s="536"/>
      <c r="K1822" s="536">
        <v>227700000</v>
      </c>
    </row>
    <row r="1823" spans="1:11" s="20" customFormat="1" ht="17.25" hidden="1" customHeight="1" x14ac:dyDescent="0.25">
      <c r="A1823" s="963"/>
      <c r="B1823" s="441"/>
      <c r="C1823" s="2524" t="s">
        <v>1311</v>
      </c>
      <c r="D1823" s="4066">
        <v>240200000</v>
      </c>
      <c r="E1823" s="2685">
        <v>227700000</v>
      </c>
      <c r="F1823" s="2690">
        <f>E1823/D1823*100</f>
        <v>94.796003330557866</v>
      </c>
      <c r="G1823" s="2685">
        <v>100</v>
      </c>
      <c r="H1823" s="1463"/>
      <c r="J1823" s="536"/>
      <c r="K1823" s="536"/>
    </row>
    <row r="1824" spans="1:11" s="20" customFormat="1" ht="11.25" hidden="1" customHeight="1" x14ac:dyDescent="0.25">
      <c r="A1824" s="963"/>
      <c r="B1824" s="441"/>
      <c r="C1824" s="2473"/>
      <c r="D1824" s="3704"/>
      <c r="E1824" s="2685"/>
      <c r="F1824" s="2685"/>
      <c r="G1824" s="2685"/>
      <c r="H1824" s="1463"/>
      <c r="J1824" s="536"/>
      <c r="K1824" s="536"/>
    </row>
    <row r="1825" spans="1:11" s="20" customFormat="1" ht="21.75" customHeight="1" x14ac:dyDescent="0.25">
      <c r="A1825" s="963"/>
      <c r="B1825" s="441"/>
      <c r="C1825" s="2525" t="s">
        <v>1312</v>
      </c>
      <c r="D1825" s="4297">
        <f>SUM(D1826:D1827)</f>
        <v>111200000</v>
      </c>
      <c r="E1825" s="3978">
        <f>SUM(E1826:E1827)</f>
        <v>80599200</v>
      </c>
      <c r="F1825" s="2695">
        <f>E1825/D1825*100</f>
        <v>72.481294964028777</v>
      </c>
      <c r="G1825" s="2679">
        <f>SUM(G1826:G1827)/2</f>
        <v>100</v>
      </c>
      <c r="H1825" s="1463"/>
      <c r="J1825" s="536"/>
      <c r="K1825" s="536">
        <v>80599200</v>
      </c>
    </row>
    <row r="1826" spans="1:11" s="20" customFormat="1" ht="16.5" hidden="1" customHeight="1" x14ac:dyDescent="0.25">
      <c r="A1826" s="963"/>
      <c r="B1826" s="441"/>
      <c r="C1826" s="2524" t="s">
        <v>1313</v>
      </c>
      <c r="D1826" s="4066">
        <v>66200000</v>
      </c>
      <c r="E1826" s="2685">
        <v>35599200</v>
      </c>
      <c r="F1826" s="2690">
        <f>E1826/D1826*100</f>
        <v>53.775226586102718</v>
      </c>
      <c r="G1826" s="2685">
        <v>100</v>
      </c>
      <c r="H1826" s="1463"/>
      <c r="J1826" s="536"/>
      <c r="K1826" s="536"/>
    </row>
    <row r="1827" spans="1:11" s="20" customFormat="1" hidden="1" x14ac:dyDescent="0.25">
      <c r="A1827" s="963"/>
      <c r="B1827" s="441"/>
      <c r="C1827" s="2524" t="s">
        <v>1314</v>
      </c>
      <c r="D1827" s="4066">
        <v>45000000</v>
      </c>
      <c r="E1827" s="2685">
        <v>45000000</v>
      </c>
      <c r="F1827" s="2690">
        <f>E1827/D1827*100</f>
        <v>100</v>
      </c>
      <c r="G1827" s="2685">
        <v>100</v>
      </c>
      <c r="H1827" s="1463"/>
      <c r="J1827" s="536"/>
      <c r="K1827" s="536"/>
    </row>
    <row r="1828" spans="1:11" s="20" customFormat="1" ht="9" hidden="1" customHeight="1" x14ac:dyDescent="0.25">
      <c r="A1828" s="963"/>
      <c r="B1828" s="441"/>
      <c r="C1828" s="2527"/>
      <c r="D1828" s="4276"/>
      <c r="E1828" s="2690"/>
      <c r="F1828" s="2690"/>
      <c r="G1828" s="2690"/>
      <c r="H1828" s="1463"/>
      <c r="J1828" s="536"/>
      <c r="K1828" s="536"/>
    </row>
    <row r="1829" spans="1:11" s="20" customFormat="1" ht="17.25" customHeight="1" x14ac:dyDescent="0.25">
      <c r="A1829" s="963"/>
      <c r="B1829" s="441"/>
      <c r="C1829" s="2474" t="s">
        <v>1315</v>
      </c>
      <c r="D1829" s="4065">
        <f>SUM(D1830)</f>
        <v>350200000</v>
      </c>
      <c r="E1829" s="2695">
        <f>SUM(E1830)</f>
        <v>211546800</v>
      </c>
      <c r="F1829" s="2695">
        <f>E1829/D1829*100</f>
        <v>60.407424328954882</v>
      </c>
      <c r="G1829" s="2695">
        <f>G1830</f>
        <v>95</v>
      </c>
      <c r="H1829" s="1463"/>
      <c r="J1829" s="536"/>
      <c r="K1829" s="536">
        <v>211546800</v>
      </c>
    </row>
    <row r="1830" spans="1:11" s="20" customFormat="1" ht="18.75" hidden="1" customHeight="1" x14ac:dyDescent="0.25">
      <c r="A1830" s="963"/>
      <c r="B1830" s="441"/>
      <c r="C1830" s="2524" t="s">
        <v>1316</v>
      </c>
      <c r="D1830" s="4306">
        <v>350200000</v>
      </c>
      <c r="E1830" s="2685">
        <v>211546800</v>
      </c>
      <c r="F1830" s="2690">
        <f>E1830/D1830*100</f>
        <v>60.407424328954882</v>
      </c>
      <c r="G1830" s="2685">
        <v>95</v>
      </c>
      <c r="H1830" s="1463"/>
      <c r="J1830" s="536"/>
      <c r="K1830" s="536"/>
    </row>
    <row r="1831" spans="1:11" s="20" customFormat="1" ht="12" hidden="1" customHeight="1" x14ac:dyDescent="0.25">
      <c r="A1831" s="963"/>
      <c r="B1831" s="441"/>
      <c r="C1831" s="2524"/>
      <c r="D1831" s="4066"/>
      <c r="E1831" s="2690"/>
      <c r="F1831" s="2690"/>
      <c r="G1831" s="2690"/>
      <c r="H1831" s="1463"/>
      <c r="J1831" s="536"/>
      <c r="K1831" s="536"/>
    </row>
    <row r="1832" spans="1:11" s="20" customFormat="1" ht="28.5" customHeight="1" x14ac:dyDescent="0.25">
      <c r="A1832" s="963"/>
      <c r="B1832" s="441"/>
      <c r="C1832" s="2525" t="s">
        <v>1317</v>
      </c>
      <c r="D1832" s="4065">
        <f>D1833</f>
        <v>500000000</v>
      </c>
      <c r="E1832" s="2695">
        <f>E1833</f>
        <v>496850000</v>
      </c>
      <c r="F1832" s="2695">
        <f>E1832/D1832*100</f>
        <v>99.37</v>
      </c>
      <c r="G1832" s="2679">
        <f>G1833</f>
        <v>100</v>
      </c>
      <c r="H1832" s="1463"/>
      <c r="J1832" s="536"/>
      <c r="K1832" s="536">
        <v>496850000</v>
      </c>
    </row>
    <row r="1833" spans="1:11" s="20" customFormat="1" ht="19.5" hidden="1" customHeight="1" x14ac:dyDescent="0.25">
      <c r="A1833" s="963"/>
      <c r="B1833" s="441"/>
      <c r="C1833" s="2554" t="s">
        <v>1318</v>
      </c>
      <c r="D1833" s="4323">
        <v>500000000</v>
      </c>
      <c r="E1833" s="2685">
        <v>496850000</v>
      </c>
      <c r="F1833" s="2690">
        <f>E1833/D1833*100</f>
        <v>99.37</v>
      </c>
      <c r="G1833" s="2685">
        <v>100</v>
      </c>
      <c r="H1833" s="1463"/>
      <c r="J1833" s="536"/>
      <c r="K1833" s="536"/>
    </row>
    <row r="1834" spans="1:11" s="20" customFormat="1" ht="10.5" hidden="1" customHeight="1" x14ac:dyDescent="0.25">
      <c r="A1834" s="963"/>
      <c r="B1834" s="441"/>
      <c r="C1834" s="2554"/>
      <c r="D1834" s="4323"/>
      <c r="E1834" s="2690"/>
      <c r="F1834" s="2690"/>
      <c r="G1834" s="2690"/>
      <c r="H1834" s="1463"/>
      <c r="J1834" s="536"/>
      <c r="K1834" s="536"/>
    </row>
    <row r="1835" spans="1:11" s="20" customFormat="1" ht="17.25" customHeight="1" x14ac:dyDescent="0.25">
      <c r="A1835" s="963"/>
      <c r="B1835" s="441"/>
      <c r="C1835" s="2474" t="s">
        <v>1319</v>
      </c>
      <c r="D1835" s="4065">
        <f>SUM(D1836:D1843)</f>
        <v>5474824000</v>
      </c>
      <c r="E1835" s="2695">
        <f>SUM(E1836:E1843)</f>
        <v>3804664100</v>
      </c>
      <c r="F1835" s="2695">
        <f>E1835/D1835*100</f>
        <v>69.493815691609456</v>
      </c>
      <c r="G1835" s="2695">
        <f>SUM(G1836:G1843)/8</f>
        <v>99.375</v>
      </c>
      <c r="H1835" s="1463"/>
      <c r="J1835" s="536"/>
      <c r="K1835" s="536">
        <v>3804664100</v>
      </c>
    </row>
    <row r="1836" spans="1:11" s="20" customFormat="1" ht="15.75" hidden="1" customHeight="1" x14ac:dyDescent="0.25">
      <c r="A1836" s="963"/>
      <c r="B1836" s="441"/>
      <c r="C1836" s="2524" t="s">
        <v>1320</v>
      </c>
      <c r="D1836" s="4066">
        <v>1243104000</v>
      </c>
      <c r="E1836" s="4038">
        <v>1087647000</v>
      </c>
      <c r="F1836" s="2690">
        <f>E1836/D1836*100</f>
        <v>87.494449378330373</v>
      </c>
      <c r="G1836" s="2690">
        <v>95</v>
      </c>
      <c r="H1836" s="1463"/>
      <c r="J1836" s="536"/>
      <c r="K1836" s="536"/>
    </row>
    <row r="1837" spans="1:11" s="20" customFormat="1" ht="15.75" hidden="1" customHeight="1" x14ac:dyDescent="0.25">
      <c r="A1837" s="963"/>
      <c r="B1837" s="441"/>
      <c r="C1837" s="2524" t="s">
        <v>1321</v>
      </c>
      <c r="D1837" s="4066">
        <v>585600000</v>
      </c>
      <c r="E1837" s="4038">
        <v>464848400</v>
      </c>
      <c r="F1837" s="2690">
        <f t="shared" ref="F1837:F1843" si="106">E1837/D1837*100</f>
        <v>79.379849726775959</v>
      </c>
      <c r="G1837" s="2690">
        <v>100</v>
      </c>
      <c r="H1837" s="1463"/>
      <c r="J1837" s="536"/>
      <c r="K1837" s="536"/>
    </row>
    <row r="1838" spans="1:11" s="20" customFormat="1" ht="20.25" hidden="1" customHeight="1" x14ac:dyDescent="0.25">
      <c r="A1838" s="963"/>
      <c r="B1838" s="441"/>
      <c r="C1838" s="2524" t="s">
        <v>1322</v>
      </c>
      <c r="D1838" s="4066">
        <v>515000000</v>
      </c>
      <c r="E1838" s="4038">
        <v>266876000</v>
      </c>
      <c r="F1838" s="2690">
        <f t="shared" si="106"/>
        <v>51.820582524271842</v>
      </c>
      <c r="G1838" s="2690">
        <v>100</v>
      </c>
      <c r="H1838" s="1463"/>
      <c r="J1838" s="536"/>
      <c r="K1838" s="536"/>
    </row>
    <row r="1839" spans="1:11" s="20" customFormat="1" ht="17.25" hidden="1" customHeight="1" x14ac:dyDescent="0.25">
      <c r="A1839" s="963"/>
      <c r="B1839" s="441"/>
      <c r="C1839" s="2524" t="s">
        <v>1323</v>
      </c>
      <c r="D1839" s="4066">
        <v>447600000</v>
      </c>
      <c r="E1839" s="4038">
        <v>336600000</v>
      </c>
      <c r="F1839" s="2690">
        <f t="shared" si="106"/>
        <v>75.201072386058982</v>
      </c>
      <c r="G1839" s="2690">
        <v>100</v>
      </c>
      <c r="H1839" s="1463"/>
      <c r="J1839" s="536"/>
      <c r="K1839" s="536"/>
    </row>
    <row r="1840" spans="1:11" s="20" customFormat="1" ht="18" hidden="1" customHeight="1" x14ac:dyDescent="0.25">
      <c r="A1840" s="963"/>
      <c r="B1840" s="441"/>
      <c r="C1840" s="2524" t="s">
        <v>1324</v>
      </c>
      <c r="D1840" s="4066">
        <v>222000000</v>
      </c>
      <c r="E1840" s="2685">
        <v>213488600</v>
      </c>
      <c r="F1840" s="2690">
        <f t="shared" si="106"/>
        <v>96.166036036036047</v>
      </c>
      <c r="G1840" s="2685">
        <v>100</v>
      </c>
      <c r="H1840" s="1463"/>
      <c r="J1840" s="536"/>
      <c r="K1840" s="536"/>
    </row>
    <row r="1841" spans="1:11" s="20" customFormat="1" ht="17.25" hidden="1" customHeight="1" x14ac:dyDescent="0.25">
      <c r="A1841" s="963"/>
      <c r="B1841" s="441"/>
      <c r="C1841" s="2524" t="s">
        <v>1325</v>
      </c>
      <c r="D1841" s="4066">
        <v>178700000</v>
      </c>
      <c r="E1841" s="4038">
        <v>172850000</v>
      </c>
      <c r="F1841" s="2690">
        <f t="shared" si="106"/>
        <v>96.726357022943475</v>
      </c>
      <c r="G1841" s="2685">
        <v>100</v>
      </c>
      <c r="H1841" s="1463"/>
      <c r="J1841" s="536"/>
      <c r="K1841" s="536"/>
    </row>
    <row r="1842" spans="1:11" s="20" customFormat="1" ht="17.25" hidden="1" customHeight="1" x14ac:dyDescent="0.25">
      <c r="A1842" s="963"/>
      <c r="B1842" s="441"/>
      <c r="C1842" s="2524" t="s">
        <v>1326</v>
      </c>
      <c r="D1842" s="4066">
        <v>2123820000</v>
      </c>
      <c r="E1842" s="2685">
        <v>1106461000</v>
      </c>
      <c r="F1842" s="2690">
        <f t="shared" si="106"/>
        <v>52.097682477799431</v>
      </c>
      <c r="G1842" s="2685">
        <v>100</v>
      </c>
      <c r="H1842" s="1463"/>
      <c r="J1842" s="536"/>
      <c r="K1842" s="536"/>
    </row>
    <row r="1843" spans="1:11" s="20" customFormat="1" ht="19.5" hidden="1" customHeight="1" x14ac:dyDescent="0.25">
      <c r="A1843" s="963"/>
      <c r="B1843" s="441"/>
      <c r="C1843" s="2524" t="s">
        <v>1327</v>
      </c>
      <c r="D1843" s="4066">
        <v>159000000</v>
      </c>
      <c r="E1843" s="2685">
        <v>155893100</v>
      </c>
      <c r="F1843" s="2690">
        <f t="shared" si="106"/>
        <v>98.045974842767293</v>
      </c>
      <c r="G1843" s="2685">
        <v>100</v>
      </c>
      <c r="H1843" s="1463"/>
      <c r="J1843" s="536"/>
      <c r="K1843" s="536"/>
    </row>
    <row r="1844" spans="1:11" s="20" customFormat="1" ht="12" hidden="1" customHeight="1" x14ac:dyDescent="0.25">
      <c r="A1844" s="963"/>
      <c r="B1844" s="441"/>
      <c r="C1844" s="2524"/>
      <c r="D1844" s="3704"/>
      <c r="E1844" s="2690"/>
      <c r="F1844" s="2710"/>
      <c r="G1844" s="2690"/>
      <c r="H1844" s="1463"/>
      <c r="J1844" s="536"/>
      <c r="K1844" s="536"/>
    </row>
    <row r="1845" spans="1:11" s="20" customFormat="1" ht="15.75" customHeight="1" x14ac:dyDescent="0.25">
      <c r="A1845" s="963"/>
      <c r="B1845" s="440"/>
      <c r="C1845" s="2497" t="s">
        <v>1328</v>
      </c>
      <c r="D1845" s="4080">
        <f>SUM(D1846+D1849)</f>
        <v>2581259100</v>
      </c>
      <c r="E1845" s="3647">
        <f>SUM(E1846+E1849)</f>
        <v>2575954100</v>
      </c>
      <c r="F1845" s="2719">
        <f>E1845/D1845*100</f>
        <v>99.794480143430775</v>
      </c>
      <c r="G1845" s="2672">
        <f>SUM(G1846+G1849)/2</f>
        <v>100</v>
      </c>
      <c r="H1845" s="1463"/>
      <c r="J1845" s="536"/>
      <c r="K1845" s="536"/>
    </row>
    <row r="1846" spans="1:11" s="20" customFormat="1" ht="18" customHeight="1" x14ac:dyDescent="0.25">
      <c r="A1846" s="963"/>
      <c r="B1846" s="441"/>
      <c r="C1846" s="2482" t="s">
        <v>103</v>
      </c>
      <c r="D1846" s="4280">
        <f>D1847</f>
        <v>552655000</v>
      </c>
      <c r="E1846" s="2722">
        <f>E1847</f>
        <v>547350000</v>
      </c>
      <c r="F1846" s="2966">
        <f>E1846/D1846*100</f>
        <v>99.040088301019622</v>
      </c>
      <c r="G1846" s="2734">
        <f>G1847</f>
        <v>100</v>
      </c>
      <c r="H1846" s="1463"/>
      <c r="J1846" s="536"/>
      <c r="K1846" s="536"/>
    </row>
    <row r="1847" spans="1:11" s="20" customFormat="1" ht="16.5" hidden="1" customHeight="1" x14ac:dyDescent="0.25">
      <c r="A1847" s="963"/>
      <c r="B1847" s="441"/>
      <c r="C1847" s="2473" t="s">
        <v>1329</v>
      </c>
      <c r="D1847" s="3622">
        <v>552655000</v>
      </c>
      <c r="E1847" s="4039">
        <v>547350000</v>
      </c>
      <c r="F1847" s="2690">
        <f t="shared" ref="F1847" si="107">E1847/D1847*100</f>
        <v>99.040088301019622</v>
      </c>
      <c r="G1847" s="2690">
        <v>100</v>
      </c>
      <c r="H1847" s="1463"/>
      <c r="J1847" s="536"/>
      <c r="K1847" s="536"/>
    </row>
    <row r="1848" spans="1:11" s="20" customFormat="1" ht="7.5" hidden="1" customHeight="1" x14ac:dyDescent="0.25">
      <c r="A1848" s="963"/>
      <c r="B1848" s="444"/>
      <c r="C1848" s="2494"/>
      <c r="D1848" s="3704"/>
      <c r="E1848" s="2685"/>
      <c r="F1848" s="2690"/>
      <c r="G1848" s="3035"/>
      <c r="H1848" s="1463"/>
      <c r="J1848" s="536"/>
      <c r="K1848" s="536"/>
    </row>
    <row r="1849" spans="1:11" s="20" customFormat="1" ht="18" customHeight="1" x14ac:dyDescent="0.25">
      <c r="A1849" s="963"/>
      <c r="B1849" s="441"/>
      <c r="C1849" s="2491" t="s">
        <v>1330</v>
      </c>
      <c r="D1849" s="4159">
        <f>D1850</f>
        <v>2028604100</v>
      </c>
      <c r="E1849" s="2679">
        <f>E1850</f>
        <v>2028604100</v>
      </c>
      <c r="F1849" s="2966">
        <f>E1849/D1849*100</f>
        <v>100</v>
      </c>
      <c r="G1849" s="2695">
        <f>G1850</f>
        <v>100</v>
      </c>
      <c r="H1849" s="1463"/>
      <c r="J1849" s="536"/>
      <c r="K1849" s="536"/>
    </row>
    <row r="1850" spans="1:11" s="20" customFormat="1" ht="16.5" hidden="1" customHeight="1" x14ac:dyDescent="0.25">
      <c r="A1850" s="963"/>
      <c r="B1850" s="441"/>
      <c r="C1850" s="2473" t="s">
        <v>1331</v>
      </c>
      <c r="D1850" s="3622">
        <v>2028604100</v>
      </c>
      <c r="E1850" s="4039">
        <v>2028604100</v>
      </c>
      <c r="F1850" s="2690">
        <f t="shared" ref="F1850" si="108">E1850/D1850*100</f>
        <v>100</v>
      </c>
      <c r="G1850" s="2685">
        <v>100</v>
      </c>
      <c r="H1850" s="1463"/>
      <c r="J1850" s="536"/>
      <c r="K1850" s="536"/>
    </row>
    <row r="1851" spans="1:11" s="20" customFormat="1" ht="12" hidden="1" customHeight="1" x14ac:dyDescent="0.25">
      <c r="A1851" s="963"/>
      <c r="B1851" s="441"/>
      <c r="C1851" s="2518"/>
      <c r="D1851" s="4276"/>
      <c r="E1851" s="2690"/>
      <c r="F1851" s="2710"/>
      <c r="G1851" s="2778"/>
      <c r="H1851" s="1463"/>
      <c r="J1851" s="536"/>
      <c r="K1851" s="536"/>
    </row>
    <row r="1852" spans="1:11" s="20" customFormat="1" ht="15.75" customHeight="1" x14ac:dyDescent="0.25">
      <c r="A1852" s="963"/>
      <c r="B1852" s="440"/>
      <c r="C1852" s="2497" t="s">
        <v>3498</v>
      </c>
      <c r="D1852" s="4080">
        <f>D1853+D1856+D1859+D1863+D1866</f>
        <v>31348490288</v>
      </c>
      <c r="E1852" s="2786">
        <f>E1853+E1856+E1859+E1863+E1866</f>
        <v>28666996662</v>
      </c>
      <c r="F1852" s="2719">
        <f>E1852/D1852*100</f>
        <v>91.446179381000505</v>
      </c>
      <c r="G1852" s="2719">
        <f>SUM(G1853+G1856+G1859+G1863+G1866)/5</f>
        <v>93.171999999999997</v>
      </c>
      <c r="H1852" s="1463"/>
      <c r="J1852" s="536"/>
      <c r="K1852" s="536"/>
    </row>
    <row r="1853" spans="1:11" s="20" customFormat="1" ht="16.5" customHeight="1" x14ac:dyDescent="0.25">
      <c r="A1853" s="963"/>
      <c r="B1853" s="441"/>
      <c r="C1853" s="2482" t="s">
        <v>1332</v>
      </c>
      <c r="D1853" s="4280">
        <f>D1854</f>
        <v>7868999964</v>
      </c>
      <c r="E1853" s="2722">
        <f>E1854</f>
        <v>7336071300</v>
      </c>
      <c r="F1853" s="2966">
        <f>E1853/D1853*100</f>
        <v>93.227491848543622</v>
      </c>
      <c r="G1853" s="2725">
        <f>G1854</f>
        <v>100</v>
      </c>
      <c r="H1853" s="1463"/>
      <c r="J1853" s="536"/>
      <c r="K1853" s="536"/>
    </row>
    <row r="1854" spans="1:11" s="20" customFormat="1" ht="16.5" hidden="1" customHeight="1" x14ac:dyDescent="0.25">
      <c r="A1854" s="963"/>
      <c r="B1854" s="441"/>
      <c r="C1854" s="2473" t="s">
        <v>1333</v>
      </c>
      <c r="D1854" s="3622">
        <v>7868999964</v>
      </c>
      <c r="E1854" s="2758">
        <v>7336071300</v>
      </c>
      <c r="F1854" s="2690">
        <f t="shared" ref="F1854" si="109">E1854/D1854*100</f>
        <v>93.227491848543622</v>
      </c>
      <c r="G1854" s="2685">
        <v>100</v>
      </c>
      <c r="H1854" s="1463"/>
      <c r="J1854" s="536"/>
      <c r="K1854" s="536"/>
    </row>
    <row r="1855" spans="1:11" s="20" customFormat="1" ht="9.75" hidden="1" customHeight="1" x14ac:dyDescent="0.25">
      <c r="A1855" s="963"/>
      <c r="B1855" s="441"/>
      <c r="C1855" s="2494"/>
      <c r="D1855" s="3704"/>
      <c r="E1855" s="2690"/>
      <c r="F1855" s="2690"/>
      <c r="G1855" s="2690"/>
      <c r="H1855" s="1463"/>
      <c r="J1855" s="536"/>
      <c r="K1855" s="536"/>
    </row>
    <row r="1856" spans="1:11" s="20" customFormat="1" ht="18" customHeight="1" x14ac:dyDescent="0.25">
      <c r="A1856" s="963"/>
      <c r="B1856" s="441"/>
      <c r="C1856" s="2491" t="s">
        <v>1334</v>
      </c>
      <c r="D1856" s="4280">
        <f>D1857</f>
        <v>14338290332</v>
      </c>
      <c r="E1856" s="2722">
        <f>E1857</f>
        <v>13827000000</v>
      </c>
      <c r="F1856" s="2966">
        <f>E1856/D1856*100</f>
        <v>96.434091372393894</v>
      </c>
      <c r="G1856" s="2679">
        <f>G1857</f>
        <v>100</v>
      </c>
      <c r="H1856" s="1463"/>
      <c r="J1856" s="536"/>
      <c r="K1856" s="536"/>
    </row>
    <row r="1857" spans="1:11" s="20" customFormat="1" ht="17.25" hidden="1" customHeight="1" x14ac:dyDescent="0.25">
      <c r="A1857" s="963"/>
      <c r="B1857" s="441"/>
      <c r="C1857" s="2494" t="s">
        <v>1335</v>
      </c>
      <c r="D1857" s="4066">
        <v>14338290332</v>
      </c>
      <c r="E1857" s="2685">
        <v>13827000000</v>
      </c>
      <c r="F1857" s="2690">
        <f t="shared" ref="F1857" si="110">E1857/D1857*100</f>
        <v>96.434091372393894</v>
      </c>
      <c r="G1857" s="2685">
        <v>100</v>
      </c>
      <c r="H1857" s="1463"/>
      <c r="J1857" s="536"/>
      <c r="K1857" s="536"/>
    </row>
    <row r="1858" spans="1:11" s="20" customFormat="1" ht="9.75" hidden="1" customHeight="1" x14ac:dyDescent="0.25">
      <c r="A1858" s="963"/>
      <c r="B1858" s="441"/>
      <c r="C1858" s="2495"/>
      <c r="D1858" s="4286"/>
      <c r="E1858" s="2708"/>
      <c r="F1858" s="2708"/>
      <c r="G1858" s="2708"/>
      <c r="H1858" s="1463"/>
      <c r="J1858" s="536"/>
      <c r="K1858" s="536"/>
    </row>
    <row r="1859" spans="1:11" s="20" customFormat="1" ht="16.5" customHeight="1" x14ac:dyDescent="0.25">
      <c r="A1859" s="963"/>
      <c r="B1859" s="441"/>
      <c r="C1859" s="2491" t="s">
        <v>1336</v>
      </c>
      <c r="D1859" s="4159">
        <f>SUM(D1860:D1861)</f>
        <v>4881199992</v>
      </c>
      <c r="E1859" s="2813">
        <f>SUM(E1860:E1861)</f>
        <v>4527200000</v>
      </c>
      <c r="F1859" s="2966">
        <f>E1859/D1859*100</f>
        <v>92.747685147500917</v>
      </c>
      <c r="G1859" s="2679">
        <f>SUM(G1860:G1861)/2</f>
        <v>100</v>
      </c>
      <c r="H1859" s="1463"/>
      <c r="J1859" s="536"/>
      <c r="K1859" s="536"/>
    </row>
    <row r="1860" spans="1:11" s="20" customFormat="1" ht="14.25" hidden="1" customHeight="1" x14ac:dyDescent="0.25">
      <c r="A1860" s="963"/>
      <c r="B1860" s="441"/>
      <c r="C1860" s="2524" t="s">
        <v>1337</v>
      </c>
      <c r="D1860" s="4066">
        <v>4499700000</v>
      </c>
      <c r="E1860" s="2685">
        <v>4149900000</v>
      </c>
      <c r="F1860" s="2690">
        <f t="shared" ref="F1860:F1861" si="111">E1860/D1860*100</f>
        <v>92.226148409893995</v>
      </c>
      <c r="G1860" s="2685">
        <v>100</v>
      </c>
      <c r="H1860" s="1463"/>
      <c r="J1860" s="536"/>
      <c r="K1860" s="536"/>
    </row>
    <row r="1861" spans="1:11" s="20" customFormat="1" ht="17.25" hidden="1" customHeight="1" x14ac:dyDescent="0.25">
      <c r="A1861" s="963"/>
      <c r="B1861" s="441"/>
      <c r="C1861" s="2524" t="s">
        <v>1338</v>
      </c>
      <c r="D1861" s="4066">
        <v>381499992</v>
      </c>
      <c r="E1861" s="2685">
        <v>377300000</v>
      </c>
      <c r="F1861" s="2690">
        <f t="shared" si="111"/>
        <v>98.899084642706896</v>
      </c>
      <c r="G1861" s="2685">
        <v>100</v>
      </c>
      <c r="H1861" s="1463"/>
      <c r="J1861" s="536"/>
      <c r="K1861" s="536"/>
    </row>
    <row r="1862" spans="1:11" s="20" customFormat="1" ht="8.25" hidden="1" customHeight="1" x14ac:dyDescent="0.25">
      <c r="A1862" s="963"/>
      <c r="B1862" s="441"/>
      <c r="C1862" s="2524"/>
      <c r="D1862" s="4066"/>
      <c r="E1862" s="2685"/>
      <c r="F1862" s="2685"/>
      <c r="G1862" s="2685"/>
      <c r="H1862" s="1463"/>
      <c r="J1862" s="536"/>
      <c r="K1862" s="536"/>
    </row>
    <row r="1863" spans="1:11" s="20" customFormat="1" ht="17.25" customHeight="1" x14ac:dyDescent="0.25">
      <c r="A1863" s="963"/>
      <c r="B1863" s="441"/>
      <c r="C1863" s="2525" t="s">
        <v>1339</v>
      </c>
      <c r="D1863" s="4297">
        <f>D1864</f>
        <v>3750000000</v>
      </c>
      <c r="E1863" s="4040">
        <f>E1864</f>
        <v>2469725362</v>
      </c>
      <c r="F1863" s="2966">
        <f>E1863/D1863*100</f>
        <v>65.859342986666675</v>
      </c>
      <c r="G1863" s="2679">
        <f>G1864</f>
        <v>65.86</v>
      </c>
      <c r="H1863" s="1463"/>
      <c r="J1863" s="536"/>
      <c r="K1863" s="536"/>
    </row>
    <row r="1864" spans="1:11" s="20" customFormat="1" ht="15" hidden="1" customHeight="1" x14ac:dyDescent="0.25">
      <c r="A1864" s="963"/>
      <c r="B1864" s="441"/>
      <c r="C1864" s="2473" t="s">
        <v>1340</v>
      </c>
      <c r="D1864" s="4066">
        <v>3750000000</v>
      </c>
      <c r="E1864" s="2685">
        <v>2469725362</v>
      </c>
      <c r="F1864" s="2690">
        <f>E1864/D1864*100</f>
        <v>65.859342986666675</v>
      </c>
      <c r="G1864" s="2685">
        <v>65.86</v>
      </c>
      <c r="H1864" s="1463"/>
      <c r="J1864" s="536"/>
      <c r="K1864" s="536"/>
    </row>
    <row r="1865" spans="1:11" s="20" customFormat="1" ht="9.75" hidden="1" customHeight="1" x14ac:dyDescent="0.25">
      <c r="A1865" s="963"/>
      <c r="B1865" s="441"/>
      <c r="C1865" s="2476"/>
      <c r="D1865" s="4301"/>
      <c r="E1865" s="2830"/>
      <c r="F1865" s="2830"/>
      <c r="G1865" s="2830"/>
      <c r="H1865" s="1463"/>
      <c r="J1865" s="536"/>
      <c r="K1865" s="536"/>
    </row>
    <row r="1866" spans="1:11" s="20" customFormat="1" ht="17.25" customHeight="1" x14ac:dyDescent="0.25">
      <c r="A1866" s="963"/>
      <c r="B1866" s="441"/>
      <c r="C1866" s="2477" t="s">
        <v>1341</v>
      </c>
      <c r="D1866" s="4065">
        <f>D1867</f>
        <v>510000000</v>
      </c>
      <c r="E1866" s="3116">
        <f>E1867</f>
        <v>507000000</v>
      </c>
      <c r="F1866" s="2966">
        <f>E1866/D1866*100</f>
        <v>99.411764705882348</v>
      </c>
      <c r="G1866" s="2679">
        <f>G1867</f>
        <v>100</v>
      </c>
      <c r="H1866" s="1463"/>
      <c r="J1866" s="536"/>
      <c r="K1866" s="536"/>
    </row>
    <row r="1867" spans="1:11" s="20" customFormat="1" ht="16.5" hidden="1" customHeight="1" x14ac:dyDescent="0.25">
      <c r="A1867" s="963"/>
      <c r="B1867" s="441"/>
      <c r="C1867" s="2476" t="s">
        <v>1342</v>
      </c>
      <c r="D1867" s="4066">
        <v>510000000</v>
      </c>
      <c r="E1867" s="2685">
        <v>507000000</v>
      </c>
      <c r="F1867" s="2690">
        <f t="shared" ref="F1867" si="112">E1867/D1867*100</f>
        <v>99.411764705882348</v>
      </c>
      <c r="G1867" s="2685">
        <v>100</v>
      </c>
      <c r="H1867" s="1463"/>
      <c r="J1867" s="536"/>
      <c r="K1867" s="536"/>
    </row>
    <row r="1868" spans="1:11" s="20" customFormat="1" ht="14.25" hidden="1" customHeight="1" x14ac:dyDescent="0.25">
      <c r="A1868" s="963"/>
      <c r="B1868" s="441"/>
      <c r="C1868" s="2476"/>
      <c r="D1868" s="4299"/>
      <c r="E1868" s="2784"/>
      <c r="F1868" s="2784"/>
      <c r="G1868" s="2784"/>
      <c r="H1868" s="1463"/>
      <c r="J1868" s="536"/>
      <c r="K1868" s="536"/>
    </row>
    <row r="1869" spans="1:11" s="20" customFormat="1" ht="21" customHeight="1" x14ac:dyDescent="0.25">
      <c r="A1869" s="963"/>
      <c r="B1869" s="440"/>
      <c r="C1869" s="2532" t="s">
        <v>3499</v>
      </c>
      <c r="D1869" s="4106">
        <f>D1870</f>
        <v>1655000000</v>
      </c>
      <c r="E1869" s="4041">
        <f>E1870</f>
        <v>1584384000</v>
      </c>
      <c r="F1869" s="2719">
        <f>E1869/D1869*100</f>
        <v>95.733172205438066</v>
      </c>
      <c r="G1869" s="2719">
        <f>G1870</f>
        <v>100</v>
      </c>
      <c r="H1869" s="1463"/>
      <c r="J1869" s="536"/>
      <c r="K1869" s="536"/>
    </row>
    <row r="1870" spans="1:11" s="20" customFormat="1" ht="17.25" customHeight="1" x14ac:dyDescent="0.25">
      <c r="A1870" s="963"/>
      <c r="B1870" s="441"/>
      <c r="C1870" s="2555" t="s">
        <v>1343</v>
      </c>
      <c r="D1870" s="4072">
        <f>D1871</f>
        <v>1655000000</v>
      </c>
      <c r="E1870" s="4042">
        <f>E1871</f>
        <v>1584384000</v>
      </c>
      <c r="F1870" s="2966">
        <f>E1870/D1870*100</f>
        <v>95.733172205438066</v>
      </c>
      <c r="G1870" s="2725">
        <f>G1871</f>
        <v>100</v>
      </c>
      <c r="H1870" s="1463"/>
      <c r="J1870" s="536"/>
      <c r="K1870" s="536"/>
    </row>
    <row r="1871" spans="1:11" s="20" customFormat="1" ht="18" hidden="1" customHeight="1" x14ac:dyDescent="0.25">
      <c r="A1871" s="963"/>
      <c r="B1871" s="441"/>
      <c r="C1871" s="2524" t="s">
        <v>1344</v>
      </c>
      <c r="D1871" s="4066">
        <v>1655000000</v>
      </c>
      <c r="E1871" s="2685">
        <v>1584384000</v>
      </c>
      <c r="F1871" s="2690">
        <f t="shared" ref="F1871" si="113">E1871/D1871*100</f>
        <v>95.733172205438066</v>
      </c>
      <c r="G1871" s="2685">
        <v>100</v>
      </c>
      <c r="H1871" s="1463"/>
      <c r="J1871" s="536"/>
      <c r="K1871" s="536"/>
    </row>
    <row r="1872" spans="1:11" ht="12" hidden="1" customHeight="1" x14ac:dyDescent="0.25">
      <c r="B1872" s="441"/>
      <c r="C1872" s="2506"/>
      <c r="D1872" s="4299"/>
      <c r="E1872" s="2784"/>
      <c r="F1872" s="2784"/>
      <c r="G1872" s="2784"/>
      <c r="H1872" s="1463"/>
    </row>
    <row r="1873" spans="2:9" ht="18" customHeight="1" x14ac:dyDescent="0.25">
      <c r="B1873" s="440"/>
      <c r="C1873" s="2497" t="s">
        <v>1345</v>
      </c>
      <c r="D1873" s="4080">
        <f>SUM(D1874+D1877+D1880)</f>
        <v>3172549000</v>
      </c>
      <c r="E1873" s="2719">
        <f>SUM(E1874+E1877+E1880)</f>
        <v>3016749000</v>
      </c>
      <c r="F1873" s="2719">
        <f>E1873/D1873*100</f>
        <v>95.089122342948841</v>
      </c>
      <c r="G1873" s="2719">
        <f>SUM(G1874+G1877+G1880)/3</f>
        <v>100</v>
      </c>
      <c r="H1873" s="1463"/>
    </row>
    <row r="1874" spans="2:9" ht="18" customHeight="1" x14ac:dyDescent="0.25">
      <c r="B1874" s="441"/>
      <c r="C1874" s="2525" t="s">
        <v>1346</v>
      </c>
      <c r="D1874" s="4297">
        <f>D1875</f>
        <v>1569300000</v>
      </c>
      <c r="E1874" s="4043">
        <f>E1875</f>
        <v>1460300000</v>
      </c>
      <c r="F1874" s="2966">
        <f>E1874/D1874*100</f>
        <v>93.054227999745109</v>
      </c>
      <c r="G1874" s="2722">
        <f>G1875</f>
        <v>100</v>
      </c>
      <c r="H1874" s="1463"/>
    </row>
    <row r="1875" spans="2:9" ht="18.75" hidden="1" customHeight="1" x14ac:dyDescent="0.25">
      <c r="B1875" s="441"/>
      <c r="C1875" s="2494" t="s">
        <v>1347</v>
      </c>
      <c r="D1875" s="3622">
        <v>1569300000</v>
      </c>
      <c r="E1875" s="2685">
        <v>1460300000</v>
      </c>
      <c r="F1875" s="2690">
        <f t="shared" ref="F1875" si="114">E1875/D1875*100</f>
        <v>93.054227999745109</v>
      </c>
      <c r="G1875" s="2685">
        <v>100</v>
      </c>
      <c r="H1875" s="1463"/>
    </row>
    <row r="1876" spans="2:9" ht="15" hidden="1" customHeight="1" x14ac:dyDescent="0.25">
      <c r="B1876" s="441"/>
      <c r="C1876" s="2556"/>
      <c r="D1876" s="3704"/>
      <c r="E1876" s="2685"/>
      <c r="F1876" s="2685"/>
      <c r="G1876" s="2685"/>
      <c r="H1876" s="1463"/>
    </row>
    <row r="1877" spans="2:9" ht="15.75" customHeight="1" x14ac:dyDescent="0.25">
      <c r="B1877" s="441"/>
      <c r="C1877" s="2525" t="s">
        <v>1348</v>
      </c>
      <c r="D1877" s="4159">
        <f>D1878</f>
        <v>218349000</v>
      </c>
      <c r="E1877" s="2679">
        <f>E1878</f>
        <v>218349000</v>
      </c>
      <c r="F1877" s="2966">
        <f>E1877/D1877*100</f>
        <v>100</v>
      </c>
      <c r="G1877" s="2679">
        <f>G1878</f>
        <v>100</v>
      </c>
      <c r="H1877" s="3721"/>
      <c r="I1877" s="543">
        <f>I1878</f>
        <v>0</v>
      </c>
    </row>
    <row r="1878" spans="2:9" ht="17.25" hidden="1" customHeight="1" x14ac:dyDescent="0.25">
      <c r="B1878" s="441"/>
      <c r="C1878" s="2524" t="s">
        <v>1349</v>
      </c>
      <c r="D1878" s="3622">
        <v>218349000</v>
      </c>
      <c r="E1878" s="4044">
        <v>218349000</v>
      </c>
      <c r="F1878" s="2690">
        <f t="shared" ref="F1878" si="115">E1878/D1878*100</f>
        <v>100</v>
      </c>
      <c r="G1878" s="2685">
        <v>100</v>
      </c>
      <c r="H1878" s="1463"/>
    </row>
    <row r="1879" spans="2:9" ht="9.75" hidden="1" customHeight="1" x14ac:dyDescent="0.25">
      <c r="B1879" s="441"/>
      <c r="C1879" s="2506"/>
      <c r="D1879" s="3704"/>
      <c r="E1879" s="2685"/>
      <c r="F1879" s="2685"/>
      <c r="G1879" s="2685"/>
      <c r="H1879" s="1463"/>
    </row>
    <row r="1880" spans="2:9" ht="16.5" customHeight="1" x14ac:dyDescent="0.25">
      <c r="B1880" s="441"/>
      <c r="C1880" s="2525" t="s">
        <v>1350</v>
      </c>
      <c r="D1880" s="4280">
        <f>SUM(D1881:D1882)</f>
        <v>1384900000</v>
      </c>
      <c r="E1880" s="2801">
        <f>SUM(E1881:E1882)</f>
        <v>1338100000</v>
      </c>
      <c r="F1880" s="2966">
        <f>E1880/D1880*100</f>
        <v>96.620694634991693</v>
      </c>
      <c r="G1880" s="2679">
        <f>SUM(G1881:G1882)/2</f>
        <v>100</v>
      </c>
      <c r="H1880" s="1463"/>
    </row>
    <row r="1881" spans="2:9" ht="16.5" hidden="1" customHeight="1" x14ac:dyDescent="0.25">
      <c r="B1881" s="441"/>
      <c r="C1881" s="2524" t="s">
        <v>1351</v>
      </c>
      <c r="D1881" s="4066">
        <v>609900000</v>
      </c>
      <c r="E1881" s="2685">
        <v>587400000</v>
      </c>
      <c r="F1881" s="2690">
        <f t="shared" ref="F1881:F1882" si="116">E1881/D1881*100</f>
        <v>96.310870634530261</v>
      </c>
      <c r="G1881" s="2685">
        <v>100</v>
      </c>
      <c r="H1881" s="1463"/>
    </row>
    <row r="1882" spans="2:9" ht="18" hidden="1" customHeight="1" x14ac:dyDescent="0.25">
      <c r="B1882" s="441"/>
      <c r="C1882" s="2524" t="s">
        <v>1352</v>
      </c>
      <c r="D1882" s="4066">
        <v>775000000</v>
      </c>
      <c r="E1882" s="2685">
        <v>750700000</v>
      </c>
      <c r="F1882" s="2690">
        <f t="shared" si="116"/>
        <v>96.864516129032268</v>
      </c>
      <c r="G1882" s="2685">
        <v>100</v>
      </c>
      <c r="H1882" s="1463"/>
    </row>
    <row r="1883" spans="2:9" ht="12" hidden="1" customHeight="1" x14ac:dyDescent="0.25">
      <c r="B1883" s="441"/>
      <c r="C1883" s="2506"/>
      <c r="D1883" s="4276"/>
      <c r="E1883" s="3035"/>
      <c r="F1883" s="3035"/>
      <c r="G1883" s="3035"/>
      <c r="H1883" s="1463"/>
    </row>
    <row r="1884" spans="2:9" ht="18" customHeight="1" x14ac:dyDescent="0.25">
      <c r="B1884" s="440"/>
      <c r="C1884" s="2532" t="s">
        <v>3500</v>
      </c>
      <c r="D1884" s="4106">
        <f>D1885</f>
        <v>331390000</v>
      </c>
      <c r="E1884" s="2672">
        <f>E1885</f>
        <v>322111000</v>
      </c>
      <c r="F1884" s="2719">
        <f>E1884/D1884*100</f>
        <v>97.199975859259482</v>
      </c>
      <c r="G1884" s="2672">
        <f>G1885</f>
        <v>97.720000000000013</v>
      </c>
      <c r="H1884" s="1463"/>
    </row>
    <row r="1885" spans="2:9" ht="19.5" customHeight="1" x14ac:dyDescent="0.25">
      <c r="B1885" s="441"/>
      <c r="C1885" s="2557" t="s">
        <v>1353</v>
      </c>
      <c r="D1885" s="4311">
        <f>SUM(D1886:D1888)</f>
        <v>331390000</v>
      </c>
      <c r="E1885" s="2824">
        <f>SUM(E1886:E1888)</f>
        <v>322111000</v>
      </c>
      <c r="F1885" s="2966">
        <f>E1885/D1885*100</f>
        <v>97.199975859259482</v>
      </c>
      <c r="G1885" s="2824">
        <f>SUM(G1886:G1888)/3</f>
        <v>97.720000000000013</v>
      </c>
      <c r="H1885" s="1463"/>
    </row>
    <row r="1886" spans="2:9" ht="28.5" hidden="1" customHeight="1" x14ac:dyDescent="0.25">
      <c r="B1886" s="441"/>
      <c r="C1886" s="2524" t="s">
        <v>1354</v>
      </c>
      <c r="D1886" s="3622">
        <v>101650000</v>
      </c>
      <c r="E1886" s="4039">
        <v>101650000</v>
      </c>
      <c r="F1886" s="2690">
        <f t="shared" ref="F1886:F1888" si="117">E1886/D1886*100</f>
        <v>100</v>
      </c>
      <c r="G1886" s="2690">
        <v>100</v>
      </c>
      <c r="H1886" s="1463"/>
    </row>
    <row r="1887" spans="2:9" ht="31.5" hidden="1" customHeight="1" x14ac:dyDescent="0.25">
      <c r="B1887" s="441"/>
      <c r="C1887" s="2526" t="s">
        <v>1355</v>
      </c>
      <c r="D1887" s="4007">
        <v>93100000</v>
      </c>
      <c r="E1887" s="4045">
        <v>92971000</v>
      </c>
      <c r="F1887" s="2690">
        <f t="shared" si="117"/>
        <v>99.861439312567128</v>
      </c>
      <c r="G1887" s="2752">
        <v>99.86</v>
      </c>
      <c r="H1887" s="1463"/>
    </row>
    <row r="1888" spans="2:9" ht="14.25" hidden="1" customHeight="1" x14ac:dyDescent="0.25">
      <c r="B1888" s="441"/>
      <c r="C1888" s="2524" t="s">
        <v>1356</v>
      </c>
      <c r="D1888" s="3622">
        <v>136640000</v>
      </c>
      <c r="E1888" s="4039">
        <v>127490000</v>
      </c>
      <c r="F1888" s="2690">
        <f t="shared" si="117"/>
        <v>93.303571428571431</v>
      </c>
      <c r="G1888" s="2690">
        <v>93.3</v>
      </c>
      <c r="H1888" s="1463"/>
    </row>
    <row r="1889" spans="2:8" ht="12" hidden="1" customHeight="1" x14ac:dyDescent="0.25">
      <c r="B1889" s="441"/>
      <c r="C1889" s="2510"/>
      <c r="D1889" s="4322"/>
      <c r="E1889" s="3060"/>
      <c r="F1889" s="3060"/>
      <c r="G1889" s="3060"/>
      <c r="H1889" s="1463"/>
    </row>
    <row r="1890" spans="2:8" ht="18.75" customHeight="1" x14ac:dyDescent="0.25">
      <c r="B1890" s="440"/>
      <c r="C1890" s="2532" t="s">
        <v>3501</v>
      </c>
      <c r="D1890" s="4080">
        <f>SUM(D1891+D1894+D1897+D1915+D1906+D1911)</f>
        <v>6151755000</v>
      </c>
      <c r="E1890" s="2786">
        <f>SUM(E1891+E1894+E1897+E1915+E1906+E1911)</f>
        <v>5949904000</v>
      </c>
      <c r="F1890" s="2719">
        <f>E1890/D1890*100</f>
        <v>96.718806259352007</v>
      </c>
      <c r="G1890" s="2672">
        <f>SUM(G1891+G1894+G1897+G1906+G1911+G1915)/6</f>
        <v>94.730753968253978</v>
      </c>
      <c r="H1890" s="1463"/>
    </row>
    <row r="1891" spans="2:8" ht="21" customHeight="1" x14ac:dyDescent="0.25">
      <c r="B1891" s="441"/>
      <c r="C1891" s="2555" t="s">
        <v>1357</v>
      </c>
      <c r="D1891" s="4280">
        <f>D1892</f>
        <v>48150000</v>
      </c>
      <c r="E1891" s="3766">
        <f>E1892</f>
        <v>48040000</v>
      </c>
      <c r="F1891" s="2966">
        <f>E1891/D1891*100</f>
        <v>99.771547248182756</v>
      </c>
      <c r="G1891" s="3021">
        <f>G1892</f>
        <v>99.77</v>
      </c>
      <c r="H1891" s="1463"/>
    </row>
    <row r="1892" spans="2:8" ht="15.75" hidden="1" customHeight="1" x14ac:dyDescent="0.25">
      <c r="B1892" s="441"/>
      <c r="C1892" s="2524" t="s">
        <v>1358</v>
      </c>
      <c r="D1892" s="4066">
        <v>48150000</v>
      </c>
      <c r="E1892" s="2968">
        <v>48040000</v>
      </c>
      <c r="F1892" s="2690">
        <f t="shared" ref="F1892" si="118">E1892/D1892*100</f>
        <v>99.771547248182756</v>
      </c>
      <c r="G1892" s="2968">
        <v>99.77</v>
      </c>
      <c r="H1892" s="1463"/>
    </row>
    <row r="1893" spans="2:8" ht="9.75" hidden="1" customHeight="1" x14ac:dyDescent="0.25">
      <c r="B1893" s="441"/>
      <c r="C1893" s="2527"/>
      <c r="D1893" s="4276"/>
      <c r="E1893" s="3035"/>
      <c r="F1893" s="3035"/>
      <c r="G1893" s="3035"/>
      <c r="H1893" s="1463"/>
    </row>
    <row r="1894" spans="2:8" ht="16.5" customHeight="1" x14ac:dyDescent="0.25">
      <c r="B1894" s="441"/>
      <c r="C1894" s="2474" t="s">
        <v>1359</v>
      </c>
      <c r="D1894" s="4280">
        <f>D1895</f>
        <v>203203000</v>
      </c>
      <c r="E1894" s="3766">
        <f>E1895</f>
        <v>196000000</v>
      </c>
      <c r="F1894" s="2966">
        <f>E1894/D1894*100</f>
        <v>96.455268869061968</v>
      </c>
      <c r="G1894" s="2695">
        <f>G1895</f>
        <v>96.46</v>
      </c>
      <c r="H1894" s="1463"/>
    </row>
    <row r="1895" spans="2:8" ht="14.25" hidden="1" customHeight="1" x14ac:dyDescent="0.25">
      <c r="B1895" s="441"/>
      <c r="C1895" s="2524" t="s">
        <v>1360</v>
      </c>
      <c r="D1895" s="4066">
        <v>203203000</v>
      </c>
      <c r="E1895" s="4046">
        <v>196000000</v>
      </c>
      <c r="F1895" s="2690">
        <f t="shared" ref="F1895" si="119">E1895/D1895*100</f>
        <v>96.455268869061968</v>
      </c>
      <c r="G1895" s="2690">
        <v>96.46</v>
      </c>
      <c r="H1895" s="1463"/>
    </row>
    <row r="1896" spans="2:8" ht="9.75" hidden="1" customHeight="1" x14ac:dyDescent="0.25">
      <c r="B1896" s="441"/>
      <c r="C1896" s="3634"/>
      <c r="D1896" s="4299"/>
      <c r="E1896" s="3035"/>
      <c r="F1896" s="3035"/>
      <c r="G1896" s="3035"/>
      <c r="H1896" s="1463"/>
    </row>
    <row r="1897" spans="2:8" ht="17.25" customHeight="1" x14ac:dyDescent="0.25">
      <c r="B1897" s="441"/>
      <c r="C1897" s="2472" t="s">
        <v>1361</v>
      </c>
      <c r="D1897" s="4159">
        <f>SUM(D1898:D1904)</f>
        <v>4691570000</v>
      </c>
      <c r="E1897" s="2813">
        <f>SUM(E1898:E1904)</f>
        <v>4588270000</v>
      </c>
      <c r="F1897" s="2966">
        <f>E1897/D1897*100</f>
        <v>97.798178434937554</v>
      </c>
      <c r="G1897" s="2966">
        <f>SUM(G1898:G1904)/7</f>
        <v>98.632857142857148</v>
      </c>
      <c r="H1897" s="1463"/>
    </row>
    <row r="1898" spans="2:8" ht="17.25" hidden="1" customHeight="1" x14ac:dyDescent="0.25">
      <c r="B1898" s="441"/>
      <c r="C1898" s="2524" t="s">
        <v>1362</v>
      </c>
      <c r="D1898" s="4066">
        <v>124650000</v>
      </c>
      <c r="E1898" s="2968">
        <v>124650000</v>
      </c>
      <c r="F1898" s="2690">
        <f t="shared" ref="F1898:F1904" si="120">E1898/D1898*100</f>
        <v>100</v>
      </c>
      <c r="G1898" s="2968">
        <v>100</v>
      </c>
      <c r="H1898" s="1463"/>
    </row>
    <row r="1899" spans="2:8" ht="17.25" hidden="1" customHeight="1" x14ac:dyDescent="0.25">
      <c r="B1899" s="441"/>
      <c r="C1899" s="2529" t="s">
        <v>1363</v>
      </c>
      <c r="D1899" s="4301">
        <v>421200000</v>
      </c>
      <c r="E1899" s="2690">
        <v>414550000</v>
      </c>
      <c r="F1899" s="2690">
        <f t="shared" si="120"/>
        <v>98.421177587844255</v>
      </c>
      <c r="G1899" s="2690">
        <v>98.42</v>
      </c>
      <c r="H1899" s="1463"/>
    </row>
    <row r="1900" spans="2:8" ht="15.75" hidden="1" customHeight="1" x14ac:dyDescent="0.25">
      <c r="B1900" s="441"/>
      <c r="C1900" s="3737" t="s">
        <v>1364</v>
      </c>
      <c r="D1900" s="3637">
        <v>640000000</v>
      </c>
      <c r="E1900" s="2968">
        <v>636000000</v>
      </c>
      <c r="F1900" s="2690">
        <f t="shared" si="120"/>
        <v>99.375</v>
      </c>
      <c r="G1900" s="2968">
        <v>99.38</v>
      </c>
      <c r="H1900" s="1463"/>
    </row>
    <row r="1901" spans="2:8" ht="18.75" hidden="1" customHeight="1" x14ac:dyDescent="0.25">
      <c r="B1901" s="441"/>
      <c r="C1901" s="2529" t="s">
        <v>1365</v>
      </c>
      <c r="D1901" s="4290">
        <v>412300000</v>
      </c>
      <c r="E1901" s="2690">
        <v>410250000</v>
      </c>
      <c r="F1901" s="2690">
        <f t="shared" si="120"/>
        <v>99.502789231142373</v>
      </c>
      <c r="G1901" s="2690">
        <v>99.5</v>
      </c>
      <c r="H1901" s="1463"/>
    </row>
    <row r="1902" spans="2:8" ht="15.75" hidden="1" customHeight="1" x14ac:dyDescent="0.25">
      <c r="B1902" s="441"/>
      <c r="C1902" s="2529" t="s">
        <v>1366</v>
      </c>
      <c r="D1902" s="3704">
        <v>1773820000</v>
      </c>
      <c r="E1902" s="2690">
        <v>1688320000</v>
      </c>
      <c r="F1902" s="2690">
        <f t="shared" si="120"/>
        <v>95.179894239550805</v>
      </c>
      <c r="G1902" s="2690">
        <v>95.18</v>
      </c>
      <c r="H1902" s="1463"/>
    </row>
    <row r="1903" spans="2:8" ht="15" hidden="1" customHeight="1" x14ac:dyDescent="0.25">
      <c r="B1903" s="441"/>
      <c r="C1903" s="2529" t="s">
        <v>1367</v>
      </c>
      <c r="D1903" s="3704">
        <v>1088300000</v>
      </c>
      <c r="E1903" s="2690">
        <v>1087850000</v>
      </c>
      <c r="F1903" s="2690">
        <f t="shared" si="120"/>
        <v>99.958651107231461</v>
      </c>
      <c r="G1903" s="2690">
        <v>99.96</v>
      </c>
      <c r="H1903" s="1463"/>
    </row>
    <row r="1904" spans="2:8" ht="17.25" hidden="1" customHeight="1" x14ac:dyDescent="0.25">
      <c r="B1904" s="441"/>
      <c r="C1904" s="2529" t="s">
        <v>1368</v>
      </c>
      <c r="D1904" s="3704">
        <v>231300000</v>
      </c>
      <c r="E1904" s="2690">
        <v>226650000</v>
      </c>
      <c r="F1904" s="2690">
        <f t="shared" si="120"/>
        <v>97.989623865110246</v>
      </c>
      <c r="G1904" s="2690">
        <v>97.99</v>
      </c>
      <c r="H1904" s="1463"/>
    </row>
    <row r="1905" spans="2:8" ht="9" hidden="1" customHeight="1" x14ac:dyDescent="0.25">
      <c r="B1905" s="441"/>
      <c r="C1905" s="3634"/>
      <c r="D1905" s="3704"/>
      <c r="E1905" s="3035"/>
      <c r="F1905" s="3035"/>
      <c r="G1905" s="3035"/>
      <c r="H1905" s="1463"/>
    </row>
    <row r="1906" spans="2:8" ht="16.5" customHeight="1" x14ac:dyDescent="0.25">
      <c r="B1906" s="441"/>
      <c r="C1906" s="2538" t="s">
        <v>1369</v>
      </c>
      <c r="D1906" s="4159">
        <f>SUM(D1907:D1909)</f>
        <v>476935000</v>
      </c>
      <c r="E1906" s="2813">
        <f>SUM(E1907:E1909)</f>
        <v>461497000</v>
      </c>
      <c r="F1906" s="2966">
        <f>E1906/D1906*100</f>
        <v>96.763080922976926</v>
      </c>
      <c r="G1906" s="2695">
        <f>SUM(G1907:G1909)/3</f>
        <v>95.606666666666669</v>
      </c>
      <c r="H1906" s="1463"/>
    </row>
    <row r="1907" spans="2:8" ht="15" hidden="1" customHeight="1" x14ac:dyDescent="0.25">
      <c r="B1907" s="441"/>
      <c r="C1907" s="2529" t="s">
        <v>1370</v>
      </c>
      <c r="D1907" s="3704">
        <v>168250000</v>
      </c>
      <c r="E1907" s="2690">
        <v>155500000</v>
      </c>
      <c r="F1907" s="2690">
        <f t="shared" ref="F1907:F1909" si="121">E1907/D1907*100</f>
        <v>92.421991084695392</v>
      </c>
      <c r="G1907" s="2690">
        <v>92.42</v>
      </c>
      <c r="H1907" s="1463"/>
    </row>
    <row r="1908" spans="2:8" ht="18" hidden="1" customHeight="1" x14ac:dyDescent="0.25">
      <c r="B1908" s="441"/>
      <c r="C1908" s="2529" t="s">
        <v>1371</v>
      </c>
      <c r="D1908" s="3704">
        <v>264985000</v>
      </c>
      <c r="E1908" s="2690">
        <v>264695000</v>
      </c>
      <c r="F1908" s="2690">
        <f t="shared" si="121"/>
        <v>99.890559843009981</v>
      </c>
      <c r="G1908" s="2690">
        <v>99.89</v>
      </c>
      <c r="H1908" s="1463"/>
    </row>
    <row r="1909" spans="2:8" ht="27" hidden="1" customHeight="1" x14ac:dyDescent="0.25">
      <c r="B1909" s="441"/>
      <c r="C1909" s="2529" t="s">
        <v>1372</v>
      </c>
      <c r="D1909" s="3704">
        <v>43700000</v>
      </c>
      <c r="E1909" s="2690">
        <v>41302000</v>
      </c>
      <c r="F1909" s="2690">
        <f t="shared" si="121"/>
        <v>94.512585812356974</v>
      </c>
      <c r="G1909" s="2690">
        <v>94.51</v>
      </c>
      <c r="H1909" s="1463"/>
    </row>
    <row r="1910" spans="2:8" ht="9" hidden="1" customHeight="1" x14ac:dyDescent="0.25">
      <c r="B1910" s="441"/>
      <c r="C1910" s="2538"/>
      <c r="D1910" s="3704"/>
      <c r="E1910" s="3035"/>
      <c r="F1910" s="3035"/>
      <c r="G1910" s="3035"/>
      <c r="H1910" s="1463"/>
    </row>
    <row r="1911" spans="2:8" ht="18" customHeight="1" x14ac:dyDescent="0.25">
      <c r="B1911" s="441"/>
      <c r="C1911" s="2538" t="s">
        <v>1373</v>
      </c>
      <c r="D1911" s="4159">
        <f>SUM(D1912:D1913)</f>
        <v>408850000</v>
      </c>
      <c r="E1911" s="2813">
        <f>SUM(E1912:E1913)</f>
        <v>389000000</v>
      </c>
      <c r="F1911" s="2966">
        <f>E1911/D1911*100</f>
        <v>95.144918674330441</v>
      </c>
      <c r="G1911" s="2695">
        <f>SUM(G1912:G1913)/2</f>
        <v>95.234999999999999</v>
      </c>
      <c r="H1911" s="1463"/>
    </row>
    <row r="1912" spans="2:8" ht="15.75" hidden="1" customHeight="1" x14ac:dyDescent="0.25">
      <c r="B1912" s="441"/>
      <c r="C1912" s="2529" t="s">
        <v>1374</v>
      </c>
      <c r="D1912" s="3704">
        <v>200000000</v>
      </c>
      <c r="E1912" s="2690">
        <v>199000000</v>
      </c>
      <c r="F1912" s="2690">
        <f t="shared" ref="F1912:F1913" si="122">E1912/D1912*100</f>
        <v>99.5</v>
      </c>
      <c r="G1912" s="2690">
        <v>99.5</v>
      </c>
      <c r="H1912" s="1463"/>
    </row>
    <row r="1913" spans="2:8" ht="30" hidden="1" customHeight="1" x14ac:dyDescent="0.25">
      <c r="B1913" s="441"/>
      <c r="C1913" s="2529" t="s">
        <v>1375</v>
      </c>
      <c r="D1913" s="3704">
        <v>208850000</v>
      </c>
      <c r="E1913" s="2690">
        <v>190000000</v>
      </c>
      <c r="F1913" s="2690">
        <f t="shared" si="122"/>
        <v>90.974383528848463</v>
      </c>
      <c r="G1913" s="2690">
        <v>90.97</v>
      </c>
      <c r="H1913" s="1463"/>
    </row>
    <row r="1914" spans="2:8" ht="11.25" hidden="1" customHeight="1" x14ac:dyDescent="0.25">
      <c r="B1914" s="441"/>
      <c r="C1914" s="3634"/>
      <c r="D1914" s="4290"/>
      <c r="E1914" s="3035"/>
      <c r="F1914" s="3035"/>
      <c r="G1914" s="3035"/>
      <c r="H1914" s="1463"/>
    </row>
    <row r="1915" spans="2:8" ht="19.5" customHeight="1" x14ac:dyDescent="0.25">
      <c r="B1915" s="441"/>
      <c r="C1915" s="2472" t="s">
        <v>1376</v>
      </c>
      <c r="D1915" s="4159">
        <f>D1916</f>
        <v>323047000</v>
      </c>
      <c r="E1915" s="3768">
        <f>E1916</f>
        <v>267097000</v>
      </c>
      <c r="F1915" s="2966">
        <f>E1915/D1915*100</f>
        <v>82.680538745136161</v>
      </c>
      <c r="G1915" s="2695">
        <f>G1916</f>
        <v>82.68</v>
      </c>
      <c r="H1915" s="1463"/>
    </row>
    <row r="1916" spans="2:8" ht="18" hidden="1" customHeight="1" x14ac:dyDescent="0.25">
      <c r="B1916" s="441"/>
      <c r="C1916" s="2524" t="s">
        <v>1377</v>
      </c>
      <c r="D1916" s="4066">
        <v>323047000</v>
      </c>
      <c r="E1916" s="2968">
        <v>267097000</v>
      </c>
      <c r="F1916" s="2690">
        <f t="shared" ref="F1916" si="123">E1916/D1916*100</f>
        <v>82.680538745136161</v>
      </c>
      <c r="G1916" s="2968">
        <v>82.68</v>
      </c>
      <c r="H1916" s="1463"/>
    </row>
    <row r="1917" spans="2:8" ht="12" hidden="1" customHeight="1" x14ac:dyDescent="0.25">
      <c r="B1917" s="441"/>
      <c r="C1917" s="2559"/>
      <c r="D1917" s="4299"/>
      <c r="E1917" s="2784"/>
      <c r="F1917" s="2784"/>
      <c r="G1917" s="2784"/>
      <c r="H1917" s="1463"/>
    </row>
    <row r="1918" spans="2:8" ht="22.5" customHeight="1" x14ac:dyDescent="0.25">
      <c r="B1918" s="440"/>
      <c r="C1918" s="2497" t="s">
        <v>2715</v>
      </c>
      <c r="D1918" s="4080">
        <f>SUM(D1919+D1924+D1931+D1938)</f>
        <v>9013550000</v>
      </c>
      <c r="E1918" s="2786">
        <f>SUM(E1919+E1924+E1931+E1938)</f>
        <v>8766086743</v>
      </c>
      <c r="F1918" s="2719">
        <f>E1918/D1918*100</f>
        <v>97.254541695558345</v>
      </c>
      <c r="G1918" s="2672">
        <f>SUM(G1919+G1924+G1931+G1938)/4</f>
        <v>91.916666666666671</v>
      </c>
      <c r="H1918" s="1463"/>
    </row>
    <row r="1919" spans="2:8" ht="17.25" customHeight="1" x14ac:dyDescent="0.25">
      <c r="B1919" s="441"/>
      <c r="C1919" s="2482" t="s">
        <v>1378</v>
      </c>
      <c r="D1919" s="4280">
        <f>SUM(D1920:D1922)</f>
        <v>328600000</v>
      </c>
      <c r="E1919" s="2801">
        <f>SUM(E1920:E1922)</f>
        <v>264753743</v>
      </c>
      <c r="F1919" s="2966">
        <f>E1919/D1919*100</f>
        <v>80.570220024345701</v>
      </c>
      <c r="G1919" s="2734">
        <f>SUM(G1920:G1922)/3</f>
        <v>81.666666666666671</v>
      </c>
      <c r="H1919" s="1463"/>
    </row>
    <row r="1920" spans="2:8" ht="15.75" hidden="1" customHeight="1" x14ac:dyDescent="0.25">
      <c r="B1920" s="441"/>
      <c r="C1920" s="2524" t="s">
        <v>3946</v>
      </c>
      <c r="D1920" s="4066">
        <v>71200000</v>
      </c>
      <c r="E1920" s="4039">
        <v>70700000</v>
      </c>
      <c r="F1920" s="2690">
        <f t="shared" ref="F1920:F1922" si="124">E1920/D1920*100</f>
        <v>99.297752808988761</v>
      </c>
      <c r="G1920" s="2690">
        <v>100</v>
      </c>
      <c r="H1920" s="1463"/>
    </row>
    <row r="1921" spans="2:8" ht="15" hidden="1" customHeight="1" x14ac:dyDescent="0.25">
      <c r="B1921" s="441"/>
      <c r="C1921" s="2524" t="s">
        <v>1379</v>
      </c>
      <c r="D1921" s="4066">
        <v>63000000</v>
      </c>
      <c r="E1921" s="4039">
        <v>33253743</v>
      </c>
      <c r="F1921" s="2690">
        <f t="shared" si="124"/>
        <v>52.783719047619051</v>
      </c>
      <c r="G1921" s="2685">
        <v>65</v>
      </c>
      <c r="H1921" s="1463"/>
    </row>
    <row r="1922" spans="2:8" ht="15.75" hidden="1" customHeight="1" x14ac:dyDescent="0.25">
      <c r="B1922" s="441"/>
      <c r="C1922" s="2524" t="s">
        <v>1380</v>
      </c>
      <c r="D1922" s="4066">
        <v>194400000</v>
      </c>
      <c r="E1922" s="4039">
        <v>160800000</v>
      </c>
      <c r="F1922" s="2690">
        <f t="shared" si="124"/>
        <v>82.716049382716051</v>
      </c>
      <c r="G1922" s="2685">
        <v>80</v>
      </c>
      <c r="H1922" s="1463"/>
    </row>
    <row r="1923" spans="2:8" ht="10.5" hidden="1" customHeight="1" x14ac:dyDescent="0.25">
      <c r="B1923" s="441"/>
      <c r="C1923" s="2494"/>
      <c r="D1923" s="4276"/>
      <c r="E1923" s="3035"/>
      <c r="F1923" s="3035"/>
      <c r="G1923" s="3035"/>
      <c r="H1923" s="1463"/>
    </row>
    <row r="1924" spans="2:8" ht="19.5" customHeight="1" x14ac:dyDescent="0.25">
      <c r="B1924" s="441"/>
      <c r="C1924" s="2491" t="s">
        <v>1381</v>
      </c>
      <c r="D1924" s="4159">
        <f>SUM(D1925:D1929)</f>
        <v>7055500000</v>
      </c>
      <c r="E1924" s="2813">
        <f>SUM(E1925:E1929)</f>
        <v>6988023000</v>
      </c>
      <c r="F1924" s="2966">
        <f>E1924/D1924*100</f>
        <v>99.043625540358576</v>
      </c>
      <c r="G1924" s="2679">
        <f>SUM(G1925:G1929)/5</f>
        <v>100</v>
      </c>
      <c r="H1924" s="1463"/>
    </row>
    <row r="1925" spans="2:8" ht="15" hidden="1" customHeight="1" x14ac:dyDescent="0.25">
      <c r="B1925" s="441"/>
      <c r="C1925" s="2524" t="s">
        <v>1382</v>
      </c>
      <c r="D1925" s="4066">
        <v>109500000</v>
      </c>
      <c r="E1925" s="2685">
        <v>73000000</v>
      </c>
      <c r="F1925" s="2690">
        <f t="shared" ref="F1925:F1929" si="125">E1925/D1925*100</f>
        <v>66.666666666666657</v>
      </c>
      <c r="G1925" s="2685">
        <v>100</v>
      </c>
      <c r="H1925" s="1463"/>
    </row>
    <row r="1926" spans="2:8" ht="15" hidden="1" customHeight="1" x14ac:dyDescent="0.25">
      <c r="B1926" s="441"/>
      <c r="C1926" s="2524" t="s">
        <v>1383</v>
      </c>
      <c r="D1926" s="4066">
        <v>100000000</v>
      </c>
      <c r="E1926" s="2685">
        <v>99990000</v>
      </c>
      <c r="F1926" s="2690">
        <f t="shared" si="125"/>
        <v>99.99</v>
      </c>
      <c r="G1926" s="2685">
        <v>100</v>
      </c>
      <c r="H1926" s="1463"/>
    </row>
    <row r="1927" spans="2:8" ht="15.75" hidden="1" customHeight="1" x14ac:dyDescent="0.25">
      <c r="B1927" s="441"/>
      <c r="C1927" s="2524" t="s">
        <v>1384</v>
      </c>
      <c r="D1927" s="4066">
        <v>4760000000</v>
      </c>
      <c r="E1927" s="2685">
        <v>4737353000</v>
      </c>
      <c r="F1927" s="2690">
        <f t="shared" si="125"/>
        <v>99.524222689075629</v>
      </c>
      <c r="G1927" s="2685">
        <v>100</v>
      </c>
      <c r="H1927" s="1463"/>
    </row>
    <row r="1928" spans="2:8" ht="14.25" hidden="1" customHeight="1" x14ac:dyDescent="0.25">
      <c r="B1928" s="441"/>
      <c r="C1928" s="2524" t="s">
        <v>1385</v>
      </c>
      <c r="D1928" s="4066">
        <v>1906000000</v>
      </c>
      <c r="E1928" s="2685">
        <v>1898820000</v>
      </c>
      <c r="F1928" s="2690">
        <f t="shared" si="125"/>
        <v>99.623294858342078</v>
      </c>
      <c r="G1928" s="2685">
        <v>100</v>
      </c>
      <c r="H1928" s="1463"/>
    </row>
    <row r="1929" spans="2:8" ht="18" hidden="1" customHeight="1" x14ac:dyDescent="0.25">
      <c r="B1929" s="441"/>
      <c r="C1929" s="2524" t="s">
        <v>1386</v>
      </c>
      <c r="D1929" s="4066">
        <v>180000000</v>
      </c>
      <c r="E1929" s="2685">
        <v>178860000</v>
      </c>
      <c r="F1929" s="2690">
        <f t="shared" si="125"/>
        <v>99.366666666666674</v>
      </c>
      <c r="G1929" s="2685">
        <v>100</v>
      </c>
      <c r="H1929" s="1463"/>
    </row>
    <row r="1930" spans="2:8" ht="11.25" hidden="1" customHeight="1" x14ac:dyDescent="0.25">
      <c r="B1930" s="441"/>
      <c r="C1930" s="2524"/>
      <c r="D1930" s="3622"/>
      <c r="E1930" s="4039"/>
      <c r="F1930" s="2690"/>
      <c r="G1930" s="2690"/>
      <c r="H1930" s="1463"/>
    </row>
    <row r="1931" spans="2:8" ht="21" customHeight="1" x14ac:dyDescent="0.25">
      <c r="B1931" s="441"/>
      <c r="C1931" s="2525" t="s">
        <v>1387</v>
      </c>
      <c r="D1931" s="4065">
        <f>SUM(D1932:D1936)</f>
        <v>1520550000</v>
      </c>
      <c r="E1931" s="2695">
        <f>SUM(E1932:E1936)</f>
        <v>1435910000</v>
      </c>
      <c r="F1931" s="2966">
        <f>E1931/D1931*100</f>
        <v>94.433593107757062</v>
      </c>
      <c r="G1931" s="2695">
        <f>SUM(G1932:G1936)/5</f>
        <v>91</v>
      </c>
      <c r="H1931" s="1463"/>
    </row>
    <row r="1932" spans="2:8" ht="15" hidden="1" customHeight="1" x14ac:dyDescent="0.25">
      <c r="B1932" s="441"/>
      <c r="C1932" s="2524" t="s">
        <v>1388</v>
      </c>
      <c r="D1932" s="3622">
        <v>88000000</v>
      </c>
      <c r="E1932" s="2685">
        <v>88000000</v>
      </c>
      <c r="F1932" s="2690">
        <f t="shared" ref="F1932:F1936" si="126">E1932/D1932*100</f>
        <v>100</v>
      </c>
      <c r="G1932" s="2685">
        <v>100</v>
      </c>
      <c r="H1932" s="1463"/>
    </row>
    <row r="1933" spans="2:8" ht="15" hidden="1" customHeight="1" x14ac:dyDescent="0.25">
      <c r="B1933" s="441"/>
      <c r="C1933" s="2524" t="s">
        <v>1389</v>
      </c>
      <c r="D1933" s="3622">
        <v>86800000</v>
      </c>
      <c r="E1933" s="2685">
        <v>86800000</v>
      </c>
      <c r="F1933" s="2690">
        <f t="shared" si="126"/>
        <v>100</v>
      </c>
      <c r="G1933" s="2685">
        <v>100</v>
      </c>
      <c r="H1933" s="1463"/>
    </row>
    <row r="1934" spans="2:8" ht="18" hidden="1" customHeight="1" x14ac:dyDescent="0.25">
      <c r="B1934" s="441"/>
      <c r="C1934" s="2524" t="s">
        <v>1390</v>
      </c>
      <c r="D1934" s="3622">
        <v>400000000</v>
      </c>
      <c r="E1934" s="2685">
        <v>399960000</v>
      </c>
      <c r="F1934" s="2690">
        <f t="shared" si="126"/>
        <v>99.99</v>
      </c>
      <c r="G1934" s="2685">
        <v>100</v>
      </c>
      <c r="H1934" s="1463"/>
    </row>
    <row r="1935" spans="2:8" ht="15.75" hidden="1" customHeight="1" x14ac:dyDescent="0.25">
      <c r="B1935" s="441"/>
      <c r="C1935" s="2524" t="s">
        <v>1391</v>
      </c>
      <c r="D1935" s="3622">
        <v>88950000</v>
      </c>
      <c r="E1935" s="4039">
        <v>88950000</v>
      </c>
      <c r="F1935" s="2690">
        <f t="shared" si="126"/>
        <v>100</v>
      </c>
      <c r="G1935" s="2690">
        <v>100</v>
      </c>
      <c r="H1935" s="1463"/>
    </row>
    <row r="1936" spans="2:8" ht="18.75" hidden="1" customHeight="1" x14ac:dyDescent="0.25">
      <c r="B1936" s="441"/>
      <c r="C1936" s="2524" t="s">
        <v>1392</v>
      </c>
      <c r="D1936" s="3622">
        <v>856800000</v>
      </c>
      <c r="E1936" s="4039">
        <v>772200000</v>
      </c>
      <c r="F1936" s="2690">
        <f t="shared" si="126"/>
        <v>90.12605042016807</v>
      </c>
      <c r="G1936" s="2690">
        <v>55</v>
      </c>
      <c r="H1936" s="1463"/>
    </row>
    <row r="1937" spans="2:8" ht="12" hidden="1" customHeight="1" x14ac:dyDescent="0.25">
      <c r="B1937" s="441"/>
      <c r="C1937" s="2524"/>
      <c r="D1937" s="3622"/>
      <c r="E1937" s="4039"/>
      <c r="F1937" s="2690"/>
      <c r="G1937" s="2690"/>
      <c r="H1937" s="1463"/>
    </row>
    <row r="1938" spans="2:8" ht="19.5" customHeight="1" x14ac:dyDescent="0.25">
      <c r="B1938" s="441"/>
      <c r="C1938" s="2525" t="s">
        <v>1393</v>
      </c>
      <c r="D1938" s="4065">
        <f>SUM(D1939:D1940)</f>
        <v>108900000</v>
      </c>
      <c r="E1938" s="2695">
        <f>SUM(E1939:E1940)</f>
        <v>77400000</v>
      </c>
      <c r="F1938" s="2966">
        <f>E1938/D1938*100</f>
        <v>71.074380165289256</v>
      </c>
      <c r="G1938" s="2695">
        <f>SUM(G1939:G1940)/2</f>
        <v>95</v>
      </c>
      <c r="H1938" s="1463"/>
    </row>
    <row r="1939" spans="2:8" ht="19.5" hidden="1" customHeight="1" x14ac:dyDescent="0.25">
      <c r="B1939" s="441"/>
      <c r="C1939" s="2524" t="s">
        <v>1394</v>
      </c>
      <c r="D1939" s="3622">
        <v>66900000</v>
      </c>
      <c r="E1939" s="2685">
        <v>35400000</v>
      </c>
      <c r="F1939" s="2690">
        <f t="shared" ref="F1939:F1940" si="127">E1939/D1939*100</f>
        <v>52.914798206278022</v>
      </c>
      <c r="G1939" s="2685">
        <v>90</v>
      </c>
      <c r="H1939" s="1463"/>
    </row>
    <row r="1940" spans="2:8" ht="15.75" hidden="1" customHeight="1" x14ac:dyDescent="0.25">
      <c r="B1940" s="441"/>
      <c r="C1940" s="2524" t="s">
        <v>1395</v>
      </c>
      <c r="D1940" s="3622">
        <v>42000000</v>
      </c>
      <c r="E1940" s="4039">
        <v>42000000</v>
      </c>
      <c r="F1940" s="2690">
        <f t="shared" si="127"/>
        <v>100</v>
      </c>
      <c r="G1940" s="2690">
        <v>100</v>
      </c>
      <c r="H1940" s="1463"/>
    </row>
    <row r="1941" spans="2:8" ht="14.25" hidden="1" customHeight="1" x14ac:dyDescent="0.25">
      <c r="B1941" s="441"/>
      <c r="C1941" s="2506"/>
      <c r="D1941" s="4066"/>
      <c r="E1941" s="2690"/>
      <c r="F1941" s="2690"/>
      <c r="G1941" s="3035"/>
      <c r="H1941" s="1463"/>
    </row>
    <row r="1942" spans="2:8" ht="18.75" customHeight="1" x14ac:dyDescent="0.25">
      <c r="B1942" s="440"/>
      <c r="C1942" s="2497" t="s">
        <v>1396</v>
      </c>
      <c r="D1942" s="4080">
        <f>D1943+D1947+D1951+D1957</f>
        <v>1817570000</v>
      </c>
      <c r="E1942" s="2786">
        <f>E1943+E1947+E1951+E1957</f>
        <v>1793458353</v>
      </c>
      <c r="F1942" s="2719">
        <f>E1942/D1942*100</f>
        <v>98.673413018480716</v>
      </c>
      <c r="G1942" s="2672">
        <f>SUM(G1943+G1947+G1951+G1957)/4</f>
        <v>98.393124999999998</v>
      </c>
      <c r="H1942" s="1463"/>
    </row>
    <row r="1943" spans="2:8" ht="16.5" customHeight="1" x14ac:dyDescent="0.25">
      <c r="B1943" s="441"/>
      <c r="C1943" s="2536" t="s">
        <v>1397</v>
      </c>
      <c r="D1943" s="4316">
        <f>SUM(D1944:D1945)</f>
        <v>482670000</v>
      </c>
      <c r="E1943" s="4000">
        <f>SUM(E1944:E1945)</f>
        <v>471284718</v>
      </c>
      <c r="F1943" s="2966">
        <f>E1943/D1943*100</f>
        <v>97.641187146497614</v>
      </c>
      <c r="G1943" s="2785">
        <f>SUM(G1944:G1945)/2</f>
        <v>97.664999999999992</v>
      </c>
      <c r="H1943" s="1463"/>
    </row>
    <row r="1944" spans="2:8" ht="17.25" hidden="1" customHeight="1" x14ac:dyDescent="0.25">
      <c r="B1944" s="441"/>
      <c r="C1944" s="2524" t="s">
        <v>1398</v>
      </c>
      <c r="D1944" s="4066">
        <v>238300000</v>
      </c>
      <c r="E1944" s="4039">
        <v>238284000</v>
      </c>
      <c r="F1944" s="2690">
        <f t="shared" ref="F1944:F1945" si="128">E1944/D1944*100</f>
        <v>99.993285774234167</v>
      </c>
      <c r="G1944" s="2690">
        <v>99.99</v>
      </c>
      <c r="H1944" s="1463"/>
    </row>
    <row r="1945" spans="2:8" ht="16.5" hidden="1" customHeight="1" x14ac:dyDescent="0.25">
      <c r="B1945" s="441"/>
      <c r="C1945" s="2524" t="s">
        <v>1399</v>
      </c>
      <c r="D1945" s="4066">
        <v>244370000</v>
      </c>
      <c r="E1945" s="4039">
        <v>233000718</v>
      </c>
      <c r="F1945" s="2690">
        <f t="shared" si="128"/>
        <v>95.347513197200968</v>
      </c>
      <c r="G1945" s="2690">
        <v>95.34</v>
      </c>
      <c r="H1945" s="1463"/>
    </row>
    <row r="1946" spans="2:8" ht="10.5" hidden="1" customHeight="1" x14ac:dyDescent="0.25">
      <c r="B1946" s="441"/>
      <c r="C1946" s="2533"/>
      <c r="D1946" s="4276"/>
      <c r="E1946" s="3035"/>
      <c r="F1946" s="2690"/>
      <c r="G1946" s="3035"/>
      <c r="H1946" s="1463"/>
    </row>
    <row r="1947" spans="2:8" ht="18" customHeight="1" x14ac:dyDescent="0.25">
      <c r="B1947" s="441"/>
      <c r="C1947" s="2474" t="s">
        <v>1400</v>
      </c>
      <c r="D1947" s="4065">
        <f>SUM(D1948:D1949)</f>
        <v>638910000</v>
      </c>
      <c r="E1947" s="2695">
        <f>SUM(E1948:E1949)</f>
        <v>637510000</v>
      </c>
      <c r="F1947" s="2966">
        <f>E1947/D1947*100</f>
        <v>99.780876805809896</v>
      </c>
      <c r="G1947" s="2695">
        <f>SUM(G1948:G1949)/2</f>
        <v>99.835000000000008</v>
      </c>
      <c r="H1947" s="1463"/>
    </row>
    <row r="1948" spans="2:8" ht="16.5" hidden="1" customHeight="1" x14ac:dyDescent="0.25">
      <c r="B1948" s="441"/>
      <c r="C1948" s="2524" t="s">
        <v>1401</v>
      </c>
      <c r="D1948" s="4066">
        <v>428000000</v>
      </c>
      <c r="E1948" s="4039">
        <v>426600000</v>
      </c>
      <c r="F1948" s="2690">
        <f t="shared" ref="F1948:F1949" si="129">E1948/D1948*100</f>
        <v>99.672897196261673</v>
      </c>
      <c r="G1948" s="2690">
        <v>99.67</v>
      </c>
      <c r="H1948" s="1463"/>
    </row>
    <row r="1949" spans="2:8" ht="14.25" hidden="1" customHeight="1" x14ac:dyDescent="0.25">
      <c r="B1949" s="441"/>
      <c r="C1949" s="2524" t="s">
        <v>1402</v>
      </c>
      <c r="D1949" s="4066">
        <v>210910000</v>
      </c>
      <c r="E1949" s="4039">
        <v>210910000</v>
      </c>
      <c r="F1949" s="2690">
        <f t="shared" si="129"/>
        <v>100</v>
      </c>
      <c r="G1949" s="2690">
        <v>100</v>
      </c>
      <c r="H1949" s="1463"/>
    </row>
    <row r="1950" spans="2:8" ht="11.25" hidden="1" customHeight="1" x14ac:dyDescent="0.25">
      <c r="B1950" s="441"/>
      <c r="C1950" s="2524"/>
      <c r="D1950" s="4276"/>
      <c r="E1950" s="3035"/>
      <c r="F1950" s="2690"/>
      <c r="G1950" s="3035"/>
      <c r="H1950" s="1463"/>
    </row>
    <row r="1951" spans="2:8" ht="16.5" customHeight="1" x14ac:dyDescent="0.25">
      <c r="B1951" s="441"/>
      <c r="C1951" s="2474" t="s">
        <v>1403</v>
      </c>
      <c r="D1951" s="4300">
        <f>SUM(D1952:D1955)</f>
        <v>650390000</v>
      </c>
      <c r="E1951" s="2821">
        <f>SUM(E1952:E1955)</f>
        <v>639423635</v>
      </c>
      <c r="F1951" s="2966">
        <f>E1951/D1951*100</f>
        <v>98.313878595919363</v>
      </c>
      <c r="G1951" s="2695">
        <f>SUM(G1952:G1955)/4</f>
        <v>96.862499999999997</v>
      </c>
      <c r="H1951" s="1463"/>
    </row>
    <row r="1952" spans="2:8" ht="18" hidden="1" customHeight="1" x14ac:dyDescent="0.25">
      <c r="B1952" s="441"/>
      <c r="C1952" s="2524" t="s">
        <v>1404</v>
      </c>
      <c r="D1952" s="4066">
        <v>65730000</v>
      </c>
      <c r="E1952" s="2804">
        <v>59195000</v>
      </c>
      <c r="F1952" s="2690">
        <f t="shared" ref="F1952:F1955" si="130">E1952/D1952*100</f>
        <v>90.057812262285111</v>
      </c>
      <c r="G1952" s="2804">
        <v>90.05</v>
      </c>
      <c r="H1952" s="1463"/>
    </row>
    <row r="1953" spans="2:8" ht="18" hidden="1" customHeight="1" x14ac:dyDescent="0.25">
      <c r="B1953" s="441"/>
      <c r="C1953" s="2524" t="s">
        <v>1405</v>
      </c>
      <c r="D1953" s="4066">
        <v>87000000</v>
      </c>
      <c r="E1953" s="4039">
        <v>85642055</v>
      </c>
      <c r="F1953" s="2690">
        <f t="shared" si="130"/>
        <v>98.439143678160917</v>
      </c>
      <c r="G1953" s="2690">
        <v>98.43</v>
      </c>
      <c r="H1953" s="1463"/>
    </row>
    <row r="1954" spans="2:8" ht="18.75" hidden="1" customHeight="1" x14ac:dyDescent="0.25">
      <c r="B1954" s="441"/>
      <c r="C1954" s="2524" t="s">
        <v>1406</v>
      </c>
      <c r="D1954" s="4066">
        <v>170830000</v>
      </c>
      <c r="E1954" s="2690">
        <v>170546580</v>
      </c>
      <c r="F1954" s="2690">
        <f t="shared" si="130"/>
        <v>99.834092372534101</v>
      </c>
      <c r="G1954" s="2690">
        <v>99.83</v>
      </c>
      <c r="H1954" s="1463"/>
    </row>
    <row r="1955" spans="2:8" ht="18.75" hidden="1" customHeight="1" x14ac:dyDescent="0.25">
      <c r="B1955" s="441"/>
      <c r="C1955" s="2524" t="s">
        <v>3947</v>
      </c>
      <c r="D1955" s="4066">
        <v>326830000</v>
      </c>
      <c r="E1955" s="2690">
        <v>324040000</v>
      </c>
      <c r="F1955" s="2690">
        <f t="shared" si="130"/>
        <v>99.146345194749557</v>
      </c>
      <c r="G1955" s="2690">
        <v>99.14</v>
      </c>
      <c r="H1955" s="1463"/>
    </row>
    <row r="1956" spans="2:8" ht="11.25" hidden="1" customHeight="1" x14ac:dyDescent="0.25">
      <c r="B1956" s="444"/>
      <c r="C1956" s="2527"/>
      <c r="D1956" s="4276"/>
      <c r="E1956" s="3035"/>
      <c r="F1956" s="2690"/>
      <c r="G1956" s="3035"/>
      <c r="H1956" s="1463"/>
    </row>
    <row r="1957" spans="2:8" ht="21" customHeight="1" x14ac:dyDescent="0.25">
      <c r="B1957" s="441"/>
      <c r="C1957" s="2525" t="s">
        <v>1407</v>
      </c>
      <c r="D1957" s="4159">
        <f>D1958</f>
        <v>45600000</v>
      </c>
      <c r="E1957" s="2813">
        <f>E1958</f>
        <v>45240000</v>
      </c>
      <c r="F1957" s="2966">
        <f>E1957/D1957*100</f>
        <v>99.210526315789465</v>
      </c>
      <c r="G1957" s="2679">
        <f>G1958</f>
        <v>99.21</v>
      </c>
      <c r="H1957" s="1463"/>
    </row>
    <row r="1958" spans="2:8" ht="18.75" hidden="1" customHeight="1" x14ac:dyDescent="0.25">
      <c r="B1958" s="441"/>
      <c r="C1958" s="2524" t="s">
        <v>1408</v>
      </c>
      <c r="D1958" s="3704">
        <v>45600000</v>
      </c>
      <c r="E1958" s="2685">
        <v>45240000</v>
      </c>
      <c r="F1958" s="2690">
        <f t="shared" ref="F1958" si="131">E1958/D1958*100</f>
        <v>99.210526315789465</v>
      </c>
      <c r="G1958" s="2685">
        <v>99.21</v>
      </c>
      <c r="H1958" s="1463"/>
    </row>
    <row r="1959" spans="2:8" ht="12" hidden="1" customHeight="1" x14ac:dyDescent="0.25">
      <c r="B1959" s="441"/>
      <c r="C1959" s="2559"/>
      <c r="D1959" s="4299"/>
      <c r="E1959" s="2784"/>
      <c r="F1959" s="2752"/>
      <c r="G1959" s="2784"/>
      <c r="H1959" s="1463"/>
    </row>
    <row r="1960" spans="2:8" ht="18" customHeight="1" x14ac:dyDescent="0.25">
      <c r="B1960" s="440"/>
      <c r="C1960" s="2497" t="s">
        <v>3502</v>
      </c>
      <c r="D1960" s="4080">
        <f>D1961+D1964+D1967+D1970</f>
        <v>6914162816</v>
      </c>
      <c r="E1960" s="2786">
        <f>E1961+E1964+E1967+E1970</f>
        <v>6878659197</v>
      </c>
      <c r="F1960" s="2719">
        <f>E1960/D1960*100</f>
        <v>99.486508779951762</v>
      </c>
      <c r="G1960" s="2672">
        <f>SUM(G1961+G1964+G1967+G1970)/4</f>
        <v>99.516666666666666</v>
      </c>
      <c r="H1960" s="1463"/>
    </row>
    <row r="1961" spans="2:8" ht="19.5" customHeight="1" x14ac:dyDescent="0.25">
      <c r="B1961" s="441"/>
      <c r="C1961" s="2482" t="s">
        <v>465</v>
      </c>
      <c r="D1961" s="4280">
        <f>D1962</f>
        <v>878880000</v>
      </c>
      <c r="E1961" s="2722">
        <f>E1962</f>
        <v>873207357</v>
      </c>
      <c r="F1961" s="2966">
        <f>E1961/D1961*100</f>
        <v>99.354560008192252</v>
      </c>
      <c r="G1961" s="2734">
        <f>G1962</f>
        <v>99.35</v>
      </c>
      <c r="H1961" s="1463"/>
    </row>
    <row r="1962" spans="2:8" ht="18.75" hidden="1" customHeight="1" x14ac:dyDescent="0.25">
      <c r="B1962" s="441"/>
      <c r="C1962" s="2494" t="s">
        <v>1409</v>
      </c>
      <c r="D1962" s="4066">
        <v>878880000</v>
      </c>
      <c r="E1962" s="4039">
        <v>873207357</v>
      </c>
      <c r="F1962" s="2690">
        <f t="shared" ref="F1962" si="132">E1962/D1962*100</f>
        <v>99.354560008192252</v>
      </c>
      <c r="G1962" s="2690">
        <v>99.35</v>
      </c>
      <c r="H1962" s="1463"/>
    </row>
    <row r="1963" spans="2:8" ht="10.5" hidden="1" customHeight="1" x14ac:dyDescent="0.25">
      <c r="B1963" s="441"/>
      <c r="C1963" s="2494"/>
      <c r="D1963" s="3704"/>
      <c r="E1963" s="3035"/>
      <c r="F1963" s="2690"/>
      <c r="G1963" s="3035"/>
      <c r="H1963" s="1463"/>
    </row>
    <row r="1964" spans="2:8" ht="18" customHeight="1" x14ac:dyDescent="0.25">
      <c r="B1964" s="441"/>
      <c r="C1964" s="2491" t="s">
        <v>1410</v>
      </c>
      <c r="D1964" s="4159">
        <f>D1965</f>
        <v>527548000</v>
      </c>
      <c r="E1964" s="2679">
        <f>E1965</f>
        <v>521565000</v>
      </c>
      <c r="F1964" s="2966">
        <f>E1964/D1964*100</f>
        <v>98.865885189594124</v>
      </c>
      <c r="G1964" s="2695">
        <f>G1965</f>
        <v>100</v>
      </c>
      <c r="H1964" s="1463"/>
    </row>
    <row r="1965" spans="2:8" ht="16.5" hidden="1" customHeight="1" x14ac:dyDescent="0.25">
      <c r="B1965" s="441"/>
      <c r="C1965" s="2473" t="s">
        <v>1411</v>
      </c>
      <c r="D1965" s="4066">
        <v>527548000</v>
      </c>
      <c r="E1965" s="4039">
        <v>521565000</v>
      </c>
      <c r="F1965" s="2690">
        <f t="shared" ref="F1965" si="133">E1965/D1965*100</f>
        <v>98.865885189594124</v>
      </c>
      <c r="G1965" s="2690">
        <v>100</v>
      </c>
      <c r="H1965" s="1463"/>
    </row>
    <row r="1966" spans="2:8" ht="10.5" hidden="1" customHeight="1" x14ac:dyDescent="0.25">
      <c r="B1966" s="441"/>
      <c r="C1966" s="2556"/>
      <c r="D1966" s="4285"/>
      <c r="E1966" s="2778"/>
      <c r="F1966" s="2710"/>
      <c r="G1966" s="2778"/>
      <c r="H1966" s="1463"/>
    </row>
    <row r="1967" spans="2:8" ht="20.25" customHeight="1" x14ac:dyDescent="0.25">
      <c r="B1967" s="441"/>
      <c r="C1967" s="2525" t="s">
        <v>1412</v>
      </c>
      <c r="D1967" s="4297">
        <f>D1968</f>
        <v>1369296816</v>
      </c>
      <c r="E1967" s="4040">
        <f>E1968</f>
        <v>1369296816</v>
      </c>
      <c r="F1967" s="2966">
        <f>E1967/D1967*100</f>
        <v>100</v>
      </c>
      <c r="G1967" s="2695">
        <f>G1968</f>
        <v>100</v>
      </c>
      <c r="H1967" s="1463"/>
    </row>
    <row r="1968" spans="2:8" ht="20.25" hidden="1" customHeight="1" x14ac:dyDescent="0.25">
      <c r="B1968" s="441"/>
      <c r="C1968" s="2524" t="s">
        <v>1413</v>
      </c>
      <c r="D1968" s="4066">
        <v>1369296816</v>
      </c>
      <c r="E1968" s="4039">
        <v>1369296816</v>
      </c>
      <c r="F1968" s="2690">
        <f t="shared" ref="F1968" si="134">E1968/D1968*100</f>
        <v>100</v>
      </c>
      <c r="G1968" s="2690">
        <v>100</v>
      </c>
      <c r="H1968" s="1463"/>
    </row>
    <row r="1969" spans="2:8" ht="12.75" hidden="1" customHeight="1" x14ac:dyDescent="0.25">
      <c r="B1969" s="441"/>
      <c r="C1969" s="2527"/>
      <c r="D1969" s="4276"/>
      <c r="E1969" s="3035"/>
      <c r="F1969" s="2690"/>
      <c r="G1969" s="3035"/>
      <c r="H1969" s="1463"/>
    </row>
    <row r="1970" spans="2:8" ht="30.75" customHeight="1" x14ac:dyDescent="0.25">
      <c r="B1970" s="441"/>
      <c r="C1970" s="2474" t="s">
        <v>1414</v>
      </c>
      <c r="D1970" s="4159">
        <f>SUM(D1971:D1973)</f>
        <v>4138438000</v>
      </c>
      <c r="E1970" s="2813">
        <f>SUM(E1971:E1973)</f>
        <v>4114590024</v>
      </c>
      <c r="F1970" s="2966">
        <f>E1970/D1970*100</f>
        <v>99.423744514234599</v>
      </c>
      <c r="G1970" s="2695">
        <f>SUM(G1971:G1973)/3</f>
        <v>98.716666666666654</v>
      </c>
      <c r="H1970" s="1463"/>
    </row>
    <row r="1971" spans="2:8" ht="33" hidden="1" customHeight="1" x14ac:dyDescent="0.25">
      <c r="B1971" s="441"/>
      <c r="C1971" s="2524" t="s">
        <v>1415</v>
      </c>
      <c r="D1971" s="3622">
        <v>329961000</v>
      </c>
      <c r="E1971" s="4039">
        <v>324695000</v>
      </c>
      <c r="F1971" s="2690">
        <f t="shared" ref="F1971:F1973" si="135">E1971/D1971*100</f>
        <v>98.404053812420258</v>
      </c>
      <c r="G1971" s="2690">
        <v>98.4</v>
      </c>
      <c r="H1971" s="1463"/>
    </row>
    <row r="1972" spans="2:8" ht="16.5" hidden="1" customHeight="1" x14ac:dyDescent="0.25">
      <c r="B1972" s="441"/>
      <c r="C1972" s="2560" t="s">
        <v>1416</v>
      </c>
      <c r="D1972" s="3622">
        <v>825052000</v>
      </c>
      <c r="E1972" s="2685">
        <v>806470024</v>
      </c>
      <c r="F1972" s="2690">
        <f t="shared" si="135"/>
        <v>97.74778123075879</v>
      </c>
      <c r="G1972" s="2685">
        <v>97.75</v>
      </c>
      <c r="H1972" s="1463"/>
    </row>
    <row r="1973" spans="2:8" ht="17.25" hidden="1" customHeight="1" x14ac:dyDescent="0.25">
      <c r="B1973" s="441"/>
      <c r="C1973" s="2506" t="s">
        <v>1417</v>
      </c>
      <c r="D1973" s="4301">
        <v>2983425000</v>
      </c>
      <c r="E1973" s="2760">
        <v>2983425000</v>
      </c>
      <c r="F1973" s="2690">
        <f t="shared" si="135"/>
        <v>100</v>
      </c>
      <c r="G1973" s="2760">
        <v>100</v>
      </c>
      <c r="H1973" s="1463"/>
    </row>
    <row r="1974" spans="2:8" ht="12" hidden="1" customHeight="1" x14ac:dyDescent="0.25">
      <c r="B1974" s="441"/>
      <c r="C1974" s="2510"/>
      <c r="D1974" s="4322"/>
      <c r="E1974" s="2784"/>
      <c r="F1974" s="2784"/>
      <c r="G1974" s="2784"/>
      <c r="H1974" s="1463"/>
    </row>
    <row r="1975" spans="2:8" ht="18" customHeight="1" x14ac:dyDescent="0.25">
      <c r="B1975" s="440"/>
      <c r="C1975" s="2497" t="s">
        <v>3503</v>
      </c>
      <c r="D1975" s="4080">
        <f>D1976+D1979</f>
        <v>1021000000</v>
      </c>
      <c r="E1975" s="2786">
        <f>E1976+E1979</f>
        <v>1019700000</v>
      </c>
      <c r="F1975" s="2719">
        <f>E1975/D1975*100</f>
        <v>99.872673849167484</v>
      </c>
      <c r="G1975" s="2719">
        <f>SUM(G1976+G1979)/2</f>
        <v>100</v>
      </c>
      <c r="H1975" s="1463"/>
    </row>
    <row r="1976" spans="2:8" ht="16.5" customHeight="1" x14ac:dyDescent="0.25">
      <c r="B1976" s="441"/>
      <c r="C1976" s="2555" t="s">
        <v>1418</v>
      </c>
      <c r="D1976" s="4280">
        <f>D1977</f>
        <v>548750000</v>
      </c>
      <c r="E1976" s="2722">
        <f>E1977</f>
        <v>548750000</v>
      </c>
      <c r="F1976" s="2966">
        <f>E1976/D1976*100</f>
        <v>100</v>
      </c>
      <c r="G1976" s="2722">
        <f>G1977</f>
        <v>100</v>
      </c>
      <c r="H1976" s="1463"/>
    </row>
    <row r="1977" spans="2:8" ht="21.75" hidden="1" customHeight="1" x14ac:dyDescent="0.25">
      <c r="B1977" s="441"/>
      <c r="C1977" s="2524" t="s">
        <v>1419</v>
      </c>
      <c r="D1977" s="4066">
        <v>548750000</v>
      </c>
      <c r="E1977" s="4039">
        <v>548750000</v>
      </c>
      <c r="F1977" s="2690">
        <f t="shared" ref="F1977" si="136">E1977/D1977*100</f>
        <v>100</v>
      </c>
      <c r="G1977" s="2685">
        <v>100</v>
      </c>
      <c r="H1977" s="1463"/>
    </row>
    <row r="1978" spans="2:8" ht="10.5" hidden="1" customHeight="1" x14ac:dyDescent="0.25">
      <c r="B1978" s="441"/>
      <c r="C1978" s="2524"/>
      <c r="D1978" s="4306"/>
      <c r="E1978" s="3035"/>
      <c r="F1978" s="2778"/>
      <c r="G1978" s="3035"/>
      <c r="H1978" s="1463"/>
    </row>
    <row r="1979" spans="2:8" ht="16.5" customHeight="1" x14ac:dyDescent="0.25">
      <c r="B1979" s="441"/>
      <c r="C1979" s="2474" t="s">
        <v>1420</v>
      </c>
      <c r="D1979" s="4297">
        <f>SUM(D1980:D1983)</f>
        <v>472250000</v>
      </c>
      <c r="E1979" s="3978">
        <f>SUM(E1980:E1983)</f>
        <v>470950000</v>
      </c>
      <c r="F1979" s="2679">
        <f>E1979/D1979*100</f>
        <v>99.724722075172039</v>
      </c>
      <c r="G1979" s="2679">
        <f>SUM(G1980:G1983)/4</f>
        <v>100</v>
      </c>
      <c r="H1979" s="1463"/>
    </row>
    <row r="1980" spans="2:8" ht="17.25" hidden="1" customHeight="1" x14ac:dyDescent="0.25">
      <c r="B1980" s="441"/>
      <c r="C1980" s="2524" t="s">
        <v>1421</v>
      </c>
      <c r="D1980" s="4306">
        <v>58300000</v>
      </c>
      <c r="E1980" s="2685">
        <v>58300000</v>
      </c>
      <c r="F1980" s="3014">
        <f>E1980/D1980*100</f>
        <v>100</v>
      </c>
      <c r="G1980" s="3014">
        <v>100</v>
      </c>
      <c r="H1980" s="1463"/>
    </row>
    <row r="1981" spans="2:8" ht="15.75" hidden="1" customHeight="1" x14ac:dyDescent="0.25">
      <c r="B1981" s="441"/>
      <c r="C1981" s="2524" t="s">
        <v>1422</v>
      </c>
      <c r="D1981" s="4306">
        <v>98500000</v>
      </c>
      <c r="E1981" s="2685">
        <v>98500000</v>
      </c>
      <c r="F1981" s="2690">
        <f t="shared" ref="F1981:F1983" si="137">E1981/D1981*100</f>
        <v>100</v>
      </c>
      <c r="G1981" s="2690">
        <v>100</v>
      </c>
      <c r="H1981" s="1463"/>
    </row>
    <row r="1982" spans="2:8" ht="15.75" hidden="1" customHeight="1" x14ac:dyDescent="0.25">
      <c r="B1982" s="441"/>
      <c r="C1982" s="2524" t="s">
        <v>1423</v>
      </c>
      <c r="D1982" s="4306">
        <v>80450000</v>
      </c>
      <c r="E1982" s="2685">
        <v>80450000</v>
      </c>
      <c r="F1982" s="2690">
        <f t="shared" si="137"/>
        <v>100</v>
      </c>
      <c r="G1982" s="2690">
        <v>100</v>
      </c>
      <c r="H1982" s="1463"/>
    </row>
    <row r="1983" spans="2:8" ht="17.25" hidden="1" customHeight="1" x14ac:dyDescent="0.25">
      <c r="B1983" s="441"/>
      <c r="C1983" s="2524" t="s">
        <v>1424</v>
      </c>
      <c r="D1983" s="4306">
        <v>235000000</v>
      </c>
      <c r="E1983" s="2685">
        <v>233700000</v>
      </c>
      <c r="F1983" s="2690">
        <f t="shared" si="137"/>
        <v>99.446808510638292</v>
      </c>
      <c r="G1983" s="2685">
        <v>100</v>
      </c>
      <c r="H1983" s="1463"/>
    </row>
    <row r="1984" spans="2:8" ht="12" hidden="1" customHeight="1" x14ac:dyDescent="0.25">
      <c r="B1984" s="441"/>
      <c r="C1984" s="2535"/>
      <c r="D1984" s="4290"/>
      <c r="E1984" s="2784"/>
      <c r="F1984" s="2784"/>
      <c r="G1984" s="2784"/>
      <c r="H1984" s="1463"/>
    </row>
    <row r="1985" spans="2:8" ht="17.25" customHeight="1" x14ac:dyDescent="0.25">
      <c r="B1985" s="440"/>
      <c r="C1985" s="2497" t="s">
        <v>3504</v>
      </c>
      <c r="D1985" s="4080">
        <f>D1986</f>
        <v>409750000</v>
      </c>
      <c r="E1985" s="2719">
        <f>E1986</f>
        <v>401250000</v>
      </c>
      <c r="F1985" s="2719">
        <f>E1985/D1985*100</f>
        <v>97.925564368517399</v>
      </c>
      <c r="G1985" s="2719">
        <f>G1986</f>
        <v>100</v>
      </c>
      <c r="H1985" s="1463"/>
    </row>
    <row r="1986" spans="2:8" ht="16.5" customHeight="1" x14ac:dyDescent="0.25">
      <c r="B1986" s="441"/>
      <c r="C1986" s="2538" t="s">
        <v>3505</v>
      </c>
      <c r="D1986" s="4065">
        <f>D1987</f>
        <v>409750000</v>
      </c>
      <c r="E1986" s="3116">
        <f>E1987</f>
        <v>401250000</v>
      </c>
      <c r="F1986" s="2966">
        <f>E1986/D1986*100</f>
        <v>97.925564368517399</v>
      </c>
      <c r="G1986" s="2722">
        <f>G1987</f>
        <v>100</v>
      </c>
      <c r="H1986" s="1463"/>
    </row>
    <row r="1987" spans="2:8" ht="19.5" hidden="1" customHeight="1" x14ac:dyDescent="0.25">
      <c r="B1987" s="441"/>
      <c r="C1987" s="2524" t="s">
        <v>3506</v>
      </c>
      <c r="D1987" s="3622">
        <v>409750000</v>
      </c>
      <c r="E1987" s="4039">
        <v>401250000</v>
      </c>
      <c r="F1987" s="2690">
        <f t="shared" ref="F1987" si="138">E1987/D1987*100</f>
        <v>97.925564368517399</v>
      </c>
      <c r="G1987" s="2685">
        <v>100</v>
      </c>
      <c r="H1987" s="1463"/>
    </row>
    <row r="1988" spans="2:8" ht="12" hidden="1" customHeight="1" x14ac:dyDescent="0.25">
      <c r="B1988" s="441"/>
      <c r="C1988" s="2506"/>
      <c r="D1988" s="4290"/>
      <c r="E1988" s="2778"/>
      <c r="F1988" s="2778"/>
      <c r="G1988" s="2778"/>
      <c r="H1988" s="1463"/>
    </row>
    <row r="1989" spans="2:8" ht="17.25" customHeight="1" x14ac:dyDescent="0.25">
      <c r="B1989" s="440"/>
      <c r="C1989" s="2471" t="s">
        <v>1425</v>
      </c>
      <c r="D1989" s="4106">
        <f>SUM(D1990+D1993)</f>
        <v>499451000</v>
      </c>
      <c r="E1989" s="2672">
        <f>SUM(E1990+E1993)</f>
        <v>499451000</v>
      </c>
      <c r="F1989" s="2719">
        <f>E1989/D1989*100</f>
        <v>100</v>
      </c>
      <c r="G1989" s="2672">
        <f>SUM(G1990+G1993)/2</f>
        <v>100</v>
      </c>
      <c r="H1989" s="1463"/>
    </row>
    <row r="1990" spans="2:8" ht="21.75" customHeight="1" x14ac:dyDescent="0.25">
      <c r="B1990" s="441"/>
      <c r="C1990" s="2538" t="s">
        <v>1426</v>
      </c>
      <c r="D1990" s="4158">
        <f>D1991</f>
        <v>225843000</v>
      </c>
      <c r="E1990" s="3214">
        <f>E1991</f>
        <v>225843000</v>
      </c>
      <c r="F1990" s="2966">
        <f>E1990/D1990*100</f>
        <v>100</v>
      </c>
      <c r="G1990" s="2725">
        <f>G1991</f>
        <v>100</v>
      </c>
      <c r="H1990" s="1463"/>
    </row>
    <row r="1991" spans="2:8" ht="16.5" hidden="1" customHeight="1" x14ac:dyDescent="0.25">
      <c r="B1991" s="441"/>
      <c r="C1991" s="2529" t="s">
        <v>1427</v>
      </c>
      <c r="D1991" s="3704">
        <v>225843000</v>
      </c>
      <c r="E1991" s="2685">
        <v>225843000</v>
      </c>
      <c r="F1991" s="2690">
        <f t="shared" ref="F1991" si="139">E1991/D1991*100</f>
        <v>100</v>
      </c>
      <c r="G1991" s="2685">
        <v>100</v>
      </c>
      <c r="H1991" s="1463"/>
    </row>
    <row r="1992" spans="2:8" ht="11.25" hidden="1" customHeight="1" x14ac:dyDescent="0.25">
      <c r="B1992" s="441"/>
      <c r="C1992" s="3648"/>
      <c r="D1992" s="4159"/>
      <c r="E1992" s="3122"/>
      <c r="F1992" s="2966"/>
      <c r="G1992" s="2695"/>
      <c r="H1992" s="1463"/>
    </row>
    <row r="1993" spans="2:8" ht="15.75" customHeight="1" x14ac:dyDescent="0.25">
      <c r="B1993" s="441"/>
      <c r="C1993" s="2525" t="s">
        <v>1428</v>
      </c>
      <c r="D1993" s="4065">
        <f>SUM(D1994:D1995)</f>
        <v>273608000</v>
      </c>
      <c r="E1993" s="2695">
        <f>SUM(E1994:E1995)</f>
        <v>273608000</v>
      </c>
      <c r="F1993" s="2966">
        <f>E1993/D1993*100</f>
        <v>100</v>
      </c>
      <c r="G1993" s="2679">
        <f>SUM(G1994:G1995)/2</f>
        <v>100</v>
      </c>
      <c r="H1993" s="1463"/>
    </row>
    <row r="1994" spans="2:8" ht="16.5" hidden="1" customHeight="1" x14ac:dyDescent="0.25">
      <c r="B1994" s="441"/>
      <c r="C1994" s="2524" t="s">
        <v>1429</v>
      </c>
      <c r="D1994" s="4066">
        <v>131151000</v>
      </c>
      <c r="E1994" s="2685">
        <v>131151000</v>
      </c>
      <c r="F1994" s="2690">
        <f t="shared" ref="F1994:F1995" si="140">E1994/D1994*100</f>
        <v>100</v>
      </c>
      <c r="G1994" s="2685">
        <v>100</v>
      </c>
      <c r="H1994" s="1463"/>
    </row>
    <row r="1995" spans="2:8" ht="28.5" hidden="1" customHeight="1" x14ac:dyDescent="0.25">
      <c r="B1995" s="444"/>
      <c r="C1995" s="2529" t="s">
        <v>1430</v>
      </c>
      <c r="D1995" s="3637">
        <v>142457000</v>
      </c>
      <c r="E1995" s="3649">
        <v>142457000</v>
      </c>
      <c r="F1995" s="2690">
        <f t="shared" si="140"/>
        <v>100</v>
      </c>
      <c r="G1995" s="2690">
        <v>100</v>
      </c>
      <c r="H1995" s="1463"/>
    </row>
    <row r="1996" spans="2:8" ht="16.5" hidden="1" customHeight="1" x14ac:dyDescent="0.25">
      <c r="B1996" s="441"/>
      <c r="C1996" s="2521"/>
      <c r="D1996" s="4291"/>
      <c r="E1996" s="2873"/>
      <c r="F1996" s="3000"/>
      <c r="G1996" s="2821"/>
      <c r="H1996" s="1463"/>
    </row>
    <row r="1997" spans="2:8" ht="18.75" customHeight="1" x14ac:dyDescent="0.25">
      <c r="B1997" s="440"/>
      <c r="C1997" s="2532" t="s">
        <v>3945</v>
      </c>
      <c r="D1997" s="4106">
        <f>SUM(D1998+D2002)</f>
        <v>375000000</v>
      </c>
      <c r="E1997" s="2672">
        <f>SUM(E1998+E2002)</f>
        <v>375000000</v>
      </c>
      <c r="F1997" s="2719">
        <f>E1997/D1997*100</f>
        <v>100</v>
      </c>
      <c r="G1997" s="2672">
        <f>SUM(G1998+G2002)/2</f>
        <v>100</v>
      </c>
      <c r="H1997" s="1463"/>
    </row>
    <row r="1998" spans="2:8" ht="19.5" customHeight="1" x14ac:dyDescent="0.25">
      <c r="B1998" s="441"/>
      <c r="C1998" s="2538" t="s">
        <v>1431</v>
      </c>
      <c r="D1998" s="4311">
        <f>SUM(D1999:D2000)</f>
        <v>275000000</v>
      </c>
      <c r="E1998" s="2824">
        <f>SUM(E1999:E2000)</f>
        <v>275000000</v>
      </c>
      <c r="F1998" s="2966">
        <f>E1998/D1998*100</f>
        <v>100</v>
      </c>
      <c r="G1998" s="2734">
        <f>SUM(G1999:G2000)/2</f>
        <v>100</v>
      </c>
      <c r="H1998" s="1463"/>
    </row>
    <row r="1999" spans="2:8" ht="15" hidden="1" customHeight="1" x14ac:dyDescent="0.25">
      <c r="B1999" s="441"/>
      <c r="C1999" s="2524" t="s">
        <v>1432</v>
      </c>
      <c r="D1999" s="3637">
        <v>200000000</v>
      </c>
      <c r="E1999" s="2685">
        <v>200000000</v>
      </c>
      <c r="F1999" s="2690">
        <f t="shared" ref="F1999:F2000" si="141">E1999/D1999*100</f>
        <v>100</v>
      </c>
      <c r="G1999" s="2685">
        <v>100</v>
      </c>
      <c r="H1999" s="1463"/>
    </row>
    <row r="2000" spans="2:8" ht="16.5" hidden="1" customHeight="1" x14ac:dyDescent="0.25">
      <c r="B2000" s="441"/>
      <c r="C2000" s="2524" t="s">
        <v>1433</v>
      </c>
      <c r="D2000" s="3637">
        <v>75000000</v>
      </c>
      <c r="E2000" s="4038">
        <v>75000000</v>
      </c>
      <c r="F2000" s="2690">
        <f t="shared" si="141"/>
        <v>100</v>
      </c>
      <c r="G2000" s="2690">
        <v>100</v>
      </c>
      <c r="H2000" s="1463"/>
    </row>
    <row r="2001" spans="2:8" ht="8.25" hidden="1" customHeight="1" x14ac:dyDescent="0.25">
      <c r="B2001" s="441"/>
      <c r="C2001" s="2524"/>
      <c r="D2001" s="3637"/>
      <c r="E2001" s="4038"/>
      <c r="F2001" s="2690"/>
      <c r="G2001" s="2690"/>
      <c r="H2001" s="1463"/>
    </row>
    <row r="2002" spans="2:8" ht="19.5" customHeight="1" x14ac:dyDescent="0.25">
      <c r="B2002" s="441"/>
      <c r="C2002" s="2525" t="s">
        <v>1434</v>
      </c>
      <c r="D2002" s="4065">
        <f>D2003</f>
        <v>100000000</v>
      </c>
      <c r="E2002" s="2695">
        <f>E2003</f>
        <v>100000000</v>
      </c>
      <c r="F2002" s="2966">
        <f>E2002/D2002*100</f>
        <v>100</v>
      </c>
      <c r="G2002" s="2695">
        <f>G2003</f>
        <v>100</v>
      </c>
      <c r="H2002" s="1463"/>
    </row>
    <row r="2003" spans="2:8" ht="15.75" hidden="1" customHeight="1" x14ac:dyDescent="0.25">
      <c r="B2003" s="441"/>
      <c r="C2003" s="2524" t="s">
        <v>1435</v>
      </c>
      <c r="D2003" s="3637">
        <v>100000000</v>
      </c>
      <c r="E2003" s="4038">
        <v>100000000</v>
      </c>
      <c r="F2003" s="2690">
        <f t="shared" ref="F2003" si="142">E2003/D2003*100</f>
        <v>100</v>
      </c>
      <c r="G2003" s="2690">
        <v>100</v>
      </c>
      <c r="H2003" s="1463"/>
    </row>
    <row r="2004" spans="2:8" ht="12" hidden="1" customHeight="1" x14ac:dyDescent="0.25">
      <c r="B2004" s="441"/>
      <c r="C2004" s="2533"/>
      <c r="D2004" s="4326"/>
      <c r="E2004" s="4047"/>
      <c r="F2004" s="2710"/>
      <c r="G2004" s="2710"/>
      <c r="H2004" s="1463"/>
    </row>
    <row r="2005" spans="2:8" ht="19.5" customHeight="1" x14ac:dyDescent="0.25">
      <c r="B2005" s="440"/>
      <c r="C2005" s="2532" t="s">
        <v>3507</v>
      </c>
      <c r="D2005" s="4106">
        <f>SUM(D2006+D2011+D2014)</f>
        <v>3347090000</v>
      </c>
      <c r="E2005" s="2672">
        <f>SUM(E2006+E2011+E2014)</f>
        <v>2942548200</v>
      </c>
      <c r="F2005" s="2719">
        <f>E2005/D2005*100</f>
        <v>87.913626463584777</v>
      </c>
      <c r="G2005" s="2672">
        <f>SUM(G2006+G2011+G2014)/3</f>
        <v>85.10555555555554</v>
      </c>
      <c r="H2005" s="1463"/>
    </row>
    <row r="2006" spans="2:8" ht="18.75" customHeight="1" x14ac:dyDescent="0.25">
      <c r="B2006" s="441"/>
      <c r="C2006" s="2538" t="s">
        <v>1436</v>
      </c>
      <c r="D2006" s="3632">
        <f>SUM(D2007:D2009)</f>
        <v>2297090000</v>
      </c>
      <c r="E2006" s="4048">
        <f>SUM(E2007:E2009)</f>
        <v>2092974200</v>
      </c>
      <c r="F2006" s="2966">
        <f>E2006/D2006*100</f>
        <v>91.114157477504136</v>
      </c>
      <c r="G2006" s="2734">
        <f>SUM(G2007:G2009)/3</f>
        <v>95.396666666666661</v>
      </c>
      <c r="H2006" s="1463"/>
    </row>
    <row r="2007" spans="2:8" ht="14.25" hidden="1" customHeight="1" x14ac:dyDescent="0.25">
      <c r="B2007" s="441"/>
      <c r="C2007" s="2529" t="s">
        <v>1437</v>
      </c>
      <c r="D2007" s="4327">
        <v>1849100000</v>
      </c>
      <c r="E2007" s="3962">
        <v>1649142500</v>
      </c>
      <c r="F2007" s="2690">
        <f t="shared" ref="F2007:F2009" si="143">E2007/D2007*100</f>
        <v>89.18622573143692</v>
      </c>
      <c r="G2007" s="2760">
        <v>89.19</v>
      </c>
      <c r="H2007" s="1463"/>
    </row>
    <row r="2008" spans="2:8" ht="15.75" hidden="1" customHeight="1" x14ac:dyDescent="0.25">
      <c r="B2008" s="441"/>
      <c r="C2008" s="2529" t="s">
        <v>1438</v>
      </c>
      <c r="D2008" s="4327">
        <v>297990000</v>
      </c>
      <c r="E2008" s="2804">
        <v>297990000</v>
      </c>
      <c r="F2008" s="2690">
        <f t="shared" si="143"/>
        <v>100</v>
      </c>
      <c r="G2008" s="2804">
        <v>100</v>
      </c>
      <c r="H2008" s="1463"/>
    </row>
    <row r="2009" spans="2:8" ht="16.5" hidden="1" customHeight="1" x14ac:dyDescent="0.25">
      <c r="B2009" s="441"/>
      <c r="C2009" s="2529" t="s">
        <v>1439</v>
      </c>
      <c r="D2009" s="4327">
        <v>150000000</v>
      </c>
      <c r="E2009" s="2804">
        <v>145841700</v>
      </c>
      <c r="F2009" s="2690">
        <f t="shared" si="143"/>
        <v>97.227800000000002</v>
      </c>
      <c r="G2009" s="2804">
        <v>97</v>
      </c>
      <c r="H2009" s="1463"/>
    </row>
    <row r="2010" spans="2:8" ht="10.5" hidden="1" customHeight="1" x14ac:dyDescent="0.25">
      <c r="B2010" s="441"/>
      <c r="C2010" s="2529"/>
      <c r="D2010" s="4327"/>
      <c r="E2010" s="3962"/>
      <c r="F2010" s="2760"/>
      <c r="G2010" s="2760"/>
      <c r="H2010" s="1463"/>
    </row>
    <row r="2011" spans="2:8" ht="17.25" customHeight="1" x14ac:dyDescent="0.25">
      <c r="B2011" s="441"/>
      <c r="C2011" s="2538" t="s">
        <v>1440</v>
      </c>
      <c r="D2011" s="3632">
        <f>D2012</f>
        <v>550000000</v>
      </c>
      <c r="E2011" s="4048">
        <f>E2012</f>
        <v>549670000</v>
      </c>
      <c r="F2011" s="2966">
        <f>E2011/D2011*100</f>
        <v>99.94</v>
      </c>
      <c r="G2011" s="2734">
        <f>G2012</f>
        <v>99.94</v>
      </c>
      <c r="H2011" s="1463"/>
    </row>
    <row r="2012" spans="2:8" ht="17.25" hidden="1" customHeight="1" x14ac:dyDescent="0.25">
      <c r="B2012" s="441"/>
      <c r="C2012" s="2529" t="s">
        <v>1441</v>
      </c>
      <c r="D2012" s="4327">
        <v>550000000</v>
      </c>
      <c r="E2012" s="3962">
        <v>549670000</v>
      </c>
      <c r="F2012" s="2690">
        <f t="shared" ref="F2012" si="144">E2012/D2012*100</f>
        <v>99.94</v>
      </c>
      <c r="G2012" s="2760">
        <v>99.94</v>
      </c>
      <c r="H2012" s="1463"/>
    </row>
    <row r="2013" spans="2:8" ht="10.5" hidden="1" customHeight="1" x14ac:dyDescent="0.25">
      <c r="B2013" s="441"/>
      <c r="C2013" s="2529"/>
      <c r="D2013" s="4327"/>
      <c r="E2013" s="3962"/>
      <c r="F2013" s="2760"/>
      <c r="G2013" s="2760"/>
      <c r="H2013" s="1463"/>
    </row>
    <row r="2014" spans="2:8" ht="19.5" customHeight="1" x14ac:dyDescent="0.25">
      <c r="B2014" s="441"/>
      <c r="C2014" s="2538" t="s">
        <v>1442</v>
      </c>
      <c r="D2014" s="3632">
        <f>D2015</f>
        <v>500000000</v>
      </c>
      <c r="E2014" s="4048">
        <f>E2015</f>
        <v>299904000</v>
      </c>
      <c r="F2014" s="2966">
        <f>E2014/D2014*100</f>
        <v>59.980800000000002</v>
      </c>
      <c r="G2014" s="2734">
        <f>G2015</f>
        <v>59.98</v>
      </c>
      <c r="H2014" s="1463"/>
    </row>
    <row r="2015" spans="2:8" ht="16.5" hidden="1" customHeight="1" x14ac:dyDescent="0.25">
      <c r="B2015" s="441"/>
      <c r="C2015" s="2529" t="s">
        <v>1443</v>
      </c>
      <c r="D2015" s="4327">
        <v>500000000</v>
      </c>
      <c r="E2015" s="3962">
        <v>299904000</v>
      </c>
      <c r="F2015" s="2690">
        <f t="shared" ref="F2015" si="145">E2015/D2015*100</f>
        <v>59.980800000000002</v>
      </c>
      <c r="G2015" s="2760">
        <v>59.98</v>
      </c>
      <c r="H2015" s="1463"/>
    </row>
    <row r="2016" spans="2:8" ht="12" hidden="1" customHeight="1" x14ac:dyDescent="0.25">
      <c r="B2016" s="441"/>
      <c r="C2016" s="2506"/>
      <c r="D2016" s="4290"/>
      <c r="E2016" s="2784"/>
      <c r="F2016" s="2784"/>
      <c r="G2016" s="2784"/>
      <c r="H2016" s="1463"/>
    </row>
    <row r="2017" spans="2:8" ht="18.75" customHeight="1" x14ac:dyDescent="0.25">
      <c r="B2017" s="440"/>
      <c r="C2017" s="2497" t="s">
        <v>2472</v>
      </c>
      <c r="D2017" s="4080">
        <f>SUM(D2018:D2024)</f>
        <v>29895336588</v>
      </c>
      <c r="E2017" s="2786">
        <f>SUM(E2018:E2024)</f>
        <v>21468680310</v>
      </c>
      <c r="F2017" s="2719">
        <f>E2017/D2017*100</f>
        <v>71.812806812877753</v>
      </c>
      <c r="G2017" s="2672">
        <f>SUM(G2018:G2024)/7</f>
        <v>74.428571428571431</v>
      </c>
      <c r="H2017" s="1463"/>
    </row>
    <row r="2018" spans="2:8" ht="15.75" customHeight="1" x14ac:dyDescent="0.25">
      <c r="B2018" s="441"/>
      <c r="C2018" s="2506" t="s">
        <v>1445</v>
      </c>
      <c r="D2018" s="4328">
        <v>3133000000</v>
      </c>
      <c r="E2018" s="3151">
        <v>3133000000</v>
      </c>
      <c r="F2018" s="2690">
        <f t="shared" ref="F2018" si="146">E2018/D2018*100</f>
        <v>100</v>
      </c>
      <c r="G2018" s="3151">
        <v>100</v>
      </c>
      <c r="H2018" s="1463"/>
    </row>
    <row r="2019" spans="2:8" ht="15.75" customHeight="1" x14ac:dyDescent="0.25">
      <c r="B2019" s="441"/>
      <c r="C2019" s="2494" t="s">
        <v>1446</v>
      </c>
      <c r="D2019" s="3625">
        <v>2420680000</v>
      </c>
      <c r="E2019" s="2685">
        <v>0</v>
      </c>
      <c r="F2019" s="2685">
        <v>0</v>
      </c>
      <c r="G2019" s="2685">
        <v>0</v>
      </c>
      <c r="H2019" s="1463"/>
    </row>
    <row r="2020" spans="2:8" ht="14.25" customHeight="1" x14ac:dyDescent="0.25">
      <c r="B2020" s="441"/>
      <c r="C2020" s="2494" t="s">
        <v>1447</v>
      </c>
      <c r="D2020" s="3625">
        <v>3521500000</v>
      </c>
      <c r="E2020" s="4045">
        <v>3521500000</v>
      </c>
      <c r="F2020" s="2690">
        <f t="shared" ref="F2020:F2024" si="147">E2020/D2020*100</f>
        <v>100</v>
      </c>
      <c r="G2020" s="2690">
        <v>100</v>
      </c>
      <c r="H2020" s="1463"/>
    </row>
    <row r="2021" spans="2:8" ht="16.5" customHeight="1" x14ac:dyDescent="0.25">
      <c r="B2021" s="444"/>
      <c r="C2021" s="2494" t="s">
        <v>1448</v>
      </c>
      <c r="D2021" s="3625">
        <v>2100000000</v>
      </c>
      <c r="E2021" s="4045">
        <v>1596440000</v>
      </c>
      <c r="F2021" s="2690">
        <f t="shared" si="147"/>
        <v>76.02095238095238</v>
      </c>
      <c r="G2021" s="2690">
        <v>77</v>
      </c>
      <c r="H2021" s="1463"/>
    </row>
    <row r="2022" spans="2:8" ht="16.5" customHeight="1" x14ac:dyDescent="0.25">
      <c r="B2022" s="441"/>
      <c r="C2022" s="2506" t="s">
        <v>1449</v>
      </c>
      <c r="D2022" s="3625">
        <v>5636812024</v>
      </c>
      <c r="E2022" s="4045">
        <v>5636812024</v>
      </c>
      <c r="F2022" s="2690">
        <f t="shared" si="147"/>
        <v>100</v>
      </c>
      <c r="G2022" s="2752">
        <v>100</v>
      </c>
      <c r="H2022" s="1463"/>
    </row>
    <row r="2023" spans="2:8" ht="15.75" customHeight="1" x14ac:dyDescent="0.25">
      <c r="B2023" s="441"/>
      <c r="C2023" s="2473" t="s">
        <v>1450</v>
      </c>
      <c r="D2023" s="4066">
        <v>533600000</v>
      </c>
      <c r="E2023" s="2690">
        <v>443600000</v>
      </c>
      <c r="F2023" s="2690">
        <f t="shared" si="147"/>
        <v>83.133433283358315</v>
      </c>
      <c r="G2023" s="2690">
        <v>84</v>
      </c>
      <c r="H2023" s="1463"/>
    </row>
    <row r="2024" spans="2:8" ht="17.25" customHeight="1" x14ac:dyDescent="0.25">
      <c r="B2024" s="441"/>
      <c r="C2024" s="2473" t="s">
        <v>1451</v>
      </c>
      <c r="D2024" s="4066">
        <v>12549744564</v>
      </c>
      <c r="E2024" s="2690">
        <v>7137328286</v>
      </c>
      <c r="F2024" s="2690">
        <f t="shared" si="147"/>
        <v>56.872299269532768</v>
      </c>
      <c r="G2024" s="2690">
        <v>60</v>
      </c>
      <c r="H2024" s="1463"/>
    </row>
    <row r="2025" spans="2:8" ht="12" customHeight="1" thickBot="1" x14ac:dyDescent="0.3">
      <c r="B2025" s="441"/>
      <c r="C2025" s="2561"/>
      <c r="D2025" s="4329"/>
      <c r="E2025" s="4049"/>
      <c r="F2025" s="3153"/>
      <c r="G2025" s="3153"/>
      <c r="H2025" s="1463"/>
    </row>
    <row r="2026" spans="2:8" ht="18.75" customHeight="1" thickBot="1" x14ac:dyDescent="0.3">
      <c r="B2026" s="456"/>
      <c r="C2026" s="3650" t="s">
        <v>1452</v>
      </c>
      <c r="D2026" s="4330">
        <f>SUM(D2028+D2135+D2206+D2223+D2249+D2277+D2296+D2311+D2330+D2345+D2352+D2356+D2360+D2408+D2417+D2432+D2440+D2448+D2467+D2477+D2482)</f>
        <v>153448669000</v>
      </c>
      <c r="E2026" s="3738">
        <f>SUM(E2028+E2135+E2206+E2223+E2249+E2277+E2296+E2311+E2330+E2345+E2352+E2356+E2360+E2408+E2417+E2432+E2440+E2448+E2467+E2477+E2482)</f>
        <v>110033619200</v>
      </c>
      <c r="F2026" s="3738">
        <f>E2026/D2026*100</f>
        <v>71.70711868475054</v>
      </c>
      <c r="G2026" s="3738">
        <f>SUM(G2028+G2135+G2206+G2223+G2249+G2277+G2296+G2311+G2330+G2345+G2352+G2360+G2408+G2417+G2432+G2440+G2448+G2467+G2477+G2482)/20</f>
        <v>84.41915133477633</v>
      </c>
      <c r="H2026" s="3723"/>
    </row>
    <row r="2027" spans="2:8" ht="9" hidden="1" customHeight="1" x14ac:dyDescent="0.25">
      <c r="B2027" s="457"/>
      <c r="C2027" s="3651"/>
      <c r="D2027" s="4331"/>
      <c r="E2027" s="4050"/>
      <c r="F2027" s="3739"/>
      <c r="G2027" s="3739"/>
      <c r="H2027" s="1463"/>
    </row>
    <row r="2028" spans="2:8" ht="13.5" customHeight="1" x14ac:dyDescent="0.25">
      <c r="B2028" s="440"/>
      <c r="C2028" s="2471" t="s">
        <v>1453</v>
      </c>
      <c r="D2028" s="4106">
        <f>SUM(D2029+D2032+D2062+D2068+D2081+D2091+D2095+D2109+D2119+D2122)</f>
        <v>36336424000</v>
      </c>
      <c r="E2028" s="2672">
        <f>SUM(E2029+E2032+E2062+E2068+E2081+E2091+E2095+E2109+E2119+E2122)</f>
        <v>28105048350</v>
      </c>
      <c r="F2028" s="2672">
        <f>E2028/D2028*100</f>
        <v>77.346764640350969</v>
      </c>
      <c r="G2028" s="2672">
        <f>SUM(G2029+G2032+G2062+G2068+G2081+G2091+G2095+G2109+G2119+G2122)/10</f>
        <v>86.012987012987011</v>
      </c>
      <c r="H2028" s="1463"/>
    </row>
    <row r="2029" spans="2:8" ht="17.25" customHeight="1" x14ac:dyDescent="0.25">
      <c r="B2029" s="441"/>
      <c r="C2029" s="2525" t="s">
        <v>1454</v>
      </c>
      <c r="D2029" s="4298">
        <f>D2030</f>
        <v>9605050000</v>
      </c>
      <c r="E2029" s="3980">
        <f>E2030</f>
        <v>5756845000</v>
      </c>
      <c r="F2029" s="2942">
        <f>E2029/D2029*100</f>
        <v>59.935606790178085</v>
      </c>
      <c r="G2029" s="2734">
        <f>G2030</f>
        <v>60</v>
      </c>
      <c r="H2029" s="1463"/>
    </row>
    <row r="2030" spans="2:8" ht="17.25" hidden="1" customHeight="1" x14ac:dyDescent="0.25">
      <c r="B2030" s="441"/>
      <c r="C2030" s="2475" t="s">
        <v>1455</v>
      </c>
      <c r="D2030" s="4066">
        <v>9605050000</v>
      </c>
      <c r="E2030" s="2804">
        <v>5756845000</v>
      </c>
      <c r="F2030" s="2804">
        <f>E2030/D2030*100</f>
        <v>59.935606790178085</v>
      </c>
      <c r="G2030" s="2804">
        <v>60</v>
      </c>
      <c r="H2030" s="1463"/>
    </row>
    <row r="2031" spans="2:8" ht="9.75" hidden="1" customHeight="1" x14ac:dyDescent="0.25">
      <c r="B2031" s="441"/>
      <c r="C2031" s="2473"/>
      <c r="D2031" s="4066"/>
      <c r="E2031" s="2690"/>
      <c r="F2031" s="2690"/>
      <c r="G2031" s="2804"/>
      <c r="H2031" s="1463"/>
    </row>
    <row r="2032" spans="2:8" ht="15.75" customHeight="1" x14ac:dyDescent="0.25">
      <c r="B2032" s="441"/>
      <c r="C2032" s="2525" t="s">
        <v>5809</v>
      </c>
      <c r="D2032" s="4297">
        <f>SUM(D2033:D2060)</f>
        <v>7480174000</v>
      </c>
      <c r="E2032" s="3978">
        <f>SUM(E2033:E2060)</f>
        <v>6131291850</v>
      </c>
      <c r="F2032" s="2942">
        <f>E2032/D2032*100</f>
        <v>81.967235655213372</v>
      </c>
      <c r="G2032" s="2725">
        <f>SUM(G2037:G2060)/24</f>
        <v>80.416666666666671</v>
      </c>
      <c r="H2032" s="4274"/>
    </row>
    <row r="2033" spans="2:9" ht="15" hidden="1" customHeight="1" x14ac:dyDescent="0.25">
      <c r="B2033" s="441"/>
      <c r="C2033" s="2473" t="s">
        <v>1456</v>
      </c>
      <c r="D2033" s="4321" t="s">
        <v>3317</v>
      </c>
      <c r="E2033" s="3652" t="s">
        <v>3317</v>
      </c>
      <c r="F2033" s="3652" t="s">
        <v>3317</v>
      </c>
      <c r="G2033" s="3652" t="s">
        <v>3317</v>
      </c>
      <c r="H2033" s="1463"/>
    </row>
    <row r="2034" spans="2:9" ht="14.25" hidden="1" customHeight="1" x14ac:dyDescent="0.25">
      <c r="B2034" s="441"/>
      <c r="C2034" s="2473" t="s">
        <v>1457</v>
      </c>
      <c r="D2034" s="4321" t="s">
        <v>3317</v>
      </c>
      <c r="E2034" s="3652" t="s">
        <v>3317</v>
      </c>
      <c r="F2034" s="3652" t="s">
        <v>3317</v>
      </c>
      <c r="G2034" s="3652" t="s">
        <v>3317</v>
      </c>
      <c r="H2034" s="1463"/>
    </row>
    <row r="2035" spans="2:9" ht="16.5" hidden="1" customHeight="1" x14ac:dyDescent="0.25">
      <c r="B2035" s="441"/>
      <c r="C2035" s="2473" t="s">
        <v>1458</v>
      </c>
      <c r="D2035" s="4321" t="s">
        <v>3317</v>
      </c>
      <c r="E2035" s="3652" t="s">
        <v>3317</v>
      </c>
      <c r="F2035" s="3652" t="s">
        <v>3317</v>
      </c>
      <c r="G2035" s="3652" t="s">
        <v>3317</v>
      </c>
      <c r="H2035" s="1463"/>
    </row>
    <row r="2036" spans="2:9" ht="15.75" hidden="1" customHeight="1" x14ac:dyDescent="0.25">
      <c r="B2036" s="441"/>
      <c r="C2036" s="2473" t="s">
        <v>1459</v>
      </c>
      <c r="D2036" s="4321" t="s">
        <v>3317</v>
      </c>
      <c r="E2036" s="3652" t="s">
        <v>3317</v>
      </c>
      <c r="F2036" s="3652" t="s">
        <v>3317</v>
      </c>
      <c r="G2036" s="3652" t="s">
        <v>3317</v>
      </c>
      <c r="H2036" s="1463"/>
    </row>
    <row r="2037" spans="2:9" ht="15.75" hidden="1" customHeight="1" x14ac:dyDescent="0.25">
      <c r="B2037" s="441"/>
      <c r="C2037" s="2473" t="s">
        <v>1460</v>
      </c>
      <c r="D2037" s="4066">
        <v>200000000</v>
      </c>
      <c r="E2037" s="3617">
        <v>200000000</v>
      </c>
      <c r="F2037" s="2804">
        <f>E2037/D2037*100</f>
        <v>100</v>
      </c>
      <c r="G2037" s="3617">
        <v>100</v>
      </c>
      <c r="H2037" s="3640"/>
      <c r="I2037" s="243">
        <f t="shared" ref="I2037" si="148">H2037/G2037*100</f>
        <v>0</v>
      </c>
    </row>
    <row r="2038" spans="2:9" ht="15" hidden="1" customHeight="1" x14ac:dyDescent="0.25">
      <c r="B2038" s="441"/>
      <c r="C2038" s="2473" t="s">
        <v>1461</v>
      </c>
      <c r="D2038" s="4066">
        <v>230174000</v>
      </c>
      <c r="E2038" s="3617">
        <v>230174000</v>
      </c>
      <c r="F2038" s="2804">
        <f t="shared" ref="F2038:F2044" si="149">E2038/D2038*100</f>
        <v>100</v>
      </c>
      <c r="G2038" s="2804">
        <v>100</v>
      </c>
      <c r="H2038" s="1463"/>
    </row>
    <row r="2039" spans="2:9" ht="17.25" hidden="1" customHeight="1" x14ac:dyDescent="0.25">
      <c r="B2039" s="441"/>
      <c r="C2039" s="2473" t="s">
        <v>5810</v>
      </c>
      <c r="D2039" s="4066">
        <v>200000000</v>
      </c>
      <c r="E2039" s="2855">
        <v>200000000</v>
      </c>
      <c r="F2039" s="2804">
        <f t="shared" si="149"/>
        <v>100</v>
      </c>
      <c r="G2039" s="2804">
        <v>100</v>
      </c>
      <c r="H2039" s="1463"/>
    </row>
    <row r="2040" spans="2:9" ht="17.25" hidden="1" customHeight="1" x14ac:dyDescent="0.25">
      <c r="B2040" s="441"/>
      <c r="C2040" s="2473" t="s">
        <v>1462</v>
      </c>
      <c r="D2040" s="4066">
        <v>200000000</v>
      </c>
      <c r="E2040" s="3617">
        <v>200000000</v>
      </c>
      <c r="F2040" s="2804">
        <f t="shared" si="149"/>
        <v>100</v>
      </c>
      <c r="G2040" s="2804">
        <v>100</v>
      </c>
      <c r="H2040" s="1463"/>
    </row>
    <row r="2041" spans="2:9" ht="17.25" hidden="1" customHeight="1" x14ac:dyDescent="0.25">
      <c r="B2041" s="441"/>
      <c r="C2041" s="2473" t="s">
        <v>1463</v>
      </c>
      <c r="D2041" s="4066">
        <v>420000000</v>
      </c>
      <c r="E2041" s="3617">
        <v>420000000</v>
      </c>
      <c r="F2041" s="2804">
        <f t="shared" si="149"/>
        <v>100</v>
      </c>
      <c r="G2041" s="2804">
        <v>100</v>
      </c>
      <c r="H2041" s="1463"/>
    </row>
    <row r="2042" spans="2:9" ht="15" hidden="1" customHeight="1" x14ac:dyDescent="0.25">
      <c r="B2042" s="444"/>
      <c r="C2042" s="2473" t="s">
        <v>1464</v>
      </c>
      <c r="D2042" s="4066">
        <v>420000000</v>
      </c>
      <c r="E2042" s="3617">
        <v>420000000</v>
      </c>
      <c r="F2042" s="2804">
        <f t="shared" si="149"/>
        <v>100</v>
      </c>
      <c r="G2042" s="2855">
        <v>100</v>
      </c>
      <c r="H2042" s="1463"/>
    </row>
    <row r="2043" spans="2:9" ht="15.75" hidden="1" customHeight="1" x14ac:dyDescent="0.25">
      <c r="B2043" s="441"/>
      <c r="C2043" s="2473" t="s">
        <v>1465</v>
      </c>
      <c r="D2043" s="4066">
        <v>420000000</v>
      </c>
      <c r="E2043" s="2855">
        <f>400000000-149350000</f>
        <v>250650000</v>
      </c>
      <c r="F2043" s="2804">
        <f t="shared" si="149"/>
        <v>59.678571428571423</v>
      </c>
      <c r="G2043" s="2804">
        <v>0</v>
      </c>
      <c r="H2043" s="1463"/>
    </row>
    <row r="2044" spans="2:9" ht="15.75" hidden="1" customHeight="1" x14ac:dyDescent="0.25">
      <c r="B2044" s="441"/>
      <c r="C2044" s="2473" t="s">
        <v>1466</v>
      </c>
      <c r="D2044" s="4066">
        <v>230000000</v>
      </c>
      <c r="E2044" s="3617">
        <v>230000000</v>
      </c>
      <c r="F2044" s="2804">
        <f t="shared" si="149"/>
        <v>100</v>
      </c>
      <c r="G2044" s="2804">
        <v>100</v>
      </c>
      <c r="H2044" s="1463"/>
    </row>
    <row r="2045" spans="2:9" ht="13.5" hidden="1" customHeight="1" x14ac:dyDescent="0.25">
      <c r="B2045" s="441"/>
      <c r="C2045" s="2473" t="s">
        <v>1467</v>
      </c>
      <c r="D2045" s="4066">
        <v>200000000</v>
      </c>
      <c r="E2045" s="3617">
        <v>0</v>
      </c>
      <c r="F2045" s="2855">
        <v>0</v>
      </c>
      <c r="G2045" s="2855">
        <v>0</v>
      </c>
      <c r="H2045" s="1463"/>
    </row>
    <row r="2046" spans="2:9" ht="17.25" hidden="1" customHeight="1" x14ac:dyDescent="0.25">
      <c r="B2046" s="441"/>
      <c r="C2046" s="2473" t="s">
        <v>1468</v>
      </c>
      <c r="D2046" s="4066">
        <v>100000000</v>
      </c>
      <c r="E2046" s="3617">
        <v>0</v>
      </c>
      <c r="F2046" s="2855">
        <v>0</v>
      </c>
      <c r="G2046" s="2855">
        <v>0</v>
      </c>
      <c r="H2046" s="1463"/>
    </row>
    <row r="2047" spans="2:9" ht="13.5" hidden="1" customHeight="1" x14ac:dyDescent="0.25">
      <c r="B2047" s="441"/>
      <c r="C2047" s="2473" t="s">
        <v>1469</v>
      </c>
      <c r="D2047" s="4066">
        <v>550000000</v>
      </c>
      <c r="E2047" s="3617">
        <v>0</v>
      </c>
      <c r="F2047" s="2855">
        <v>0</v>
      </c>
      <c r="G2047" s="2855">
        <v>0</v>
      </c>
      <c r="H2047" s="1463"/>
    </row>
    <row r="2048" spans="2:9" ht="15" hidden="1" customHeight="1" x14ac:dyDescent="0.25">
      <c r="B2048" s="441"/>
      <c r="C2048" s="2473" t="s">
        <v>1470</v>
      </c>
      <c r="D2048" s="4066">
        <v>200000000</v>
      </c>
      <c r="E2048" s="3617">
        <v>200000000</v>
      </c>
      <c r="F2048" s="2804">
        <f t="shared" ref="F2048:F2060" si="150">E2048/D2048*100</f>
        <v>100</v>
      </c>
      <c r="G2048" s="2855">
        <v>100</v>
      </c>
      <c r="H2048" s="1463"/>
    </row>
    <row r="2049" spans="2:8" ht="15" hidden="1" customHeight="1" x14ac:dyDescent="0.25">
      <c r="B2049" s="441"/>
      <c r="C2049" s="2473" t="s">
        <v>1471</v>
      </c>
      <c r="D2049" s="4066">
        <v>500000000</v>
      </c>
      <c r="E2049" s="3617">
        <v>474527850</v>
      </c>
      <c r="F2049" s="2685">
        <f t="shared" si="150"/>
        <v>94.905569999999997</v>
      </c>
      <c r="G2049" s="2855">
        <v>100</v>
      </c>
      <c r="H2049" s="1463"/>
    </row>
    <row r="2050" spans="2:8" ht="16.5" hidden="1" customHeight="1" x14ac:dyDescent="0.25">
      <c r="B2050" s="441"/>
      <c r="C2050" s="2473" t="s">
        <v>1472</v>
      </c>
      <c r="D2050" s="4066">
        <v>150000000</v>
      </c>
      <c r="E2050" s="3617">
        <v>150000000</v>
      </c>
      <c r="F2050" s="2685">
        <f t="shared" si="150"/>
        <v>100</v>
      </c>
      <c r="G2050" s="2855">
        <v>100</v>
      </c>
      <c r="H2050" s="1463"/>
    </row>
    <row r="2051" spans="2:8" ht="15.75" hidden="1" customHeight="1" x14ac:dyDescent="0.25">
      <c r="B2051" s="441"/>
      <c r="C2051" s="2473" t="s">
        <v>1473</v>
      </c>
      <c r="D2051" s="4066">
        <v>700000000</v>
      </c>
      <c r="E2051" s="3617">
        <v>700000000</v>
      </c>
      <c r="F2051" s="2685">
        <f t="shared" si="150"/>
        <v>100</v>
      </c>
      <c r="G2051" s="2855">
        <v>100</v>
      </c>
      <c r="H2051" s="1463"/>
    </row>
    <row r="2052" spans="2:8" ht="17.25" hidden="1" customHeight="1" x14ac:dyDescent="0.25">
      <c r="B2052" s="441"/>
      <c r="C2052" s="2473" t="s">
        <v>1474</v>
      </c>
      <c r="D2052" s="4066">
        <v>150000000</v>
      </c>
      <c r="E2052" s="3617">
        <v>0</v>
      </c>
      <c r="F2052" s="2685">
        <f t="shared" si="150"/>
        <v>0</v>
      </c>
      <c r="G2052" s="2804">
        <v>100</v>
      </c>
      <c r="H2052" s="1463"/>
    </row>
    <row r="2053" spans="2:8" ht="17.25" hidden="1" customHeight="1" x14ac:dyDescent="0.25">
      <c r="B2053" s="441"/>
      <c r="C2053" s="2473" t="s">
        <v>1475</v>
      </c>
      <c r="D2053" s="4066">
        <v>200000000</v>
      </c>
      <c r="E2053" s="3617">
        <v>200000000</v>
      </c>
      <c r="F2053" s="2685">
        <f t="shared" si="150"/>
        <v>100</v>
      </c>
      <c r="G2053" s="2804">
        <v>100</v>
      </c>
      <c r="H2053" s="1463"/>
    </row>
    <row r="2054" spans="2:8" ht="17.25" hidden="1" customHeight="1" x14ac:dyDescent="0.25">
      <c r="B2054" s="441"/>
      <c r="C2054" s="2473" t="s">
        <v>4007</v>
      </c>
      <c r="D2054" s="4066">
        <v>200000000</v>
      </c>
      <c r="E2054" s="3617">
        <v>200000000</v>
      </c>
      <c r="F2054" s="2685">
        <f t="shared" si="150"/>
        <v>100</v>
      </c>
      <c r="G2054" s="2804">
        <v>100</v>
      </c>
      <c r="H2054" s="1463"/>
    </row>
    <row r="2055" spans="2:8" ht="17.25" hidden="1" customHeight="1" x14ac:dyDescent="0.25">
      <c r="B2055" s="441"/>
      <c r="C2055" s="2473" t="s">
        <v>4006</v>
      </c>
      <c r="D2055" s="4066">
        <v>220000000</v>
      </c>
      <c r="E2055" s="3617">
        <v>65940000</v>
      </c>
      <c r="F2055" s="2685">
        <f t="shared" si="150"/>
        <v>29.972727272727273</v>
      </c>
      <c r="G2055" s="2804">
        <v>30</v>
      </c>
      <c r="H2055" s="1463"/>
    </row>
    <row r="2056" spans="2:8" ht="17.25" hidden="1" customHeight="1" x14ac:dyDescent="0.25">
      <c r="B2056" s="441"/>
      <c r="C2056" s="2473" t="s">
        <v>4008</v>
      </c>
      <c r="D2056" s="4066">
        <v>200000000</v>
      </c>
      <c r="E2056" s="3617">
        <v>200000000</v>
      </c>
      <c r="F2056" s="2685">
        <f t="shared" si="150"/>
        <v>100</v>
      </c>
      <c r="G2056" s="2855">
        <v>100</v>
      </c>
      <c r="H2056" s="1463"/>
    </row>
    <row r="2057" spans="2:8" ht="18" hidden="1" customHeight="1" x14ac:dyDescent="0.25">
      <c r="B2057" s="441"/>
      <c r="C2057" s="2473" t="s">
        <v>4009</v>
      </c>
      <c r="D2057" s="4066">
        <v>450000000</v>
      </c>
      <c r="E2057" s="2804">
        <v>450000000</v>
      </c>
      <c r="F2057" s="2685">
        <f t="shared" si="150"/>
        <v>100</v>
      </c>
      <c r="G2057" s="2685">
        <v>100</v>
      </c>
      <c r="H2057" s="1463"/>
    </row>
    <row r="2058" spans="2:8" ht="17.25" hidden="1" customHeight="1" x14ac:dyDescent="0.25">
      <c r="B2058" s="441"/>
      <c r="C2058" s="2473" t="s">
        <v>4010</v>
      </c>
      <c r="D2058" s="4066">
        <v>420000000</v>
      </c>
      <c r="E2058" s="2804">
        <v>420000000</v>
      </c>
      <c r="F2058" s="2804">
        <f t="shared" si="150"/>
        <v>100</v>
      </c>
      <c r="G2058" s="2804">
        <v>100</v>
      </c>
      <c r="H2058" s="1463"/>
    </row>
    <row r="2059" spans="2:8" ht="14.25" hidden="1" customHeight="1" x14ac:dyDescent="0.25">
      <c r="B2059" s="441"/>
      <c r="C2059" s="2473" t="s">
        <v>4011</v>
      </c>
      <c r="D2059" s="4066">
        <v>420000000</v>
      </c>
      <c r="E2059" s="2804">
        <v>420000000</v>
      </c>
      <c r="F2059" s="2804">
        <f t="shared" si="150"/>
        <v>100</v>
      </c>
      <c r="G2059" s="2804">
        <v>100</v>
      </c>
      <c r="H2059" s="1463"/>
    </row>
    <row r="2060" spans="2:8" ht="21" hidden="1" customHeight="1" x14ac:dyDescent="0.25">
      <c r="B2060" s="441"/>
      <c r="C2060" s="2473" t="s">
        <v>4012</v>
      </c>
      <c r="D2060" s="4066">
        <v>500000000</v>
      </c>
      <c r="E2060" s="2804">
        <v>500000000</v>
      </c>
      <c r="F2060" s="2804">
        <f t="shared" si="150"/>
        <v>100</v>
      </c>
      <c r="G2060" s="2804">
        <v>100</v>
      </c>
      <c r="H2060" s="1463"/>
    </row>
    <row r="2061" spans="2:8" ht="11.25" hidden="1" customHeight="1" x14ac:dyDescent="0.25">
      <c r="B2061" s="441"/>
      <c r="C2061" s="2473"/>
      <c r="D2061" s="4066"/>
      <c r="E2061" s="2804"/>
      <c r="F2061" s="2804"/>
      <c r="G2061" s="2804"/>
      <c r="H2061" s="1463"/>
    </row>
    <row r="2062" spans="2:8" ht="21.75" customHeight="1" x14ac:dyDescent="0.25">
      <c r="B2062" s="441"/>
      <c r="C2062" s="2474" t="s">
        <v>1476</v>
      </c>
      <c r="D2062" s="4065">
        <f>SUM(D2063:D2066)</f>
        <v>529000000</v>
      </c>
      <c r="E2062" s="2695">
        <f>SUM(E2063:E2066)</f>
        <v>529000000</v>
      </c>
      <c r="F2062" s="2942">
        <f>E2062/D2062*100</f>
        <v>100</v>
      </c>
      <c r="G2062" s="2725">
        <f>SUM(G2063:G2066)/4</f>
        <v>100</v>
      </c>
      <c r="H2062" s="1463"/>
    </row>
    <row r="2063" spans="2:8" ht="15" hidden="1" customHeight="1" x14ac:dyDescent="0.25">
      <c r="B2063" s="441"/>
      <c r="C2063" s="2473" t="s">
        <v>1477</v>
      </c>
      <c r="D2063" s="4066">
        <v>100000000</v>
      </c>
      <c r="E2063" s="2804">
        <v>100000000</v>
      </c>
      <c r="F2063" s="2804">
        <f t="shared" ref="F2063:F2066" si="151">E2063/D2063*100</f>
        <v>100</v>
      </c>
      <c r="G2063" s="2804">
        <v>100</v>
      </c>
      <c r="H2063" s="1463"/>
    </row>
    <row r="2064" spans="2:8" ht="15" hidden="1" customHeight="1" x14ac:dyDescent="0.25">
      <c r="B2064" s="441"/>
      <c r="C2064" s="2473" t="s">
        <v>1478</v>
      </c>
      <c r="D2064" s="4066">
        <v>150000000</v>
      </c>
      <c r="E2064" s="2804">
        <v>150000000</v>
      </c>
      <c r="F2064" s="2804">
        <f t="shared" si="151"/>
        <v>100</v>
      </c>
      <c r="G2064" s="2804">
        <v>100</v>
      </c>
      <c r="H2064" s="1463"/>
    </row>
    <row r="2065" spans="2:8" ht="15.75" hidden="1" customHeight="1" x14ac:dyDescent="0.25">
      <c r="B2065" s="441"/>
      <c r="C2065" s="2473" t="s">
        <v>1479</v>
      </c>
      <c r="D2065" s="4066">
        <v>79000000</v>
      </c>
      <c r="E2065" s="2804">
        <v>79000000</v>
      </c>
      <c r="F2065" s="2804">
        <f t="shared" si="151"/>
        <v>100</v>
      </c>
      <c r="G2065" s="2804">
        <v>100</v>
      </c>
      <c r="H2065" s="1463"/>
    </row>
    <row r="2066" spans="2:8" ht="17.25" hidden="1" customHeight="1" x14ac:dyDescent="0.25">
      <c r="B2066" s="441"/>
      <c r="C2066" s="2473" t="s">
        <v>1480</v>
      </c>
      <c r="D2066" s="4066">
        <v>200000000</v>
      </c>
      <c r="E2066" s="2804">
        <v>200000000</v>
      </c>
      <c r="F2066" s="2804">
        <f t="shared" si="151"/>
        <v>100</v>
      </c>
      <c r="G2066" s="2804">
        <v>100</v>
      </c>
      <c r="H2066" s="1463"/>
    </row>
    <row r="2067" spans="2:8" ht="11.25" hidden="1" customHeight="1" x14ac:dyDescent="0.25">
      <c r="B2067" s="441"/>
      <c r="C2067" s="2473"/>
      <c r="D2067" s="4066"/>
      <c r="E2067" s="2804"/>
      <c r="F2067" s="2804"/>
      <c r="G2067" s="2804"/>
      <c r="H2067" s="1463"/>
    </row>
    <row r="2068" spans="2:8" ht="18.75" customHeight="1" x14ac:dyDescent="0.25">
      <c r="B2068" s="441"/>
      <c r="C2068" s="2474" t="s">
        <v>3459</v>
      </c>
      <c r="D2068" s="4065">
        <f>SUM(D2069:D2079)</f>
        <v>4733850000</v>
      </c>
      <c r="E2068" s="2695">
        <f>SUM(E2069:E2079)</f>
        <v>3728872500</v>
      </c>
      <c r="F2068" s="2942">
        <f>E2068/D2068*100</f>
        <v>78.770398301593829</v>
      </c>
      <c r="G2068" s="2725">
        <f>SUM(G2069:G2079)/11</f>
        <v>77.272727272727266</v>
      </c>
      <c r="H2068" s="1463"/>
    </row>
    <row r="2069" spans="2:8" ht="15.75" hidden="1" customHeight="1" x14ac:dyDescent="0.25">
      <c r="B2069" s="441"/>
      <c r="C2069" s="2473" t="s">
        <v>1481</v>
      </c>
      <c r="D2069" s="4066">
        <v>200000000</v>
      </c>
      <c r="E2069" s="2804">
        <v>200000000</v>
      </c>
      <c r="F2069" s="2804">
        <f t="shared" ref="F2069:F2079" si="152">E2069/D2069*100</f>
        <v>100</v>
      </c>
      <c r="G2069" s="2804">
        <v>100</v>
      </c>
      <c r="H2069" s="1463"/>
    </row>
    <row r="2070" spans="2:8" ht="15" hidden="1" customHeight="1" x14ac:dyDescent="0.25">
      <c r="B2070" s="441"/>
      <c r="C2070" s="2473" t="s">
        <v>1482</v>
      </c>
      <c r="D2070" s="4066">
        <v>0</v>
      </c>
      <c r="E2070" s="2690">
        <v>0</v>
      </c>
      <c r="F2070" s="2690">
        <v>0</v>
      </c>
      <c r="G2070" s="2690">
        <v>0</v>
      </c>
      <c r="H2070" s="1463"/>
    </row>
    <row r="2071" spans="2:8" ht="13.5" hidden="1" customHeight="1" x14ac:dyDescent="0.25">
      <c r="B2071" s="441"/>
      <c r="C2071" s="2473" t="s">
        <v>1483</v>
      </c>
      <c r="D2071" s="4066">
        <v>50000000</v>
      </c>
      <c r="E2071" s="2804">
        <v>50000000</v>
      </c>
      <c r="F2071" s="2804">
        <f t="shared" si="152"/>
        <v>100</v>
      </c>
      <c r="G2071" s="2804">
        <v>100</v>
      </c>
      <c r="H2071" s="1463"/>
    </row>
    <row r="2072" spans="2:8" ht="15.75" hidden="1" customHeight="1" x14ac:dyDescent="0.25">
      <c r="B2072" s="441"/>
      <c r="C2072" s="2473" t="s">
        <v>1484</v>
      </c>
      <c r="D2072" s="4066">
        <v>789650000</v>
      </c>
      <c r="E2072" s="2804">
        <v>789000000</v>
      </c>
      <c r="F2072" s="2804">
        <f t="shared" si="152"/>
        <v>99.917685050338761</v>
      </c>
      <c r="G2072" s="2804">
        <v>100</v>
      </c>
      <c r="H2072" s="1463"/>
    </row>
    <row r="2073" spans="2:8" ht="15" hidden="1" customHeight="1" x14ac:dyDescent="0.25">
      <c r="B2073" s="441"/>
      <c r="C2073" s="2473" t="s">
        <v>1485</v>
      </c>
      <c r="D2073" s="4066">
        <v>1000000000</v>
      </c>
      <c r="E2073" s="2804">
        <v>997000000</v>
      </c>
      <c r="F2073" s="2804">
        <f t="shared" si="152"/>
        <v>99.7</v>
      </c>
      <c r="G2073" s="2804">
        <v>100</v>
      </c>
      <c r="H2073" s="1463"/>
    </row>
    <row r="2074" spans="2:8" ht="16.5" hidden="1" customHeight="1" x14ac:dyDescent="0.25">
      <c r="B2074" s="441"/>
      <c r="C2074" s="2473" t="s">
        <v>1486</v>
      </c>
      <c r="D2074" s="4066">
        <v>500000000</v>
      </c>
      <c r="E2074" s="2804">
        <v>500000000</v>
      </c>
      <c r="F2074" s="2804">
        <f t="shared" si="152"/>
        <v>100</v>
      </c>
      <c r="G2074" s="2804">
        <v>100</v>
      </c>
      <c r="H2074" s="1463"/>
    </row>
    <row r="2075" spans="2:8" ht="16.5" hidden="1" customHeight="1" x14ac:dyDescent="0.25">
      <c r="B2075" s="441"/>
      <c r="C2075" s="2473" t="s">
        <v>1487</v>
      </c>
      <c r="D2075" s="4066">
        <v>294200000</v>
      </c>
      <c r="E2075" s="2804">
        <v>294200000</v>
      </c>
      <c r="F2075" s="2804">
        <f t="shared" si="152"/>
        <v>100</v>
      </c>
      <c r="G2075" s="2804">
        <v>100</v>
      </c>
      <c r="H2075" s="1463"/>
    </row>
    <row r="2076" spans="2:8" ht="15" hidden="1" customHeight="1" x14ac:dyDescent="0.25">
      <c r="B2076" s="441"/>
      <c r="C2076" s="2473" t="s">
        <v>1488</v>
      </c>
      <c r="D2076" s="4066">
        <v>500000000</v>
      </c>
      <c r="E2076" s="2804">
        <v>0</v>
      </c>
      <c r="F2076" s="2804">
        <v>0</v>
      </c>
      <c r="G2076" s="2804">
        <v>0</v>
      </c>
      <c r="H2076" s="1463"/>
    </row>
    <row r="2077" spans="2:8" ht="16.5" hidden="1" customHeight="1" x14ac:dyDescent="0.25">
      <c r="B2077" s="441"/>
      <c r="C2077" s="2473" t="s">
        <v>1489</v>
      </c>
      <c r="D2077" s="4066">
        <v>1000000000</v>
      </c>
      <c r="E2077" s="2804">
        <v>498672500</v>
      </c>
      <c r="F2077" s="2804">
        <f t="shared" si="152"/>
        <v>49.867249999999999</v>
      </c>
      <c r="G2077" s="2804">
        <v>50</v>
      </c>
      <c r="H2077" s="1463"/>
    </row>
    <row r="2078" spans="2:8" ht="15" hidden="1" customHeight="1" x14ac:dyDescent="0.25">
      <c r="B2078" s="441"/>
      <c r="C2078" s="2473" t="s">
        <v>3460</v>
      </c>
      <c r="D2078" s="4066">
        <v>200000000</v>
      </c>
      <c r="E2078" s="2804">
        <v>200000000</v>
      </c>
      <c r="F2078" s="2804">
        <f t="shared" si="152"/>
        <v>100</v>
      </c>
      <c r="G2078" s="2804">
        <v>100</v>
      </c>
      <c r="H2078" s="1463"/>
    </row>
    <row r="2079" spans="2:8" ht="16.5" hidden="1" customHeight="1" x14ac:dyDescent="0.25">
      <c r="B2079" s="441"/>
      <c r="C2079" s="2473" t="s">
        <v>3461</v>
      </c>
      <c r="D2079" s="4066">
        <v>200000000</v>
      </c>
      <c r="E2079" s="2804">
        <v>200000000</v>
      </c>
      <c r="F2079" s="2804">
        <f t="shared" si="152"/>
        <v>100</v>
      </c>
      <c r="G2079" s="2804">
        <v>100</v>
      </c>
      <c r="H2079" s="1463"/>
    </row>
    <row r="2080" spans="2:8" ht="13.5" hidden="1" customHeight="1" x14ac:dyDescent="0.25">
      <c r="B2080" s="441"/>
      <c r="C2080" s="2473"/>
      <c r="D2080" s="4066"/>
      <c r="E2080" s="2804"/>
      <c r="F2080" s="2804"/>
      <c r="G2080" s="2804"/>
      <c r="H2080" s="4651"/>
    </row>
    <row r="2081" spans="1:11" ht="15.75" customHeight="1" x14ac:dyDescent="0.25">
      <c r="B2081" s="441"/>
      <c r="C2081" s="2525" t="s">
        <v>1490</v>
      </c>
      <c r="D2081" s="4159">
        <f>SUM(D2082:D2089)</f>
        <v>3071200000</v>
      </c>
      <c r="E2081" s="2813">
        <f>SUM(E2082:E2089)</f>
        <v>3071200000</v>
      </c>
      <c r="F2081" s="2942">
        <f>E2081/D2081*100</f>
        <v>100</v>
      </c>
      <c r="G2081" s="2725">
        <f>SUM(G2082:G2089)/8</f>
        <v>93.75</v>
      </c>
      <c r="H2081" s="4652"/>
    </row>
    <row r="2082" spans="1:11" ht="15" hidden="1" customHeight="1" x14ac:dyDescent="0.25">
      <c r="B2082" s="441"/>
      <c r="C2082" s="2473" t="s">
        <v>1491</v>
      </c>
      <c r="D2082" s="4066">
        <v>1200000000</v>
      </c>
      <c r="E2082" s="2804">
        <v>1200000000</v>
      </c>
      <c r="F2082" s="2804">
        <f t="shared" ref="F2082:F2089" si="153">E2082/D2082*100</f>
        <v>100</v>
      </c>
      <c r="G2082" s="2804">
        <v>100</v>
      </c>
      <c r="H2082" s="4653"/>
    </row>
    <row r="2083" spans="1:11" ht="15" hidden="1" customHeight="1" x14ac:dyDescent="0.25">
      <c r="B2083" s="441"/>
      <c r="C2083" s="2473" t="s">
        <v>1492</v>
      </c>
      <c r="D2083" s="4066">
        <v>710800000</v>
      </c>
      <c r="E2083" s="2968">
        <v>710800000</v>
      </c>
      <c r="F2083" s="2804">
        <f t="shared" si="153"/>
        <v>100</v>
      </c>
      <c r="G2083" s="2968">
        <v>100</v>
      </c>
      <c r="H2083" s="4654"/>
    </row>
    <row r="2084" spans="1:11" ht="15.75" hidden="1" customHeight="1" x14ac:dyDescent="0.25">
      <c r="B2084" s="441"/>
      <c r="C2084" s="2473" t="s">
        <v>1493</v>
      </c>
      <c r="D2084" s="4066">
        <v>200000000</v>
      </c>
      <c r="E2084" s="2968">
        <v>200000000</v>
      </c>
      <c r="F2084" s="2804">
        <f t="shared" si="153"/>
        <v>100</v>
      </c>
      <c r="G2084" s="2968">
        <v>100</v>
      </c>
      <c r="H2084" s="4655"/>
    </row>
    <row r="2085" spans="1:11" ht="15" hidden="1" customHeight="1" x14ac:dyDescent="0.25">
      <c r="B2085" s="441"/>
      <c r="C2085" s="2473" t="s">
        <v>1494</v>
      </c>
      <c r="D2085" s="4066">
        <v>100000000</v>
      </c>
      <c r="E2085" s="2968">
        <v>100000000</v>
      </c>
      <c r="F2085" s="2804">
        <f t="shared" si="153"/>
        <v>100</v>
      </c>
      <c r="G2085" s="2968">
        <v>50</v>
      </c>
      <c r="H2085" s="4655"/>
    </row>
    <row r="2086" spans="1:11" ht="29.25" hidden="1" customHeight="1" x14ac:dyDescent="0.25">
      <c r="B2086" s="441"/>
      <c r="C2086" s="2473" t="s">
        <v>1495</v>
      </c>
      <c r="D2086" s="4066">
        <v>227150000</v>
      </c>
      <c r="E2086" s="2968">
        <v>227150000</v>
      </c>
      <c r="F2086" s="2804">
        <f t="shared" si="153"/>
        <v>100</v>
      </c>
      <c r="G2086" s="2968">
        <v>100</v>
      </c>
      <c r="H2086" s="4654"/>
    </row>
    <row r="2087" spans="1:11" ht="15" hidden="1" customHeight="1" x14ac:dyDescent="0.25">
      <c r="B2087" s="444"/>
      <c r="C2087" s="2473" t="s">
        <v>1496</v>
      </c>
      <c r="D2087" s="4066">
        <v>43250000</v>
      </c>
      <c r="E2087" s="3014">
        <v>43250000</v>
      </c>
      <c r="F2087" s="2804">
        <f t="shared" si="153"/>
        <v>100</v>
      </c>
      <c r="G2087" s="2968">
        <v>100</v>
      </c>
      <c r="H2087" s="4654"/>
    </row>
    <row r="2088" spans="1:11" ht="15" hidden="1" customHeight="1" x14ac:dyDescent="0.25">
      <c r="B2088" s="441"/>
      <c r="C2088" s="2473" t="s">
        <v>1497</v>
      </c>
      <c r="D2088" s="4066">
        <v>90000000</v>
      </c>
      <c r="E2088" s="3014">
        <v>90000000</v>
      </c>
      <c r="F2088" s="2804">
        <f t="shared" si="153"/>
        <v>100</v>
      </c>
      <c r="G2088" s="2968">
        <v>100</v>
      </c>
      <c r="H2088" s="4654"/>
    </row>
    <row r="2089" spans="1:11" ht="15" hidden="1" customHeight="1" x14ac:dyDescent="0.25">
      <c r="B2089" s="441"/>
      <c r="C2089" s="2473" t="s">
        <v>1498</v>
      </c>
      <c r="D2089" s="4066">
        <v>500000000</v>
      </c>
      <c r="E2089" s="3014">
        <v>500000000</v>
      </c>
      <c r="F2089" s="2804">
        <f t="shared" si="153"/>
        <v>100</v>
      </c>
      <c r="G2089" s="2968">
        <v>100</v>
      </c>
      <c r="H2089" s="4656"/>
    </row>
    <row r="2090" spans="1:11" ht="11.25" hidden="1" customHeight="1" x14ac:dyDescent="0.25">
      <c r="B2090" s="441"/>
      <c r="C2090" s="2473"/>
      <c r="D2090" s="4066"/>
      <c r="E2090" s="2804"/>
      <c r="F2090" s="2968"/>
      <c r="G2090" s="2968"/>
      <c r="H2090" s="1463"/>
    </row>
    <row r="2091" spans="1:11" ht="17.25" customHeight="1" x14ac:dyDescent="0.25">
      <c r="B2091" s="441"/>
      <c r="C2091" s="2525" t="s">
        <v>1499</v>
      </c>
      <c r="D2091" s="4065">
        <f>SUM(D2092:D2093)</f>
        <v>1368650000</v>
      </c>
      <c r="E2091" s="2695">
        <f>SUM(E2092:E2093)</f>
        <v>1368650000</v>
      </c>
      <c r="F2091" s="2942">
        <f>SUM(E2091/D2091)*100</f>
        <v>100</v>
      </c>
      <c r="G2091" s="2725">
        <f>SUM(G2092:G2093)/2</f>
        <v>100</v>
      </c>
      <c r="H2091" s="1463"/>
    </row>
    <row r="2092" spans="1:11" ht="15.75" hidden="1" customHeight="1" x14ac:dyDescent="0.25">
      <c r="B2092" s="441"/>
      <c r="C2092" s="2473" t="s">
        <v>1500</v>
      </c>
      <c r="D2092" s="4066">
        <v>479000000</v>
      </c>
      <c r="E2092" s="2804">
        <v>479000000</v>
      </c>
      <c r="F2092" s="2940">
        <f>SUM(E2092/D2092)*100</f>
        <v>100</v>
      </c>
      <c r="G2092" s="2804">
        <v>100</v>
      </c>
      <c r="H2092" s="1463"/>
    </row>
    <row r="2093" spans="1:11" ht="17.25" hidden="1" customHeight="1" x14ac:dyDescent="0.25">
      <c r="B2093" s="441"/>
      <c r="C2093" s="2473" t="s">
        <v>1501</v>
      </c>
      <c r="D2093" s="3704">
        <v>889650000</v>
      </c>
      <c r="E2093" s="2968">
        <v>889650000</v>
      </c>
      <c r="F2093" s="2940">
        <f>SUM(E2093/D2093)*100</f>
        <v>100</v>
      </c>
      <c r="G2093" s="2968">
        <v>100</v>
      </c>
      <c r="H2093" s="1463"/>
    </row>
    <row r="2094" spans="1:11" ht="9.75" hidden="1" customHeight="1" x14ac:dyDescent="0.25">
      <c r="B2094" s="441"/>
      <c r="C2094" s="2473"/>
      <c r="D2094" s="4066"/>
      <c r="E2094" s="2804"/>
      <c r="F2094" s="2804"/>
      <c r="G2094" s="2804"/>
      <c r="H2094" s="1463"/>
    </row>
    <row r="2095" spans="1:11" ht="18.75" customHeight="1" x14ac:dyDescent="0.25">
      <c r="B2095" s="441"/>
      <c r="C2095" s="2525" t="s">
        <v>670</v>
      </c>
      <c r="D2095" s="4159">
        <f>SUM(D2096:D2107)</f>
        <v>5443750000</v>
      </c>
      <c r="E2095" s="2695">
        <f>SUM(E2096:E2107)</f>
        <v>3904039000</v>
      </c>
      <c r="F2095" s="2942">
        <f>SUM(E2095/D2095)*100</f>
        <v>71.715986222732482</v>
      </c>
      <c r="G2095" s="2695">
        <f>SUM(G2096:G2107)/12</f>
        <v>65.833333333333329</v>
      </c>
      <c r="H2095" s="4657"/>
    </row>
    <row r="2096" spans="1:11" s="20" customFormat="1" ht="15" hidden="1" customHeight="1" x14ac:dyDescent="0.25">
      <c r="A2096" s="963"/>
      <c r="B2096" s="441"/>
      <c r="C2096" s="2473" t="s">
        <v>1502</v>
      </c>
      <c r="D2096" s="4066">
        <v>200000000</v>
      </c>
      <c r="E2096" s="2804">
        <v>200000000</v>
      </c>
      <c r="F2096" s="2940">
        <f>SUM(E2096/D2096)*100</f>
        <v>100</v>
      </c>
      <c r="G2096" s="2804">
        <v>100</v>
      </c>
      <c r="H2096" s="4654"/>
      <c r="J2096" s="536"/>
      <c r="K2096" s="536"/>
    </row>
    <row r="2097" spans="2:9" ht="17.25" hidden="1" customHeight="1" x14ac:dyDescent="0.25">
      <c r="B2097" s="441"/>
      <c r="C2097" s="2473" t="s">
        <v>1503</v>
      </c>
      <c r="D2097" s="4066">
        <v>150000000</v>
      </c>
      <c r="E2097" s="2855">
        <v>150000000</v>
      </c>
      <c r="F2097" s="2940">
        <f>SUM(E2097/D2097)*100</f>
        <v>100</v>
      </c>
      <c r="G2097" s="2804">
        <v>100</v>
      </c>
      <c r="H2097" s="4653"/>
      <c r="I2097" s="533">
        <v>0</v>
      </c>
    </row>
    <row r="2098" spans="2:9" ht="16.5" hidden="1" customHeight="1" x14ac:dyDescent="0.25">
      <c r="B2098" s="441"/>
      <c r="C2098" s="2473" t="s">
        <v>1504</v>
      </c>
      <c r="D2098" s="4066">
        <v>1000000000</v>
      </c>
      <c r="E2098" s="2855">
        <v>1000000000</v>
      </c>
      <c r="F2098" s="2940">
        <f>SUM(E2098/D2098)*100</f>
        <v>100</v>
      </c>
      <c r="G2098" s="2804">
        <v>80</v>
      </c>
      <c r="H2098" s="4654"/>
    </row>
    <row r="2099" spans="2:9" ht="15" hidden="1" customHeight="1" x14ac:dyDescent="0.25">
      <c r="B2099" s="441"/>
      <c r="C2099" s="2473" t="s">
        <v>1505</v>
      </c>
      <c r="D2099" s="4066">
        <v>0</v>
      </c>
      <c r="E2099" s="3617">
        <v>0</v>
      </c>
      <c r="F2099" s="3617">
        <v>0</v>
      </c>
      <c r="G2099" s="3617">
        <v>0</v>
      </c>
      <c r="H2099" s="4658"/>
    </row>
    <row r="2100" spans="2:9" ht="17.25" hidden="1" customHeight="1" x14ac:dyDescent="0.25">
      <c r="B2100" s="441"/>
      <c r="C2100" s="2473" t="s">
        <v>1506</v>
      </c>
      <c r="D2100" s="4066">
        <v>1400000000</v>
      </c>
      <c r="E2100" s="3617">
        <v>906074000</v>
      </c>
      <c r="F2100" s="2940">
        <f>SUM(E2100/D2100)*100</f>
        <v>64.719571428571427</v>
      </c>
      <c r="G2100" s="3617">
        <v>60</v>
      </c>
      <c r="H2100" s="4658"/>
    </row>
    <row r="2101" spans="2:9" ht="15.75" hidden="1" customHeight="1" x14ac:dyDescent="0.25">
      <c r="B2101" s="441"/>
      <c r="C2101" s="2473" t="s">
        <v>1507</v>
      </c>
      <c r="D2101" s="4066">
        <v>200000000</v>
      </c>
      <c r="E2101" s="3617">
        <v>200000000</v>
      </c>
      <c r="F2101" s="2940">
        <f t="shared" ref="F2101:F2106" si="154">SUM(E2101/D2101)*100</f>
        <v>100</v>
      </c>
      <c r="G2101" s="2804">
        <v>100</v>
      </c>
      <c r="H2101" s="4654"/>
    </row>
    <row r="2102" spans="2:9" ht="16.5" hidden="1" customHeight="1" x14ac:dyDescent="0.25">
      <c r="B2102" s="441"/>
      <c r="C2102" s="2473" t="s">
        <v>3462</v>
      </c>
      <c r="D2102" s="4066">
        <v>0</v>
      </c>
      <c r="E2102" s="3617">
        <v>0</v>
      </c>
      <c r="F2102" s="2855">
        <v>0</v>
      </c>
      <c r="G2102" s="2855">
        <v>0</v>
      </c>
      <c r="H2102" s="4656"/>
    </row>
    <row r="2103" spans="2:9" ht="17.25" hidden="1" customHeight="1" x14ac:dyDescent="0.25">
      <c r="B2103" s="441"/>
      <c r="C2103" s="2473" t="s">
        <v>3463</v>
      </c>
      <c r="D2103" s="4066">
        <v>393750000</v>
      </c>
      <c r="E2103" s="3617">
        <v>393750000</v>
      </c>
      <c r="F2103" s="2940">
        <f t="shared" si="154"/>
        <v>100</v>
      </c>
      <c r="G2103" s="2804">
        <v>100</v>
      </c>
      <c r="H2103" s="4658"/>
    </row>
    <row r="2104" spans="2:9" ht="17.25" hidden="1" customHeight="1" x14ac:dyDescent="0.25">
      <c r="B2104" s="441"/>
      <c r="C2104" s="2473" t="s">
        <v>3464</v>
      </c>
      <c r="D2104" s="4066">
        <v>250000000</v>
      </c>
      <c r="E2104" s="3617">
        <v>250000000</v>
      </c>
      <c r="F2104" s="2940">
        <f t="shared" si="154"/>
        <v>100</v>
      </c>
      <c r="G2104" s="3617">
        <v>100</v>
      </c>
      <c r="H2104" s="4654"/>
    </row>
    <row r="2105" spans="2:9" ht="21" hidden="1" customHeight="1" x14ac:dyDescent="0.25">
      <c r="B2105" s="441"/>
      <c r="C2105" s="2473" t="s">
        <v>3465</v>
      </c>
      <c r="D2105" s="4066">
        <v>100000000</v>
      </c>
      <c r="E2105" s="3617">
        <v>100000000</v>
      </c>
      <c r="F2105" s="2940">
        <f t="shared" si="154"/>
        <v>100</v>
      </c>
      <c r="G2105" s="3617">
        <v>100</v>
      </c>
      <c r="H2105" s="4658"/>
    </row>
    <row r="2106" spans="2:9" ht="18" hidden="1" customHeight="1" x14ac:dyDescent="0.25">
      <c r="B2106" s="441"/>
      <c r="C2106" s="2473" t="s">
        <v>3466</v>
      </c>
      <c r="D2106" s="4066">
        <v>1500000000</v>
      </c>
      <c r="E2106" s="2804">
        <v>454215000</v>
      </c>
      <c r="F2106" s="2940">
        <f t="shared" si="154"/>
        <v>30.281000000000002</v>
      </c>
      <c r="G2106" s="2804">
        <v>50</v>
      </c>
      <c r="H2106" s="4658"/>
    </row>
    <row r="2107" spans="2:9" ht="20.25" hidden="1" customHeight="1" x14ac:dyDescent="0.25">
      <c r="B2107" s="441"/>
      <c r="C2107" s="2473" t="s">
        <v>4013</v>
      </c>
      <c r="D2107" s="4066">
        <v>250000000</v>
      </c>
      <c r="E2107" s="3140">
        <v>250000000</v>
      </c>
      <c r="F2107" s="2804">
        <v>0</v>
      </c>
      <c r="G2107" s="2804">
        <v>0</v>
      </c>
      <c r="H2107" s="4658"/>
    </row>
    <row r="2108" spans="2:9" ht="9.75" hidden="1" customHeight="1" x14ac:dyDescent="0.25">
      <c r="B2108" s="441"/>
      <c r="C2108" s="2473"/>
      <c r="D2108" s="4066"/>
      <c r="E2108" s="2804"/>
      <c r="F2108" s="2804"/>
      <c r="G2108" s="2804"/>
      <c r="H2108" s="1463"/>
    </row>
    <row r="2109" spans="2:9" ht="19.5" customHeight="1" x14ac:dyDescent="0.25">
      <c r="B2109" s="441"/>
      <c r="C2109" s="2525" t="s">
        <v>1508</v>
      </c>
      <c r="D2109" s="4065">
        <f>SUM(D2110:D2117)</f>
        <v>2480800000</v>
      </c>
      <c r="E2109" s="2695">
        <f>SUM(E2110:E2117)</f>
        <v>2091200000</v>
      </c>
      <c r="F2109" s="2942">
        <f>SUM(E2109/D2109)*100</f>
        <v>84.29538858432764</v>
      </c>
      <c r="G2109" s="3250">
        <f>SUM(G2110:G2117)/7</f>
        <v>92.857142857142861</v>
      </c>
      <c r="H2109" s="4659"/>
    </row>
    <row r="2110" spans="2:9" ht="14.25" hidden="1" customHeight="1" x14ac:dyDescent="0.25">
      <c r="B2110" s="441"/>
      <c r="C2110" s="2473" t="s">
        <v>1509</v>
      </c>
      <c r="D2110" s="4066">
        <v>150000000</v>
      </c>
      <c r="E2110" s="2804">
        <v>150000000</v>
      </c>
      <c r="F2110" s="2940">
        <f>SUM(E2110/D2110)*100</f>
        <v>100</v>
      </c>
      <c r="G2110" s="2804">
        <v>100</v>
      </c>
      <c r="H2110" s="4658"/>
    </row>
    <row r="2111" spans="2:9" ht="18" hidden="1" customHeight="1" x14ac:dyDescent="0.25">
      <c r="B2111" s="441"/>
      <c r="C2111" s="2473" t="s">
        <v>1510</v>
      </c>
      <c r="D2111" s="4066">
        <v>1451100000</v>
      </c>
      <c r="E2111" s="2804">
        <v>1061500000</v>
      </c>
      <c r="F2111" s="2940">
        <f t="shared" ref="F2111:F2117" si="155">SUM(E2111/D2111)*100</f>
        <v>73.15140238439804</v>
      </c>
      <c r="G2111" s="2804">
        <v>100</v>
      </c>
      <c r="H2111" s="4658"/>
    </row>
    <row r="2112" spans="2:9" ht="15.75" hidden="1" customHeight="1" x14ac:dyDescent="0.25">
      <c r="B2112" s="441"/>
      <c r="C2112" s="2473" t="s">
        <v>1511</v>
      </c>
      <c r="D2112" s="4066">
        <v>93100000</v>
      </c>
      <c r="E2112" s="2804">
        <v>93100000</v>
      </c>
      <c r="F2112" s="2940">
        <f t="shared" si="155"/>
        <v>100</v>
      </c>
      <c r="G2112" s="2804">
        <v>100</v>
      </c>
      <c r="H2112" s="4654"/>
    </row>
    <row r="2113" spans="2:8" ht="14.25" hidden="1" customHeight="1" x14ac:dyDescent="0.25">
      <c r="B2113" s="441"/>
      <c r="C2113" s="2473" t="s">
        <v>1512</v>
      </c>
      <c r="D2113" s="4066">
        <v>0</v>
      </c>
      <c r="E2113" s="3140">
        <v>0</v>
      </c>
      <c r="F2113" s="3140">
        <v>0</v>
      </c>
      <c r="G2113" s="3140">
        <v>0</v>
      </c>
      <c r="H2113" s="4658"/>
    </row>
    <row r="2114" spans="2:8" ht="15.75" hidden="1" customHeight="1" x14ac:dyDescent="0.25">
      <c r="B2114" s="441"/>
      <c r="C2114" s="2473" t="s">
        <v>1513</v>
      </c>
      <c r="D2114" s="4066">
        <v>100000000</v>
      </c>
      <c r="E2114" s="2804">
        <v>100000000</v>
      </c>
      <c r="F2114" s="2940">
        <f t="shared" si="155"/>
        <v>100</v>
      </c>
      <c r="G2114" s="2804">
        <v>100</v>
      </c>
      <c r="H2114" s="4654"/>
    </row>
    <row r="2115" spans="2:8" ht="15.75" hidden="1" customHeight="1" x14ac:dyDescent="0.25">
      <c r="B2115" s="441"/>
      <c r="C2115" s="2473" t="s">
        <v>1514</v>
      </c>
      <c r="D2115" s="4066">
        <v>86600000</v>
      </c>
      <c r="E2115" s="2804">
        <v>86600000</v>
      </c>
      <c r="F2115" s="2940">
        <f t="shared" si="155"/>
        <v>100</v>
      </c>
      <c r="G2115" s="2804">
        <v>100</v>
      </c>
      <c r="H2115" s="4658"/>
    </row>
    <row r="2116" spans="2:8" ht="18.75" hidden="1" customHeight="1" x14ac:dyDescent="0.25">
      <c r="B2116" s="441"/>
      <c r="C2116" s="2473" t="s">
        <v>1515</v>
      </c>
      <c r="D2116" s="4066">
        <v>100000000</v>
      </c>
      <c r="E2116" s="2690">
        <v>100000000</v>
      </c>
      <c r="F2116" s="2940">
        <f t="shared" si="155"/>
        <v>100</v>
      </c>
      <c r="G2116" s="2690">
        <v>100</v>
      </c>
      <c r="H2116" s="4656"/>
    </row>
    <row r="2117" spans="2:8" ht="18" hidden="1" customHeight="1" x14ac:dyDescent="0.25">
      <c r="B2117" s="441"/>
      <c r="C2117" s="2475" t="s">
        <v>1516</v>
      </c>
      <c r="D2117" s="4071">
        <v>500000000</v>
      </c>
      <c r="E2117" s="2690">
        <v>500000000</v>
      </c>
      <c r="F2117" s="2940">
        <f t="shared" si="155"/>
        <v>100</v>
      </c>
      <c r="G2117" s="2690">
        <v>50</v>
      </c>
      <c r="H2117" s="4658"/>
    </row>
    <row r="2118" spans="2:8" ht="10.5" hidden="1" customHeight="1" x14ac:dyDescent="0.25">
      <c r="B2118" s="441"/>
      <c r="C2118" s="2474"/>
      <c r="D2118" s="4285"/>
      <c r="E2118" s="3035"/>
      <c r="F2118" s="3035"/>
      <c r="G2118" s="3035"/>
      <c r="H2118" s="1463"/>
    </row>
    <row r="2119" spans="2:8" ht="16.5" customHeight="1" x14ac:dyDescent="0.25">
      <c r="B2119" s="441"/>
      <c r="C2119" s="2474" t="s">
        <v>1517</v>
      </c>
      <c r="D2119" s="4065">
        <f>D2120</f>
        <v>450000000</v>
      </c>
      <c r="E2119" s="2695">
        <f>E2120</f>
        <v>450000000</v>
      </c>
      <c r="F2119" s="2942">
        <f>SUM(E2119/D2119)*100</f>
        <v>100</v>
      </c>
      <c r="G2119" s="2695">
        <f>G2120</f>
        <v>100</v>
      </c>
      <c r="H2119" s="1463"/>
    </row>
    <row r="2120" spans="2:8" ht="15.75" hidden="1" customHeight="1" x14ac:dyDescent="0.25">
      <c r="B2120" s="441"/>
      <c r="C2120" s="2473" t="s">
        <v>1518</v>
      </c>
      <c r="D2120" s="4066">
        <v>450000000</v>
      </c>
      <c r="E2120" s="2690">
        <v>450000000</v>
      </c>
      <c r="F2120" s="2940">
        <f>SUM(E2120/D2120)*100</f>
        <v>100</v>
      </c>
      <c r="G2120" s="2690">
        <v>100</v>
      </c>
      <c r="H2120" s="1463"/>
    </row>
    <row r="2121" spans="2:8" ht="9.75" hidden="1" customHeight="1" x14ac:dyDescent="0.25">
      <c r="B2121" s="441"/>
      <c r="C2121" s="2474"/>
      <c r="D2121" s="4285"/>
      <c r="E2121" s="3035"/>
      <c r="F2121" s="3035"/>
      <c r="G2121" s="3035"/>
      <c r="H2121" s="1463"/>
    </row>
    <row r="2122" spans="2:8" ht="14.25" customHeight="1" x14ac:dyDescent="0.25">
      <c r="B2122" s="441"/>
      <c r="C2122" s="2474" t="s">
        <v>1519</v>
      </c>
      <c r="D2122" s="4065">
        <f>SUM(D2123:D2133)</f>
        <v>1173950000</v>
      </c>
      <c r="E2122" s="3998">
        <f>SUM(E2123:E2133)</f>
        <v>1073950000</v>
      </c>
      <c r="F2122" s="2942">
        <f>SUM(E2122/D2122)*100</f>
        <v>91.48174964862217</v>
      </c>
      <c r="G2122" s="2695">
        <f>SUM(G2123:G2133)/10</f>
        <v>90</v>
      </c>
      <c r="H2122" s="1463"/>
    </row>
    <row r="2123" spans="2:8" ht="14.25" hidden="1" customHeight="1" x14ac:dyDescent="0.25">
      <c r="B2123" s="441"/>
      <c r="C2123" s="2473" t="s">
        <v>1520</v>
      </c>
      <c r="D2123" s="4071">
        <v>150000000</v>
      </c>
      <c r="E2123" s="2690">
        <v>150000000</v>
      </c>
      <c r="F2123" s="2940">
        <f>SUM(E2123/D2123)*100</f>
        <v>100</v>
      </c>
      <c r="G2123" s="2690">
        <v>100</v>
      </c>
      <c r="H2123" s="1463"/>
    </row>
    <row r="2124" spans="2:8" ht="15" hidden="1" customHeight="1" x14ac:dyDescent="0.25">
      <c r="B2124" s="441"/>
      <c r="C2124" s="2473" t="s">
        <v>1521</v>
      </c>
      <c r="D2124" s="4071">
        <v>150000000</v>
      </c>
      <c r="E2124" s="2968">
        <v>150000000</v>
      </c>
      <c r="F2124" s="2940">
        <f t="shared" ref="F2124:F2125" si="156">SUM(E2124/D2124)*100</f>
        <v>100</v>
      </c>
      <c r="G2124" s="2690">
        <v>100</v>
      </c>
      <c r="H2124" s="1463"/>
    </row>
    <row r="2125" spans="2:8" ht="15" hidden="1" customHeight="1" x14ac:dyDescent="0.25">
      <c r="B2125" s="441"/>
      <c r="C2125" s="2473" t="s">
        <v>1522</v>
      </c>
      <c r="D2125" s="4071">
        <v>137550000</v>
      </c>
      <c r="E2125" s="2968">
        <v>137550000</v>
      </c>
      <c r="F2125" s="2940">
        <f t="shared" si="156"/>
        <v>100</v>
      </c>
      <c r="G2125" s="2690">
        <v>100</v>
      </c>
      <c r="H2125" s="1463"/>
    </row>
    <row r="2126" spans="2:8" ht="14.25" hidden="1" customHeight="1" x14ac:dyDescent="0.25">
      <c r="B2126" s="441"/>
      <c r="C2126" s="2473" t="s">
        <v>1523</v>
      </c>
      <c r="D2126" s="4071">
        <v>136400000</v>
      </c>
      <c r="E2126" s="2690">
        <v>136400000</v>
      </c>
      <c r="F2126" s="2940">
        <f>SUM(E2126/D2126)*100</f>
        <v>100</v>
      </c>
      <c r="G2126" s="2690">
        <v>100</v>
      </c>
      <c r="H2126" s="1463"/>
    </row>
    <row r="2127" spans="2:8" ht="16.5" hidden="1" customHeight="1" x14ac:dyDescent="0.25">
      <c r="B2127" s="441"/>
      <c r="C2127" s="2473" t="s">
        <v>1524</v>
      </c>
      <c r="D2127" s="4071">
        <v>100000000</v>
      </c>
      <c r="E2127" s="2690">
        <v>100000000</v>
      </c>
      <c r="F2127" s="2940">
        <f t="shared" ref="F2127:F2128" si="157">SUM(E2127/D2127)*100</f>
        <v>100</v>
      </c>
      <c r="G2127" s="2690">
        <v>100</v>
      </c>
      <c r="H2127" s="1463"/>
    </row>
    <row r="2128" spans="2:8" ht="14.25" hidden="1" customHeight="1" x14ac:dyDescent="0.25">
      <c r="B2128" s="441"/>
      <c r="C2128" s="2473" t="s">
        <v>1525</v>
      </c>
      <c r="D2128" s="4071">
        <v>150000000</v>
      </c>
      <c r="E2128" s="2690">
        <v>150000000</v>
      </c>
      <c r="F2128" s="2940">
        <f t="shared" si="157"/>
        <v>100</v>
      </c>
      <c r="G2128" s="2690">
        <v>100</v>
      </c>
      <c r="H2128" s="1463"/>
    </row>
    <row r="2129" spans="2:8" ht="13.5" hidden="1" customHeight="1" x14ac:dyDescent="0.25">
      <c r="B2129" s="441"/>
      <c r="C2129" s="2473" t="s">
        <v>1526</v>
      </c>
      <c r="D2129" s="4071">
        <v>100000000</v>
      </c>
      <c r="E2129" s="2968">
        <v>0</v>
      </c>
      <c r="F2129" s="2968">
        <v>0</v>
      </c>
      <c r="G2129" s="2968">
        <v>0</v>
      </c>
      <c r="H2129" s="1463"/>
    </row>
    <row r="2130" spans="2:8" ht="15" hidden="1" customHeight="1" x14ac:dyDescent="0.25">
      <c r="B2130" s="441"/>
      <c r="C2130" s="2473" t="s">
        <v>1527</v>
      </c>
      <c r="D2130" s="4071">
        <v>0</v>
      </c>
      <c r="E2130" s="2690">
        <v>0</v>
      </c>
      <c r="F2130" s="2690">
        <v>0</v>
      </c>
      <c r="G2130" s="2690">
        <v>0</v>
      </c>
      <c r="H2130" s="1463"/>
    </row>
    <row r="2131" spans="2:8" ht="18" hidden="1" customHeight="1" x14ac:dyDescent="0.25">
      <c r="B2131" s="441"/>
      <c r="C2131" s="2473" t="s">
        <v>1528</v>
      </c>
      <c r="D2131" s="4071">
        <v>50000000</v>
      </c>
      <c r="E2131" s="2968">
        <v>50000000</v>
      </c>
      <c r="F2131" s="2940">
        <f>SUM(E2131/D2131)*100</f>
        <v>100</v>
      </c>
      <c r="G2131" s="2968">
        <v>100</v>
      </c>
      <c r="H2131" s="1463"/>
    </row>
    <row r="2132" spans="2:8" ht="18" hidden="1" customHeight="1" x14ac:dyDescent="0.25">
      <c r="B2132" s="441"/>
      <c r="C2132" s="3672" t="s">
        <v>3467</v>
      </c>
      <c r="D2132" s="4301">
        <v>100000000</v>
      </c>
      <c r="E2132" s="2752">
        <v>100000000</v>
      </c>
      <c r="F2132" s="2940">
        <f>SUM(E2132/D2132)*100</f>
        <v>100</v>
      </c>
      <c r="G2132" s="2752">
        <v>100</v>
      </c>
      <c r="H2132" s="1463"/>
    </row>
    <row r="2133" spans="2:8" ht="18" hidden="1" customHeight="1" x14ac:dyDescent="0.25">
      <c r="B2133" s="444"/>
      <c r="C2133" s="3672" t="s">
        <v>3471</v>
      </c>
      <c r="D2133" s="4066">
        <v>100000000</v>
      </c>
      <c r="E2133" s="2690">
        <v>100000000</v>
      </c>
      <c r="F2133" s="2940">
        <f>SUM(E2133/D2133)*100</f>
        <v>100</v>
      </c>
      <c r="G2133" s="2690">
        <v>100</v>
      </c>
      <c r="H2133" s="1463"/>
    </row>
    <row r="2134" spans="2:8" ht="15.75" hidden="1" customHeight="1" x14ac:dyDescent="0.25">
      <c r="B2134" s="441"/>
      <c r="C2134" s="2478"/>
      <c r="D2134" s="4332"/>
      <c r="E2134" s="4052"/>
      <c r="F2134" s="2784"/>
      <c r="G2134" s="2784"/>
      <c r="H2134" s="1463"/>
    </row>
    <row r="2135" spans="2:8" ht="15.75" customHeight="1" x14ac:dyDescent="0.25">
      <c r="B2135" s="440"/>
      <c r="C2135" s="2532" t="s">
        <v>398</v>
      </c>
      <c r="D2135" s="4106">
        <f>SUM(D2136+D2146+D2152+D2158+D2188+D2194)</f>
        <v>17000200000</v>
      </c>
      <c r="E2135" s="2672">
        <f>SUM(E2136+E2146+E2152+E2158+E2188+E2194)</f>
        <v>14070473000</v>
      </c>
      <c r="F2135" s="2672">
        <f>E2135/D2135*100</f>
        <v>82.766514511593982</v>
      </c>
      <c r="G2135" s="2672">
        <f>SUM(G2136+G2146+G2152+G2158+G2188+G2194)/6</f>
        <v>77.508928571428569</v>
      </c>
      <c r="H2135" s="1463"/>
    </row>
    <row r="2136" spans="2:8" ht="17.25" customHeight="1" x14ac:dyDescent="0.25">
      <c r="B2136" s="441"/>
      <c r="C2136" s="2536" t="s">
        <v>1529</v>
      </c>
      <c r="D2136" s="4311">
        <f>SUM(D2137:D2144)</f>
        <v>3783200000</v>
      </c>
      <c r="E2136" s="2824">
        <f>SUM(E2137:E2144)</f>
        <v>3343518000</v>
      </c>
      <c r="F2136" s="2942">
        <f>E2136/D2136*100</f>
        <v>88.378039754705</v>
      </c>
      <c r="G2136" s="2734">
        <f>SUM(G2137:G2144)/8</f>
        <v>53.125</v>
      </c>
      <c r="H2136" s="1463"/>
    </row>
    <row r="2137" spans="2:8" ht="15.75" hidden="1" customHeight="1" x14ac:dyDescent="0.25">
      <c r="B2137" s="441"/>
      <c r="C2137" s="2473" t="s">
        <v>1530</v>
      </c>
      <c r="D2137" s="4066">
        <v>100000000</v>
      </c>
      <c r="E2137" s="2968">
        <v>0</v>
      </c>
      <c r="F2137" s="2968">
        <v>0</v>
      </c>
      <c r="G2137" s="2968">
        <v>0</v>
      </c>
      <c r="H2137" s="1463"/>
    </row>
    <row r="2138" spans="2:8" ht="15.75" hidden="1" customHeight="1" x14ac:dyDescent="0.25">
      <c r="B2138" s="441"/>
      <c r="C2138" s="2473" t="s">
        <v>1531</v>
      </c>
      <c r="D2138" s="4066">
        <v>100000000</v>
      </c>
      <c r="E2138" s="2968">
        <v>0</v>
      </c>
      <c r="F2138" s="2968">
        <v>0</v>
      </c>
      <c r="G2138" s="2968">
        <v>0</v>
      </c>
      <c r="H2138" s="1463"/>
    </row>
    <row r="2139" spans="2:8" ht="18" hidden="1" customHeight="1" x14ac:dyDescent="0.25">
      <c r="B2139" s="441"/>
      <c r="C2139" s="2473" t="s">
        <v>1532</v>
      </c>
      <c r="D2139" s="4066">
        <v>100000000</v>
      </c>
      <c r="E2139" s="2968">
        <v>0</v>
      </c>
      <c r="F2139" s="2968">
        <v>0</v>
      </c>
      <c r="G2139" s="2968">
        <v>0</v>
      </c>
      <c r="H2139" s="1463"/>
    </row>
    <row r="2140" spans="2:8" ht="15.75" hidden="1" customHeight="1" x14ac:dyDescent="0.25">
      <c r="B2140" s="441"/>
      <c r="C2140" s="2473" t="s">
        <v>1533</v>
      </c>
      <c r="D2140" s="4066">
        <v>2083200000</v>
      </c>
      <c r="E2140" s="2690">
        <v>2083200000</v>
      </c>
      <c r="F2140" s="2940">
        <f>SUM(E2140/D2140)*100</f>
        <v>100</v>
      </c>
      <c r="G2140" s="2690">
        <v>100</v>
      </c>
      <c r="H2140" s="1463"/>
    </row>
    <row r="2141" spans="2:8" ht="14.25" hidden="1" customHeight="1" x14ac:dyDescent="0.25">
      <c r="B2141" s="441"/>
      <c r="C2141" s="2473" t="s">
        <v>1534</v>
      </c>
      <c r="D2141" s="4066">
        <v>200000000</v>
      </c>
      <c r="E2141" s="2690">
        <v>98318000</v>
      </c>
      <c r="F2141" s="2940">
        <f>SUM(E2141/D2141)*100</f>
        <v>49.159000000000006</v>
      </c>
      <c r="G2141" s="2690">
        <v>50</v>
      </c>
      <c r="H2141" s="1463"/>
    </row>
    <row r="2142" spans="2:8" ht="15.75" hidden="1" customHeight="1" x14ac:dyDescent="0.25">
      <c r="B2142" s="441"/>
      <c r="C2142" s="2473" t="s">
        <v>1535</v>
      </c>
      <c r="D2142" s="4066">
        <v>800000000</v>
      </c>
      <c r="E2142" s="2968">
        <v>800000000</v>
      </c>
      <c r="F2142" s="2940">
        <f>SUM(E2142/D2142)*100</f>
        <v>100</v>
      </c>
      <c r="G2142" s="2968">
        <v>100</v>
      </c>
      <c r="H2142" s="1463"/>
    </row>
    <row r="2143" spans="2:8" ht="17.25" hidden="1" customHeight="1" x14ac:dyDescent="0.25">
      <c r="B2143" s="441"/>
      <c r="C2143" s="2473" t="s">
        <v>1536</v>
      </c>
      <c r="D2143" s="4066">
        <v>100000000</v>
      </c>
      <c r="E2143" s="2968">
        <v>100000000</v>
      </c>
      <c r="F2143" s="2940">
        <f>SUM(E2143/D2143)*100</f>
        <v>100</v>
      </c>
      <c r="G2143" s="2968">
        <v>100</v>
      </c>
      <c r="H2143" s="1463"/>
    </row>
    <row r="2144" spans="2:8" ht="18" hidden="1" customHeight="1" x14ac:dyDescent="0.25">
      <c r="B2144" s="441"/>
      <c r="C2144" s="2473" t="s">
        <v>1537</v>
      </c>
      <c r="D2144" s="4066">
        <v>300000000</v>
      </c>
      <c r="E2144" s="2968">
        <v>262000000</v>
      </c>
      <c r="F2144" s="2940">
        <f>SUM(E2144/D2144)*100</f>
        <v>87.333333333333329</v>
      </c>
      <c r="G2144" s="2968">
        <v>75</v>
      </c>
      <c r="H2144" s="1463"/>
    </row>
    <row r="2145" spans="2:8" ht="10.5" hidden="1" customHeight="1" x14ac:dyDescent="0.25">
      <c r="B2145" s="441"/>
      <c r="C2145" s="2473"/>
      <c r="D2145" s="4066"/>
      <c r="E2145" s="2690"/>
      <c r="F2145" s="2804"/>
      <c r="G2145" s="2690"/>
      <c r="H2145" s="1463"/>
    </row>
    <row r="2146" spans="2:8" ht="17.25" customHeight="1" x14ac:dyDescent="0.25">
      <c r="B2146" s="441"/>
      <c r="C2146" s="2525" t="s">
        <v>3508</v>
      </c>
      <c r="D2146" s="4065">
        <f>SUM(D2147:D2150)</f>
        <v>600000000</v>
      </c>
      <c r="E2146" s="2695">
        <f>SUM(E2147:E2150)</f>
        <v>505200000</v>
      </c>
      <c r="F2146" s="2942">
        <f>E2146/D2146*100</f>
        <v>84.2</v>
      </c>
      <c r="G2146" s="2966">
        <f>SUM(G2147:G2150)/4</f>
        <v>85</v>
      </c>
      <c r="H2146" s="1463"/>
    </row>
    <row r="2147" spans="2:8" ht="16.5" hidden="1" customHeight="1" x14ac:dyDescent="0.25">
      <c r="B2147" s="441"/>
      <c r="C2147" s="2473" t="s">
        <v>3509</v>
      </c>
      <c r="D2147" s="4066">
        <v>50000000</v>
      </c>
      <c r="E2147" s="2968">
        <v>50000000</v>
      </c>
      <c r="F2147" s="2940">
        <f>SUM(E2147/D2147)*100</f>
        <v>100</v>
      </c>
      <c r="G2147" s="2968">
        <v>100</v>
      </c>
      <c r="H2147" s="1463"/>
    </row>
    <row r="2148" spans="2:8" ht="14.25" hidden="1" customHeight="1" x14ac:dyDescent="0.25">
      <c r="B2148" s="441"/>
      <c r="C2148" s="2473" t="s">
        <v>3510</v>
      </c>
      <c r="D2148" s="4066">
        <v>200000000</v>
      </c>
      <c r="E2148" s="2968">
        <v>200000000</v>
      </c>
      <c r="F2148" s="2940">
        <f t="shared" ref="F2148:F2150" si="158">SUM(E2148/D2148)*100</f>
        <v>100</v>
      </c>
      <c r="G2148" s="2968">
        <v>100</v>
      </c>
      <c r="H2148" s="1463"/>
    </row>
    <row r="2149" spans="2:8" ht="15.75" hidden="1" customHeight="1" x14ac:dyDescent="0.25">
      <c r="B2149" s="441"/>
      <c r="C2149" s="2473" t="s">
        <v>3511</v>
      </c>
      <c r="D2149" s="4066">
        <v>150000000</v>
      </c>
      <c r="E2149" s="2968">
        <v>55200000</v>
      </c>
      <c r="F2149" s="2940">
        <f t="shared" si="158"/>
        <v>36.799999999999997</v>
      </c>
      <c r="G2149" s="2968">
        <v>40</v>
      </c>
      <c r="H2149" s="1463"/>
    </row>
    <row r="2150" spans="2:8" ht="15" hidden="1" customHeight="1" x14ac:dyDescent="0.25">
      <c r="B2150" s="441"/>
      <c r="C2150" s="2475" t="s">
        <v>3512</v>
      </c>
      <c r="D2150" s="4301">
        <v>200000000</v>
      </c>
      <c r="E2150" s="2968">
        <v>200000000</v>
      </c>
      <c r="F2150" s="2940">
        <f t="shared" si="158"/>
        <v>100</v>
      </c>
      <c r="G2150" s="2968">
        <v>100</v>
      </c>
      <c r="H2150" s="1463"/>
    </row>
    <row r="2151" spans="2:8" ht="9" hidden="1" customHeight="1" x14ac:dyDescent="0.25">
      <c r="B2151" s="441"/>
      <c r="C2151" s="2474"/>
      <c r="D2151" s="4276"/>
      <c r="E2151" s="3035"/>
      <c r="F2151" s="3035"/>
      <c r="G2151" s="3035"/>
      <c r="H2151" s="1463"/>
    </row>
    <row r="2152" spans="2:8" ht="21.75" customHeight="1" x14ac:dyDescent="0.25">
      <c r="B2152" s="441"/>
      <c r="C2152" s="2525" t="s">
        <v>3513</v>
      </c>
      <c r="D2152" s="4065">
        <f>SUM(D2153:D2156)</f>
        <v>162000000</v>
      </c>
      <c r="E2152" s="2695">
        <f>SUM(E2153:E2156)</f>
        <v>162000000</v>
      </c>
      <c r="F2152" s="2942">
        <f>E2152/D2152*100</f>
        <v>100</v>
      </c>
      <c r="G2152" s="2966">
        <f>SUM(G2153:G2156)/4</f>
        <v>100</v>
      </c>
      <c r="H2152" s="1463"/>
    </row>
    <row r="2153" spans="2:8" ht="18" hidden="1" customHeight="1" x14ac:dyDescent="0.25">
      <c r="B2153" s="441"/>
      <c r="C2153" s="2473" t="s">
        <v>3514</v>
      </c>
      <c r="D2153" s="4066">
        <v>10000000</v>
      </c>
      <c r="E2153" s="2968">
        <v>10000000</v>
      </c>
      <c r="F2153" s="2940">
        <f>SUM(E2153/D2153)*100</f>
        <v>100</v>
      </c>
      <c r="G2153" s="2968">
        <v>100</v>
      </c>
      <c r="H2153" s="1463"/>
    </row>
    <row r="2154" spans="2:8" ht="15.75" hidden="1" customHeight="1" x14ac:dyDescent="0.25">
      <c r="B2154" s="441"/>
      <c r="C2154" s="2473" t="s">
        <v>3515</v>
      </c>
      <c r="D2154" s="4066">
        <v>100000000</v>
      </c>
      <c r="E2154" s="2968">
        <v>100000000</v>
      </c>
      <c r="F2154" s="2940">
        <f t="shared" ref="F2154:F2156" si="159">SUM(E2154/D2154)*100</f>
        <v>100</v>
      </c>
      <c r="G2154" s="2968">
        <v>100</v>
      </c>
      <c r="H2154" s="1463"/>
    </row>
    <row r="2155" spans="2:8" ht="14.25" hidden="1" customHeight="1" x14ac:dyDescent="0.25">
      <c r="B2155" s="441"/>
      <c r="C2155" s="2473" t="s">
        <v>3516</v>
      </c>
      <c r="D2155" s="4066">
        <v>12000000</v>
      </c>
      <c r="E2155" s="2968">
        <v>12000000</v>
      </c>
      <c r="F2155" s="2940">
        <f t="shared" si="159"/>
        <v>100</v>
      </c>
      <c r="G2155" s="2968">
        <v>100</v>
      </c>
      <c r="H2155" s="1463"/>
    </row>
    <row r="2156" spans="2:8" ht="16.5" hidden="1" customHeight="1" x14ac:dyDescent="0.25">
      <c r="B2156" s="441"/>
      <c r="C2156" s="2473" t="s">
        <v>3517</v>
      </c>
      <c r="D2156" s="4066">
        <v>40000000</v>
      </c>
      <c r="E2156" s="2968">
        <v>40000000</v>
      </c>
      <c r="F2156" s="2940">
        <f t="shared" si="159"/>
        <v>100</v>
      </c>
      <c r="G2156" s="2968">
        <v>100</v>
      </c>
      <c r="H2156" s="1463"/>
    </row>
    <row r="2157" spans="2:8" ht="9" hidden="1" customHeight="1" x14ac:dyDescent="0.25">
      <c r="B2157" s="441"/>
      <c r="C2157" s="2478"/>
      <c r="D2157" s="4276"/>
      <c r="E2157" s="3035"/>
      <c r="F2157" s="3035"/>
      <c r="G2157" s="3035"/>
      <c r="H2157" s="1463"/>
    </row>
    <row r="2158" spans="2:8" ht="29.25" customHeight="1" x14ac:dyDescent="0.25">
      <c r="B2158" s="441"/>
      <c r="C2158" s="2525" t="s">
        <v>3518</v>
      </c>
      <c r="D2158" s="4065">
        <f>SUM(D2159:D2186)</f>
        <v>10850000000</v>
      </c>
      <c r="E2158" s="2695">
        <f>SUM(E2159:E2186)</f>
        <v>8899755000</v>
      </c>
      <c r="F2158" s="2725">
        <f t="shared" ref="F2158:F2167" si="160">E2158/D2158*100</f>
        <v>82.025391705069126</v>
      </c>
      <c r="G2158" s="2695">
        <f>SUM(G2159:G2186)/28</f>
        <v>88.928571428571431</v>
      </c>
      <c r="H2158" s="1463"/>
    </row>
    <row r="2159" spans="2:8" ht="16.5" hidden="1" customHeight="1" x14ac:dyDescent="0.25">
      <c r="B2159" s="441"/>
      <c r="C2159" s="2473" t="s">
        <v>3519</v>
      </c>
      <c r="D2159" s="4066">
        <v>600000000</v>
      </c>
      <c r="E2159" s="2690">
        <v>600000000</v>
      </c>
      <c r="F2159" s="2804">
        <f t="shared" si="160"/>
        <v>100</v>
      </c>
      <c r="G2159" s="2690">
        <v>100</v>
      </c>
      <c r="H2159" s="1463"/>
    </row>
    <row r="2160" spans="2:8" ht="16.5" hidden="1" customHeight="1" x14ac:dyDescent="0.25">
      <c r="B2160" s="441"/>
      <c r="C2160" s="2473" t="s">
        <v>3520</v>
      </c>
      <c r="D2160" s="4066">
        <v>300000000</v>
      </c>
      <c r="E2160" s="2804">
        <v>300000000</v>
      </c>
      <c r="F2160" s="2804">
        <f t="shared" si="160"/>
        <v>100</v>
      </c>
      <c r="G2160" s="2690">
        <v>100</v>
      </c>
      <c r="H2160" s="1463"/>
    </row>
    <row r="2161" spans="2:8" ht="16.5" hidden="1" customHeight="1" x14ac:dyDescent="0.25">
      <c r="B2161" s="441"/>
      <c r="C2161" s="2473" t="s">
        <v>3521</v>
      </c>
      <c r="D2161" s="4066">
        <v>300000000</v>
      </c>
      <c r="E2161" s="2804">
        <v>300000000</v>
      </c>
      <c r="F2161" s="2804">
        <f t="shared" si="160"/>
        <v>100</v>
      </c>
      <c r="G2161" s="2804">
        <v>100</v>
      </c>
      <c r="H2161" s="1463"/>
    </row>
    <row r="2162" spans="2:8" ht="16.5" hidden="1" customHeight="1" x14ac:dyDescent="0.25">
      <c r="B2162" s="441"/>
      <c r="C2162" s="2475" t="s">
        <v>3522</v>
      </c>
      <c r="D2162" s="4301">
        <v>300000000</v>
      </c>
      <c r="E2162" s="2830">
        <v>300000000</v>
      </c>
      <c r="F2162" s="2804">
        <f t="shared" si="160"/>
        <v>100</v>
      </c>
      <c r="G2162" s="2804">
        <v>100</v>
      </c>
      <c r="H2162" s="1463"/>
    </row>
    <row r="2163" spans="2:8" ht="16.5" hidden="1" customHeight="1" x14ac:dyDescent="0.25">
      <c r="B2163" s="441"/>
      <c r="C2163" s="2473" t="s">
        <v>3523</v>
      </c>
      <c r="D2163" s="4066">
        <v>100000000</v>
      </c>
      <c r="E2163" s="2685">
        <v>100000000</v>
      </c>
      <c r="F2163" s="2804">
        <f t="shared" si="160"/>
        <v>100</v>
      </c>
      <c r="G2163" s="2804">
        <v>100</v>
      </c>
      <c r="H2163" s="1463"/>
    </row>
    <row r="2164" spans="2:8" ht="16.5" hidden="1" customHeight="1" x14ac:dyDescent="0.25">
      <c r="B2164" s="441"/>
      <c r="C2164" s="2473" t="s">
        <v>3524</v>
      </c>
      <c r="D2164" s="4066">
        <v>100000000</v>
      </c>
      <c r="E2164" s="2685">
        <v>100000000</v>
      </c>
      <c r="F2164" s="2804">
        <f t="shared" si="160"/>
        <v>100</v>
      </c>
      <c r="G2164" s="2804">
        <v>100</v>
      </c>
      <c r="H2164" s="1463"/>
    </row>
    <row r="2165" spans="2:8" ht="16.5" hidden="1" customHeight="1" x14ac:dyDescent="0.25">
      <c r="B2165" s="441"/>
      <c r="C2165" s="2473" t="s">
        <v>3525</v>
      </c>
      <c r="D2165" s="4066">
        <v>100000000</v>
      </c>
      <c r="E2165" s="2685">
        <v>100000000</v>
      </c>
      <c r="F2165" s="2804">
        <f t="shared" si="160"/>
        <v>100</v>
      </c>
      <c r="G2165" s="2804">
        <v>100</v>
      </c>
      <c r="H2165" s="1463"/>
    </row>
    <row r="2166" spans="2:8" ht="16.5" hidden="1" customHeight="1" x14ac:dyDescent="0.25">
      <c r="B2166" s="441"/>
      <c r="C2166" s="2473" t="s">
        <v>3526</v>
      </c>
      <c r="D2166" s="4066">
        <v>100000000</v>
      </c>
      <c r="E2166" s="2685">
        <v>100000000</v>
      </c>
      <c r="F2166" s="2804">
        <f t="shared" si="160"/>
        <v>100</v>
      </c>
      <c r="G2166" s="2804">
        <v>100</v>
      </c>
      <c r="H2166" s="1463"/>
    </row>
    <row r="2167" spans="2:8" ht="16.5" hidden="1" customHeight="1" x14ac:dyDescent="0.25">
      <c r="B2167" s="441"/>
      <c r="C2167" s="2473" t="s">
        <v>3527</v>
      </c>
      <c r="D2167" s="4066">
        <v>100000000</v>
      </c>
      <c r="E2167" s="2685">
        <v>100000000</v>
      </c>
      <c r="F2167" s="2804">
        <f t="shared" si="160"/>
        <v>100</v>
      </c>
      <c r="G2167" s="2804">
        <v>100</v>
      </c>
      <c r="H2167" s="1463"/>
    </row>
    <row r="2168" spans="2:8" ht="16.5" hidden="1" customHeight="1" x14ac:dyDescent="0.25">
      <c r="B2168" s="441"/>
      <c r="C2168" s="2473" t="s">
        <v>3528</v>
      </c>
      <c r="D2168" s="4066">
        <v>200000000</v>
      </c>
      <c r="E2168" s="2685">
        <v>200000000</v>
      </c>
      <c r="F2168" s="2804">
        <f>E2168/D2168*100</f>
        <v>100</v>
      </c>
      <c r="G2168" s="2685">
        <v>100</v>
      </c>
      <c r="H2168" s="1463"/>
    </row>
    <row r="2169" spans="2:8" ht="16.5" hidden="1" customHeight="1" x14ac:dyDescent="0.25">
      <c r="B2169" s="441"/>
      <c r="C2169" s="2473" t="s">
        <v>3529</v>
      </c>
      <c r="D2169" s="4066">
        <v>200000000</v>
      </c>
      <c r="E2169" s="2685">
        <v>59000000</v>
      </c>
      <c r="F2169" s="2804">
        <f>E2169/D2169*100</f>
        <v>29.5</v>
      </c>
      <c r="G2169" s="2685">
        <v>30</v>
      </c>
      <c r="H2169" s="1463"/>
    </row>
    <row r="2170" spans="2:8" ht="16.5" hidden="1" customHeight="1" x14ac:dyDescent="0.25">
      <c r="B2170" s="441"/>
      <c r="C2170" s="2473" t="s">
        <v>3530</v>
      </c>
      <c r="D2170" s="4066">
        <v>1000000000</v>
      </c>
      <c r="E2170" s="2685">
        <v>1000000000</v>
      </c>
      <c r="F2170" s="2804">
        <f>E2170/D2170*100</f>
        <v>100</v>
      </c>
      <c r="G2170" s="2685">
        <v>100</v>
      </c>
      <c r="H2170" s="1463"/>
    </row>
    <row r="2171" spans="2:8" ht="16.5" hidden="1" customHeight="1" x14ac:dyDescent="0.25">
      <c r="B2171" s="441"/>
      <c r="C2171" s="2473" t="s">
        <v>3531</v>
      </c>
      <c r="D2171" s="4066">
        <v>500000000</v>
      </c>
      <c r="E2171" s="2685">
        <v>500000000</v>
      </c>
      <c r="F2171" s="2804">
        <f t="shared" ref="F2171:F2185" si="161">E2171/D2171*100</f>
        <v>100</v>
      </c>
      <c r="G2171" s="2685">
        <v>100</v>
      </c>
      <c r="H2171" s="1463"/>
    </row>
    <row r="2172" spans="2:8" ht="16.5" hidden="1" customHeight="1" x14ac:dyDescent="0.25">
      <c r="B2172" s="441"/>
      <c r="C2172" s="2473" t="s">
        <v>3532</v>
      </c>
      <c r="D2172" s="4066">
        <v>1000000000</v>
      </c>
      <c r="E2172" s="2685">
        <v>990600000</v>
      </c>
      <c r="F2172" s="2804">
        <f t="shared" si="161"/>
        <v>99.06</v>
      </c>
      <c r="G2172" s="2685">
        <v>100</v>
      </c>
      <c r="H2172" s="1463"/>
    </row>
    <row r="2173" spans="2:8" ht="16.5" hidden="1" customHeight="1" x14ac:dyDescent="0.25">
      <c r="B2173" s="441"/>
      <c r="C2173" s="2473" t="s">
        <v>3533</v>
      </c>
      <c r="D2173" s="4066">
        <v>500000000</v>
      </c>
      <c r="E2173" s="2685">
        <v>500000000</v>
      </c>
      <c r="F2173" s="2804">
        <f t="shared" si="161"/>
        <v>100</v>
      </c>
      <c r="G2173" s="2685">
        <v>100</v>
      </c>
      <c r="H2173" s="1463"/>
    </row>
    <row r="2174" spans="2:8" ht="16.5" hidden="1" customHeight="1" x14ac:dyDescent="0.25">
      <c r="B2174" s="441"/>
      <c r="C2174" s="2473" t="s">
        <v>3534</v>
      </c>
      <c r="D2174" s="4066">
        <v>500000000</v>
      </c>
      <c r="E2174" s="2685">
        <v>500000000</v>
      </c>
      <c r="F2174" s="2804">
        <f t="shared" si="161"/>
        <v>100</v>
      </c>
      <c r="G2174" s="2685">
        <v>100</v>
      </c>
      <c r="H2174" s="1463"/>
    </row>
    <row r="2175" spans="2:8" ht="16.5" hidden="1" customHeight="1" x14ac:dyDescent="0.25">
      <c r="B2175" s="441"/>
      <c r="C2175" s="2473" t="s">
        <v>3535</v>
      </c>
      <c r="D2175" s="4066">
        <v>800000000</v>
      </c>
      <c r="E2175" s="2685">
        <v>789735000</v>
      </c>
      <c r="F2175" s="2804">
        <f t="shared" si="161"/>
        <v>98.716875000000002</v>
      </c>
      <c r="G2175" s="2685">
        <v>100</v>
      </c>
      <c r="H2175" s="1463"/>
    </row>
    <row r="2176" spans="2:8" ht="16.5" hidden="1" customHeight="1" x14ac:dyDescent="0.25">
      <c r="B2176" s="441"/>
      <c r="C2176" s="2473" t="s">
        <v>3536</v>
      </c>
      <c r="D2176" s="4066">
        <v>500000000</v>
      </c>
      <c r="E2176" s="2685">
        <v>500000000</v>
      </c>
      <c r="F2176" s="2804">
        <f t="shared" si="161"/>
        <v>100</v>
      </c>
      <c r="G2176" s="2685">
        <v>100</v>
      </c>
      <c r="H2176" s="1463"/>
    </row>
    <row r="2177" spans="2:8" ht="16.5" hidden="1" customHeight="1" x14ac:dyDescent="0.25">
      <c r="B2177" s="441"/>
      <c r="C2177" s="2473" t="s">
        <v>3537</v>
      </c>
      <c r="D2177" s="4066">
        <v>1000000000</v>
      </c>
      <c r="E2177" s="2685">
        <v>320570000</v>
      </c>
      <c r="F2177" s="2804">
        <f t="shared" si="161"/>
        <v>32.057000000000002</v>
      </c>
      <c r="G2177" s="2685">
        <v>30</v>
      </c>
      <c r="H2177" s="1463"/>
    </row>
    <row r="2178" spans="2:8" ht="16.5" hidden="1" customHeight="1" x14ac:dyDescent="0.25">
      <c r="B2178" s="444"/>
      <c r="C2178" s="2473" t="s">
        <v>3538</v>
      </c>
      <c r="D2178" s="4066">
        <v>100000000</v>
      </c>
      <c r="E2178" s="2685">
        <v>100000000</v>
      </c>
      <c r="F2178" s="2804">
        <f t="shared" si="161"/>
        <v>100</v>
      </c>
      <c r="G2178" s="2685">
        <v>100</v>
      </c>
      <c r="H2178" s="1463"/>
    </row>
    <row r="2179" spans="2:8" ht="16.5" hidden="1" customHeight="1" x14ac:dyDescent="0.25">
      <c r="B2179" s="441"/>
      <c r="C2179" s="2473" t="s">
        <v>3539</v>
      </c>
      <c r="D2179" s="4066">
        <v>200000000</v>
      </c>
      <c r="E2179" s="2685">
        <v>200000000</v>
      </c>
      <c r="F2179" s="2804">
        <f t="shared" si="161"/>
        <v>100</v>
      </c>
      <c r="G2179" s="2685">
        <v>100</v>
      </c>
      <c r="H2179" s="1463"/>
    </row>
    <row r="2180" spans="2:8" ht="20.25" hidden="1" customHeight="1" x14ac:dyDescent="0.25">
      <c r="B2180" s="441"/>
      <c r="C2180" s="2473" t="s">
        <v>3540</v>
      </c>
      <c r="D2180" s="4066">
        <v>200000000</v>
      </c>
      <c r="E2180" s="2685">
        <v>200000000</v>
      </c>
      <c r="F2180" s="2804">
        <f t="shared" si="161"/>
        <v>100</v>
      </c>
      <c r="G2180" s="2685">
        <v>100</v>
      </c>
      <c r="H2180" s="1463"/>
    </row>
    <row r="2181" spans="2:8" ht="16.5" hidden="1" customHeight="1" x14ac:dyDescent="0.25">
      <c r="B2181" s="441"/>
      <c r="C2181" s="2473" t="s">
        <v>3541</v>
      </c>
      <c r="D2181" s="4066">
        <v>200000000</v>
      </c>
      <c r="E2181" s="2685">
        <v>200000000</v>
      </c>
      <c r="F2181" s="2804">
        <f t="shared" si="161"/>
        <v>100</v>
      </c>
      <c r="G2181" s="2685">
        <v>100</v>
      </c>
      <c r="H2181" s="1463"/>
    </row>
    <row r="2182" spans="2:8" ht="17.25" hidden="1" customHeight="1" x14ac:dyDescent="0.25">
      <c r="B2182" s="441"/>
      <c r="C2182" s="2473" t="s">
        <v>3542</v>
      </c>
      <c r="D2182" s="4066">
        <v>750000000</v>
      </c>
      <c r="E2182" s="2685">
        <v>239850000</v>
      </c>
      <c r="F2182" s="2804">
        <f t="shared" si="161"/>
        <v>31.979999999999997</v>
      </c>
      <c r="G2182" s="2685">
        <v>30</v>
      </c>
      <c r="H2182" s="1463"/>
    </row>
    <row r="2183" spans="2:8" ht="18" hidden="1" customHeight="1" x14ac:dyDescent="0.25">
      <c r="B2183" s="441"/>
      <c r="C2183" s="2524" t="s">
        <v>3543</v>
      </c>
      <c r="D2183" s="4066">
        <v>300000000</v>
      </c>
      <c r="E2183" s="2855">
        <v>300000000</v>
      </c>
      <c r="F2183" s="2804">
        <f t="shared" si="161"/>
        <v>100</v>
      </c>
      <c r="G2183" s="2855">
        <v>100</v>
      </c>
      <c r="H2183" s="1463"/>
    </row>
    <row r="2184" spans="2:8" ht="19.5" hidden="1" customHeight="1" x14ac:dyDescent="0.25">
      <c r="B2184" s="441"/>
      <c r="C2184" s="2473" t="s">
        <v>3544</v>
      </c>
      <c r="D2184" s="4066">
        <v>200000000</v>
      </c>
      <c r="E2184" s="2804">
        <v>200000000</v>
      </c>
      <c r="F2184" s="2804">
        <f t="shared" si="161"/>
        <v>100</v>
      </c>
      <c r="G2184" s="2855">
        <v>100</v>
      </c>
      <c r="H2184" s="1463"/>
    </row>
    <row r="2185" spans="2:8" ht="18.75" hidden="1" customHeight="1" x14ac:dyDescent="0.25">
      <c r="B2185" s="441"/>
      <c r="C2185" s="2473" t="s">
        <v>3545</v>
      </c>
      <c r="D2185" s="4066">
        <v>100000000</v>
      </c>
      <c r="E2185" s="2804">
        <v>100000000</v>
      </c>
      <c r="F2185" s="2804">
        <f t="shared" si="161"/>
        <v>100</v>
      </c>
      <c r="G2185" s="2804">
        <v>100</v>
      </c>
      <c r="H2185" s="1463"/>
    </row>
    <row r="2186" spans="2:8" ht="15.75" hidden="1" customHeight="1" x14ac:dyDescent="0.25">
      <c r="B2186" s="441"/>
      <c r="C2186" s="2473" t="s">
        <v>3546</v>
      </c>
      <c r="D2186" s="4066">
        <v>600000000</v>
      </c>
      <c r="E2186" s="2685">
        <v>0</v>
      </c>
      <c r="F2186" s="2685">
        <v>0</v>
      </c>
      <c r="G2186" s="2685">
        <v>0</v>
      </c>
      <c r="H2186" s="1463"/>
    </row>
    <row r="2187" spans="2:8" ht="10.5" hidden="1" customHeight="1" x14ac:dyDescent="0.25">
      <c r="B2187" s="441"/>
      <c r="C2187" s="2478"/>
      <c r="D2187" s="4276"/>
      <c r="E2187" s="3035"/>
      <c r="F2187" s="3035"/>
      <c r="G2187" s="3035"/>
      <c r="H2187" s="1463"/>
    </row>
    <row r="2188" spans="2:8" ht="17.25" customHeight="1" x14ac:dyDescent="0.25">
      <c r="B2188" s="441"/>
      <c r="C2188" s="2525" t="s">
        <v>3547</v>
      </c>
      <c r="D2188" s="4065">
        <f>SUM(D2189:D2192)</f>
        <v>575000000</v>
      </c>
      <c r="E2188" s="2695">
        <f>SUM(E2189:E2192)</f>
        <v>450000000</v>
      </c>
      <c r="F2188" s="2725">
        <f>E2188/D2188*100</f>
        <v>78.260869565217391</v>
      </c>
      <c r="G2188" s="2695">
        <f>SUM(G2189:G2192)/4</f>
        <v>75</v>
      </c>
      <c r="H2188" s="1463"/>
    </row>
    <row r="2189" spans="2:8" ht="15.75" hidden="1" customHeight="1" x14ac:dyDescent="0.25">
      <c r="B2189" s="441"/>
      <c r="C2189" s="2473" t="s">
        <v>3548</v>
      </c>
      <c r="D2189" s="4066">
        <v>200000000</v>
      </c>
      <c r="E2189" s="2690">
        <v>200000000</v>
      </c>
      <c r="F2189" s="2804">
        <f>E2189/D2189*100</f>
        <v>100</v>
      </c>
      <c r="G2189" s="2690">
        <v>100</v>
      </c>
      <c r="H2189" s="1463"/>
    </row>
    <row r="2190" spans="2:8" ht="14.25" hidden="1" customHeight="1" x14ac:dyDescent="0.25">
      <c r="B2190" s="441"/>
      <c r="C2190" s="2473" t="s">
        <v>3549</v>
      </c>
      <c r="D2190" s="4066">
        <v>100000000</v>
      </c>
      <c r="E2190" s="2804">
        <v>100000000</v>
      </c>
      <c r="F2190" s="2804">
        <f t="shared" ref="F2190:F2191" si="162">E2190/D2190*100</f>
        <v>100</v>
      </c>
      <c r="G2190" s="2804">
        <v>100</v>
      </c>
      <c r="H2190" s="1463"/>
    </row>
    <row r="2191" spans="2:8" ht="15.75" hidden="1" customHeight="1" x14ac:dyDescent="0.25">
      <c r="B2191" s="441"/>
      <c r="C2191" s="2475" t="s">
        <v>3551</v>
      </c>
      <c r="D2191" s="4301">
        <v>150000000</v>
      </c>
      <c r="E2191" s="2710">
        <v>150000000</v>
      </c>
      <c r="F2191" s="2804">
        <f t="shared" si="162"/>
        <v>100</v>
      </c>
      <c r="G2191" s="2710">
        <v>100</v>
      </c>
      <c r="H2191" s="1463"/>
    </row>
    <row r="2192" spans="2:8" ht="14.25" hidden="1" customHeight="1" x14ac:dyDescent="0.25">
      <c r="B2192" s="441"/>
      <c r="C2192" s="2473" t="s">
        <v>3550</v>
      </c>
      <c r="D2192" s="4276">
        <v>125000000</v>
      </c>
      <c r="E2192" s="2968">
        <v>0</v>
      </c>
      <c r="F2192" s="2968">
        <v>0</v>
      </c>
      <c r="G2192" s="2968">
        <v>0</v>
      </c>
      <c r="H2192" s="1463"/>
    </row>
    <row r="2193" spans="2:8" ht="12" hidden="1" customHeight="1" x14ac:dyDescent="0.25">
      <c r="B2193" s="441"/>
      <c r="C2193" s="2474"/>
      <c r="D2193" s="4276"/>
      <c r="E2193" s="3035"/>
      <c r="F2193" s="3035"/>
      <c r="G2193" s="3035"/>
      <c r="H2193" s="1463"/>
    </row>
    <row r="2194" spans="2:8" ht="20.25" customHeight="1" x14ac:dyDescent="0.25">
      <c r="B2194" s="441"/>
      <c r="C2194" s="2474" t="s">
        <v>3552</v>
      </c>
      <c r="D2194" s="4065">
        <f>SUM(D2195:D2204)</f>
        <v>1030000000</v>
      </c>
      <c r="E2194" s="2695">
        <f>SUM(E2195:E2204)</f>
        <v>710000000</v>
      </c>
      <c r="F2194" s="2725">
        <f>E2194/D2194*100</f>
        <v>68.932038834951456</v>
      </c>
      <c r="G2194" s="2695">
        <f>SUM(G2195:G2204)/10</f>
        <v>63</v>
      </c>
      <c r="H2194" s="1463"/>
    </row>
    <row r="2195" spans="2:8" ht="16.5" hidden="1" customHeight="1" x14ac:dyDescent="0.25">
      <c r="B2195" s="441"/>
      <c r="C2195" s="2473" t="s">
        <v>3553</v>
      </c>
      <c r="D2195" s="4066">
        <v>100000000</v>
      </c>
      <c r="E2195" s="2690">
        <v>30000000</v>
      </c>
      <c r="F2195" s="2804">
        <f>E2195/D2195*100</f>
        <v>30</v>
      </c>
      <c r="G2195" s="2690">
        <v>30</v>
      </c>
      <c r="H2195" s="1463"/>
    </row>
    <row r="2196" spans="2:8" ht="17.25" hidden="1" customHeight="1" x14ac:dyDescent="0.25">
      <c r="B2196" s="441"/>
      <c r="C2196" s="2473" t="s">
        <v>3554</v>
      </c>
      <c r="D2196" s="4066">
        <v>100000000</v>
      </c>
      <c r="E2196" s="2690">
        <v>100000000</v>
      </c>
      <c r="F2196" s="2804">
        <f t="shared" ref="F2196:F2198" si="163">E2196/D2196*100</f>
        <v>100</v>
      </c>
      <c r="G2196" s="2690">
        <v>100</v>
      </c>
      <c r="H2196" s="1463"/>
    </row>
    <row r="2197" spans="2:8" ht="15.75" hidden="1" customHeight="1" x14ac:dyDescent="0.25">
      <c r="B2197" s="441"/>
      <c r="C2197" s="2473" t="s">
        <v>3555</v>
      </c>
      <c r="D2197" s="4066">
        <v>150000000</v>
      </c>
      <c r="E2197" s="2690">
        <v>150000000</v>
      </c>
      <c r="F2197" s="2804">
        <f t="shared" si="163"/>
        <v>100</v>
      </c>
      <c r="G2197" s="2690">
        <v>100</v>
      </c>
      <c r="H2197" s="1463"/>
    </row>
    <row r="2198" spans="2:8" ht="15.75" hidden="1" customHeight="1" x14ac:dyDescent="0.25">
      <c r="B2198" s="441"/>
      <c r="C2198" s="2473" t="s">
        <v>3556</v>
      </c>
      <c r="D2198" s="4066">
        <v>100000000</v>
      </c>
      <c r="E2198" s="2690">
        <v>100000000</v>
      </c>
      <c r="F2198" s="2804">
        <f t="shared" si="163"/>
        <v>100</v>
      </c>
      <c r="G2198" s="2690">
        <v>100</v>
      </c>
      <c r="H2198" s="1463"/>
    </row>
    <row r="2199" spans="2:8" ht="20.25" hidden="1" customHeight="1" x14ac:dyDescent="0.25">
      <c r="B2199" s="441"/>
      <c r="C2199" s="2473" t="s">
        <v>3557</v>
      </c>
      <c r="D2199" s="4066">
        <v>50000000</v>
      </c>
      <c r="E2199" s="2968">
        <v>0</v>
      </c>
      <c r="F2199" s="2968">
        <v>0</v>
      </c>
      <c r="G2199" s="2968">
        <v>0</v>
      </c>
      <c r="H2199" s="1463"/>
    </row>
    <row r="2200" spans="2:8" ht="15.75" hidden="1" customHeight="1" x14ac:dyDescent="0.25">
      <c r="B2200" s="441"/>
      <c r="C2200" s="2473" t="s">
        <v>3558</v>
      </c>
      <c r="D2200" s="4066">
        <v>100000000</v>
      </c>
      <c r="E2200" s="2968">
        <v>0</v>
      </c>
      <c r="F2200" s="2968">
        <v>0</v>
      </c>
      <c r="G2200" s="2968">
        <v>0</v>
      </c>
      <c r="H2200" s="1463"/>
    </row>
    <row r="2201" spans="2:8" ht="30" hidden="1" customHeight="1" x14ac:dyDescent="0.25">
      <c r="B2201" s="441"/>
      <c r="C2201" s="2473" t="s">
        <v>3559</v>
      </c>
      <c r="D2201" s="4066">
        <v>150000000</v>
      </c>
      <c r="E2201" s="2690">
        <v>150000000</v>
      </c>
      <c r="F2201" s="2804">
        <f t="shared" ref="F2201:F2202" si="164">E2201/D2201*100</f>
        <v>100</v>
      </c>
      <c r="G2201" s="2690">
        <v>100</v>
      </c>
      <c r="H2201" s="1463"/>
    </row>
    <row r="2202" spans="2:8" ht="18.75" hidden="1" customHeight="1" x14ac:dyDescent="0.25">
      <c r="B2202" s="441"/>
      <c r="C2202" s="2473" t="s">
        <v>3560</v>
      </c>
      <c r="D2202" s="4066">
        <v>100000000</v>
      </c>
      <c r="E2202" s="2690">
        <v>100000000</v>
      </c>
      <c r="F2202" s="2804">
        <f t="shared" si="164"/>
        <v>100</v>
      </c>
      <c r="G2202" s="2690">
        <v>100</v>
      </c>
      <c r="H2202" s="1463"/>
    </row>
    <row r="2203" spans="2:8" ht="17.25" hidden="1" customHeight="1" x14ac:dyDescent="0.25">
      <c r="B2203" s="441"/>
      <c r="C2203" s="2473" t="s">
        <v>6663</v>
      </c>
      <c r="D2203" s="4066">
        <v>100000000</v>
      </c>
      <c r="E2203" s="2968">
        <v>0</v>
      </c>
      <c r="F2203" s="2968">
        <v>0</v>
      </c>
      <c r="G2203" s="2968">
        <v>0</v>
      </c>
      <c r="H2203" s="1463"/>
    </row>
    <row r="2204" spans="2:8" ht="17.25" hidden="1" customHeight="1" x14ac:dyDescent="0.25">
      <c r="B2204" s="441"/>
      <c r="C2204" s="2473" t="s">
        <v>3561</v>
      </c>
      <c r="D2204" s="4066">
        <v>80000000</v>
      </c>
      <c r="E2204" s="2690">
        <v>80000000</v>
      </c>
      <c r="F2204" s="2804">
        <f t="shared" ref="F2204" si="165">E2204/D2204*100</f>
        <v>100</v>
      </c>
      <c r="G2204" s="2690">
        <v>100</v>
      </c>
      <c r="H2204" s="1463"/>
    </row>
    <row r="2205" spans="2:8" ht="12" hidden="1" customHeight="1" x14ac:dyDescent="0.25">
      <c r="B2205" s="441"/>
      <c r="C2205" s="2478"/>
      <c r="D2205" s="4333"/>
      <c r="E2205" s="4053"/>
      <c r="F2205" s="2804"/>
      <c r="G2205" s="3496"/>
      <c r="H2205" s="1463"/>
    </row>
    <row r="2206" spans="2:8" ht="17.25" customHeight="1" x14ac:dyDescent="0.25">
      <c r="B2206" s="440"/>
      <c r="C2206" s="2532" t="s">
        <v>1538</v>
      </c>
      <c r="D2206" s="4304">
        <f>SUM(D2207+D2210+D2213+D2220)</f>
        <v>5001390000</v>
      </c>
      <c r="E2206" s="3985">
        <f>SUM(E2207+E2210+E2213+E2220)</f>
        <v>4989395500</v>
      </c>
      <c r="F2206" s="2672">
        <f>E2206/D2206*100</f>
        <v>99.760176670885485</v>
      </c>
      <c r="G2206" s="2672">
        <f>SUM(G2207+G2210+G2213+G2220)/4</f>
        <v>100</v>
      </c>
      <c r="H2206" s="1463"/>
    </row>
    <row r="2207" spans="2:8" ht="18" customHeight="1" x14ac:dyDescent="0.25">
      <c r="B2207" s="441"/>
      <c r="C2207" s="2525" t="s">
        <v>1539</v>
      </c>
      <c r="D2207" s="4311">
        <f>D2208</f>
        <v>500000000</v>
      </c>
      <c r="E2207" s="3784">
        <f>E2208</f>
        <v>495005500</v>
      </c>
      <c r="F2207" s="2942">
        <f>E2207/D2207*100</f>
        <v>99.001099999999994</v>
      </c>
      <c r="G2207" s="2734">
        <f>G2208</f>
        <v>100</v>
      </c>
      <c r="H2207" s="1463"/>
    </row>
    <row r="2208" spans="2:8" ht="14.25" hidden="1" customHeight="1" x14ac:dyDescent="0.25">
      <c r="B2208" s="441"/>
      <c r="C2208" s="2473" t="s">
        <v>1540</v>
      </c>
      <c r="D2208" s="4066">
        <v>500000000</v>
      </c>
      <c r="E2208" s="2923">
        <v>495005500</v>
      </c>
      <c r="F2208" s="2804">
        <f t="shared" ref="F2208:F2211" si="166">E2208/D2208*100</f>
        <v>99.001099999999994</v>
      </c>
      <c r="G2208" s="2710">
        <v>100</v>
      </c>
      <c r="H2208" s="1463"/>
    </row>
    <row r="2209" spans="2:8" ht="9.75" hidden="1" customHeight="1" x14ac:dyDescent="0.25">
      <c r="B2209" s="441"/>
      <c r="C2209" s="2474"/>
      <c r="D2209" s="4299"/>
      <c r="E2209" s="3035"/>
      <c r="F2209" s="2804"/>
      <c r="G2209" s="3035"/>
      <c r="H2209" s="1463"/>
    </row>
    <row r="2210" spans="2:8" ht="18" customHeight="1" x14ac:dyDescent="0.25">
      <c r="B2210" s="441"/>
      <c r="C2210" s="2477" t="s">
        <v>1541</v>
      </c>
      <c r="D2210" s="4159">
        <f>D2211</f>
        <v>400000000</v>
      </c>
      <c r="E2210" s="2813">
        <f>E2211</f>
        <v>400000000</v>
      </c>
      <c r="F2210" s="2725">
        <f t="shared" si="166"/>
        <v>100</v>
      </c>
      <c r="G2210" s="2725">
        <f>G2211</f>
        <v>100</v>
      </c>
      <c r="H2210" s="1463"/>
    </row>
    <row r="2211" spans="2:8" ht="15" hidden="1" customHeight="1" x14ac:dyDescent="0.25">
      <c r="B2211" s="441"/>
      <c r="C2211" s="2473" t="s">
        <v>6664</v>
      </c>
      <c r="D2211" s="4287">
        <v>400000000</v>
      </c>
      <c r="E2211" s="2804">
        <v>400000000</v>
      </c>
      <c r="F2211" s="2804">
        <f t="shared" si="166"/>
        <v>100</v>
      </c>
      <c r="G2211" s="2804">
        <v>100</v>
      </c>
      <c r="H2211" s="1463"/>
    </row>
    <row r="2212" spans="2:8" ht="9" hidden="1" customHeight="1" x14ac:dyDescent="0.25">
      <c r="B2212" s="441"/>
      <c r="C2212" s="2472"/>
      <c r="D2212" s="4299"/>
      <c r="E2212" s="3185"/>
      <c r="F2212" s="3185"/>
      <c r="G2212" s="3185"/>
      <c r="H2212" s="1463"/>
    </row>
    <row r="2213" spans="2:8" ht="17.25" customHeight="1" x14ac:dyDescent="0.25">
      <c r="B2213" s="441"/>
      <c r="C2213" s="2525" t="s">
        <v>1542</v>
      </c>
      <c r="D2213" s="4065">
        <f>SUM(D2214:D2218)</f>
        <v>4001390000</v>
      </c>
      <c r="E2213" s="2695">
        <f>SUM(E2214:E2218)</f>
        <v>3994390000</v>
      </c>
      <c r="F2213" s="2942">
        <f>E2213/D2213*100</f>
        <v>99.825060791374995</v>
      </c>
      <c r="G2213" s="2679">
        <f>SUM(G2214:G2218)/5</f>
        <v>100</v>
      </c>
      <c r="H2213" s="1463"/>
    </row>
    <row r="2214" spans="2:8" ht="15" hidden="1" customHeight="1" x14ac:dyDescent="0.25">
      <c r="B2214" s="441"/>
      <c r="C2214" s="2475" t="s">
        <v>1543</v>
      </c>
      <c r="D2214" s="4301">
        <v>2881390000</v>
      </c>
      <c r="E2214" s="2690">
        <v>2874390000</v>
      </c>
      <c r="F2214" s="2804">
        <f t="shared" ref="F2214:F2218" si="167">E2214/D2214*100</f>
        <v>99.757061695917599</v>
      </c>
      <c r="G2214" s="2690">
        <v>100</v>
      </c>
      <c r="H2214" s="1463"/>
    </row>
    <row r="2215" spans="2:8" ht="21" hidden="1" customHeight="1" x14ac:dyDescent="0.25">
      <c r="B2215" s="441"/>
      <c r="C2215" s="2473" t="s">
        <v>1544</v>
      </c>
      <c r="D2215" s="4066">
        <v>80000000</v>
      </c>
      <c r="E2215" s="2710">
        <v>80000000</v>
      </c>
      <c r="F2215" s="2804">
        <f t="shared" si="167"/>
        <v>100</v>
      </c>
      <c r="G2215" s="2710">
        <v>100</v>
      </c>
      <c r="H2215" s="1463"/>
    </row>
    <row r="2216" spans="2:8" ht="16.5" hidden="1" customHeight="1" x14ac:dyDescent="0.25">
      <c r="B2216" s="441"/>
      <c r="C2216" s="2473" t="s">
        <v>1545</v>
      </c>
      <c r="D2216" s="4066">
        <v>200000000</v>
      </c>
      <c r="E2216" s="2710">
        <v>200000000</v>
      </c>
      <c r="F2216" s="2804">
        <f t="shared" si="167"/>
        <v>100</v>
      </c>
      <c r="G2216" s="2710">
        <v>100</v>
      </c>
      <c r="H2216" s="1463"/>
    </row>
    <row r="2217" spans="2:8" ht="14.25" hidden="1" customHeight="1" x14ac:dyDescent="0.25">
      <c r="B2217" s="441"/>
      <c r="C2217" s="2473" t="s">
        <v>1546</v>
      </c>
      <c r="D2217" s="4066">
        <v>120000000</v>
      </c>
      <c r="E2217" s="2710">
        <v>120000000</v>
      </c>
      <c r="F2217" s="2804">
        <f t="shared" si="167"/>
        <v>100</v>
      </c>
      <c r="G2217" s="2710">
        <v>100</v>
      </c>
      <c r="H2217" s="1463"/>
    </row>
    <row r="2218" spans="2:8" ht="18" hidden="1" customHeight="1" x14ac:dyDescent="0.25">
      <c r="B2218" s="441"/>
      <c r="C2218" s="2473" t="s">
        <v>1547</v>
      </c>
      <c r="D2218" s="4066">
        <v>720000000</v>
      </c>
      <c r="E2218" s="2710">
        <v>720000000</v>
      </c>
      <c r="F2218" s="2804">
        <f t="shared" si="167"/>
        <v>100</v>
      </c>
      <c r="G2218" s="2710">
        <v>100</v>
      </c>
      <c r="H2218" s="1463"/>
    </row>
    <row r="2219" spans="2:8" ht="7.5" hidden="1" customHeight="1" x14ac:dyDescent="0.25">
      <c r="B2219" s="444"/>
      <c r="C2219" s="2473"/>
      <c r="D2219" s="4066"/>
      <c r="E2219" s="2710"/>
      <c r="F2219" s="2685"/>
      <c r="G2219" s="2710"/>
      <c r="H2219" s="1463"/>
    </row>
    <row r="2220" spans="2:8" ht="15.75" customHeight="1" x14ac:dyDescent="0.25">
      <c r="B2220" s="441"/>
      <c r="C2220" s="2474" t="s">
        <v>1548</v>
      </c>
      <c r="D2220" s="4065">
        <f>D2221</f>
        <v>100000000</v>
      </c>
      <c r="E2220" s="2695">
        <f>E2221</f>
        <v>100000000</v>
      </c>
      <c r="F2220" s="2725">
        <f t="shared" ref="F2220:F2221" si="168">E2220/D2220*100</f>
        <v>100</v>
      </c>
      <c r="G2220" s="2966">
        <f>G2221</f>
        <v>100</v>
      </c>
      <c r="H2220" s="1463"/>
    </row>
    <row r="2221" spans="2:8" ht="18" hidden="1" customHeight="1" x14ac:dyDescent="0.25">
      <c r="B2221" s="441"/>
      <c r="C2221" s="2473" t="s">
        <v>1549</v>
      </c>
      <c r="D2221" s="4066">
        <v>100000000</v>
      </c>
      <c r="E2221" s="2968">
        <v>100000000</v>
      </c>
      <c r="F2221" s="2804">
        <f t="shared" si="168"/>
        <v>100</v>
      </c>
      <c r="G2221" s="2968">
        <v>100</v>
      </c>
      <c r="H2221" s="1463"/>
    </row>
    <row r="2222" spans="2:8" ht="12.75" hidden="1" customHeight="1" x14ac:dyDescent="0.25">
      <c r="B2222" s="441"/>
      <c r="C2222" s="2477"/>
      <c r="D2222" s="4334"/>
      <c r="E2222" s="4054"/>
      <c r="F2222" s="2778"/>
      <c r="G2222" s="2778"/>
      <c r="H2222" s="1463"/>
    </row>
    <row r="2223" spans="2:8" ht="17.25" customHeight="1" x14ac:dyDescent="0.25">
      <c r="B2223" s="440"/>
      <c r="C2223" s="2532" t="s">
        <v>1550</v>
      </c>
      <c r="D2223" s="4106">
        <f>SUM(D2224+D2230+D2227+D2236+D2239)</f>
        <v>4720000000</v>
      </c>
      <c r="E2223" s="2672">
        <f>SUM(E2224+E2230+E2227+E2236+E2239)</f>
        <v>3271124677</v>
      </c>
      <c r="F2223" s="2672">
        <f>E2223/D2223*100</f>
        <v>69.303488919491528</v>
      </c>
      <c r="G2223" s="2672">
        <f>SUM(G2224+G2227+G2230+G2239)/4</f>
        <v>60</v>
      </c>
      <c r="H2223" s="1463"/>
    </row>
    <row r="2224" spans="2:8" ht="18.75" customHeight="1" x14ac:dyDescent="0.25">
      <c r="B2224" s="441"/>
      <c r="C2224" s="2521" t="s">
        <v>1551</v>
      </c>
      <c r="D2224" s="4311">
        <f>D2225</f>
        <v>1000000000</v>
      </c>
      <c r="E2224" s="3784">
        <f>E2225</f>
        <v>595154577</v>
      </c>
      <c r="F2224" s="2725">
        <f>E2224/D2224*100</f>
        <v>59.515457699999999</v>
      </c>
      <c r="G2224" s="2734">
        <f>G2225</f>
        <v>60</v>
      </c>
      <c r="H2224" s="1463"/>
    </row>
    <row r="2225" spans="1:11" ht="19.5" hidden="1" customHeight="1" x14ac:dyDescent="0.25">
      <c r="B2225" s="441"/>
      <c r="C2225" s="2473" t="s">
        <v>1552</v>
      </c>
      <c r="D2225" s="4066">
        <v>1000000000</v>
      </c>
      <c r="E2225" s="2804">
        <v>595154577</v>
      </c>
      <c r="F2225" s="2804">
        <f>E2225/D2225*100</f>
        <v>59.515457699999999</v>
      </c>
      <c r="G2225" s="2830">
        <v>60</v>
      </c>
      <c r="H2225" s="1463"/>
    </row>
    <row r="2226" spans="1:11" ht="19.5" hidden="1" customHeight="1" x14ac:dyDescent="0.25">
      <c r="B2226" s="441"/>
      <c r="C2226" s="2474"/>
      <c r="D2226" s="4066"/>
      <c r="E2226" s="3035"/>
      <c r="F2226" s="3035"/>
      <c r="G2226" s="3035"/>
      <c r="H2226" s="1463"/>
    </row>
    <row r="2227" spans="1:11" ht="14.25" customHeight="1" x14ac:dyDescent="0.25">
      <c r="B2227" s="441"/>
      <c r="C2227" s="2525" t="s">
        <v>1553</v>
      </c>
      <c r="D2227" s="4065">
        <f>D2228</f>
        <v>0</v>
      </c>
      <c r="E2227" s="2695">
        <v>0</v>
      </c>
      <c r="F2227" s="2695">
        <v>0</v>
      </c>
      <c r="G2227" s="2695">
        <v>0</v>
      </c>
      <c r="H2227" s="1463"/>
    </row>
    <row r="2228" spans="1:11" ht="19.5" hidden="1" customHeight="1" x14ac:dyDescent="0.25">
      <c r="B2228" s="441"/>
      <c r="C2228" s="2524" t="s">
        <v>1554</v>
      </c>
      <c r="D2228" s="4066">
        <v>0</v>
      </c>
      <c r="E2228" s="2690">
        <v>0</v>
      </c>
      <c r="F2228" s="2690">
        <v>0</v>
      </c>
      <c r="G2228" s="2690">
        <v>0</v>
      </c>
      <c r="H2228" s="1463"/>
    </row>
    <row r="2229" spans="1:11" s="225" customFormat="1" ht="19.5" hidden="1" customHeight="1" x14ac:dyDescent="0.25">
      <c r="A2229" s="17"/>
      <c r="B2229" s="449"/>
      <c r="C2229" s="2473"/>
      <c r="D2229" s="4066"/>
      <c r="E2229" s="2690"/>
      <c r="F2229" s="2690"/>
      <c r="G2229" s="2690"/>
      <c r="H2229" s="1463"/>
      <c r="J2229" s="1215"/>
      <c r="K2229" s="1215"/>
    </row>
    <row r="2230" spans="1:11" ht="17.25" customHeight="1" x14ac:dyDescent="0.25">
      <c r="B2230" s="441"/>
      <c r="C2230" s="2521" t="s">
        <v>1555</v>
      </c>
      <c r="D2230" s="4072">
        <f>D2234</f>
        <v>150000000</v>
      </c>
      <c r="E2230" s="4055">
        <f>E2234</f>
        <v>150000000</v>
      </c>
      <c r="F2230" s="2725">
        <f>E2230/D2230*100</f>
        <v>100</v>
      </c>
      <c r="G2230" s="2725">
        <f>G2234</f>
        <v>100</v>
      </c>
      <c r="H2230" s="1463"/>
    </row>
    <row r="2231" spans="1:11" ht="19.5" hidden="1" customHeight="1" x14ac:dyDescent="0.25">
      <c r="B2231" s="441"/>
      <c r="C2231" s="2473" t="s">
        <v>1556</v>
      </c>
      <c r="D2231" s="4066">
        <v>0</v>
      </c>
      <c r="E2231" s="2690">
        <v>0</v>
      </c>
      <c r="F2231" s="2690">
        <v>0</v>
      </c>
      <c r="G2231" s="2690">
        <v>0</v>
      </c>
      <c r="H2231" s="1463"/>
    </row>
    <row r="2232" spans="1:11" ht="19.5" hidden="1" customHeight="1" x14ac:dyDescent="0.25">
      <c r="B2232" s="441"/>
      <c r="C2232" s="2473" t="s">
        <v>1557</v>
      </c>
      <c r="D2232" s="4066">
        <v>0</v>
      </c>
      <c r="E2232" s="2690">
        <v>0</v>
      </c>
      <c r="F2232" s="2690">
        <v>0</v>
      </c>
      <c r="G2232" s="2690">
        <v>0</v>
      </c>
      <c r="H2232" s="1463"/>
    </row>
    <row r="2233" spans="1:11" ht="19.5" hidden="1" customHeight="1" x14ac:dyDescent="0.25">
      <c r="B2233" s="441"/>
      <c r="C2233" s="2473" t="s">
        <v>1558</v>
      </c>
      <c r="D2233" s="4066">
        <v>0</v>
      </c>
      <c r="E2233" s="2690">
        <v>0</v>
      </c>
      <c r="F2233" s="2690">
        <v>0</v>
      </c>
      <c r="G2233" s="2690">
        <v>0</v>
      </c>
      <c r="H2233" s="1463"/>
    </row>
    <row r="2234" spans="1:11" ht="19.5" hidden="1" customHeight="1" x14ac:dyDescent="0.25">
      <c r="B2234" s="441"/>
      <c r="C2234" s="3740" t="s">
        <v>4014</v>
      </c>
      <c r="D2234" s="4066">
        <v>150000000</v>
      </c>
      <c r="E2234" s="2968">
        <v>150000000</v>
      </c>
      <c r="F2234" s="2804">
        <f>E2234/D2234*100</f>
        <v>100</v>
      </c>
      <c r="G2234" s="2804">
        <v>100</v>
      </c>
      <c r="H2234" s="1463"/>
    </row>
    <row r="2235" spans="1:11" ht="19.5" hidden="1" customHeight="1" x14ac:dyDescent="0.25">
      <c r="B2235" s="441"/>
      <c r="C2235" s="2538"/>
      <c r="D2235" s="4297"/>
      <c r="E2235" s="3035"/>
      <c r="F2235" s="2690"/>
      <c r="G2235" s="3035"/>
      <c r="H2235" s="1463"/>
    </row>
    <row r="2236" spans="1:11" ht="18" customHeight="1" x14ac:dyDescent="0.25">
      <c r="B2236" s="441"/>
      <c r="C2236" s="2525" t="s">
        <v>1559</v>
      </c>
      <c r="D2236" s="4065">
        <v>0</v>
      </c>
      <c r="E2236" s="2695">
        <v>0</v>
      </c>
      <c r="F2236" s="2695">
        <v>0</v>
      </c>
      <c r="G2236" s="2695">
        <v>0</v>
      </c>
      <c r="H2236" s="1463"/>
    </row>
    <row r="2237" spans="1:11" ht="19.5" hidden="1" customHeight="1" x14ac:dyDescent="0.25">
      <c r="B2237" s="441"/>
      <c r="C2237" s="2475" t="s">
        <v>1560</v>
      </c>
      <c r="D2237" s="4066">
        <v>0</v>
      </c>
      <c r="E2237" s="2690">
        <v>0</v>
      </c>
      <c r="F2237" s="2690">
        <v>0</v>
      </c>
      <c r="G2237" s="2690">
        <v>0</v>
      </c>
      <c r="H2237" s="1463"/>
    </row>
    <row r="2238" spans="1:11" ht="19.5" hidden="1" customHeight="1" x14ac:dyDescent="0.25">
      <c r="B2238" s="441"/>
      <c r="C2238" s="2476"/>
      <c r="D2238" s="4071"/>
      <c r="E2238" s="2778"/>
      <c r="F2238" s="2778"/>
      <c r="G2238" s="2778"/>
      <c r="H2238" s="1463"/>
    </row>
    <row r="2239" spans="1:11" ht="15.75" customHeight="1" x14ac:dyDescent="0.25">
      <c r="B2239" s="441"/>
      <c r="C2239" s="2525" t="s">
        <v>1561</v>
      </c>
      <c r="D2239" s="4065">
        <f>SUM(D2240:D2247)</f>
        <v>3570000000</v>
      </c>
      <c r="E2239" s="2695">
        <f>SUM(E2240:E2247)</f>
        <v>2525970100</v>
      </c>
      <c r="F2239" s="2679">
        <f>E2239/D2239*100</f>
        <v>70.755464985994394</v>
      </c>
      <c r="G2239" s="2695">
        <f>SUM(G2240:G2247)/5</f>
        <v>80</v>
      </c>
      <c r="H2239" s="1463"/>
    </row>
    <row r="2240" spans="1:11" ht="19.5" hidden="1" customHeight="1" x14ac:dyDescent="0.25">
      <c r="B2240" s="441"/>
      <c r="C2240" s="2473" t="s">
        <v>1562</v>
      </c>
      <c r="D2240" s="4066">
        <v>1000000000</v>
      </c>
      <c r="E2240" s="2690">
        <v>922891500</v>
      </c>
      <c r="F2240" s="2804">
        <f>E2240/D2240*100</f>
        <v>92.289149999999992</v>
      </c>
      <c r="G2240" s="2690">
        <v>100</v>
      </c>
      <c r="H2240" s="1463"/>
    </row>
    <row r="2241" spans="2:8" ht="19.5" hidden="1" customHeight="1" x14ac:dyDescent="0.25">
      <c r="B2241" s="441"/>
      <c r="C2241" s="2473" t="s">
        <v>1563</v>
      </c>
      <c r="D2241" s="4066">
        <v>500000000</v>
      </c>
      <c r="E2241" s="2690">
        <v>429400000</v>
      </c>
      <c r="F2241" s="2804">
        <f>E2241/D2241*100</f>
        <v>85.88</v>
      </c>
      <c r="G2241" s="2690">
        <v>100</v>
      </c>
      <c r="H2241" s="1463"/>
    </row>
    <row r="2242" spans="2:8" ht="19.5" hidden="1" customHeight="1" x14ac:dyDescent="0.25">
      <c r="B2242" s="441"/>
      <c r="C2242" s="2473" t="s">
        <v>1564</v>
      </c>
      <c r="D2242" s="4066" t="s">
        <v>3317</v>
      </c>
      <c r="E2242" s="2855" t="s">
        <v>3317</v>
      </c>
      <c r="F2242" s="2855" t="s">
        <v>3317</v>
      </c>
      <c r="G2242" s="2855" t="s">
        <v>3317</v>
      </c>
      <c r="H2242" s="1463"/>
    </row>
    <row r="2243" spans="2:8" ht="19.5" hidden="1" customHeight="1" x14ac:dyDescent="0.25">
      <c r="B2243" s="441"/>
      <c r="C2243" s="2473" t="s">
        <v>1565</v>
      </c>
      <c r="D2243" s="4066">
        <v>1385000000</v>
      </c>
      <c r="E2243" s="2690">
        <v>835343600</v>
      </c>
      <c r="F2243" s="2804">
        <f>E2243/D2243*100</f>
        <v>60.313617328519854</v>
      </c>
      <c r="G2243" s="2690">
        <v>70</v>
      </c>
      <c r="H2243" s="1463"/>
    </row>
    <row r="2244" spans="2:8" ht="19.5" hidden="1" customHeight="1" x14ac:dyDescent="0.25">
      <c r="B2244" s="441"/>
      <c r="C2244" s="2473" t="s">
        <v>1566</v>
      </c>
      <c r="D2244" s="4066">
        <v>190000000</v>
      </c>
      <c r="E2244" s="2855">
        <v>190000000</v>
      </c>
      <c r="F2244" s="2804">
        <f>E2244/D2244*100</f>
        <v>100</v>
      </c>
      <c r="G2244" s="2855">
        <v>100</v>
      </c>
      <c r="H2244" s="1463"/>
    </row>
    <row r="2245" spans="2:8" ht="19.5" hidden="1" customHeight="1" x14ac:dyDescent="0.25">
      <c r="B2245" s="441"/>
      <c r="C2245" s="2473" t="s">
        <v>1567</v>
      </c>
      <c r="D2245" s="4066" t="s">
        <v>3317</v>
      </c>
      <c r="E2245" s="2855" t="s">
        <v>3317</v>
      </c>
      <c r="F2245" s="2855" t="s">
        <v>3317</v>
      </c>
      <c r="G2245" s="2855" t="s">
        <v>3317</v>
      </c>
      <c r="H2245" s="1463"/>
    </row>
    <row r="2246" spans="2:8" ht="19.5" hidden="1" customHeight="1" x14ac:dyDescent="0.25">
      <c r="B2246" s="441"/>
      <c r="C2246" s="2473" t="s">
        <v>1568</v>
      </c>
      <c r="D2246" s="4066" t="s">
        <v>3317</v>
      </c>
      <c r="E2246" s="2855" t="s">
        <v>3317</v>
      </c>
      <c r="F2246" s="2855" t="s">
        <v>3317</v>
      </c>
      <c r="G2246" s="2855" t="s">
        <v>3317</v>
      </c>
      <c r="H2246" s="1463"/>
    </row>
    <row r="2247" spans="2:8" ht="19.5" hidden="1" customHeight="1" x14ac:dyDescent="0.25">
      <c r="B2247" s="441"/>
      <c r="C2247" s="2473" t="s">
        <v>4015</v>
      </c>
      <c r="D2247" s="4066">
        <v>495000000</v>
      </c>
      <c r="E2247" s="2690">
        <v>148335000</v>
      </c>
      <c r="F2247" s="2804">
        <f>E2247/D2247*100</f>
        <v>29.966666666666669</v>
      </c>
      <c r="G2247" s="2690">
        <v>30</v>
      </c>
      <c r="H2247" s="1463"/>
    </row>
    <row r="2248" spans="2:8" ht="19.5" hidden="1" customHeight="1" x14ac:dyDescent="0.25">
      <c r="B2248" s="441"/>
      <c r="C2248" s="2475"/>
      <c r="D2248" s="4335"/>
      <c r="E2248" s="4056"/>
      <c r="F2248" s="3060"/>
      <c r="G2248" s="3060"/>
      <c r="H2248" s="1463"/>
    </row>
    <row r="2249" spans="2:8" ht="16.5" customHeight="1" x14ac:dyDescent="0.25">
      <c r="B2249" s="440"/>
      <c r="C2249" s="2532" t="s">
        <v>1569</v>
      </c>
      <c r="D2249" s="4106">
        <f>D2250+D2258+D2255+D2264+D2271+D2274</f>
        <v>7150000000</v>
      </c>
      <c r="E2249" s="2672">
        <f>E2250+E2258+E2255+E2264+E2271+E2274</f>
        <v>7068275673</v>
      </c>
      <c r="F2249" s="2672">
        <f>E2249/D2249*100</f>
        <v>98.857002419580425</v>
      </c>
      <c r="G2249" s="2672">
        <f>SUM(G2250+G2255+G2258+G2264)/4</f>
        <v>94.166666666666671</v>
      </c>
      <c r="H2249" s="1463"/>
    </row>
    <row r="2250" spans="2:8" ht="18.75" customHeight="1" x14ac:dyDescent="0.25">
      <c r="B2250" s="441"/>
      <c r="C2250" s="2538" t="s">
        <v>1570</v>
      </c>
      <c r="D2250" s="4311">
        <f>SUM(D2251:D2253)</f>
        <v>1900000000</v>
      </c>
      <c r="E2250" s="2824">
        <f>SUM(E2251:E2253)</f>
        <v>1889696700</v>
      </c>
      <c r="F2250" s="2679">
        <f>E2250/D2250*100</f>
        <v>99.45772105263157</v>
      </c>
      <c r="G2250" s="2734">
        <f>SUM(G2251:G2253)/3</f>
        <v>76.666666666666671</v>
      </c>
      <c r="H2250" s="1463"/>
    </row>
    <row r="2251" spans="2:8" ht="19.5" hidden="1" customHeight="1" x14ac:dyDescent="0.25">
      <c r="B2251" s="441"/>
      <c r="C2251" s="2473" t="s">
        <v>1571</v>
      </c>
      <c r="D2251" s="4066">
        <v>1200000000</v>
      </c>
      <c r="E2251" s="2710">
        <v>1189696700</v>
      </c>
      <c r="F2251" s="2804">
        <f>E2251/D2251*100</f>
        <v>99.141391666666664</v>
      </c>
      <c r="G2251" s="2690">
        <v>100</v>
      </c>
      <c r="H2251" s="1463"/>
    </row>
    <row r="2252" spans="2:8" ht="19.5" hidden="1" customHeight="1" x14ac:dyDescent="0.25">
      <c r="B2252" s="441"/>
      <c r="C2252" s="2473" t="s">
        <v>1572</v>
      </c>
      <c r="D2252" s="4066">
        <v>500000000</v>
      </c>
      <c r="E2252" s="2690">
        <v>500000000</v>
      </c>
      <c r="F2252" s="2804">
        <f t="shared" ref="F2252:F2253" si="169">E2252/D2252*100</f>
        <v>100</v>
      </c>
      <c r="G2252" s="2710">
        <v>100</v>
      </c>
      <c r="H2252" s="1463"/>
    </row>
    <row r="2253" spans="2:8" ht="19.5" hidden="1" customHeight="1" x14ac:dyDescent="0.25">
      <c r="B2253" s="441"/>
      <c r="C2253" s="2473" t="s">
        <v>1573</v>
      </c>
      <c r="D2253" s="4066">
        <v>200000000</v>
      </c>
      <c r="E2253" s="2690">
        <v>200000000</v>
      </c>
      <c r="F2253" s="2804">
        <f t="shared" si="169"/>
        <v>100</v>
      </c>
      <c r="G2253" s="2710">
        <v>30</v>
      </c>
      <c r="H2253" s="1463"/>
    </row>
    <row r="2254" spans="2:8" ht="19.5" hidden="1" customHeight="1" x14ac:dyDescent="0.25">
      <c r="B2254" s="441"/>
      <c r="C2254" s="2476"/>
      <c r="D2254" s="4301"/>
      <c r="E2254" s="2710"/>
      <c r="F2254" s="2710"/>
      <c r="G2254" s="2710"/>
      <c r="H2254" s="1463"/>
    </row>
    <row r="2255" spans="2:8" ht="18" customHeight="1" x14ac:dyDescent="0.25">
      <c r="B2255" s="441"/>
      <c r="C2255" s="2477" t="s">
        <v>1574</v>
      </c>
      <c r="D2255" s="4065">
        <f>D2256</f>
        <v>1000000000</v>
      </c>
      <c r="E2255" s="2679">
        <f>E2256</f>
        <v>1000000000</v>
      </c>
      <c r="F2255" s="2679">
        <f>E2255/D2255*100</f>
        <v>100</v>
      </c>
      <c r="G2255" s="2679">
        <f>G2256</f>
        <v>100</v>
      </c>
      <c r="H2255" s="1463"/>
    </row>
    <row r="2256" spans="2:8" ht="19.5" hidden="1" customHeight="1" x14ac:dyDescent="0.25">
      <c r="B2256" s="441"/>
      <c r="C2256" s="2476" t="s">
        <v>1575</v>
      </c>
      <c r="D2256" s="4066">
        <v>1000000000</v>
      </c>
      <c r="E2256" s="2804">
        <v>1000000000</v>
      </c>
      <c r="F2256" s="2804">
        <f>E2256/D2256*100</f>
        <v>100</v>
      </c>
      <c r="G2256" s="2804">
        <v>100</v>
      </c>
      <c r="H2256" s="1463"/>
    </row>
    <row r="2257" spans="2:9" ht="19.5" hidden="1" customHeight="1" x14ac:dyDescent="0.25">
      <c r="B2257" s="441"/>
      <c r="C2257" s="2476"/>
      <c r="D2257" s="4066"/>
      <c r="E2257" s="2804"/>
      <c r="F2257" s="2804"/>
      <c r="G2257" s="2830"/>
      <c r="H2257" s="1463"/>
    </row>
    <row r="2258" spans="2:9" ht="28.5" customHeight="1" x14ac:dyDescent="0.25">
      <c r="B2258" s="441"/>
      <c r="C2258" s="2525" t="s">
        <v>1576</v>
      </c>
      <c r="D2258" s="4065">
        <f>SUM(D2259:D2262)</f>
        <v>4000000000</v>
      </c>
      <c r="E2258" s="3250">
        <f>SUM(E2259:E2262)</f>
        <v>3928578973</v>
      </c>
      <c r="F2258" s="2679">
        <f>E2258/D2258*100</f>
        <v>98.214474324999998</v>
      </c>
      <c r="G2258" s="2821">
        <f>SUM(G2259:G2261)/3</f>
        <v>100</v>
      </c>
      <c r="H2258" s="1463"/>
    </row>
    <row r="2259" spans="2:9" ht="19.5" hidden="1" customHeight="1" x14ac:dyDescent="0.25">
      <c r="B2259" s="441"/>
      <c r="C2259" s="2473" t="s">
        <v>1577</v>
      </c>
      <c r="D2259" s="4066">
        <v>2300000000</v>
      </c>
      <c r="E2259" s="2690">
        <v>2255914309</v>
      </c>
      <c r="F2259" s="2804">
        <f>E2259/D2259*100</f>
        <v>98.083230826086947</v>
      </c>
      <c r="G2259" s="2710">
        <v>100</v>
      </c>
      <c r="H2259" s="1463"/>
    </row>
    <row r="2260" spans="2:9" ht="19.5" hidden="1" customHeight="1" x14ac:dyDescent="0.25">
      <c r="B2260" s="441"/>
      <c r="C2260" s="2476" t="s">
        <v>1578</v>
      </c>
      <c r="D2260" s="4066">
        <v>1350000000</v>
      </c>
      <c r="E2260" s="2710">
        <v>1322664664</v>
      </c>
      <c r="F2260" s="2804">
        <f>E2260/D2260*100</f>
        <v>97.975160296296295</v>
      </c>
      <c r="G2260" s="2710">
        <v>100</v>
      </c>
      <c r="H2260" s="1463"/>
    </row>
    <row r="2261" spans="2:9" ht="19.5" hidden="1" customHeight="1" x14ac:dyDescent="0.25">
      <c r="B2261" s="441"/>
      <c r="C2261" s="3741" t="s">
        <v>3468</v>
      </c>
      <c r="D2261" s="4066">
        <v>350000000</v>
      </c>
      <c r="E2261" s="2923">
        <v>350000000</v>
      </c>
      <c r="F2261" s="2804">
        <f>E2261/D2261*100</f>
        <v>100</v>
      </c>
      <c r="G2261" s="2923">
        <v>100</v>
      </c>
      <c r="H2261" s="1463"/>
    </row>
    <row r="2262" spans="2:9" ht="19.5" hidden="1" customHeight="1" x14ac:dyDescent="0.25">
      <c r="B2262" s="444"/>
      <c r="C2262" s="3741" t="s">
        <v>3469</v>
      </c>
      <c r="D2262" s="4071"/>
      <c r="E2262" s="2710">
        <v>0</v>
      </c>
      <c r="F2262" s="2710">
        <v>0</v>
      </c>
      <c r="G2262" s="2710">
        <v>0</v>
      </c>
      <c r="H2262" s="1463"/>
    </row>
    <row r="2263" spans="2:9" ht="19.5" hidden="1" customHeight="1" x14ac:dyDescent="0.25">
      <c r="B2263" s="441"/>
      <c r="C2263" s="3741"/>
      <c r="D2263" s="4066"/>
      <c r="E2263" s="2710"/>
      <c r="F2263" s="2685"/>
      <c r="G2263" s="2710"/>
      <c r="H2263" s="1463"/>
    </row>
    <row r="2264" spans="2:9" ht="29.25" customHeight="1" x14ac:dyDescent="0.25">
      <c r="B2264" s="441"/>
      <c r="C2264" s="2477" t="s">
        <v>1579</v>
      </c>
      <c r="D2264" s="4300">
        <f>SUM(D2265:D2269)</f>
        <v>250000000</v>
      </c>
      <c r="E2264" s="2821">
        <f>SUM(E2265:E2269)</f>
        <v>250000000</v>
      </c>
      <c r="F2264" s="2679">
        <f>E2264/D2264*100</f>
        <v>100</v>
      </c>
      <c r="G2264" s="2821">
        <f>SUM(G2266:G2269)/2</f>
        <v>100</v>
      </c>
      <c r="H2264" s="1463"/>
    </row>
    <row r="2265" spans="2:9" ht="19.5" hidden="1" customHeight="1" x14ac:dyDescent="0.25">
      <c r="B2265" s="441"/>
      <c r="C2265" s="2476" t="s">
        <v>1580</v>
      </c>
      <c r="D2265" s="4336"/>
      <c r="E2265" s="3654" t="s">
        <v>3317</v>
      </c>
      <c r="F2265" s="3654" t="s">
        <v>3317</v>
      </c>
      <c r="G2265" s="3654" t="s">
        <v>3317</v>
      </c>
      <c r="H2265" s="1463"/>
    </row>
    <row r="2266" spans="2:9" ht="19.5" hidden="1" customHeight="1" x14ac:dyDescent="0.25">
      <c r="B2266" s="441"/>
      <c r="C2266" s="2476" t="s">
        <v>1581</v>
      </c>
      <c r="D2266" s="4071">
        <v>0</v>
      </c>
      <c r="E2266" s="2923">
        <v>0</v>
      </c>
      <c r="F2266" s="2923">
        <v>0</v>
      </c>
      <c r="G2266" s="2923">
        <v>0</v>
      </c>
      <c r="H2266" s="1460"/>
      <c r="I2266" s="409">
        <v>0</v>
      </c>
    </row>
    <row r="2267" spans="2:9" ht="19.5" hidden="1" customHeight="1" x14ac:dyDescent="0.25">
      <c r="B2267" s="441"/>
      <c r="C2267" s="2476" t="s">
        <v>1582</v>
      </c>
      <c r="D2267" s="4071">
        <v>0</v>
      </c>
      <c r="E2267" s="2923">
        <v>0</v>
      </c>
      <c r="F2267" s="2923">
        <v>0</v>
      </c>
      <c r="G2267" s="2923">
        <v>0</v>
      </c>
      <c r="H2267" s="1460"/>
      <c r="I2267" s="409">
        <v>0</v>
      </c>
    </row>
    <row r="2268" spans="2:9" ht="19.5" hidden="1" customHeight="1" x14ac:dyDescent="0.25">
      <c r="B2268" s="441"/>
      <c r="C2268" s="2476" t="s">
        <v>1583</v>
      </c>
      <c r="D2268" s="4066">
        <v>150000000</v>
      </c>
      <c r="E2268" s="2710">
        <v>150000000</v>
      </c>
      <c r="F2268" s="2804">
        <f>E2268/D2268*100</f>
        <v>100</v>
      </c>
      <c r="G2268" s="2710">
        <v>100</v>
      </c>
      <c r="H2268" s="1463"/>
    </row>
    <row r="2269" spans="2:9" ht="19.5" hidden="1" customHeight="1" x14ac:dyDescent="0.25">
      <c r="B2269" s="441"/>
      <c r="C2269" s="2476" t="s">
        <v>1584</v>
      </c>
      <c r="D2269" s="4066">
        <v>100000000</v>
      </c>
      <c r="E2269" s="2923">
        <v>100000000</v>
      </c>
      <c r="F2269" s="2804">
        <f>E2269/D2269*100</f>
        <v>100</v>
      </c>
      <c r="G2269" s="2923">
        <v>100</v>
      </c>
      <c r="H2269" s="1463"/>
    </row>
    <row r="2270" spans="2:9" ht="19.5" hidden="1" customHeight="1" x14ac:dyDescent="0.25">
      <c r="B2270" s="441"/>
      <c r="C2270" s="2476"/>
      <c r="D2270" s="4066"/>
      <c r="E2270" s="2710"/>
      <c r="F2270" s="2685"/>
      <c r="G2270" s="2710"/>
      <c r="H2270" s="1463"/>
    </row>
    <row r="2271" spans="2:9" ht="15.75" customHeight="1" x14ac:dyDescent="0.25">
      <c r="B2271" s="441"/>
      <c r="C2271" s="2477" t="s">
        <v>1585</v>
      </c>
      <c r="D2271" s="4337"/>
      <c r="E2271" s="3655"/>
      <c r="F2271" s="3655"/>
      <c r="G2271" s="3655"/>
      <c r="H2271" s="1463"/>
    </row>
    <row r="2272" spans="2:9" ht="19.5" hidden="1" customHeight="1" x14ac:dyDescent="0.25">
      <c r="B2272" s="441"/>
      <c r="C2272" s="2476" t="s">
        <v>1586</v>
      </c>
      <c r="D2272" s="4336" t="s">
        <v>3317</v>
      </c>
      <c r="E2272" s="3654" t="s">
        <v>3317</v>
      </c>
      <c r="F2272" s="3654" t="s">
        <v>3317</v>
      </c>
      <c r="G2272" s="3654" t="s">
        <v>3317</v>
      </c>
      <c r="H2272" s="1463"/>
    </row>
    <row r="2273" spans="2:8" ht="19.5" hidden="1" customHeight="1" x14ac:dyDescent="0.25">
      <c r="B2273" s="441"/>
      <c r="C2273" s="2476"/>
      <c r="D2273" s="4066"/>
      <c r="E2273" s="2710"/>
      <c r="F2273" s="2685"/>
      <c r="G2273" s="2710"/>
      <c r="H2273" s="1463"/>
    </row>
    <row r="2274" spans="2:8" ht="18" customHeight="1" x14ac:dyDescent="0.25">
      <c r="B2274" s="441"/>
      <c r="C2274" s="2477" t="s">
        <v>1587</v>
      </c>
      <c r="D2274" s="4337"/>
      <c r="E2274" s="3655"/>
      <c r="F2274" s="3655"/>
      <c r="G2274" s="3655"/>
      <c r="H2274" s="1463"/>
    </row>
    <row r="2275" spans="2:8" ht="19.5" hidden="1" customHeight="1" x14ac:dyDescent="0.25">
      <c r="B2275" s="441"/>
      <c r="C2275" s="2476" t="s">
        <v>1588</v>
      </c>
      <c r="D2275" s="4336" t="s">
        <v>3317</v>
      </c>
      <c r="E2275" s="3654" t="s">
        <v>3317</v>
      </c>
      <c r="F2275" s="3654" t="s">
        <v>3317</v>
      </c>
      <c r="G2275" s="3654" t="s">
        <v>3317</v>
      </c>
      <c r="H2275" s="1463"/>
    </row>
    <row r="2276" spans="2:8" ht="19.5" hidden="1" customHeight="1" x14ac:dyDescent="0.25">
      <c r="B2276" s="441"/>
      <c r="C2276" s="2477"/>
      <c r="D2276" s="4334"/>
      <c r="E2276" s="4054"/>
      <c r="F2276" s="2778"/>
      <c r="G2276" s="2778"/>
      <c r="H2276" s="1463"/>
    </row>
    <row r="2277" spans="2:8" ht="18.75" customHeight="1" x14ac:dyDescent="0.25">
      <c r="B2277" s="440"/>
      <c r="C2277" s="2471" t="s">
        <v>1589</v>
      </c>
      <c r="D2277" s="4106">
        <f>SUM(D2278+D2284+D2287)</f>
        <v>24044455000</v>
      </c>
      <c r="E2277" s="2672">
        <f>SUM(E2278+E2284+E2287)</f>
        <v>17741011000</v>
      </c>
      <c r="F2277" s="2672">
        <f>E2277/D2277*100</f>
        <v>73.784209290665984</v>
      </c>
      <c r="G2277" s="2672">
        <f>SUM(G2278+G2287)/2</f>
        <v>83.75</v>
      </c>
      <c r="H2277" s="1463"/>
    </row>
    <row r="2278" spans="2:8" ht="17.25" customHeight="1" x14ac:dyDescent="0.25">
      <c r="B2278" s="441"/>
      <c r="C2278" s="2472" t="s">
        <v>1590</v>
      </c>
      <c r="D2278" s="4072">
        <f>SUM(D2279:D2284)</f>
        <v>3500000000</v>
      </c>
      <c r="E2278" s="2942">
        <f>SUM(E2279:E2284)</f>
        <v>2016581000</v>
      </c>
      <c r="F2278" s="2785">
        <f>E2278/D2278*100</f>
        <v>57.616599999999998</v>
      </c>
      <c r="G2278" s="2785">
        <f>SUM(G2279:G2282)/4</f>
        <v>70</v>
      </c>
      <c r="H2278" s="1463"/>
    </row>
    <row r="2279" spans="2:8" ht="19.5" hidden="1" customHeight="1" x14ac:dyDescent="0.25">
      <c r="B2279" s="441"/>
      <c r="C2279" s="2473" t="s">
        <v>1591</v>
      </c>
      <c r="D2279" s="4066">
        <v>500000000</v>
      </c>
      <c r="E2279" s="2923">
        <v>0</v>
      </c>
      <c r="F2279" s="2923">
        <v>0</v>
      </c>
      <c r="G2279" s="2923">
        <v>0</v>
      </c>
      <c r="H2279" s="1463"/>
    </row>
    <row r="2280" spans="2:8" ht="19.5" hidden="1" customHeight="1" x14ac:dyDescent="0.25">
      <c r="B2280" s="441"/>
      <c r="C2280" s="2473" t="s">
        <v>4147</v>
      </c>
      <c r="D2280" s="4066">
        <v>2000000000</v>
      </c>
      <c r="E2280" s="2690">
        <v>1088052200</v>
      </c>
      <c r="F2280" s="2690">
        <f>E2280/D2280*100</f>
        <v>54.402609999999996</v>
      </c>
      <c r="G2280" s="2690">
        <v>90</v>
      </c>
      <c r="H2280" s="1463"/>
    </row>
    <row r="2281" spans="2:8" ht="19.5" hidden="1" customHeight="1" x14ac:dyDescent="0.25">
      <c r="B2281" s="441"/>
      <c r="C2281" s="2473" t="s">
        <v>3087</v>
      </c>
      <c r="D2281" s="4066">
        <v>500000000</v>
      </c>
      <c r="E2281" s="2690">
        <v>500000000</v>
      </c>
      <c r="F2281" s="2690">
        <f t="shared" ref="F2281:F2282" si="170">E2281/D2281*100</f>
        <v>100</v>
      </c>
      <c r="G2281" s="2690">
        <v>100</v>
      </c>
      <c r="H2281" s="1463"/>
    </row>
    <row r="2282" spans="2:8" ht="19.5" hidden="1" customHeight="1" x14ac:dyDescent="0.25">
      <c r="B2282" s="441"/>
      <c r="C2282" s="2473" t="s">
        <v>4016</v>
      </c>
      <c r="D2282" s="4066">
        <v>500000000</v>
      </c>
      <c r="E2282" s="2690">
        <v>428528800</v>
      </c>
      <c r="F2282" s="2690">
        <f t="shared" si="170"/>
        <v>85.705759999999998</v>
      </c>
      <c r="G2282" s="2690">
        <v>90</v>
      </c>
      <c r="H2282" s="1463"/>
    </row>
    <row r="2283" spans="2:8" ht="19.5" hidden="1" customHeight="1" x14ac:dyDescent="0.25">
      <c r="B2283" s="441"/>
      <c r="C2283" s="2474"/>
      <c r="D2283" s="4276"/>
      <c r="E2283" s="3035"/>
      <c r="F2283" s="3035"/>
      <c r="G2283" s="3035"/>
      <c r="H2283" s="1463"/>
    </row>
    <row r="2284" spans="2:8" ht="14.25" customHeight="1" x14ac:dyDescent="0.25">
      <c r="B2284" s="441"/>
      <c r="C2284" s="2474" t="s">
        <v>1592</v>
      </c>
      <c r="D2284" s="4276"/>
      <c r="E2284" s="3035"/>
      <c r="F2284" s="3035"/>
      <c r="G2284" s="3035"/>
      <c r="H2284" s="1463"/>
    </row>
    <row r="2285" spans="2:8" ht="19.5" hidden="1" customHeight="1" x14ac:dyDescent="0.25">
      <c r="B2285" s="441"/>
      <c r="C2285" s="2473" t="s">
        <v>1593</v>
      </c>
      <c r="D2285" s="4321" t="s">
        <v>3317</v>
      </c>
      <c r="E2285" s="3646" t="s">
        <v>3317</v>
      </c>
      <c r="F2285" s="3646" t="s">
        <v>3317</v>
      </c>
      <c r="G2285" s="3646" t="s">
        <v>3317</v>
      </c>
      <c r="H2285" s="1463"/>
    </row>
    <row r="2286" spans="2:8" ht="19.5" hidden="1" customHeight="1" x14ac:dyDescent="0.25">
      <c r="B2286" s="441"/>
      <c r="C2286" s="2474"/>
      <c r="D2286" s="4276"/>
      <c r="E2286" s="3035"/>
      <c r="F2286" s="3035"/>
      <c r="G2286" s="3035"/>
      <c r="H2286" s="1463"/>
    </row>
    <row r="2287" spans="2:8" ht="15.75" customHeight="1" x14ac:dyDescent="0.25">
      <c r="B2287" s="441"/>
      <c r="C2287" s="2474" t="s">
        <v>1594</v>
      </c>
      <c r="D2287" s="4065">
        <f>SUM(D2288:D2294)</f>
        <v>20544455000</v>
      </c>
      <c r="E2287" s="3998">
        <f>SUM(E2288:E2294)</f>
        <v>15724430000</v>
      </c>
      <c r="F2287" s="2785">
        <f>E2287/D2287*100</f>
        <v>76.538559917992472</v>
      </c>
      <c r="G2287" s="2695">
        <f>SUM(G2288:G2289)/2</f>
        <v>97.5</v>
      </c>
      <c r="H2287" s="1463"/>
    </row>
    <row r="2288" spans="2:8" ht="19.5" hidden="1" customHeight="1" x14ac:dyDescent="0.25">
      <c r="B2288" s="441"/>
      <c r="C2288" s="2473" t="s">
        <v>3470</v>
      </c>
      <c r="D2288" s="4066">
        <v>20044455000</v>
      </c>
      <c r="E2288" s="2690">
        <v>15250960000</v>
      </c>
      <c r="F2288" s="2690">
        <f>E2288/D2288*100</f>
        <v>76.085680553549594</v>
      </c>
      <c r="G2288" s="2690">
        <v>95</v>
      </c>
      <c r="H2288" s="1463"/>
    </row>
    <row r="2289" spans="2:8" ht="19.5" hidden="1" customHeight="1" x14ac:dyDescent="0.25">
      <c r="B2289" s="441"/>
      <c r="C2289" s="2473" t="s">
        <v>1595</v>
      </c>
      <c r="D2289" s="4066">
        <v>500000000</v>
      </c>
      <c r="E2289" s="2690">
        <v>473470000</v>
      </c>
      <c r="F2289" s="2690">
        <f t="shared" ref="F2289" si="171">E2289/D2289*100</f>
        <v>94.694000000000003</v>
      </c>
      <c r="G2289" s="2690">
        <v>100</v>
      </c>
      <c r="H2289" s="1463"/>
    </row>
    <row r="2290" spans="2:8" ht="19.5" hidden="1" customHeight="1" x14ac:dyDescent="0.25">
      <c r="B2290" s="441"/>
      <c r="C2290" s="2473" t="s">
        <v>1596</v>
      </c>
      <c r="D2290" s="4276">
        <v>0</v>
      </c>
      <c r="E2290" s="3035">
        <v>0</v>
      </c>
      <c r="F2290" s="3035">
        <v>0</v>
      </c>
      <c r="G2290" s="3035">
        <v>0</v>
      </c>
      <c r="H2290" s="1463"/>
    </row>
    <row r="2291" spans="2:8" ht="19.5" hidden="1" customHeight="1" x14ac:dyDescent="0.25">
      <c r="B2291" s="441"/>
      <c r="C2291" s="2473" t="s">
        <v>1597</v>
      </c>
      <c r="D2291" s="4276">
        <v>0</v>
      </c>
      <c r="E2291" s="3035">
        <v>0</v>
      </c>
      <c r="F2291" s="3035">
        <v>0</v>
      </c>
      <c r="G2291" s="3035">
        <v>0</v>
      </c>
      <c r="H2291" s="1463"/>
    </row>
    <row r="2292" spans="2:8" ht="19.5" hidden="1" customHeight="1" x14ac:dyDescent="0.25">
      <c r="B2292" s="441"/>
      <c r="C2292" s="2473" t="s">
        <v>1598</v>
      </c>
      <c r="D2292" s="4276">
        <v>0</v>
      </c>
      <c r="E2292" s="3035">
        <v>0</v>
      </c>
      <c r="F2292" s="3035">
        <v>0</v>
      </c>
      <c r="G2292" s="3035">
        <v>0</v>
      </c>
      <c r="H2292" s="1463"/>
    </row>
    <row r="2293" spans="2:8" ht="19.5" hidden="1" customHeight="1" x14ac:dyDescent="0.25">
      <c r="B2293" s="441"/>
      <c r="C2293" s="2473" t="s">
        <v>1599</v>
      </c>
      <c r="D2293" s="4276">
        <v>0</v>
      </c>
      <c r="E2293" s="3035">
        <v>0</v>
      </c>
      <c r="F2293" s="3035">
        <v>0</v>
      </c>
      <c r="G2293" s="3035">
        <v>0</v>
      </c>
      <c r="H2293" s="1463"/>
    </row>
    <row r="2294" spans="2:8" ht="19.5" hidden="1" customHeight="1" x14ac:dyDescent="0.25">
      <c r="B2294" s="441"/>
      <c r="C2294" s="2473" t="s">
        <v>1600</v>
      </c>
      <c r="D2294" s="4276">
        <v>0</v>
      </c>
      <c r="E2294" s="3035">
        <v>0</v>
      </c>
      <c r="F2294" s="3035">
        <v>0</v>
      </c>
      <c r="G2294" s="3035">
        <v>0</v>
      </c>
      <c r="H2294" s="1463"/>
    </row>
    <row r="2295" spans="2:8" ht="19.5" hidden="1" customHeight="1" x14ac:dyDescent="0.25">
      <c r="B2295" s="441"/>
      <c r="C2295" s="2478"/>
      <c r="D2295" s="4335"/>
      <c r="E2295" s="2784"/>
      <c r="F2295" s="2784"/>
      <c r="G2295" s="2784"/>
      <c r="H2295" s="1463"/>
    </row>
    <row r="2296" spans="2:8" ht="15.75" customHeight="1" x14ac:dyDescent="0.25">
      <c r="B2296" s="440"/>
      <c r="C2296" s="2471" t="s">
        <v>329</v>
      </c>
      <c r="D2296" s="4106">
        <f>D2297+D2302+D2307</f>
        <v>810000000</v>
      </c>
      <c r="E2296" s="2672">
        <f>E2297+E2302+E2307</f>
        <v>810000000</v>
      </c>
      <c r="F2296" s="3656">
        <f>E2296/D2296*100</f>
        <v>100</v>
      </c>
      <c r="G2296" s="3656">
        <f>SUM(G2297+G2302+G2307)/3</f>
        <v>100</v>
      </c>
      <c r="H2296" s="1463"/>
    </row>
    <row r="2297" spans="2:8" ht="15.75" customHeight="1" x14ac:dyDescent="0.25">
      <c r="B2297" s="441"/>
      <c r="C2297" s="2521" t="s">
        <v>1601</v>
      </c>
      <c r="D2297" s="4072">
        <f>D2300</f>
        <v>200000000</v>
      </c>
      <c r="E2297" s="2942">
        <f>E2300</f>
        <v>200000000</v>
      </c>
      <c r="F2297" s="2725">
        <f>E2297/D2297*100</f>
        <v>100</v>
      </c>
      <c r="G2297" s="3657">
        <f>G2300</f>
        <v>100</v>
      </c>
      <c r="H2297" s="1463"/>
    </row>
    <row r="2298" spans="2:8" ht="19.5" hidden="1" customHeight="1" x14ac:dyDescent="0.25">
      <c r="B2298" s="441"/>
      <c r="C2298" s="2473" t="s">
        <v>1602</v>
      </c>
      <c r="D2298" s="4276">
        <v>0</v>
      </c>
      <c r="E2298" s="3035">
        <v>0</v>
      </c>
      <c r="F2298" s="3035">
        <v>0</v>
      </c>
      <c r="G2298" s="3035">
        <v>0</v>
      </c>
      <c r="H2298" s="1463"/>
    </row>
    <row r="2299" spans="2:8" ht="19.5" hidden="1" customHeight="1" x14ac:dyDescent="0.25">
      <c r="B2299" s="441"/>
      <c r="C2299" s="2473" t="s">
        <v>1603</v>
      </c>
      <c r="D2299" s="4276">
        <v>0</v>
      </c>
      <c r="E2299" s="3035">
        <v>0</v>
      </c>
      <c r="F2299" s="3035">
        <v>0</v>
      </c>
      <c r="G2299" s="3035">
        <v>0</v>
      </c>
      <c r="H2299" s="1463"/>
    </row>
    <row r="2300" spans="2:8" ht="19.5" hidden="1" customHeight="1" x14ac:dyDescent="0.25">
      <c r="B2300" s="441"/>
      <c r="C2300" s="2473" t="s">
        <v>1604</v>
      </c>
      <c r="D2300" s="4071">
        <v>200000000</v>
      </c>
      <c r="E2300" s="2923">
        <v>200000000</v>
      </c>
      <c r="F2300" s="2690">
        <f t="shared" ref="F2300" si="172">E2300/D2300*100</f>
        <v>100</v>
      </c>
      <c r="G2300" s="2923">
        <v>100</v>
      </c>
      <c r="H2300" s="3658"/>
    </row>
    <row r="2301" spans="2:8" ht="19.5" hidden="1" customHeight="1" x14ac:dyDescent="0.25">
      <c r="B2301" s="441"/>
      <c r="C2301" s="2473"/>
      <c r="D2301" s="4066"/>
      <c r="E2301" s="2690"/>
      <c r="F2301" s="2690"/>
      <c r="G2301" s="2690"/>
      <c r="H2301" s="1463"/>
    </row>
    <row r="2302" spans="2:8" ht="30.75" customHeight="1" x14ac:dyDescent="0.25">
      <c r="B2302" s="441"/>
      <c r="C2302" s="2525" t="s">
        <v>1605</v>
      </c>
      <c r="D2302" s="4065">
        <f>SUM(D2303:D2305)</f>
        <v>300000000</v>
      </c>
      <c r="E2302" s="2695">
        <f>SUM(E2303:E2305)</f>
        <v>300000000</v>
      </c>
      <c r="F2302" s="2725">
        <f>E2302/D2302*100</f>
        <v>100</v>
      </c>
      <c r="G2302" s="2695">
        <f>SUM(G2303:G2305)/3</f>
        <v>100</v>
      </c>
      <c r="H2302" s="1463"/>
    </row>
    <row r="2303" spans="2:8" ht="19.5" hidden="1" customHeight="1" x14ac:dyDescent="0.25">
      <c r="B2303" s="441"/>
      <c r="C2303" s="2475" t="s">
        <v>1606</v>
      </c>
      <c r="D2303" s="4066">
        <v>50000000</v>
      </c>
      <c r="E2303" s="2690">
        <v>50000000</v>
      </c>
      <c r="F2303" s="2804">
        <f t="shared" ref="F2303:F2305" si="173">E2303/D2303*100</f>
        <v>100</v>
      </c>
      <c r="G2303" s="2690">
        <v>100</v>
      </c>
      <c r="H2303" s="1463"/>
    </row>
    <row r="2304" spans="2:8" ht="19.5" hidden="1" customHeight="1" x14ac:dyDescent="0.25">
      <c r="B2304" s="441"/>
      <c r="C2304" s="2476" t="s">
        <v>1607</v>
      </c>
      <c r="D2304" s="4071">
        <v>50000000</v>
      </c>
      <c r="E2304" s="2710">
        <v>50000000</v>
      </c>
      <c r="F2304" s="2804">
        <f t="shared" si="173"/>
        <v>100</v>
      </c>
      <c r="G2304" s="2710">
        <v>100</v>
      </c>
      <c r="H2304" s="1463"/>
    </row>
    <row r="2305" spans="2:8" ht="19.5" hidden="1" customHeight="1" x14ac:dyDescent="0.25">
      <c r="B2305" s="441"/>
      <c r="C2305" s="2476" t="s">
        <v>1608</v>
      </c>
      <c r="D2305" s="4071">
        <v>200000000</v>
      </c>
      <c r="E2305" s="2710">
        <v>200000000</v>
      </c>
      <c r="F2305" s="2804">
        <f t="shared" si="173"/>
        <v>100</v>
      </c>
      <c r="G2305" s="2710">
        <v>100</v>
      </c>
      <c r="H2305" s="1463"/>
    </row>
    <row r="2306" spans="2:8" ht="19.5" hidden="1" customHeight="1" x14ac:dyDescent="0.25">
      <c r="B2306" s="441"/>
      <c r="C2306" s="2477"/>
      <c r="D2306" s="4285"/>
      <c r="E2306" s="2778"/>
      <c r="F2306" s="2710"/>
      <c r="G2306" s="2778"/>
      <c r="H2306" s="1463"/>
    </row>
    <row r="2307" spans="2:8" ht="15.75" customHeight="1" x14ac:dyDescent="0.25">
      <c r="B2307" s="441"/>
      <c r="C2307" s="2477" t="s">
        <v>1609</v>
      </c>
      <c r="D2307" s="4065">
        <f>SUM(D2308:D2309)</f>
        <v>310000000</v>
      </c>
      <c r="E2307" s="2695">
        <f>SUM(E2308:E2309)</f>
        <v>310000000</v>
      </c>
      <c r="F2307" s="2679">
        <f>E2307/D2307*100</f>
        <v>100</v>
      </c>
      <c r="G2307" s="4057">
        <f>SUM(G2308:G2309)/2</f>
        <v>100</v>
      </c>
      <c r="H2307" s="1463"/>
    </row>
    <row r="2308" spans="2:8" ht="19.5" hidden="1" customHeight="1" x14ac:dyDescent="0.25">
      <c r="B2308" s="441"/>
      <c r="C2308" s="2476" t="s">
        <v>1610</v>
      </c>
      <c r="D2308" s="4066">
        <v>10000000</v>
      </c>
      <c r="E2308" s="2690">
        <v>10000000</v>
      </c>
      <c r="F2308" s="2804">
        <f t="shared" ref="F2308:F2309" si="174">E2308/D2308*100</f>
        <v>100</v>
      </c>
      <c r="G2308" s="2923">
        <v>100</v>
      </c>
      <c r="H2308" s="1463"/>
    </row>
    <row r="2309" spans="2:8" ht="19.5" hidden="1" customHeight="1" x14ac:dyDescent="0.25">
      <c r="B2309" s="444"/>
      <c r="C2309" s="2473" t="s">
        <v>1611</v>
      </c>
      <c r="D2309" s="3704">
        <v>300000000</v>
      </c>
      <c r="E2309" s="2810">
        <v>300000000</v>
      </c>
      <c r="F2309" s="2804">
        <f t="shared" si="174"/>
        <v>100</v>
      </c>
      <c r="G2309" s="2923">
        <v>100</v>
      </c>
      <c r="H2309" s="1463"/>
    </row>
    <row r="2310" spans="2:8" ht="19.5" hidden="1" customHeight="1" x14ac:dyDescent="0.25">
      <c r="B2310" s="441"/>
      <c r="C2310" s="2563"/>
      <c r="D2310" s="4332"/>
      <c r="E2310" s="4051"/>
      <c r="F2310" s="2752"/>
      <c r="G2310" s="3785"/>
      <c r="H2310" s="1463"/>
    </row>
    <row r="2311" spans="2:8" ht="15.75" customHeight="1" x14ac:dyDescent="0.25">
      <c r="B2311" s="440"/>
      <c r="C2311" s="2471" t="s">
        <v>5553</v>
      </c>
      <c r="D2311" s="4106">
        <f>SUM(D2312+D2319+D2325)</f>
        <v>1464600000</v>
      </c>
      <c r="E2311" s="2672">
        <f>SUM(E2312+E2319+E2325)</f>
        <v>1314600000</v>
      </c>
      <c r="F2311" s="2672">
        <f>E2311/D2311*100</f>
        <v>89.758295780417868</v>
      </c>
      <c r="G2311" s="2719">
        <f>SUM(G2312+G2319+G2325)/3</f>
        <v>88.8888888888889</v>
      </c>
      <c r="H2311" s="1463"/>
    </row>
    <row r="2312" spans="2:8" ht="17.25" customHeight="1" x14ac:dyDescent="0.25">
      <c r="B2312" s="441"/>
      <c r="C2312" s="2478" t="s">
        <v>1612</v>
      </c>
      <c r="D2312" s="4311">
        <f>SUM(D2313:D2317)</f>
        <v>510000000</v>
      </c>
      <c r="E2312" s="2824">
        <f>SUM(E2313:E2317)</f>
        <v>510000000</v>
      </c>
      <c r="F2312" s="2725">
        <f>E2312/D2312*100</f>
        <v>100</v>
      </c>
      <c r="G2312" s="2722">
        <f>SUM(G2313:G2317)/4</f>
        <v>100</v>
      </c>
      <c r="H2312" s="1463"/>
    </row>
    <row r="2313" spans="2:8" ht="19.5" hidden="1" customHeight="1" x14ac:dyDescent="0.25">
      <c r="B2313" s="441"/>
      <c r="C2313" s="2473" t="s">
        <v>1613</v>
      </c>
      <c r="D2313" s="4071">
        <v>60000000</v>
      </c>
      <c r="E2313" s="2923">
        <v>60000000</v>
      </c>
      <c r="F2313" s="2804">
        <f>E2313/D2313*100</f>
        <v>100</v>
      </c>
      <c r="G2313" s="2685">
        <v>100</v>
      </c>
      <c r="H2313" s="1463"/>
    </row>
    <row r="2314" spans="2:8" ht="19.5" hidden="1" customHeight="1" x14ac:dyDescent="0.25">
      <c r="B2314" s="441"/>
      <c r="C2314" s="2476" t="s">
        <v>1614</v>
      </c>
      <c r="D2314" s="4285">
        <v>0</v>
      </c>
      <c r="E2314" s="2778">
        <v>0</v>
      </c>
      <c r="F2314" s="2778">
        <v>0</v>
      </c>
      <c r="G2314" s="2778">
        <v>0</v>
      </c>
      <c r="H2314" s="1463"/>
    </row>
    <row r="2315" spans="2:8" ht="19.5" hidden="1" customHeight="1" x14ac:dyDescent="0.25">
      <c r="B2315" s="441"/>
      <c r="C2315" s="2476" t="s">
        <v>1615</v>
      </c>
      <c r="D2315" s="4071">
        <v>100000000</v>
      </c>
      <c r="E2315" s="2710">
        <v>100000000</v>
      </c>
      <c r="F2315" s="2804">
        <f>E2315/D2315*100</f>
        <v>100</v>
      </c>
      <c r="G2315" s="2685">
        <v>100</v>
      </c>
      <c r="H2315" s="1463"/>
    </row>
    <row r="2316" spans="2:8" ht="19.5" hidden="1" customHeight="1" x14ac:dyDescent="0.25">
      <c r="B2316" s="441"/>
      <c r="C2316" s="2476" t="s">
        <v>1616</v>
      </c>
      <c r="D2316" s="4071">
        <v>100000000</v>
      </c>
      <c r="E2316" s="2710">
        <v>100000000</v>
      </c>
      <c r="F2316" s="2804">
        <f>E2316/D2316*100</f>
        <v>100</v>
      </c>
      <c r="G2316" s="2710">
        <v>100</v>
      </c>
      <c r="H2316" s="1463"/>
    </row>
    <row r="2317" spans="2:8" ht="19.5" hidden="1" customHeight="1" x14ac:dyDescent="0.25">
      <c r="B2317" s="441"/>
      <c r="C2317" s="2476" t="s">
        <v>1617</v>
      </c>
      <c r="D2317" s="4071">
        <v>250000000</v>
      </c>
      <c r="E2317" s="2710">
        <v>250000000</v>
      </c>
      <c r="F2317" s="2804">
        <f>E2317/D2317*100</f>
        <v>100</v>
      </c>
      <c r="G2317" s="2710">
        <v>100</v>
      </c>
      <c r="H2317" s="1463"/>
    </row>
    <row r="2318" spans="2:8" ht="19.5" hidden="1" customHeight="1" x14ac:dyDescent="0.25">
      <c r="B2318" s="441"/>
      <c r="C2318" s="2476"/>
      <c r="D2318" s="4285"/>
      <c r="E2318" s="2778"/>
      <c r="F2318" s="3035"/>
      <c r="G2318" s="2778"/>
      <c r="H2318" s="1463"/>
    </row>
    <row r="2319" spans="2:8" ht="18" customHeight="1" x14ac:dyDescent="0.25">
      <c r="B2319" s="441"/>
      <c r="C2319" s="2525" t="s">
        <v>1618</v>
      </c>
      <c r="D2319" s="4065">
        <f>SUM(D2320:D2323)</f>
        <v>551600000</v>
      </c>
      <c r="E2319" s="2695">
        <f>SUM(E2320:E2323)</f>
        <v>551600000</v>
      </c>
      <c r="F2319" s="2725">
        <f>E2319/D2319*100</f>
        <v>100</v>
      </c>
      <c r="G2319" s="2695">
        <f>SUM(G2320:G2323)/4</f>
        <v>100</v>
      </c>
      <c r="H2319" s="1463"/>
    </row>
    <row r="2320" spans="2:8" ht="19.5" hidden="1" customHeight="1" x14ac:dyDescent="0.25">
      <c r="B2320" s="441"/>
      <c r="C2320" s="2473" t="s">
        <v>1619</v>
      </c>
      <c r="D2320" s="4066">
        <v>175000000</v>
      </c>
      <c r="E2320" s="2855">
        <v>175000000</v>
      </c>
      <c r="F2320" s="2804">
        <f>E2320/D2320*100</f>
        <v>100</v>
      </c>
      <c r="G2320" s="2685">
        <v>100</v>
      </c>
      <c r="H2320" s="1463"/>
    </row>
    <row r="2321" spans="2:8" ht="19.5" hidden="1" customHeight="1" x14ac:dyDescent="0.25">
      <c r="B2321" s="441"/>
      <c r="C2321" s="2473" t="s">
        <v>1620</v>
      </c>
      <c r="D2321" s="4066">
        <v>100000000</v>
      </c>
      <c r="E2321" s="2855">
        <v>100000000</v>
      </c>
      <c r="F2321" s="2804">
        <f>E2321/D2321*100</f>
        <v>100</v>
      </c>
      <c r="G2321" s="2685">
        <v>100</v>
      </c>
      <c r="H2321" s="1463"/>
    </row>
    <row r="2322" spans="2:8" ht="19.5" hidden="1" customHeight="1" x14ac:dyDescent="0.25">
      <c r="B2322" s="441"/>
      <c r="C2322" s="2473" t="s">
        <v>1621</v>
      </c>
      <c r="D2322" s="4066">
        <v>176600000</v>
      </c>
      <c r="E2322" s="2855">
        <v>176600000</v>
      </c>
      <c r="F2322" s="2804">
        <f t="shared" ref="F2322:F2323" si="175">E2322/D2322*100</f>
        <v>100</v>
      </c>
      <c r="G2322" s="2685">
        <v>100</v>
      </c>
      <c r="H2322" s="1463"/>
    </row>
    <row r="2323" spans="2:8" ht="19.5" hidden="1" customHeight="1" x14ac:dyDescent="0.25">
      <c r="B2323" s="441"/>
      <c r="C2323" s="2473" t="s">
        <v>1622</v>
      </c>
      <c r="D2323" s="4066">
        <v>100000000</v>
      </c>
      <c r="E2323" s="2685">
        <v>100000000</v>
      </c>
      <c r="F2323" s="2804">
        <f t="shared" si="175"/>
        <v>100</v>
      </c>
      <c r="G2323" s="2685">
        <v>100</v>
      </c>
      <c r="H2323" s="1463"/>
    </row>
    <row r="2324" spans="2:8" ht="19.5" hidden="1" customHeight="1" x14ac:dyDescent="0.25">
      <c r="B2324" s="441"/>
      <c r="C2324" s="2473"/>
      <c r="D2324" s="4276"/>
      <c r="E2324" s="3035"/>
      <c r="F2324" s="3035"/>
      <c r="G2324" s="3035"/>
      <c r="H2324" s="1463"/>
    </row>
    <row r="2325" spans="2:8" ht="19.5" customHeight="1" x14ac:dyDescent="0.25">
      <c r="B2325" s="441"/>
      <c r="C2325" s="2525" t="s">
        <v>1623</v>
      </c>
      <c r="D2325" s="4065">
        <f>SUM(D2326:D2328)</f>
        <v>403000000</v>
      </c>
      <c r="E2325" s="2695">
        <f>SUM(E2326:E2328)</f>
        <v>253000000</v>
      </c>
      <c r="F2325" s="2725">
        <f>E2325/D2325*100</f>
        <v>62.779156327543426</v>
      </c>
      <c r="G2325" s="2695">
        <f>SUM(G2326:G2328)/3</f>
        <v>66.666666666666671</v>
      </c>
      <c r="H2325" s="1463"/>
    </row>
    <row r="2326" spans="2:8" ht="19.5" hidden="1" customHeight="1" x14ac:dyDescent="0.25">
      <c r="B2326" s="441"/>
      <c r="C2326" s="2473" t="s">
        <v>1624</v>
      </c>
      <c r="D2326" s="4066">
        <v>153000000</v>
      </c>
      <c r="E2326" s="2690">
        <v>153000000</v>
      </c>
      <c r="F2326" s="2804">
        <f t="shared" ref="F2326" si="176">E2326/D2326*100</f>
        <v>100</v>
      </c>
      <c r="G2326" s="2690">
        <v>100</v>
      </c>
      <c r="H2326" s="1463"/>
    </row>
    <row r="2327" spans="2:8" ht="19.5" hidden="1" customHeight="1" x14ac:dyDescent="0.25">
      <c r="B2327" s="441"/>
      <c r="C2327" s="2473" t="s">
        <v>1625</v>
      </c>
      <c r="D2327" s="4066">
        <v>150000000</v>
      </c>
      <c r="E2327" s="2685">
        <v>0</v>
      </c>
      <c r="F2327" s="2685">
        <v>0</v>
      </c>
      <c r="G2327" s="2685">
        <v>0</v>
      </c>
      <c r="H2327" s="1463"/>
    </row>
    <row r="2328" spans="2:8" ht="19.5" hidden="1" customHeight="1" x14ac:dyDescent="0.25">
      <c r="B2328" s="441"/>
      <c r="C2328" s="2473" t="s">
        <v>1626</v>
      </c>
      <c r="D2328" s="4066">
        <v>100000000</v>
      </c>
      <c r="E2328" s="2690">
        <v>100000000</v>
      </c>
      <c r="F2328" s="2804">
        <f t="shared" ref="F2328" si="177">E2328/D2328*100</f>
        <v>100</v>
      </c>
      <c r="G2328" s="2690">
        <v>100</v>
      </c>
      <c r="H2328" s="1463"/>
    </row>
    <row r="2329" spans="2:8" ht="19.5" hidden="1" customHeight="1" x14ac:dyDescent="0.25">
      <c r="B2329" s="441"/>
      <c r="C2329" s="3753"/>
      <c r="D2329" s="4338"/>
      <c r="E2329" s="4058"/>
      <c r="F2329" s="2784"/>
      <c r="G2329" s="2784"/>
      <c r="H2329" s="1463"/>
    </row>
    <row r="2330" spans="2:8" ht="18" customHeight="1" x14ac:dyDescent="0.25">
      <c r="B2330" s="440"/>
      <c r="C2330" s="2471" t="s">
        <v>1627</v>
      </c>
      <c r="D2330" s="4106">
        <f>SUM(D2331+D2335+D2339+D2342)</f>
        <v>1900000000</v>
      </c>
      <c r="E2330" s="2672">
        <f>SUM(E2331+E2335+E2339+E2342)</f>
        <v>1900000000</v>
      </c>
      <c r="F2330" s="2672">
        <f>E2330/D2330*100</f>
        <v>100</v>
      </c>
      <c r="G2330" s="2672">
        <f>SUM(G2331+G2335+G2339+G2342)/4</f>
        <v>100</v>
      </c>
      <c r="H2330" s="1463"/>
    </row>
    <row r="2331" spans="2:8" ht="18.75" customHeight="1" x14ac:dyDescent="0.25">
      <c r="B2331" s="441"/>
      <c r="C2331" s="2521" t="s">
        <v>134</v>
      </c>
      <c r="D2331" s="4339">
        <f>SUM(D2332:D2333)</f>
        <v>500000000</v>
      </c>
      <c r="E2331" s="3003">
        <f>SUM(E2332:E2333)</f>
        <v>500000000</v>
      </c>
      <c r="F2331" s="2725">
        <f>E2331/D2331*100</f>
        <v>100</v>
      </c>
      <c r="G2331" s="2725">
        <f>G2333</f>
        <v>100</v>
      </c>
      <c r="H2331" s="1463"/>
    </row>
    <row r="2332" spans="2:8" ht="19.5" hidden="1" customHeight="1" x14ac:dyDescent="0.25">
      <c r="B2332" s="441"/>
      <c r="C2332" s="2473" t="s">
        <v>1628</v>
      </c>
      <c r="D2332" s="4321" t="s">
        <v>3317</v>
      </c>
      <c r="E2332" s="3652" t="s">
        <v>3317</v>
      </c>
      <c r="F2332" s="3652" t="s">
        <v>3317</v>
      </c>
      <c r="G2332" s="3652" t="s">
        <v>3317</v>
      </c>
      <c r="H2332" s="1463"/>
    </row>
    <row r="2333" spans="2:8" ht="19.5" hidden="1" customHeight="1" x14ac:dyDescent="0.25">
      <c r="B2333" s="441"/>
      <c r="C2333" s="2473" t="s">
        <v>1629</v>
      </c>
      <c r="D2333" s="4066">
        <v>500000000</v>
      </c>
      <c r="E2333" s="2855">
        <v>500000000</v>
      </c>
      <c r="F2333" s="2804">
        <f t="shared" ref="F2333" si="178">E2333/D2333*100</f>
        <v>100</v>
      </c>
      <c r="G2333" s="2685">
        <v>100</v>
      </c>
      <c r="H2333" s="1463"/>
    </row>
    <row r="2334" spans="2:8" ht="19.5" hidden="1" customHeight="1" x14ac:dyDescent="0.25">
      <c r="B2334" s="441"/>
      <c r="C2334" s="2473"/>
      <c r="D2334" s="4276"/>
      <c r="E2334" s="3035"/>
      <c r="F2334" s="3035"/>
      <c r="G2334" s="3035"/>
      <c r="H2334" s="1463"/>
    </row>
    <row r="2335" spans="2:8" ht="15.75" customHeight="1" x14ac:dyDescent="0.25">
      <c r="B2335" s="441"/>
      <c r="C2335" s="2525" t="s">
        <v>1630</v>
      </c>
      <c r="D2335" s="4065">
        <f>SUM(D2336:D2337)</f>
        <v>200000000</v>
      </c>
      <c r="E2335" s="2695">
        <f>SUM(E2336:E2337)</f>
        <v>200000000</v>
      </c>
      <c r="F2335" s="2725">
        <f>E2335/D2335*100</f>
        <v>100</v>
      </c>
      <c r="G2335" s="2725">
        <f>SUM(G2336:G2337)/2</f>
        <v>100</v>
      </c>
      <c r="H2335" s="1463"/>
    </row>
    <row r="2336" spans="2:8" ht="19.5" hidden="1" customHeight="1" x14ac:dyDescent="0.25">
      <c r="B2336" s="441"/>
      <c r="C2336" s="2473" t="s">
        <v>1631</v>
      </c>
      <c r="D2336" s="4066">
        <v>100000000</v>
      </c>
      <c r="E2336" s="2855">
        <v>100000000</v>
      </c>
      <c r="F2336" s="2804">
        <f t="shared" ref="F2336:F2337" si="179">E2336/D2336*100</f>
        <v>100</v>
      </c>
      <c r="G2336" s="2685">
        <v>100</v>
      </c>
      <c r="H2336" s="1463"/>
    </row>
    <row r="2337" spans="1:11" ht="19.5" hidden="1" customHeight="1" x14ac:dyDescent="0.25">
      <c r="B2337" s="441"/>
      <c r="C2337" s="2473" t="s">
        <v>1632</v>
      </c>
      <c r="D2337" s="4066">
        <v>100000000</v>
      </c>
      <c r="E2337" s="2685">
        <v>100000000</v>
      </c>
      <c r="F2337" s="2804">
        <f t="shared" si="179"/>
        <v>100</v>
      </c>
      <c r="G2337" s="2685">
        <v>100</v>
      </c>
      <c r="H2337" s="1463"/>
    </row>
    <row r="2338" spans="1:11" ht="19.5" hidden="1" customHeight="1" x14ac:dyDescent="0.25">
      <c r="B2338" s="441"/>
      <c r="C2338" s="2473"/>
      <c r="D2338" s="4276"/>
      <c r="E2338" s="3035"/>
      <c r="F2338" s="3035"/>
      <c r="G2338" s="3035"/>
      <c r="H2338" s="1463"/>
    </row>
    <row r="2339" spans="1:11" ht="18" customHeight="1" x14ac:dyDescent="0.25">
      <c r="B2339" s="441"/>
      <c r="C2339" s="2525" t="s">
        <v>1633</v>
      </c>
      <c r="D2339" s="4065">
        <f>D2340</f>
        <v>200000000</v>
      </c>
      <c r="E2339" s="3250">
        <f>E2340</f>
        <v>200000000</v>
      </c>
      <c r="F2339" s="2725">
        <f>E2339/D2339*100</f>
        <v>100</v>
      </c>
      <c r="G2339" s="2695">
        <f>G2340</f>
        <v>100</v>
      </c>
      <c r="H2339" s="1463"/>
    </row>
    <row r="2340" spans="1:11" ht="19.5" hidden="1" customHeight="1" x14ac:dyDescent="0.25">
      <c r="B2340" s="441"/>
      <c r="C2340" s="2473" t="s">
        <v>1634</v>
      </c>
      <c r="D2340" s="4066">
        <v>200000000</v>
      </c>
      <c r="E2340" s="3140">
        <v>200000000</v>
      </c>
      <c r="F2340" s="2804">
        <f t="shared" ref="F2340" si="180">E2340/D2340*100</f>
        <v>100</v>
      </c>
      <c r="G2340" s="2690">
        <v>100</v>
      </c>
      <c r="H2340" s="1463"/>
    </row>
    <row r="2341" spans="1:11" ht="9.75" hidden="1" customHeight="1" x14ac:dyDescent="0.25">
      <c r="B2341" s="441"/>
      <c r="C2341" s="2473"/>
      <c r="D2341" s="4066"/>
      <c r="E2341" s="3140"/>
      <c r="F2341" s="2690"/>
      <c r="G2341" s="2752"/>
      <c r="H2341" s="1463"/>
    </row>
    <row r="2342" spans="1:11" ht="17.25" customHeight="1" x14ac:dyDescent="0.25">
      <c r="B2342" s="441"/>
      <c r="C2342" s="2474" t="s">
        <v>1635</v>
      </c>
      <c r="D2342" s="4065">
        <f>D2343</f>
        <v>1000000000</v>
      </c>
      <c r="E2342" s="3250">
        <f>E2343</f>
        <v>1000000000</v>
      </c>
      <c r="F2342" s="2725">
        <f>E2342/D2342*100</f>
        <v>100</v>
      </c>
      <c r="G2342" s="2821">
        <f>G2343</f>
        <v>100</v>
      </c>
      <c r="H2342" s="1463"/>
    </row>
    <row r="2343" spans="1:11" ht="19.5" hidden="1" customHeight="1" x14ac:dyDescent="0.25">
      <c r="B2343" s="441"/>
      <c r="C2343" s="2473" t="s">
        <v>1636</v>
      </c>
      <c r="D2343" s="4066">
        <v>1000000000</v>
      </c>
      <c r="E2343" s="3140">
        <v>1000000000</v>
      </c>
      <c r="F2343" s="2804">
        <f t="shared" ref="F2343" si="181">E2343/D2343*100</f>
        <v>100</v>
      </c>
      <c r="G2343" s="2690">
        <v>100</v>
      </c>
      <c r="H2343" s="1463"/>
    </row>
    <row r="2344" spans="1:11" ht="12" hidden="1" customHeight="1" x14ac:dyDescent="0.25">
      <c r="B2344" s="441"/>
      <c r="C2344" s="2564"/>
      <c r="D2344" s="4334"/>
      <c r="E2344" s="2778"/>
      <c r="F2344" s="2778"/>
      <c r="G2344" s="2778"/>
      <c r="H2344" s="1463"/>
    </row>
    <row r="2345" spans="1:11" s="20" customFormat="1" ht="17.25" customHeight="1" x14ac:dyDescent="0.25">
      <c r="A2345" s="963"/>
      <c r="B2345" s="440"/>
      <c r="C2345" s="2471" t="s">
        <v>1637</v>
      </c>
      <c r="D2345" s="4106">
        <f>SUM(D2346+D2349)</f>
        <v>10000000</v>
      </c>
      <c r="E2345" s="2672">
        <f>SUM(E2346+E2349)</f>
        <v>10000000</v>
      </c>
      <c r="F2345" s="2672">
        <f t="shared" ref="F2345:G2345" si="182">SUM(F2346+F2349)</f>
        <v>100</v>
      </c>
      <c r="G2345" s="2672">
        <f t="shared" si="182"/>
        <v>100</v>
      </c>
      <c r="H2345" s="1463"/>
      <c r="J2345" s="536"/>
      <c r="K2345" s="536"/>
    </row>
    <row r="2346" spans="1:11" s="20" customFormat="1" ht="17.25" customHeight="1" x14ac:dyDescent="0.25">
      <c r="A2346" s="963"/>
      <c r="B2346" s="441"/>
      <c r="C2346" s="2525" t="s">
        <v>1638</v>
      </c>
      <c r="D2346" s="4311">
        <f>D2347</f>
        <v>10000000</v>
      </c>
      <c r="E2346" s="2824">
        <f>E2347</f>
        <v>10000000</v>
      </c>
      <c r="F2346" s="2725">
        <f>E2346/D2346*100</f>
        <v>100</v>
      </c>
      <c r="G2346" s="3784">
        <f>G2347</f>
        <v>100</v>
      </c>
      <c r="H2346" s="1463"/>
      <c r="J2346" s="536"/>
      <c r="K2346" s="536"/>
    </row>
    <row r="2347" spans="1:11" s="20" customFormat="1" ht="17.25" hidden="1" customHeight="1" x14ac:dyDescent="0.25">
      <c r="A2347" s="963"/>
      <c r="B2347" s="441"/>
      <c r="C2347" s="2473" t="s">
        <v>1639</v>
      </c>
      <c r="D2347" s="4066">
        <v>10000000</v>
      </c>
      <c r="E2347" s="2690">
        <v>10000000</v>
      </c>
      <c r="F2347" s="2804">
        <f t="shared" ref="F2347" si="183">E2347/D2347*100</f>
        <v>100</v>
      </c>
      <c r="G2347" s="2685">
        <v>100</v>
      </c>
      <c r="H2347" s="1463"/>
      <c r="J2347" s="536"/>
      <c r="K2347" s="536"/>
    </row>
    <row r="2348" spans="1:11" s="20" customFormat="1" ht="10.5" hidden="1" customHeight="1" x14ac:dyDescent="0.25">
      <c r="A2348" s="963"/>
      <c r="B2348" s="441"/>
      <c r="C2348" s="2517"/>
      <c r="D2348" s="4299"/>
      <c r="E2348" s="3035"/>
      <c r="F2348" s="2690"/>
      <c r="G2348" s="3035"/>
      <c r="H2348" s="1463"/>
      <c r="J2348" s="536"/>
      <c r="K2348" s="536"/>
    </row>
    <row r="2349" spans="1:11" s="20" customFormat="1" ht="16.5" customHeight="1" x14ac:dyDescent="0.25">
      <c r="A2349" s="963"/>
      <c r="B2349" s="441"/>
      <c r="C2349" s="2525" t="s">
        <v>1640</v>
      </c>
      <c r="D2349" s="4065"/>
      <c r="E2349" s="3250"/>
      <c r="F2349" s="2695"/>
      <c r="G2349" s="2695"/>
      <c r="H2349" s="1463"/>
      <c r="J2349" s="536"/>
      <c r="K2349" s="536"/>
    </row>
    <row r="2350" spans="1:11" s="20" customFormat="1" ht="18.75" hidden="1" customHeight="1" x14ac:dyDescent="0.25">
      <c r="A2350" s="963"/>
      <c r="B2350" s="441"/>
      <c r="C2350" s="2476" t="s">
        <v>1641</v>
      </c>
      <c r="D2350" s="4336" t="s">
        <v>3317</v>
      </c>
      <c r="E2350" s="3654" t="s">
        <v>3317</v>
      </c>
      <c r="F2350" s="3654" t="s">
        <v>3317</v>
      </c>
      <c r="G2350" s="3654" t="s">
        <v>3317</v>
      </c>
      <c r="H2350" s="3711"/>
      <c r="J2350" s="536"/>
      <c r="K2350" s="536"/>
    </row>
    <row r="2351" spans="1:11" ht="11.25" hidden="1" customHeight="1" x14ac:dyDescent="0.25">
      <c r="B2351" s="565"/>
      <c r="C2351" s="2541"/>
      <c r="D2351" s="4322"/>
      <c r="E2351" s="3060"/>
      <c r="F2351" s="3054"/>
      <c r="G2351" s="3060"/>
      <c r="H2351" s="3722"/>
    </row>
    <row r="2352" spans="1:11" ht="16.5" customHeight="1" x14ac:dyDescent="0.25">
      <c r="B2352" s="459"/>
      <c r="C2352" s="2523" t="s">
        <v>1642</v>
      </c>
      <c r="D2352" s="4303">
        <f>SUM(D2353)</f>
        <v>0</v>
      </c>
      <c r="E2352" s="4303">
        <f t="shared" ref="E2352:F2352" si="184">SUM(E2353)</f>
        <v>0</v>
      </c>
      <c r="F2352" s="4303">
        <f t="shared" si="184"/>
        <v>0</v>
      </c>
      <c r="G2352" s="4303">
        <f>SUM(G2353)</f>
        <v>0</v>
      </c>
      <c r="H2352" s="3712"/>
    </row>
    <row r="2353" spans="1:11" ht="18.75" customHeight="1" x14ac:dyDescent="0.25">
      <c r="B2353" s="441"/>
      <c r="C2353" s="2525" t="s">
        <v>1643</v>
      </c>
      <c r="D2353" s="4065">
        <f>D2354</f>
        <v>0</v>
      </c>
      <c r="E2353" s="4065">
        <f t="shared" ref="E2353:G2353" si="185">E2354</f>
        <v>0</v>
      </c>
      <c r="F2353" s="4065">
        <f t="shared" si="185"/>
        <v>0</v>
      </c>
      <c r="G2353" s="4065">
        <f t="shared" si="185"/>
        <v>0</v>
      </c>
      <c r="H2353" s="1463"/>
    </row>
    <row r="2354" spans="1:11" ht="14.25" hidden="1" customHeight="1" x14ac:dyDescent="0.25">
      <c r="B2354" s="441"/>
      <c r="C2354" s="2473" t="s">
        <v>1644</v>
      </c>
      <c r="D2354" s="4066">
        <v>0</v>
      </c>
      <c r="E2354" s="4066">
        <v>0</v>
      </c>
      <c r="F2354" s="4066">
        <v>0</v>
      </c>
      <c r="G2354" s="4066">
        <v>0</v>
      </c>
      <c r="H2354" s="1463"/>
    </row>
    <row r="2355" spans="1:11" ht="12" hidden="1" customHeight="1" x14ac:dyDescent="0.25">
      <c r="B2355" s="441"/>
      <c r="C2355" s="2477"/>
      <c r="D2355" s="4071"/>
      <c r="E2355" s="2778"/>
      <c r="F2355" s="2778"/>
      <c r="G2355" s="2778"/>
      <c r="H2355" s="1463"/>
    </row>
    <row r="2356" spans="1:11" ht="15.75" customHeight="1" x14ac:dyDescent="0.25">
      <c r="B2356" s="440"/>
      <c r="C2356" s="2471" t="s">
        <v>1645</v>
      </c>
      <c r="D2356" s="4106">
        <f>SUM(D2357)</f>
        <v>0</v>
      </c>
      <c r="E2356" s="2672">
        <v>0</v>
      </c>
      <c r="F2356" s="2672">
        <v>0</v>
      </c>
      <c r="G2356" s="2672">
        <v>0</v>
      </c>
      <c r="H2356" s="1463"/>
    </row>
    <row r="2357" spans="1:11" ht="17.25" customHeight="1" x14ac:dyDescent="0.25">
      <c r="B2357" s="441"/>
      <c r="C2357" s="2474" t="s">
        <v>1646</v>
      </c>
      <c r="D2357" s="4305">
        <f>D2358</f>
        <v>0</v>
      </c>
      <c r="E2357" s="2824">
        <v>0</v>
      </c>
      <c r="F2357" s="2824">
        <v>0</v>
      </c>
      <c r="G2357" s="2824">
        <v>0</v>
      </c>
      <c r="H2357" s="1463"/>
    </row>
    <row r="2358" spans="1:11" ht="18" hidden="1" customHeight="1" x14ac:dyDescent="0.25">
      <c r="B2358" s="441"/>
      <c r="C2358" s="2473" t="s">
        <v>1647</v>
      </c>
      <c r="D2358" s="4066">
        <v>0</v>
      </c>
      <c r="E2358" s="2690">
        <v>0</v>
      </c>
      <c r="F2358" s="2690">
        <v>0</v>
      </c>
      <c r="G2358" s="2690">
        <v>0</v>
      </c>
      <c r="H2358" s="1463"/>
    </row>
    <row r="2359" spans="1:11" ht="12" hidden="1" customHeight="1" x14ac:dyDescent="0.25">
      <c r="B2359" s="441"/>
      <c r="C2359" s="2475"/>
      <c r="D2359" s="4338"/>
      <c r="E2359" s="4054"/>
      <c r="F2359" s="2752"/>
      <c r="G2359" s="2784"/>
      <c r="H2359" s="1463"/>
    </row>
    <row r="2360" spans="1:11" s="20" customFormat="1" ht="18" customHeight="1" x14ac:dyDescent="0.25">
      <c r="A2360" s="963"/>
      <c r="B2360" s="440"/>
      <c r="C2360" s="2471" t="s">
        <v>1648</v>
      </c>
      <c r="D2360" s="4106">
        <f>SUM(D2361+D2364+D2376+D2389+D2396+D2399)</f>
        <v>6789800000</v>
      </c>
      <c r="E2360" s="2672">
        <f>SUM(E2361+E2364+E2376+E2389+E2396+E2399)</f>
        <v>6038330000</v>
      </c>
      <c r="F2360" s="2672">
        <f>E2360/D2360*100</f>
        <v>88.932369141948215</v>
      </c>
      <c r="G2360" s="2672">
        <f>SUM(G2361+G2364+G2376+G2389+G2396+G2399)/6</f>
        <v>97.916666666666671</v>
      </c>
      <c r="H2360" s="1463"/>
      <c r="J2360" s="536"/>
      <c r="K2360" s="536"/>
    </row>
    <row r="2361" spans="1:11" ht="18" customHeight="1" x14ac:dyDescent="0.25">
      <c r="B2361" s="441"/>
      <c r="C2361" s="2478" t="s">
        <v>4017</v>
      </c>
      <c r="D2361" s="4305">
        <f>D2362</f>
        <v>200000000</v>
      </c>
      <c r="E2361" s="3784">
        <f>E2362</f>
        <v>197000000</v>
      </c>
      <c r="F2361" s="2725">
        <f>E2361/D2361*100</f>
        <v>98.5</v>
      </c>
      <c r="G2361" s="3784">
        <f t="shared" ref="G2361" si="186">G2362</f>
        <v>100</v>
      </c>
      <c r="H2361" s="1463"/>
    </row>
    <row r="2362" spans="1:11" ht="15" hidden="1" customHeight="1" x14ac:dyDescent="0.25">
      <c r="B2362" s="441"/>
      <c r="C2362" s="2476" t="s">
        <v>4018</v>
      </c>
      <c r="D2362" s="4071">
        <v>200000000</v>
      </c>
      <c r="E2362" s="2923">
        <v>197000000</v>
      </c>
      <c r="F2362" s="2804">
        <f t="shared" ref="F2362" si="187">E2362/D2362*100</f>
        <v>98.5</v>
      </c>
      <c r="G2362" s="2855">
        <v>100</v>
      </c>
      <c r="H2362" s="1463"/>
    </row>
    <row r="2363" spans="1:11" ht="9.75" hidden="1" customHeight="1" x14ac:dyDescent="0.25">
      <c r="B2363" s="441"/>
      <c r="C2363" s="2474"/>
      <c r="D2363" s="4065"/>
      <c r="E2363" s="3250"/>
      <c r="F2363" s="2695"/>
      <c r="G2363" s="2785"/>
      <c r="H2363" s="1463"/>
    </row>
    <row r="2364" spans="1:11" ht="16.5" customHeight="1" x14ac:dyDescent="0.25">
      <c r="B2364" s="441"/>
      <c r="C2364" s="2472" t="s">
        <v>4019</v>
      </c>
      <c r="D2364" s="4072">
        <f>SUM(D2365:D2374)</f>
        <v>1392100000</v>
      </c>
      <c r="E2364" s="2734">
        <f>SUM(E2365:E2374)</f>
        <v>1392100000</v>
      </c>
      <c r="F2364" s="2785">
        <f>E2364/D2364*100</f>
        <v>100</v>
      </c>
      <c r="G2364" s="2695">
        <f>SUM(G2365:G2374)/5</f>
        <v>100</v>
      </c>
      <c r="H2364" s="1463"/>
    </row>
    <row r="2365" spans="1:11" ht="14.25" hidden="1" customHeight="1" x14ac:dyDescent="0.25">
      <c r="B2365" s="441"/>
      <c r="C2365" s="2473" t="s">
        <v>4020</v>
      </c>
      <c r="D2365" s="4066">
        <v>1000000000</v>
      </c>
      <c r="E2365" s="3617">
        <v>1000000000</v>
      </c>
      <c r="F2365" s="2690">
        <f>E2365/D2365*100</f>
        <v>100</v>
      </c>
      <c r="G2365" s="2690">
        <v>100</v>
      </c>
      <c r="H2365" s="1463"/>
    </row>
    <row r="2366" spans="1:11" ht="15.75" hidden="1" customHeight="1" x14ac:dyDescent="0.25">
      <c r="B2366" s="441"/>
      <c r="C2366" s="2473" t="s">
        <v>4021</v>
      </c>
      <c r="D2366" s="4066">
        <v>50000000</v>
      </c>
      <c r="E2366" s="2855">
        <v>50000000</v>
      </c>
      <c r="F2366" s="2690">
        <f>E2366/D2366*100</f>
        <v>100</v>
      </c>
      <c r="G2366" s="2690">
        <v>100</v>
      </c>
      <c r="H2366" s="1463"/>
    </row>
    <row r="2367" spans="1:11" ht="15" hidden="1" customHeight="1" x14ac:dyDescent="0.25">
      <c r="B2367" s="441"/>
      <c r="C2367" s="2473" t="s">
        <v>4022</v>
      </c>
      <c r="D2367" s="4321" t="s">
        <v>3317</v>
      </c>
      <c r="E2367" s="3652" t="s">
        <v>3317</v>
      </c>
      <c r="F2367" s="3652" t="s">
        <v>3317</v>
      </c>
      <c r="G2367" s="3652" t="s">
        <v>3317</v>
      </c>
      <c r="H2367" s="1463"/>
    </row>
    <row r="2368" spans="1:11" ht="16.5" hidden="1" customHeight="1" x14ac:dyDescent="0.25">
      <c r="B2368" s="441"/>
      <c r="C2368" s="2473" t="s">
        <v>4023</v>
      </c>
      <c r="D2368" s="4321" t="s">
        <v>3317</v>
      </c>
      <c r="E2368" s="3652" t="s">
        <v>3317</v>
      </c>
      <c r="F2368" s="3652" t="s">
        <v>3317</v>
      </c>
      <c r="G2368" s="3652" t="s">
        <v>3317</v>
      </c>
      <c r="H2368" s="1463"/>
    </row>
    <row r="2369" spans="2:8" ht="16.5" hidden="1" customHeight="1" x14ac:dyDescent="0.25">
      <c r="B2369" s="441"/>
      <c r="C2369" s="2473" t="s">
        <v>4024</v>
      </c>
      <c r="D2369" s="4066">
        <v>100000000</v>
      </c>
      <c r="E2369" s="2855">
        <v>100000000</v>
      </c>
      <c r="F2369" s="2690">
        <f>E2369/D2369*100</f>
        <v>100</v>
      </c>
      <c r="G2369" s="2855">
        <v>100</v>
      </c>
      <c r="H2369" s="1463"/>
    </row>
    <row r="2370" spans="2:8" ht="16.5" hidden="1" customHeight="1" x14ac:dyDescent="0.25">
      <c r="B2370" s="441"/>
      <c r="C2370" s="2473" t="s">
        <v>4025</v>
      </c>
      <c r="D2370" s="4321" t="s">
        <v>3317</v>
      </c>
      <c r="E2370" s="3652" t="s">
        <v>3317</v>
      </c>
      <c r="F2370" s="3652" t="s">
        <v>3317</v>
      </c>
      <c r="G2370" s="3652" t="s">
        <v>3317</v>
      </c>
      <c r="H2370" s="1463"/>
    </row>
    <row r="2371" spans="2:8" ht="16.5" hidden="1" customHeight="1" x14ac:dyDescent="0.25">
      <c r="B2371" s="441"/>
      <c r="C2371" s="2473" t="s">
        <v>4026</v>
      </c>
      <c r="D2371" s="4321" t="s">
        <v>3317</v>
      </c>
      <c r="E2371" s="3652" t="s">
        <v>3317</v>
      </c>
      <c r="F2371" s="3652" t="s">
        <v>3317</v>
      </c>
      <c r="G2371" s="3652" t="s">
        <v>3317</v>
      </c>
      <c r="H2371" s="1463"/>
    </row>
    <row r="2372" spans="2:8" ht="16.5" hidden="1" customHeight="1" x14ac:dyDescent="0.25">
      <c r="B2372" s="441"/>
      <c r="C2372" s="2473" t="s">
        <v>4027</v>
      </c>
      <c r="D2372" s="4066">
        <v>50000000</v>
      </c>
      <c r="E2372" s="2855">
        <v>50000000</v>
      </c>
      <c r="F2372" s="2690">
        <f>E2372/D2372*100</f>
        <v>100</v>
      </c>
      <c r="G2372" s="2690">
        <v>100</v>
      </c>
      <c r="H2372" s="1463"/>
    </row>
    <row r="2373" spans="2:8" ht="16.5" hidden="1" customHeight="1" x14ac:dyDescent="0.25">
      <c r="B2373" s="441"/>
      <c r="C2373" s="2473" t="s">
        <v>4028</v>
      </c>
      <c r="D2373" s="4321" t="s">
        <v>3317</v>
      </c>
      <c r="E2373" s="3652" t="s">
        <v>3317</v>
      </c>
      <c r="F2373" s="3652" t="s">
        <v>3317</v>
      </c>
      <c r="G2373" s="3652" t="s">
        <v>3317</v>
      </c>
      <c r="H2373" s="1463"/>
    </row>
    <row r="2374" spans="2:8" ht="16.5" hidden="1" customHeight="1" x14ac:dyDescent="0.25">
      <c r="B2374" s="441"/>
      <c r="C2374" s="2473" t="s">
        <v>4029</v>
      </c>
      <c r="D2374" s="4066">
        <v>192100000</v>
      </c>
      <c r="E2374" s="2855">
        <v>192100000</v>
      </c>
      <c r="F2374" s="2690">
        <f>E2374/D2374*100</f>
        <v>100</v>
      </c>
      <c r="G2374" s="2690">
        <v>100</v>
      </c>
      <c r="H2374" s="1463"/>
    </row>
    <row r="2375" spans="2:8" ht="11.25" hidden="1" customHeight="1" x14ac:dyDescent="0.25">
      <c r="B2375" s="441"/>
      <c r="C2375" s="2473"/>
      <c r="D2375" s="4066"/>
      <c r="E2375" s="2855"/>
      <c r="F2375" s="2690"/>
      <c r="G2375" s="2690"/>
      <c r="H2375" s="1463"/>
    </row>
    <row r="2376" spans="2:8" ht="16.5" customHeight="1" x14ac:dyDescent="0.25">
      <c r="B2376" s="441"/>
      <c r="C2376" s="2474" t="s">
        <v>4030</v>
      </c>
      <c r="D2376" s="4065">
        <f>SUM(D2377:D2387)</f>
        <v>2072700000</v>
      </c>
      <c r="E2376" s="2695">
        <f>SUM(E2377:E2387)</f>
        <v>2072700000</v>
      </c>
      <c r="F2376" s="2785">
        <f>E2376/D2376*100</f>
        <v>100</v>
      </c>
      <c r="G2376" s="2695">
        <f>SUM(G2378:G2387)/8</f>
        <v>100</v>
      </c>
      <c r="H2376" s="1463"/>
    </row>
    <row r="2377" spans="2:8" ht="16.5" hidden="1" customHeight="1" x14ac:dyDescent="0.25">
      <c r="B2377" s="441"/>
      <c r="C2377" s="2473" t="s">
        <v>4031</v>
      </c>
      <c r="D2377" s="4321" t="s">
        <v>3317</v>
      </c>
      <c r="E2377" s="3652" t="s">
        <v>3317</v>
      </c>
      <c r="F2377" s="3652" t="s">
        <v>3317</v>
      </c>
      <c r="G2377" s="3652" t="s">
        <v>3317</v>
      </c>
      <c r="H2377" s="1463"/>
    </row>
    <row r="2378" spans="2:8" ht="16.5" hidden="1" customHeight="1" x14ac:dyDescent="0.25">
      <c r="B2378" s="441"/>
      <c r="C2378" s="2473" t="s">
        <v>4032</v>
      </c>
      <c r="D2378" s="4066">
        <v>100000000</v>
      </c>
      <c r="E2378" s="2855">
        <v>100000000</v>
      </c>
      <c r="F2378" s="2690">
        <f>E2378/D2378*100</f>
        <v>100</v>
      </c>
      <c r="G2378" s="2804">
        <v>100</v>
      </c>
      <c r="H2378" s="1463"/>
    </row>
    <row r="2379" spans="2:8" ht="16.5" hidden="1" customHeight="1" x14ac:dyDescent="0.25">
      <c r="B2379" s="441"/>
      <c r="C2379" s="2473" t="s">
        <v>4033</v>
      </c>
      <c r="D2379" s="4321" t="s">
        <v>3317</v>
      </c>
      <c r="E2379" s="3652" t="s">
        <v>3317</v>
      </c>
      <c r="F2379" s="3652" t="s">
        <v>3317</v>
      </c>
      <c r="G2379" s="3652" t="s">
        <v>3317</v>
      </c>
      <c r="H2379" s="1463"/>
    </row>
    <row r="2380" spans="2:8" ht="16.5" hidden="1" customHeight="1" x14ac:dyDescent="0.25">
      <c r="B2380" s="441"/>
      <c r="C2380" s="2473" t="s">
        <v>4034</v>
      </c>
      <c r="D2380" s="4066">
        <v>997700000</v>
      </c>
      <c r="E2380" s="2855">
        <v>997700000</v>
      </c>
      <c r="F2380" s="2690">
        <f>E2380/D2380*100</f>
        <v>100</v>
      </c>
      <c r="G2380" s="2690">
        <v>100</v>
      </c>
      <c r="H2380" s="1463"/>
    </row>
    <row r="2381" spans="2:8" ht="16.5" hidden="1" customHeight="1" x14ac:dyDescent="0.25">
      <c r="B2381" s="441"/>
      <c r="C2381" s="2473" t="s">
        <v>4035</v>
      </c>
      <c r="D2381" s="4066">
        <v>200000000</v>
      </c>
      <c r="E2381" s="2855">
        <v>200000000</v>
      </c>
      <c r="F2381" s="2690">
        <f t="shared" ref="F2381:F2382" si="188">E2381/D2381*100</f>
        <v>100</v>
      </c>
      <c r="G2381" s="2690">
        <v>100</v>
      </c>
      <c r="H2381" s="1463"/>
    </row>
    <row r="2382" spans="2:8" ht="16.5" hidden="1" customHeight="1" x14ac:dyDescent="0.25">
      <c r="B2382" s="441"/>
      <c r="C2382" s="2473" t="s">
        <v>4036</v>
      </c>
      <c r="D2382" s="4066">
        <v>75000000</v>
      </c>
      <c r="E2382" s="2855">
        <v>75000000</v>
      </c>
      <c r="F2382" s="2690">
        <f t="shared" si="188"/>
        <v>100</v>
      </c>
      <c r="G2382" s="2690">
        <v>100</v>
      </c>
      <c r="H2382" s="1463"/>
    </row>
    <row r="2383" spans="2:8" ht="16.5" hidden="1" customHeight="1" x14ac:dyDescent="0.25">
      <c r="B2383" s="441"/>
      <c r="C2383" s="2473" t="s">
        <v>4037</v>
      </c>
      <c r="D2383" s="4321" t="s">
        <v>3317</v>
      </c>
      <c r="E2383" s="3652" t="s">
        <v>3317</v>
      </c>
      <c r="F2383" s="3652" t="s">
        <v>3317</v>
      </c>
      <c r="G2383" s="3652" t="s">
        <v>3317</v>
      </c>
      <c r="H2383" s="1463"/>
    </row>
    <row r="2384" spans="2:8" ht="19.5" hidden="1" customHeight="1" x14ac:dyDescent="0.25">
      <c r="B2384" s="441"/>
      <c r="C2384" s="2473" t="s">
        <v>4038</v>
      </c>
      <c r="D2384" s="4066">
        <v>150000000</v>
      </c>
      <c r="E2384" s="2855">
        <v>150000000</v>
      </c>
      <c r="F2384" s="2690">
        <f>E2384/D2384*100</f>
        <v>100</v>
      </c>
      <c r="G2384" s="2690">
        <v>100</v>
      </c>
      <c r="H2384" s="1463"/>
    </row>
    <row r="2385" spans="2:8" ht="16.5" hidden="1" customHeight="1" x14ac:dyDescent="0.25">
      <c r="B2385" s="441"/>
      <c r="C2385" s="2473" t="s">
        <v>4039</v>
      </c>
      <c r="D2385" s="4066">
        <v>250000000</v>
      </c>
      <c r="E2385" s="2855">
        <v>250000000</v>
      </c>
      <c r="F2385" s="2690">
        <f t="shared" ref="F2385:F2387" si="189">E2385/D2385*100</f>
        <v>100</v>
      </c>
      <c r="G2385" s="2690">
        <v>100</v>
      </c>
      <c r="H2385" s="1463"/>
    </row>
    <row r="2386" spans="2:8" ht="18" hidden="1" customHeight="1" x14ac:dyDescent="0.25">
      <c r="B2386" s="441"/>
      <c r="C2386" s="2473" t="s">
        <v>4040</v>
      </c>
      <c r="D2386" s="4066">
        <v>100000000</v>
      </c>
      <c r="E2386" s="2690">
        <v>100000000</v>
      </c>
      <c r="F2386" s="2690">
        <f t="shared" si="189"/>
        <v>100</v>
      </c>
      <c r="G2386" s="2690">
        <v>100</v>
      </c>
      <c r="H2386" s="1463"/>
    </row>
    <row r="2387" spans="2:8" ht="17.25" hidden="1" customHeight="1" x14ac:dyDescent="0.25">
      <c r="B2387" s="441"/>
      <c r="C2387" s="2473" t="s">
        <v>4041</v>
      </c>
      <c r="D2387" s="4066">
        <v>200000000</v>
      </c>
      <c r="E2387" s="2855">
        <v>200000000</v>
      </c>
      <c r="F2387" s="2690">
        <f t="shared" si="189"/>
        <v>100</v>
      </c>
      <c r="G2387" s="2804">
        <v>100</v>
      </c>
      <c r="H2387" s="1463"/>
    </row>
    <row r="2388" spans="2:8" ht="12" hidden="1" customHeight="1" x14ac:dyDescent="0.25">
      <c r="B2388" s="441"/>
      <c r="C2388" s="2473"/>
      <c r="D2388" s="4066"/>
      <c r="E2388" s="3035"/>
      <c r="F2388" s="2690"/>
      <c r="G2388" s="3035"/>
      <c r="H2388" s="1463"/>
    </row>
    <row r="2389" spans="2:8" ht="19.5" customHeight="1" x14ac:dyDescent="0.25">
      <c r="B2389" s="441"/>
      <c r="C2389" s="2474" t="s">
        <v>4042</v>
      </c>
      <c r="D2389" s="4065">
        <f>SUM(D2390:D2394)</f>
        <v>2175000000</v>
      </c>
      <c r="E2389" s="2695">
        <f>SUM(E2390:E2394)</f>
        <v>1426530000</v>
      </c>
      <c r="F2389" s="2785">
        <f>E2389/D2389*100</f>
        <v>65.58758620689656</v>
      </c>
      <c r="G2389" s="2695">
        <f>SUM(G2391:G2394)/4</f>
        <v>87.5</v>
      </c>
      <c r="H2389" s="1463"/>
    </row>
    <row r="2390" spans="2:8" ht="14.25" hidden="1" customHeight="1" x14ac:dyDescent="0.25">
      <c r="B2390" s="441"/>
      <c r="C2390" s="2473" t="s">
        <v>4043</v>
      </c>
      <c r="D2390" s="4066">
        <v>0</v>
      </c>
      <c r="E2390" s="2690">
        <v>0</v>
      </c>
      <c r="F2390" s="2690">
        <v>0</v>
      </c>
      <c r="G2390" s="2690">
        <v>0</v>
      </c>
      <c r="H2390" s="1463"/>
    </row>
    <row r="2391" spans="2:8" ht="16.5" hidden="1" customHeight="1" x14ac:dyDescent="0.25">
      <c r="B2391" s="441"/>
      <c r="C2391" s="2473" t="s">
        <v>4044</v>
      </c>
      <c r="D2391" s="4066">
        <v>200000000</v>
      </c>
      <c r="E2391" s="2830">
        <v>200000000</v>
      </c>
      <c r="F2391" s="2690">
        <f t="shared" ref="F2391:F2394" si="190">E2391/D2391*100</f>
        <v>100</v>
      </c>
      <c r="G2391" s="2830">
        <v>100</v>
      </c>
      <c r="H2391" s="1463"/>
    </row>
    <row r="2392" spans="2:8" ht="14.25" hidden="1" customHeight="1" x14ac:dyDescent="0.25">
      <c r="B2392" s="441"/>
      <c r="C2392" s="2473" t="s">
        <v>4045</v>
      </c>
      <c r="D2392" s="4066">
        <v>350000000</v>
      </c>
      <c r="E2392" s="2690">
        <v>350000000</v>
      </c>
      <c r="F2392" s="2690">
        <f t="shared" si="190"/>
        <v>100</v>
      </c>
      <c r="G2392" s="2690">
        <v>100</v>
      </c>
      <c r="H2392" s="1463"/>
    </row>
    <row r="2393" spans="2:8" ht="18" hidden="1" customHeight="1" x14ac:dyDescent="0.25">
      <c r="B2393" s="444"/>
      <c r="C2393" s="2473" t="s">
        <v>4046</v>
      </c>
      <c r="D2393" s="4066">
        <v>1500000000</v>
      </c>
      <c r="E2393" s="2685">
        <v>751530000</v>
      </c>
      <c r="F2393" s="2690">
        <f t="shared" si="190"/>
        <v>50.102000000000004</v>
      </c>
      <c r="G2393" s="2685">
        <v>50</v>
      </c>
      <c r="H2393" s="1463"/>
    </row>
    <row r="2394" spans="2:8" ht="18" hidden="1" customHeight="1" x14ac:dyDescent="0.25">
      <c r="B2394" s="441"/>
      <c r="C2394" s="2473" t="s">
        <v>4047</v>
      </c>
      <c r="D2394" s="4066">
        <v>125000000</v>
      </c>
      <c r="E2394" s="2685">
        <v>125000000</v>
      </c>
      <c r="F2394" s="2690">
        <f t="shared" si="190"/>
        <v>100</v>
      </c>
      <c r="G2394" s="2685">
        <v>100</v>
      </c>
      <c r="H2394" s="1463"/>
    </row>
    <row r="2395" spans="2:8" ht="12.75" hidden="1" customHeight="1" x14ac:dyDescent="0.25">
      <c r="B2395" s="441"/>
      <c r="C2395" s="2473"/>
      <c r="D2395" s="4301"/>
      <c r="E2395" s="2685"/>
      <c r="F2395" s="2685"/>
      <c r="G2395" s="2685"/>
      <c r="H2395" s="1463"/>
    </row>
    <row r="2396" spans="2:8" ht="19.5" customHeight="1" x14ac:dyDescent="0.25">
      <c r="B2396" s="441"/>
      <c r="C2396" s="2525" t="s">
        <v>4048</v>
      </c>
      <c r="D2396" s="4065">
        <f>D2397</f>
        <v>100000000</v>
      </c>
      <c r="E2396" s="3250">
        <f>E2397</f>
        <v>100000000</v>
      </c>
      <c r="F2396" s="2785">
        <f>E2396/D2396*100</f>
        <v>100</v>
      </c>
      <c r="G2396" s="2695">
        <f>G2397</f>
        <v>100</v>
      </c>
      <c r="H2396" s="1463"/>
    </row>
    <row r="2397" spans="2:8" ht="16.5" hidden="1" customHeight="1" x14ac:dyDescent="0.25">
      <c r="B2397" s="441"/>
      <c r="C2397" s="2473" t="s">
        <v>4049</v>
      </c>
      <c r="D2397" s="4066">
        <v>100000000</v>
      </c>
      <c r="E2397" s="2855">
        <v>100000000</v>
      </c>
      <c r="F2397" s="2690">
        <f t="shared" ref="F2397" si="191">E2397/D2397*100</f>
        <v>100</v>
      </c>
      <c r="G2397" s="2685">
        <v>100</v>
      </c>
      <c r="H2397" s="1463"/>
    </row>
    <row r="2398" spans="2:8" ht="11.25" hidden="1" customHeight="1" x14ac:dyDescent="0.25">
      <c r="B2398" s="441"/>
      <c r="C2398" s="2473"/>
      <c r="D2398" s="4301"/>
      <c r="E2398" s="2685"/>
      <c r="F2398" s="2685"/>
      <c r="G2398" s="2685"/>
      <c r="H2398" s="1463"/>
    </row>
    <row r="2399" spans="2:8" ht="18" customHeight="1" x14ac:dyDescent="0.25">
      <c r="B2399" s="441"/>
      <c r="C2399" s="2525" t="s">
        <v>4050</v>
      </c>
      <c r="D2399" s="4065">
        <f>SUM(D2400:D2406)</f>
        <v>850000000</v>
      </c>
      <c r="E2399" s="2695">
        <f>SUM(E2400:E2406)</f>
        <v>850000000</v>
      </c>
      <c r="F2399" s="2785">
        <f>E2399/D2399*100</f>
        <v>100</v>
      </c>
      <c r="G2399" s="2695">
        <f>SUM(G2400:G2406)/6</f>
        <v>100</v>
      </c>
      <c r="H2399" s="1463"/>
    </row>
    <row r="2400" spans="2:8" ht="15" hidden="1" customHeight="1" x14ac:dyDescent="0.25">
      <c r="B2400" s="441"/>
      <c r="C2400" s="2524" t="s">
        <v>4051</v>
      </c>
      <c r="D2400" s="4066">
        <v>150000000</v>
      </c>
      <c r="E2400" s="2855">
        <v>150000000</v>
      </c>
      <c r="F2400" s="2690">
        <f t="shared" ref="F2400:F2404" si="192">E2400/D2400*100</f>
        <v>100</v>
      </c>
      <c r="G2400" s="2690">
        <v>100</v>
      </c>
      <c r="H2400" s="1463"/>
    </row>
    <row r="2401" spans="2:8" ht="14.25" hidden="1" customHeight="1" x14ac:dyDescent="0.25">
      <c r="B2401" s="441"/>
      <c r="C2401" s="2524" t="s">
        <v>4052</v>
      </c>
      <c r="D2401" s="4066">
        <v>100000000</v>
      </c>
      <c r="E2401" s="2855">
        <v>100000000</v>
      </c>
      <c r="F2401" s="2690">
        <f t="shared" si="192"/>
        <v>100</v>
      </c>
      <c r="G2401" s="2690">
        <v>100</v>
      </c>
      <c r="H2401" s="1463"/>
    </row>
    <row r="2402" spans="2:8" ht="14.25" hidden="1" customHeight="1" x14ac:dyDescent="0.25">
      <c r="B2402" s="441"/>
      <c r="C2402" s="2524" t="s">
        <v>4053</v>
      </c>
      <c r="D2402" s="4066">
        <v>150000000</v>
      </c>
      <c r="E2402" s="2855">
        <v>150000000</v>
      </c>
      <c r="F2402" s="2690">
        <f t="shared" si="192"/>
        <v>100</v>
      </c>
      <c r="G2402" s="2690">
        <v>100</v>
      </c>
      <c r="H2402" s="1463"/>
    </row>
    <row r="2403" spans="2:8" ht="14.25" hidden="1" customHeight="1" x14ac:dyDescent="0.25">
      <c r="B2403" s="441"/>
      <c r="C2403" s="2524" t="s">
        <v>4054</v>
      </c>
      <c r="D2403" s="4066">
        <v>100000000</v>
      </c>
      <c r="E2403" s="2855">
        <v>100000000</v>
      </c>
      <c r="F2403" s="2690">
        <f t="shared" si="192"/>
        <v>100</v>
      </c>
      <c r="G2403" s="2690">
        <v>100</v>
      </c>
      <c r="H2403" s="1463"/>
    </row>
    <row r="2404" spans="2:8" ht="14.25" hidden="1" customHeight="1" x14ac:dyDescent="0.25">
      <c r="B2404" s="441"/>
      <c r="C2404" s="2524" t="s">
        <v>4055</v>
      </c>
      <c r="D2404" s="4066">
        <v>200000000</v>
      </c>
      <c r="E2404" s="2855">
        <v>200000000</v>
      </c>
      <c r="F2404" s="2690">
        <f t="shared" si="192"/>
        <v>100</v>
      </c>
      <c r="G2404" s="2855">
        <v>100</v>
      </c>
      <c r="H2404" s="1463"/>
    </row>
    <row r="2405" spans="2:8" ht="14.25" hidden="1" customHeight="1" x14ac:dyDescent="0.25">
      <c r="B2405" s="441"/>
      <c r="C2405" s="2524" t="s">
        <v>4056</v>
      </c>
      <c r="D2405" s="4066">
        <v>0</v>
      </c>
      <c r="E2405" s="2690">
        <v>0</v>
      </c>
      <c r="F2405" s="2690">
        <v>0</v>
      </c>
      <c r="G2405" s="2690">
        <v>0</v>
      </c>
      <c r="H2405" s="1463"/>
    </row>
    <row r="2406" spans="2:8" ht="14.25" hidden="1" customHeight="1" x14ac:dyDescent="0.25">
      <c r="B2406" s="441"/>
      <c r="C2406" s="2524" t="s">
        <v>4057</v>
      </c>
      <c r="D2406" s="4066">
        <v>150000000</v>
      </c>
      <c r="E2406" s="2855">
        <v>150000000</v>
      </c>
      <c r="F2406" s="2690">
        <f t="shared" ref="F2406" si="193">E2406/D2406*100</f>
        <v>100</v>
      </c>
      <c r="G2406" s="2690">
        <v>100</v>
      </c>
      <c r="H2406" s="1463"/>
    </row>
    <row r="2407" spans="2:8" ht="13.5" hidden="1" customHeight="1" x14ac:dyDescent="0.25">
      <c r="B2407" s="441"/>
      <c r="C2407" s="2476"/>
      <c r="D2407" s="4340"/>
      <c r="E2407" s="2708"/>
      <c r="F2407" s="2708"/>
      <c r="G2407" s="2708"/>
      <c r="H2407" s="1463"/>
    </row>
    <row r="2408" spans="2:8" ht="15" customHeight="1" x14ac:dyDescent="0.25">
      <c r="B2408" s="440"/>
      <c r="C2408" s="2471" t="s">
        <v>1649</v>
      </c>
      <c r="D2408" s="4106">
        <f>D2409+D2412</f>
        <v>639100000</v>
      </c>
      <c r="E2408" s="2672">
        <f>E2409+E2412</f>
        <v>639100000</v>
      </c>
      <c r="F2408" s="2672">
        <f>E2408/D2408*100</f>
        <v>100</v>
      </c>
      <c r="G2408" s="2719">
        <f>SUM(G2409+G2412)/2</f>
        <v>100</v>
      </c>
      <c r="H2408" s="1463"/>
    </row>
    <row r="2409" spans="2:8" ht="16.5" customHeight="1" x14ac:dyDescent="0.25">
      <c r="B2409" s="441"/>
      <c r="C2409" s="2478" t="s">
        <v>1650</v>
      </c>
      <c r="D2409" s="4305">
        <f>D2410</f>
        <v>100000000</v>
      </c>
      <c r="E2409" s="3373">
        <f>E2410</f>
        <v>100000000</v>
      </c>
      <c r="F2409" s="2785">
        <f>E2409/D2409*100</f>
        <v>100</v>
      </c>
      <c r="G2409" s="2722">
        <f>G2410</f>
        <v>100</v>
      </c>
      <c r="H2409" s="1463"/>
    </row>
    <row r="2410" spans="2:8" ht="19.5" hidden="1" customHeight="1" x14ac:dyDescent="0.25">
      <c r="B2410" s="441"/>
      <c r="C2410" s="2524" t="s">
        <v>1651</v>
      </c>
      <c r="D2410" s="4066">
        <v>100000000</v>
      </c>
      <c r="E2410" s="2855">
        <v>100000000</v>
      </c>
      <c r="F2410" s="2690">
        <f t="shared" ref="F2410" si="194">E2410/D2410*100</f>
        <v>100</v>
      </c>
      <c r="G2410" s="2708">
        <v>100</v>
      </c>
      <c r="H2410" s="1463"/>
    </row>
    <row r="2411" spans="2:8" ht="9" hidden="1" customHeight="1" x14ac:dyDescent="0.25">
      <c r="B2411" s="441"/>
      <c r="C2411" s="2524"/>
      <c r="D2411" s="4065"/>
      <c r="E2411" s="4057"/>
      <c r="F2411" s="2695"/>
      <c r="G2411" s="2934"/>
      <c r="H2411" s="1463"/>
    </row>
    <row r="2412" spans="2:8" ht="19.5" customHeight="1" x14ac:dyDescent="0.25">
      <c r="B2412" s="441"/>
      <c r="C2412" s="2474" t="s">
        <v>1652</v>
      </c>
      <c r="D2412" s="4065">
        <f>SUM(D2413:D2415)</f>
        <v>539100000</v>
      </c>
      <c r="E2412" s="2695">
        <f>SUM(E2413:E2415)</f>
        <v>539100000</v>
      </c>
      <c r="F2412" s="2785">
        <f>E2412/D2412*100</f>
        <v>100</v>
      </c>
      <c r="G2412" s="2934">
        <f>SUM(G2413:G2415)/3</f>
        <v>100</v>
      </c>
      <c r="H2412" s="1463"/>
    </row>
    <row r="2413" spans="2:8" ht="15.75" hidden="1" customHeight="1" x14ac:dyDescent="0.25">
      <c r="B2413" s="441"/>
      <c r="C2413" s="2473" t="s">
        <v>1653</v>
      </c>
      <c r="D2413" s="4066">
        <v>327000000</v>
      </c>
      <c r="E2413" s="2855">
        <v>327000000</v>
      </c>
      <c r="F2413" s="2690">
        <f t="shared" ref="F2413:F2415" si="195">E2413/D2413*100</f>
        <v>100</v>
      </c>
      <c r="G2413" s="2708">
        <v>100</v>
      </c>
      <c r="H2413" s="1463"/>
    </row>
    <row r="2414" spans="2:8" ht="18.75" hidden="1" customHeight="1" x14ac:dyDescent="0.25">
      <c r="B2414" s="441"/>
      <c r="C2414" s="2473" t="s">
        <v>1654</v>
      </c>
      <c r="D2414" s="4066">
        <v>162100000</v>
      </c>
      <c r="E2414" s="2708">
        <v>162100000</v>
      </c>
      <c r="F2414" s="2690">
        <f t="shared" si="195"/>
        <v>100</v>
      </c>
      <c r="G2414" s="2708">
        <v>100</v>
      </c>
      <c r="H2414" s="1463"/>
    </row>
    <row r="2415" spans="2:8" ht="15.75" hidden="1" customHeight="1" x14ac:dyDescent="0.25">
      <c r="B2415" s="441"/>
      <c r="C2415" s="2473" t="s">
        <v>1655</v>
      </c>
      <c r="D2415" s="4066">
        <v>50000000</v>
      </c>
      <c r="E2415" s="2708">
        <v>50000000</v>
      </c>
      <c r="F2415" s="2690">
        <f t="shared" si="195"/>
        <v>100</v>
      </c>
      <c r="G2415" s="2708">
        <v>100</v>
      </c>
      <c r="H2415" s="1463"/>
    </row>
    <row r="2416" spans="2:8" ht="13.5" hidden="1" customHeight="1" x14ac:dyDescent="0.25">
      <c r="B2416" s="441"/>
      <c r="C2416" s="2476"/>
      <c r="D2416" s="4341"/>
      <c r="E2416" s="4059"/>
      <c r="F2416" s="2708"/>
      <c r="G2416" s="2708"/>
      <c r="H2416" s="1463"/>
    </row>
    <row r="2417" spans="2:8" ht="18" customHeight="1" x14ac:dyDescent="0.25">
      <c r="B2417" s="440"/>
      <c r="C2417" s="2471" t="s">
        <v>1656</v>
      </c>
      <c r="D2417" s="4106">
        <f>D2418+D2421</f>
        <v>9990000000</v>
      </c>
      <c r="E2417" s="2672">
        <f>E2418+E2421</f>
        <v>7329315000</v>
      </c>
      <c r="F2417" s="2719">
        <f>E2417/D2417*100</f>
        <v>73.366516516516512</v>
      </c>
      <c r="G2417" s="2719">
        <f>SUM(G2418+G2421)/2</f>
        <v>88.888888888888886</v>
      </c>
      <c r="H2417" s="1463"/>
    </row>
    <row r="2418" spans="2:8" ht="15.75" customHeight="1" x14ac:dyDescent="0.25">
      <c r="B2418" s="441"/>
      <c r="C2418" s="2538" t="s">
        <v>1657</v>
      </c>
      <c r="D2418" s="4072">
        <f>D2419</f>
        <v>2500000000</v>
      </c>
      <c r="E2418" s="2734">
        <f>E2419</f>
        <v>2500000000</v>
      </c>
      <c r="F2418" s="2785">
        <f>E2418/D2418*100</f>
        <v>100</v>
      </c>
      <c r="G2418" s="2734">
        <f>G2419</f>
        <v>100</v>
      </c>
      <c r="H2418" s="1463"/>
    </row>
    <row r="2419" spans="2:8" ht="15.75" hidden="1" customHeight="1" x14ac:dyDescent="0.25">
      <c r="B2419" s="441"/>
      <c r="C2419" s="2473" t="s">
        <v>1658</v>
      </c>
      <c r="D2419" s="4154">
        <v>2500000000</v>
      </c>
      <c r="E2419" s="2760">
        <v>2500000000</v>
      </c>
      <c r="F2419" s="2690">
        <f t="shared" ref="F2419" si="196">E2419/D2419*100</f>
        <v>100</v>
      </c>
      <c r="G2419" s="2760">
        <v>100</v>
      </c>
      <c r="H2419" s="1463"/>
    </row>
    <row r="2420" spans="2:8" ht="9.75" hidden="1" customHeight="1" x14ac:dyDescent="0.25">
      <c r="B2420" s="441"/>
      <c r="C2420" s="2476"/>
      <c r="D2420" s="4071"/>
      <c r="E2420" s="2708"/>
      <c r="F2420" s="2708"/>
      <c r="G2420" s="2708"/>
      <c r="H2420" s="1463"/>
    </row>
    <row r="2421" spans="2:8" ht="18" customHeight="1" x14ac:dyDescent="0.25">
      <c r="B2421" s="441"/>
      <c r="C2421" s="2525" t="s">
        <v>1659</v>
      </c>
      <c r="D2421" s="4297">
        <f>SUM(D2422:D2430)</f>
        <v>7490000000</v>
      </c>
      <c r="E2421" s="3978">
        <f>SUM(E2422:E2430)</f>
        <v>4829315000</v>
      </c>
      <c r="F2421" s="2785">
        <f>E2421/D2421*100</f>
        <v>64.476835781041387</v>
      </c>
      <c r="G2421" s="2934">
        <f>SUM(G2422:G2430)/9</f>
        <v>77.777777777777771</v>
      </c>
      <c r="H2421" s="1463"/>
    </row>
    <row r="2422" spans="2:8" ht="16.5" hidden="1" customHeight="1" x14ac:dyDescent="0.25">
      <c r="B2422" s="441"/>
      <c r="C2422" s="2524" t="s">
        <v>1660</v>
      </c>
      <c r="D2422" s="4306">
        <v>830000000</v>
      </c>
      <c r="E2422" s="4060">
        <v>398375000</v>
      </c>
      <c r="F2422" s="2690">
        <f t="shared" ref="F2422:F2430" si="197">E2422/D2422*100</f>
        <v>47.996987951807228</v>
      </c>
      <c r="G2422" s="2708">
        <v>40</v>
      </c>
      <c r="H2422" s="1463"/>
    </row>
    <row r="2423" spans="2:8" ht="15.75" hidden="1" customHeight="1" x14ac:dyDescent="0.25">
      <c r="B2423" s="441"/>
      <c r="C2423" s="2524" t="s">
        <v>1661</v>
      </c>
      <c r="D2423" s="4306">
        <v>830000000</v>
      </c>
      <c r="E2423" s="4060">
        <v>264100000</v>
      </c>
      <c r="F2423" s="2690">
        <f t="shared" si="197"/>
        <v>31.819277108433734</v>
      </c>
      <c r="G2423" s="2708">
        <v>30</v>
      </c>
      <c r="H2423" s="1463"/>
    </row>
    <row r="2424" spans="2:8" ht="15.75" hidden="1" customHeight="1" x14ac:dyDescent="0.25">
      <c r="B2424" s="441"/>
      <c r="C2424" s="2524" t="s">
        <v>1662</v>
      </c>
      <c r="D2424" s="4306">
        <v>830000000</v>
      </c>
      <c r="E2424" s="4060">
        <v>802600000</v>
      </c>
      <c r="F2424" s="2690">
        <f t="shared" si="197"/>
        <v>96.698795180722897</v>
      </c>
      <c r="G2424" s="2708">
        <v>100</v>
      </c>
      <c r="H2424" s="1463"/>
    </row>
    <row r="2425" spans="2:8" ht="15.75" hidden="1" customHeight="1" x14ac:dyDescent="0.25">
      <c r="B2425" s="441"/>
      <c r="C2425" s="2524" t="s">
        <v>1663</v>
      </c>
      <c r="D2425" s="4306">
        <v>500000000</v>
      </c>
      <c r="E2425" s="4060">
        <v>500000000</v>
      </c>
      <c r="F2425" s="2690">
        <f t="shared" si="197"/>
        <v>100</v>
      </c>
      <c r="G2425" s="2708">
        <v>100</v>
      </c>
      <c r="H2425" s="1463"/>
    </row>
    <row r="2426" spans="2:8" ht="15.75" hidden="1" customHeight="1" x14ac:dyDescent="0.25">
      <c r="B2426" s="441"/>
      <c r="C2426" s="2524" t="s">
        <v>1664</v>
      </c>
      <c r="D2426" s="4306">
        <v>500000000</v>
      </c>
      <c r="E2426" s="4060">
        <v>500000000</v>
      </c>
      <c r="F2426" s="2690">
        <f t="shared" si="197"/>
        <v>100</v>
      </c>
      <c r="G2426" s="4060">
        <v>100</v>
      </c>
      <c r="H2426" s="1463"/>
    </row>
    <row r="2427" spans="2:8" ht="14.25" hidden="1" customHeight="1" x14ac:dyDescent="0.25">
      <c r="B2427" s="441"/>
      <c r="C2427" s="2524" t="s">
        <v>1665</v>
      </c>
      <c r="D2427" s="4306">
        <v>500000000</v>
      </c>
      <c r="E2427" s="4060">
        <v>500000000</v>
      </c>
      <c r="F2427" s="2690">
        <f t="shared" si="197"/>
        <v>100</v>
      </c>
      <c r="G2427" s="4060">
        <v>100</v>
      </c>
      <c r="H2427" s="1463"/>
    </row>
    <row r="2428" spans="2:8" ht="14.25" hidden="1" customHeight="1" x14ac:dyDescent="0.25">
      <c r="B2428" s="441"/>
      <c r="C2428" s="2524" t="s">
        <v>1666</v>
      </c>
      <c r="D2428" s="4306">
        <v>2500000000</v>
      </c>
      <c r="E2428" s="4060">
        <v>864240000</v>
      </c>
      <c r="F2428" s="2690">
        <f t="shared" si="197"/>
        <v>34.569600000000001</v>
      </c>
      <c r="G2428" s="2708">
        <v>30</v>
      </c>
      <c r="H2428" s="1463"/>
    </row>
    <row r="2429" spans="2:8" ht="15" hidden="1" customHeight="1" x14ac:dyDescent="0.25">
      <c r="B2429" s="441"/>
      <c r="C2429" s="2524" t="s">
        <v>1667</v>
      </c>
      <c r="D2429" s="4306">
        <v>500000000</v>
      </c>
      <c r="E2429" s="4060">
        <v>500000000</v>
      </c>
      <c r="F2429" s="2690">
        <f t="shared" si="197"/>
        <v>100</v>
      </c>
      <c r="G2429" s="2708">
        <v>100</v>
      </c>
      <c r="H2429" s="1463"/>
    </row>
    <row r="2430" spans="2:8" ht="12.75" hidden="1" customHeight="1" x14ac:dyDescent="0.25">
      <c r="B2430" s="441"/>
      <c r="C2430" s="2524" t="s">
        <v>1668</v>
      </c>
      <c r="D2430" s="4306">
        <v>500000000</v>
      </c>
      <c r="E2430" s="4060">
        <v>500000000</v>
      </c>
      <c r="F2430" s="2690">
        <f t="shared" si="197"/>
        <v>100</v>
      </c>
      <c r="G2430" s="2708">
        <v>100</v>
      </c>
      <c r="H2430" s="1463"/>
    </row>
    <row r="2431" spans="2:8" ht="13.5" hidden="1" customHeight="1" x14ac:dyDescent="0.25">
      <c r="B2431" s="441"/>
      <c r="C2431" s="2476"/>
      <c r="D2431" s="4341"/>
      <c r="E2431" s="4059"/>
      <c r="F2431" s="2708"/>
      <c r="G2431" s="2708"/>
      <c r="H2431" s="1463"/>
    </row>
    <row r="2432" spans="2:8" ht="16.5" customHeight="1" x14ac:dyDescent="0.25">
      <c r="B2432" s="440"/>
      <c r="C2432" s="2471" t="s">
        <v>1669</v>
      </c>
      <c r="D2432" s="4106">
        <f>SUM(D2433+D2436)</f>
        <v>500000000</v>
      </c>
      <c r="E2432" s="2672">
        <f>SUM(E2433+E2436)</f>
        <v>500000000</v>
      </c>
      <c r="F2432" s="2719">
        <f>E2432/D2432*100</f>
        <v>100</v>
      </c>
      <c r="G2432" s="2719">
        <f>SUM(G2433+G2436)/2</f>
        <v>100</v>
      </c>
      <c r="H2432" s="1463"/>
    </row>
    <row r="2433" spans="1:11" ht="17.25" customHeight="1" x14ac:dyDescent="0.25">
      <c r="B2433" s="441"/>
      <c r="C2433" s="2565" t="s">
        <v>1670</v>
      </c>
      <c r="D2433" s="4072">
        <f>D2434</f>
        <v>300000000</v>
      </c>
      <c r="E2433" s="2824">
        <f>E2434</f>
        <v>300000000</v>
      </c>
      <c r="F2433" s="2939">
        <f>E2433/D2433*100</f>
        <v>100</v>
      </c>
      <c r="G2433" s="2939">
        <f>G2434</f>
        <v>100</v>
      </c>
      <c r="H2433" s="1463"/>
    </row>
    <row r="2434" spans="1:11" ht="15" hidden="1" customHeight="1" x14ac:dyDescent="0.25">
      <c r="B2434" s="441"/>
      <c r="C2434" s="2473" t="s">
        <v>1671</v>
      </c>
      <c r="D2434" s="4066">
        <v>300000000</v>
      </c>
      <c r="E2434" s="2685">
        <v>300000000</v>
      </c>
      <c r="F2434" s="2685">
        <f>E2434/D2434*100</f>
        <v>100</v>
      </c>
      <c r="G2434" s="2685">
        <v>100</v>
      </c>
      <c r="H2434" s="1463"/>
    </row>
    <row r="2435" spans="1:11" ht="9.75" hidden="1" customHeight="1" x14ac:dyDescent="0.25">
      <c r="B2435" s="441"/>
      <c r="C2435" s="2473"/>
      <c r="D2435" s="4066"/>
      <c r="E2435" s="2685"/>
      <c r="F2435" s="2685"/>
      <c r="G2435" s="2685"/>
      <c r="H2435" s="1463"/>
    </row>
    <row r="2436" spans="1:11" ht="17.25" customHeight="1" x14ac:dyDescent="0.25">
      <c r="B2436" s="441"/>
      <c r="C2436" s="2474" t="s">
        <v>1672</v>
      </c>
      <c r="D2436" s="4065">
        <f>SUM(D2437:D2438)</f>
        <v>200000000</v>
      </c>
      <c r="E2436" s="2695">
        <f>SUM(E2437:E2438)</f>
        <v>200000000</v>
      </c>
      <c r="F2436" s="2939">
        <f>E2436/D2436*100</f>
        <v>100</v>
      </c>
      <c r="G2436" s="2679">
        <f>SUM(G2437:G2438)/2</f>
        <v>100</v>
      </c>
      <c r="H2436" s="1463"/>
    </row>
    <row r="2437" spans="1:11" ht="15.75" hidden="1" customHeight="1" x14ac:dyDescent="0.25">
      <c r="B2437" s="441"/>
      <c r="C2437" s="2473" t="s">
        <v>1673</v>
      </c>
      <c r="D2437" s="4066">
        <v>100000000</v>
      </c>
      <c r="E2437" s="2690">
        <v>100000000</v>
      </c>
      <c r="F2437" s="2685">
        <f>E2437/D2437*100</f>
        <v>100</v>
      </c>
      <c r="G2437" s="2685">
        <v>100</v>
      </c>
      <c r="H2437" s="1463"/>
    </row>
    <row r="2438" spans="1:11" ht="15.75" hidden="1" customHeight="1" x14ac:dyDescent="0.25">
      <c r="B2438" s="441"/>
      <c r="C2438" s="2473" t="s">
        <v>1674</v>
      </c>
      <c r="D2438" s="4066">
        <v>100000000</v>
      </c>
      <c r="E2438" s="2690">
        <v>100000000</v>
      </c>
      <c r="F2438" s="2685">
        <f>E2438/D2438*100</f>
        <v>100</v>
      </c>
      <c r="G2438" s="2685">
        <v>100</v>
      </c>
      <c r="H2438" s="1463"/>
    </row>
    <row r="2439" spans="1:11" ht="13.5" hidden="1" customHeight="1" x14ac:dyDescent="0.25">
      <c r="B2439" s="441"/>
      <c r="C2439" s="2475"/>
      <c r="D2439" s="4332"/>
      <c r="E2439" s="4061"/>
      <c r="F2439" s="2830"/>
      <c r="G2439" s="2830"/>
      <c r="H2439" s="1463"/>
    </row>
    <row r="2440" spans="1:11" s="20" customFormat="1" ht="16.5" customHeight="1" x14ac:dyDescent="0.25">
      <c r="A2440" s="963"/>
      <c r="B2440" s="440"/>
      <c r="C2440" s="2471" t="s">
        <v>1675</v>
      </c>
      <c r="D2440" s="4106">
        <f>SUM(D2441+D2445)</f>
        <v>2054700000</v>
      </c>
      <c r="E2440" s="2672">
        <f>SUM(E2441+E2445)</f>
        <v>1989496000</v>
      </c>
      <c r="F2440" s="2672">
        <f>E2440/D2440*100</f>
        <v>96.826592689930408</v>
      </c>
      <c r="G2440" s="2719">
        <f>SUM(G2441+G2445)/2</f>
        <v>100</v>
      </c>
      <c r="H2440" s="1463"/>
      <c r="J2440" s="536"/>
      <c r="K2440" s="536"/>
    </row>
    <row r="2441" spans="1:11" ht="21" customHeight="1" x14ac:dyDescent="0.25">
      <c r="B2441" s="441"/>
      <c r="C2441" s="2472" t="s">
        <v>1676</v>
      </c>
      <c r="D2441" s="4072">
        <f>SUM(D2442:D2443)</f>
        <v>554700000</v>
      </c>
      <c r="E2441" s="2734">
        <f>SUM(E2442:E2443)</f>
        <v>554700000</v>
      </c>
      <c r="F2441" s="2785">
        <f>E2441/D2441*100</f>
        <v>100</v>
      </c>
      <c r="G2441" s="2722">
        <f>SUM(G2442:G2443)/2</f>
        <v>100</v>
      </c>
      <c r="H2441" s="1463"/>
    </row>
    <row r="2442" spans="1:11" ht="15" hidden="1" customHeight="1" x14ac:dyDescent="0.25">
      <c r="B2442" s="441"/>
      <c r="C2442" s="2473" t="s">
        <v>1677</v>
      </c>
      <c r="D2442" s="4066">
        <v>209150000</v>
      </c>
      <c r="E2442" s="2685">
        <v>209150000</v>
      </c>
      <c r="F2442" s="2690">
        <f t="shared" ref="F2442:F2443" si="198">E2442/D2442*100</f>
        <v>100</v>
      </c>
      <c r="G2442" s="2685">
        <v>100</v>
      </c>
      <c r="H2442" s="1463"/>
    </row>
    <row r="2443" spans="1:11" ht="17.25" hidden="1" customHeight="1" x14ac:dyDescent="0.25">
      <c r="B2443" s="441"/>
      <c r="C2443" s="2473" t="s">
        <v>1678</v>
      </c>
      <c r="D2443" s="4066">
        <v>345550000</v>
      </c>
      <c r="E2443" s="2855">
        <v>345550000</v>
      </c>
      <c r="F2443" s="2690">
        <f t="shared" si="198"/>
        <v>100</v>
      </c>
      <c r="G2443" s="2685">
        <v>100</v>
      </c>
      <c r="H2443" s="1463"/>
    </row>
    <row r="2444" spans="1:11" ht="9" hidden="1" customHeight="1" x14ac:dyDescent="0.25">
      <c r="B2444" s="441"/>
      <c r="C2444" s="2473"/>
      <c r="D2444" s="4066"/>
      <c r="E2444" s="2685"/>
      <c r="F2444" s="2690"/>
      <c r="G2444" s="2685"/>
      <c r="H2444" s="1463"/>
    </row>
    <row r="2445" spans="1:11" ht="17.25" customHeight="1" x14ac:dyDescent="0.25">
      <c r="B2445" s="441"/>
      <c r="C2445" s="2474" t="s">
        <v>1679</v>
      </c>
      <c r="D2445" s="4065">
        <f>D2446</f>
        <v>1500000000</v>
      </c>
      <c r="E2445" s="3250">
        <f>E2446</f>
        <v>1434796000</v>
      </c>
      <c r="F2445" s="2785">
        <f>E2445/D2445*100</f>
        <v>95.65306666666666</v>
      </c>
      <c r="G2445" s="3250">
        <f>G2446</f>
        <v>100</v>
      </c>
      <c r="H2445" s="1463"/>
    </row>
    <row r="2446" spans="1:11" ht="15" hidden="1" customHeight="1" x14ac:dyDescent="0.25">
      <c r="B2446" s="441"/>
      <c r="C2446" s="2473" t="s">
        <v>1680</v>
      </c>
      <c r="D2446" s="4066">
        <v>1500000000</v>
      </c>
      <c r="E2446" s="2685">
        <v>1434796000</v>
      </c>
      <c r="F2446" s="2690">
        <f t="shared" ref="F2446" si="199">E2446/D2446*100</f>
        <v>95.65306666666666</v>
      </c>
      <c r="G2446" s="2685">
        <v>100</v>
      </c>
      <c r="H2446" s="1463"/>
    </row>
    <row r="2447" spans="1:11" ht="13.5" hidden="1" customHeight="1" x14ac:dyDescent="0.25">
      <c r="B2447" s="441"/>
      <c r="C2447" s="2563"/>
      <c r="D2447" s="4342"/>
      <c r="E2447" s="3132"/>
      <c r="F2447" s="2830"/>
      <c r="G2447" s="2830"/>
      <c r="H2447" s="1463"/>
    </row>
    <row r="2448" spans="1:11" ht="15.75" customHeight="1" x14ac:dyDescent="0.25">
      <c r="B2448" s="440"/>
      <c r="C2448" s="2471" t="s">
        <v>1681</v>
      </c>
      <c r="D2448" s="4106">
        <f>SUM(D2449+D2459+D2462)</f>
        <v>30100000000</v>
      </c>
      <c r="E2448" s="2672">
        <f>SUM(E2449+E2459+E2462)</f>
        <v>9717450000</v>
      </c>
      <c r="F2448" s="2719">
        <f>E2448/D2448*100</f>
        <v>32.283887043189367</v>
      </c>
      <c r="G2448" s="2672">
        <f>SUM(G2449+G2459+G2462)/3</f>
        <v>37.916666666666664</v>
      </c>
      <c r="H2448" s="1463"/>
    </row>
    <row r="2449" spans="2:8" ht="15.75" customHeight="1" x14ac:dyDescent="0.25">
      <c r="B2449" s="441"/>
      <c r="C2449" s="2472" t="s">
        <v>1682</v>
      </c>
      <c r="D2449" s="4072">
        <f>SUM(D2450:D2457)</f>
        <v>17388669000</v>
      </c>
      <c r="E2449" s="2734">
        <f>SUM(E2450:E2457)</f>
        <v>6819650000</v>
      </c>
      <c r="F2449" s="2695">
        <f>E2449/D2449*100</f>
        <v>39.218930442577289</v>
      </c>
      <c r="G2449" s="2734">
        <f>SUM(G2450:G2457)/8</f>
        <v>53.75</v>
      </c>
      <c r="H2449" s="1463"/>
    </row>
    <row r="2450" spans="2:8" ht="15.75" hidden="1" customHeight="1" x14ac:dyDescent="0.25">
      <c r="B2450" s="441"/>
      <c r="C2450" s="2554" t="s">
        <v>1683</v>
      </c>
      <c r="D2450" s="4323">
        <v>7000000000</v>
      </c>
      <c r="E2450" s="2708">
        <v>0</v>
      </c>
      <c r="F2450" s="2708">
        <v>0</v>
      </c>
      <c r="G2450" s="2708">
        <v>0</v>
      </c>
      <c r="H2450" s="1463"/>
    </row>
    <row r="2451" spans="2:8" ht="28.5" hidden="1" customHeight="1" x14ac:dyDescent="0.25">
      <c r="B2451" s="441"/>
      <c r="C2451" s="2566" t="s">
        <v>1684</v>
      </c>
      <c r="D2451" s="4343">
        <v>1500000000</v>
      </c>
      <c r="E2451" s="2708">
        <v>1500000000</v>
      </c>
      <c r="F2451" s="2690">
        <f t="shared" ref="F2451:F2452" si="200">E2451/D2451*100</f>
        <v>100</v>
      </c>
      <c r="G2451" s="2708">
        <v>100</v>
      </c>
      <c r="H2451" s="1463"/>
    </row>
    <row r="2452" spans="2:8" ht="16.5" hidden="1" customHeight="1" x14ac:dyDescent="0.25">
      <c r="B2452" s="441"/>
      <c r="C2452" s="2554" t="s">
        <v>1685</v>
      </c>
      <c r="D2452" s="4323">
        <v>1000000000</v>
      </c>
      <c r="E2452" s="2685">
        <v>700000000</v>
      </c>
      <c r="F2452" s="2690">
        <f t="shared" si="200"/>
        <v>70</v>
      </c>
      <c r="G2452" s="2685">
        <v>70</v>
      </c>
      <c r="H2452" s="1463"/>
    </row>
    <row r="2453" spans="2:8" ht="16.5" hidden="1" customHeight="1" x14ac:dyDescent="0.25">
      <c r="B2453" s="441"/>
      <c r="C2453" s="2554" t="s">
        <v>1686</v>
      </c>
      <c r="D2453" s="4323">
        <v>3388669000</v>
      </c>
      <c r="E2453" s="2685">
        <v>2000000000</v>
      </c>
      <c r="F2453" s="2690">
        <f>E2453/D2453*100</f>
        <v>59.020222984304461</v>
      </c>
      <c r="G2453" s="2830">
        <v>60</v>
      </c>
      <c r="H2453" s="1463"/>
    </row>
    <row r="2454" spans="2:8" ht="18" hidden="1" customHeight="1" x14ac:dyDescent="0.25">
      <c r="B2454" s="441"/>
      <c r="C2454" s="2554" t="s">
        <v>1687</v>
      </c>
      <c r="D2454" s="4323">
        <v>500000000</v>
      </c>
      <c r="E2454" s="2685">
        <v>319650000</v>
      </c>
      <c r="F2454" s="2690">
        <f>E2454/D2454*100</f>
        <v>63.93</v>
      </c>
      <c r="G2454" s="2708">
        <v>50</v>
      </c>
      <c r="H2454" s="1463"/>
    </row>
    <row r="2455" spans="2:8" ht="18.75" hidden="1" customHeight="1" x14ac:dyDescent="0.25">
      <c r="B2455" s="441"/>
      <c r="C2455" s="2554" t="s">
        <v>1688</v>
      </c>
      <c r="D2455" s="4323">
        <v>1000000000</v>
      </c>
      <c r="E2455" s="4062">
        <v>300000000</v>
      </c>
      <c r="F2455" s="2690">
        <f t="shared" ref="F2455:F2456" si="201">E2455/D2455*100</f>
        <v>30</v>
      </c>
      <c r="G2455" s="2830">
        <v>50</v>
      </c>
      <c r="H2455" s="1463"/>
    </row>
    <row r="2456" spans="2:8" ht="16.5" hidden="1" customHeight="1" x14ac:dyDescent="0.25">
      <c r="B2456" s="441"/>
      <c r="C2456" s="2554" t="s">
        <v>1689</v>
      </c>
      <c r="D2456" s="4323">
        <v>2000000000</v>
      </c>
      <c r="E2456" s="2685">
        <v>2000000000</v>
      </c>
      <c r="F2456" s="2690">
        <f t="shared" si="201"/>
        <v>100</v>
      </c>
      <c r="G2456" s="2708">
        <v>100</v>
      </c>
      <c r="H2456" s="1463"/>
    </row>
    <row r="2457" spans="2:8" ht="20.25" hidden="1" customHeight="1" x14ac:dyDescent="0.25">
      <c r="B2457" s="441"/>
      <c r="C2457" s="2567" t="s">
        <v>1690</v>
      </c>
      <c r="D2457" s="4323">
        <v>1000000000</v>
      </c>
      <c r="E2457" s="2685">
        <v>0</v>
      </c>
      <c r="F2457" s="2708">
        <v>0</v>
      </c>
      <c r="G2457" s="2708">
        <v>0</v>
      </c>
      <c r="H2457" s="1463"/>
    </row>
    <row r="2458" spans="2:8" ht="12" hidden="1" customHeight="1" x14ac:dyDescent="0.25">
      <c r="B2458" s="441"/>
      <c r="C2458" s="2567"/>
      <c r="D2458" s="4323"/>
      <c r="E2458" s="2685"/>
      <c r="F2458" s="2708"/>
      <c r="G2458" s="2708"/>
      <c r="H2458" s="1463"/>
    </row>
    <row r="2459" spans="2:8" ht="16.5" customHeight="1" x14ac:dyDescent="0.25">
      <c r="B2459" s="441"/>
      <c r="C2459" s="2568" t="s">
        <v>1691</v>
      </c>
      <c r="D2459" s="4324">
        <f>D2460</f>
        <v>6811331000</v>
      </c>
      <c r="E2459" s="2679">
        <v>0</v>
      </c>
      <c r="F2459" s="2679">
        <v>0</v>
      </c>
      <c r="G2459" s="2679">
        <v>0</v>
      </c>
      <c r="H2459" s="1463"/>
    </row>
    <row r="2460" spans="2:8" ht="16.5" hidden="1" customHeight="1" x14ac:dyDescent="0.25">
      <c r="B2460" s="441"/>
      <c r="C2460" s="2567" t="s">
        <v>1692</v>
      </c>
      <c r="D2460" s="4323">
        <v>6811331000</v>
      </c>
      <c r="E2460" s="2685">
        <v>0</v>
      </c>
      <c r="F2460" s="2685">
        <v>0</v>
      </c>
      <c r="G2460" s="2685">
        <v>0</v>
      </c>
      <c r="H2460" s="1463"/>
    </row>
    <row r="2461" spans="2:8" ht="12" hidden="1" customHeight="1" x14ac:dyDescent="0.25">
      <c r="B2461" s="441"/>
      <c r="C2461" s="2567"/>
      <c r="D2461" s="4323"/>
      <c r="E2461" s="2685"/>
      <c r="F2461" s="2685"/>
      <c r="G2461" s="2685"/>
      <c r="H2461" s="1463"/>
    </row>
    <row r="2462" spans="2:8" ht="16.5" customHeight="1" x14ac:dyDescent="0.25">
      <c r="B2462" s="441"/>
      <c r="C2462" s="2525" t="s">
        <v>1693</v>
      </c>
      <c r="D2462" s="4297">
        <f>SUM(D2463:D2465)</f>
        <v>5900000000</v>
      </c>
      <c r="E2462" s="3978">
        <f>SUM(E2463:E2465)</f>
        <v>2897800000</v>
      </c>
      <c r="F2462" s="2695">
        <f>E2462/D2462*100</f>
        <v>49.115254237288134</v>
      </c>
      <c r="G2462" s="2695">
        <f>SUM(G2463:G2465)/3</f>
        <v>60</v>
      </c>
      <c r="H2462" s="1463"/>
    </row>
    <row r="2463" spans="2:8" ht="18" hidden="1" customHeight="1" x14ac:dyDescent="0.25">
      <c r="B2463" s="441"/>
      <c r="C2463" s="2524" t="s">
        <v>1694</v>
      </c>
      <c r="D2463" s="4066">
        <v>4300000000</v>
      </c>
      <c r="E2463" s="2855">
        <v>1897800000</v>
      </c>
      <c r="F2463" s="2690">
        <f>E2463/D2463*100</f>
        <v>44.134883720930233</v>
      </c>
      <c r="G2463" s="2685">
        <v>50</v>
      </c>
      <c r="H2463" s="1463"/>
    </row>
    <row r="2464" spans="2:8" ht="15" hidden="1" customHeight="1" x14ac:dyDescent="0.25">
      <c r="B2464" s="441"/>
      <c r="C2464" s="2524" t="s">
        <v>1695</v>
      </c>
      <c r="D2464" s="4286">
        <v>800000000</v>
      </c>
      <c r="E2464" s="2708">
        <v>550000000</v>
      </c>
      <c r="F2464" s="2690">
        <f t="shared" ref="F2464:F2465" si="202">E2464/D2464*100</f>
        <v>68.75</v>
      </c>
      <c r="G2464" s="2685">
        <v>70</v>
      </c>
      <c r="H2464" s="1463"/>
    </row>
    <row r="2465" spans="2:8" ht="18.75" hidden="1" customHeight="1" x14ac:dyDescent="0.25">
      <c r="B2465" s="441"/>
      <c r="C2465" s="2524" t="s">
        <v>5806</v>
      </c>
      <c r="D2465" s="3704">
        <v>800000000</v>
      </c>
      <c r="E2465" s="2685">
        <v>450000000</v>
      </c>
      <c r="F2465" s="2690">
        <f t="shared" si="202"/>
        <v>56.25</v>
      </c>
      <c r="G2465" s="2685">
        <v>60</v>
      </c>
      <c r="H2465" s="1463"/>
    </row>
    <row r="2466" spans="2:8" ht="15" hidden="1" customHeight="1" x14ac:dyDescent="0.25">
      <c r="B2466" s="441"/>
      <c r="C2466" s="2526"/>
      <c r="D2466" s="4344"/>
      <c r="E2466" s="4061"/>
      <c r="F2466" s="2830"/>
      <c r="G2466" s="2830"/>
      <c r="H2466" s="1463"/>
    </row>
    <row r="2467" spans="2:8" ht="18.75" customHeight="1" x14ac:dyDescent="0.25">
      <c r="B2467" s="458"/>
      <c r="C2467" s="2532" t="s">
        <v>3472</v>
      </c>
      <c r="D2467" s="4106">
        <f>SUM(D2468+D2471)</f>
        <v>40000000</v>
      </c>
      <c r="E2467" s="2672">
        <f>SUM(E2468+E2471)</f>
        <v>40000000</v>
      </c>
      <c r="F2467" s="2672">
        <f>E2467/D2467*100</f>
        <v>100</v>
      </c>
      <c r="G2467" s="3345">
        <f>G2468</f>
        <v>100</v>
      </c>
      <c r="H2467" s="1463"/>
    </row>
    <row r="2468" spans="2:8" ht="18" customHeight="1" x14ac:dyDescent="0.25">
      <c r="B2468" s="441"/>
      <c r="C2468" s="2538" t="s">
        <v>215</v>
      </c>
      <c r="D2468" s="4072">
        <f>D2469</f>
        <v>30000000</v>
      </c>
      <c r="E2468" s="2734">
        <f>E2469</f>
        <v>30000000</v>
      </c>
      <c r="F2468" s="2734">
        <f>E2468/D2468*100</f>
        <v>100</v>
      </c>
      <c r="G2468" s="4055">
        <f>G2469</f>
        <v>100</v>
      </c>
      <c r="H2468" s="1463"/>
    </row>
    <row r="2469" spans="2:8" ht="18" hidden="1" customHeight="1" x14ac:dyDescent="0.25">
      <c r="B2469" s="441"/>
      <c r="C2469" s="2524" t="s">
        <v>3473</v>
      </c>
      <c r="D2469" s="4066">
        <v>30000000</v>
      </c>
      <c r="E2469" s="2690">
        <v>30000000</v>
      </c>
      <c r="F2469" s="2760">
        <f t="shared" ref="F2469" si="203">E2469/D2469*100</f>
        <v>100</v>
      </c>
      <c r="G2469" s="2855">
        <v>100</v>
      </c>
      <c r="H2469" s="1463"/>
    </row>
    <row r="2470" spans="2:8" ht="9.75" hidden="1" customHeight="1" x14ac:dyDescent="0.25">
      <c r="B2470" s="441"/>
      <c r="C2470" s="2524"/>
      <c r="D2470" s="4066"/>
      <c r="E2470" s="2690"/>
      <c r="F2470" s="2760"/>
      <c r="G2470" s="2928"/>
      <c r="H2470" s="1463"/>
    </row>
    <row r="2471" spans="2:8" ht="19.5" customHeight="1" x14ac:dyDescent="0.25">
      <c r="B2471" s="441"/>
      <c r="C2471" s="2525" t="s">
        <v>3474</v>
      </c>
      <c r="D2471" s="4065">
        <f>D2472</f>
        <v>10000000</v>
      </c>
      <c r="E2471" s="2695">
        <f>E2472</f>
        <v>10000000</v>
      </c>
      <c r="F2471" s="2734">
        <f t="shared" ref="F2471:F2472" si="204">E2471/D2471*100</f>
        <v>100</v>
      </c>
      <c r="G2471" s="3250">
        <f>G2472</f>
        <v>100</v>
      </c>
      <c r="H2471" s="1463"/>
    </row>
    <row r="2472" spans="2:8" ht="17.25" hidden="1" customHeight="1" x14ac:dyDescent="0.25">
      <c r="B2472" s="441"/>
      <c r="C2472" s="2524" t="s">
        <v>3475</v>
      </c>
      <c r="D2472" s="4066">
        <v>10000000</v>
      </c>
      <c r="E2472" s="2690">
        <v>10000000</v>
      </c>
      <c r="F2472" s="2760">
        <f t="shared" si="204"/>
        <v>100</v>
      </c>
      <c r="G2472" s="2855">
        <v>100</v>
      </c>
      <c r="H2472" s="1463"/>
    </row>
    <row r="2473" spans="2:8" ht="11.25" hidden="1" customHeight="1" x14ac:dyDescent="0.25">
      <c r="B2473" s="441"/>
      <c r="C2473" s="2524"/>
      <c r="D2473" s="4286"/>
      <c r="E2473" s="2708"/>
      <c r="F2473" s="2685"/>
      <c r="G2473" s="2685"/>
      <c r="H2473" s="1463"/>
    </row>
    <row r="2474" spans="2:8" ht="18.75" customHeight="1" x14ac:dyDescent="0.25">
      <c r="B2474" s="441"/>
      <c r="C2474" s="2525" t="s">
        <v>3476</v>
      </c>
      <c r="D2474" s="4345" t="s">
        <v>3317</v>
      </c>
      <c r="E2474" s="3659" t="s">
        <v>3317</v>
      </c>
      <c r="F2474" s="3659" t="s">
        <v>3317</v>
      </c>
      <c r="G2474" s="3659" t="s">
        <v>3317</v>
      </c>
      <c r="H2474" s="1463"/>
    </row>
    <row r="2475" spans="2:8" ht="15.75" hidden="1" customHeight="1" x14ac:dyDescent="0.25">
      <c r="B2475" s="441"/>
      <c r="C2475" s="2524" t="s">
        <v>3477</v>
      </c>
      <c r="D2475" s="4292" t="s">
        <v>3317</v>
      </c>
      <c r="E2475" s="3596" t="s">
        <v>3317</v>
      </c>
      <c r="F2475" s="3596" t="s">
        <v>3317</v>
      </c>
      <c r="G2475" s="3596" t="s">
        <v>3317</v>
      </c>
      <c r="H2475" s="1463"/>
    </row>
    <row r="2476" spans="2:8" ht="15.75" hidden="1" customHeight="1" x14ac:dyDescent="0.25">
      <c r="B2476" s="441"/>
      <c r="C2476" s="2533"/>
      <c r="D2476" s="4346"/>
      <c r="E2476" s="4059"/>
      <c r="F2476" s="2708"/>
      <c r="G2476" s="2708"/>
      <c r="H2476" s="1463"/>
    </row>
    <row r="2477" spans="2:8" ht="16.5" customHeight="1" x14ac:dyDescent="0.25">
      <c r="B2477" s="440"/>
      <c r="C2477" s="2532" t="s">
        <v>3478</v>
      </c>
      <c r="D2477" s="4106">
        <f>D2478</f>
        <v>900000000</v>
      </c>
      <c r="E2477" s="2672">
        <f>E2478</f>
        <v>900000000</v>
      </c>
      <c r="F2477" s="2672">
        <f>E2477/D2477*100</f>
        <v>100</v>
      </c>
      <c r="G2477" s="2672">
        <f>G2478</f>
        <v>100</v>
      </c>
      <c r="H2477" s="1463"/>
    </row>
    <row r="2478" spans="2:8" ht="16.5" customHeight="1" x14ac:dyDescent="0.25">
      <c r="B2478" s="441"/>
      <c r="C2478" s="2538" t="s">
        <v>3479</v>
      </c>
      <c r="D2478" s="4305">
        <f>SUM(D2479:D2480)</f>
        <v>900000000</v>
      </c>
      <c r="E2478" s="2824">
        <f>SUM(E2479:E2480)</f>
        <v>900000000</v>
      </c>
      <c r="F2478" s="2785">
        <f>E2478/D2478*100</f>
        <v>100</v>
      </c>
      <c r="G2478" s="2785">
        <f>SUM(G2479:G2480)/2</f>
        <v>100</v>
      </c>
      <c r="H2478" s="1463"/>
    </row>
    <row r="2479" spans="2:8" ht="17.25" hidden="1" customHeight="1" x14ac:dyDescent="0.25">
      <c r="B2479" s="441"/>
      <c r="C2479" s="2524" t="s">
        <v>3480</v>
      </c>
      <c r="D2479" s="4066">
        <v>700000000</v>
      </c>
      <c r="E2479" s="2690">
        <v>700000000</v>
      </c>
      <c r="F2479" s="2690">
        <f>E2479/D2479*100</f>
        <v>100</v>
      </c>
      <c r="G2479" s="2690">
        <v>100</v>
      </c>
      <c r="H2479" s="1463"/>
    </row>
    <row r="2480" spans="2:8" ht="15" hidden="1" customHeight="1" x14ac:dyDescent="0.25">
      <c r="B2480" s="441"/>
      <c r="C2480" s="2524" t="s">
        <v>3481</v>
      </c>
      <c r="D2480" s="4066">
        <v>200000000</v>
      </c>
      <c r="E2480" s="2690">
        <v>200000000</v>
      </c>
      <c r="F2480" s="2690">
        <f>E2480/D2480*100</f>
        <v>100</v>
      </c>
      <c r="G2480" s="2690">
        <v>100</v>
      </c>
      <c r="H2480" s="1463"/>
    </row>
    <row r="2481" spans="2:8" ht="15" hidden="1" customHeight="1" x14ac:dyDescent="0.25">
      <c r="B2481" s="441"/>
      <c r="C2481" s="2533"/>
      <c r="D2481" s="4346"/>
      <c r="E2481" s="4059"/>
      <c r="F2481" s="2708"/>
      <c r="G2481" s="2708"/>
      <c r="H2481" s="1463"/>
    </row>
    <row r="2482" spans="2:8" ht="17.25" customHeight="1" x14ac:dyDescent="0.25">
      <c r="B2482" s="440"/>
      <c r="C2482" s="2532" t="s">
        <v>3482</v>
      </c>
      <c r="D2482" s="4106">
        <f>SUM(D2484+D2487+D2492+D2495+D2498)</f>
        <v>3998000000</v>
      </c>
      <c r="E2482" s="3345">
        <f>SUM(E2484+E2487+E2492+E2495+E2498)</f>
        <v>3600000000</v>
      </c>
      <c r="F2482" s="2719">
        <f>E2482/D2482*100</f>
        <v>90.045022511255624</v>
      </c>
      <c r="G2482" s="2719">
        <f>SUM(G2484+G2487+G2492+G2495+G2498)/5</f>
        <v>73.333333333333343</v>
      </c>
      <c r="H2482" s="1463"/>
    </row>
    <row r="2483" spans="2:8" ht="18" customHeight="1" x14ac:dyDescent="0.25">
      <c r="B2483" s="441"/>
      <c r="C2483" s="2538" t="s">
        <v>5807</v>
      </c>
      <c r="D2483" s="4301"/>
      <c r="E2483" s="2830"/>
      <c r="F2483" s="2830"/>
      <c r="G2483" s="2830"/>
      <c r="H2483" s="1463"/>
    </row>
    <row r="2484" spans="2:8" ht="16.5" customHeight="1" x14ac:dyDescent="0.25">
      <c r="B2484" s="441"/>
      <c r="C2484" s="2525" t="s">
        <v>3483</v>
      </c>
      <c r="D2484" s="4065">
        <f>D2485</f>
        <v>198000000</v>
      </c>
      <c r="E2484" s="3250">
        <f t="shared" ref="E2484:G2484" si="205">E2485</f>
        <v>0</v>
      </c>
      <c r="F2484" s="3250">
        <f t="shared" si="205"/>
        <v>0</v>
      </c>
      <c r="G2484" s="3250">
        <f t="shared" si="205"/>
        <v>0</v>
      </c>
      <c r="H2484" s="1463"/>
    </row>
    <row r="2485" spans="2:8" ht="16.5" hidden="1" customHeight="1" x14ac:dyDescent="0.25">
      <c r="B2485" s="441"/>
      <c r="C2485" s="2524" t="s">
        <v>3484</v>
      </c>
      <c r="D2485" s="4066">
        <v>198000000</v>
      </c>
      <c r="E2485" s="2685">
        <v>0</v>
      </c>
      <c r="F2485" s="2685">
        <v>0</v>
      </c>
      <c r="G2485" s="2685">
        <v>0</v>
      </c>
      <c r="H2485" s="3723"/>
    </row>
    <row r="2486" spans="2:8" ht="8.25" hidden="1" customHeight="1" x14ac:dyDescent="0.25">
      <c r="B2486" s="441"/>
      <c r="C2486" s="2524"/>
      <c r="D2486" s="4066"/>
      <c r="E2486" s="2685"/>
      <c r="F2486" s="2708"/>
      <c r="G2486" s="2685"/>
      <c r="H2486" s="1463"/>
    </row>
    <row r="2487" spans="2:8" ht="18" customHeight="1" x14ac:dyDescent="0.25">
      <c r="B2487" s="441"/>
      <c r="C2487" s="2525" t="s">
        <v>3485</v>
      </c>
      <c r="D2487" s="4065">
        <f>SUM(D2488:D2490)</f>
        <v>1000000000</v>
      </c>
      <c r="E2487" s="3250">
        <f>SUM(E2488:E2490)</f>
        <v>800000000</v>
      </c>
      <c r="F2487" s="2695">
        <f>E2487/D2487*100</f>
        <v>80</v>
      </c>
      <c r="G2487" s="2679">
        <f>SUM(G2488:G2490)/3</f>
        <v>66.666666666666671</v>
      </c>
      <c r="H2487" s="1463"/>
    </row>
    <row r="2488" spans="2:8" ht="15.75" hidden="1" customHeight="1" x14ac:dyDescent="0.25">
      <c r="B2488" s="441"/>
      <c r="C2488" s="2524" t="s">
        <v>3486</v>
      </c>
      <c r="D2488" s="4066">
        <v>400000000</v>
      </c>
      <c r="E2488" s="2855">
        <v>400000000</v>
      </c>
      <c r="F2488" s="2690">
        <f t="shared" ref="F2488:F2489" si="206">E2488/D2488*100</f>
        <v>100</v>
      </c>
      <c r="G2488" s="2685">
        <v>100</v>
      </c>
      <c r="H2488" s="1463"/>
    </row>
    <row r="2489" spans="2:8" ht="16.5" hidden="1" customHeight="1" x14ac:dyDescent="0.25">
      <c r="B2489" s="441"/>
      <c r="C2489" s="2524" t="s">
        <v>3487</v>
      </c>
      <c r="D2489" s="4066">
        <v>400000000</v>
      </c>
      <c r="E2489" s="2855">
        <v>400000000</v>
      </c>
      <c r="F2489" s="2690">
        <f t="shared" si="206"/>
        <v>100</v>
      </c>
      <c r="G2489" s="2685">
        <v>100</v>
      </c>
      <c r="H2489" s="1463"/>
    </row>
    <row r="2490" spans="2:8" ht="15.75" hidden="1" customHeight="1" x14ac:dyDescent="0.25">
      <c r="B2490" s="441"/>
      <c r="C2490" s="2524" t="s">
        <v>3488</v>
      </c>
      <c r="D2490" s="4066">
        <v>200000000</v>
      </c>
      <c r="E2490" s="2855">
        <v>0</v>
      </c>
      <c r="F2490" s="2855">
        <v>0</v>
      </c>
      <c r="G2490" s="2685">
        <v>0</v>
      </c>
      <c r="H2490" s="1463"/>
    </row>
    <row r="2491" spans="2:8" ht="9" hidden="1" customHeight="1" x14ac:dyDescent="0.25">
      <c r="B2491" s="441"/>
      <c r="C2491" s="2524"/>
      <c r="D2491" s="4066"/>
      <c r="E2491" s="2685"/>
      <c r="F2491" s="2685"/>
      <c r="G2491" s="2685"/>
      <c r="H2491" s="1463"/>
    </row>
    <row r="2492" spans="2:8" ht="19.5" customHeight="1" x14ac:dyDescent="0.25">
      <c r="B2492" s="441"/>
      <c r="C2492" s="2525" t="s">
        <v>3489</v>
      </c>
      <c r="D2492" s="4065">
        <f>D2493</f>
        <v>200000000</v>
      </c>
      <c r="E2492" s="3250">
        <f>E2493</f>
        <v>200000000</v>
      </c>
      <c r="F2492" s="2695">
        <f>E2492/D2492*100</f>
        <v>100</v>
      </c>
      <c r="G2492" s="3250">
        <f>G2493</f>
        <v>100</v>
      </c>
      <c r="H2492" s="1463"/>
    </row>
    <row r="2493" spans="2:8" ht="17.25" hidden="1" customHeight="1" x14ac:dyDescent="0.25">
      <c r="B2493" s="441"/>
      <c r="C2493" s="2473" t="s">
        <v>3490</v>
      </c>
      <c r="D2493" s="4066">
        <v>200000000</v>
      </c>
      <c r="E2493" s="2855">
        <v>200000000</v>
      </c>
      <c r="F2493" s="2690">
        <f t="shared" ref="F2493" si="207">E2493/D2493*100</f>
        <v>100</v>
      </c>
      <c r="G2493" s="2685">
        <v>100</v>
      </c>
      <c r="H2493" s="1463"/>
    </row>
    <row r="2494" spans="2:8" ht="6.75" hidden="1" customHeight="1" x14ac:dyDescent="0.25">
      <c r="B2494" s="441"/>
      <c r="C2494" s="2473"/>
      <c r="D2494" s="4066"/>
      <c r="E2494" s="2685"/>
      <c r="F2494" s="2685"/>
      <c r="G2494" s="2685"/>
      <c r="H2494" s="1463"/>
    </row>
    <row r="2495" spans="2:8" ht="20.25" customHeight="1" x14ac:dyDescent="0.25">
      <c r="B2495" s="441"/>
      <c r="C2495" s="2474" t="s">
        <v>3491</v>
      </c>
      <c r="D2495" s="4065">
        <f>D2496</f>
        <v>500000000</v>
      </c>
      <c r="E2495" s="3250">
        <f>E2496</f>
        <v>500000000</v>
      </c>
      <c r="F2495" s="2695">
        <f>E2495/D2495*100</f>
        <v>100</v>
      </c>
      <c r="G2495" s="3250">
        <f>G2496</f>
        <v>100</v>
      </c>
      <c r="H2495" s="1463"/>
    </row>
    <row r="2496" spans="2:8" ht="17.25" hidden="1" customHeight="1" x14ac:dyDescent="0.25">
      <c r="B2496" s="441"/>
      <c r="C2496" s="2473" t="s">
        <v>3492</v>
      </c>
      <c r="D2496" s="4066">
        <v>500000000</v>
      </c>
      <c r="E2496" s="2855">
        <v>500000000</v>
      </c>
      <c r="F2496" s="2690">
        <f t="shared" ref="F2496" si="208">E2496/D2496*100</f>
        <v>100</v>
      </c>
      <c r="G2496" s="2685">
        <v>100</v>
      </c>
      <c r="H2496" s="1463"/>
    </row>
    <row r="2497" spans="1:11" ht="9" hidden="1" customHeight="1" x14ac:dyDescent="0.25">
      <c r="B2497" s="441"/>
      <c r="C2497" s="2473"/>
      <c r="D2497" s="4066"/>
      <c r="E2497" s="2685"/>
      <c r="F2497" s="2685"/>
      <c r="G2497" s="2685"/>
      <c r="H2497" s="1463"/>
    </row>
    <row r="2498" spans="1:11" ht="17.25" customHeight="1" thickBot="1" x14ac:dyDescent="0.3">
      <c r="B2498" s="441"/>
      <c r="C2498" s="2474" t="s">
        <v>3493</v>
      </c>
      <c r="D2498" s="4065">
        <f>SUM(D2499:D2501)</f>
        <v>2100000000</v>
      </c>
      <c r="E2498" s="3250">
        <f>SUM(E2499:E2501)</f>
        <v>2100000000</v>
      </c>
      <c r="F2498" s="2695">
        <f>E2498/D2498*100</f>
        <v>100</v>
      </c>
      <c r="G2498" s="2679">
        <f>SUM(G2499:G2501)/3</f>
        <v>100</v>
      </c>
      <c r="H2498" s="1463"/>
    </row>
    <row r="2499" spans="1:11" ht="15.75" hidden="1" customHeight="1" x14ac:dyDescent="0.25">
      <c r="B2499" s="441"/>
      <c r="C2499" s="2473" t="s">
        <v>3494</v>
      </c>
      <c r="D2499" s="4066">
        <v>200000000</v>
      </c>
      <c r="E2499" s="2855">
        <v>200000000</v>
      </c>
      <c r="F2499" s="2685">
        <v>100</v>
      </c>
      <c r="G2499" s="2685">
        <v>100</v>
      </c>
      <c r="H2499" s="1463"/>
    </row>
    <row r="2500" spans="1:11" ht="18" hidden="1" customHeight="1" x14ac:dyDescent="0.25">
      <c r="B2500" s="441"/>
      <c r="C2500" s="2473" t="s">
        <v>3495</v>
      </c>
      <c r="D2500" s="4066">
        <v>500000000</v>
      </c>
      <c r="E2500" s="2855">
        <v>500000000</v>
      </c>
      <c r="F2500" s="2690">
        <f t="shared" ref="F2500:F2501" si="209">E2500/D2500*100</f>
        <v>100</v>
      </c>
      <c r="G2500" s="2685">
        <v>100</v>
      </c>
      <c r="H2500" s="1463"/>
    </row>
    <row r="2501" spans="1:11" ht="15" hidden="1" customHeight="1" x14ac:dyDescent="0.25">
      <c r="B2501" s="441"/>
      <c r="C2501" s="2473" t="s">
        <v>3496</v>
      </c>
      <c r="D2501" s="4066">
        <v>1400000000</v>
      </c>
      <c r="E2501" s="2855">
        <v>1400000000</v>
      </c>
      <c r="F2501" s="2690">
        <f t="shared" si="209"/>
        <v>100</v>
      </c>
      <c r="G2501" s="2685">
        <v>100</v>
      </c>
      <c r="H2501" s="1463"/>
    </row>
    <row r="2502" spans="1:11" ht="12" hidden="1" customHeight="1" thickBot="1" x14ac:dyDescent="0.3">
      <c r="B2502" s="441"/>
      <c r="C2502" s="2475"/>
      <c r="D2502" s="4299"/>
      <c r="E2502" s="4063"/>
      <c r="F2502" s="3153"/>
      <c r="G2502" s="3153"/>
      <c r="H2502" s="1463"/>
    </row>
    <row r="2503" spans="1:11" ht="17.25" customHeight="1" thickBot="1" x14ac:dyDescent="0.3">
      <c r="B2503" s="456"/>
      <c r="C2503" s="3650" t="s">
        <v>1696</v>
      </c>
      <c r="D2503" s="4330">
        <f>SUM(D2504+D2546+D2613+D2633+D2638+D2651+D2666+D2673+D2689+D2698+D2710+D2737+D2750)</f>
        <v>147784925000</v>
      </c>
      <c r="E2503" s="3738">
        <f>SUM(E2504+E2546+E2613+E2633+E2638+E2651+E2666+E2673+E2689+E2698+E2710+E2737+E2750)</f>
        <v>139760450040</v>
      </c>
      <c r="F2503" s="3738">
        <f>E2503/D2503*100</f>
        <v>94.570166774452801</v>
      </c>
      <c r="G2503" s="3738">
        <f>SUM(G2504+G2546+G2613+G2633+G2638+G2651+G2666+G2673+G2689+G2698+G2710+G2737)/12</f>
        <v>90.366111111111096</v>
      </c>
      <c r="H2503" s="3723"/>
    </row>
    <row r="2504" spans="1:11" ht="18.75" customHeight="1" x14ac:dyDescent="0.25">
      <c r="B2504" s="459"/>
      <c r="C2504" s="2543" t="s">
        <v>630</v>
      </c>
      <c r="D2504" s="4303">
        <f>SUM(D2505+D2508+D2512+D2517+D2531+D2534+D2543)</f>
        <v>29421500000</v>
      </c>
      <c r="E2504" s="2955">
        <f>SUM(E2505+E2508+E2512+E2517+E2531+E2534+E2543)</f>
        <v>28446270000</v>
      </c>
      <c r="F2504" s="2955">
        <f>E2504/D2504*100</f>
        <v>96.685315160681824</v>
      </c>
      <c r="G2504" s="2962">
        <f>SUM(G2505+G2508+G2512+G2517+G2531+G2534+G2543)/7</f>
        <v>84.523809523809533</v>
      </c>
      <c r="H2504" s="1463"/>
    </row>
    <row r="2505" spans="1:11" ht="17.25" customHeight="1" x14ac:dyDescent="0.25">
      <c r="B2505" s="441"/>
      <c r="C2505" s="2569" t="s">
        <v>1697</v>
      </c>
      <c r="D2505" s="4280">
        <f>D2506</f>
        <v>40000000</v>
      </c>
      <c r="E2505" s="2679">
        <v>0</v>
      </c>
      <c r="F2505" s="2725">
        <f>SUM(E2505/D2505)*100</f>
        <v>0</v>
      </c>
      <c r="G2505" s="2722">
        <f>SUM(G2506)/1</f>
        <v>0</v>
      </c>
      <c r="H2505" s="1463"/>
    </row>
    <row r="2506" spans="1:11" ht="17.25" hidden="1" customHeight="1" x14ac:dyDescent="0.25">
      <c r="B2506" s="441"/>
      <c r="C2506" s="2489" t="s">
        <v>4740</v>
      </c>
      <c r="D2506" s="4066">
        <v>40000000</v>
      </c>
      <c r="E2506" s="2685">
        <v>0</v>
      </c>
      <c r="F2506" s="2685">
        <f>SUM(E2506/D2506)*100</f>
        <v>0</v>
      </c>
      <c r="G2506" s="2685">
        <v>0</v>
      </c>
      <c r="H2506" s="1463"/>
    </row>
    <row r="2507" spans="1:11" ht="17.25" hidden="1" customHeight="1" x14ac:dyDescent="0.25">
      <c r="B2507" s="441"/>
      <c r="C2507" s="2494"/>
      <c r="D2507" s="4290"/>
      <c r="E2507" s="2830"/>
      <c r="F2507" s="2879"/>
      <c r="G2507" s="3035"/>
      <c r="H2507" s="1463"/>
    </row>
    <row r="2508" spans="1:11" ht="18.75" customHeight="1" x14ac:dyDescent="0.25">
      <c r="B2508" s="441"/>
      <c r="C2508" s="2491" t="s">
        <v>1698</v>
      </c>
      <c r="D2508" s="4159">
        <f>SUM(D2509:D2510)</f>
        <v>40000000</v>
      </c>
      <c r="E2508" s="2813">
        <f>SUM(E2509:E2510)</f>
        <v>40000000</v>
      </c>
      <c r="F2508" s="2695">
        <f t="shared" ref="F2508:F2528" si="210">E2508/D2508*100</f>
        <v>100</v>
      </c>
      <c r="G2508" s="2695">
        <f>SUM(G2509:G2510)/2</f>
        <v>100</v>
      </c>
      <c r="H2508" s="1463"/>
    </row>
    <row r="2509" spans="1:11" ht="17.25" hidden="1" customHeight="1" x14ac:dyDescent="0.25">
      <c r="B2509" s="441"/>
      <c r="C2509" s="2489" t="s">
        <v>1699</v>
      </c>
      <c r="D2509" s="4066">
        <v>20000000</v>
      </c>
      <c r="E2509" s="4064">
        <v>20000000</v>
      </c>
      <c r="F2509" s="2690">
        <f t="shared" si="210"/>
        <v>100</v>
      </c>
      <c r="G2509" s="2830">
        <v>100</v>
      </c>
      <c r="H2509" s="1463"/>
    </row>
    <row r="2510" spans="1:11" ht="17.25" hidden="1" customHeight="1" x14ac:dyDescent="0.25">
      <c r="B2510" s="441"/>
      <c r="C2510" s="2489" t="s">
        <v>1700</v>
      </c>
      <c r="D2510" s="4066">
        <v>20000000</v>
      </c>
      <c r="E2510" s="2708">
        <v>20000000</v>
      </c>
      <c r="F2510" s="2690">
        <f t="shared" si="210"/>
        <v>100</v>
      </c>
      <c r="G2510" s="2708">
        <v>100</v>
      </c>
      <c r="H2510" s="1463"/>
    </row>
    <row r="2511" spans="1:11" ht="17.25" hidden="1" customHeight="1" x14ac:dyDescent="0.25">
      <c r="B2511" s="441"/>
      <c r="C2511" s="2489"/>
      <c r="D2511" s="4066"/>
      <c r="E2511" s="2708"/>
      <c r="F2511" s="2690"/>
      <c r="G2511" s="2708"/>
      <c r="H2511" s="1463"/>
    </row>
    <row r="2512" spans="1:11" s="32" customFormat="1" ht="14.25" customHeight="1" x14ac:dyDescent="0.25">
      <c r="A2512" s="1"/>
      <c r="B2512" s="441"/>
      <c r="C2512" s="2491" t="s">
        <v>1701</v>
      </c>
      <c r="D2512" s="4065">
        <f>SUM(D2513:D2515)</f>
        <v>1600000000</v>
      </c>
      <c r="E2512" s="4065">
        <f>SUM(E2513:E2515)</f>
        <v>1599100000</v>
      </c>
      <c r="F2512" s="2695">
        <f t="shared" si="210"/>
        <v>99.943749999999994</v>
      </c>
      <c r="G2512" s="2695">
        <f>SUM(G2513:G2515)/3</f>
        <v>100</v>
      </c>
      <c r="H2512" s="1462"/>
      <c r="J2512" s="1208"/>
      <c r="K2512" s="1208"/>
    </row>
    <row r="2513" spans="1:11" s="196" customFormat="1" ht="17.25" hidden="1" customHeight="1" x14ac:dyDescent="0.25">
      <c r="A2513" s="12"/>
      <c r="B2513" s="442"/>
      <c r="C2513" s="2494" t="s">
        <v>1702</v>
      </c>
      <c r="D2513" s="3704">
        <v>800000000</v>
      </c>
      <c r="E2513" s="2685">
        <v>800000000</v>
      </c>
      <c r="F2513" s="2690">
        <f t="shared" si="210"/>
        <v>100</v>
      </c>
      <c r="G2513" s="2690">
        <v>100</v>
      </c>
      <c r="H2513" s="3715"/>
      <c r="J2513" s="1212"/>
      <c r="K2513" s="1212"/>
    </row>
    <row r="2514" spans="1:11" ht="17.25" hidden="1" customHeight="1" x14ac:dyDescent="0.25">
      <c r="B2514" s="441"/>
      <c r="C2514" s="2489" t="s">
        <v>1703</v>
      </c>
      <c r="D2514" s="4066">
        <v>300000000</v>
      </c>
      <c r="E2514" s="2708">
        <v>300000000</v>
      </c>
      <c r="F2514" s="2690">
        <f t="shared" si="210"/>
        <v>100</v>
      </c>
      <c r="G2514" s="2708">
        <v>100</v>
      </c>
      <c r="H2514" s="1463"/>
    </row>
    <row r="2515" spans="1:11" ht="17.25" hidden="1" customHeight="1" x14ac:dyDescent="0.25">
      <c r="B2515" s="441"/>
      <c r="C2515" s="2489" t="s">
        <v>1704</v>
      </c>
      <c r="D2515" s="4066">
        <v>500000000</v>
      </c>
      <c r="E2515" s="4064">
        <v>499100000</v>
      </c>
      <c r="F2515" s="2690">
        <f t="shared" si="210"/>
        <v>99.82</v>
      </c>
      <c r="G2515" s="2830">
        <v>100</v>
      </c>
      <c r="H2515" s="1463"/>
    </row>
    <row r="2516" spans="1:11" ht="17.25" hidden="1" customHeight="1" x14ac:dyDescent="0.25">
      <c r="B2516" s="441"/>
      <c r="C2516" s="2489"/>
      <c r="D2516" s="4066"/>
      <c r="E2516" s="4064"/>
      <c r="F2516" s="2690"/>
      <c r="G2516" s="2690"/>
      <c r="H2516" s="1463"/>
    </row>
    <row r="2517" spans="1:11" s="32" customFormat="1" ht="18" customHeight="1" x14ac:dyDescent="0.25">
      <c r="A2517" s="1"/>
      <c r="B2517" s="441"/>
      <c r="C2517" s="2490" t="s">
        <v>1705</v>
      </c>
      <c r="D2517" s="4065">
        <f>SUM(D2518:D2530)</f>
        <v>21300000000</v>
      </c>
      <c r="E2517" s="2695">
        <f>SUM(E2518:E2530)</f>
        <v>20468270000</v>
      </c>
      <c r="F2517" s="2695">
        <f t="shared" si="210"/>
        <v>96.095164319248823</v>
      </c>
      <c r="G2517" s="2695">
        <f>SUM(G2518:G2529)/12</f>
        <v>91.666666666666671</v>
      </c>
      <c r="H2517" s="1462"/>
      <c r="J2517" s="1208"/>
      <c r="K2517" s="1208"/>
    </row>
    <row r="2518" spans="1:11" ht="17.25" hidden="1" customHeight="1" x14ac:dyDescent="0.25">
      <c r="B2518" s="441"/>
      <c r="C2518" s="2489" t="s">
        <v>1706</v>
      </c>
      <c r="D2518" s="4066">
        <v>5900000000</v>
      </c>
      <c r="E2518" s="4064">
        <v>5650038000</v>
      </c>
      <c r="F2518" s="2690">
        <f t="shared" si="210"/>
        <v>95.763355932203382</v>
      </c>
      <c r="G2518" s="2690">
        <v>100</v>
      </c>
      <c r="H2518" s="1463"/>
    </row>
    <row r="2519" spans="1:11" ht="17.25" hidden="1" customHeight="1" x14ac:dyDescent="0.25">
      <c r="B2519" s="441"/>
      <c r="C2519" s="2489" t="s">
        <v>1707</v>
      </c>
      <c r="D2519" s="4066">
        <v>10000000000</v>
      </c>
      <c r="E2519" s="4064">
        <v>9698090000</v>
      </c>
      <c r="F2519" s="2690">
        <f t="shared" si="210"/>
        <v>96.980900000000005</v>
      </c>
      <c r="G2519" s="2690">
        <v>100</v>
      </c>
      <c r="H2519" s="1463"/>
    </row>
    <row r="2520" spans="1:11" ht="17.25" hidden="1" customHeight="1" x14ac:dyDescent="0.25">
      <c r="B2520" s="444"/>
      <c r="C2520" s="2489" t="s">
        <v>1708</v>
      </c>
      <c r="D2520" s="4066">
        <v>2100000000</v>
      </c>
      <c r="E2520" s="4064">
        <v>1920390000</v>
      </c>
      <c r="F2520" s="2690">
        <f t="shared" si="210"/>
        <v>91.447142857142865</v>
      </c>
      <c r="G2520" s="2690">
        <v>100</v>
      </c>
      <c r="H2520" s="1463"/>
    </row>
    <row r="2521" spans="1:11" ht="17.25" hidden="1" customHeight="1" x14ac:dyDescent="0.25">
      <c r="B2521" s="441"/>
      <c r="C2521" s="2489" t="s">
        <v>1709</v>
      </c>
      <c r="D2521" s="4066">
        <v>200000000</v>
      </c>
      <c r="E2521" s="4064">
        <v>199760000</v>
      </c>
      <c r="F2521" s="2690">
        <f t="shared" si="210"/>
        <v>99.88</v>
      </c>
      <c r="G2521" s="2690">
        <v>100</v>
      </c>
      <c r="H2521" s="1463"/>
    </row>
    <row r="2522" spans="1:11" ht="17.25" hidden="1" customHeight="1" x14ac:dyDescent="0.25">
      <c r="B2522" s="441"/>
      <c r="C2522" s="2489" t="s">
        <v>1710</v>
      </c>
      <c r="D2522" s="4066">
        <v>200000000</v>
      </c>
      <c r="E2522" s="4064">
        <v>200000000</v>
      </c>
      <c r="F2522" s="2690">
        <f t="shared" si="210"/>
        <v>100</v>
      </c>
      <c r="G2522" s="2690">
        <v>100</v>
      </c>
      <c r="H2522" s="1463"/>
    </row>
    <row r="2523" spans="1:11" ht="17.25" hidden="1" customHeight="1" x14ac:dyDescent="0.25">
      <c r="B2523" s="441"/>
      <c r="C2523" s="2489" t="s">
        <v>1711</v>
      </c>
      <c r="D2523" s="4066">
        <v>200000000</v>
      </c>
      <c r="E2523" s="4064">
        <v>200000000</v>
      </c>
      <c r="F2523" s="2690">
        <f t="shared" si="210"/>
        <v>100</v>
      </c>
      <c r="G2523" s="2690">
        <v>100</v>
      </c>
      <c r="H2523" s="1463"/>
    </row>
    <row r="2524" spans="1:11" ht="17.25" hidden="1" customHeight="1" x14ac:dyDescent="0.25">
      <c r="B2524" s="441"/>
      <c r="C2524" s="2489" t="s">
        <v>1712</v>
      </c>
      <c r="D2524" s="4066">
        <v>200000000</v>
      </c>
      <c r="E2524" s="4064">
        <v>200000000</v>
      </c>
      <c r="F2524" s="2690">
        <f t="shared" si="210"/>
        <v>100</v>
      </c>
      <c r="G2524" s="2690">
        <v>100</v>
      </c>
      <c r="H2524" s="1463"/>
    </row>
    <row r="2525" spans="1:11" ht="17.25" hidden="1" customHeight="1" x14ac:dyDescent="0.25">
      <c r="B2525" s="441"/>
      <c r="C2525" s="2489" t="s">
        <v>1713</v>
      </c>
      <c r="D2525" s="4066">
        <v>200000000</v>
      </c>
      <c r="E2525" s="4064">
        <v>200000000</v>
      </c>
      <c r="F2525" s="2690">
        <f t="shared" si="210"/>
        <v>100</v>
      </c>
      <c r="G2525" s="2690">
        <v>100</v>
      </c>
      <c r="H2525" s="1463"/>
    </row>
    <row r="2526" spans="1:11" ht="17.25" hidden="1" customHeight="1" x14ac:dyDescent="0.25">
      <c r="B2526" s="441"/>
      <c r="C2526" s="2489" t="s">
        <v>1714</v>
      </c>
      <c r="D2526" s="4066">
        <v>200000000</v>
      </c>
      <c r="E2526" s="4064">
        <v>200000000</v>
      </c>
      <c r="F2526" s="2690">
        <f t="shared" si="210"/>
        <v>100</v>
      </c>
      <c r="G2526" s="2690">
        <v>100</v>
      </c>
      <c r="H2526" s="1463"/>
    </row>
    <row r="2527" spans="1:11" ht="17.25" hidden="1" customHeight="1" x14ac:dyDescent="0.25">
      <c r="B2527" s="441"/>
      <c r="C2527" s="2489" t="s">
        <v>1715</v>
      </c>
      <c r="D2527" s="4066">
        <v>1000000000</v>
      </c>
      <c r="E2527" s="4064">
        <v>999996000</v>
      </c>
      <c r="F2527" s="2690">
        <f t="shared" si="210"/>
        <v>99.999600000000001</v>
      </c>
      <c r="G2527" s="2690">
        <v>100</v>
      </c>
      <c r="H2527" s="1463"/>
    </row>
    <row r="2528" spans="1:11" ht="17.25" hidden="1" customHeight="1" x14ac:dyDescent="0.25">
      <c r="B2528" s="441"/>
      <c r="C2528" s="2489" t="s">
        <v>1716</v>
      </c>
      <c r="D2528" s="4066">
        <v>1000000000</v>
      </c>
      <c r="E2528" s="4064">
        <v>999996000</v>
      </c>
      <c r="F2528" s="2690">
        <f t="shared" si="210"/>
        <v>99.999600000000001</v>
      </c>
      <c r="G2528" s="2690">
        <v>100</v>
      </c>
      <c r="H2528" s="1463"/>
    </row>
    <row r="2529" spans="1:11" ht="17.25" hidden="1" customHeight="1" x14ac:dyDescent="0.25">
      <c r="B2529" s="441"/>
      <c r="C2529" s="2494" t="s">
        <v>1717</v>
      </c>
      <c r="D2529" s="4290">
        <v>100000000</v>
      </c>
      <c r="E2529" s="2685">
        <v>0</v>
      </c>
      <c r="F2529" s="2685">
        <f>SUM(E2529/D2529)*100</f>
        <v>0</v>
      </c>
      <c r="G2529" s="2685">
        <v>0</v>
      </c>
      <c r="H2529" s="1463"/>
    </row>
    <row r="2530" spans="1:11" ht="17.25" hidden="1" customHeight="1" x14ac:dyDescent="0.25">
      <c r="B2530" s="441"/>
      <c r="C2530" s="2491"/>
      <c r="D2530" s="4159"/>
      <c r="E2530" s="3217"/>
      <c r="F2530" s="2695"/>
      <c r="G2530" s="2695"/>
      <c r="H2530" s="1463"/>
    </row>
    <row r="2531" spans="1:11" s="32" customFormat="1" ht="18" customHeight="1" x14ac:dyDescent="0.25">
      <c r="A2531" s="1"/>
      <c r="B2531" s="441"/>
      <c r="C2531" s="2490" t="s">
        <v>1718</v>
      </c>
      <c r="D2531" s="4065">
        <f>D2532</f>
        <v>3141500000</v>
      </c>
      <c r="E2531" s="2695">
        <f>E2532</f>
        <v>3141500000</v>
      </c>
      <c r="F2531" s="4065">
        <f>E2531/D2531*100</f>
        <v>100</v>
      </c>
      <c r="G2531" s="2679">
        <v>100</v>
      </c>
      <c r="H2531" s="1462"/>
      <c r="J2531" s="1208"/>
      <c r="K2531" s="1208"/>
    </row>
    <row r="2532" spans="1:11" ht="17.25" hidden="1" customHeight="1" x14ac:dyDescent="0.25">
      <c r="B2532" s="441"/>
      <c r="C2532" s="2489" t="s">
        <v>1719</v>
      </c>
      <c r="D2532" s="4066">
        <v>3141500000</v>
      </c>
      <c r="E2532" s="4066">
        <v>3141500000</v>
      </c>
      <c r="F2532" s="4066">
        <f>E2532/D2532*100</f>
        <v>100</v>
      </c>
      <c r="G2532" s="2690">
        <v>100</v>
      </c>
      <c r="H2532" s="1463"/>
    </row>
    <row r="2533" spans="1:11" ht="17.25" hidden="1" customHeight="1" x14ac:dyDescent="0.25">
      <c r="B2533" s="441"/>
      <c r="C2533" s="2489"/>
      <c r="D2533" s="4066"/>
      <c r="E2533" s="4064"/>
      <c r="F2533" s="4066"/>
      <c r="G2533" s="2690"/>
      <c r="H2533" s="1463"/>
    </row>
    <row r="2534" spans="1:11" s="32" customFormat="1" ht="18.75" customHeight="1" x14ac:dyDescent="0.25">
      <c r="A2534" s="1"/>
      <c r="B2534" s="441"/>
      <c r="C2534" s="2490" t="s">
        <v>1720</v>
      </c>
      <c r="D2534" s="4159">
        <f>SUM(D2535:D2541)</f>
        <v>1600000000</v>
      </c>
      <c r="E2534" s="2679">
        <f>SUM(E2535:E2541)</f>
        <v>1500000000</v>
      </c>
      <c r="F2534" s="4065">
        <f t="shared" ref="F2534:F2544" si="211">E2534/D2534*100</f>
        <v>93.75</v>
      </c>
      <c r="G2534" s="2679">
        <f>SUM(G2535:G2541)/6</f>
        <v>100</v>
      </c>
      <c r="H2534" s="1462"/>
      <c r="J2534" s="1208"/>
      <c r="K2534" s="1208"/>
    </row>
    <row r="2535" spans="1:11" ht="17.25" hidden="1" customHeight="1" x14ac:dyDescent="0.25">
      <c r="B2535" s="441"/>
      <c r="C2535" s="2489" t="s">
        <v>1721</v>
      </c>
      <c r="D2535" s="4066">
        <v>100000000</v>
      </c>
      <c r="E2535" s="4064">
        <v>100000000</v>
      </c>
      <c r="F2535" s="4066">
        <f t="shared" si="211"/>
        <v>100</v>
      </c>
      <c r="G2535" s="2685">
        <v>100</v>
      </c>
      <c r="H2535" s="1463"/>
    </row>
    <row r="2536" spans="1:11" ht="17.25" hidden="1" customHeight="1" x14ac:dyDescent="0.25">
      <c r="B2536" s="441"/>
      <c r="C2536" s="2489" t="s">
        <v>1722</v>
      </c>
      <c r="D2536" s="4066">
        <v>100000000</v>
      </c>
      <c r="E2536" s="2708">
        <v>100000000</v>
      </c>
      <c r="F2536" s="4066">
        <f t="shared" si="211"/>
        <v>100</v>
      </c>
      <c r="G2536" s="2708">
        <v>100</v>
      </c>
      <c r="H2536" s="1463"/>
    </row>
    <row r="2537" spans="1:11" ht="17.25" hidden="1" customHeight="1" x14ac:dyDescent="0.25">
      <c r="B2537" s="441"/>
      <c r="C2537" s="2494" t="s">
        <v>1723</v>
      </c>
      <c r="D2537" s="3704">
        <v>100000000</v>
      </c>
      <c r="E2537" s="2685">
        <v>100000000</v>
      </c>
      <c r="F2537" s="4066">
        <f t="shared" si="211"/>
        <v>100</v>
      </c>
      <c r="G2537" s="2690">
        <v>100</v>
      </c>
      <c r="H2537" s="1463"/>
    </row>
    <row r="2538" spans="1:11" s="196" customFormat="1" ht="17.25" hidden="1" customHeight="1" x14ac:dyDescent="0.25">
      <c r="A2538" s="12"/>
      <c r="B2538" s="442"/>
      <c r="C2538" s="2494" t="s">
        <v>1724</v>
      </c>
      <c r="D2538" s="3704">
        <v>300000000</v>
      </c>
      <c r="E2538" s="2685">
        <v>300000000</v>
      </c>
      <c r="F2538" s="4066">
        <f t="shared" si="211"/>
        <v>100</v>
      </c>
      <c r="G2538" s="2690">
        <v>100</v>
      </c>
      <c r="H2538" s="3715"/>
      <c r="J2538" s="1212"/>
      <c r="K2538" s="1212"/>
    </row>
    <row r="2539" spans="1:11" ht="17.25" hidden="1" customHeight="1" x14ac:dyDescent="0.25">
      <c r="B2539" s="441"/>
      <c r="C2539" s="2489" t="s">
        <v>1725</v>
      </c>
      <c r="D2539" s="4066">
        <v>100000000</v>
      </c>
      <c r="E2539" s="2685">
        <v>0</v>
      </c>
      <c r="F2539" s="2685">
        <v>0</v>
      </c>
      <c r="G2539" s="2685">
        <v>0</v>
      </c>
      <c r="H2539" s="1463"/>
    </row>
    <row r="2540" spans="1:11" ht="17.25" hidden="1" customHeight="1" x14ac:dyDescent="0.25">
      <c r="B2540" s="441"/>
      <c r="C2540" s="2489" t="s">
        <v>1726</v>
      </c>
      <c r="D2540" s="4066">
        <v>400000000</v>
      </c>
      <c r="E2540" s="4064">
        <v>400000000</v>
      </c>
      <c r="F2540" s="4066">
        <f t="shared" si="211"/>
        <v>100</v>
      </c>
      <c r="G2540" s="2690">
        <v>100</v>
      </c>
      <c r="H2540" s="1463"/>
    </row>
    <row r="2541" spans="1:11" ht="17.25" hidden="1" customHeight="1" x14ac:dyDescent="0.25">
      <c r="B2541" s="441"/>
      <c r="C2541" s="2489" t="s">
        <v>1727</v>
      </c>
      <c r="D2541" s="4066">
        <v>500000000</v>
      </c>
      <c r="E2541" s="4064">
        <v>500000000</v>
      </c>
      <c r="F2541" s="4066">
        <f t="shared" si="211"/>
        <v>100</v>
      </c>
      <c r="G2541" s="2690">
        <v>100</v>
      </c>
      <c r="H2541" s="1463"/>
    </row>
    <row r="2542" spans="1:11" ht="17.25" hidden="1" customHeight="1" x14ac:dyDescent="0.25">
      <c r="B2542" s="441"/>
      <c r="C2542" s="2489"/>
      <c r="D2542" s="4066"/>
      <c r="E2542" s="4064"/>
      <c r="F2542" s="4066"/>
      <c r="G2542" s="2690"/>
      <c r="H2542" s="1463"/>
    </row>
    <row r="2543" spans="1:11" s="32" customFormat="1" ht="15.75" customHeight="1" x14ac:dyDescent="0.25">
      <c r="A2543" s="1"/>
      <c r="B2543" s="441"/>
      <c r="C2543" s="2490" t="s">
        <v>1728</v>
      </c>
      <c r="D2543" s="4065">
        <f>D2544</f>
        <v>1700000000</v>
      </c>
      <c r="E2543" s="4067">
        <f>E2544</f>
        <v>1697400000</v>
      </c>
      <c r="F2543" s="4065">
        <f t="shared" si="211"/>
        <v>99.847058823529409</v>
      </c>
      <c r="G2543" s="2695">
        <f>G2544</f>
        <v>100</v>
      </c>
      <c r="H2543" s="1462"/>
      <c r="J2543" s="1208"/>
      <c r="K2543" s="1208"/>
    </row>
    <row r="2544" spans="1:11" ht="17.25" hidden="1" customHeight="1" x14ac:dyDescent="0.25">
      <c r="B2544" s="441"/>
      <c r="C2544" s="2489" t="s">
        <v>1729</v>
      </c>
      <c r="D2544" s="4066">
        <v>1700000000</v>
      </c>
      <c r="E2544" s="2708">
        <v>1697400000</v>
      </c>
      <c r="F2544" s="4066">
        <f t="shared" si="211"/>
        <v>99.847058823529409</v>
      </c>
      <c r="G2544" s="4066">
        <v>100</v>
      </c>
      <c r="H2544" s="1463"/>
    </row>
    <row r="2545" spans="1:11" ht="17.25" hidden="1" customHeight="1" x14ac:dyDescent="0.25">
      <c r="B2545" s="441"/>
      <c r="C2545" s="2495"/>
      <c r="D2545" s="4347"/>
      <c r="E2545" s="2911"/>
      <c r="F2545" s="2895"/>
      <c r="G2545" s="2778"/>
      <c r="H2545" s="1463"/>
    </row>
    <row r="2546" spans="1:11" ht="21" customHeight="1" x14ac:dyDescent="0.25">
      <c r="B2546" s="440"/>
      <c r="C2546" s="2497" t="s">
        <v>398</v>
      </c>
      <c r="D2546" s="4080">
        <f>SUM(D2547+D2564+D2570+D2575+D2582+D2589+D2600)</f>
        <v>12281000000</v>
      </c>
      <c r="E2546" s="2786">
        <f>SUM(E2547+E2564+E2570+E2575+E2582+E2589+E2600)</f>
        <v>11626806500</v>
      </c>
      <c r="F2546" s="2955">
        <f>E2546/D2546*100</f>
        <v>94.673125152674871</v>
      </c>
      <c r="G2546" s="2672">
        <f>SUM(G2564+G2570+G2575+G2582+G2589+G2600)/7</f>
        <v>82.142857142857139</v>
      </c>
      <c r="H2546" s="1463"/>
    </row>
    <row r="2547" spans="1:11" ht="19.5" customHeight="1" x14ac:dyDescent="0.25">
      <c r="B2547" s="441"/>
      <c r="C2547" s="2569" t="s">
        <v>1730</v>
      </c>
      <c r="D2547" s="4158">
        <f>SUM(D2548:D2562)</f>
        <v>4145000000</v>
      </c>
      <c r="E2547" s="2725">
        <f>SUM(E2548:E2562)</f>
        <v>3545000000</v>
      </c>
      <c r="F2547" s="4065">
        <f t="shared" ref="F2547:F2580" si="212">E2547/D2547*100</f>
        <v>85.524728588661034</v>
      </c>
      <c r="G2547" s="2722">
        <f>SUM(G2548:G2562)/15</f>
        <v>98.333333333333329</v>
      </c>
      <c r="H2547" s="1463"/>
    </row>
    <row r="2548" spans="1:11" ht="17.25" hidden="1" customHeight="1" x14ac:dyDescent="0.25">
      <c r="B2548" s="441"/>
      <c r="C2548" s="2489" t="s">
        <v>1731</v>
      </c>
      <c r="D2548" s="4066">
        <v>200000000</v>
      </c>
      <c r="E2548" s="4068">
        <v>200000000</v>
      </c>
      <c r="F2548" s="4066">
        <f t="shared" si="212"/>
        <v>100</v>
      </c>
      <c r="G2548" s="2690">
        <v>100</v>
      </c>
      <c r="H2548" s="1463"/>
    </row>
    <row r="2549" spans="1:11" ht="17.25" hidden="1" customHeight="1" x14ac:dyDescent="0.25">
      <c r="B2549" s="441"/>
      <c r="C2549" s="2489" t="s">
        <v>1732</v>
      </c>
      <c r="D2549" s="4066">
        <v>2400000000</v>
      </c>
      <c r="E2549" s="4068">
        <v>1800000000</v>
      </c>
      <c r="F2549" s="4066">
        <f t="shared" si="212"/>
        <v>75</v>
      </c>
      <c r="G2549" s="2690">
        <v>75</v>
      </c>
      <c r="H2549" s="1463"/>
    </row>
    <row r="2550" spans="1:11" ht="17.25" hidden="1" customHeight="1" x14ac:dyDescent="0.25">
      <c r="B2550" s="441"/>
      <c r="C2550" s="2494" t="s">
        <v>1733</v>
      </c>
      <c r="D2550" s="3704">
        <v>70000000</v>
      </c>
      <c r="E2550" s="2685">
        <v>70000000</v>
      </c>
      <c r="F2550" s="4066">
        <f t="shared" si="212"/>
        <v>100</v>
      </c>
      <c r="G2550" s="2690">
        <v>100</v>
      </c>
      <c r="H2550" s="1463"/>
    </row>
    <row r="2551" spans="1:11" s="196" customFormat="1" ht="17.25" hidden="1" customHeight="1" x14ac:dyDescent="0.25">
      <c r="A2551" s="12"/>
      <c r="B2551" s="442"/>
      <c r="C2551" s="2494" t="s">
        <v>1734</v>
      </c>
      <c r="D2551" s="3704">
        <v>70000000</v>
      </c>
      <c r="E2551" s="2685">
        <v>70000000</v>
      </c>
      <c r="F2551" s="4066">
        <f t="shared" si="212"/>
        <v>100</v>
      </c>
      <c r="G2551" s="2690">
        <v>100</v>
      </c>
      <c r="H2551" s="3715"/>
      <c r="J2551" s="1212"/>
      <c r="K2551" s="1212"/>
    </row>
    <row r="2552" spans="1:11" ht="17.25" hidden="1" customHeight="1" x14ac:dyDescent="0.25">
      <c r="B2552" s="441"/>
      <c r="C2552" s="2489" t="s">
        <v>1735</v>
      </c>
      <c r="D2552" s="4066">
        <v>250000000</v>
      </c>
      <c r="E2552" s="4068">
        <v>250000000</v>
      </c>
      <c r="F2552" s="4066">
        <f t="shared" si="212"/>
        <v>100</v>
      </c>
      <c r="G2552" s="2690">
        <v>100</v>
      </c>
      <c r="H2552" s="1463"/>
    </row>
    <row r="2553" spans="1:11" ht="17.25" hidden="1" customHeight="1" x14ac:dyDescent="0.25">
      <c r="B2553" s="441"/>
      <c r="C2553" s="2489" t="s">
        <v>1736</v>
      </c>
      <c r="D2553" s="4066">
        <v>100000000</v>
      </c>
      <c r="E2553" s="4068">
        <v>100000000</v>
      </c>
      <c r="F2553" s="4066">
        <f t="shared" si="212"/>
        <v>100</v>
      </c>
      <c r="G2553" s="2685">
        <v>100</v>
      </c>
      <c r="H2553" s="1463"/>
    </row>
    <row r="2554" spans="1:11" ht="17.25" hidden="1" customHeight="1" x14ac:dyDescent="0.25">
      <c r="B2554" s="441"/>
      <c r="C2554" s="2489" t="s">
        <v>1737</v>
      </c>
      <c r="D2554" s="4066">
        <v>50000000</v>
      </c>
      <c r="E2554" s="4068">
        <v>50000000</v>
      </c>
      <c r="F2554" s="4066">
        <f t="shared" si="212"/>
        <v>100</v>
      </c>
      <c r="G2554" s="2685">
        <v>100</v>
      </c>
      <c r="H2554" s="1463"/>
    </row>
    <row r="2555" spans="1:11" ht="17.25" hidden="1" customHeight="1" x14ac:dyDescent="0.25">
      <c r="B2555" s="441"/>
      <c r="C2555" s="2494" t="s">
        <v>1738</v>
      </c>
      <c r="D2555" s="3704">
        <v>70000000</v>
      </c>
      <c r="E2555" s="2685">
        <v>70000000</v>
      </c>
      <c r="F2555" s="4066">
        <f t="shared" si="212"/>
        <v>100</v>
      </c>
      <c r="G2555" s="2690">
        <v>100</v>
      </c>
      <c r="H2555" s="1463"/>
    </row>
    <row r="2556" spans="1:11" s="196" customFormat="1" ht="17.25" hidden="1" customHeight="1" x14ac:dyDescent="0.25">
      <c r="A2556" s="12"/>
      <c r="B2556" s="442"/>
      <c r="C2556" s="2494" t="s">
        <v>1739</v>
      </c>
      <c r="D2556" s="3704">
        <v>200000000</v>
      </c>
      <c r="E2556" s="2685">
        <v>200000000</v>
      </c>
      <c r="F2556" s="4066">
        <f t="shared" si="212"/>
        <v>100</v>
      </c>
      <c r="G2556" s="2685">
        <v>100</v>
      </c>
      <c r="H2556" s="3715"/>
      <c r="J2556" s="1212"/>
      <c r="K2556" s="1212"/>
    </row>
    <row r="2557" spans="1:11" ht="17.25" hidden="1" customHeight="1" x14ac:dyDescent="0.25">
      <c r="B2557" s="441"/>
      <c r="C2557" s="2489" t="s">
        <v>1740</v>
      </c>
      <c r="D2557" s="4066">
        <v>70000000</v>
      </c>
      <c r="E2557" s="2690">
        <v>70000000</v>
      </c>
      <c r="F2557" s="4066">
        <f t="shared" si="212"/>
        <v>100</v>
      </c>
      <c r="G2557" s="2685">
        <v>100</v>
      </c>
      <c r="H2557" s="1463"/>
    </row>
    <row r="2558" spans="1:11" ht="17.25" hidden="1" customHeight="1" x14ac:dyDescent="0.25">
      <c r="B2558" s="441"/>
      <c r="C2558" s="2494" t="s">
        <v>1741</v>
      </c>
      <c r="D2558" s="3704">
        <v>100000000</v>
      </c>
      <c r="E2558" s="2685">
        <v>100000000</v>
      </c>
      <c r="F2558" s="4066">
        <f t="shared" si="212"/>
        <v>100</v>
      </c>
      <c r="G2558" s="2690">
        <v>100</v>
      </c>
      <c r="H2558" s="1463"/>
    </row>
    <row r="2559" spans="1:11" s="196" customFormat="1" ht="17.25" hidden="1" customHeight="1" x14ac:dyDescent="0.25">
      <c r="A2559" s="12"/>
      <c r="B2559" s="442"/>
      <c r="C2559" s="2494" t="s">
        <v>1742</v>
      </c>
      <c r="D2559" s="3704">
        <v>355000000</v>
      </c>
      <c r="E2559" s="2685">
        <v>355000000</v>
      </c>
      <c r="F2559" s="4066">
        <f t="shared" si="212"/>
        <v>100</v>
      </c>
      <c r="G2559" s="2685">
        <v>100</v>
      </c>
      <c r="H2559" s="3715"/>
      <c r="J2559" s="1212"/>
      <c r="K2559" s="1212"/>
    </row>
    <row r="2560" spans="1:11" ht="17.25" hidden="1" customHeight="1" x14ac:dyDescent="0.25">
      <c r="B2560" s="441"/>
      <c r="C2560" s="2489" t="s">
        <v>1743</v>
      </c>
      <c r="D2560" s="4066">
        <v>70000000</v>
      </c>
      <c r="E2560" s="2690">
        <v>70000000</v>
      </c>
      <c r="F2560" s="4066">
        <f t="shared" si="212"/>
        <v>100</v>
      </c>
      <c r="G2560" s="2685">
        <v>100</v>
      </c>
      <c r="H2560" s="1463"/>
    </row>
    <row r="2561" spans="1:11" ht="17.25" hidden="1" customHeight="1" x14ac:dyDescent="0.25">
      <c r="B2561" s="441"/>
      <c r="C2561" s="2489" t="s">
        <v>1744</v>
      </c>
      <c r="D2561" s="4066">
        <v>70000000</v>
      </c>
      <c r="E2561" s="2690">
        <v>70000000</v>
      </c>
      <c r="F2561" s="4066">
        <f t="shared" si="212"/>
        <v>100</v>
      </c>
      <c r="G2561" s="2685">
        <v>100</v>
      </c>
      <c r="H2561" s="1463"/>
    </row>
    <row r="2562" spans="1:11" ht="17.25" hidden="1" customHeight="1" x14ac:dyDescent="0.25">
      <c r="B2562" s="441"/>
      <c r="C2562" s="2494" t="s">
        <v>1745</v>
      </c>
      <c r="D2562" s="3704">
        <v>70000000</v>
      </c>
      <c r="E2562" s="2685">
        <v>70000000</v>
      </c>
      <c r="F2562" s="4066">
        <f t="shared" si="212"/>
        <v>100</v>
      </c>
      <c r="G2562" s="2690">
        <v>100</v>
      </c>
      <c r="H2562" s="1463"/>
    </row>
    <row r="2563" spans="1:11" ht="17.25" hidden="1" customHeight="1" x14ac:dyDescent="0.25">
      <c r="B2563" s="441"/>
      <c r="C2563" s="2491"/>
      <c r="D2563" s="4159"/>
      <c r="E2563" s="2679"/>
      <c r="F2563" s="4066"/>
      <c r="G2563" s="2821"/>
      <c r="H2563" s="1463"/>
    </row>
    <row r="2564" spans="1:11" s="32" customFormat="1" ht="15.75" customHeight="1" x14ac:dyDescent="0.25">
      <c r="A2564" s="1"/>
      <c r="B2564" s="441"/>
      <c r="C2564" s="2490" t="s">
        <v>1746</v>
      </c>
      <c r="D2564" s="4065">
        <f>SUM(D2565:D2568)</f>
        <v>650000000</v>
      </c>
      <c r="E2564" s="2695">
        <f>SUM(E2565:E2568)</f>
        <v>599700000</v>
      </c>
      <c r="F2564" s="4065">
        <f t="shared" si="212"/>
        <v>92.261538461538464</v>
      </c>
      <c r="G2564" s="2679">
        <f>SUM(G2565:G2568)/4</f>
        <v>75</v>
      </c>
      <c r="H2564" s="1462"/>
      <c r="J2564" s="1208"/>
      <c r="K2564" s="1208"/>
    </row>
    <row r="2565" spans="1:11" ht="17.25" hidden="1" customHeight="1" x14ac:dyDescent="0.25">
      <c r="B2565" s="441"/>
      <c r="C2565" s="2489" t="s">
        <v>1747</v>
      </c>
      <c r="D2565" s="4066">
        <v>500000000</v>
      </c>
      <c r="E2565" s="4068">
        <v>499700000</v>
      </c>
      <c r="F2565" s="4066">
        <f t="shared" si="212"/>
        <v>99.94</v>
      </c>
      <c r="G2565" s="2685">
        <v>100</v>
      </c>
      <c r="H2565" s="1463"/>
    </row>
    <row r="2566" spans="1:11" ht="17.25" hidden="1" customHeight="1" x14ac:dyDescent="0.25">
      <c r="B2566" s="444"/>
      <c r="C2566" s="2494" t="s">
        <v>1748</v>
      </c>
      <c r="D2566" s="3704">
        <v>50000000</v>
      </c>
      <c r="E2566" s="2685">
        <v>0</v>
      </c>
      <c r="F2566" s="2685">
        <v>0</v>
      </c>
      <c r="G2566" s="2685">
        <v>0</v>
      </c>
      <c r="H2566" s="1463"/>
    </row>
    <row r="2567" spans="1:11" s="196" customFormat="1" ht="17.25" hidden="1" customHeight="1" x14ac:dyDescent="0.25">
      <c r="A2567" s="12"/>
      <c r="B2567" s="442"/>
      <c r="C2567" s="2494" t="s">
        <v>1749</v>
      </c>
      <c r="D2567" s="3704">
        <v>50000000</v>
      </c>
      <c r="E2567" s="2685">
        <v>50000000</v>
      </c>
      <c r="F2567" s="4066">
        <f t="shared" si="212"/>
        <v>100</v>
      </c>
      <c r="G2567" s="2690">
        <v>100</v>
      </c>
      <c r="H2567" s="3715"/>
      <c r="J2567" s="1212"/>
      <c r="K2567" s="1212"/>
    </row>
    <row r="2568" spans="1:11" ht="17.25" hidden="1" customHeight="1" x14ac:dyDescent="0.25">
      <c r="B2568" s="441"/>
      <c r="C2568" s="2489" t="s">
        <v>1750</v>
      </c>
      <c r="D2568" s="4066">
        <v>50000000</v>
      </c>
      <c r="E2568" s="4068">
        <v>50000000</v>
      </c>
      <c r="F2568" s="4066">
        <f t="shared" si="212"/>
        <v>100</v>
      </c>
      <c r="G2568" s="2690">
        <v>100</v>
      </c>
      <c r="H2568" s="1463"/>
    </row>
    <row r="2569" spans="1:11" ht="17.25" hidden="1" customHeight="1" x14ac:dyDescent="0.25">
      <c r="B2569" s="441"/>
      <c r="C2569" s="2489"/>
      <c r="D2569" s="4066"/>
      <c r="E2569" s="4068"/>
      <c r="F2569" s="4066"/>
      <c r="G2569" s="2690"/>
      <c r="H2569" s="1463"/>
    </row>
    <row r="2570" spans="1:11" s="32" customFormat="1" ht="18" customHeight="1" x14ac:dyDescent="0.25">
      <c r="A2570" s="1"/>
      <c r="B2570" s="441"/>
      <c r="C2570" s="2490" t="s">
        <v>1751</v>
      </c>
      <c r="D2570" s="4065">
        <f>SUM(D2571:D2573)</f>
        <v>370000000</v>
      </c>
      <c r="E2570" s="2695">
        <f>SUM(E2571:E2573)</f>
        <v>370000000</v>
      </c>
      <c r="F2570" s="4065">
        <f t="shared" si="212"/>
        <v>100</v>
      </c>
      <c r="G2570" s="2695">
        <f>SUM(G2571:G2573)/3</f>
        <v>100</v>
      </c>
      <c r="H2570" s="1462"/>
      <c r="J2570" s="1208"/>
      <c r="K2570" s="1208"/>
    </row>
    <row r="2571" spans="1:11" ht="17.25" hidden="1" customHeight="1" x14ac:dyDescent="0.25">
      <c r="B2571" s="441"/>
      <c r="C2571" s="2489" t="s">
        <v>1752</v>
      </c>
      <c r="D2571" s="4066">
        <v>250000000</v>
      </c>
      <c r="E2571" s="2685">
        <v>250000000</v>
      </c>
      <c r="F2571" s="4066">
        <f t="shared" si="212"/>
        <v>100</v>
      </c>
      <c r="G2571" s="2690">
        <v>100</v>
      </c>
      <c r="H2571" s="1463"/>
    </row>
    <row r="2572" spans="1:11" s="196" customFormat="1" ht="17.25" hidden="1" customHeight="1" x14ac:dyDescent="0.25">
      <c r="A2572" s="12"/>
      <c r="B2572" s="442"/>
      <c r="C2572" s="2494" t="s">
        <v>1753</v>
      </c>
      <c r="D2572" s="3704">
        <v>50000000</v>
      </c>
      <c r="E2572" s="2685">
        <v>50000000</v>
      </c>
      <c r="F2572" s="4066">
        <f t="shared" si="212"/>
        <v>100</v>
      </c>
      <c r="G2572" s="2690">
        <v>100</v>
      </c>
      <c r="H2572" s="3715"/>
      <c r="J2572" s="1212"/>
      <c r="K2572" s="1212"/>
    </row>
    <row r="2573" spans="1:11" ht="17.25" hidden="1" customHeight="1" x14ac:dyDescent="0.25">
      <c r="B2573" s="441"/>
      <c r="C2573" s="2489" t="s">
        <v>1754</v>
      </c>
      <c r="D2573" s="4066">
        <v>70000000</v>
      </c>
      <c r="E2573" s="4068">
        <v>70000000</v>
      </c>
      <c r="F2573" s="4066">
        <f t="shared" si="212"/>
        <v>100</v>
      </c>
      <c r="G2573" s="2685">
        <v>100</v>
      </c>
      <c r="H2573" s="1463"/>
    </row>
    <row r="2574" spans="1:11" ht="17.25" hidden="1" customHeight="1" x14ac:dyDescent="0.25">
      <c r="B2574" s="441"/>
      <c r="C2574" s="2570"/>
      <c r="D2574" s="4301"/>
      <c r="E2574" s="2708"/>
      <c r="F2574" s="4066"/>
      <c r="G2574" s="2708"/>
      <c r="H2574" s="1463"/>
    </row>
    <row r="2575" spans="1:11" ht="17.25" customHeight="1" x14ac:dyDescent="0.25">
      <c r="B2575" s="441"/>
      <c r="C2575" s="2571" t="s">
        <v>1755</v>
      </c>
      <c r="D2575" s="4065">
        <f>SUM(D2576:D2580)</f>
        <v>1080000000</v>
      </c>
      <c r="E2575" s="2695">
        <f>SUM(E2576:E2580)</f>
        <v>1080000000</v>
      </c>
      <c r="F2575" s="4065">
        <f t="shared" si="212"/>
        <v>100</v>
      </c>
      <c r="G2575" s="2934">
        <f>SUM(G2576:G2580)/5</f>
        <v>100</v>
      </c>
      <c r="H2575" s="1463"/>
    </row>
    <row r="2576" spans="1:11" ht="17.25" hidden="1" customHeight="1" x14ac:dyDescent="0.25">
      <c r="B2576" s="441"/>
      <c r="C2576" s="2489" t="s">
        <v>1756</v>
      </c>
      <c r="D2576" s="4071">
        <v>140000000</v>
      </c>
      <c r="E2576" s="2710">
        <v>140000000</v>
      </c>
      <c r="F2576" s="4066">
        <f t="shared" si="212"/>
        <v>100</v>
      </c>
      <c r="G2576" s="2708">
        <v>100</v>
      </c>
      <c r="H2576" s="1463"/>
    </row>
    <row r="2577" spans="1:11" ht="17.25" hidden="1" customHeight="1" x14ac:dyDescent="0.25">
      <c r="B2577" s="441"/>
      <c r="C2577" s="2570" t="s">
        <v>1757</v>
      </c>
      <c r="D2577" s="4066">
        <v>120000000</v>
      </c>
      <c r="E2577" s="2690">
        <v>120000000</v>
      </c>
      <c r="F2577" s="4066">
        <f t="shared" si="212"/>
        <v>100</v>
      </c>
      <c r="G2577" s="2708">
        <v>100</v>
      </c>
      <c r="H2577" s="1463"/>
    </row>
    <row r="2578" spans="1:11" ht="17.25" hidden="1" customHeight="1" x14ac:dyDescent="0.25">
      <c r="B2578" s="441"/>
      <c r="C2578" s="2570" t="s">
        <v>1758</v>
      </c>
      <c r="D2578" s="4066">
        <v>500000000</v>
      </c>
      <c r="E2578" s="2690">
        <v>500000000</v>
      </c>
      <c r="F2578" s="4066">
        <f t="shared" si="212"/>
        <v>100</v>
      </c>
      <c r="G2578" s="2685">
        <v>100</v>
      </c>
      <c r="H2578" s="1463"/>
    </row>
    <row r="2579" spans="1:11" ht="17.25" hidden="1" customHeight="1" x14ac:dyDescent="0.25">
      <c r="B2579" s="441"/>
      <c r="C2579" s="2570" t="s">
        <v>1759</v>
      </c>
      <c r="D2579" s="4066">
        <v>120000000</v>
      </c>
      <c r="E2579" s="2690">
        <v>120000000</v>
      </c>
      <c r="F2579" s="4066">
        <f t="shared" si="212"/>
        <v>100</v>
      </c>
      <c r="G2579" s="2685">
        <v>100</v>
      </c>
      <c r="H2579" s="1463"/>
    </row>
    <row r="2580" spans="1:11" ht="17.25" hidden="1" customHeight="1" x14ac:dyDescent="0.25">
      <c r="B2580" s="441"/>
      <c r="C2580" s="2570" t="s">
        <v>1760</v>
      </c>
      <c r="D2580" s="4066">
        <v>200000000</v>
      </c>
      <c r="E2580" s="2690">
        <v>200000000</v>
      </c>
      <c r="F2580" s="4066">
        <f t="shared" si="212"/>
        <v>100</v>
      </c>
      <c r="G2580" s="2685">
        <v>100</v>
      </c>
      <c r="H2580" s="1463"/>
    </row>
    <row r="2581" spans="1:11" ht="17.25" hidden="1" customHeight="1" x14ac:dyDescent="0.25">
      <c r="B2581" s="441"/>
      <c r="C2581" s="2570"/>
      <c r="D2581" s="4066"/>
      <c r="E2581" s="2690"/>
      <c r="F2581" s="2690"/>
      <c r="G2581" s="2685"/>
      <c r="H2581" s="1463"/>
    </row>
    <row r="2582" spans="1:11" s="32" customFormat="1" ht="18" customHeight="1" x14ac:dyDescent="0.25">
      <c r="A2582" s="1"/>
      <c r="B2582" s="441"/>
      <c r="C2582" s="2571" t="s">
        <v>1761</v>
      </c>
      <c r="D2582" s="4065">
        <v>790000000</v>
      </c>
      <c r="E2582" s="2695">
        <f>SUM(E2583:E2587)</f>
        <v>790000000</v>
      </c>
      <c r="F2582" s="4065">
        <f t="shared" ref="F2582:F2611" si="213">E2582/D2582*100</f>
        <v>100</v>
      </c>
      <c r="G2582" s="2679">
        <v>100</v>
      </c>
      <c r="H2582" s="1462"/>
      <c r="J2582" s="1208"/>
      <c r="K2582" s="1208"/>
    </row>
    <row r="2583" spans="1:11" ht="17.25" hidden="1" customHeight="1" x14ac:dyDescent="0.25">
      <c r="B2583" s="441"/>
      <c r="C2583" s="2570" t="s">
        <v>1762</v>
      </c>
      <c r="D2583" s="4066">
        <v>100000000</v>
      </c>
      <c r="E2583" s="2690">
        <v>100000000</v>
      </c>
      <c r="F2583" s="4066">
        <f t="shared" si="213"/>
        <v>100</v>
      </c>
      <c r="G2583" s="2685">
        <v>100</v>
      </c>
      <c r="H2583" s="1463"/>
    </row>
    <row r="2584" spans="1:11" ht="17.25" hidden="1" customHeight="1" x14ac:dyDescent="0.25">
      <c r="B2584" s="441"/>
      <c r="C2584" s="2570" t="s">
        <v>1763</v>
      </c>
      <c r="D2584" s="4066">
        <v>198000000</v>
      </c>
      <c r="E2584" s="2690">
        <v>198000000</v>
      </c>
      <c r="F2584" s="4066">
        <f t="shared" si="213"/>
        <v>100</v>
      </c>
      <c r="G2584" s="2685">
        <v>100</v>
      </c>
      <c r="H2584" s="1463"/>
    </row>
    <row r="2585" spans="1:11" ht="17.25" hidden="1" customHeight="1" x14ac:dyDescent="0.25">
      <c r="B2585" s="441"/>
      <c r="C2585" s="2570" t="s">
        <v>1764</v>
      </c>
      <c r="D2585" s="4066">
        <v>150000000</v>
      </c>
      <c r="E2585" s="2690">
        <v>150000000</v>
      </c>
      <c r="F2585" s="4066">
        <f t="shared" si="213"/>
        <v>100</v>
      </c>
      <c r="G2585" s="2685">
        <v>100</v>
      </c>
      <c r="H2585" s="1463"/>
    </row>
    <row r="2586" spans="1:11" ht="17.25" hidden="1" customHeight="1" x14ac:dyDescent="0.25">
      <c r="B2586" s="441"/>
      <c r="C2586" s="2570" t="s">
        <v>1765</v>
      </c>
      <c r="D2586" s="4066">
        <v>152000000</v>
      </c>
      <c r="E2586" s="2690">
        <v>152000000</v>
      </c>
      <c r="F2586" s="4066">
        <f t="shared" si="213"/>
        <v>100</v>
      </c>
      <c r="G2586" s="2685">
        <v>100</v>
      </c>
      <c r="H2586" s="1463"/>
    </row>
    <row r="2587" spans="1:11" ht="17.25" hidden="1" customHeight="1" x14ac:dyDescent="0.25">
      <c r="B2587" s="441"/>
      <c r="C2587" s="2570" t="s">
        <v>1766</v>
      </c>
      <c r="D2587" s="4066">
        <v>190000000</v>
      </c>
      <c r="E2587" s="2690">
        <v>190000000</v>
      </c>
      <c r="F2587" s="4066">
        <f t="shared" si="213"/>
        <v>100</v>
      </c>
      <c r="G2587" s="2685">
        <v>100</v>
      </c>
      <c r="H2587" s="1463"/>
    </row>
    <row r="2588" spans="1:11" ht="17.25" hidden="1" customHeight="1" x14ac:dyDescent="0.25">
      <c r="B2588" s="441"/>
      <c r="C2588" s="2570"/>
      <c r="D2588" s="4066"/>
      <c r="E2588" s="2690"/>
      <c r="F2588" s="4066"/>
      <c r="G2588" s="2685"/>
      <c r="H2588" s="1463"/>
    </row>
    <row r="2589" spans="1:11" s="32" customFormat="1" ht="30.75" customHeight="1" x14ac:dyDescent="0.25">
      <c r="A2589" s="1"/>
      <c r="B2589" s="441"/>
      <c r="C2589" s="2571" t="s">
        <v>1767</v>
      </c>
      <c r="D2589" s="4065">
        <f>SUM(D2590:D2598)</f>
        <v>3496000000</v>
      </c>
      <c r="E2589" s="2695">
        <f>SUM(E2590:E2598)</f>
        <v>3492186500</v>
      </c>
      <c r="F2589" s="4065">
        <f t="shared" si="213"/>
        <v>99.890918192219686</v>
      </c>
      <c r="G2589" s="2679">
        <f>SUM(G2590:G2598)/9</f>
        <v>100</v>
      </c>
      <c r="H2589" s="1462"/>
      <c r="J2589" s="1208"/>
      <c r="K2589" s="1208"/>
    </row>
    <row r="2590" spans="1:11" ht="17.25" hidden="1" customHeight="1" x14ac:dyDescent="0.25">
      <c r="B2590" s="441"/>
      <c r="C2590" s="2570" t="s">
        <v>1768</v>
      </c>
      <c r="D2590" s="4066">
        <v>100000000</v>
      </c>
      <c r="E2590" s="2690">
        <v>99900000</v>
      </c>
      <c r="F2590" s="4066">
        <f t="shared" si="213"/>
        <v>99.9</v>
      </c>
      <c r="G2590" s="2685">
        <v>100</v>
      </c>
      <c r="H2590" s="1463"/>
    </row>
    <row r="2591" spans="1:11" ht="17.25" hidden="1" customHeight="1" x14ac:dyDescent="0.25">
      <c r="B2591" s="441"/>
      <c r="C2591" s="2570" t="s">
        <v>1769</v>
      </c>
      <c r="D2591" s="4066">
        <v>1271566000</v>
      </c>
      <c r="E2591" s="2690">
        <v>1270000000</v>
      </c>
      <c r="F2591" s="4066">
        <f t="shared" si="213"/>
        <v>99.876844772508861</v>
      </c>
      <c r="G2591" s="2685">
        <v>100</v>
      </c>
      <c r="H2591" s="1463"/>
    </row>
    <row r="2592" spans="1:11" ht="17.25" hidden="1" customHeight="1" x14ac:dyDescent="0.25">
      <c r="B2592" s="441"/>
      <c r="C2592" s="2570" t="s">
        <v>1770</v>
      </c>
      <c r="D2592" s="4066">
        <v>950000000</v>
      </c>
      <c r="E2592" s="2690">
        <v>949670000</v>
      </c>
      <c r="F2592" s="4066">
        <f t="shared" si="213"/>
        <v>99.965263157894739</v>
      </c>
      <c r="G2592" s="2685">
        <v>100</v>
      </c>
      <c r="H2592" s="1463"/>
    </row>
    <row r="2593" spans="1:11" ht="17.25" hidden="1" customHeight="1" x14ac:dyDescent="0.25">
      <c r="B2593" s="441"/>
      <c r="C2593" s="2570" t="s">
        <v>1771</v>
      </c>
      <c r="D2593" s="4066">
        <v>350000000</v>
      </c>
      <c r="E2593" s="2690">
        <v>349500000</v>
      </c>
      <c r="F2593" s="4066">
        <f t="shared" si="213"/>
        <v>99.857142857142861</v>
      </c>
      <c r="G2593" s="2685">
        <v>100</v>
      </c>
      <c r="H2593" s="1463"/>
    </row>
    <row r="2594" spans="1:11" ht="17.25" hidden="1" customHeight="1" x14ac:dyDescent="0.25">
      <c r="B2594" s="441"/>
      <c r="C2594" s="2570" t="s">
        <v>1772</v>
      </c>
      <c r="D2594" s="4066">
        <v>475000000</v>
      </c>
      <c r="E2594" s="2690">
        <v>474378500</v>
      </c>
      <c r="F2594" s="4066">
        <f t="shared" si="213"/>
        <v>99.869157894736844</v>
      </c>
      <c r="G2594" s="2685">
        <v>100</v>
      </c>
      <c r="H2594" s="1463"/>
    </row>
    <row r="2595" spans="1:11" ht="17.25" hidden="1" customHeight="1" x14ac:dyDescent="0.25">
      <c r="B2595" s="441"/>
      <c r="C2595" s="2570" t="s">
        <v>1773</v>
      </c>
      <c r="D2595" s="4066">
        <v>200000000</v>
      </c>
      <c r="E2595" s="2690">
        <v>199500000</v>
      </c>
      <c r="F2595" s="4066">
        <f t="shared" si="213"/>
        <v>99.75</v>
      </c>
      <c r="G2595" s="2685">
        <v>100</v>
      </c>
      <c r="H2595" s="1463"/>
    </row>
    <row r="2596" spans="1:11" ht="17.25" hidden="1" customHeight="1" x14ac:dyDescent="0.25">
      <c r="B2596" s="441"/>
      <c r="C2596" s="2570" t="s">
        <v>1774</v>
      </c>
      <c r="D2596" s="4066">
        <v>37365250</v>
      </c>
      <c r="E2596" s="2685">
        <v>37262000</v>
      </c>
      <c r="F2596" s="4066">
        <f t="shared" si="213"/>
        <v>99.7236737342852</v>
      </c>
      <c r="G2596" s="2685">
        <v>100</v>
      </c>
      <c r="H2596" s="1463"/>
    </row>
    <row r="2597" spans="1:11" ht="17.25" hidden="1" customHeight="1" x14ac:dyDescent="0.25">
      <c r="B2597" s="441"/>
      <c r="C2597" s="2570" t="s">
        <v>1775</v>
      </c>
      <c r="D2597" s="4066">
        <v>52298750</v>
      </c>
      <c r="E2597" s="2685">
        <v>52206000</v>
      </c>
      <c r="F2597" s="4066">
        <f t="shared" si="213"/>
        <v>99.822653505102892</v>
      </c>
      <c r="G2597" s="2685">
        <v>100</v>
      </c>
      <c r="H2597" s="1463"/>
    </row>
    <row r="2598" spans="1:11" ht="17.25" hidden="1" customHeight="1" x14ac:dyDescent="0.25">
      <c r="B2598" s="441"/>
      <c r="C2598" s="2570" t="s">
        <v>1776</v>
      </c>
      <c r="D2598" s="4066">
        <v>59770000</v>
      </c>
      <c r="E2598" s="2690">
        <v>59770000</v>
      </c>
      <c r="F2598" s="4066">
        <f t="shared" si="213"/>
        <v>100</v>
      </c>
      <c r="G2598" s="2685">
        <v>100</v>
      </c>
      <c r="H2598" s="1463"/>
    </row>
    <row r="2599" spans="1:11" ht="17.25" hidden="1" customHeight="1" x14ac:dyDescent="0.25">
      <c r="B2599" s="441"/>
      <c r="C2599" s="2570"/>
      <c r="D2599" s="4066"/>
      <c r="E2599" s="2690"/>
      <c r="F2599" s="4066"/>
      <c r="G2599" s="2685"/>
      <c r="H2599" s="1463"/>
    </row>
    <row r="2600" spans="1:11" s="32" customFormat="1" ht="17.25" customHeight="1" x14ac:dyDescent="0.25">
      <c r="A2600" s="1"/>
      <c r="B2600" s="441"/>
      <c r="C2600" s="2571" t="s">
        <v>1777</v>
      </c>
      <c r="D2600" s="4065">
        <f>SUM(D2601:D2611)</f>
        <v>1750000000</v>
      </c>
      <c r="E2600" s="2695">
        <f>SUM(E2601:E2611)</f>
        <v>1749920000</v>
      </c>
      <c r="F2600" s="4065">
        <f t="shared" si="213"/>
        <v>99.995428571428562</v>
      </c>
      <c r="G2600" s="2679">
        <f>SUM(G2601:G2611)/11</f>
        <v>100</v>
      </c>
      <c r="H2600" s="1462"/>
      <c r="J2600" s="1208"/>
      <c r="K2600" s="1208"/>
    </row>
    <row r="2601" spans="1:11" ht="17.25" hidden="1" customHeight="1" x14ac:dyDescent="0.25">
      <c r="B2601" s="441"/>
      <c r="C2601" s="2495" t="s">
        <v>1778</v>
      </c>
      <c r="D2601" s="3704">
        <v>200000000</v>
      </c>
      <c r="E2601" s="2810">
        <v>200000000</v>
      </c>
      <c r="F2601" s="4066">
        <f t="shared" si="213"/>
        <v>100</v>
      </c>
      <c r="G2601" s="2690">
        <v>100</v>
      </c>
      <c r="H2601" s="1463"/>
    </row>
    <row r="2602" spans="1:11" ht="17.25" hidden="1" customHeight="1" x14ac:dyDescent="0.25">
      <c r="B2602" s="441"/>
      <c r="C2602" s="2494" t="s">
        <v>1779</v>
      </c>
      <c r="D2602" s="3704">
        <v>200000000</v>
      </c>
      <c r="E2602" s="2810">
        <v>200000000</v>
      </c>
      <c r="F2602" s="4066">
        <f t="shared" si="213"/>
        <v>100</v>
      </c>
      <c r="G2602" s="2690">
        <v>100</v>
      </c>
      <c r="H2602" s="1463"/>
    </row>
    <row r="2603" spans="1:11" ht="17.25" hidden="1" customHeight="1" x14ac:dyDescent="0.25">
      <c r="B2603" s="441"/>
      <c r="C2603" s="2494" t="s">
        <v>1780</v>
      </c>
      <c r="D2603" s="3704">
        <v>200000000</v>
      </c>
      <c r="E2603" s="2810">
        <v>200000000</v>
      </c>
      <c r="F2603" s="4066">
        <f t="shared" si="213"/>
        <v>100</v>
      </c>
      <c r="G2603" s="2690">
        <v>100</v>
      </c>
      <c r="H2603" s="1463"/>
    </row>
    <row r="2604" spans="1:11" ht="17.25" hidden="1" customHeight="1" x14ac:dyDescent="0.25">
      <c r="B2604" s="441"/>
      <c r="C2604" s="2494" t="s">
        <v>1781</v>
      </c>
      <c r="D2604" s="3704">
        <v>200000000</v>
      </c>
      <c r="E2604" s="2810">
        <v>200000000</v>
      </c>
      <c r="F2604" s="4066">
        <f t="shared" si="213"/>
        <v>100</v>
      </c>
      <c r="G2604" s="2690">
        <v>100</v>
      </c>
      <c r="H2604" s="1463"/>
    </row>
    <row r="2605" spans="1:11" ht="17.25" hidden="1" customHeight="1" x14ac:dyDescent="0.25">
      <c r="B2605" s="441"/>
      <c r="C2605" s="2494" t="s">
        <v>1782</v>
      </c>
      <c r="D2605" s="3704">
        <v>250000000</v>
      </c>
      <c r="E2605" s="2810">
        <v>250000000</v>
      </c>
      <c r="F2605" s="4066">
        <f t="shared" si="213"/>
        <v>100</v>
      </c>
      <c r="G2605" s="2690">
        <v>100</v>
      </c>
      <c r="H2605" s="1463"/>
    </row>
    <row r="2606" spans="1:11" ht="17.25" hidden="1" customHeight="1" x14ac:dyDescent="0.25">
      <c r="B2606" s="441"/>
      <c r="C2606" s="2494" t="s">
        <v>1783</v>
      </c>
      <c r="D2606" s="3704">
        <v>100000000</v>
      </c>
      <c r="E2606" s="2810">
        <v>100000000</v>
      </c>
      <c r="F2606" s="4066">
        <f t="shared" si="213"/>
        <v>100</v>
      </c>
      <c r="G2606" s="2690">
        <v>100</v>
      </c>
      <c r="H2606" s="1463"/>
    </row>
    <row r="2607" spans="1:11" ht="17.25" hidden="1" customHeight="1" x14ac:dyDescent="0.25">
      <c r="B2607" s="441"/>
      <c r="C2607" s="2494" t="s">
        <v>1784</v>
      </c>
      <c r="D2607" s="3704">
        <v>100000000</v>
      </c>
      <c r="E2607" s="2810">
        <v>100000000</v>
      </c>
      <c r="F2607" s="4066">
        <f t="shared" si="213"/>
        <v>100</v>
      </c>
      <c r="G2607" s="2690">
        <v>100</v>
      </c>
      <c r="H2607" s="1463"/>
    </row>
    <row r="2608" spans="1:11" ht="17.25" hidden="1" customHeight="1" x14ac:dyDescent="0.25">
      <c r="B2608" s="441"/>
      <c r="C2608" s="2494" t="s">
        <v>1785</v>
      </c>
      <c r="D2608" s="3704">
        <v>100000000</v>
      </c>
      <c r="E2608" s="2810">
        <v>100000000</v>
      </c>
      <c r="F2608" s="4066">
        <f t="shared" si="213"/>
        <v>100</v>
      </c>
      <c r="G2608" s="2690">
        <v>100</v>
      </c>
      <c r="H2608" s="1463"/>
    </row>
    <row r="2609" spans="2:8" ht="17.25" hidden="1" customHeight="1" x14ac:dyDescent="0.25">
      <c r="B2609" s="441"/>
      <c r="C2609" s="2494" t="s">
        <v>1786</v>
      </c>
      <c r="D2609" s="3704">
        <v>200000000</v>
      </c>
      <c r="E2609" s="2810">
        <v>200000000</v>
      </c>
      <c r="F2609" s="4066">
        <f t="shared" si="213"/>
        <v>100</v>
      </c>
      <c r="G2609" s="2690">
        <v>100</v>
      </c>
      <c r="H2609" s="1463"/>
    </row>
    <row r="2610" spans="2:8" ht="17.25" hidden="1" customHeight="1" x14ac:dyDescent="0.25">
      <c r="B2610" s="444"/>
      <c r="C2610" s="2494" t="s">
        <v>1787</v>
      </c>
      <c r="D2610" s="3704">
        <v>100000000</v>
      </c>
      <c r="E2610" s="2810">
        <v>100000000</v>
      </c>
      <c r="F2610" s="4066">
        <f t="shared" si="213"/>
        <v>100</v>
      </c>
      <c r="G2610" s="2690">
        <v>100</v>
      </c>
      <c r="H2610" s="1463"/>
    </row>
    <row r="2611" spans="2:8" ht="17.25" hidden="1" customHeight="1" x14ac:dyDescent="0.25">
      <c r="B2611" s="441"/>
      <c r="C2611" s="2494" t="s">
        <v>1788</v>
      </c>
      <c r="D2611" s="3704">
        <v>100000000</v>
      </c>
      <c r="E2611" s="2810">
        <v>99920000</v>
      </c>
      <c r="F2611" s="4066">
        <f t="shared" si="213"/>
        <v>99.92</v>
      </c>
      <c r="G2611" s="2690">
        <v>100</v>
      </c>
      <c r="H2611" s="1463"/>
    </row>
    <row r="2612" spans="2:8" ht="17.25" hidden="1" customHeight="1" x14ac:dyDescent="0.25">
      <c r="B2612" s="441"/>
      <c r="C2612" s="2506"/>
      <c r="D2612" s="4347"/>
      <c r="E2612" s="2840"/>
      <c r="F2612" s="2840"/>
      <c r="G2612" s="2784"/>
      <c r="H2612" s="1463"/>
    </row>
    <row r="2613" spans="2:8" ht="17.25" customHeight="1" x14ac:dyDescent="0.25">
      <c r="B2613" s="440"/>
      <c r="C2613" s="2497" t="s">
        <v>1789</v>
      </c>
      <c r="D2613" s="4080">
        <f>SUM(D2614+D2618+D2621+D2624+D2627+D2630)</f>
        <v>60005801000</v>
      </c>
      <c r="E2613" s="2786">
        <f>SUM(E2614+E2618+E2621+E2624+E2627+E2630)</f>
        <v>57252748000</v>
      </c>
      <c r="F2613" s="2786">
        <f>E2613/D2613*100</f>
        <v>95.412021914347918</v>
      </c>
      <c r="G2613" s="2672">
        <f>SUM(G2614+G2618+G2621+G2624+G2630)/5</f>
        <v>86.350999999999999</v>
      </c>
      <c r="H2613" s="1463"/>
    </row>
    <row r="2614" spans="2:8" ht="18" customHeight="1" x14ac:dyDescent="0.25">
      <c r="B2614" s="441"/>
      <c r="C2614" s="2569" t="s">
        <v>1790</v>
      </c>
      <c r="D2614" s="4158">
        <f>SUM(D2615:D2616)</f>
        <v>19950000000</v>
      </c>
      <c r="E2614" s="2725">
        <f>SUM(E2615:E2616)</f>
        <v>18837700000</v>
      </c>
      <c r="F2614" s="4065">
        <f t="shared" ref="F2614:F2618" si="214">E2614/D2614*100</f>
        <v>94.424561403508761</v>
      </c>
      <c r="G2614" s="2725">
        <f>SUM(G2615:G2616)/2</f>
        <v>91.754999999999995</v>
      </c>
      <c r="H2614" s="1463"/>
    </row>
    <row r="2615" spans="2:8" ht="17.25" hidden="1" customHeight="1" x14ac:dyDescent="0.25">
      <c r="B2615" s="441"/>
      <c r="C2615" s="2489" t="s">
        <v>1791</v>
      </c>
      <c r="D2615" s="4066">
        <v>15000000000</v>
      </c>
      <c r="E2615" s="2685">
        <v>14703900000</v>
      </c>
      <c r="F2615" s="4066">
        <f t="shared" si="214"/>
        <v>98.025999999999996</v>
      </c>
      <c r="G2615" s="2685">
        <v>100</v>
      </c>
      <c r="H2615" s="1463"/>
    </row>
    <row r="2616" spans="2:8" ht="17.25" hidden="1" customHeight="1" x14ac:dyDescent="0.25">
      <c r="B2616" s="441"/>
      <c r="C2616" s="2489" t="s">
        <v>4072</v>
      </c>
      <c r="D2616" s="3704">
        <v>4950000000</v>
      </c>
      <c r="E2616" s="2685">
        <v>4133800000</v>
      </c>
      <c r="F2616" s="4066">
        <f t="shared" si="214"/>
        <v>83.51111111111112</v>
      </c>
      <c r="G2616" s="2690">
        <v>83.51</v>
      </c>
      <c r="H2616" s="1463"/>
    </row>
    <row r="2617" spans="2:8" ht="17.25" hidden="1" customHeight="1" x14ac:dyDescent="0.25">
      <c r="B2617" s="441"/>
      <c r="C2617" s="2494"/>
      <c r="D2617" s="4159"/>
      <c r="E2617" s="2679"/>
      <c r="F2617" s="2695"/>
      <c r="G2617" s="2695"/>
      <c r="H2617" s="1463"/>
    </row>
    <row r="2618" spans="2:8" ht="15.75" customHeight="1" x14ac:dyDescent="0.25">
      <c r="B2618" s="441"/>
      <c r="C2618" s="2491" t="s">
        <v>1792</v>
      </c>
      <c r="D2618" s="4065">
        <f>D2619</f>
        <v>34800000000</v>
      </c>
      <c r="E2618" s="2695">
        <f>E2619</f>
        <v>34017668000</v>
      </c>
      <c r="F2618" s="4065">
        <f t="shared" si="214"/>
        <v>97.751919540229878</v>
      </c>
      <c r="G2618" s="2695">
        <f>G2619</f>
        <v>100</v>
      </c>
      <c r="H2618" s="1463"/>
    </row>
    <row r="2619" spans="2:8" ht="17.25" hidden="1" customHeight="1" x14ac:dyDescent="0.25">
      <c r="B2619" s="441"/>
      <c r="C2619" s="2489" t="s">
        <v>1793</v>
      </c>
      <c r="D2619" s="3704">
        <v>34800000000</v>
      </c>
      <c r="E2619" s="2685">
        <v>34017668000</v>
      </c>
      <c r="F2619" s="4066">
        <f>E2619/D2619*100</f>
        <v>97.751919540229878</v>
      </c>
      <c r="G2619" s="2690">
        <v>100</v>
      </c>
      <c r="H2619" s="1463"/>
    </row>
    <row r="2620" spans="2:8" ht="17.25" hidden="1" customHeight="1" x14ac:dyDescent="0.25">
      <c r="B2620" s="441"/>
      <c r="C2620" s="2494"/>
      <c r="D2620" s="4159"/>
      <c r="E2620" s="2679"/>
      <c r="F2620" s="4066"/>
      <c r="G2620" s="2695"/>
      <c r="H2620" s="1463"/>
    </row>
    <row r="2621" spans="2:8" ht="15.75" customHeight="1" x14ac:dyDescent="0.25">
      <c r="B2621" s="441"/>
      <c r="C2621" s="2491" t="s">
        <v>1794</v>
      </c>
      <c r="D2621" s="4065">
        <f>D2622</f>
        <v>605801000</v>
      </c>
      <c r="E2621" s="2695">
        <f>E2622</f>
        <v>604700000</v>
      </c>
      <c r="F2621" s="4065">
        <f t="shared" ref="F2621:F2631" si="215">E2621/D2621*100</f>
        <v>99.818257150450393</v>
      </c>
      <c r="G2621" s="2695">
        <f>G2622</f>
        <v>100</v>
      </c>
      <c r="H2621" s="1463"/>
    </row>
    <row r="2622" spans="2:8" ht="17.25" hidden="1" customHeight="1" x14ac:dyDescent="0.25">
      <c r="B2622" s="441"/>
      <c r="C2622" s="2489" t="s">
        <v>1795</v>
      </c>
      <c r="D2622" s="3704">
        <v>605801000</v>
      </c>
      <c r="E2622" s="2810">
        <v>604700000</v>
      </c>
      <c r="F2622" s="4066">
        <f t="shared" si="215"/>
        <v>99.818257150450393</v>
      </c>
      <c r="G2622" s="2690">
        <v>100</v>
      </c>
      <c r="H2622" s="1463"/>
    </row>
    <row r="2623" spans="2:8" ht="17.25" hidden="1" customHeight="1" x14ac:dyDescent="0.25">
      <c r="B2623" s="441"/>
      <c r="C2623" s="2489"/>
      <c r="D2623" s="3704"/>
      <c r="E2623" s="2810"/>
      <c r="F2623" s="4066"/>
      <c r="G2623" s="3035"/>
      <c r="H2623" s="1463"/>
    </row>
    <row r="2624" spans="2:8" ht="21" customHeight="1" x14ac:dyDescent="0.25">
      <c r="B2624" s="441"/>
      <c r="C2624" s="2491" t="s">
        <v>1796</v>
      </c>
      <c r="D2624" s="4159">
        <f>D2625</f>
        <v>1250000000</v>
      </c>
      <c r="E2624" s="2813">
        <f>E2625</f>
        <v>500000000</v>
      </c>
      <c r="F2624" s="4065">
        <f t="shared" si="215"/>
        <v>40</v>
      </c>
      <c r="G2624" s="2695">
        <f>G2625</f>
        <v>40</v>
      </c>
      <c r="H2624" s="1463"/>
    </row>
    <row r="2625" spans="2:8" ht="17.25" hidden="1" customHeight="1" x14ac:dyDescent="0.25">
      <c r="B2625" s="441"/>
      <c r="C2625" s="2489" t="s">
        <v>1797</v>
      </c>
      <c r="D2625" s="3704">
        <v>1250000000</v>
      </c>
      <c r="E2625" s="2810">
        <v>500000000</v>
      </c>
      <c r="F2625" s="4066">
        <f t="shared" si="215"/>
        <v>40</v>
      </c>
      <c r="G2625" s="2690">
        <v>40</v>
      </c>
      <c r="H2625" s="1463"/>
    </row>
    <row r="2626" spans="2:8" ht="17.25" hidden="1" customHeight="1" x14ac:dyDescent="0.25">
      <c r="B2626" s="441"/>
      <c r="C2626" s="2489"/>
      <c r="D2626" s="3704"/>
      <c r="E2626" s="2810"/>
      <c r="F2626" s="4066"/>
      <c r="G2626" s="3035"/>
      <c r="H2626" s="1463"/>
    </row>
    <row r="2627" spans="2:8" ht="15.75" customHeight="1" x14ac:dyDescent="0.25">
      <c r="B2627" s="441"/>
      <c r="C2627" s="2491" t="s">
        <v>1798</v>
      </c>
      <c r="D2627" s="3704"/>
      <c r="E2627" s="2810"/>
      <c r="F2627" s="4066"/>
      <c r="G2627" s="3035"/>
      <c r="H2627" s="1463"/>
    </row>
    <row r="2628" spans="2:8" ht="17.25" hidden="1" customHeight="1" x14ac:dyDescent="0.25">
      <c r="B2628" s="441"/>
      <c r="C2628" s="2489" t="s">
        <v>1799</v>
      </c>
      <c r="D2628" s="4283" t="s">
        <v>3317</v>
      </c>
      <c r="E2628" s="3660" t="s">
        <v>3317</v>
      </c>
      <c r="F2628" s="3660" t="s">
        <v>3317</v>
      </c>
      <c r="G2628" s="3660" t="s">
        <v>3317</v>
      </c>
      <c r="H2628" s="1463"/>
    </row>
    <row r="2629" spans="2:8" ht="17.25" hidden="1" customHeight="1" x14ac:dyDescent="0.25">
      <c r="B2629" s="441"/>
      <c r="C2629" s="2506"/>
      <c r="D2629" s="4290"/>
      <c r="E2629" s="2840"/>
      <c r="F2629" s="4066"/>
      <c r="G2629" s="2784"/>
      <c r="H2629" s="1463"/>
    </row>
    <row r="2630" spans="2:8" ht="20.25" customHeight="1" x14ac:dyDescent="0.25">
      <c r="B2630" s="441"/>
      <c r="C2630" s="2491" t="s">
        <v>3222</v>
      </c>
      <c r="D2630" s="4159">
        <f>D2631</f>
        <v>3400000000</v>
      </c>
      <c r="E2630" s="2813">
        <f>E2631</f>
        <v>3292680000</v>
      </c>
      <c r="F2630" s="4065">
        <f t="shared" si="215"/>
        <v>96.843529411764706</v>
      </c>
      <c r="G2630" s="2695">
        <f>G2631</f>
        <v>100</v>
      </c>
      <c r="H2630" s="1463"/>
    </row>
    <row r="2631" spans="2:8" ht="17.25" hidden="1" customHeight="1" x14ac:dyDescent="0.25">
      <c r="B2631" s="441"/>
      <c r="C2631" s="2494" t="s">
        <v>3223</v>
      </c>
      <c r="D2631" s="3704">
        <v>3400000000</v>
      </c>
      <c r="E2631" s="2810">
        <v>3292680000</v>
      </c>
      <c r="F2631" s="4066">
        <f t="shared" si="215"/>
        <v>96.843529411764706</v>
      </c>
      <c r="G2631" s="2690">
        <v>100</v>
      </c>
      <c r="H2631" s="1463"/>
    </row>
    <row r="2632" spans="2:8" ht="17.25" hidden="1" customHeight="1" x14ac:dyDescent="0.25">
      <c r="B2632" s="441"/>
      <c r="C2632" s="2495"/>
      <c r="D2632" s="4286"/>
      <c r="E2632" s="2818"/>
      <c r="F2632" s="2818"/>
      <c r="G2632" s="2778"/>
      <c r="H2632" s="1463"/>
    </row>
    <row r="2633" spans="2:8" ht="18.75" customHeight="1" x14ac:dyDescent="0.25">
      <c r="B2633" s="440"/>
      <c r="C2633" s="2497" t="s">
        <v>3224</v>
      </c>
      <c r="D2633" s="4080">
        <f>D2634</f>
        <v>8915400000</v>
      </c>
      <c r="E2633" s="3550">
        <f>E2634</f>
        <v>8915400000</v>
      </c>
      <c r="F2633" s="2786">
        <f>E2633/D2633*100</f>
        <v>100</v>
      </c>
      <c r="G2633" s="2672">
        <f>G2634</f>
        <v>100</v>
      </c>
      <c r="H2633" s="1463"/>
    </row>
    <row r="2634" spans="2:8" ht="18.75" customHeight="1" x14ac:dyDescent="0.25">
      <c r="B2634" s="441"/>
      <c r="C2634" s="2482" t="s">
        <v>3225</v>
      </c>
      <c r="D2634" s="4280">
        <f>SUM(D2635:D2636)</f>
        <v>8915400000</v>
      </c>
      <c r="E2634" s="4069">
        <f>SUM(E2635:E2636)</f>
        <v>8915400000</v>
      </c>
      <c r="F2634" s="4065">
        <f t="shared" ref="F2634:F2636" si="216">E2634/D2634*100</f>
        <v>100</v>
      </c>
      <c r="G2634" s="2785">
        <f>SUM(G2635:G2636)/2</f>
        <v>100</v>
      </c>
      <c r="H2634" s="1463"/>
    </row>
    <row r="2635" spans="2:8" ht="17.25" hidden="1" customHeight="1" x14ac:dyDescent="0.25">
      <c r="B2635" s="441"/>
      <c r="C2635" s="2494" t="s">
        <v>3226</v>
      </c>
      <c r="D2635" s="3704">
        <v>4652400000</v>
      </c>
      <c r="E2635" s="2810">
        <v>4652400000</v>
      </c>
      <c r="F2635" s="4066">
        <f t="shared" si="216"/>
        <v>100</v>
      </c>
      <c r="G2635" s="2690">
        <v>100</v>
      </c>
      <c r="H2635" s="1463"/>
    </row>
    <row r="2636" spans="2:8" ht="17.25" hidden="1" customHeight="1" x14ac:dyDescent="0.25">
      <c r="B2636" s="441"/>
      <c r="C2636" s="2494" t="s">
        <v>3227</v>
      </c>
      <c r="D2636" s="3704">
        <v>4263000000</v>
      </c>
      <c r="E2636" s="2810">
        <v>4263000000</v>
      </c>
      <c r="F2636" s="4066">
        <f t="shared" si="216"/>
        <v>100</v>
      </c>
      <c r="G2636" s="2690">
        <v>100</v>
      </c>
      <c r="H2636" s="1463"/>
    </row>
    <row r="2637" spans="2:8" ht="17.25" hidden="1" customHeight="1" x14ac:dyDescent="0.25">
      <c r="B2637" s="441"/>
      <c r="C2637" s="2506"/>
      <c r="D2637" s="4290"/>
      <c r="E2637" s="2840"/>
      <c r="F2637" s="2840"/>
      <c r="G2637" s="2784"/>
      <c r="H2637" s="1463"/>
    </row>
    <row r="2638" spans="2:8" ht="21" customHeight="1" x14ac:dyDescent="0.25">
      <c r="B2638" s="440"/>
      <c r="C2638" s="2497" t="s">
        <v>3228</v>
      </c>
      <c r="D2638" s="4080">
        <f>D2639</f>
        <v>1000000000</v>
      </c>
      <c r="E2638" s="2786">
        <f>E2639</f>
        <v>1000000000</v>
      </c>
      <c r="F2638" s="2786">
        <f>E2638/D2638*100</f>
        <v>100</v>
      </c>
      <c r="G2638" s="2719">
        <f>G2639</f>
        <v>100</v>
      </c>
      <c r="H2638" s="1463"/>
    </row>
    <row r="2639" spans="2:8" ht="18.75" customHeight="1" x14ac:dyDescent="0.25">
      <c r="B2639" s="441"/>
      <c r="C2639" s="2569" t="s">
        <v>3229</v>
      </c>
      <c r="D2639" s="4158">
        <f>SUM(D2640:D2642)</f>
        <v>1000000000</v>
      </c>
      <c r="E2639" s="3214">
        <f>SUM(E2640:E2642)</f>
        <v>1000000000</v>
      </c>
      <c r="F2639" s="4065">
        <f t="shared" ref="F2639:F2642" si="217">E2639/D2639*100</f>
        <v>100</v>
      </c>
      <c r="G2639" s="2725">
        <f>SUM(G2640:G2642)/2</f>
        <v>100</v>
      </c>
      <c r="H2639" s="1463"/>
    </row>
    <row r="2640" spans="2:8" ht="17.25" hidden="1" customHeight="1" x14ac:dyDescent="0.25">
      <c r="B2640" s="441"/>
      <c r="C2640" s="2489" t="s">
        <v>3231</v>
      </c>
      <c r="D2640" s="4071">
        <v>500000000</v>
      </c>
      <c r="E2640" s="4070">
        <v>500000000</v>
      </c>
      <c r="F2640" s="4066">
        <f t="shared" si="217"/>
        <v>100</v>
      </c>
      <c r="G2640" s="2685">
        <v>100</v>
      </c>
      <c r="H2640" s="1463"/>
    </row>
    <row r="2641" spans="2:8" ht="17.25" hidden="1" customHeight="1" x14ac:dyDescent="0.25">
      <c r="B2641" s="441"/>
      <c r="C2641" s="2489" t="s">
        <v>3230</v>
      </c>
      <c r="D2641" s="4321" t="s">
        <v>3317</v>
      </c>
      <c r="E2641" s="3661" t="s">
        <v>3317</v>
      </c>
      <c r="F2641" s="3661" t="s">
        <v>3317</v>
      </c>
      <c r="G2641" s="2685"/>
      <c r="H2641" s="1463"/>
    </row>
    <row r="2642" spans="2:8" ht="17.25" hidden="1" customHeight="1" x14ac:dyDescent="0.25">
      <c r="B2642" s="441"/>
      <c r="C2642" s="2489" t="s">
        <v>3232</v>
      </c>
      <c r="D2642" s="4286">
        <v>500000000</v>
      </c>
      <c r="E2642" s="2818">
        <v>500000000</v>
      </c>
      <c r="F2642" s="4066">
        <f t="shared" si="217"/>
        <v>100</v>
      </c>
      <c r="G2642" s="2710">
        <v>100</v>
      </c>
      <c r="H2642" s="1463"/>
    </row>
    <row r="2643" spans="2:8" ht="17.25" hidden="1" customHeight="1" x14ac:dyDescent="0.25">
      <c r="B2643" s="441"/>
      <c r="C2643" s="2574"/>
      <c r="D2643" s="4347"/>
      <c r="E2643" s="2895"/>
      <c r="F2643" s="2840"/>
      <c r="G2643" s="2784"/>
      <c r="H2643" s="1463"/>
    </row>
    <row r="2644" spans="2:8" ht="17.25" customHeight="1" x14ac:dyDescent="0.25">
      <c r="B2644" s="440"/>
      <c r="C2644" s="2497" t="s">
        <v>3233</v>
      </c>
      <c r="D2644" s="4080"/>
      <c r="E2644" s="2719"/>
      <c r="F2644" s="2786"/>
      <c r="G2644" s="2672"/>
      <c r="H2644" s="1463"/>
    </row>
    <row r="2645" spans="2:8" ht="16.5" customHeight="1" x14ac:dyDescent="0.25">
      <c r="B2645" s="441"/>
      <c r="C2645" s="2569" t="s">
        <v>3234</v>
      </c>
      <c r="D2645" s="4158"/>
      <c r="E2645" s="2725"/>
      <c r="F2645" s="2722"/>
      <c r="G2645" s="3003"/>
      <c r="H2645" s="1463"/>
    </row>
    <row r="2646" spans="2:8" ht="17.25" hidden="1" customHeight="1" x14ac:dyDescent="0.25">
      <c r="B2646" s="441"/>
      <c r="C2646" s="2489" t="s">
        <v>3235</v>
      </c>
      <c r="D2646" s="4071"/>
      <c r="E2646" s="4070"/>
      <c r="F2646" s="2690"/>
      <c r="G2646" s="2690"/>
      <c r="H2646" s="1463"/>
    </row>
    <row r="2647" spans="2:8" ht="17.25" hidden="1" customHeight="1" x14ac:dyDescent="0.25">
      <c r="B2647" s="441"/>
      <c r="C2647" s="2489"/>
      <c r="D2647" s="4071"/>
      <c r="E2647" s="2679"/>
      <c r="F2647" s="3214"/>
      <c r="G2647" s="2734"/>
      <c r="H2647" s="1463"/>
    </row>
    <row r="2648" spans="2:8" ht="18" customHeight="1" x14ac:dyDescent="0.25">
      <c r="B2648" s="441"/>
      <c r="C2648" s="2491" t="s">
        <v>3236</v>
      </c>
      <c r="D2648" s="4159"/>
      <c r="E2648" s="2725"/>
      <c r="F2648" s="2725"/>
      <c r="G2648" s="2725"/>
      <c r="H2648" s="1463"/>
    </row>
    <row r="2649" spans="2:8" ht="17.25" hidden="1" customHeight="1" x14ac:dyDescent="0.25">
      <c r="B2649" s="441"/>
      <c r="C2649" s="2489" t="s">
        <v>3237</v>
      </c>
      <c r="D2649" s="4071"/>
      <c r="E2649" s="2685"/>
      <c r="F2649" s="2685"/>
      <c r="G2649" s="2685"/>
      <c r="H2649" s="1463"/>
    </row>
    <row r="2650" spans="2:8" ht="12" hidden="1" customHeight="1" x14ac:dyDescent="0.25">
      <c r="B2650" s="441"/>
      <c r="C2650" s="2495"/>
      <c r="D2650" s="4347"/>
      <c r="E2650" s="2818"/>
      <c r="F2650" s="2840"/>
      <c r="G2650" s="2778"/>
      <c r="H2650" s="1463"/>
    </row>
    <row r="2651" spans="2:8" ht="18" customHeight="1" x14ac:dyDescent="0.25">
      <c r="B2651" s="440"/>
      <c r="C2651" s="2497" t="s">
        <v>2035</v>
      </c>
      <c r="D2651" s="4080">
        <f>SUM(D2652+D2660+D2663)</f>
        <v>5000000000</v>
      </c>
      <c r="E2651" s="3550">
        <f>SUM(E2652+E2660+E2663)</f>
        <v>4999830000</v>
      </c>
      <c r="F2651" s="2786">
        <f>E2651/D2651*100</f>
        <v>99.996600000000001</v>
      </c>
      <c r="G2651" s="2672">
        <f>SUM(G2652+G2660+G2663)/3</f>
        <v>100</v>
      </c>
      <c r="H2651" s="1463"/>
    </row>
    <row r="2652" spans="2:8" ht="22.5" customHeight="1" x14ac:dyDescent="0.25">
      <c r="B2652" s="441"/>
      <c r="C2652" s="3743" t="s">
        <v>3238</v>
      </c>
      <c r="D2652" s="4348">
        <f>SUM(D2653:D2658)</f>
        <v>3150000000</v>
      </c>
      <c r="E2652" s="4069">
        <f>SUM(E2653:E2658)</f>
        <v>3150000000</v>
      </c>
      <c r="F2652" s="4065">
        <f t="shared" ref="F2652:F2664" si="218">E2652/D2652*100</f>
        <v>100</v>
      </c>
      <c r="G2652" s="2785">
        <f>SUM(G2653:G2658)/6</f>
        <v>100</v>
      </c>
      <c r="H2652" s="1463"/>
    </row>
    <row r="2653" spans="2:8" ht="14.25" hidden="1" customHeight="1" x14ac:dyDescent="0.25">
      <c r="B2653" s="441"/>
      <c r="C2653" s="2494" t="s">
        <v>3239</v>
      </c>
      <c r="D2653" s="3704">
        <v>700000000</v>
      </c>
      <c r="E2653" s="2810">
        <v>700000000</v>
      </c>
      <c r="F2653" s="4066">
        <f t="shared" si="218"/>
        <v>100</v>
      </c>
      <c r="G2653" s="2690">
        <v>100</v>
      </c>
      <c r="H2653" s="1463"/>
    </row>
    <row r="2654" spans="2:8" ht="17.25" hidden="1" customHeight="1" x14ac:dyDescent="0.25">
      <c r="B2654" s="441"/>
      <c r="C2654" s="2494" t="s">
        <v>3240</v>
      </c>
      <c r="D2654" s="3704">
        <v>300000000</v>
      </c>
      <c r="E2654" s="2810">
        <v>300000000</v>
      </c>
      <c r="F2654" s="4066">
        <f t="shared" si="218"/>
        <v>100</v>
      </c>
      <c r="G2654" s="2690">
        <v>100</v>
      </c>
      <c r="H2654" s="1463"/>
    </row>
    <row r="2655" spans="2:8" ht="18" hidden="1" customHeight="1" x14ac:dyDescent="0.25">
      <c r="B2655" s="441"/>
      <c r="C2655" s="2494" t="s">
        <v>3241</v>
      </c>
      <c r="D2655" s="3704">
        <v>300000000</v>
      </c>
      <c r="E2655" s="2810">
        <v>300000000</v>
      </c>
      <c r="F2655" s="4066">
        <f t="shared" si="218"/>
        <v>100</v>
      </c>
      <c r="G2655" s="2690">
        <v>100</v>
      </c>
      <c r="H2655" s="1463"/>
    </row>
    <row r="2656" spans="2:8" ht="17.25" hidden="1" customHeight="1" x14ac:dyDescent="0.25">
      <c r="B2656" s="441"/>
      <c r="C2656" s="2494" t="s">
        <v>3242</v>
      </c>
      <c r="D2656" s="3704">
        <v>500000000</v>
      </c>
      <c r="E2656" s="2810">
        <v>500000000</v>
      </c>
      <c r="F2656" s="4066">
        <f t="shared" si="218"/>
        <v>100</v>
      </c>
      <c r="G2656" s="2690">
        <v>100</v>
      </c>
      <c r="H2656" s="1463"/>
    </row>
    <row r="2657" spans="2:8" ht="18" hidden="1" customHeight="1" x14ac:dyDescent="0.25">
      <c r="B2657" s="441"/>
      <c r="C2657" s="2494" t="s">
        <v>3243</v>
      </c>
      <c r="D2657" s="3704">
        <v>1000000000</v>
      </c>
      <c r="E2657" s="2810">
        <v>1000000000</v>
      </c>
      <c r="F2657" s="4066">
        <f t="shared" si="218"/>
        <v>100</v>
      </c>
      <c r="G2657" s="2690">
        <v>100</v>
      </c>
      <c r="H2657" s="1463"/>
    </row>
    <row r="2658" spans="2:8" ht="19.5" hidden="1" customHeight="1" x14ac:dyDescent="0.25">
      <c r="B2658" s="441"/>
      <c r="C2658" s="2494" t="s">
        <v>3244</v>
      </c>
      <c r="D2658" s="3704">
        <v>350000000</v>
      </c>
      <c r="E2658" s="2810">
        <v>350000000</v>
      </c>
      <c r="F2658" s="4066">
        <f t="shared" si="218"/>
        <v>100</v>
      </c>
      <c r="G2658" s="2690">
        <v>100</v>
      </c>
      <c r="H2658" s="1463"/>
    </row>
    <row r="2659" spans="2:8" ht="12" hidden="1" customHeight="1" x14ac:dyDescent="0.25">
      <c r="B2659" s="441"/>
      <c r="C2659" s="2494"/>
      <c r="D2659" s="3704"/>
      <c r="E2659" s="2810"/>
      <c r="F2659" s="4066"/>
      <c r="G2659" s="3035"/>
      <c r="H2659" s="1463"/>
    </row>
    <row r="2660" spans="2:8" ht="18.75" customHeight="1" x14ac:dyDescent="0.25">
      <c r="B2660" s="441"/>
      <c r="C2660" s="2491" t="s">
        <v>3245</v>
      </c>
      <c r="D2660" s="4159">
        <f>D2661</f>
        <v>1000000000</v>
      </c>
      <c r="E2660" s="3217">
        <f>E2661</f>
        <v>1000000000</v>
      </c>
      <c r="F2660" s="4065">
        <f t="shared" si="218"/>
        <v>100</v>
      </c>
      <c r="G2660" s="2695">
        <f>G2661</f>
        <v>100</v>
      </c>
      <c r="H2660" s="1463"/>
    </row>
    <row r="2661" spans="2:8" ht="29.25" hidden="1" customHeight="1" x14ac:dyDescent="0.25">
      <c r="B2661" s="441"/>
      <c r="C2661" s="2494" t="s">
        <v>3246</v>
      </c>
      <c r="D2661" s="3704">
        <v>1000000000</v>
      </c>
      <c r="E2661" s="2810">
        <v>1000000000</v>
      </c>
      <c r="F2661" s="4066">
        <f t="shared" si="218"/>
        <v>100</v>
      </c>
      <c r="G2661" s="2690">
        <v>100</v>
      </c>
      <c r="H2661" s="1463"/>
    </row>
    <row r="2662" spans="2:8" ht="9" hidden="1" customHeight="1" x14ac:dyDescent="0.25">
      <c r="B2662" s="441"/>
      <c r="C2662" s="2494"/>
      <c r="D2662" s="3704"/>
      <c r="E2662" s="2810"/>
      <c r="F2662" s="4066"/>
      <c r="G2662" s="3035"/>
      <c r="H2662" s="1463"/>
    </row>
    <row r="2663" spans="2:8" ht="19.5" customHeight="1" x14ac:dyDescent="0.25">
      <c r="B2663" s="441"/>
      <c r="C2663" s="2491" t="s">
        <v>3247</v>
      </c>
      <c r="D2663" s="4159">
        <f>D2664</f>
        <v>850000000</v>
      </c>
      <c r="E2663" s="3217">
        <f>E2664</f>
        <v>849830000</v>
      </c>
      <c r="F2663" s="4065">
        <f t="shared" si="218"/>
        <v>99.98</v>
      </c>
      <c r="G2663" s="2695">
        <f>G2664</f>
        <v>100</v>
      </c>
      <c r="H2663" s="1463"/>
    </row>
    <row r="2664" spans="2:8" ht="18" hidden="1" customHeight="1" x14ac:dyDescent="0.25">
      <c r="B2664" s="441"/>
      <c r="C2664" s="2494" t="s">
        <v>3248</v>
      </c>
      <c r="D2664" s="3704">
        <v>850000000</v>
      </c>
      <c r="E2664" s="2810">
        <v>849830000</v>
      </c>
      <c r="F2664" s="4066">
        <f t="shared" si="218"/>
        <v>99.98</v>
      </c>
      <c r="G2664" s="2690">
        <v>100</v>
      </c>
      <c r="H2664" s="1463"/>
    </row>
    <row r="2665" spans="2:8" ht="9.75" hidden="1" customHeight="1" x14ac:dyDescent="0.25">
      <c r="B2665" s="441"/>
      <c r="C2665" s="2495"/>
      <c r="D2665" s="4286"/>
      <c r="E2665" s="2818"/>
      <c r="F2665" s="2818"/>
      <c r="G2665" s="2778"/>
      <c r="H2665" s="1463"/>
    </row>
    <row r="2666" spans="2:8" ht="27.75" customHeight="1" x14ac:dyDescent="0.25">
      <c r="B2666" s="440"/>
      <c r="C2666" s="3662" t="s">
        <v>3249</v>
      </c>
      <c r="D2666" s="4080">
        <f>SUM(D2667+D2670)</f>
        <v>350000000</v>
      </c>
      <c r="E2666" s="3550">
        <f>SUM(E2667+E2670)</f>
        <v>350000000</v>
      </c>
      <c r="F2666" s="2786">
        <f>E2666/D2666*100</f>
        <v>100</v>
      </c>
      <c r="G2666" s="2672">
        <f>SUM(G2667+G2670)/2</f>
        <v>100</v>
      </c>
      <c r="H2666" s="1463"/>
    </row>
    <row r="2667" spans="2:8" ht="18" customHeight="1" x14ac:dyDescent="0.25">
      <c r="B2667" s="441"/>
      <c r="C2667" s="3663" t="s">
        <v>3250</v>
      </c>
      <c r="D2667" s="4158">
        <f>D2668</f>
        <v>200000000</v>
      </c>
      <c r="E2667" s="3522">
        <f>E2668</f>
        <v>200000000</v>
      </c>
      <c r="F2667" s="4065">
        <f t="shared" ref="F2667:F2671" si="219">E2667/D2667*100</f>
        <v>100</v>
      </c>
      <c r="G2667" s="2734">
        <f>G2668</f>
        <v>100</v>
      </c>
      <c r="H2667" s="1463"/>
    </row>
    <row r="2668" spans="2:8" ht="15.75" hidden="1" customHeight="1" x14ac:dyDescent="0.25">
      <c r="B2668" s="441"/>
      <c r="C2668" s="2494" t="s">
        <v>3251</v>
      </c>
      <c r="D2668" s="3704">
        <v>200000000</v>
      </c>
      <c r="E2668" s="2810">
        <v>200000000</v>
      </c>
      <c r="F2668" s="4066">
        <f t="shared" si="219"/>
        <v>100</v>
      </c>
      <c r="G2668" s="2690">
        <v>100</v>
      </c>
      <c r="H2668" s="1463"/>
    </row>
    <row r="2669" spans="2:8" ht="10.5" hidden="1" customHeight="1" x14ac:dyDescent="0.25">
      <c r="B2669" s="441"/>
      <c r="C2669" s="2494"/>
      <c r="D2669" s="3704"/>
      <c r="E2669" s="2810"/>
      <c r="F2669" s="4066"/>
      <c r="G2669" s="3035"/>
      <c r="H2669" s="1463"/>
    </row>
    <row r="2670" spans="2:8" ht="16.5" customHeight="1" x14ac:dyDescent="0.25">
      <c r="B2670" s="441"/>
      <c r="C2670" s="3664" t="s">
        <v>3252</v>
      </c>
      <c r="D2670" s="4159">
        <f>D2671</f>
        <v>150000000</v>
      </c>
      <c r="E2670" s="3217">
        <f>E2671</f>
        <v>150000000</v>
      </c>
      <c r="F2670" s="4065">
        <f t="shared" si="219"/>
        <v>100</v>
      </c>
      <c r="G2670" s="2695">
        <f>G2671</f>
        <v>100</v>
      </c>
      <c r="H2670" s="1463"/>
    </row>
    <row r="2671" spans="2:8" ht="15" hidden="1" customHeight="1" x14ac:dyDescent="0.25">
      <c r="B2671" s="441"/>
      <c r="C2671" s="2494" t="s">
        <v>3253</v>
      </c>
      <c r="D2671" s="3704">
        <v>150000000</v>
      </c>
      <c r="E2671" s="2810">
        <v>150000000</v>
      </c>
      <c r="F2671" s="4066">
        <f t="shared" si="219"/>
        <v>100</v>
      </c>
      <c r="G2671" s="2690">
        <v>100</v>
      </c>
      <c r="H2671" s="1463"/>
    </row>
    <row r="2672" spans="2:8" ht="12" hidden="1" customHeight="1" x14ac:dyDescent="0.25">
      <c r="B2672" s="441"/>
      <c r="C2672" s="2495"/>
      <c r="D2672" s="4286"/>
      <c r="E2672" s="2818"/>
      <c r="F2672" s="2818"/>
      <c r="G2672" s="2778"/>
      <c r="H2672" s="1463"/>
    </row>
    <row r="2673" spans="2:8" ht="18" customHeight="1" x14ac:dyDescent="0.25">
      <c r="B2673" s="440"/>
      <c r="C2673" s="3665" t="s">
        <v>3254</v>
      </c>
      <c r="D2673" s="4080">
        <f>SUM(D2674+D2678+D2681+D2684)</f>
        <v>3500000000</v>
      </c>
      <c r="E2673" s="3550">
        <f>SUM(E2674+E2678+E2681+E2684)</f>
        <v>1399750000</v>
      </c>
      <c r="F2673" s="2786">
        <f>E2673/D2673*100</f>
        <v>39.99285714285714</v>
      </c>
      <c r="G2673" s="2672">
        <f>SUM(G2674+G2678+G2681+G2684)/4</f>
        <v>75</v>
      </c>
      <c r="H2673" s="1463"/>
    </row>
    <row r="2674" spans="2:8" ht="18" customHeight="1" x14ac:dyDescent="0.25">
      <c r="B2674" s="441"/>
      <c r="C2674" s="2569" t="s">
        <v>3255</v>
      </c>
      <c r="D2674" s="4158">
        <f>SUM(D2675:D2676)</f>
        <v>2100000000</v>
      </c>
      <c r="E2674" s="3522">
        <f>SUM(E2675:E2676)</f>
        <v>0</v>
      </c>
      <c r="F2674" s="3522">
        <f>SUM(F2675:F2676)</f>
        <v>0</v>
      </c>
      <c r="G2674" s="3522">
        <f t="shared" ref="G2674" si="220">SUM(G2675:G2676)</f>
        <v>0</v>
      </c>
      <c r="H2674" s="1463"/>
    </row>
    <row r="2675" spans="2:8" ht="15" hidden="1" customHeight="1" x14ac:dyDescent="0.25">
      <c r="B2675" s="441"/>
      <c r="C2675" s="2494" t="s">
        <v>3256</v>
      </c>
      <c r="D2675" s="3704">
        <v>1700000000</v>
      </c>
      <c r="E2675" s="2685">
        <v>0</v>
      </c>
      <c r="F2675" s="2685">
        <v>0</v>
      </c>
      <c r="G2675" s="2685">
        <v>0</v>
      </c>
      <c r="H2675" s="1463"/>
    </row>
    <row r="2676" spans="2:8" ht="15" hidden="1" customHeight="1" x14ac:dyDescent="0.25">
      <c r="B2676" s="441"/>
      <c r="C2676" s="2494" t="s">
        <v>3257</v>
      </c>
      <c r="D2676" s="3704">
        <v>400000000</v>
      </c>
      <c r="E2676" s="2685">
        <v>0</v>
      </c>
      <c r="F2676" s="2685">
        <v>0</v>
      </c>
      <c r="G2676" s="2685">
        <v>0</v>
      </c>
      <c r="H2676" s="1463"/>
    </row>
    <row r="2677" spans="2:8" ht="9.75" hidden="1" customHeight="1" x14ac:dyDescent="0.25">
      <c r="B2677" s="441"/>
      <c r="C2677" s="2494"/>
      <c r="D2677" s="3704"/>
      <c r="E2677" s="2810"/>
      <c r="F2677" s="2810"/>
      <c r="G2677" s="3035"/>
      <c r="H2677" s="1463"/>
    </row>
    <row r="2678" spans="2:8" ht="18" customHeight="1" x14ac:dyDescent="0.25">
      <c r="B2678" s="441"/>
      <c r="C2678" s="2491" t="s">
        <v>3258</v>
      </c>
      <c r="D2678" s="4159">
        <f>D2679</f>
        <v>300000000</v>
      </c>
      <c r="E2678" s="3217">
        <f>E2679</f>
        <v>300000000</v>
      </c>
      <c r="F2678" s="4065">
        <f t="shared" ref="F2678:F2679" si="221">E2678/D2678*100</f>
        <v>100</v>
      </c>
      <c r="G2678" s="2695">
        <v>100</v>
      </c>
      <c r="H2678" s="1463"/>
    </row>
    <row r="2679" spans="2:8" ht="18.75" hidden="1" customHeight="1" x14ac:dyDescent="0.25">
      <c r="B2679" s="441"/>
      <c r="C2679" s="2494" t="s">
        <v>3259</v>
      </c>
      <c r="D2679" s="4071">
        <v>300000000</v>
      </c>
      <c r="E2679" s="4071">
        <v>300000000</v>
      </c>
      <c r="F2679" s="4066">
        <f t="shared" si="221"/>
        <v>100</v>
      </c>
      <c r="G2679" s="4066">
        <v>100</v>
      </c>
      <c r="H2679" s="1463"/>
    </row>
    <row r="2680" spans="2:8" ht="9.75" hidden="1" customHeight="1" x14ac:dyDescent="0.25">
      <c r="B2680" s="441"/>
      <c r="C2680" s="2494"/>
      <c r="D2680" s="3704"/>
      <c r="E2680" s="2810"/>
      <c r="F2680" s="2810"/>
      <c r="G2680" s="3035"/>
      <c r="H2680" s="1463"/>
    </row>
    <row r="2681" spans="2:8" ht="18" customHeight="1" x14ac:dyDescent="0.25">
      <c r="B2681" s="441"/>
      <c r="C2681" s="2491" t="s">
        <v>3260</v>
      </c>
      <c r="D2681" s="4159">
        <f>D2682</f>
        <v>300000000</v>
      </c>
      <c r="E2681" s="3217">
        <f>E2682</f>
        <v>299750000</v>
      </c>
      <c r="F2681" s="4065">
        <f t="shared" ref="F2681:F2682" si="222">E2681/D2681*100</f>
        <v>99.916666666666671</v>
      </c>
      <c r="G2681" s="2679">
        <f>G2682</f>
        <v>100</v>
      </c>
      <c r="H2681" s="1463"/>
    </row>
    <row r="2682" spans="2:8" ht="17.25" hidden="1" customHeight="1" x14ac:dyDescent="0.25">
      <c r="B2682" s="441"/>
      <c r="C2682" s="2489" t="s">
        <v>3261</v>
      </c>
      <c r="D2682" s="3704">
        <v>300000000</v>
      </c>
      <c r="E2682" s="2685">
        <v>299750000</v>
      </c>
      <c r="F2682" s="4066">
        <f t="shared" si="222"/>
        <v>99.916666666666671</v>
      </c>
      <c r="G2682" s="2685">
        <v>100</v>
      </c>
      <c r="H2682" s="1463"/>
    </row>
    <row r="2683" spans="2:8" ht="9" hidden="1" customHeight="1" x14ac:dyDescent="0.25">
      <c r="B2683" s="441"/>
      <c r="C2683" s="2494"/>
      <c r="D2683" s="3704"/>
      <c r="E2683" s="2810"/>
      <c r="F2683" s="2685"/>
      <c r="G2683" s="3035"/>
      <c r="H2683" s="1463"/>
    </row>
    <row r="2684" spans="2:8" ht="16.5" customHeight="1" x14ac:dyDescent="0.25">
      <c r="B2684" s="441"/>
      <c r="C2684" s="2491" t="s">
        <v>3262</v>
      </c>
      <c r="D2684" s="4159">
        <f>SUM(D2685:D2687)</f>
        <v>800000000</v>
      </c>
      <c r="E2684" s="3217">
        <f>SUM(E2685:E2687)</f>
        <v>800000000</v>
      </c>
      <c r="F2684" s="4065">
        <f t="shared" ref="F2684:F2687" si="223">E2684/D2684*100</f>
        <v>100</v>
      </c>
      <c r="G2684" s="2695">
        <f>SUM(G2685:G2687)/3</f>
        <v>100</v>
      </c>
      <c r="H2684" s="1463"/>
    </row>
    <row r="2685" spans="2:8" ht="14.25" hidden="1" customHeight="1" x14ac:dyDescent="0.25">
      <c r="B2685" s="441"/>
      <c r="C2685" s="2489" t="s">
        <v>3298</v>
      </c>
      <c r="D2685" s="3704">
        <v>150000000</v>
      </c>
      <c r="E2685" s="2810">
        <v>150000000</v>
      </c>
      <c r="F2685" s="4066">
        <f t="shared" si="223"/>
        <v>100</v>
      </c>
      <c r="G2685" s="2690">
        <v>100</v>
      </c>
      <c r="H2685" s="1463"/>
    </row>
    <row r="2686" spans="2:8" ht="14.25" hidden="1" customHeight="1" x14ac:dyDescent="0.25">
      <c r="B2686" s="441"/>
      <c r="C2686" s="2489" t="s">
        <v>3299</v>
      </c>
      <c r="D2686" s="3704">
        <v>500000000</v>
      </c>
      <c r="E2686" s="2810">
        <v>500000000</v>
      </c>
      <c r="F2686" s="4066">
        <f t="shared" si="223"/>
        <v>100</v>
      </c>
      <c r="G2686" s="2690">
        <v>100</v>
      </c>
      <c r="H2686" s="1463"/>
    </row>
    <row r="2687" spans="2:8" ht="15.75" hidden="1" customHeight="1" x14ac:dyDescent="0.25">
      <c r="B2687" s="441"/>
      <c r="C2687" s="2489" t="s">
        <v>3300</v>
      </c>
      <c r="D2687" s="3704">
        <v>150000000</v>
      </c>
      <c r="E2687" s="2810">
        <v>150000000</v>
      </c>
      <c r="F2687" s="4066">
        <f t="shared" si="223"/>
        <v>100</v>
      </c>
      <c r="G2687" s="2690">
        <v>100</v>
      </c>
      <c r="H2687" s="1463"/>
    </row>
    <row r="2688" spans="2:8" ht="12" hidden="1" customHeight="1" x14ac:dyDescent="0.25">
      <c r="B2688" s="441"/>
      <c r="C2688" s="2506"/>
      <c r="D2688" s="4290"/>
      <c r="E2688" s="2840"/>
      <c r="F2688" s="2840"/>
      <c r="G2688" s="2784"/>
      <c r="H2688" s="1463"/>
    </row>
    <row r="2689" spans="2:8" ht="18.75" customHeight="1" x14ac:dyDescent="0.25">
      <c r="B2689" s="440"/>
      <c r="C2689" s="2497" t="s">
        <v>3263</v>
      </c>
      <c r="D2689" s="4080">
        <f>SUM(D2690+D2693)</f>
        <v>1500000000</v>
      </c>
      <c r="E2689" s="2719">
        <f>SUM(E2690+E2693)</f>
        <v>1075000000</v>
      </c>
      <c r="F2689" s="2786">
        <f>E2689/D2689*100</f>
        <v>71.666666666666671</v>
      </c>
      <c r="G2689" s="2672">
        <f>SUM(G2690+G2693)/2</f>
        <v>66.666666666666657</v>
      </c>
      <c r="H2689" s="1463"/>
    </row>
    <row r="2690" spans="2:8" ht="18" customHeight="1" x14ac:dyDescent="0.25">
      <c r="B2690" s="441"/>
      <c r="C2690" s="2482" t="s">
        <v>3264</v>
      </c>
      <c r="D2690" s="4280">
        <f>D2691</f>
        <v>91500000</v>
      </c>
      <c r="E2690" s="2722">
        <f>E2691</f>
        <v>45750000</v>
      </c>
      <c r="F2690" s="4065">
        <f t="shared" ref="F2690:F2696" si="224">E2690/D2690*100</f>
        <v>50</v>
      </c>
      <c r="G2690" s="2722">
        <f>G2691</f>
        <v>50</v>
      </c>
      <c r="H2690" s="1463"/>
    </row>
    <row r="2691" spans="2:8" ht="17.25" hidden="1" customHeight="1" x14ac:dyDescent="0.25">
      <c r="B2691" s="444"/>
      <c r="C2691" s="2489" t="s">
        <v>3265</v>
      </c>
      <c r="D2691" s="4071">
        <v>91500000</v>
      </c>
      <c r="E2691" s="2710">
        <v>45750000</v>
      </c>
      <c r="F2691" s="4066">
        <f t="shared" si="224"/>
        <v>50</v>
      </c>
      <c r="G2691" s="4066">
        <v>50</v>
      </c>
      <c r="H2691" s="1463"/>
    </row>
    <row r="2692" spans="2:8" ht="9.75" hidden="1" customHeight="1" x14ac:dyDescent="0.25">
      <c r="B2692" s="441"/>
      <c r="C2692" s="2494"/>
      <c r="D2692" s="3704"/>
      <c r="E2692" s="2685"/>
      <c r="F2692" s="4066"/>
      <c r="G2692" s="3035"/>
      <c r="H2692" s="1463"/>
    </row>
    <row r="2693" spans="2:8" ht="27" customHeight="1" x14ac:dyDescent="0.25">
      <c r="B2693" s="441"/>
      <c r="C2693" s="2491" t="s">
        <v>3266</v>
      </c>
      <c r="D2693" s="4159">
        <f>SUM(D2694:D2696)</f>
        <v>1408500000</v>
      </c>
      <c r="E2693" s="2679">
        <f>SUM(E2694:E2696)</f>
        <v>1029250000</v>
      </c>
      <c r="F2693" s="4065">
        <f t="shared" si="224"/>
        <v>73.074192403265883</v>
      </c>
      <c r="G2693" s="2695">
        <f>SUM(G2694:G2696)/3</f>
        <v>83.333333333333329</v>
      </c>
      <c r="H2693" s="1463"/>
    </row>
    <row r="2694" spans="2:8" ht="20.25" hidden="1" customHeight="1" x14ac:dyDescent="0.25">
      <c r="B2694" s="441"/>
      <c r="C2694" s="2489" t="s">
        <v>3268</v>
      </c>
      <c r="D2694" s="4071">
        <v>142030000</v>
      </c>
      <c r="E2694" s="4070">
        <v>142030000</v>
      </c>
      <c r="F2694" s="4066">
        <f t="shared" si="224"/>
        <v>100</v>
      </c>
      <c r="G2694" s="2690">
        <v>100</v>
      </c>
      <c r="H2694" s="1463"/>
    </row>
    <row r="2695" spans="2:8" ht="15.75" hidden="1" customHeight="1" x14ac:dyDescent="0.25">
      <c r="B2695" s="441"/>
      <c r="C2695" s="2489" t="s">
        <v>3267</v>
      </c>
      <c r="D2695" s="4071">
        <v>507970000</v>
      </c>
      <c r="E2695" s="4070">
        <v>507970000</v>
      </c>
      <c r="F2695" s="4066">
        <f t="shared" si="224"/>
        <v>100</v>
      </c>
      <c r="G2695" s="2685">
        <v>100</v>
      </c>
      <c r="H2695" s="1463"/>
    </row>
    <row r="2696" spans="2:8" ht="17.25" hidden="1" customHeight="1" x14ac:dyDescent="0.25">
      <c r="B2696" s="441"/>
      <c r="C2696" s="2489" t="s">
        <v>3269</v>
      </c>
      <c r="D2696" s="4071">
        <v>758500000</v>
      </c>
      <c r="E2696" s="4068">
        <v>379250000</v>
      </c>
      <c r="F2696" s="4066">
        <f t="shared" si="224"/>
        <v>50</v>
      </c>
      <c r="G2696" s="2685">
        <v>50</v>
      </c>
      <c r="H2696" s="1463"/>
    </row>
    <row r="2697" spans="2:8" ht="12" hidden="1" customHeight="1" x14ac:dyDescent="0.25">
      <c r="B2697" s="441"/>
      <c r="C2697" s="2495"/>
      <c r="D2697" s="4347"/>
      <c r="E2697" s="2840"/>
      <c r="F2697" s="3226"/>
      <c r="G2697" s="2778"/>
      <c r="H2697" s="1463"/>
    </row>
    <row r="2698" spans="2:8" ht="16.5" customHeight="1" x14ac:dyDescent="0.25">
      <c r="B2698" s="440"/>
      <c r="C2698" s="2497" t="s">
        <v>2400</v>
      </c>
      <c r="D2698" s="4080">
        <f>SUM(D2699+D2702+D2706)</f>
        <v>1500000000</v>
      </c>
      <c r="E2698" s="2786">
        <f>SUM(E2699+E2702+E2706)</f>
        <v>1499000000</v>
      </c>
      <c r="F2698" s="2786">
        <f>E2698/D2698*100</f>
        <v>99.933333333333323</v>
      </c>
      <c r="G2698" s="2719">
        <f>SUM(G2699+G2702+G2706)/3</f>
        <v>100</v>
      </c>
      <c r="H2698" s="1463"/>
    </row>
    <row r="2699" spans="2:8" ht="18" customHeight="1" x14ac:dyDescent="0.25">
      <c r="B2699" s="441"/>
      <c r="C2699" s="2482" t="s">
        <v>2401</v>
      </c>
      <c r="D2699" s="4280">
        <f>D2700</f>
        <v>300000000</v>
      </c>
      <c r="E2699" s="2722">
        <f>E2700</f>
        <v>299000000</v>
      </c>
      <c r="F2699" s="4065">
        <f t="shared" ref="F2699:F2708" si="225">E2699/D2699*100</f>
        <v>99.666666666666671</v>
      </c>
      <c r="G2699" s="2722">
        <f>G2700</f>
        <v>100</v>
      </c>
      <c r="H2699" s="1463"/>
    </row>
    <row r="2700" spans="2:8" ht="17.25" hidden="1" customHeight="1" x14ac:dyDescent="0.25">
      <c r="B2700" s="441"/>
      <c r="C2700" s="2489" t="s">
        <v>3270</v>
      </c>
      <c r="D2700" s="4071">
        <v>300000000</v>
      </c>
      <c r="E2700" s="2708">
        <v>299000000</v>
      </c>
      <c r="F2700" s="4066">
        <f t="shared" si="225"/>
        <v>99.666666666666671</v>
      </c>
      <c r="G2700" s="2708">
        <v>100</v>
      </c>
      <c r="H2700" s="1463"/>
    </row>
    <row r="2701" spans="2:8" ht="13.5" hidden="1" customHeight="1" x14ac:dyDescent="0.25">
      <c r="B2701" s="441"/>
      <c r="C2701" s="2482"/>
      <c r="D2701" s="3704"/>
      <c r="E2701" s="2810"/>
      <c r="F2701" s="4066"/>
      <c r="G2701" s="3035"/>
      <c r="H2701" s="1463"/>
    </row>
    <row r="2702" spans="2:8" ht="19.5" customHeight="1" x14ac:dyDescent="0.25">
      <c r="B2702" s="441"/>
      <c r="C2702" s="2491" t="s">
        <v>2408</v>
      </c>
      <c r="D2702" s="4159">
        <f>SUM(D2703:D2704)</f>
        <v>800000000</v>
      </c>
      <c r="E2702" s="2813">
        <f>SUM(E2703:E2704)</f>
        <v>800000000</v>
      </c>
      <c r="F2702" s="4065">
        <f t="shared" si="225"/>
        <v>100</v>
      </c>
      <c r="G2702" s="2695">
        <v>100</v>
      </c>
      <c r="H2702" s="1463"/>
    </row>
    <row r="2703" spans="2:8" ht="20.25" hidden="1" customHeight="1" x14ac:dyDescent="0.25">
      <c r="B2703" s="441"/>
      <c r="C2703" s="2489" t="s">
        <v>3271</v>
      </c>
      <c r="D2703" s="3704">
        <v>500000000</v>
      </c>
      <c r="E2703" s="2810">
        <v>500000000</v>
      </c>
      <c r="F2703" s="4066">
        <f t="shared" si="225"/>
        <v>100</v>
      </c>
      <c r="G2703" s="2690">
        <v>100</v>
      </c>
      <c r="H2703" s="1463"/>
    </row>
    <row r="2704" spans="2:8" ht="15.75" hidden="1" customHeight="1" x14ac:dyDescent="0.25">
      <c r="B2704" s="441"/>
      <c r="C2704" s="2489" t="s">
        <v>3272</v>
      </c>
      <c r="D2704" s="3704">
        <v>300000000</v>
      </c>
      <c r="E2704" s="2810">
        <v>300000000</v>
      </c>
      <c r="F2704" s="4066">
        <f t="shared" si="225"/>
        <v>100</v>
      </c>
      <c r="G2704" s="2690">
        <v>100</v>
      </c>
      <c r="H2704" s="1463"/>
    </row>
    <row r="2705" spans="2:8" ht="12" hidden="1" customHeight="1" x14ac:dyDescent="0.25">
      <c r="B2705" s="441"/>
      <c r="C2705" s="2482"/>
      <c r="D2705" s="3704"/>
      <c r="E2705" s="2810"/>
      <c r="F2705" s="4066"/>
      <c r="G2705" s="2690"/>
      <c r="H2705" s="1463"/>
    </row>
    <row r="2706" spans="2:8" ht="17.25" customHeight="1" x14ac:dyDescent="0.25">
      <c r="B2706" s="441"/>
      <c r="C2706" s="2491" t="s">
        <v>3273</v>
      </c>
      <c r="D2706" s="4159">
        <f>SUM(D2707:D2708)</f>
        <v>400000000</v>
      </c>
      <c r="E2706" s="2813">
        <f>SUM(E2707:E2708)</f>
        <v>400000000</v>
      </c>
      <c r="F2706" s="4065">
        <f t="shared" si="225"/>
        <v>100</v>
      </c>
      <c r="G2706" s="2695">
        <f>SUM(G2707:G2708)/2</f>
        <v>100</v>
      </c>
      <c r="H2706" s="1463"/>
    </row>
    <row r="2707" spans="2:8" ht="16.5" hidden="1" customHeight="1" x14ac:dyDescent="0.25">
      <c r="B2707" s="441"/>
      <c r="C2707" s="2489" t="s">
        <v>3274</v>
      </c>
      <c r="D2707" s="3704">
        <v>200000000</v>
      </c>
      <c r="E2707" s="2810">
        <v>200000000</v>
      </c>
      <c r="F2707" s="4066">
        <f t="shared" si="225"/>
        <v>100</v>
      </c>
      <c r="G2707" s="2690">
        <v>100</v>
      </c>
      <c r="H2707" s="1463"/>
    </row>
    <row r="2708" spans="2:8" ht="13.5" hidden="1" customHeight="1" x14ac:dyDescent="0.25">
      <c r="B2708" s="441"/>
      <c r="C2708" s="2489" t="s">
        <v>3275</v>
      </c>
      <c r="D2708" s="3704">
        <v>200000000</v>
      </c>
      <c r="E2708" s="2810">
        <v>200000000</v>
      </c>
      <c r="F2708" s="4066">
        <f t="shared" si="225"/>
        <v>100</v>
      </c>
      <c r="G2708" s="2690">
        <v>100</v>
      </c>
      <c r="H2708" s="1463"/>
    </row>
    <row r="2709" spans="2:8" ht="12" hidden="1" customHeight="1" x14ac:dyDescent="0.25">
      <c r="B2709" s="441"/>
      <c r="C2709" s="2506"/>
      <c r="D2709" s="4290"/>
      <c r="E2709" s="2840"/>
      <c r="F2709" s="2840"/>
      <c r="G2709" s="2752"/>
      <c r="H2709" s="1463"/>
    </row>
    <row r="2710" spans="2:8" ht="21.75" customHeight="1" x14ac:dyDescent="0.25">
      <c r="B2710" s="440"/>
      <c r="C2710" s="2497" t="s">
        <v>3276</v>
      </c>
      <c r="D2710" s="4080">
        <f>D2711+D2720+D2723+D2726+D2729</f>
        <v>19811224000</v>
      </c>
      <c r="E2710" s="2786">
        <f>E2711+E2720+E2723+E2726+E2729</f>
        <v>19473224000</v>
      </c>
      <c r="F2710" s="2786">
        <f>E2710/D2710*100</f>
        <v>98.293896429619892</v>
      </c>
      <c r="G2710" s="2672">
        <f>SUM(G2711+G2720+G2723+G2726+G2729)/5</f>
        <v>97.668999999999997</v>
      </c>
      <c r="H2710" s="1463"/>
    </row>
    <row r="2711" spans="2:8" ht="21" customHeight="1" x14ac:dyDescent="0.25">
      <c r="B2711" s="441"/>
      <c r="C2711" s="2569" t="s">
        <v>3277</v>
      </c>
      <c r="D2711" s="4158">
        <f>SUM(D2712:D2718)</f>
        <v>12328724000</v>
      </c>
      <c r="E2711" s="3214">
        <f>SUM(E2712:E2718)</f>
        <v>12030724000</v>
      </c>
      <c r="F2711" s="4065">
        <f t="shared" ref="F2711:F2721" si="226">E2711/D2711*100</f>
        <v>97.582880434341789</v>
      </c>
      <c r="G2711" s="2734">
        <f>SUM(G2712:G2718)/6</f>
        <v>98.344999999999985</v>
      </c>
      <c r="H2711" s="1463"/>
    </row>
    <row r="2712" spans="2:8" ht="16.5" hidden="1" customHeight="1" x14ac:dyDescent="0.25">
      <c r="B2712" s="441"/>
      <c r="C2712" s="2489" t="s">
        <v>3278</v>
      </c>
      <c r="D2712" s="4071">
        <v>3000000000</v>
      </c>
      <c r="E2712" s="4070">
        <v>2702000000</v>
      </c>
      <c r="F2712" s="4066">
        <f t="shared" si="226"/>
        <v>90.066666666666663</v>
      </c>
      <c r="G2712" s="2690">
        <v>90.07</v>
      </c>
      <c r="H2712" s="1463"/>
    </row>
    <row r="2713" spans="2:8" ht="17.25" hidden="1" customHeight="1" x14ac:dyDescent="0.25">
      <c r="B2713" s="441"/>
      <c r="C2713" s="2570" t="s">
        <v>3279</v>
      </c>
      <c r="D2713" s="4071">
        <v>1000000000</v>
      </c>
      <c r="E2713" s="4070">
        <v>1000000000</v>
      </c>
      <c r="F2713" s="4066">
        <f t="shared" si="226"/>
        <v>100</v>
      </c>
      <c r="G2713" s="2708">
        <v>100</v>
      </c>
      <c r="H2713" s="1463"/>
    </row>
    <row r="2714" spans="2:8" ht="15.75" hidden="1" customHeight="1" x14ac:dyDescent="0.25">
      <c r="B2714" s="441"/>
      <c r="C2714" s="2570" t="s">
        <v>3280</v>
      </c>
      <c r="D2714" s="4071">
        <v>1870724000</v>
      </c>
      <c r="E2714" s="4070">
        <v>1870724000</v>
      </c>
      <c r="F2714" s="4066">
        <f t="shared" si="226"/>
        <v>100</v>
      </c>
      <c r="G2714" s="2708">
        <v>100</v>
      </c>
      <c r="H2714" s="1463"/>
    </row>
    <row r="2715" spans="2:8" ht="15.75" hidden="1" customHeight="1" x14ac:dyDescent="0.25">
      <c r="B2715" s="441"/>
      <c r="C2715" s="2570" t="s">
        <v>3281</v>
      </c>
      <c r="D2715" s="4071">
        <v>2858000000</v>
      </c>
      <c r="E2715" s="4070">
        <v>2858000000</v>
      </c>
      <c r="F2715" s="4066">
        <f t="shared" si="226"/>
        <v>100</v>
      </c>
      <c r="G2715" s="2708">
        <v>100</v>
      </c>
      <c r="H2715" s="1463"/>
    </row>
    <row r="2716" spans="2:8" ht="17.25" hidden="1" customHeight="1" x14ac:dyDescent="0.25">
      <c r="B2716" s="441"/>
      <c r="C2716" s="2570" t="s">
        <v>3282</v>
      </c>
      <c r="D2716" s="4071">
        <v>3000000000</v>
      </c>
      <c r="E2716" s="2685">
        <v>3000000000</v>
      </c>
      <c r="F2716" s="4066">
        <f t="shared" si="226"/>
        <v>100</v>
      </c>
      <c r="G2716" s="2685">
        <v>100</v>
      </c>
      <c r="H2716" s="1463"/>
    </row>
    <row r="2717" spans="2:8" ht="18.75" hidden="1" customHeight="1" x14ac:dyDescent="0.25">
      <c r="B2717" s="441"/>
      <c r="C2717" s="2489" t="s">
        <v>3283</v>
      </c>
      <c r="D2717" s="4071">
        <v>0</v>
      </c>
      <c r="E2717" s="2710">
        <v>0</v>
      </c>
      <c r="F2717" s="2710">
        <v>0</v>
      </c>
      <c r="G2717" s="2710">
        <v>0</v>
      </c>
      <c r="H2717" s="1463"/>
    </row>
    <row r="2718" spans="2:8" ht="16.5" hidden="1" customHeight="1" x14ac:dyDescent="0.25">
      <c r="B2718" s="441"/>
      <c r="C2718" s="2489" t="s">
        <v>4065</v>
      </c>
      <c r="D2718" s="4071">
        <v>600000000</v>
      </c>
      <c r="E2718" s="2710">
        <v>600000000</v>
      </c>
      <c r="F2718" s="4066">
        <f t="shared" si="226"/>
        <v>100</v>
      </c>
      <c r="G2718" s="2708">
        <v>100</v>
      </c>
      <c r="H2718" s="1463"/>
    </row>
    <row r="2719" spans="2:8" ht="11.25" hidden="1" customHeight="1" x14ac:dyDescent="0.25">
      <c r="B2719" s="441"/>
      <c r="C2719" s="2506"/>
      <c r="D2719" s="4285"/>
      <c r="E2719" s="2778"/>
      <c r="F2719" s="4066"/>
      <c r="G2719" s="2778"/>
      <c r="H2719" s="1463"/>
    </row>
    <row r="2720" spans="2:8" ht="16.5" customHeight="1" x14ac:dyDescent="0.25">
      <c r="B2720" s="441"/>
      <c r="C2720" s="2491" t="s">
        <v>3284</v>
      </c>
      <c r="D2720" s="4065">
        <f>D2721</f>
        <v>4982500000</v>
      </c>
      <c r="E2720" s="2695">
        <f>E2721</f>
        <v>4982500000</v>
      </c>
      <c r="F2720" s="4065">
        <f t="shared" si="226"/>
        <v>100</v>
      </c>
      <c r="G2720" s="2695">
        <f>G2721</f>
        <v>100</v>
      </c>
      <c r="H2720" s="1463"/>
    </row>
    <row r="2721" spans="2:8" ht="15.75" hidden="1" customHeight="1" x14ac:dyDescent="0.25">
      <c r="B2721" s="441"/>
      <c r="C2721" s="2494" t="s">
        <v>3285</v>
      </c>
      <c r="D2721" s="4066">
        <v>4982500000</v>
      </c>
      <c r="E2721" s="2690">
        <v>4982500000</v>
      </c>
      <c r="F2721" s="4066">
        <f t="shared" si="226"/>
        <v>100</v>
      </c>
      <c r="G2721" s="2690">
        <v>100</v>
      </c>
      <c r="H2721" s="1463"/>
    </row>
    <row r="2722" spans="2:8" ht="9.75" hidden="1" customHeight="1" x14ac:dyDescent="0.25">
      <c r="B2722" s="441"/>
      <c r="C2722" s="2494"/>
      <c r="D2722" s="4276"/>
      <c r="E2722" s="3035"/>
      <c r="F2722" s="3035"/>
      <c r="G2722" s="3035"/>
      <c r="H2722" s="1463"/>
    </row>
    <row r="2723" spans="2:8" ht="17.25" customHeight="1" x14ac:dyDescent="0.25">
      <c r="B2723" s="441"/>
      <c r="C2723" s="2491" t="s">
        <v>3286</v>
      </c>
      <c r="D2723" s="4159">
        <f>D2724</f>
        <v>400000000</v>
      </c>
      <c r="E2723" s="2679">
        <f>E2724</f>
        <v>360000000</v>
      </c>
      <c r="F2723" s="2679">
        <f>F2724</f>
        <v>90</v>
      </c>
      <c r="G2723" s="2679">
        <f>G2724</f>
        <v>90</v>
      </c>
      <c r="H2723" s="1463"/>
    </row>
    <row r="2724" spans="2:8" ht="15" hidden="1" customHeight="1" x14ac:dyDescent="0.25">
      <c r="B2724" s="441"/>
      <c r="C2724" s="2494" t="s">
        <v>3287</v>
      </c>
      <c r="D2724" s="4071">
        <v>400000000</v>
      </c>
      <c r="E2724" s="4066">
        <v>360000000</v>
      </c>
      <c r="F2724" s="4066">
        <f t="shared" ref="F2724" si="227">E2724/D2724*100</f>
        <v>90</v>
      </c>
      <c r="G2724" s="4066">
        <v>90</v>
      </c>
      <c r="H2724" s="1463"/>
    </row>
    <row r="2725" spans="2:8" ht="11.25" hidden="1" customHeight="1" x14ac:dyDescent="0.25">
      <c r="B2725" s="441"/>
      <c r="C2725" s="2494"/>
      <c r="D2725" s="4276"/>
      <c r="E2725" s="3035"/>
      <c r="F2725" s="3035"/>
      <c r="G2725" s="3035"/>
      <c r="H2725" s="1463"/>
    </row>
    <row r="2726" spans="2:8" ht="17.25" customHeight="1" x14ac:dyDescent="0.25">
      <c r="B2726" s="441"/>
      <c r="C2726" s="2491" t="s">
        <v>3288</v>
      </c>
      <c r="D2726" s="4159">
        <f>D2727</f>
        <v>100000000</v>
      </c>
      <c r="E2726" s="2679">
        <f>E2727</f>
        <v>100000000</v>
      </c>
      <c r="F2726" s="2679">
        <v>100</v>
      </c>
      <c r="G2726" s="2679">
        <v>100</v>
      </c>
      <c r="H2726" s="1463"/>
    </row>
    <row r="2727" spans="2:8" ht="15.75" hidden="1" customHeight="1" x14ac:dyDescent="0.25">
      <c r="B2727" s="441"/>
      <c r="C2727" s="2494" t="s">
        <v>3289</v>
      </c>
      <c r="D2727" s="3704">
        <v>100000000</v>
      </c>
      <c r="E2727" s="2685">
        <v>100000000</v>
      </c>
      <c r="F2727" s="2685">
        <v>100</v>
      </c>
      <c r="G2727" s="2685">
        <v>100</v>
      </c>
      <c r="H2727" s="1463"/>
    </row>
    <row r="2728" spans="2:8" ht="12" hidden="1" customHeight="1" x14ac:dyDescent="0.25">
      <c r="B2728" s="441"/>
      <c r="C2728" s="2495"/>
      <c r="D2728" s="4299"/>
      <c r="E2728" s="2778"/>
      <c r="F2728" s="2784"/>
      <c r="G2728" s="2784"/>
      <c r="H2728" s="1463"/>
    </row>
    <row r="2729" spans="2:8" ht="22.5" customHeight="1" x14ac:dyDescent="0.25">
      <c r="B2729" s="441"/>
      <c r="C2729" s="2491" t="s">
        <v>3293</v>
      </c>
      <c r="D2729" s="4159">
        <f>SUM(D2730:D2735)</f>
        <v>2000000000</v>
      </c>
      <c r="E2729" s="2679">
        <f>SUM(E2730:E2735)</f>
        <v>2000000000</v>
      </c>
      <c r="F2729" s="4065">
        <f t="shared" ref="F2729:F2730" si="228">E2729/D2729*100</f>
        <v>100</v>
      </c>
      <c r="G2729" s="2695">
        <f>SUM(G2730:G2735)/6</f>
        <v>100</v>
      </c>
      <c r="H2729" s="1463"/>
    </row>
    <row r="2730" spans="2:8" ht="15.75" hidden="1" customHeight="1" x14ac:dyDescent="0.25">
      <c r="B2730" s="441"/>
      <c r="C2730" s="2494" t="s">
        <v>3294</v>
      </c>
      <c r="D2730" s="4066">
        <v>500000000</v>
      </c>
      <c r="E2730" s="2690">
        <v>500000000</v>
      </c>
      <c r="F2730" s="4066">
        <f t="shared" si="228"/>
        <v>100</v>
      </c>
      <c r="G2730" s="2690">
        <v>100</v>
      </c>
      <c r="H2730" s="1463"/>
    </row>
    <row r="2731" spans="2:8" ht="15.75" hidden="1" customHeight="1" x14ac:dyDescent="0.25">
      <c r="B2731" s="441"/>
      <c r="C2731" s="2494" t="s">
        <v>3295</v>
      </c>
      <c r="D2731" s="3704">
        <v>250000000</v>
      </c>
      <c r="E2731" s="2685">
        <v>250000000</v>
      </c>
      <c r="F2731" s="2685">
        <v>100</v>
      </c>
      <c r="G2731" s="2685">
        <v>100</v>
      </c>
      <c r="H2731" s="1463"/>
    </row>
    <row r="2732" spans="2:8" ht="15" hidden="1" customHeight="1" x14ac:dyDescent="0.25">
      <c r="B2732" s="441"/>
      <c r="C2732" s="2494" t="s">
        <v>3296</v>
      </c>
      <c r="D2732" s="3704">
        <v>200000000</v>
      </c>
      <c r="E2732" s="2685">
        <v>200000000</v>
      </c>
      <c r="F2732" s="2685">
        <v>100</v>
      </c>
      <c r="G2732" s="2685">
        <v>100</v>
      </c>
      <c r="H2732" s="1463"/>
    </row>
    <row r="2733" spans="2:8" ht="16.5" hidden="1" customHeight="1" x14ac:dyDescent="0.25">
      <c r="B2733" s="444"/>
      <c r="C2733" s="2494" t="s">
        <v>3297</v>
      </c>
      <c r="D2733" s="4066">
        <v>450000000</v>
      </c>
      <c r="E2733" s="2690">
        <v>450000000</v>
      </c>
      <c r="F2733" s="2685">
        <v>100</v>
      </c>
      <c r="G2733" s="2690">
        <v>100</v>
      </c>
      <c r="H2733" s="1463"/>
    </row>
    <row r="2734" spans="2:8" ht="18" hidden="1" customHeight="1" x14ac:dyDescent="0.25">
      <c r="B2734" s="441"/>
      <c r="C2734" s="2506" t="s">
        <v>4063</v>
      </c>
      <c r="D2734" s="4301">
        <v>100000000</v>
      </c>
      <c r="E2734" s="2685">
        <v>100000000</v>
      </c>
      <c r="F2734" s="2685">
        <v>100</v>
      </c>
      <c r="G2734" s="2685">
        <v>100</v>
      </c>
      <c r="H2734" s="1463"/>
    </row>
    <row r="2735" spans="2:8" ht="16.5" hidden="1" customHeight="1" x14ac:dyDescent="0.25">
      <c r="B2735" s="441"/>
      <c r="C2735" s="2494" t="s">
        <v>4064</v>
      </c>
      <c r="D2735" s="4301">
        <v>500000000</v>
      </c>
      <c r="E2735" s="2685">
        <v>500000000</v>
      </c>
      <c r="F2735" s="2685">
        <v>100</v>
      </c>
      <c r="G2735" s="2685">
        <v>100</v>
      </c>
      <c r="H2735" s="1463"/>
    </row>
    <row r="2736" spans="2:8" ht="15" hidden="1" customHeight="1" x14ac:dyDescent="0.25">
      <c r="B2736" s="441"/>
      <c r="C2736" s="2506"/>
      <c r="D2736" s="4299"/>
      <c r="E2736" s="3496"/>
      <c r="F2736" s="2784"/>
      <c r="G2736" s="2784"/>
      <c r="H2736" s="1463"/>
    </row>
    <row r="2737" spans="2:8" ht="17.25" customHeight="1" x14ac:dyDescent="0.25">
      <c r="B2737" s="440"/>
      <c r="C2737" s="2497" t="s">
        <v>3290</v>
      </c>
      <c r="D2737" s="4080">
        <f>SUM(D2738+D2746)</f>
        <v>4000000000</v>
      </c>
      <c r="E2737" s="2719">
        <f>SUM(E2738+E2746)</f>
        <v>3222421540</v>
      </c>
      <c r="F2737" s="2786">
        <f>E2737/D2737*100</f>
        <v>80.560538500000007</v>
      </c>
      <c r="G2737" s="2672">
        <f>SUM(G2738+G2746)/2</f>
        <v>92.039999999999992</v>
      </c>
      <c r="H2737" s="1463"/>
    </row>
    <row r="2738" spans="2:8" ht="18" customHeight="1" x14ac:dyDescent="0.25">
      <c r="B2738" s="441"/>
      <c r="C2738" s="2569" t="s">
        <v>3291</v>
      </c>
      <c r="D2738" s="4158">
        <f>SUM(D2739:D2744)</f>
        <v>3000000000</v>
      </c>
      <c r="E2738" s="2725">
        <f>SUM(E2739:E2744)</f>
        <v>2290807270</v>
      </c>
      <c r="F2738" s="4065">
        <f t="shared" ref="F2738:F2748" si="229">E2738/D2738*100</f>
        <v>76.360242333333332</v>
      </c>
      <c r="G2738" s="2785">
        <f>SUM(G2740:G2744)/5</f>
        <v>90</v>
      </c>
      <c r="H2738" s="1463"/>
    </row>
    <row r="2739" spans="2:8" ht="18.75" hidden="1" customHeight="1" x14ac:dyDescent="0.25">
      <c r="B2739" s="441"/>
      <c r="C2739" s="2494" t="s">
        <v>4066</v>
      </c>
      <c r="D2739" s="4066">
        <v>0</v>
      </c>
      <c r="E2739" s="2690">
        <v>0</v>
      </c>
      <c r="F2739" s="2690">
        <v>0</v>
      </c>
      <c r="G2739" s="2690">
        <v>0</v>
      </c>
      <c r="H2739" s="1463"/>
    </row>
    <row r="2740" spans="2:8" ht="17.25" hidden="1" customHeight="1" x14ac:dyDescent="0.25">
      <c r="B2740" s="441"/>
      <c r="C2740" s="2494" t="s">
        <v>4068</v>
      </c>
      <c r="D2740" s="4066">
        <v>250000000</v>
      </c>
      <c r="E2740" s="2690">
        <v>240807270</v>
      </c>
      <c r="F2740" s="4071">
        <f t="shared" si="229"/>
        <v>96.322907999999998</v>
      </c>
      <c r="G2740" s="2690">
        <v>100</v>
      </c>
      <c r="H2740" s="1463"/>
    </row>
    <row r="2741" spans="2:8" ht="15.75" hidden="1" customHeight="1" x14ac:dyDescent="0.25">
      <c r="B2741" s="441"/>
      <c r="C2741" s="2494" t="s">
        <v>4067</v>
      </c>
      <c r="D2741" s="4066">
        <f>1000000000+650000000</f>
        <v>1650000000</v>
      </c>
      <c r="E2741" s="2690">
        <v>1000000000</v>
      </c>
      <c r="F2741" s="2810">
        <f t="shared" si="229"/>
        <v>60.606060606060609</v>
      </c>
      <c r="G2741" s="2690">
        <v>100</v>
      </c>
      <c r="H2741" s="1463"/>
    </row>
    <row r="2742" spans="2:8" ht="18" hidden="1" customHeight="1" x14ac:dyDescent="0.25">
      <c r="B2742" s="441"/>
      <c r="C2742" s="2494" t="s">
        <v>4069</v>
      </c>
      <c r="D2742" s="4066">
        <v>100000000</v>
      </c>
      <c r="E2742" s="2690">
        <v>50000000</v>
      </c>
      <c r="F2742" s="4066">
        <f t="shared" si="229"/>
        <v>50</v>
      </c>
      <c r="G2742" s="2690">
        <v>50</v>
      </c>
      <c r="H2742" s="1463"/>
    </row>
    <row r="2743" spans="2:8" ht="18" hidden="1" customHeight="1" x14ac:dyDescent="0.25">
      <c r="B2743" s="441"/>
      <c r="C2743" s="2494" t="s">
        <v>4070</v>
      </c>
      <c r="D2743" s="4066">
        <v>900000000</v>
      </c>
      <c r="E2743" s="2690">
        <v>900000000</v>
      </c>
      <c r="F2743" s="4066">
        <f t="shared" si="229"/>
        <v>100</v>
      </c>
      <c r="G2743" s="2690">
        <v>100</v>
      </c>
      <c r="H2743" s="1463"/>
    </row>
    <row r="2744" spans="2:8" ht="18" hidden="1" customHeight="1" x14ac:dyDescent="0.25">
      <c r="B2744" s="441"/>
      <c r="C2744" s="2494" t="s">
        <v>4071</v>
      </c>
      <c r="D2744" s="4066">
        <v>100000000</v>
      </c>
      <c r="E2744" s="2690">
        <v>100000000</v>
      </c>
      <c r="F2744" s="4066">
        <f t="shared" si="229"/>
        <v>100</v>
      </c>
      <c r="G2744" s="2690">
        <v>100</v>
      </c>
      <c r="H2744" s="1463"/>
    </row>
    <row r="2745" spans="2:8" ht="8.25" hidden="1" customHeight="1" x14ac:dyDescent="0.25">
      <c r="B2745" s="441"/>
      <c r="C2745" s="2494"/>
      <c r="D2745" s="4276"/>
      <c r="E2745" s="3035"/>
      <c r="F2745" s="2813"/>
      <c r="G2745" s="3035"/>
      <c r="H2745" s="1463"/>
    </row>
    <row r="2746" spans="2:8" ht="17.25" customHeight="1" x14ac:dyDescent="0.25">
      <c r="B2746" s="441"/>
      <c r="C2746" s="2491" t="s">
        <v>3292</v>
      </c>
      <c r="D2746" s="4159">
        <f>SUM(D2747:D2748)</f>
        <v>1000000000</v>
      </c>
      <c r="E2746" s="2679">
        <f>SUM(E2747:E2748)</f>
        <v>931614270</v>
      </c>
      <c r="F2746" s="4072">
        <f t="shared" si="229"/>
        <v>93.161427000000003</v>
      </c>
      <c r="G2746" s="2695">
        <f>SUM(G2747:G2748)/2</f>
        <v>94.08</v>
      </c>
      <c r="H2746" s="1463"/>
    </row>
    <row r="2747" spans="2:8" ht="17.25" hidden="1" customHeight="1" x14ac:dyDescent="0.25">
      <c r="B2747" s="441"/>
      <c r="C2747" s="2494" t="s">
        <v>4080</v>
      </c>
      <c r="D2747" s="4066">
        <v>500000000</v>
      </c>
      <c r="E2747" s="2690">
        <v>490807270</v>
      </c>
      <c r="F2747" s="4066">
        <f t="shared" si="229"/>
        <v>98.161454000000006</v>
      </c>
      <c r="G2747" s="2690">
        <v>100</v>
      </c>
      <c r="H2747" s="1463"/>
    </row>
    <row r="2748" spans="2:8" ht="17.25" hidden="1" customHeight="1" x14ac:dyDescent="0.25">
      <c r="B2748" s="441"/>
      <c r="C2748" s="2494" t="s">
        <v>4081</v>
      </c>
      <c r="D2748" s="4066">
        <v>500000000</v>
      </c>
      <c r="E2748" s="2690">
        <v>440807000</v>
      </c>
      <c r="F2748" s="4066">
        <f t="shared" si="229"/>
        <v>88.1614</v>
      </c>
      <c r="G2748" s="2690">
        <v>88.16</v>
      </c>
      <c r="H2748" s="1463"/>
    </row>
    <row r="2749" spans="2:8" ht="12" hidden="1" customHeight="1" x14ac:dyDescent="0.25">
      <c r="B2749" s="441"/>
      <c r="C2749" s="2506"/>
      <c r="D2749" s="4299"/>
      <c r="E2749" s="2778"/>
      <c r="F2749" s="2784"/>
      <c r="G2749" s="2784"/>
      <c r="H2749" s="1463"/>
    </row>
    <row r="2750" spans="2:8" ht="20.25" customHeight="1" x14ac:dyDescent="0.25">
      <c r="B2750" s="440"/>
      <c r="C2750" s="2497" t="s">
        <v>4082</v>
      </c>
      <c r="D2750" s="4073">
        <f>D2751</f>
        <v>500000000</v>
      </c>
      <c r="E2750" s="4073">
        <f>E2751</f>
        <v>500000000</v>
      </c>
      <c r="F2750" s="4073">
        <f>F2751</f>
        <v>100</v>
      </c>
      <c r="G2750" s="4074">
        <v>100</v>
      </c>
      <c r="H2750" s="1463"/>
    </row>
    <row r="2751" spans="2:8" ht="21.75" customHeight="1" thickBot="1" x14ac:dyDescent="0.3">
      <c r="B2751" s="441"/>
      <c r="C2751" s="2603" t="s">
        <v>4083</v>
      </c>
      <c r="D2751" s="4075">
        <f>SUM(D2752:D2753)</f>
        <v>500000000</v>
      </c>
      <c r="E2751" s="4075">
        <f>SUM(E2752:E2753)</f>
        <v>500000000</v>
      </c>
      <c r="F2751" s="4075">
        <f>SUM(F2752:F2753)/2</f>
        <v>100</v>
      </c>
      <c r="G2751" s="2785">
        <f>SUM(G2752:G2753)/2</f>
        <v>100</v>
      </c>
      <c r="H2751" s="1463"/>
    </row>
    <row r="2752" spans="2:8" ht="18" hidden="1" customHeight="1" x14ac:dyDescent="0.25">
      <c r="B2752" s="441"/>
      <c r="C2752" s="2494" t="s">
        <v>4084</v>
      </c>
      <c r="D2752" s="4076">
        <v>200000000</v>
      </c>
      <c r="E2752" s="4066">
        <v>200000000</v>
      </c>
      <c r="F2752" s="4066">
        <f t="shared" ref="F2752:F2753" si="230">E2752/D2752*100</f>
        <v>100</v>
      </c>
      <c r="G2752" s="4066">
        <v>100</v>
      </c>
      <c r="H2752" s="1463"/>
    </row>
    <row r="2753" spans="2:11" ht="18" hidden="1" customHeight="1" x14ac:dyDescent="0.25">
      <c r="B2753" s="441"/>
      <c r="C2753" s="2494" t="s">
        <v>4085</v>
      </c>
      <c r="D2753" s="4076">
        <v>300000000</v>
      </c>
      <c r="E2753" s="4066">
        <v>300000000</v>
      </c>
      <c r="F2753" s="4066">
        <f t="shared" si="230"/>
        <v>100</v>
      </c>
      <c r="G2753" s="4066">
        <v>100</v>
      </c>
      <c r="H2753" s="1463"/>
    </row>
    <row r="2754" spans="2:11" ht="12" hidden="1" customHeight="1" thickBot="1" x14ac:dyDescent="0.3">
      <c r="B2754" s="441"/>
      <c r="C2754" s="2506"/>
      <c r="D2754" s="4078"/>
      <c r="E2754" s="4078"/>
      <c r="F2754" s="4077"/>
      <c r="G2754" s="4077"/>
      <c r="H2754" s="1463"/>
    </row>
    <row r="2755" spans="2:11" s="1" customFormat="1" ht="16.5" customHeight="1" thickBot="1" x14ac:dyDescent="0.3">
      <c r="B2755" s="456"/>
      <c r="C2755" s="3650" t="s">
        <v>1801</v>
      </c>
      <c r="D2755" s="4330">
        <f>SUM(D2757+D2854+D2920+D2924+D2992+D3018+D3051+D3077+D3088+D3101+D3135+D3141+D3164+D3209)</f>
        <v>146478382000</v>
      </c>
      <c r="E2755" s="3738">
        <f>SUM(E2757+E2854+E2920+E2924+E2992+E3018+E3051+E3077+E3088+E3101+E3135+E3141+E3164+E3209)</f>
        <v>142794922849</v>
      </c>
      <c r="F2755" s="3681">
        <f>E2755/D2755*100</f>
        <v>97.485322338555051</v>
      </c>
      <c r="G2755" s="3738">
        <f>SUM(G2757+G2764+G2804+G2810+G2828+G2833+G2846)/7</f>
        <v>96.938768660714302</v>
      </c>
      <c r="H2755" s="3720"/>
      <c r="J2755" s="1204" t="s">
        <v>5081</v>
      </c>
      <c r="K2755" s="535"/>
    </row>
    <row r="2756" spans="2:11" s="1" customFormat="1" ht="6.75" hidden="1" customHeight="1" x14ac:dyDescent="0.25">
      <c r="B2756" s="439"/>
      <c r="C2756" s="2503"/>
      <c r="D2756" s="4303"/>
      <c r="E2756" s="4079"/>
      <c r="F2756" s="3095"/>
      <c r="G2756" s="2955"/>
      <c r="H2756" s="1462"/>
      <c r="J2756" s="535"/>
      <c r="K2756" s="535"/>
    </row>
    <row r="2757" spans="2:11" ht="15.75" customHeight="1" x14ac:dyDescent="0.25">
      <c r="B2757" s="440"/>
      <c r="C2757" s="2575" t="s">
        <v>630</v>
      </c>
      <c r="D2757" s="4303">
        <f>SUM(D2758+D2764+D2804+D2810+D2828+D2833+D2846)</f>
        <v>39496600000</v>
      </c>
      <c r="E2757" s="2955">
        <f>SUM(E2758+E2764+E2804+E2810+E2828+E2833+E2846)</f>
        <v>37989718301</v>
      </c>
      <c r="F2757" s="2719">
        <f>E2757/D2757*100</f>
        <v>96.184781224206645</v>
      </c>
      <c r="G2757" s="4080">
        <f>SUM(G2758,G2764,G2804,G2810,G2828,G2833,G2846)/7</f>
        <v>97.321422578124995</v>
      </c>
      <c r="H2757" s="1463"/>
    </row>
    <row r="2758" spans="2:11" ht="18" customHeight="1" x14ac:dyDescent="0.25">
      <c r="B2758" s="441"/>
      <c r="C2758" s="2576" t="s">
        <v>1802</v>
      </c>
      <c r="D2758" s="4065">
        <f>SUM(D2759:D2762)</f>
        <v>1100000000</v>
      </c>
      <c r="E2758" s="2695">
        <f>SUM(E2759:E2762)</f>
        <v>1024050000</v>
      </c>
      <c r="F2758" s="2764">
        <f>E2758/D2758*100</f>
        <v>93.095454545454544</v>
      </c>
      <c r="G2758" s="2734">
        <f>SUM(G2759:G2762)/4</f>
        <v>100</v>
      </c>
      <c r="H2758" s="1463"/>
    </row>
    <row r="2759" spans="2:11" ht="16.5" hidden="1" customHeight="1" x14ac:dyDescent="0.25">
      <c r="B2759" s="441"/>
      <c r="C2759" s="2577" t="s">
        <v>1803</v>
      </c>
      <c r="D2759" s="4066">
        <v>350000000</v>
      </c>
      <c r="E2759" s="2688">
        <v>323950000</v>
      </c>
      <c r="F2759" s="2763">
        <f t="shared" ref="F2759:F2822" si="231">E2759/D2759*100</f>
        <v>92.557142857142864</v>
      </c>
      <c r="G2759" s="2763">
        <v>100</v>
      </c>
      <c r="H2759" s="1463"/>
    </row>
    <row r="2760" spans="2:11" ht="16.5" hidden="1" customHeight="1" x14ac:dyDescent="0.25">
      <c r="B2760" s="441"/>
      <c r="C2760" s="2577" t="s">
        <v>1804</v>
      </c>
      <c r="D2760" s="4066">
        <v>350000000</v>
      </c>
      <c r="E2760" s="2690">
        <v>323950000</v>
      </c>
      <c r="F2760" s="2763">
        <f t="shared" si="231"/>
        <v>92.557142857142864</v>
      </c>
      <c r="G2760" s="2763">
        <v>100</v>
      </c>
      <c r="H2760" s="1463"/>
    </row>
    <row r="2761" spans="2:11" ht="18" hidden="1" customHeight="1" x14ac:dyDescent="0.25">
      <c r="B2761" s="441"/>
      <c r="C2761" s="2577" t="s">
        <v>1805</v>
      </c>
      <c r="D2761" s="4066">
        <v>250000000</v>
      </c>
      <c r="E2761" s="2690">
        <v>230950000</v>
      </c>
      <c r="F2761" s="2763">
        <f t="shared" si="231"/>
        <v>92.38</v>
      </c>
      <c r="G2761" s="2763">
        <v>100</v>
      </c>
      <c r="H2761" s="1463"/>
    </row>
    <row r="2762" spans="2:11" ht="17.25" hidden="1" customHeight="1" x14ac:dyDescent="0.25">
      <c r="B2762" s="441"/>
      <c r="C2762" s="2577" t="s">
        <v>1806</v>
      </c>
      <c r="D2762" s="4066">
        <v>150000000</v>
      </c>
      <c r="E2762" s="2690">
        <v>145200000</v>
      </c>
      <c r="F2762" s="2763">
        <f t="shared" si="231"/>
        <v>96.8</v>
      </c>
      <c r="G2762" s="2763">
        <v>100</v>
      </c>
      <c r="H2762" s="1463"/>
    </row>
    <row r="2763" spans="2:11" ht="12" hidden="1" customHeight="1" x14ac:dyDescent="0.25">
      <c r="B2763" s="441"/>
      <c r="C2763" s="2577"/>
      <c r="D2763" s="4066"/>
      <c r="E2763" s="2690"/>
      <c r="F2763" s="2763"/>
      <c r="G2763" s="2763"/>
      <c r="H2763" s="1463"/>
    </row>
    <row r="2764" spans="2:11" ht="17.25" customHeight="1" x14ac:dyDescent="0.25">
      <c r="B2764" s="441"/>
      <c r="C2764" s="2576" t="s">
        <v>1807</v>
      </c>
      <c r="D2764" s="4065">
        <f>SUM(D2765:D2802)</f>
        <v>28494000000</v>
      </c>
      <c r="E2764" s="2695">
        <f>SUM(E2765:E2802)</f>
        <v>28092916895</v>
      </c>
      <c r="F2764" s="2764">
        <f t="shared" si="231"/>
        <v>98.592394521653688</v>
      </c>
      <c r="G2764" s="4065">
        <f>SUM(G2765:G2802)/38</f>
        <v>100</v>
      </c>
      <c r="H2764" s="1463"/>
    </row>
    <row r="2765" spans="2:11" ht="19.5" hidden="1" customHeight="1" x14ac:dyDescent="0.25">
      <c r="B2765" s="441"/>
      <c r="C2765" s="2577" t="s">
        <v>1808</v>
      </c>
      <c r="D2765" s="4066">
        <v>150000000</v>
      </c>
      <c r="E2765" s="2763">
        <v>149150000</v>
      </c>
      <c r="F2765" s="2763">
        <f t="shared" si="231"/>
        <v>99.433333333333323</v>
      </c>
      <c r="G2765" s="2763">
        <v>100</v>
      </c>
      <c r="H2765" s="1463"/>
    </row>
    <row r="2766" spans="2:11" ht="18" hidden="1" customHeight="1" x14ac:dyDescent="0.25">
      <c r="B2766" s="441"/>
      <c r="C2766" s="2577" t="s">
        <v>1809</v>
      </c>
      <c r="D2766" s="4066">
        <v>250000000</v>
      </c>
      <c r="E2766" s="2763">
        <v>243950000</v>
      </c>
      <c r="F2766" s="2763">
        <f t="shared" si="231"/>
        <v>97.58</v>
      </c>
      <c r="G2766" s="2763">
        <v>100</v>
      </c>
      <c r="H2766" s="1463"/>
    </row>
    <row r="2767" spans="2:11" ht="18.75" hidden="1" customHeight="1" x14ac:dyDescent="0.25">
      <c r="B2767" s="441"/>
      <c r="C2767" s="2577" t="s">
        <v>1810</v>
      </c>
      <c r="D2767" s="4066">
        <v>200000000</v>
      </c>
      <c r="E2767" s="2690">
        <v>200000000</v>
      </c>
      <c r="F2767" s="2763">
        <f t="shared" si="231"/>
        <v>100</v>
      </c>
      <c r="G2767" s="2763">
        <v>100</v>
      </c>
      <c r="H2767" s="1463"/>
    </row>
    <row r="2768" spans="2:11" ht="14.25" hidden="1" customHeight="1" x14ac:dyDescent="0.25">
      <c r="B2768" s="441"/>
      <c r="C2768" s="2577" t="s">
        <v>1811</v>
      </c>
      <c r="D2768" s="4066">
        <v>150000000</v>
      </c>
      <c r="E2768" s="2855">
        <v>149790400</v>
      </c>
      <c r="F2768" s="2763">
        <f t="shared" si="231"/>
        <v>99.860266666666661</v>
      </c>
      <c r="G2768" s="2763">
        <v>100</v>
      </c>
      <c r="H2768" s="1463"/>
    </row>
    <row r="2769" spans="2:8" ht="17.25" hidden="1" customHeight="1" x14ac:dyDescent="0.25">
      <c r="B2769" s="441"/>
      <c r="C2769" s="2577" t="s">
        <v>1812</v>
      </c>
      <c r="D2769" s="4066">
        <v>200000000</v>
      </c>
      <c r="E2769" s="2690">
        <v>198326913</v>
      </c>
      <c r="F2769" s="2763">
        <f t="shared" si="231"/>
        <v>99.163456499999995</v>
      </c>
      <c r="G2769" s="2763">
        <v>100</v>
      </c>
      <c r="H2769" s="1463"/>
    </row>
    <row r="2770" spans="2:8" ht="18.75" hidden="1" customHeight="1" x14ac:dyDescent="0.25">
      <c r="B2770" s="441"/>
      <c r="C2770" s="2577" t="s">
        <v>1813</v>
      </c>
      <c r="D2770" s="4066">
        <v>1500000000</v>
      </c>
      <c r="E2770" s="2690">
        <v>1500000000</v>
      </c>
      <c r="F2770" s="2763">
        <f t="shared" si="231"/>
        <v>100</v>
      </c>
      <c r="G2770" s="2763">
        <v>100</v>
      </c>
      <c r="H2770" s="1463"/>
    </row>
    <row r="2771" spans="2:8" ht="17.25" hidden="1" customHeight="1" x14ac:dyDescent="0.25">
      <c r="B2771" s="441"/>
      <c r="C2771" s="2577" t="s">
        <v>1814</v>
      </c>
      <c r="D2771" s="4066">
        <v>500000000</v>
      </c>
      <c r="E2771" s="2690">
        <v>499850000</v>
      </c>
      <c r="F2771" s="2763">
        <f t="shared" si="231"/>
        <v>99.97</v>
      </c>
      <c r="G2771" s="2763">
        <v>100</v>
      </c>
      <c r="H2771" s="1463"/>
    </row>
    <row r="2772" spans="2:8" ht="16.5" hidden="1" customHeight="1" x14ac:dyDescent="0.25">
      <c r="B2772" s="441"/>
      <c r="C2772" s="2577" t="s">
        <v>1815</v>
      </c>
      <c r="D2772" s="4066">
        <v>5000000000</v>
      </c>
      <c r="E2772" s="2763">
        <v>5000000000</v>
      </c>
      <c r="F2772" s="2763">
        <f t="shared" si="231"/>
        <v>100</v>
      </c>
      <c r="G2772" s="2763">
        <v>100</v>
      </c>
      <c r="H2772" s="1463"/>
    </row>
    <row r="2773" spans="2:8" ht="13.5" hidden="1" customHeight="1" x14ac:dyDescent="0.25">
      <c r="B2773" s="441"/>
      <c r="C2773" s="2577" t="s">
        <v>1816</v>
      </c>
      <c r="D2773" s="4066">
        <v>500000000</v>
      </c>
      <c r="E2773" s="2763">
        <v>500000000</v>
      </c>
      <c r="F2773" s="2763">
        <f t="shared" si="231"/>
        <v>100</v>
      </c>
      <c r="G2773" s="2763">
        <v>100</v>
      </c>
      <c r="H2773" s="1463"/>
    </row>
    <row r="2774" spans="2:8" ht="14.25" hidden="1" customHeight="1" x14ac:dyDescent="0.25">
      <c r="B2774" s="441"/>
      <c r="C2774" s="2577" t="s">
        <v>1817</v>
      </c>
      <c r="D2774" s="4066">
        <v>500000000</v>
      </c>
      <c r="E2774" s="2763">
        <v>499750000</v>
      </c>
      <c r="F2774" s="2763">
        <f t="shared" si="231"/>
        <v>99.95</v>
      </c>
      <c r="G2774" s="2763">
        <v>100</v>
      </c>
      <c r="H2774" s="1463"/>
    </row>
    <row r="2775" spans="2:8" ht="14.25" hidden="1" customHeight="1" x14ac:dyDescent="0.25">
      <c r="B2775" s="441"/>
      <c r="C2775" s="2577" t="s">
        <v>1818</v>
      </c>
      <c r="D2775" s="4066">
        <v>1000000000</v>
      </c>
      <c r="E2775" s="2690">
        <v>787425800</v>
      </c>
      <c r="F2775" s="2763">
        <f t="shared" si="231"/>
        <v>78.74257999999999</v>
      </c>
      <c r="G2775" s="2763">
        <v>100</v>
      </c>
      <c r="H2775" s="1463"/>
    </row>
    <row r="2776" spans="2:8" ht="14.25" hidden="1" customHeight="1" x14ac:dyDescent="0.25">
      <c r="B2776" s="441"/>
      <c r="C2776" s="2577" t="s">
        <v>1819</v>
      </c>
      <c r="D2776" s="4066">
        <v>10000000000</v>
      </c>
      <c r="E2776" s="2690">
        <v>10000000000</v>
      </c>
      <c r="F2776" s="2763">
        <f t="shared" si="231"/>
        <v>100</v>
      </c>
      <c r="G2776" s="2763">
        <v>100</v>
      </c>
      <c r="H2776" s="1463"/>
    </row>
    <row r="2777" spans="2:8" ht="15" hidden="1" customHeight="1" x14ac:dyDescent="0.25">
      <c r="B2777" s="441"/>
      <c r="C2777" s="2577" t="s">
        <v>1820</v>
      </c>
      <c r="D2777" s="4066">
        <v>300000000</v>
      </c>
      <c r="E2777" s="2690">
        <v>297272690</v>
      </c>
      <c r="F2777" s="2763">
        <f t="shared" si="231"/>
        <v>99.090896666666666</v>
      </c>
      <c r="G2777" s="2763">
        <v>100</v>
      </c>
      <c r="H2777" s="1463"/>
    </row>
    <row r="2778" spans="2:8" ht="14.25" hidden="1" customHeight="1" x14ac:dyDescent="0.25">
      <c r="B2778" s="441"/>
      <c r="C2778" s="2577" t="s">
        <v>1821</v>
      </c>
      <c r="D2778" s="4066">
        <v>500000000</v>
      </c>
      <c r="E2778" s="2690">
        <v>472592496</v>
      </c>
      <c r="F2778" s="2763">
        <f t="shared" si="231"/>
        <v>94.518499199999994</v>
      </c>
      <c r="G2778" s="2763">
        <v>100</v>
      </c>
      <c r="H2778" s="1463"/>
    </row>
    <row r="2779" spans="2:8" ht="17.25" hidden="1" customHeight="1" x14ac:dyDescent="0.25">
      <c r="B2779" s="441"/>
      <c r="C2779" s="2577" t="s">
        <v>1822</v>
      </c>
      <c r="D2779" s="4066">
        <v>500000000</v>
      </c>
      <c r="E2779" s="2690">
        <v>480093996</v>
      </c>
      <c r="F2779" s="2763">
        <f t="shared" si="231"/>
        <v>96.018799200000004</v>
      </c>
      <c r="G2779" s="2763">
        <v>100</v>
      </c>
      <c r="H2779" s="1463"/>
    </row>
    <row r="2780" spans="2:8" ht="13.5" hidden="1" customHeight="1" x14ac:dyDescent="0.25">
      <c r="B2780" s="441"/>
      <c r="C2780" s="2577" t="s">
        <v>1823</v>
      </c>
      <c r="D2780" s="4066">
        <v>634000000</v>
      </c>
      <c r="E2780" s="2690">
        <v>597764600</v>
      </c>
      <c r="F2780" s="2763">
        <f t="shared" si="231"/>
        <v>94.284637223974769</v>
      </c>
      <c r="G2780" s="2763">
        <v>100</v>
      </c>
      <c r="H2780" s="1463"/>
    </row>
    <row r="2781" spans="2:8" ht="17.25" hidden="1" customHeight="1" x14ac:dyDescent="0.25">
      <c r="B2781" s="441"/>
      <c r="C2781" s="2577" t="s">
        <v>1824</v>
      </c>
      <c r="D2781" s="4066">
        <v>600000000</v>
      </c>
      <c r="E2781" s="2685">
        <v>597250000</v>
      </c>
      <c r="F2781" s="2763">
        <f t="shared" si="231"/>
        <v>99.541666666666657</v>
      </c>
      <c r="G2781" s="2763">
        <v>100</v>
      </c>
      <c r="H2781" s="1463"/>
    </row>
    <row r="2782" spans="2:8" ht="15" hidden="1" customHeight="1" x14ac:dyDescent="0.25">
      <c r="B2782" s="441"/>
      <c r="C2782" s="2577" t="s">
        <v>1825</v>
      </c>
      <c r="D2782" s="4066">
        <v>600000000</v>
      </c>
      <c r="E2782" s="2685">
        <v>598250000</v>
      </c>
      <c r="F2782" s="2763">
        <f t="shared" si="231"/>
        <v>99.708333333333329</v>
      </c>
      <c r="G2782" s="2763">
        <v>100</v>
      </c>
      <c r="H2782" s="1463"/>
    </row>
    <row r="2783" spans="2:8" ht="14.25" hidden="1" customHeight="1" x14ac:dyDescent="0.25">
      <c r="B2783" s="441"/>
      <c r="C2783" s="2577" t="s">
        <v>1826</v>
      </c>
      <c r="D2783" s="4066">
        <v>600000000</v>
      </c>
      <c r="E2783" s="2685">
        <v>598250000</v>
      </c>
      <c r="F2783" s="2763">
        <f t="shared" si="231"/>
        <v>99.708333333333329</v>
      </c>
      <c r="G2783" s="2763">
        <v>100</v>
      </c>
      <c r="H2783" s="1463"/>
    </row>
    <row r="2784" spans="2:8" ht="15.75" hidden="1" customHeight="1" x14ac:dyDescent="0.25">
      <c r="B2784" s="441"/>
      <c r="C2784" s="2577" t="s">
        <v>1827</v>
      </c>
      <c r="D2784" s="4066">
        <v>500000000</v>
      </c>
      <c r="E2784" s="2685">
        <v>497250000</v>
      </c>
      <c r="F2784" s="2763">
        <f t="shared" si="231"/>
        <v>99.45</v>
      </c>
      <c r="G2784" s="2763">
        <v>100</v>
      </c>
      <c r="H2784" s="1463"/>
    </row>
    <row r="2785" spans="2:8" ht="17.25" hidden="1" customHeight="1" x14ac:dyDescent="0.25">
      <c r="B2785" s="441"/>
      <c r="C2785" s="2577" t="s">
        <v>1828</v>
      </c>
      <c r="D2785" s="4066">
        <v>200000000</v>
      </c>
      <c r="E2785" s="2685">
        <v>194350000</v>
      </c>
      <c r="F2785" s="2763">
        <f t="shared" si="231"/>
        <v>97.174999999999997</v>
      </c>
      <c r="G2785" s="2763">
        <v>100</v>
      </c>
      <c r="H2785" s="1463"/>
    </row>
    <row r="2786" spans="2:8" ht="18" hidden="1" customHeight="1" x14ac:dyDescent="0.25">
      <c r="B2786" s="441"/>
      <c r="C2786" s="2577" t="s">
        <v>1829</v>
      </c>
      <c r="D2786" s="4066">
        <v>210000000</v>
      </c>
      <c r="E2786" s="2685">
        <v>200000000</v>
      </c>
      <c r="F2786" s="2763">
        <f t="shared" si="231"/>
        <v>95.238095238095227</v>
      </c>
      <c r="G2786" s="2763">
        <v>100</v>
      </c>
      <c r="H2786" s="1463"/>
    </row>
    <row r="2787" spans="2:8" ht="17.25" hidden="1" customHeight="1" x14ac:dyDescent="0.25">
      <c r="B2787" s="441"/>
      <c r="C2787" s="2577" t="s">
        <v>1830</v>
      </c>
      <c r="D2787" s="4066">
        <v>250000000</v>
      </c>
      <c r="E2787" s="2690">
        <v>247450000</v>
      </c>
      <c r="F2787" s="2763">
        <f t="shared" si="231"/>
        <v>98.98</v>
      </c>
      <c r="G2787" s="2763">
        <v>100</v>
      </c>
      <c r="H2787" s="1463"/>
    </row>
    <row r="2788" spans="2:8" ht="19.5" hidden="1" customHeight="1" x14ac:dyDescent="0.25">
      <c r="B2788" s="441"/>
      <c r="C2788" s="2577" t="s">
        <v>1831</v>
      </c>
      <c r="D2788" s="4066">
        <v>450000000</v>
      </c>
      <c r="E2788" s="2690">
        <v>448450000</v>
      </c>
      <c r="F2788" s="2763">
        <f t="shared" si="231"/>
        <v>99.655555555555551</v>
      </c>
      <c r="G2788" s="2763">
        <v>100</v>
      </c>
      <c r="H2788" s="1463"/>
    </row>
    <row r="2789" spans="2:8" ht="16.5" hidden="1" customHeight="1" x14ac:dyDescent="0.25">
      <c r="B2789" s="441"/>
      <c r="C2789" s="2577" t="s">
        <v>1832</v>
      </c>
      <c r="D2789" s="4066">
        <v>450000000</v>
      </c>
      <c r="E2789" s="2855">
        <v>448450000</v>
      </c>
      <c r="F2789" s="2763">
        <f t="shared" si="231"/>
        <v>99.655555555555551</v>
      </c>
      <c r="G2789" s="2763">
        <v>100</v>
      </c>
      <c r="H2789" s="1463"/>
    </row>
    <row r="2790" spans="2:8" ht="14.25" hidden="1" customHeight="1" x14ac:dyDescent="0.25">
      <c r="B2790" s="441"/>
      <c r="C2790" s="2577" t="s">
        <v>1833</v>
      </c>
      <c r="D2790" s="4066">
        <v>300000000</v>
      </c>
      <c r="E2790" s="2685">
        <v>299450000</v>
      </c>
      <c r="F2790" s="2763">
        <f t="shared" si="231"/>
        <v>99.816666666666663</v>
      </c>
      <c r="G2790" s="2763">
        <v>100</v>
      </c>
      <c r="H2790" s="1463"/>
    </row>
    <row r="2791" spans="2:8" ht="15.75" hidden="1" customHeight="1" x14ac:dyDescent="0.25">
      <c r="B2791" s="441"/>
      <c r="C2791" s="2577" t="s">
        <v>1834</v>
      </c>
      <c r="D2791" s="4066">
        <v>200000000</v>
      </c>
      <c r="E2791" s="2685">
        <v>198350000</v>
      </c>
      <c r="F2791" s="2763">
        <f t="shared" si="231"/>
        <v>99.174999999999997</v>
      </c>
      <c r="G2791" s="2763">
        <v>100</v>
      </c>
      <c r="H2791" s="1463"/>
    </row>
    <row r="2792" spans="2:8" ht="16.5" hidden="1" customHeight="1" x14ac:dyDescent="0.25">
      <c r="B2792" s="441"/>
      <c r="C2792" s="2577" t="s">
        <v>1835</v>
      </c>
      <c r="D2792" s="4066">
        <v>150000000</v>
      </c>
      <c r="E2792" s="2685">
        <v>148650000</v>
      </c>
      <c r="F2792" s="2763">
        <f t="shared" si="231"/>
        <v>99.1</v>
      </c>
      <c r="G2792" s="2763">
        <v>100</v>
      </c>
      <c r="H2792" s="1463"/>
    </row>
    <row r="2793" spans="2:8" ht="16.5" hidden="1" customHeight="1" x14ac:dyDescent="0.25">
      <c r="B2793" s="441"/>
      <c r="C2793" s="2577" t="s">
        <v>1836</v>
      </c>
      <c r="D2793" s="4066">
        <v>150000000</v>
      </c>
      <c r="E2793" s="2685">
        <v>141750000</v>
      </c>
      <c r="F2793" s="2763">
        <f t="shared" si="231"/>
        <v>94.5</v>
      </c>
      <c r="G2793" s="2763">
        <v>100</v>
      </c>
      <c r="H2793" s="1463"/>
    </row>
    <row r="2794" spans="2:8" ht="15.75" hidden="1" customHeight="1" x14ac:dyDescent="0.25">
      <c r="B2794" s="441"/>
      <c r="C2794" s="2577" t="s">
        <v>1837</v>
      </c>
      <c r="D2794" s="4066">
        <v>250000000</v>
      </c>
      <c r="E2794" s="2685">
        <v>237650000</v>
      </c>
      <c r="F2794" s="2763">
        <f t="shared" si="231"/>
        <v>95.06</v>
      </c>
      <c r="G2794" s="2763">
        <v>100</v>
      </c>
      <c r="H2794" s="1463"/>
    </row>
    <row r="2795" spans="2:8" ht="18" hidden="1" customHeight="1" x14ac:dyDescent="0.25">
      <c r="B2795" s="441"/>
      <c r="C2795" s="2577" t="s">
        <v>1838</v>
      </c>
      <c r="D2795" s="4066">
        <v>250000000</v>
      </c>
      <c r="E2795" s="2685">
        <v>239850000</v>
      </c>
      <c r="F2795" s="2763">
        <f t="shared" si="231"/>
        <v>95.94</v>
      </c>
      <c r="G2795" s="2763">
        <v>100</v>
      </c>
      <c r="H2795" s="1463"/>
    </row>
    <row r="2796" spans="2:8" ht="15.75" hidden="1" customHeight="1" x14ac:dyDescent="0.25">
      <c r="B2796" s="441"/>
      <c r="C2796" s="2577" t="s">
        <v>1839</v>
      </c>
      <c r="D2796" s="4066">
        <v>200000000</v>
      </c>
      <c r="E2796" s="2685">
        <v>197850000</v>
      </c>
      <c r="F2796" s="2763">
        <f t="shared" si="231"/>
        <v>98.924999999999997</v>
      </c>
      <c r="G2796" s="2763">
        <v>100</v>
      </c>
      <c r="H2796" s="1463"/>
    </row>
    <row r="2797" spans="2:8" ht="18" hidden="1" customHeight="1" x14ac:dyDescent="0.25">
      <c r="B2797" s="441"/>
      <c r="C2797" s="2577" t="s">
        <v>1840</v>
      </c>
      <c r="D2797" s="4066">
        <v>150000000</v>
      </c>
      <c r="E2797" s="2685">
        <v>137350000</v>
      </c>
      <c r="F2797" s="2763">
        <f t="shared" si="231"/>
        <v>91.566666666666663</v>
      </c>
      <c r="G2797" s="2763">
        <v>100</v>
      </c>
      <c r="H2797" s="1463"/>
    </row>
    <row r="2798" spans="2:8" ht="18" hidden="1" customHeight="1" x14ac:dyDescent="0.25">
      <c r="B2798" s="441"/>
      <c r="C2798" s="2577" t="s">
        <v>1841</v>
      </c>
      <c r="D2798" s="4066">
        <v>150000000</v>
      </c>
      <c r="E2798" s="2685">
        <v>148050000</v>
      </c>
      <c r="F2798" s="2763">
        <f t="shared" si="231"/>
        <v>98.7</v>
      </c>
      <c r="G2798" s="2763">
        <v>100</v>
      </c>
      <c r="H2798" s="1463"/>
    </row>
    <row r="2799" spans="2:8" ht="14.25" hidden="1" customHeight="1" x14ac:dyDescent="0.25">
      <c r="B2799" s="441"/>
      <c r="C2799" s="2577" t="s">
        <v>1842</v>
      </c>
      <c r="D2799" s="4066">
        <v>200000000</v>
      </c>
      <c r="E2799" s="2685">
        <v>197450000</v>
      </c>
      <c r="F2799" s="2763">
        <f t="shared" si="231"/>
        <v>98.724999999999994</v>
      </c>
      <c r="G2799" s="2763">
        <v>100</v>
      </c>
      <c r="H2799" s="1463"/>
    </row>
    <row r="2800" spans="2:8" ht="15" hidden="1" customHeight="1" x14ac:dyDescent="0.25">
      <c r="B2800" s="441"/>
      <c r="C2800" s="2577" t="s">
        <v>1843</v>
      </c>
      <c r="D2800" s="4066">
        <v>200000000</v>
      </c>
      <c r="E2800" s="2685">
        <v>196950000</v>
      </c>
      <c r="F2800" s="2763">
        <f t="shared" si="231"/>
        <v>98.474999999999994</v>
      </c>
      <c r="G2800" s="2763">
        <v>100</v>
      </c>
      <c r="H2800" s="1463"/>
    </row>
    <row r="2801" spans="2:8" ht="16.5" hidden="1" customHeight="1" x14ac:dyDescent="0.25">
      <c r="B2801" s="441"/>
      <c r="C2801" s="2577" t="s">
        <v>1844</v>
      </c>
      <c r="D2801" s="4066">
        <v>250000000</v>
      </c>
      <c r="E2801" s="2685">
        <v>246950000</v>
      </c>
      <c r="F2801" s="2763">
        <f t="shared" si="231"/>
        <v>98.78</v>
      </c>
      <c r="G2801" s="2763">
        <v>100</v>
      </c>
      <c r="H2801" s="1463"/>
    </row>
    <row r="2802" spans="2:8" ht="15" hidden="1" customHeight="1" x14ac:dyDescent="0.25">
      <c r="B2802" s="441"/>
      <c r="C2802" s="2577" t="s">
        <v>1845</v>
      </c>
      <c r="D2802" s="4066">
        <v>300000000</v>
      </c>
      <c r="E2802" s="2685">
        <v>296950000</v>
      </c>
      <c r="F2802" s="2763">
        <f t="shared" si="231"/>
        <v>98.983333333333334</v>
      </c>
      <c r="G2802" s="2763">
        <v>100</v>
      </c>
      <c r="H2802" s="1463"/>
    </row>
    <row r="2803" spans="2:8" ht="11.25" hidden="1" customHeight="1" x14ac:dyDescent="0.25">
      <c r="B2803" s="441"/>
      <c r="C2803" s="2577"/>
      <c r="D2803" s="4066"/>
      <c r="E2803" s="2685"/>
      <c r="F2803" s="2763"/>
      <c r="G2803" s="2685"/>
      <c r="H2803" s="1463"/>
    </row>
    <row r="2804" spans="2:8" ht="13.5" customHeight="1" x14ac:dyDescent="0.25">
      <c r="B2804" s="441"/>
      <c r="C2804" s="2576" t="s">
        <v>1846</v>
      </c>
      <c r="D2804" s="4065">
        <f>SUM(D2805:D2808)</f>
        <v>650000000</v>
      </c>
      <c r="E2804" s="2695">
        <f>SUM(E2805:E2808)</f>
        <v>649130600</v>
      </c>
      <c r="F2804" s="2764">
        <f t="shared" si="231"/>
        <v>99.866246153846149</v>
      </c>
      <c r="G2804" s="2695">
        <f>SUM(G2805:G2808)/4</f>
        <v>100</v>
      </c>
      <c r="H2804" s="1463"/>
    </row>
    <row r="2805" spans="2:8" ht="15.75" hidden="1" customHeight="1" x14ac:dyDescent="0.25">
      <c r="B2805" s="441"/>
      <c r="C2805" s="2577" t="s">
        <v>1847</v>
      </c>
      <c r="D2805" s="4066">
        <v>200000000</v>
      </c>
      <c r="E2805" s="2690">
        <v>199950000</v>
      </c>
      <c r="F2805" s="2763">
        <f t="shared" si="231"/>
        <v>99.975000000000009</v>
      </c>
      <c r="G2805" s="2690">
        <v>100</v>
      </c>
      <c r="H2805" s="1463"/>
    </row>
    <row r="2806" spans="2:8" ht="14.25" hidden="1" customHeight="1" x14ac:dyDescent="0.25">
      <c r="B2806" s="441"/>
      <c r="C2806" s="2577" t="s">
        <v>1848</v>
      </c>
      <c r="D2806" s="4066">
        <v>100000000</v>
      </c>
      <c r="E2806" s="2685">
        <v>99992100</v>
      </c>
      <c r="F2806" s="2763">
        <f t="shared" si="231"/>
        <v>99.992099999999994</v>
      </c>
      <c r="G2806" s="2685">
        <v>100</v>
      </c>
      <c r="H2806" s="1463"/>
    </row>
    <row r="2807" spans="2:8" ht="14.25" hidden="1" customHeight="1" x14ac:dyDescent="0.25">
      <c r="B2807" s="441"/>
      <c r="C2807" s="2577" t="s">
        <v>1849</v>
      </c>
      <c r="D2807" s="4066">
        <v>200000000</v>
      </c>
      <c r="E2807" s="2685">
        <v>199200000</v>
      </c>
      <c r="F2807" s="2763">
        <f t="shared" si="231"/>
        <v>99.6</v>
      </c>
      <c r="G2807" s="2685">
        <v>100</v>
      </c>
      <c r="H2807" s="1463"/>
    </row>
    <row r="2808" spans="2:8" ht="14.25" hidden="1" customHeight="1" x14ac:dyDescent="0.25">
      <c r="B2808" s="441"/>
      <c r="C2808" s="2577" t="s">
        <v>1850</v>
      </c>
      <c r="D2808" s="4066">
        <v>150000000</v>
      </c>
      <c r="E2808" s="2685">
        <v>149988500</v>
      </c>
      <c r="F2808" s="2763">
        <f t="shared" si="231"/>
        <v>99.992333333333335</v>
      </c>
      <c r="G2808" s="2685">
        <v>100</v>
      </c>
      <c r="H2808" s="1463"/>
    </row>
    <row r="2809" spans="2:8" ht="9" hidden="1" customHeight="1" x14ac:dyDescent="0.25">
      <c r="B2809" s="441"/>
      <c r="C2809" s="2577"/>
      <c r="D2809" s="4066"/>
      <c r="E2809" s="2690"/>
      <c r="F2809" s="2763"/>
      <c r="G2809" s="2690"/>
      <c r="H2809" s="1463"/>
    </row>
    <row r="2810" spans="2:8" ht="15.75" customHeight="1" x14ac:dyDescent="0.25">
      <c r="B2810" s="441"/>
      <c r="C2810" s="2576" t="s">
        <v>1851</v>
      </c>
      <c r="D2810" s="4065">
        <f>SUM(D2811:D2826)</f>
        <v>3752600000</v>
      </c>
      <c r="E2810" s="2695">
        <f>SUM(E2811:E2826)</f>
        <v>2869507172</v>
      </c>
      <c r="F2810" s="2764">
        <f t="shared" si="231"/>
        <v>76.467174012684538</v>
      </c>
      <c r="G2810" s="2695">
        <f>SUM(G2811:G2826)/16</f>
        <v>81.249958046875008</v>
      </c>
      <c r="H2810" s="1463"/>
    </row>
    <row r="2811" spans="2:8" ht="17.25" hidden="1" customHeight="1" x14ac:dyDescent="0.25">
      <c r="B2811" s="441"/>
      <c r="C2811" s="2577" t="s">
        <v>1852</v>
      </c>
      <c r="D2811" s="4066">
        <v>250000000</v>
      </c>
      <c r="E2811" s="2855">
        <v>246502300</v>
      </c>
      <c r="F2811" s="2763">
        <f t="shared" si="231"/>
        <v>98.600920000000002</v>
      </c>
      <c r="G2811" s="2855">
        <v>100</v>
      </c>
      <c r="H2811" s="1463"/>
    </row>
    <row r="2812" spans="2:8" ht="14.25" hidden="1" customHeight="1" x14ac:dyDescent="0.25">
      <c r="B2812" s="441"/>
      <c r="C2812" s="2577" t="s">
        <v>1853</v>
      </c>
      <c r="D2812" s="4066">
        <v>200000000</v>
      </c>
      <c r="E2812" s="2855">
        <v>190600000</v>
      </c>
      <c r="F2812" s="2763">
        <f t="shared" si="231"/>
        <v>95.3</v>
      </c>
      <c r="G2812" s="2855">
        <v>100</v>
      </c>
      <c r="H2812" s="1463"/>
    </row>
    <row r="2813" spans="2:8" ht="17.25" hidden="1" customHeight="1" x14ac:dyDescent="0.25">
      <c r="B2813" s="441"/>
      <c r="C2813" s="2577" t="s">
        <v>1854</v>
      </c>
      <c r="D2813" s="4066">
        <v>250000000</v>
      </c>
      <c r="E2813" s="2855">
        <v>235225963</v>
      </c>
      <c r="F2813" s="2763">
        <f t="shared" si="231"/>
        <v>94.0903852</v>
      </c>
      <c r="G2813" s="2855">
        <v>100</v>
      </c>
      <c r="H2813" s="1463"/>
    </row>
    <row r="2814" spans="2:8" ht="14.25" hidden="1" customHeight="1" x14ac:dyDescent="0.25">
      <c r="B2814" s="441"/>
      <c r="C2814" s="2577" t="s">
        <v>1855</v>
      </c>
      <c r="D2814" s="4066">
        <v>350000000</v>
      </c>
      <c r="E2814" s="2855">
        <v>0</v>
      </c>
      <c r="F2814" s="2763">
        <f t="shared" si="231"/>
        <v>0</v>
      </c>
      <c r="G2814" s="2763">
        <v>0</v>
      </c>
      <c r="H2814" s="1463"/>
    </row>
    <row r="2815" spans="2:8" ht="18.75" hidden="1" customHeight="1" x14ac:dyDescent="0.25">
      <c r="B2815" s="441"/>
      <c r="C2815" s="2577" t="s">
        <v>1856</v>
      </c>
      <c r="D2815" s="4066">
        <v>200000000</v>
      </c>
      <c r="E2815" s="2685">
        <v>0</v>
      </c>
      <c r="F2815" s="2763">
        <f t="shared" si="231"/>
        <v>0</v>
      </c>
      <c r="G2815" s="2685">
        <v>0</v>
      </c>
      <c r="H2815" s="1463"/>
    </row>
    <row r="2816" spans="2:8" ht="17.25" hidden="1" customHeight="1" x14ac:dyDescent="0.25">
      <c r="B2816" s="441"/>
      <c r="C2816" s="2577" t="s">
        <v>1857</v>
      </c>
      <c r="D2816" s="4066">
        <v>200000000</v>
      </c>
      <c r="E2816" s="2690">
        <v>196330000</v>
      </c>
      <c r="F2816" s="2763">
        <f t="shared" si="231"/>
        <v>98.165000000000006</v>
      </c>
      <c r="G2816" s="2690">
        <v>100</v>
      </c>
      <c r="H2816" s="1463"/>
    </row>
    <row r="2817" spans="2:8" ht="18.75" hidden="1" customHeight="1" x14ac:dyDescent="0.25">
      <c r="B2817" s="441"/>
      <c r="C2817" s="2577" t="s">
        <v>1858</v>
      </c>
      <c r="D2817" s="4066">
        <v>300000000</v>
      </c>
      <c r="E2817" s="2685">
        <v>0</v>
      </c>
      <c r="F2817" s="2763">
        <f t="shared" si="231"/>
        <v>0</v>
      </c>
      <c r="G2817" s="2685">
        <v>0</v>
      </c>
      <c r="H2817" s="1463"/>
    </row>
    <row r="2818" spans="2:8" ht="14.25" hidden="1" customHeight="1" x14ac:dyDescent="0.25">
      <c r="B2818" s="441"/>
      <c r="C2818" s="2577" t="s">
        <v>1859</v>
      </c>
      <c r="D2818" s="4066">
        <v>250000000</v>
      </c>
      <c r="E2818" s="2855">
        <v>249750000</v>
      </c>
      <c r="F2818" s="2763">
        <f t="shared" si="231"/>
        <v>99.9</v>
      </c>
      <c r="G2818" s="2855">
        <v>100</v>
      </c>
      <c r="H2818" s="1463"/>
    </row>
    <row r="2819" spans="2:8" ht="22.5" hidden="1" customHeight="1" x14ac:dyDescent="0.25">
      <c r="B2819" s="444"/>
      <c r="C2819" s="2577" t="s">
        <v>1860</v>
      </c>
      <c r="D2819" s="4066">
        <v>400000000</v>
      </c>
      <c r="E2819" s="2855">
        <v>399997315</v>
      </c>
      <c r="F2819" s="2763">
        <f t="shared" si="231"/>
        <v>99.999328750000004</v>
      </c>
      <c r="G2819" s="2855">
        <v>99.999328750000004</v>
      </c>
      <c r="H2819" s="1463"/>
    </row>
    <row r="2820" spans="2:8" ht="13.5" hidden="1" customHeight="1" x14ac:dyDescent="0.25">
      <c r="B2820" s="441"/>
      <c r="C2820" s="2577" t="s">
        <v>1861</v>
      </c>
      <c r="D2820" s="4066">
        <v>402600000</v>
      </c>
      <c r="E2820" s="2855">
        <v>402254000</v>
      </c>
      <c r="F2820" s="2763">
        <f t="shared" si="231"/>
        <v>99.914058618976654</v>
      </c>
      <c r="G2820" s="2855">
        <v>100</v>
      </c>
      <c r="H2820" s="1463"/>
    </row>
    <row r="2821" spans="2:8" ht="17.25" hidden="1" customHeight="1" x14ac:dyDescent="0.25">
      <c r="B2821" s="441"/>
      <c r="C2821" s="2577" t="s">
        <v>1862</v>
      </c>
      <c r="D2821" s="4066">
        <v>150000000</v>
      </c>
      <c r="E2821" s="2855">
        <v>149999500</v>
      </c>
      <c r="F2821" s="2763">
        <f t="shared" si="231"/>
        <v>99.99966666666667</v>
      </c>
      <c r="G2821" s="2855">
        <v>100</v>
      </c>
      <c r="H2821" s="1463"/>
    </row>
    <row r="2822" spans="2:8" ht="17.25" hidden="1" customHeight="1" x14ac:dyDescent="0.25">
      <c r="B2822" s="441"/>
      <c r="C2822" s="2577" t="s">
        <v>1863</v>
      </c>
      <c r="D2822" s="4066">
        <v>150000000</v>
      </c>
      <c r="E2822" s="2690">
        <v>149978200</v>
      </c>
      <c r="F2822" s="2763">
        <f t="shared" si="231"/>
        <v>99.985466666666667</v>
      </c>
      <c r="G2822" s="2690">
        <v>100</v>
      </c>
      <c r="H2822" s="1463"/>
    </row>
    <row r="2823" spans="2:8" ht="19.5" hidden="1" customHeight="1" x14ac:dyDescent="0.25">
      <c r="B2823" s="441"/>
      <c r="C2823" s="2577" t="s">
        <v>1864</v>
      </c>
      <c r="D2823" s="4066">
        <v>150000000</v>
      </c>
      <c r="E2823" s="2690">
        <v>149920794</v>
      </c>
      <c r="F2823" s="2763">
        <f t="shared" ref="F2823:F2852" si="232">E2823/D2823*100</f>
        <v>99.947196000000005</v>
      </c>
      <c r="G2823" s="2690">
        <v>100</v>
      </c>
      <c r="H2823" s="1463"/>
    </row>
    <row r="2824" spans="2:8" ht="18" hidden="1" customHeight="1" x14ac:dyDescent="0.25">
      <c r="B2824" s="441"/>
      <c r="C2824" s="2577" t="s">
        <v>1865</v>
      </c>
      <c r="D2824" s="4066">
        <v>150000000</v>
      </c>
      <c r="E2824" s="2690">
        <v>148969100</v>
      </c>
      <c r="F2824" s="2763">
        <f t="shared" si="232"/>
        <v>99.312733333333341</v>
      </c>
      <c r="G2824" s="2690">
        <v>100</v>
      </c>
      <c r="H2824" s="1463"/>
    </row>
    <row r="2825" spans="2:8" ht="18.75" hidden="1" customHeight="1" x14ac:dyDescent="0.25">
      <c r="B2825" s="441"/>
      <c r="C2825" s="2577" t="s">
        <v>1866</v>
      </c>
      <c r="D2825" s="4066">
        <v>150000000</v>
      </c>
      <c r="E2825" s="2690">
        <v>150000000</v>
      </c>
      <c r="F2825" s="2763">
        <f t="shared" si="232"/>
        <v>100</v>
      </c>
      <c r="G2825" s="2690">
        <v>100</v>
      </c>
      <c r="H2825" s="1463"/>
    </row>
    <row r="2826" spans="2:8" ht="18" hidden="1" customHeight="1" x14ac:dyDescent="0.25">
      <c r="B2826" s="441"/>
      <c r="C2826" s="2577" t="s">
        <v>1867</v>
      </c>
      <c r="D2826" s="4066">
        <v>200000000</v>
      </c>
      <c r="E2826" s="2690">
        <v>199980000</v>
      </c>
      <c r="F2826" s="2763">
        <f t="shared" si="232"/>
        <v>99.99</v>
      </c>
      <c r="G2826" s="2690">
        <v>100</v>
      </c>
      <c r="H2826" s="1463"/>
    </row>
    <row r="2827" spans="2:8" ht="12" hidden="1" customHeight="1" x14ac:dyDescent="0.25">
      <c r="B2827" s="441"/>
      <c r="C2827" s="2577"/>
      <c r="D2827" s="4066"/>
      <c r="E2827" s="2690"/>
      <c r="F2827" s="2763"/>
      <c r="G2827" s="2690"/>
      <c r="H2827" s="1463"/>
    </row>
    <row r="2828" spans="2:8" ht="16.5" customHeight="1" x14ac:dyDescent="0.25">
      <c r="B2828" s="441"/>
      <c r="C2828" s="2576" t="s">
        <v>1267</v>
      </c>
      <c r="D2828" s="4065">
        <f>SUM(D2829:D2831)</f>
        <v>1650000000</v>
      </c>
      <c r="E2828" s="2695">
        <f>SUM(E2829:E2831)</f>
        <v>1549681393</v>
      </c>
      <c r="F2828" s="2764">
        <f t="shared" si="232"/>
        <v>93.920084424242418</v>
      </c>
      <c r="G2828" s="3250">
        <f>SUM(G2829:G2831)/3</f>
        <v>100</v>
      </c>
      <c r="H2828" s="1463"/>
    </row>
    <row r="2829" spans="2:8" ht="14.25" hidden="1" customHeight="1" x14ac:dyDescent="0.25">
      <c r="B2829" s="441"/>
      <c r="C2829" s="2577" t="s">
        <v>1868</v>
      </c>
      <c r="D2829" s="4066">
        <v>300000000</v>
      </c>
      <c r="E2829" s="2855">
        <v>299732900</v>
      </c>
      <c r="F2829" s="2763">
        <f t="shared" si="232"/>
        <v>99.910966666666667</v>
      </c>
      <c r="G2829" s="2855">
        <v>100</v>
      </c>
      <c r="H2829" s="1463"/>
    </row>
    <row r="2830" spans="2:8" ht="15" hidden="1" customHeight="1" x14ac:dyDescent="0.25">
      <c r="B2830" s="441"/>
      <c r="C2830" s="2577" t="s">
        <v>1869</v>
      </c>
      <c r="D2830" s="4066">
        <v>150000000</v>
      </c>
      <c r="E2830" s="2690">
        <v>149948493</v>
      </c>
      <c r="F2830" s="2763">
        <f t="shared" si="232"/>
        <v>99.965661999999995</v>
      </c>
      <c r="G2830" s="2690">
        <v>100</v>
      </c>
      <c r="H2830" s="1463"/>
    </row>
    <row r="2831" spans="2:8" ht="13.5" hidden="1" customHeight="1" x14ac:dyDescent="0.25">
      <c r="B2831" s="441"/>
      <c r="C2831" s="2577" t="s">
        <v>1870</v>
      </c>
      <c r="D2831" s="4066">
        <v>1200000000</v>
      </c>
      <c r="E2831" s="2690">
        <v>1100000000</v>
      </c>
      <c r="F2831" s="2763">
        <f t="shared" si="232"/>
        <v>91.666666666666657</v>
      </c>
      <c r="G2831" s="2690">
        <v>100</v>
      </c>
      <c r="H2831" s="1463"/>
    </row>
    <row r="2832" spans="2:8" ht="12" hidden="1" customHeight="1" x14ac:dyDescent="0.25">
      <c r="B2832" s="441"/>
      <c r="C2832" s="2577"/>
      <c r="D2832" s="4066"/>
      <c r="E2832" s="2690"/>
      <c r="F2832" s="2763"/>
      <c r="G2832" s="2690"/>
      <c r="H2832" s="1463"/>
    </row>
    <row r="2833" spans="2:8" ht="17.25" customHeight="1" x14ac:dyDescent="0.25">
      <c r="B2833" s="441"/>
      <c r="C2833" s="2576" t="s">
        <v>1871</v>
      </c>
      <c r="D2833" s="4065">
        <f>SUM(D2834:D2844)</f>
        <v>2350000000</v>
      </c>
      <c r="E2833" s="2695">
        <f>SUM(E2834:E2844)</f>
        <v>2328295042</v>
      </c>
      <c r="F2833" s="2764">
        <f>E2833/D2833*100</f>
        <v>99.076384765957442</v>
      </c>
      <c r="G2833" s="4065">
        <f>SUM(G2834:G2844)/10</f>
        <v>100</v>
      </c>
      <c r="H2833" s="1463"/>
    </row>
    <row r="2834" spans="2:8" ht="13.5" hidden="1" customHeight="1" x14ac:dyDescent="0.25">
      <c r="B2834" s="441"/>
      <c r="C2834" s="2577" t="s">
        <v>1872</v>
      </c>
      <c r="D2834" s="4066">
        <v>150000000</v>
      </c>
      <c r="E2834" s="2685">
        <v>149980000</v>
      </c>
      <c r="F2834" s="2763">
        <f t="shared" si="232"/>
        <v>99.986666666666665</v>
      </c>
      <c r="G2834" s="2685">
        <v>100</v>
      </c>
      <c r="H2834" s="1463"/>
    </row>
    <row r="2835" spans="2:8" ht="17.25" hidden="1" customHeight="1" x14ac:dyDescent="0.25">
      <c r="B2835" s="441"/>
      <c r="C2835" s="2577" t="s">
        <v>1873</v>
      </c>
      <c r="D2835" s="4066">
        <v>150000000</v>
      </c>
      <c r="E2835" s="2855">
        <v>149595400</v>
      </c>
      <c r="F2835" s="2763">
        <f t="shared" si="232"/>
        <v>99.730266666666665</v>
      </c>
      <c r="G2835" s="2855">
        <v>100</v>
      </c>
      <c r="H2835" s="1463"/>
    </row>
    <row r="2836" spans="2:8" ht="14.25" hidden="1" customHeight="1" x14ac:dyDescent="0.25">
      <c r="B2836" s="441"/>
      <c r="C2836" s="2577" t="s">
        <v>1874</v>
      </c>
      <c r="D2836" s="4066">
        <v>150000000</v>
      </c>
      <c r="E2836" s="2688">
        <v>140104000</v>
      </c>
      <c r="F2836" s="2763">
        <f t="shared" si="232"/>
        <v>93.402666666666661</v>
      </c>
      <c r="G2836" s="2690">
        <v>100</v>
      </c>
      <c r="H2836" s="1463"/>
    </row>
    <row r="2837" spans="2:8" ht="16.5" hidden="1" customHeight="1" x14ac:dyDescent="0.25">
      <c r="B2837" s="441"/>
      <c r="C2837" s="2577" t="s">
        <v>1875</v>
      </c>
      <c r="D2837" s="4066">
        <v>150000000</v>
      </c>
      <c r="E2837" s="2690">
        <v>149966200</v>
      </c>
      <c r="F2837" s="2763">
        <f t="shared" si="232"/>
        <v>99.977466666666672</v>
      </c>
      <c r="G2837" s="2690">
        <v>100</v>
      </c>
      <c r="H2837" s="1463"/>
    </row>
    <row r="2838" spans="2:8" ht="18.75" hidden="1" customHeight="1" x14ac:dyDescent="0.25">
      <c r="B2838" s="441"/>
      <c r="C2838" s="2577" t="s">
        <v>1876</v>
      </c>
      <c r="D2838" s="4066">
        <v>150000000</v>
      </c>
      <c r="E2838" s="2690">
        <v>149837300</v>
      </c>
      <c r="F2838" s="2763">
        <f t="shared" si="232"/>
        <v>99.891533333333342</v>
      </c>
      <c r="G2838" s="2690">
        <v>100</v>
      </c>
      <c r="H2838" s="1463"/>
    </row>
    <row r="2839" spans="2:8" ht="17.25" hidden="1" customHeight="1" x14ac:dyDescent="0.25">
      <c r="B2839" s="441"/>
      <c r="C2839" s="2577" t="s">
        <v>1877</v>
      </c>
      <c r="D2839" s="4066">
        <v>300000000</v>
      </c>
      <c r="E2839" s="2690">
        <v>298187200</v>
      </c>
      <c r="F2839" s="2763">
        <f t="shared" si="232"/>
        <v>99.395733333333339</v>
      </c>
      <c r="G2839" s="2690">
        <v>100</v>
      </c>
      <c r="H2839" s="1463"/>
    </row>
    <row r="2840" spans="2:8" ht="16.5" hidden="1" customHeight="1" x14ac:dyDescent="0.25">
      <c r="B2840" s="441"/>
      <c r="C2840" s="2577" t="s">
        <v>1878</v>
      </c>
      <c r="D2840" s="4066">
        <v>300000000</v>
      </c>
      <c r="E2840" s="2685">
        <v>294300000</v>
      </c>
      <c r="F2840" s="2763">
        <f t="shared" si="232"/>
        <v>98.1</v>
      </c>
      <c r="G2840" s="2690">
        <v>100</v>
      </c>
      <c r="H2840" s="1463"/>
    </row>
    <row r="2841" spans="2:8" ht="14.25" hidden="1" customHeight="1" x14ac:dyDescent="0.25">
      <c r="B2841" s="441"/>
      <c r="C2841" s="2577" t="s">
        <v>1879</v>
      </c>
      <c r="D2841" s="4321" t="s">
        <v>3317</v>
      </c>
      <c r="E2841" s="3666" t="s">
        <v>3317</v>
      </c>
      <c r="F2841" s="3666" t="s">
        <v>3317</v>
      </c>
      <c r="G2841" s="2685" t="s">
        <v>3317</v>
      </c>
      <c r="H2841" s="1463"/>
    </row>
    <row r="2842" spans="2:8" ht="18.75" hidden="1" customHeight="1" x14ac:dyDescent="0.25">
      <c r="B2842" s="441"/>
      <c r="C2842" s="2577" t="s">
        <v>1880</v>
      </c>
      <c r="D2842" s="4066">
        <v>150000000</v>
      </c>
      <c r="E2842" s="2690">
        <v>147082000</v>
      </c>
      <c r="F2842" s="2763">
        <f t="shared" si="232"/>
        <v>98.054666666666662</v>
      </c>
      <c r="G2842" s="2690">
        <v>100</v>
      </c>
      <c r="H2842" s="1463"/>
    </row>
    <row r="2843" spans="2:8" ht="13.5" hidden="1" customHeight="1" x14ac:dyDescent="0.25">
      <c r="B2843" s="441"/>
      <c r="C2843" s="2577" t="s">
        <v>5135</v>
      </c>
      <c r="D2843" s="4066">
        <v>150000000</v>
      </c>
      <c r="E2843" s="2690">
        <v>149877400</v>
      </c>
      <c r="F2843" s="2763">
        <f t="shared" si="232"/>
        <v>99.918266666666668</v>
      </c>
      <c r="G2843" s="2690">
        <v>100</v>
      </c>
      <c r="H2843" s="1463"/>
    </row>
    <row r="2844" spans="2:8" ht="17.25" hidden="1" customHeight="1" x14ac:dyDescent="0.25">
      <c r="B2844" s="441"/>
      <c r="C2844" s="2577" t="s">
        <v>5136</v>
      </c>
      <c r="D2844" s="4066">
        <v>700000000</v>
      </c>
      <c r="E2844" s="2690">
        <v>699365542</v>
      </c>
      <c r="F2844" s="2763">
        <f t="shared" si="232"/>
        <v>99.909363142857146</v>
      </c>
      <c r="G2844" s="2690">
        <v>100</v>
      </c>
      <c r="H2844" s="1463"/>
    </row>
    <row r="2845" spans="2:8" ht="12" hidden="1" customHeight="1" x14ac:dyDescent="0.25">
      <c r="B2845" s="441"/>
      <c r="C2845" s="2577"/>
      <c r="D2845" s="4066"/>
      <c r="E2845" s="2690"/>
      <c r="F2845" s="2763"/>
      <c r="G2845" s="2690"/>
      <c r="H2845" s="1463"/>
    </row>
    <row r="2846" spans="2:8" ht="18.75" customHeight="1" x14ac:dyDescent="0.25">
      <c r="B2846" s="441"/>
      <c r="C2846" s="2576" t="s">
        <v>1882</v>
      </c>
      <c r="D2846" s="4065">
        <f>SUM(D2847:D2852)</f>
        <v>1500000000</v>
      </c>
      <c r="E2846" s="2695">
        <f>SUM(E2847:E2852)</f>
        <v>1476137199</v>
      </c>
      <c r="F2846" s="2764">
        <f t="shared" si="232"/>
        <v>98.4091466</v>
      </c>
      <c r="G2846" s="2821">
        <f>SUM(G2847:G2852)/6</f>
        <v>100</v>
      </c>
      <c r="H2846" s="1463"/>
    </row>
    <row r="2847" spans="2:8" ht="14.25" hidden="1" customHeight="1" x14ac:dyDescent="0.25">
      <c r="B2847" s="441"/>
      <c r="C2847" s="2577" t="s">
        <v>1883</v>
      </c>
      <c r="D2847" s="4066">
        <v>250000000</v>
      </c>
      <c r="E2847" s="2855">
        <v>250000000</v>
      </c>
      <c r="F2847" s="2763">
        <f t="shared" si="232"/>
        <v>100</v>
      </c>
      <c r="G2847" s="2763">
        <v>100</v>
      </c>
      <c r="H2847" s="1463"/>
    </row>
    <row r="2848" spans="2:8" ht="15" hidden="1" customHeight="1" x14ac:dyDescent="0.25">
      <c r="B2848" s="441"/>
      <c r="C2848" s="2577" t="s">
        <v>1884</v>
      </c>
      <c r="D2848" s="4066">
        <v>150000000</v>
      </c>
      <c r="E2848" s="2855">
        <v>148943299</v>
      </c>
      <c r="F2848" s="2763">
        <f t="shared" si="232"/>
        <v>99.295532666666659</v>
      </c>
      <c r="G2848" s="2763">
        <v>100</v>
      </c>
      <c r="H2848" s="1463"/>
    </row>
    <row r="2849" spans="2:8" ht="16.5" hidden="1" customHeight="1" x14ac:dyDescent="0.25">
      <c r="B2849" s="441"/>
      <c r="C2849" s="2577" t="s">
        <v>1885</v>
      </c>
      <c r="D2849" s="4066">
        <v>450000000</v>
      </c>
      <c r="E2849" s="2855">
        <v>436438000</v>
      </c>
      <c r="F2849" s="2763">
        <f t="shared" si="232"/>
        <v>96.986222222222224</v>
      </c>
      <c r="G2849" s="2763">
        <v>100</v>
      </c>
      <c r="H2849" s="1463"/>
    </row>
    <row r="2850" spans="2:8" ht="15.75" hidden="1" customHeight="1" x14ac:dyDescent="0.25">
      <c r="B2850" s="441"/>
      <c r="C2850" s="2577" t="s">
        <v>1886</v>
      </c>
      <c r="D2850" s="4066">
        <v>250000000</v>
      </c>
      <c r="E2850" s="2855">
        <v>242050000</v>
      </c>
      <c r="F2850" s="2763">
        <f t="shared" si="232"/>
        <v>96.82</v>
      </c>
      <c r="G2850" s="2763">
        <v>100</v>
      </c>
      <c r="H2850" s="1463"/>
    </row>
    <row r="2851" spans="2:8" ht="14.25" hidden="1" customHeight="1" x14ac:dyDescent="0.25">
      <c r="B2851" s="441"/>
      <c r="C2851" s="2577" t="s">
        <v>1887</v>
      </c>
      <c r="D2851" s="4066">
        <v>200000000</v>
      </c>
      <c r="E2851" s="2855">
        <v>198857100</v>
      </c>
      <c r="F2851" s="2763">
        <f t="shared" si="232"/>
        <v>99.428550000000001</v>
      </c>
      <c r="G2851" s="2763">
        <v>100</v>
      </c>
      <c r="H2851" s="1463"/>
    </row>
    <row r="2852" spans="2:8" ht="16.5" hidden="1" customHeight="1" x14ac:dyDescent="0.25">
      <c r="B2852" s="441"/>
      <c r="C2852" s="2577" t="s">
        <v>1888</v>
      </c>
      <c r="D2852" s="4066">
        <v>200000000</v>
      </c>
      <c r="E2852" s="2690">
        <v>199848800</v>
      </c>
      <c r="F2852" s="2763">
        <f t="shared" si="232"/>
        <v>99.924400000000006</v>
      </c>
      <c r="G2852" s="2763">
        <v>100</v>
      </c>
      <c r="H2852" s="1463"/>
    </row>
    <row r="2853" spans="2:8" ht="12" hidden="1" customHeight="1" x14ac:dyDescent="0.25">
      <c r="B2853" s="441"/>
      <c r="C2853" s="2475"/>
      <c r="D2853" s="4071"/>
      <c r="E2853" s="2710"/>
      <c r="F2853" s="2758"/>
      <c r="G2853" s="2710"/>
      <c r="H2853" s="1463"/>
    </row>
    <row r="2854" spans="2:8" ht="18.75" customHeight="1" x14ac:dyDescent="0.25">
      <c r="B2854" s="440"/>
      <c r="C2854" s="2579" t="s">
        <v>5555</v>
      </c>
      <c r="D2854" s="4349">
        <f>SUM(D2855+D2861+D2864+D2867+D2870+D2874+D2883+D2886+D2904+D2907+D2913+D2917+D2900)</f>
        <v>12573300000</v>
      </c>
      <c r="E2854" s="3532">
        <f>SUM(E2855+E2861+E2864+E2867+E2870+E2874+E2883+E2886+E2904+E2907+E2913+E2917+E2900)</f>
        <v>12109988163</v>
      </c>
      <c r="F2854" s="2717">
        <f>E2854/D2854*100</f>
        <v>96.315113478561713</v>
      </c>
      <c r="G2854" s="2672">
        <f>SUM(G2855+G2861+G2864+G2867+G2870+G2874+G2883+G2886+G2900+G2904+G2907+G2913+G2917)/13</f>
        <v>100</v>
      </c>
      <c r="H2854" s="1463"/>
    </row>
    <row r="2855" spans="2:8" ht="16.5" customHeight="1" x14ac:dyDescent="0.25">
      <c r="B2855" s="441"/>
      <c r="C2855" s="2580" t="s">
        <v>1890</v>
      </c>
      <c r="D2855" s="4324">
        <f>SUM(D2856:D2859)</f>
        <v>6850000000</v>
      </c>
      <c r="E2855" s="3540">
        <f>SUM(E2856:E2859)</f>
        <v>6649645000</v>
      </c>
      <c r="F2855" s="2764">
        <f>E2855/D2855*100</f>
        <v>97.075109489051087</v>
      </c>
      <c r="G2855" s="2695">
        <f>SUM(G2856:G2859)/4</f>
        <v>100</v>
      </c>
      <c r="H2855" s="1463"/>
    </row>
    <row r="2856" spans="2:8" ht="17.25" hidden="1" customHeight="1" x14ac:dyDescent="0.25">
      <c r="B2856" s="441"/>
      <c r="C2856" s="2577" t="s">
        <v>1891</v>
      </c>
      <c r="D2856" s="4066">
        <v>1000000000</v>
      </c>
      <c r="E2856" s="2690">
        <v>1000000000</v>
      </c>
      <c r="F2856" s="2763">
        <f t="shared" ref="F2856:F2898" si="233">E2856/D2856*100</f>
        <v>100</v>
      </c>
      <c r="G2856" s="2690">
        <v>100</v>
      </c>
      <c r="H2856" s="1463"/>
    </row>
    <row r="2857" spans="2:8" ht="15.75" hidden="1" customHeight="1" x14ac:dyDescent="0.25">
      <c r="B2857" s="441"/>
      <c r="C2857" s="2581" t="s">
        <v>3458</v>
      </c>
      <c r="D2857" s="4066">
        <v>5000000000</v>
      </c>
      <c r="E2857" s="2690">
        <v>4800000000</v>
      </c>
      <c r="F2857" s="2763">
        <f t="shared" si="233"/>
        <v>96</v>
      </c>
      <c r="G2857" s="2690">
        <v>100</v>
      </c>
      <c r="H2857" s="1463"/>
    </row>
    <row r="2858" spans="2:8" ht="15.75" hidden="1" customHeight="1" x14ac:dyDescent="0.25">
      <c r="B2858" s="441"/>
      <c r="C2858" s="2581" t="s">
        <v>1892</v>
      </c>
      <c r="D2858" s="4066">
        <v>500000000</v>
      </c>
      <c r="E2858" s="2690">
        <v>499645000</v>
      </c>
      <c r="F2858" s="2763">
        <f t="shared" si="233"/>
        <v>99.929000000000002</v>
      </c>
      <c r="G2858" s="2690">
        <v>100</v>
      </c>
      <c r="H2858" s="1463"/>
    </row>
    <row r="2859" spans="2:8" ht="16.5" hidden="1" customHeight="1" x14ac:dyDescent="0.25">
      <c r="B2859" s="441"/>
      <c r="C2859" s="2581" t="s">
        <v>1893</v>
      </c>
      <c r="D2859" s="4066">
        <v>350000000</v>
      </c>
      <c r="E2859" s="2690">
        <v>350000000</v>
      </c>
      <c r="F2859" s="2763">
        <f t="shared" si="233"/>
        <v>100</v>
      </c>
      <c r="G2859" s="2690">
        <v>100</v>
      </c>
      <c r="H2859" s="1463"/>
    </row>
    <row r="2860" spans="2:8" ht="8.25" hidden="1" customHeight="1" x14ac:dyDescent="0.25">
      <c r="B2860" s="441"/>
      <c r="C2860" s="2581"/>
      <c r="D2860" s="4276"/>
      <c r="E2860" s="3035"/>
      <c r="F2860" s="2763"/>
      <c r="G2860" s="3035"/>
      <c r="H2860" s="1463"/>
    </row>
    <row r="2861" spans="2:8" ht="16.5" customHeight="1" x14ac:dyDescent="0.25">
      <c r="B2861" s="441"/>
      <c r="C2861" s="2582" t="s">
        <v>1894</v>
      </c>
      <c r="D2861" s="4324">
        <f>D2862</f>
        <v>100000000</v>
      </c>
      <c r="E2861" s="3257">
        <f>E2862</f>
        <v>89100000</v>
      </c>
      <c r="F2861" s="2764">
        <f t="shared" si="233"/>
        <v>89.1</v>
      </c>
      <c r="G2861" s="2695">
        <f>G2862</f>
        <v>100</v>
      </c>
      <c r="H2861" s="1463"/>
    </row>
    <row r="2862" spans="2:8" ht="15.75" hidden="1" customHeight="1" x14ac:dyDescent="0.25">
      <c r="B2862" s="441"/>
      <c r="C2862" s="2577" t="s">
        <v>1895</v>
      </c>
      <c r="D2862" s="4066">
        <v>100000000</v>
      </c>
      <c r="E2862" s="2690">
        <v>89100000</v>
      </c>
      <c r="F2862" s="2763">
        <f t="shared" si="233"/>
        <v>89.1</v>
      </c>
      <c r="G2862" s="2690">
        <v>100</v>
      </c>
      <c r="H2862" s="1463"/>
    </row>
    <row r="2863" spans="2:8" ht="6.75" hidden="1" customHeight="1" x14ac:dyDescent="0.25">
      <c r="B2863" s="444"/>
      <c r="C2863" s="2581"/>
      <c r="D2863" s="4276"/>
      <c r="E2863" s="3035"/>
      <c r="F2863" s="2763"/>
      <c r="G2863" s="3035"/>
      <c r="H2863" s="1463"/>
    </row>
    <row r="2864" spans="2:8" ht="18" customHeight="1" x14ac:dyDescent="0.25">
      <c r="B2864" s="441"/>
      <c r="C2864" s="2582" t="s">
        <v>1896</v>
      </c>
      <c r="D2864" s="4324">
        <f>D2865</f>
        <v>100000000</v>
      </c>
      <c r="E2864" s="3257">
        <f>E2865</f>
        <v>99900386</v>
      </c>
      <c r="F2864" s="2764">
        <f t="shared" si="233"/>
        <v>99.900385999999997</v>
      </c>
      <c r="G2864" s="2695">
        <f>G2865</f>
        <v>100</v>
      </c>
      <c r="H2864" s="1463"/>
    </row>
    <row r="2865" spans="2:8" ht="15" hidden="1" customHeight="1" x14ac:dyDescent="0.25">
      <c r="B2865" s="441"/>
      <c r="C2865" s="2577" t="s">
        <v>1897</v>
      </c>
      <c r="D2865" s="4066">
        <v>100000000</v>
      </c>
      <c r="E2865" s="2690">
        <v>99900386</v>
      </c>
      <c r="F2865" s="2763">
        <f t="shared" si="233"/>
        <v>99.900385999999997</v>
      </c>
      <c r="G2865" s="2690">
        <v>100</v>
      </c>
      <c r="H2865" s="1463"/>
    </row>
    <row r="2866" spans="2:8" ht="9.75" hidden="1" customHeight="1" x14ac:dyDescent="0.25">
      <c r="B2866" s="441"/>
      <c r="C2866" s="2581"/>
      <c r="D2866" s="4276"/>
      <c r="E2866" s="3035"/>
      <c r="F2866" s="2763"/>
      <c r="G2866" s="3035"/>
      <c r="H2866" s="1463"/>
    </row>
    <row r="2867" spans="2:8" ht="17.25" customHeight="1" x14ac:dyDescent="0.25">
      <c r="B2867" s="441"/>
      <c r="C2867" s="2582" t="s">
        <v>1296</v>
      </c>
      <c r="D2867" s="4324">
        <f>D2868</f>
        <v>200000000</v>
      </c>
      <c r="E2867" s="3257">
        <f>E2868</f>
        <v>150000000</v>
      </c>
      <c r="F2867" s="2764">
        <f t="shared" si="233"/>
        <v>75</v>
      </c>
      <c r="G2867" s="2695">
        <f>G2868</f>
        <v>100</v>
      </c>
      <c r="H2867" s="1463"/>
    </row>
    <row r="2868" spans="2:8" ht="16.5" hidden="1" customHeight="1" x14ac:dyDescent="0.25">
      <c r="B2868" s="441"/>
      <c r="C2868" s="2577" t="s">
        <v>1297</v>
      </c>
      <c r="D2868" s="4066">
        <v>200000000</v>
      </c>
      <c r="E2868" s="2855">
        <v>150000000</v>
      </c>
      <c r="F2868" s="2763">
        <f t="shared" si="233"/>
        <v>75</v>
      </c>
      <c r="G2868" s="2855">
        <v>100</v>
      </c>
      <c r="H2868" s="1463"/>
    </row>
    <row r="2869" spans="2:8" ht="12" hidden="1" customHeight="1" x14ac:dyDescent="0.25">
      <c r="B2869" s="441"/>
      <c r="C2869" s="2581"/>
      <c r="D2869" s="4276"/>
      <c r="E2869" s="3035"/>
      <c r="F2869" s="2763"/>
      <c r="G2869" s="3035"/>
      <c r="H2869" s="1463"/>
    </row>
    <row r="2870" spans="2:8" ht="17.25" customHeight="1" x14ac:dyDescent="0.25">
      <c r="B2870" s="441"/>
      <c r="C2870" s="2582" t="s">
        <v>1898</v>
      </c>
      <c r="D2870" s="4324">
        <f>SUM(D2871:D2872)</f>
        <v>200000000</v>
      </c>
      <c r="E2870" s="3540">
        <f>SUM(E2871:E2872)</f>
        <v>197397979</v>
      </c>
      <c r="F2870" s="2764">
        <f t="shared" si="233"/>
        <v>98.698989499999996</v>
      </c>
      <c r="G2870" s="2695">
        <f>SUM(G2871:G2872)/2</f>
        <v>100</v>
      </c>
      <c r="H2870" s="1463"/>
    </row>
    <row r="2871" spans="2:8" ht="14.25" hidden="1" customHeight="1" x14ac:dyDescent="0.25">
      <c r="B2871" s="441"/>
      <c r="C2871" s="2577" t="s">
        <v>1899</v>
      </c>
      <c r="D2871" s="4066">
        <v>100000000</v>
      </c>
      <c r="E2871" s="2690">
        <v>97526000</v>
      </c>
      <c r="F2871" s="2763">
        <f t="shared" si="233"/>
        <v>97.525999999999996</v>
      </c>
      <c r="G2871" s="2690">
        <v>100</v>
      </c>
      <c r="H2871" s="1463"/>
    </row>
    <row r="2872" spans="2:8" ht="18" hidden="1" customHeight="1" x14ac:dyDescent="0.25">
      <c r="B2872" s="441"/>
      <c r="C2872" s="2581" t="s">
        <v>1900</v>
      </c>
      <c r="D2872" s="4066">
        <v>100000000</v>
      </c>
      <c r="E2872" s="2855">
        <v>99871979</v>
      </c>
      <c r="F2872" s="2763">
        <f t="shared" si="233"/>
        <v>99.871978999999996</v>
      </c>
      <c r="G2872" s="2855">
        <v>100</v>
      </c>
      <c r="H2872" s="1463"/>
    </row>
    <row r="2873" spans="2:8" ht="9" hidden="1" customHeight="1" x14ac:dyDescent="0.25">
      <c r="B2873" s="441"/>
      <c r="C2873" s="2581"/>
      <c r="D2873" s="4276"/>
      <c r="E2873" s="3035"/>
      <c r="F2873" s="2763"/>
      <c r="G2873" s="3035"/>
      <c r="H2873" s="1463"/>
    </row>
    <row r="2874" spans="2:8" ht="19.5" customHeight="1" x14ac:dyDescent="0.25">
      <c r="B2874" s="441"/>
      <c r="C2874" s="2582" t="s">
        <v>1901</v>
      </c>
      <c r="D2874" s="4324">
        <f>SUM(D2875:D2881)</f>
        <v>700000000</v>
      </c>
      <c r="E2874" s="3540">
        <f>SUM(E2875:E2881)</f>
        <v>645678100</v>
      </c>
      <c r="F2874" s="2764">
        <f t="shared" si="233"/>
        <v>92.239728571428572</v>
      </c>
      <c r="G2874" s="3250">
        <f>SUM(G2875:G2881)/7</f>
        <v>100</v>
      </c>
      <c r="H2874" s="1463"/>
    </row>
    <row r="2875" spans="2:8" ht="16.5" hidden="1" customHeight="1" x14ac:dyDescent="0.25">
      <c r="B2875" s="441"/>
      <c r="C2875" s="2577" t="s">
        <v>1902</v>
      </c>
      <c r="D2875" s="4066">
        <v>100000000</v>
      </c>
      <c r="E2875" s="2855">
        <v>99924500</v>
      </c>
      <c r="F2875" s="2763">
        <f t="shared" si="233"/>
        <v>99.924500000000009</v>
      </c>
      <c r="G2875" s="2855">
        <v>100</v>
      </c>
      <c r="H2875" s="1463"/>
    </row>
    <row r="2876" spans="2:8" ht="15.75" hidden="1" customHeight="1" x14ac:dyDescent="0.25">
      <c r="B2876" s="441"/>
      <c r="C2876" s="2581" t="s">
        <v>1903</v>
      </c>
      <c r="D2876" s="4066">
        <v>100000000</v>
      </c>
      <c r="E2876" s="2690">
        <v>98918500</v>
      </c>
      <c r="F2876" s="2763">
        <f t="shared" si="233"/>
        <v>98.918499999999995</v>
      </c>
      <c r="G2876" s="2855">
        <v>100</v>
      </c>
      <c r="H2876" s="1463"/>
    </row>
    <row r="2877" spans="2:8" ht="15.75" hidden="1" customHeight="1" x14ac:dyDescent="0.25">
      <c r="B2877" s="441"/>
      <c r="C2877" s="2581" t="s">
        <v>1904</v>
      </c>
      <c r="D2877" s="4066">
        <v>100000000</v>
      </c>
      <c r="E2877" s="2690">
        <v>99930200</v>
      </c>
      <c r="F2877" s="2763">
        <f t="shared" si="233"/>
        <v>99.930199999999999</v>
      </c>
      <c r="G2877" s="2855">
        <v>100</v>
      </c>
      <c r="H2877" s="1463"/>
    </row>
    <row r="2878" spans="2:8" ht="17.25" hidden="1" customHeight="1" x14ac:dyDescent="0.25">
      <c r="B2878" s="441"/>
      <c r="C2878" s="2581" t="s">
        <v>1905</v>
      </c>
      <c r="D2878" s="4066">
        <v>100000000</v>
      </c>
      <c r="E2878" s="2690">
        <v>99919200</v>
      </c>
      <c r="F2878" s="2763">
        <f t="shared" si="233"/>
        <v>99.919200000000004</v>
      </c>
      <c r="G2878" s="2855">
        <v>100</v>
      </c>
      <c r="H2878" s="1463"/>
    </row>
    <row r="2879" spans="2:8" ht="19.5" hidden="1" customHeight="1" x14ac:dyDescent="0.25">
      <c r="B2879" s="441"/>
      <c r="C2879" s="2581" t="s">
        <v>1906</v>
      </c>
      <c r="D2879" s="4066">
        <v>100000000</v>
      </c>
      <c r="E2879" s="2690">
        <v>99993000</v>
      </c>
      <c r="F2879" s="2763">
        <f t="shared" si="233"/>
        <v>99.992999999999995</v>
      </c>
      <c r="G2879" s="2855">
        <v>100</v>
      </c>
      <c r="H2879" s="1463"/>
    </row>
    <row r="2880" spans="2:8" ht="17.25" hidden="1" customHeight="1" x14ac:dyDescent="0.25">
      <c r="B2880" s="441"/>
      <c r="C2880" s="2581" t="s">
        <v>1907</v>
      </c>
      <c r="D2880" s="4066">
        <v>100000000</v>
      </c>
      <c r="E2880" s="2690">
        <v>99492700</v>
      </c>
      <c r="F2880" s="2763">
        <f t="shared" si="233"/>
        <v>99.492699999999999</v>
      </c>
      <c r="G2880" s="2855">
        <v>100</v>
      </c>
      <c r="H2880" s="1463"/>
    </row>
    <row r="2881" spans="2:8" ht="15.75" hidden="1" customHeight="1" x14ac:dyDescent="0.25">
      <c r="B2881" s="441"/>
      <c r="C2881" s="2581" t="s">
        <v>1908</v>
      </c>
      <c r="D2881" s="4066">
        <v>100000000</v>
      </c>
      <c r="E2881" s="2690">
        <v>47500000</v>
      </c>
      <c r="F2881" s="2763">
        <f t="shared" si="233"/>
        <v>47.5</v>
      </c>
      <c r="G2881" s="2855">
        <v>100</v>
      </c>
      <c r="H2881" s="1463"/>
    </row>
    <row r="2882" spans="2:8" ht="12" hidden="1" customHeight="1" x14ac:dyDescent="0.25">
      <c r="B2882" s="441"/>
      <c r="C2882" s="2581"/>
      <c r="D2882" s="4276"/>
      <c r="E2882" s="3035"/>
      <c r="F2882" s="2763"/>
      <c r="G2882" s="3035"/>
      <c r="H2882" s="1463"/>
    </row>
    <row r="2883" spans="2:8" ht="16.5" customHeight="1" x14ac:dyDescent="0.25">
      <c r="B2883" s="441"/>
      <c r="C2883" s="2582" t="s">
        <v>1909</v>
      </c>
      <c r="D2883" s="4324">
        <f>D2884</f>
        <v>100000000</v>
      </c>
      <c r="E2883" s="3257">
        <f>E2884</f>
        <v>95553000</v>
      </c>
      <c r="F2883" s="2764">
        <f t="shared" si="233"/>
        <v>95.552999999999997</v>
      </c>
      <c r="G2883" s="2695">
        <f>G2884</f>
        <v>100</v>
      </c>
      <c r="H2883" s="1463"/>
    </row>
    <row r="2884" spans="2:8" ht="13.5" hidden="1" customHeight="1" x14ac:dyDescent="0.25">
      <c r="B2884" s="441"/>
      <c r="C2884" s="2577" t="s">
        <v>1910</v>
      </c>
      <c r="D2884" s="4066">
        <v>100000000</v>
      </c>
      <c r="E2884" s="2690">
        <v>95553000</v>
      </c>
      <c r="F2884" s="2763">
        <f t="shared" si="233"/>
        <v>95.552999999999997</v>
      </c>
      <c r="G2884" s="2763">
        <v>100</v>
      </c>
      <c r="H2884" s="1463"/>
    </row>
    <row r="2885" spans="2:8" ht="12" hidden="1" customHeight="1" x14ac:dyDescent="0.25">
      <c r="B2885" s="441"/>
      <c r="C2885" s="2581"/>
      <c r="D2885" s="4276"/>
      <c r="E2885" s="3035"/>
      <c r="F2885" s="2763"/>
      <c r="G2885" s="3035"/>
      <c r="H2885" s="1463"/>
    </row>
    <row r="2886" spans="2:8" ht="27.75" customHeight="1" x14ac:dyDescent="0.25">
      <c r="B2886" s="441"/>
      <c r="C2886" s="2582" t="s">
        <v>1911</v>
      </c>
      <c r="D2886" s="4324">
        <f>SUM(D2887:D2898)</f>
        <v>1978000000</v>
      </c>
      <c r="E2886" s="3540">
        <f>SUM(E2887:E2898)</f>
        <v>1856242000</v>
      </c>
      <c r="F2886" s="2764">
        <f t="shared" si="233"/>
        <v>93.844388270980801</v>
      </c>
      <c r="G2886" s="2695">
        <f>SUM(G2887:G2898)/12</f>
        <v>100</v>
      </c>
      <c r="H2886" s="1463"/>
    </row>
    <row r="2887" spans="2:8" ht="17.25" hidden="1" customHeight="1" x14ac:dyDescent="0.25">
      <c r="B2887" s="441"/>
      <c r="C2887" s="2577" t="s">
        <v>1912</v>
      </c>
      <c r="D2887" s="4066">
        <v>200000000</v>
      </c>
      <c r="E2887" s="2690">
        <v>192625000</v>
      </c>
      <c r="F2887" s="2763">
        <f t="shared" si="233"/>
        <v>96.3125</v>
      </c>
      <c r="G2887" s="2690">
        <v>100</v>
      </c>
      <c r="H2887" s="1463"/>
    </row>
    <row r="2888" spans="2:8" ht="15.75" hidden="1" customHeight="1" x14ac:dyDescent="0.25">
      <c r="B2888" s="441"/>
      <c r="C2888" s="2577" t="s">
        <v>3085</v>
      </c>
      <c r="D2888" s="4066">
        <v>350000000</v>
      </c>
      <c r="E2888" s="2690">
        <v>348300000</v>
      </c>
      <c r="F2888" s="2763">
        <f t="shared" si="233"/>
        <v>99.514285714285705</v>
      </c>
      <c r="G2888" s="2690">
        <v>100</v>
      </c>
      <c r="H2888" s="1463"/>
    </row>
    <row r="2889" spans="2:8" ht="14.25" hidden="1" customHeight="1" x14ac:dyDescent="0.25">
      <c r="B2889" s="441"/>
      <c r="C2889" s="2577" t="s">
        <v>1913</v>
      </c>
      <c r="D2889" s="4066">
        <v>550000000</v>
      </c>
      <c r="E2889" s="2690">
        <v>467404000</v>
      </c>
      <c r="F2889" s="2763">
        <f t="shared" si="233"/>
        <v>84.982545454545459</v>
      </c>
      <c r="G2889" s="2690">
        <v>100</v>
      </c>
      <c r="H2889" s="1463"/>
    </row>
    <row r="2890" spans="2:8" ht="15.75" hidden="1" customHeight="1" x14ac:dyDescent="0.25">
      <c r="B2890" s="441"/>
      <c r="C2890" s="2577" t="s">
        <v>1914</v>
      </c>
      <c r="D2890" s="4066">
        <v>150000000</v>
      </c>
      <c r="E2890" s="2690">
        <v>149000000</v>
      </c>
      <c r="F2890" s="2763">
        <f t="shared" si="233"/>
        <v>99.333333333333329</v>
      </c>
      <c r="G2890" s="2690">
        <v>100</v>
      </c>
      <c r="H2890" s="1463"/>
    </row>
    <row r="2891" spans="2:8" ht="15.75" hidden="1" customHeight="1" x14ac:dyDescent="0.25">
      <c r="B2891" s="441"/>
      <c r="C2891" s="2581" t="s">
        <v>1915</v>
      </c>
      <c r="D2891" s="4066">
        <v>300000000</v>
      </c>
      <c r="E2891" s="2690">
        <v>291925000</v>
      </c>
      <c r="F2891" s="2763">
        <f t="shared" si="233"/>
        <v>97.308333333333337</v>
      </c>
      <c r="G2891" s="2690">
        <v>100</v>
      </c>
      <c r="H2891" s="1463"/>
    </row>
    <row r="2892" spans="2:8" ht="16.5" hidden="1" customHeight="1" x14ac:dyDescent="0.25">
      <c r="B2892" s="441"/>
      <c r="C2892" s="2581" t="s">
        <v>1916</v>
      </c>
      <c r="D2892" s="4066">
        <v>100000000</v>
      </c>
      <c r="E2892" s="2690">
        <v>98975000</v>
      </c>
      <c r="F2892" s="2763">
        <f t="shared" si="233"/>
        <v>98.975000000000009</v>
      </c>
      <c r="G2892" s="2690">
        <v>100</v>
      </c>
      <c r="H2892" s="1463"/>
    </row>
    <row r="2893" spans="2:8" ht="15" hidden="1" customHeight="1" x14ac:dyDescent="0.25">
      <c r="B2893" s="441"/>
      <c r="C2893" s="2581" t="s">
        <v>1917</v>
      </c>
      <c r="D2893" s="4066">
        <v>150000000</v>
      </c>
      <c r="E2893" s="2690">
        <v>143225000</v>
      </c>
      <c r="F2893" s="2763">
        <f t="shared" si="233"/>
        <v>95.483333333333334</v>
      </c>
      <c r="G2893" s="2690">
        <v>100</v>
      </c>
      <c r="H2893" s="1463"/>
    </row>
    <row r="2894" spans="2:8" ht="12.75" hidden="1" customHeight="1" x14ac:dyDescent="0.25">
      <c r="B2894" s="441"/>
      <c r="C2894" s="2581" t="s">
        <v>1918</v>
      </c>
      <c r="D2894" s="4066">
        <v>25422000</v>
      </c>
      <c r="E2894" s="2855">
        <v>23245000</v>
      </c>
      <c r="F2894" s="2763">
        <f t="shared" si="233"/>
        <v>91.436551018802618</v>
      </c>
      <c r="G2894" s="2690">
        <v>100</v>
      </c>
      <c r="H2894" s="1463"/>
    </row>
    <row r="2895" spans="2:8" ht="16.5" hidden="1" customHeight="1" x14ac:dyDescent="0.25">
      <c r="B2895" s="441"/>
      <c r="C2895" s="2581" t="s">
        <v>1919</v>
      </c>
      <c r="D2895" s="4066">
        <v>35655000</v>
      </c>
      <c r="E2895" s="2855">
        <v>34490000</v>
      </c>
      <c r="F2895" s="2763">
        <f t="shared" si="233"/>
        <v>96.732576076286634</v>
      </c>
      <c r="G2895" s="2690">
        <v>100</v>
      </c>
      <c r="H2895" s="1463"/>
    </row>
    <row r="2896" spans="2:8" ht="14.25" hidden="1" customHeight="1" x14ac:dyDescent="0.25">
      <c r="B2896" s="441"/>
      <c r="C2896" s="2581" t="s">
        <v>1920</v>
      </c>
      <c r="D2896" s="4066">
        <v>56410000</v>
      </c>
      <c r="E2896" s="2855">
        <v>48320000</v>
      </c>
      <c r="F2896" s="2763">
        <f t="shared" si="233"/>
        <v>85.65857117532353</v>
      </c>
      <c r="G2896" s="2690">
        <v>100</v>
      </c>
      <c r="H2896" s="1463"/>
    </row>
    <row r="2897" spans="2:8" ht="17.25" hidden="1" customHeight="1" x14ac:dyDescent="0.25">
      <c r="B2897" s="441"/>
      <c r="C2897" s="3667" t="s">
        <v>1921</v>
      </c>
      <c r="D2897" s="4323">
        <v>21325000</v>
      </c>
      <c r="E2897" s="2855">
        <v>19650000</v>
      </c>
      <c r="F2897" s="2763">
        <f t="shared" si="233"/>
        <v>92.145369284876907</v>
      </c>
      <c r="G2897" s="2690">
        <v>100</v>
      </c>
      <c r="H2897" s="1463"/>
    </row>
    <row r="2898" spans="2:8" ht="15" hidden="1" customHeight="1" x14ac:dyDescent="0.25">
      <c r="B2898" s="441"/>
      <c r="C2898" s="2577" t="s">
        <v>1922</v>
      </c>
      <c r="D2898" s="4066">
        <v>39188000</v>
      </c>
      <c r="E2898" s="2855">
        <v>39083000</v>
      </c>
      <c r="F2898" s="2763">
        <f t="shared" si="233"/>
        <v>99.732060834949479</v>
      </c>
      <c r="G2898" s="2690">
        <v>100</v>
      </c>
      <c r="H2898" s="1463"/>
    </row>
    <row r="2899" spans="2:8" ht="11.25" hidden="1" customHeight="1" x14ac:dyDescent="0.25">
      <c r="B2899" s="441"/>
      <c r="C2899" s="2581"/>
      <c r="D2899" s="4276"/>
      <c r="E2899" s="3035"/>
      <c r="F2899" s="2688"/>
      <c r="G2899" s="3035"/>
      <c r="H2899" s="1463"/>
    </row>
    <row r="2900" spans="2:8" ht="17.25" customHeight="1" x14ac:dyDescent="0.25">
      <c r="B2900" s="441"/>
      <c r="C2900" s="2582" t="s">
        <v>1923</v>
      </c>
      <c r="D2900" s="4324">
        <f>SUM(D2901:D2902)</f>
        <v>300000000</v>
      </c>
      <c r="E2900" s="3540">
        <f>SUM(E2901:E2902)</f>
        <v>298906300</v>
      </c>
      <c r="F2900" s="2764">
        <f t="shared" ref="F2900:F2922" si="234">E2900/D2900*100</f>
        <v>99.635433333333339</v>
      </c>
      <c r="G2900" s="3250">
        <f>SUM(G2901:G2902)/2</f>
        <v>100</v>
      </c>
      <c r="H2900" s="1463"/>
    </row>
    <row r="2901" spans="2:8" ht="16.5" hidden="1" customHeight="1" x14ac:dyDescent="0.25">
      <c r="B2901" s="441"/>
      <c r="C2901" s="2577" t="s">
        <v>1924</v>
      </c>
      <c r="D2901" s="4066">
        <v>100000000</v>
      </c>
      <c r="E2901" s="2855">
        <v>100000000</v>
      </c>
      <c r="F2901" s="2763">
        <f t="shared" si="234"/>
        <v>100</v>
      </c>
      <c r="G2901" s="2855">
        <v>100</v>
      </c>
      <c r="H2901" s="1463"/>
    </row>
    <row r="2902" spans="2:8" ht="16.5" hidden="1" customHeight="1" x14ac:dyDescent="0.25">
      <c r="B2902" s="441"/>
      <c r="C2902" s="2577" t="s">
        <v>1925</v>
      </c>
      <c r="D2902" s="4066">
        <v>200000000</v>
      </c>
      <c r="E2902" s="2855">
        <v>198906300</v>
      </c>
      <c r="F2902" s="2763">
        <f t="shared" si="234"/>
        <v>99.453150000000008</v>
      </c>
      <c r="G2902" s="2855">
        <v>100</v>
      </c>
      <c r="H2902" s="1463"/>
    </row>
    <row r="2903" spans="2:8" ht="9" hidden="1" customHeight="1" x14ac:dyDescent="0.25">
      <c r="B2903" s="441"/>
      <c r="C2903" s="2593"/>
      <c r="D2903" s="4299"/>
      <c r="E2903" s="2784"/>
      <c r="F2903" s="2763"/>
      <c r="G2903" s="2784"/>
      <c r="H2903" s="1463"/>
    </row>
    <row r="2904" spans="2:8" ht="17.25" customHeight="1" x14ac:dyDescent="0.25">
      <c r="B2904" s="441"/>
      <c r="C2904" s="2576" t="s">
        <v>1926</v>
      </c>
      <c r="D2904" s="4065">
        <f>D2905</f>
        <v>990000000</v>
      </c>
      <c r="E2904" s="2695">
        <f>E2905</f>
        <v>990000000</v>
      </c>
      <c r="F2904" s="2764">
        <f t="shared" si="234"/>
        <v>100</v>
      </c>
      <c r="G2904" s="2695">
        <f>G2905</f>
        <v>100</v>
      </c>
      <c r="H2904" s="1463"/>
    </row>
    <row r="2905" spans="2:8" ht="14.25" hidden="1" customHeight="1" x14ac:dyDescent="0.25">
      <c r="B2905" s="441"/>
      <c r="C2905" s="2577" t="s">
        <v>1927</v>
      </c>
      <c r="D2905" s="4066">
        <v>990000000</v>
      </c>
      <c r="E2905" s="2690">
        <v>990000000</v>
      </c>
      <c r="F2905" s="2763">
        <f t="shared" si="234"/>
        <v>100</v>
      </c>
      <c r="G2905" s="2690">
        <v>100</v>
      </c>
      <c r="H2905" s="1463"/>
    </row>
    <row r="2906" spans="2:8" ht="8.25" hidden="1" customHeight="1" x14ac:dyDescent="0.25">
      <c r="B2906" s="444"/>
      <c r="C2906" s="2577"/>
      <c r="D2906" s="4276"/>
      <c r="E2906" s="3035"/>
      <c r="F2906" s="2763"/>
      <c r="G2906" s="3035"/>
      <c r="H2906" s="1463"/>
    </row>
    <row r="2907" spans="2:8" ht="16.5" customHeight="1" x14ac:dyDescent="0.25">
      <c r="B2907" s="441"/>
      <c r="C2907" s="2576" t="s">
        <v>1928</v>
      </c>
      <c r="D2907" s="4065">
        <f>SUM(D2908:D2911)</f>
        <v>455300000</v>
      </c>
      <c r="E2907" s="2695">
        <f>SUM(E2908:E2911)</f>
        <v>445217490</v>
      </c>
      <c r="F2907" s="2764">
        <f t="shared" si="234"/>
        <v>97.785523830441463</v>
      </c>
      <c r="G2907" s="2695">
        <f>SUM(G2908:G2911)/4</f>
        <v>100</v>
      </c>
      <c r="H2907" s="1463"/>
    </row>
    <row r="2908" spans="2:8" ht="15.75" hidden="1" customHeight="1" x14ac:dyDescent="0.25">
      <c r="B2908" s="441"/>
      <c r="C2908" s="2577" t="s">
        <v>1929</v>
      </c>
      <c r="D2908" s="4066">
        <v>100000000</v>
      </c>
      <c r="E2908" s="2690">
        <v>99951890</v>
      </c>
      <c r="F2908" s="2763">
        <f t="shared" si="234"/>
        <v>99.951889999999992</v>
      </c>
      <c r="G2908" s="2690">
        <v>100</v>
      </c>
      <c r="H2908" s="1463"/>
    </row>
    <row r="2909" spans="2:8" ht="16.5" hidden="1" customHeight="1" x14ac:dyDescent="0.25">
      <c r="B2909" s="441"/>
      <c r="C2909" s="2577" t="s">
        <v>1930</v>
      </c>
      <c r="D2909" s="4066">
        <v>100000000</v>
      </c>
      <c r="E2909" s="2690">
        <v>96831400</v>
      </c>
      <c r="F2909" s="2763">
        <f t="shared" si="234"/>
        <v>96.831400000000002</v>
      </c>
      <c r="G2909" s="2690">
        <v>100</v>
      </c>
      <c r="H2909" s="1463"/>
    </row>
    <row r="2910" spans="2:8" ht="15.75" hidden="1" customHeight="1" x14ac:dyDescent="0.25">
      <c r="B2910" s="441"/>
      <c r="C2910" s="2577" t="s">
        <v>1931</v>
      </c>
      <c r="D2910" s="4066">
        <v>100000000</v>
      </c>
      <c r="E2910" s="2690">
        <v>93184200</v>
      </c>
      <c r="F2910" s="2763">
        <f t="shared" si="234"/>
        <v>93.18419999999999</v>
      </c>
      <c r="G2910" s="2690">
        <v>100</v>
      </c>
      <c r="H2910" s="1463"/>
    </row>
    <row r="2911" spans="2:8" ht="15.75" hidden="1" customHeight="1" x14ac:dyDescent="0.25">
      <c r="B2911" s="441"/>
      <c r="C2911" s="2577" t="s">
        <v>1932</v>
      </c>
      <c r="D2911" s="4066">
        <v>155300000</v>
      </c>
      <c r="E2911" s="2690">
        <v>155250000</v>
      </c>
      <c r="F2911" s="2763">
        <f t="shared" si="234"/>
        <v>99.96780424983902</v>
      </c>
      <c r="G2911" s="2690">
        <v>100</v>
      </c>
      <c r="H2911" s="1463"/>
    </row>
    <row r="2912" spans="2:8" ht="11.25" hidden="1" customHeight="1" x14ac:dyDescent="0.25">
      <c r="B2912" s="441"/>
      <c r="C2912" s="2577"/>
      <c r="D2912" s="4276"/>
      <c r="E2912" s="3035"/>
      <c r="F2912" s="2763"/>
      <c r="G2912" s="3035"/>
      <c r="H2912" s="1463"/>
    </row>
    <row r="2913" spans="2:8" ht="18.75" customHeight="1" x14ac:dyDescent="0.25">
      <c r="B2913" s="441"/>
      <c r="C2913" s="2576" t="s">
        <v>1933</v>
      </c>
      <c r="D2913" s="4065">
        <f>SUM(D2914:D2915)</f>
        <v>500000000</v>
      </c>
      <c r="E2913" s="2695">
        <f>SUM(E2914:E2915)</f>
        <v>492397908</v>
      </c>
      <c r="F2913" s="2764">
        <f t="shared" si="234"/>
        <v>98.479581600000003</v>
      </c>
      <c r="G2913" s="2695">
        <f>SUM(G2914:G2915)/2</f>
        <v>100</v>
      </c>
      <c r="H2913" s="1463"/>
    </row>
    <row r="2914" spans="2:8" ht="20.25" hidden="1" customHeight="1" x14ac:dyDescent="0.25">
      <c r="B2914" s="441"/>
      <c r="C2914" s="2577" t="s">
        <v>1934</v>
      </c>
      <c r="D2914" s="4066">
        <v>200000000</v>
      </c>
      <c r="E2914" s="2690">
        <v>199894700</v>
      </c>
      <c r="F2914" s="2763">
        <f t="shared" si="234"/>
        <v>99.94735</v>
      </c>
      <c r="G2914" s="2690">
        <v>100</v>
      </c>
      <c r="H2914" s="1463"/>
    </row>
    <row r="2915" spans="2:8" ht="19.5" hidden="1" customHeight="1" x14ac:dyDescent="0.25">
      <c r="B2915" s="441"/>
      <c r="C2915" s="2577" t="s">
        <v>1935</v>
      </c>
      <c r="D2915" s="4066">
        <v>300000000</v>
      </c>
      <c r="E2915" s="2690">
        <v>292503208</v>
      </c>
      <c r="F2915" s="2763">
        <f t="shared" si="234"/>
        <v>97.501069333333334</v>
      </c>
      <c r="G2915" s="2690">
        <v>100</v>
      </c>
      <c r="H2915" s="1463"/>
    </row>
    <row r="2916" spans="2:8" ht="10.5" hidden="1" customHeight="1" x14ac:dyDescent="0.25">
      <c r="B2916" s="441"/>
      <c r="C2916" s="2577"/>
      <c r="D2916" s="4276"/>
      <c r="E2916" s="3035"/>
      <c r="F2916" s="2763"/>
      <c r="G2916" s="3035"/>
      <c r="H2916" s="1463"/>
    </row>
    <row r="2917" spans="2:8" ht="18" customHeight="1" x14ac:dyDescent="0.25">
      <c r="B2917" s="441"/>
      <c r="C2917" s="2576" t="s">
        <v>1936</v>
      </c>
      <c r="D2917" s="4065">
        <f>D2918</f>
        <v>100000000</v>
      </c>
      <c r="E2917" s="2695">
        <f>E2918</f>
        <v>99950000</v>
      </c>
      <c r="F2917" s="2764">
        <f t="shared" si="234"/>
        <v>99.95</v>
      </c>
      <c r="G2917" s="2695">
        <f>G2918</f>
        <v>100</v>
      </c>
      <c r="H2917" s="1463"/>
    </row>
    <row r="2918" spans="2:8" ht="15.75" hidden="1" customHeight="1" x14ac:dyDescent="0.25">
      <c r="B2918" s="441"/>
      <c r="C2918" s="2577" t="s">
        <v>1937</v>
      </c>
      <c r="D2918" s="4066">
        <v>100000000</v>
      </c>
      <c r="E2918" s="2690">
        <v>99950000</v>
      </c>
      <c r="F2918" s="2763">
        <f t="shared" si="234"/>
        <v>99.95</v>
      </c>
      <c r="G2918" s="2690">
        <v>100</v>
      </c>
      <c r="H2918" s="1463"/>
    </row>
    <row r="2919" spans="2:8" ht="12" hidden="1" customHeight="1" x14ac:dyDescent="0.25">
      <c r="B2919" s="441"/>
      <c r="C2919" s="2583"/>
      <c r="D2919" s="4322"/>
      <c r="E2919" s="3060"/>
      <c r="F2919" s="2758"/>
      <c r="G2919" s="3060"/>
      <c r="H2919" s="1463"/>
    </row>
    <row r="2920" spans="2:8" ht="17.25" customHeight="1" x14ac:dyDescent="0.25">
      <c r="B2920" s="440"/>
      <c r="C2920" s="2584" t="s">
        <v>286</v>
      </c>
      <c r="D2920" s="4106">
        <f>D2921</f>
        <v>5000000000</v>
      </c>
      <c r="E2920" s="2672">
        <f>E2921</f>
        <v>4938105486</v>
      </c>
      <c r="F2920" s="2717">
        <f t="shared" si="234"/>
        <v>98.762109719999998</v>
      </c>
      <c r="G2920" s="2672">
        <f>G2921</f>
        <v>100</v>
      </c>
      <c r="H2920" s="1463"/>
    </row>
    <row r="2921" spans="2:8" ht="15.75" customHeight="1" x14ac:dyDescent="0.25">
      <c r="B2921" s="441"/>
      <c r="C2921" s="2576" t="s">
        <v>1938</v>
      </c>
      <c r="D2921" s="4065">
        <f>D2922</f>
        <v>5000000000</v>
      </c>
      <c r="E2921" s="2693">
        <f>E2922</f>
        <v>4938105486</v>
      </c>
      <c r="F2921" s="2764">
        <f t="shared" si="234"/>
        <v>98.762109719999998</v>
      </c>
      <c r="G2921" s="3250">
        <f>G2922</f>
        <v>100</v>
      </c>
      <c r="H2921" s="1463"/>
    </row>
    <row r="2922" spans="2:8" ht="19.5" hidden="1" customHeight="1" x14ac:dyDescent="0.25">
      <c r="B2922" s="441"/>
      <c r="C2922" s="2577" t="s">
        <v>1939</v>
      </c>
      <c r="D2922" s="4066">
        <v>5000000000</v>
      </c>
      <c r="E2922" s="2855">
        <v>4938105486</v>
      </c>
      <c r="F2922" s="2763">
        <f t="shared" si="234"/>
        <v>98.762109719999998</v>
      </c>
      <c r="G2922" s="2855">
        <v>100</v>
      </c>
      <c r="H2922" s="1463"/>
    </row>
    <row r="2923" spans="2:8" ht="12" hidden="1" customHeight="1" x14ac:dyDescent="0.25">
      <c r="B2923" s="441"/>
      <c r="C2923" s="2586"/>
      <c r="D2923" s="4299"/>
      <c r="E2923" s="2784"/>
      <c r="F2923" s="2758"/>
      <c r="G2923" s="2784"/>
      <c r="H2923" s="1463"/>
    </row>
    <row r="2924" spans="2:8" ht="18" customHeight="1" x14ac:dyDescent="0.25">
      <c r="B2924" s="440"/>
      <c r="C2924" s="2584" t="s">
        <v>1940</v>
      </c>
      <c r="D2924" s="4106">
        <f>SUM(D2925+D2928+D2939+D2951+D2958+D2962+D2970+D2975)</f>
        <v>23548282000</v>
      </c>
      <c r="E2924" s="2672">
        <f>SUM(E2925+E2928+E2939+E2951+E2958+E2962+E2970+E2975)</f>
        <v>23178108400</v>
      </c>
      <c r="F2924" s="2717">
        <f>E2924/D2924*100</f>
        <v>98.428022902052888</v>
      </c>
      <c r="G2924" s="2672">
        <f>SUM(G2925+G2928+G2939+G2951+G2958+G2962+G2970+G2975)/7</f>
        <v>100</v>
      </c>
      <c r="H2924" s="1463"/>
    </row>
    <row r="2925" spans="2:8" ht="18.75" customHeight="1" x14ac:dyDescent="0.25">
      <c r="B2925" s="441"/>
      <c r="C2925" s="2576" t="s">
        <v>1941</v>
      </c>
      <c r="D2925" s="4072"/>
      <c r="E2925" s="2734"/>
      <c r="F2925" s="2764"/>
      <c r="G2925" s="2734"/>
      <c r="H2925" s="1463"/>
    </row>
    <row r="2926" spans="2:8" ht="17.25" hidden="1" customHeight="1" x14ac:dyDescent="0.25">
      <c r="B2926" s="441"/>
      <c r="C2926" s="2577" t="s">
        <v>1942</v>
      </c>
      <c r="D2926" s="4154">
        <v>0</v>
      </c>
      <c r="E2926" s="2760">
        <v>0</v>
      </c>
      <c r="F2926" s="2760">
        <v>0</v>
      </c>
      <c r="G2926" s="2760">
        <v>0</v>
      </c>
      <c r="H2926" s="1463"/>
    </row>
    <row r="2927" spans="2:8" ht="11.25" hidden="1" customHeight="1" x14ac:dyDescent="0.25">
      <c r="B2927" s="441"/>
      <c r="C2927" s="2586"/>
      <c r="D2927" s="4302"/>
      <c r="E2927" s="2734"/>
      <c r="F2927" s="2764"/>
      <c r="G2927" s="2734"/>
      <c r="H2927" s="1463"/>
    </row>
    <row r="2928" spans="2:8" ht="14.25" customHeight="1" x14ac:dyDescent="0.25">
      <c r="B2928" s="441"/>
      <c r="C2928" s="2576" t="s">
        <v>1943</v>
      </c>
      <c r="D2928" s="3628">
        <f>SUM(D2929:D2937)</f>
        <v>6175000000</v>
      </c>
      <c r="E2928" s="4081">
        <f>SUM(E2929:E2937)</f>
        <v>6078827500</v>
      </c>
      <c r="F2928" s="2764">
        <f t="shared" ref="F2928:F2990" si="235">E2928/D2928*100</f>
        <v>98.442550607287444</v>
      </c>
      <c r="G2928" s="2695">
        <f>SUM(G2930:G2937)/7</f>
        <v>100</v>
      </c>
      <c r="H2928" s="1463"/>
    </row>
    <row r="2929" spans="2:8" ht="16.5" hidden="1" customHeight="1" x14ac:dyDescent="0.25">
      <c r="B2929" s="441"/>
      <c r="C2929" s="2577" t="s">
        <v>1944</v>
      </c>
      <c r="D2929" s="4066">
        <v>0</v>
      </c>
      <c r="E2929" s="2690">
        <v>0</v>
      </c>
      <c r="F2929" s="2690">
        <v>0</v>
      </c>
      <c r="G2929" s="2690">
        <v>0</v>
      </c>
      <c r="H2929" s="1463"/>
    </row>
    <row r="2930" spans="2:8" ht="15" hidden="1" customHeight="1" x14ac:dyDescent="0.25">
      <c r="B2930" s="441"/>
      <c r="C2930" s="2577" t="s">
        <v>1945</v>
      </c>
      <c r="D2930" s="4276">
        <v>2900000000</v>
      </c>
      <c r="E2930" s="2690">
        <v>2869244000</v>
      </c>
      <c r="F2930" s="2763">
        <f t="shared" si="235"/>
        <v>98.939448275862077</v>
      </c>
      <c r="G2930" s="2690">
        <v>100</v>
      </c>
      <c r="H2930" s="1463"/>
    </row>
    <row r="2931" spans="2:8" ht="14.25" hidden="1" customHeight="1" x14ac:dyDescent="0.25">
      <c r="B2931" s="441"/>
      <c r="C2931" s="2577" t="s">
        <v>1946</v>
      </c>
      <c r="D2931" s="4276">
        <v>300000000</v>
      </c>
      <c r="E2931" s="2690">
        <v>282445000</v>
      </c>
      <c r="F2931" s="2763">
        <f t="shared" si="235"/>
        <v>94.148333333333341</v>
      </c>
      <c r="G2931" s="2690">
        <v>100</v>
      </c>
      <c r="H2931" s="1463"/>
    </row>
    <row r="2932" spans="2:8" ht="14.25" hidden="1" customHeight="1" x14ac:dyDescent="0.25">
      <c r="B2932" s="441"/>
      <c r="C2932" s="2577" t="s">
        <v>1947</v>
      </c>
      <c r="D2932" s="4066">
        <v>300000000</v>
      </c>
      <c r="E2932" s="2690">
        <v>289405000</v>
      </c>
      <c r="F2932" s="2763">
        <f t="shared" si="235"/>
        <v>96.468333333333334</v>
      </c>
      <c r="G2932" s="2855">
        <v>100</v>
      </c>
      <c r="H2932" s="1463"/>
    </row>
    <row r="2933" spans="2:8" ht="14.25" hidden="1" customHeight="1" x14ac:dyDescent="0.25">
      <c r="B2933" s="441"/>
      <c r="C2933" s="2577" t="s">
        <v>1948</v>
      </c>
      <c r="D2933" s="4066">
        <v>200000000</v>
      </c>
      <c r="E2933" s="2690">
        <v>199860000</v>
      </c>
      <c r="F2933" s="2763">
        <f t="shared" si="235"/>
        <v>99.929999999999993</v>
      </c>
      <c r="G2933" s="2690">
        <v>100</v>
      </c>
      <c r="H2933" s="1463"/>
    </row>
    <row r="2934" spans="2:8" ht="16.5" hidden="1" customHeight="1" x14ac:dyDescent="0.25">
      <c r="B2934" s="441"/>
      <c r="C2934" s="2577" t="s">
        <v>1949</v>
      </c>
      <c r="D2934" s="4066">
        <v>0</v>
      </c>
      <c r="E2934" s="2690">
        <v>0</v>
      </c>
      <c r="F2934" s="2690">
        <v>0</v>
      </c>
      <c r="G2934" s="2690">
        <v>0</v>
      </c>
      <c r="H2934" s="1463"/>
    </row>
    <row r="2935" spans="2:8" ht="15" hidden="1" customHeight="1" x14ac:dyDescent="0.25">
      <c r="B2935" s="441"/>
      <c r="C2935" s="2577" t="s">
        <v>1950</v>
      </c>
      <c r="D2935" s="4066">
        <v>2000000000</v>
      </c>
      <c r="E2935" s="2690">
        <v>1978166000</v>
      </c>
      <c r="F2935" s="2763">
        <f t="shared" si="235"/>
        <v>98.908300000000011</v>
      </c>
      <c r="G2935" s="2690">
        <v>100</v>
      </c>
      <c r="H2935" s="1463"/>
    </row>
    <row r="2936" spans="2:8" ht="15" hidden="1" customHeight="1" x14ac:dyDescent="0.25">
      <c r="B2936" s="441"/>
      <c r="C2936" s="2577" t="s">
        <v>1951</v>
      </c>
      <c r="D2936" s="3704">
        <v>175000000</v>
      </c>
      <c r="E2936" s="2690">
        <v>171907500</v>
      </c>
      <c r="F2936" s="2763">
        <f t="shared" si="235"/>
        <v>98.232857142857142</v>
      </c>
      <c r="G2936" s="2690">
        <v>100</v>
      </c>
      <c r="H2936" s="1463"/>
    </row>
    <row r="2937" spans="2:8" ht="17.25" hidden="1" customHeight="1" x14ac:dyDescent="0.25">
      <c r="B2937" s="441"/>
      <c r="C2937" s="2577" t="s">
        <v>5078</v>
      </c>
      <c r="D2937" s="4066">
        <v>300000000</v>
      </c>
      <c r="E2937" s="2690">
        <v>287800000</v>
      </c>
      <c r="F2937" s="2763">
        <f t="shared" si="235"/>
        <v>95.933333333333337</v>
      </c>
      <c r="G2937" s="2690">
        <v>100</v>
      </c>
      <c r="H2937" s="1463"/>
    </row>
    <row r="2938" spans="2:8" ht="9" hidden="1" customHeight="1" x14ac:dyDescent="0.25">
      <c r="B2938" s="441"/>
      <c r="C2938" s="2576"/>
      <c r="D2938" s="4285"/>
      <c r="E2938" s="2778"/>
      <c r="F2938" s="2764"/>
      <c r="G2938" s="2778"/>
      <c r="H2938" s="1463"/>
    </row>
    <row r="2939" spans="2:8" ht="18" customHeight="1" x14ac:dyDescent="0.25">
      <c r="B2939" s="441"/>
      <c r="C2939" s="2576" t="s">
        <v>1952</v>
      </c>
      <c r="D2939" s="3628">
        <f>SUM(D2940:D2949)</f>
        <v>1905000000</v>
      </c>
      <c r="E2939" s="4081">
        <f>SUM(E2940:E2949)</f>
        <v>1883652500</v>
      </c>
      <c r="F2939" s="2764">
        <f t="shared" si="235"/>
        <v>98.879396325459311</v>
      </c>
      <c r="G2939" s="2695">
        <f>SUM(G2942:G2949)/8</f>
        <v>100</v>
      </c>
      <c r="H2939" s="1463"/>
    </row>
    <row r="2940" spans="2:8" ht="18" hidden="1" customHeight="1" x14ac:dyDescent="0.25">
      <c r="B2940" s="441"/>
      <c r="C2940" s="2577" t="s">
        <v>1953</v>
      </c>
      <c r="D2940" s="4321" t="s">
        <v>3317</v>
      </c>
      <c r="E2940" s="3666" t="s">
        <v>3317</v>
      </c>
      <c r="F2940" s="3666" t="s">
        <v>3317</v>
      </c>
      <c r="G2940" s="3666" t="s">
        <v>3317</v>
      </c>
      <c r="H2940" s="1463"/>
    </row>
    <row r="2941" spans="2:8" ht="15.75" hidden="1" customHeight="1" x14ac:dyDescent="0.25">
      <c r="B2941" s="441"/>
      <c r="C2941" s="2577" t="s">
        <v>5098</v>
      </c>
      <c r="D2941" s="4321" t="s">
        <v>3317</v>
      </c>
      <c r="E2941" s="3666" t="s">
        <v>3317</v>
      </c>
      <c r="F2941" s="3666" t="s">
        <v>3317</v>
      </c>
      <c r="G2941" s="3666" t="s">
        <v>3317</v>
      </c>
      <c r="H2941" s="1463"/>
    </row>
    <row r="2942" spans="2:8" ht="15.75" hidden="1" customHeight="1" x14ac:dyDescent="0.25">
      <c r="B2942" s="441"/>
      <c r="C2942" s="2577" t="s">
        <v>1954</v>
      </c>
      <c r="D2942" s="4066">
        <v>385000000</v>
      </c>
      <c r="E2942" s="2690">
        <v>384950000</v>
      </c>
      <c r="F2942" s="2763">
        <f t="shared" si="235"/>
        <v>99.987012987012989</v>
      </c>
      <c r="G2942" s="2690">
        <v>100</v>
      </c>
      <c r="H2942" s="1463"/>
    </row>
    <row r="2943" spans="2:8" ht="14.25" hidden="1" customHeight="1" x14ac:dyDescent="0.25">
      <c r="B2943" s="441"/>
      <c r="C2943" s="2577" t="s">
        <v>1955</v>
      </c>
      <c r="D2943" s="4066">
        <v>350000000</v>
      </c>
      <c r="E2943" s="2690">
        <v>337727500</v>
      </c>
      <c r="F2943" s="2763">
        <f t="shared" si="235"/>
        <v>96.493571428571428</v>
      </c>
      <c r="G2943" s="2690">
        <v>100</v>
      </c>
      <c r="H2943" s="1463"/>
    </row>
    <row r="2944" spans="2:8" ht="15.75" hidden="1" customHeight="1" x14ac:dyDescent="0.25">
      <c r="B2944" s="441"/>
      <c r="C2944" s="2577" t="s">
        <v>1956</v>
      </c>
      <c r="D2944" s="4066">
        <v>220000000</v>
      </c>
      <c r="E2944" s="2690">
        <v>219965000</v>
      </c>
      <c r="F2944" s="2763">
        <f t="shared" si="235"/>
        <v>99.984090909090909</v>
      </c>
      <c r="G2944" s="2690">
        <v>100</v>
      </c>
      <c r="H2944" s="1463"/>
    </row>
    <row r="2945" spans="2:8" ht="15.75" hidden="1" customHeight="1" x14ac:dyDescent="0.25">
      <c r="B2945" s="441"/>
      <c r="C2945" s="2577" t="s">
        <v>1957</v>
      </c>
      <c r="D2945" s="4066">
        <v>220000000</v>
      </c>
      <c r="E2945" s="2690">
        <v>219965000</v>
      </c>
      <c r="F2945" s="2763">
        <f t="shared" si="235"/>
        <v>99.984090909090909</v>
      </c>
      <c r="G2945" s="2690">
        <v>100</v>
      </c>
      <c r="H2945" s="1463"/>
    </row>
    <row r="2946" spans="2:8" ht="15" hidden="1" customHeight="1" x14ac:dyDescent="0.25">
      <c r="B2946" s="441"/>
      <c r="C2946" s="2577" t="s">
        <v>1958</v>
      </c>
      <c r="D2946" s="4066">
        <v>70000000</v>
      </c>
      <c r="E2946" s="2690">
        <v>68230000</v>
      </c>
      <c r="F2946" s="2763">
        <f t="shared" si="235"/>
        <v>97.471428571428575</v>
      </c>
      <c r="G2946" s="2690">
        <v>100</v>
      </c>
      <c r="H2946" s="1463"/>
    </row>
    <row r="2947" spans="2:8" ht="15" hidden="1" customHeight="1" x14ac:dyDescent="0.25">
      <c r="B2947" s="441"/>
      <c r="C2947" s="2577" t="s">
        <v>1959</v>
      </c>
      <c r="D2947" s="4066">
        <v>110000000</v>
      </c>
      <c r="E2947" s="2690">
        <v>106640000</v>
      </c>
      <c r="F2947" s="2763">
        <f t="shared" si="235"/>
        <v>96.945454545454552</v>
      </c>
      <c r="G2947" s="2690">
        <v>100</v>
      </c>
      <c r="H2947" s="1463"/>
    </row>
    <row r="2948" spans="2:8" ht="16.5" hidden="1" customHeight="1" x14ac:dyDescent="0.25">
      <c r="B2948" s="441"/>
      <c r="C2948" s="2577" t="s">
        <v>1960</v>
      </c>
      <c r="D2948" s="4066">
        <v>150000000</v>
      </c>
      <c r="E2948" s="2690">
        <v>146195000</v>
      </c>
      <c r="F2948" s="2763">
        <f t="shared" si="235"/>
        <v>97.463333333333338</v>
      </c>
      <c r="G2948" s="2690">
        <v>100</v>
      </c>
      <c r="H2948" s="1463"/>
    </row>
    <row r="2949" spans="2:8" ht="16.5" hidden="1" customHeight="1" x14ac:dyDescent="0.25">
      <c r="B2949" s="441"/>
      <c r="C2949" s="2577" t="s">
        <v>1961</v>
      </c>
      <c r="D2949" s="4066">
        <v>400000000</v>
      </c>
      <c r="E2949" s="2690">
        <v>399980000</v>
      </c>
      <c r="F2949" s="2763">
        <f t="shared" si="235"/>
        <v>99.995000000000005</v>
      </c>
      <c r="G2949" s="2690">
        <v>100</v>
      </c>
      <c r="H2949" s="1463"/>
    </row>
    <row r="2950" spans="2:8" ht="9.75" hidden="1" customHeight="1" x14ac:dyDescent="0.25">
      <c r="B2950" s="441"/>
      <c r="C2950" s="2587"/>
      <c r="D2950" s="4285"/>
      <c r="E2950" s="2778"/>
      <c r="F2950" s="2763"/>
      <c r="G2950" s="2778"/>
      <c r="H2950" s="1463"/>
    </row>
    <row r="2951" spans="2:8" ht="15" customHeight="1" x14ac:dyDescent="0.25">
      <c r="B2951" s="441"/>
      <c r="C2951" s="2576" t="s">
        <v>1962</v>
      </c>
      <c r="D2951" s="3628">
        <f>SUM(D2952:D2956)</f>
        <v>690000000</v>
      </c>
      <c r="E2951" s="4081">
        <f>SUM(E2952:E2956)</f>
        <v>686415000</v>
      </c>
      <c r="F2951" s="2764">
        <f t="shared" si="235"/>
        <v>99.480434782608697</v>
      </c>
      <c r="G2951" s="2695">
        <f>SUM(G2953+G2956)/2</f>
        <v>100</v>
      </c>
      <c r="H2951" s="1463"/>
    </row>
    <row r="2952" spans="2:8" ht="18" hidden="1" customHeight="1" x14ac:dyDescent="0.25">
      <c r="B2952" s="441"/>
      <c r="C2952" s="2577" t="s">
        <v>5093</v>
      </c>
      <c r="D2952" s="4066">
        <v>0</v>
      </c>
      <c r="E2952" s="2690">
        <v>0</v>
      </c>
      <c r="F2952" s="2690">
        <v>0</v>
      </c>
      <c r="G2952" s="3035"/>
      <c r="H2952" s="1463"/>
    </row>
    <row r="2953" spans="2:8" ht="15" hidden="1" customHeight="1" x14ac:dyDescent="0.25">
      <c r="B2953" s="441"/>
      <c r="C2953" s="2577" t="s">
        <v>5094</v>
      </c>
      <c r="D2953" s="4066">
        <v>400000000</v>
      </c>
      <c r="E2953" s="2690">
        <v>399827000</v>
      </c>
      <c r="F2953" s="2763">
        <f t="shared" si="235"/>
        <v>99.95675</v>
      </c>
      <c r="G2953" s="2690">
        <v>100</v>
      </c>
      <c r="H2953" s="1463"/>
    </row>
    <row r="2954" spans="2:8" ht="17.25" hidden="1" customHeight="1" x14ac:dyDescent="0.25">
      <c r="B2954" s="441"/>
      <c r="C2954" s="2577" t="s">
        <v>5095</v>
      </c>
      <c r="D2954" s="4066">
        <v>0</v>
      </c>
      <c r="E2954" s="2690">
        <v>0</v>
      </c>
      <c r="F2954" s="2690">
        <v>0</v>
      </c>
      <c r="G2954" s="2690"/>
      <c r="H2954" s="1463"/>
    </row>
    <row r="2955" spans="2:8" ht="15" hidden="1" customHeight="1" x14ac:dyDescent="0.25">
      <c r="B2955" s="441"/>
      <c r="C2955" s="2577" t="s">
        <v>5096</v>
      </c>
      <c r="D2955" s="4066">
        <v>150000000</v>
      </c>
      <c r="E2955" s="2690">
        <v>149904000</v>
      </c>
      <c r="F2955" s="2763">
        <f t="shared" si="235"/>
        <v>99.936000000000007</v>
      </c>
      <c r="G2955" s="2690">
        <v>100</v>
      </c>
      <c r="H2955" s="1463"/>
    </row>
    <row r="2956" spans="2:8" ht="14.25" hidden="1" customHeight="1" x14ac:dyDescent="0.25">
      <c r="B2956" s="441"/>
      <c r="C2956" s="2577" t="s">
        <v>5097</v>
      </c>
      <c r="D2956" s="4066">
        <v>140000000</v>
      </c>
      <c r="E2956" s="2690">
        <v>136684000</v>
      </c>
      <c r="F2956" s="2763">
        <f t="shared" si="235"/>
        <v>97.631428571428572</v>
      </c>
      <c r="G2956" s="2690">
        <v>100</v>
      </c>
      <c r="H2956" s="1463"/>
    </row>
    <row r="2957" spans="2:8" ht="11.25" hidden="1" customHeight="1" x14ac:dyDescent="0.25">
      <c r="B2957" s="441"/>
      <c r="C2957" s="2576"/>
      <c r="D2957" s="4276"/>
      <c r="E2957" s="3035"/>
      <c r="F2957" s="2763"/>
      <c r="G2957" s="3035"/>
      <c r="H2957" s="1463"/>
    </row>
    <row r="2958" spans="2:8" ht="16.5" customHeight="1" x14ac:dyDescent="0.25">
      <c r="B2958" s="441"/>
      <c r="C2958" s="2576" t="s">
        <v>1963</v>
      </c>
      <c r="D2958" s="4065">
        <f>D2960</f>
        <v>400000000</v>
      </c>
      <c r="E2958" s="2695">
        <f>E2960</f>
        <v>399900000</v>
      </c>
      <c r="F2958" s="2764">
        <f t="shared" si="235"/>
        <v>99.975000000000009</v>
      </c>
      <c r="G2958" s="2695">
        <f>G2960</f>
        <v>100</v>
      </c>
      <c r="H2958" s="1463"/>
    </row>
    <row r="2959" spans="2:8" ht="15.75" hidden="1" customHeight="1" x14ac:dyDescent="0.25">
      <c r="B2959" s="441"/>
      <c r="C2959" s="2577" t="s">
        <v>5091</v>
      </c>
      <c r="D2959" s="4321" t="s">
        <v>3317</v>
      </c>
      <c r="E2959" s="3666" t="s">
        <v>3317</v>
      </c>
      <c r="F2959" s="3666" t="s">
        <v>3317</v>
      </c>
      <c r="G2959" s="3666" t="s">
        <v>3317</v>
      </c>
      <c r="H2959" s="1463"/>
    </row>
    <row r="2960" spans="2:8" ht="18" hidden="1" customHeight="1" x14ac:dyDescent="0.25">
      <c r="B2960" s="441"/>
      <c r="C2960" s="2577" t="s">
        <v>5092</v>
      </c>
      <c r="D2960" s="4066">
        <v>400000000</v>
      </c>
      <c r="E2960" s="2690">
        <v>399900000</v>
      </c>
      <c r="F2960" s="2763">
        <f t="shared" si="235"/>
        <v>99.975000000000009</v>
      </c>
      <c r="G2960" s="2690">
        <v>100</v>
      </c>
      <c r="H2960" s="1463"/>
    </row>
    <row r="2961" spans="2:8" ht="9" hidden="1" customHeight="1" x14ac:dyDescent="0.25">
      <c r="B2961" s="441"/>
      <c r="C2961" s="2576"/>
      <c r="D2961" s="4276"/>
      <c r="E2961" s="3035"/>
      <c r="F2961" s="2763"/>
      <c r="G2961" s="3035"/>
      <c r="H2961" s="1463"/>
    </row>
    <row r="2962" spans="2:8" ht="29.25" customHeight="1" x14ac:dyDescent="0.25">
      <c r="B2962" s="441"/>
      <c r="C2962" s="2576" t="s">
        <v>1964</v>
      </c>
      <c r="D2962" s="3628">
        <f>SUM(D2963:D2968)</f>
        <v>4948882000</v>
      </c>
      <c r="E2962" s="4081">
        <f>SUM(E2963:E2968)</f>
        <v>4834332400</v>
      </c>
      <c r="F2962" s="2764">
        <f t="shared" si="235"/>
        <v>97.685343881709045</v>
      </c>
      <c r="G2962" s="2695">
        <f>SUM(G2963:G2968)/6</f>
        <v>100</v>
      </c>
      <c r="H2962" s="1463"/>
    </row>
    <row r="2963" spans="2:8" ht="14.25" hidden="1" customHeight="1" x14ac:dyDescent="0.25">
      <c r="B2963" s="441"/>
      <c r="C2963" s="2577" t="s">
        <v>5085</v>
      </c>
      <c r="D2963" s="4066">
        <v>170000000</v>
      </c>
      <c r="E2963" s="2690">
        <v>168350000</v>
      </c>
      <c r="F2963" s="2763">
        <f t="shared" si="235"/>
        <v>99.029411764705884</v>
      </c>
      <c r="G2963" s="2690">
        <v>100</v>
      </c>
      <c r="H2963" s="1463"/>
    </row>
    <row r="2964" spans="2:8" ht="16.5" hidden="1" customHeight="1" x14ac:dyDescent="0.25">
      <c r="B2964" s="441"/>
      <c r="C2964" s="2577" t="s">
        <v>5086</v>
      </c>
      <c r="D2964" s="4066">
        <v>850000000</v>
      </c>
      <c r="E2964" s="2690">
        <v>841829400</v>
      </c>
      <c r="F2964" s="2763">
        <f t="shared" si="235"/>
        <v>99.038752941176469</v>
      </c>
      <c r="G2964" s="2690">
        <v>100</v>
      </c>
      <c r="H2964" s="1463"/>
    </row>
    <row r="2965" spans="2:8" ht="16.5" hidden="1" customHeight="1" x14ac:dyDescent="0.25">
      <c r="B2965" s="441"/>
      <c r="C2965" s="2577" t="s">
        <v>5087</v>
      </c>
      <c r="D2965" s="4066">
        <v>3053882000</v>
      </c>
      <c r="E2965" s="2690">
        <v>2953000000</v>
      </c>
      <c r="F2965" s="2763">
        <f t="shared" si="235"/>
        <v>96.696597969404181</v>
      </c>
      <c r="G2965" s="2690">
        <v>100</v>
      </c>
      <c r="H2965" s="1463"/>
    </row>
    <row r="2966" spans="2:8" ht="15.75" hidden="1" customHeight="1" x14ac:dyDescent="0.25">
      <c r="B2966" s="441"/>
      <c r="C2966" s="2577" t="s">
        <v>5088</v>
      </c>
      <c r="D2966" s="4066">
        <v>400000000</v>
      </c>
      <c r="E2966" s="2690">
        <v>399775000</v>
      </c>
      <c r="F2966" s="2763">
        <f t="shared" si="235"/>
        <v>99.943749999999994</v>
      </c>
      <c r="G2966" s="2690">
        <v>100</v>
      </c>
      <c r="H2966" s="1463"/>
    </row>
    <row r="2967" spans="2:8" ht="14.25" hidden="1" customHeight="1" x14ac:dyDescent="0.25">
      <c r="B2967" s="441"/>
      <c r="C2967" s="2577" t="s">
        <v>5089</v>
      </c>
      <c r="D2967" s="4066">
        <v>300000000</v>
      </c>
      <c r="E2967" s="2690">
        <v>299723000</v>
      </c>
      <c r="F2967" s="2763">
        <f t="shared" si="235"/>
        <v>99.907666666666657</v>
      </c>
      <c r="G2967" s="2690">
        <v>100</v>
      </c>
      <c r="H2967" s="1463"/>
    </row>
    <row r="2968" spans="2:8" ht="16.5" hidden="1" customHeight="1" x14ac:dyDescent="0.25">
      <c r="B2968" s="441"/>
      <c r="C2968" s="2577" t="s">
        <v>5090</v>
      </c>
      <c r="D2968" s="4066">
        <v>175000000</v>
      </c>
      <c r="E2968" s="2690">
        <v>171655000</v>
      </c>
      <c r="F2968" s="2763">
        <f t="shared" si="235"/>
        <v>98.088571428571427</v>
      </c>
      <c r="G2968" s="2690">
        <v>100</v>
      </c>
      <c r="H2968" s="1463"/>
    </row>
    <row r="2969" spans="2:8" ht="9.75" hidden="1" customHeight="1" x14ac:dyDescent="0.25">
      <c r="B2969" s="441"/>
      <c r="C2969" s="2576"/>
      <c r="D2969" s="4276"/>
      <c r="E2969" s="3035"/>
      <c r="F2969" s="2763"/>
      <c r="G2969" s="3035"/>
      <c r="H2969" s="1463"/>
    </row>
    <row r="2970" spans="2:8" ht="27" customHeight="1" x14ac:dyDescent="0.25">
      <c r="B2970" s="441"/>
      <c r="C2970" s="2576" t="s">
        <v>1965</v>
      </c>
      <c r="D2970" s="4065">
        <f>SUM(D2971:D2973)</f>
        <v>500000000</v>
      </c>
      <c r="E2970" s="2695">
        <f>SUM(E2971:E2973)</f>
        <v>495453000</v>
      </c>
      <c r="F2970" s="2764">
        <f t="shared" si="235"/>
        <v>99.090599999999995</v>
      </c>
      <c r="G2970" s="2695">
        <f>SUM(G2971:G2973)/3</f>
        <v>100</v>
      </c>
      <c r="H2970" s="1463"/>
    </row>
    <row r="2971" spans="2:8" ht="16.5" hidden="1" customHeight="1" x14ac:dyDescent="0.25">
      <c r="B2971" s="441"/>
      <c r="C2971" s="2577" t="s">
        <v>5082</v>
      </c>
      <c r="D2971" s="4066">
        <v>150000000</v>
      </c>
      <c r="E2971" s="2690">
        <v>149920000</v>
      </c>
      <c r="F2971" s="2763">
        <f t="shared" si="235"/>
        <v>99.946666666666658</v>
      </c>
      <c r="G2971" s="2690">
        <v>100</v>
      </c>
      <c r="H2971" s="1463"/>
    </row>
    <row r="2972" spans="2:8" ht="15.75" hidden="1" customHeight="1" x14ac:dyDescent="0.25">
      <c r="B2972" s="441"/>
      <c r="C2972" s="2577" t="s">
        <v>5083</v>
      </c>
      <c r="D2972" s="4066">
        <v>100000000</v>
      </c>
      <c r="E2972" s="2690">
        <v>99915000</v>
      </c>
      <c r="F2972" s="2763">
        <f t="shared" si="235"/>
        <v>99.914999999999992</v>
      </c>
      <c r="G2972" s="2690">
        <v>100</v>
      </c>
      <c r="H2972" s="1463"/>
    </row>
    <row r="2973" spans="2:8" ht="15" hidden="1" customHeight="1" x14ac:dyDescent="0.25">
      <c r="B2973" s="441"/>
      <c r="C2973" s="2577" t="s">
        <v>5084</v>
      </c>
      <c r="D2973" s="4066">
        <v>250000000</v>
      </c>
      <c r="E2973" s="2690">
        <v>245618000</v>
      </c>
      <c r="F2973" s="2763">
        <f t="shared" si="235"/>
        <v>98.247200000000007</v>
      </c>
      <c r="G2973" s="2690">
        <v>100</v>
      </c>
      <c r="H2973" s="1463"/>
    </row>
    <row r="2974" spans="2:8" ht="8.25" hidden="1" customHeight="1" x14ac:dyDescent="0.25">
      <c r="B2974" s="441"/>
      <c r="C2974" s="2577"/>
      <c r="D2974" s="4276"/>
      <c r="E2974" s="3035"/>
      <c r="F2974" s="2763"/>
      <c r="G2974" s="3035"/>
      <c r="H2974" s="1463"/>
    </row>
    <row r="2975" spans="2:8" ht="17.25" customHeight="1" x14ac:dyDescent="0.25">
      <c r="B2975" s="441"/>
      <c r="C2975" s="2576" t="s">
        <v>1969</v>
      </c>
      <c r="D2975" s="4065">
        <f>SUM(D2976:D2990)</f>
        <v>8929400000</v>
      </c>
      <c r="E2975" s="2695">
        <f>SUM(E2976:E2990)</f>
        <v>8799528000</v>
      </c>
      <c r="F2975" s="2764">
        <f t="shared" si="235"/>
        <v>98.545568571236586</v>
      </c>
      <c r="G2975" s="2695">
        <f>SUM(G2976:G2990)/14</f>
        <v>100</v>
      </c>
      <c r="H2975" s="1463"/>
    </row>
    <row r="2976" spans="2:8" ht="16.5" hidden="1" customHeight="1" x14ac:dyDescent="0.25">
      <c r="B2976" s="441"/>
      <c r="C2976" s="2577" t="s">
        <v>1970</v>
      </c>
      <c r="D2976" s="4066">
        <v>220000000</v>
      </c>
      <c r="E2976" s="2690">
        <v>214235000</v>
      </c>
      <c r="F2976" s="2763">
        <f t="shared" si="235"/>
        <v>97.37954545454545</v>
      </c>
      <c r="G2976" s="2690">
        <v>100</v>
      </c>
      <c r="H2976" s="1463"/>
    </row>
    <row r="2977" spans="2:8" ht="15.75" hidden="1" customHeight="1" x14ac:dyDescent="0.25">
      <c r="B2977" s="441"/>
      <c r="C2977" s="2577" t="s">
        <v>1971</v>
      </c>
      <c r="D2977" s="4066">
        <v>275000000</v>
      </c>
      <c r="E2977" s="2690">
        <v>268966000</v>
      </c>
      <c r="F2977" s="2763">
        <f t="shared" si="235"/>
        <v>97.805818181818182</v>
      </c>
      <c r="G2977" s="2690">
        <v>100</v>
      </c>
      <c r="H2977" s="1463"/>
    </row>
    <row r="2978" spans="2:8" ht="16.5" hidden="1" customHeight="1" x14ac:dyDescent="0.25">
      <c r="B2978" s="441"/>
      <c r="C2978" s="2577" t="s">
        <v>1972</v>
      </c>
      <c r="D2978" s="4066">
        <v>275000000</v>
      </c>
      <c r="E2978" s="2690">
        <v>268901000</v>
      </c>
      <c r="F2978" s="2763">
        <f t="shared" si="235"/>
        <v>97.782181818181826</v>
      </c>
      <c r="G2978" s="2690">
        <v>100</v>
      </c>
      <c r="H2978" s="1463"/>
    </row>
    <row r="2979" spans="2:8" ht="16.5" hidden="1" customHeight="1" x14ac:dyDescent="0.25">
      <c r="B2979" s="441"/>
      <c r="C2979" s="2577" t="s">
        <v>1973</v>
      </c>
      <c r="D2979" s="4066">
        <v>275000000</v>
      </c>
      <c r="E2979" s="2690">
        <v>269974000</v>
      </c>
      <c r="F2979" s="2763">
        <f t="shared" si="235"/>
        <v>98.172363636363642</v>
      </c>
      <c r="G2979" s="2690">
        <v>100</v>
      </c>
      <c r="H2979" s="1463"/>
    </row>
    <row r="2980" spans="2:8" ht="15.75" hidden="1" customHeight="1" x14ac:dyDescent="0.25">
      <c r="B2980" s="441"/>
      <c r="C2980" s="2577" t="s">
        <v>1974</v>
      </c>
      <c r="D2980" s="4066">
        <v>100000000</v>
      </c>
      <c r="E2980" s="2690">
        <v>94222000</v>
      </c>
      <c r="F2980" s="2763">
        <f t="shared" si="235"/>
        <v>94.221999999999994</v>
      </c>
      <c r="G2980" s="2690">
        <v>100</v>
      </c>
      <c r="H2980" s="1463"/>
    </row>
    <row r="2981" spans="2:8" ht="14.25" hidden="1" customHeight="1" x14ac:dyDescent="0.25">
      <c r="B2981" s="441"/>
      <c r="C2981" s="2577" t="s">
        <v>1975</v>
      </c>
      <c r="D2981" s="4066">
        <v>275000000</v>
      </c>
      <c r="E2981" s="2690">
        <v>270083000</v>
      </c>
      <c r="F2981" s="2763">
        <f t="shared" si="235"/>
        <v>98.212000000000003</v>
      </c>
      <c r="G2981" s="2690">
        <v>100</v>
      </c>
      <c r="H2981" s="1463"/>
    </row>
    <row r="2982" spans="2:8" ht="15" hidden="1" customHeight="1" x14ac:dyDescent="0.25">
      <c r="B2982" s="441"/>
      <c r="C2982" s="2577" t="s">
        <v>1976</v>
      </c>
      <c r="D2982" s="4066">
        <v>550000000</v>
      </c>
      <c r="E2982" s="2690">
        <v>543932000</v>
      </c>
      <c r="F2982" s="2763">
        <f t="shared" si="235"/>
        <v>98.896727272727276</v>
      </c>
      <c r="G2982" s="2690">
        <v>100</v>
      </c>
      <c r="H2982" s="1463"/>
    </row>
    <row r="2983" spans="2:8" ht="14.25" hidden="1" customHeight="1" x14ac:dyDescent="0.25">
      <c r="B2983" s="441"/>
      <c r="C2983" s="2577" t="s">
        <v>1977</v>
      </c>
      <c r="D2983" s="4066">
        <v>330000000</v>
      </c>
      <c r="E2983" s="2690">
        <v>323840000</v>
      </c>
      <c r="F2983" s="2763">
        <f t="shared" si="235"/>
        <v>98.133333333333326</v>
      </c>
      <c r="G2983" s="2690">
        <v>100</v>
      </c>
      <c r="H2983" s="1463"/>
    </row>
    <row r="2984" spans="2:8" ht="15.75" hidden="1" customHeight="1" x14ac:dyDescent="0.25">
      <c r="B2984" s="441"/>
      <c r="C2984" s="2577" t="s">
        <v>1978</v>
      </c>
      <c r="D2984" s="4066">
        <v>0</v>
      </c>
      <c r="E2984" s="2690">
        <v>0</v>
      </c>
      <c r="F2984" s="2690">
        <v>0</v>
      </c>
      <c r="G2984" s="2690">
        <v>0</v>
      </c>
      <c r="H2984" s="1463"/>
    </row>
    <row r="2985" spans="2:8" ht="18" hidden="1" customHeight="1" x14ac:dyDescent="0.25">
      <c r="B2985" s="441"/>
      <c r="C2985" s="2577" t="s">
        <v>1979</v>
      </c>
      <c r="D2985" s="4066">
        <v>3914400000</v>
      </c>
      <c r="E2985" s="2690">
        <v>3866357000</v>
      </c>
      <c r="F2985" s="2763">
        <f t="shared" si="235"/>
        <v>98.772659922338036</v>
      </c>
      <c r="G2985" s="2690">
        <v>100</v>
      </c>
      <c r="H2985" s="1463"/>
    </row>
    <row r="2986" spans="2:8" ht="15.75" hidden="1" customHeight="1" x14ac:dyDescent="0.25">
      <c r="B2986" s="441"/>
      <c r="C2986" s="2577" t="s">
        <v>1980</v>
      </c>
      <c r="D2986" s="4066">
        <v>1000000000</v>
      </c>
      <c r="E2986" s="2690">
        <v>986579000</v>
      </c>
      <c r="F2986" s="2763">
        <f t="shared" si="235"/>
        <v>98.657899999999998</v>
      </c>
      <c r="G2986" s="2690">
        <v>100</v>
      </c>
      <c r="H2986" s="1463"/>
    </row>
    <row r="2987" spans="2:8" ht="17.25" hidden="1" customHeight="1" x14ac:dyDescent="0.25">
      <c r="B2987" s="441"/>
      <c r="C2987" s="2577" t="s">
        <v>1981</v>
      </c>
      <c r="D2987" s="4066">
        <v>300000000</v>
      </c>
      <c r="E2987" s="2690">
        <v>293942000</v>
      </c>
      <c r="F2987" s="2763">
        <f t="shared" si="235"/>
        <v>97.980666666666679</v>
      </c>
      <c r="G2987" s="2690">
        <v>100</v>
      </c>
      <c r="H2987" s="1463"/>
    </row>
    <row r="2988" spans="2:8" ht="15.75" hidden="1" customHeight="1" x14ac:dyDescent="0.25">
      <c r="B2988" s="441"/>
      <c r="C2988" s="2577" t="s">
        <v>1982</v>
      </c>
      <c r="D2988" s="4066">
        <v>450000000</v>
      </c>
      <c r="E2988" s="2690">
        <v>444199000</v>
      </c>
      <c r="F2988" s="2763">
        <f t="shared" si="235"/>
        <v>98.710888888888888</v>
      </c>
      <c r="G2988" s="2690">
        <v>100</v>
      </c>
      <c r="H2988" s="1463"/>
    </row>
    <row r="2989" spans="2:8" ht="18.75" hidden="1" customHeight="1" x14ac:dyDescent="0.25">
      <c r="B2989" s="441"/>
      <c r="C2989" s="2577" t="s">
        <v>1983</v>
      </c>
      <c r="D2989" s="4066">
        <v>500000000</v>
      </c>
      <c r="E2989" s="2690">
        <v>493450000</v>
      </c>
      <c r="F2989" s="2763">
        <f t="shared" si="235"/>
        <v>98.69</v>
      </c>
      <c r="G2989" s="2690">
        <v>100</v>
      </c>
      <c r="H2989" s="1463"/>
    </row>
    <row r="2990" spans="2:8" ht="18.75" hidden="1" customHeight="1" x14ac:dyDescent="0.25">
      <c r="B2990" s="441"/>
      <c r="C2990" s="2577" t="s">
        <v>4059</v>
      </c>
      <c r="D2990" s="4066">
        <v>465000000</v>
      </c>
      <c r="E2990" s="2690">
        <v>460848000</v>
      </c>
      <c r="F2990" s="2763">
        <f t="shared" si="235"/>
        <v>99.10709677419355</v>
      </c>
      <c r="G2990" s="2690">
        <v>100</v>
      </c>
      <c r="H2990" s="1463"/>
    </row>
    <row r="2991" spans="2:8" ht="12" hidden="1" customHeight="1" x14ac:dyDescent="0.25">
      <c r="B2991" s="441"/>
      <c r="C2991" s="2583"/>
      <c r="D2991" s="4322"/>
      <c r="E2991" s="3060"/>
      <c r="F2991" s="2758"/>
      <c r="G2991" s="3060"/>
      <c r="H2991" s="1463"/>
    </row>
    <row r="2992" spans="2:8" ht="16.5" customHeight="1" x14ac:dyDescent="0.25">
      <c r="B2992" s="440"/>
      <c r="C2992" s="2584" t="s">
        <v>1984</v>
      </c>
      <c r="D2992" s="4106">
        <f>D2993</f>
        <v>5610000000</v>
      </c>
      <c r="E2992" s="2717">
        <f>E2993</f>
        <v>5558080000</v>
      </c>
      <c r="F2992" s="2717">
        <f t="shared" ref="F2992:F3038" si="236">E2992/D2992*100</f>
        <v>99.074509803921572</v>
      </c>
      <c r="G2992" s="2672">
        <f>G2993</f>
        <v>100</v>
      </c>
      <c r="H2992" s="1463"/>
    </row>
    <row r="2993" spans="2:8" ht="29.25" customHeight="1" x14ac:dyDescent="0.25">
      <c r="B2993" s="445"/>
      <c r="C2993" s="2576" t="s">
        <v>5079</v>
      </c>
      <c r="D2993" s="4065">
        <f>SUM(D2994:D3016)</f>
        <v>5610000000</v>
      </c>
      <c r="E2993" s="2695">
        <f>SUM(E2994:E3016)</f>
        <v>5558080000</v>
      </c>
      <c r="F2993" s="2764">
        <f t="shared" si="236"/>
        <v>99.074509803921572</v>
      </c>
      <c r="G2993" s="2695">
        <f>SUM(G2994:G3016)/21</f>
        <v>100</v>
      </c>
      <c r="H2993" s="1463"/>
    </row>
    <row r="2994" spans="2:8" ht="15.75" hidden="1" customHeight="1" x14ac:dyDescent="0.25">
      <c r="B2994" s="441"/>
      <c r="C2994" s="2577" t="s">
        <v>1985</v>
      </c>
      <c r="D2994" s="4066">
        <v>100000000</v>
      </c>
      <c r="E2994" s="2690">
        <v>100000000</v>
      </c>
      <c r="F2994" s="2763">
        <f t="shared" si="236"/>
        <v>100</v>
      </c>
      <c r="G2994" s="2690">
        <v>100</v>
      </c>
      <c r="H2994" s="1463"/>
    </row>
    <row r="2995" spans="2:8" ht="15" hidden="1" customHeight="1" x14ac:dyDescent="0.25">
      <c r="B2995" s="444"/>
      <c r="C2995" s="2577" t="s">
        <v>1986</v>
      </c>
      <c r="D2995" s="4066">
        <v>350000000</v>
      </c>
      <c r="E2995" s="2690">
        <v>349950000</v>
      </c>
      <c r="F2995" s="2763">
        <f t="shared" si="236"/>
        <v>99.985714285714295</v>
      </c>
      <c r="G2995" s="2690">
        <v>100</v>
      </c>
      <c r="H2995" s="1463"/>
    </row>
    <row r="2996" spans="2:8" ht="15" hidden="1" customHeight="1" x14ac:dyDescent="0.25">
      <c r="B2996" s="445"/>
      <c r="C2996" s="2577" t="s">
        <v>1987</v>
      </c>
      <c r="D2996" s="4066">
        <v>350000000</v>
      </c>
      <c r="E2996" s="2690">
        <v>349950000</v>
      </c>
      <c r="F2996" s="2763">
        <f t="shared" si="236"/>
        <v>99.985714285714295</v>
      </c>
      <c r="G2996" s="2690">
        <v>100</v>
      </c>
      <c r="H2996" s="1463"/>
    </row>
    <row r="2997" spans="2:8" ht="16.5" hidden="1" customHeight="1" x14ac:dyDescent="0.25">
      <c r="B2997" s="441"/>
      <c r="C2997" s="2577" t="s">
        <v>1988</v>
      </c>
      <c r="D2997" s="4066">
        <v>120000000</v>
      </c>
      <c r="E2997" s="2690">
        <v>111995000</v>
      </c>
      <c r="F2997" s="2763">
        <f t="shared" si="236"/>
        <v>93.329166666666666</v>
      </c>
      <c r="G2997" s="2690">
        <v>100</v>
      </c>
      <c r="H2997" s="1463"/>
    </row>
    <row r="2998" spans="2:8" ht="17.25" hidden="1" customHeight="1" x14ac:dyDescent="0.25">
      <c r="B2998" s="441"/>
      <c r="C2998" s="2577" t="s">
        <v>1989</v>
      </c>
      <c r="D2998" s="4066">
        <v>120000000</v>
      </c>
      <c r="E2998" s="2690">
        <v>111945000</v>
      </c>
      <c r="F2998" s="2763">
        <f t="shared" si="236"/>
        <v>93.287499999999994</v>
      </c>
      <c r="G2998" s="2690">
        <v>100</v>
      </c>
      <c r="H2998" s="1463"/>
    </row>
    <row r="2999" spans="2:8" ht="16.5" hidden="1" customHeight="1" x14ac:dyDescent="0.25">
      <c r="B2999" s="441"/>
      <c r="C2999" s="2577" t="s">
        <v>1990</v>
      </c>
      <c r="D2999" s="4066">
        <v>120000000</v>
      </c>
      <c r="E2999" s="2690">
        <v>111945000</v>
      </c>
      <c r="F2999" s="2763">
        <f t="shared" si="236"/>
        <v>93.287499999999994</v>
      </c>
      <c r="G2999" s="2690">
        <v>100</v>
      </c>
      <c r="H2999" s="1463"/>
    </row>
    <row r="3000" spans="2:8" ht="14.25" hidden="1" customHeight="1" x14ac:dyDescent="0.25">
      <c r="B3000" s="441"/>
      <c r="C3000" s="2577" t="s">
        <v>1991</v>
      </c>
      <c r="D3000" s="4066">
        <v>150000000</v>
      </c>
      <c r="E3000" s="2690">
        <v>150000000</v>
      </c>
      <c r="F3000" s="2763">
        <f t="shared" si="236"/>
        <v>100</v>
      </c>
      <c r="G3000" s="2690">
        <v>100</v>
      </c>
      <c r="H3000" s="1463"/>
    </row>
    <row r="3001" spans="2:8" ht="15.75" hidden="1" customHeight="1" x14ac:dyDescent="0.25">
      <c r="B3001" s="441"/>
      <c r="C3001" s="2577" t="s">
        <v>1992</v>
      </c>
      <c r="D3001" s="4066">
        <v>0</v>
      </c>
      <c r="E3001" s="2690">
        <v>0</v>
      </c>
      <c r="F3001" s="2690">
        <v>0</v>
      </c>
      <c r="G3001" s="2690">
        <v>0</v>
      </c>
      <c r="H3001" s="1463"/>
    </row>
    <row r="3002" spans="2:8" ht="14.25" hidden="1" customHeight="1" x14ac:dyDescent="0.25">
      <c r="B3002" s="441"/>
      <c r="C3002" s="2577" t="s">
        <v>1993</v>
      </c>
      <c r="D3002" s="4066">
        <v>500000000</v>
      </c>
      <c r="E3002" s="2690">
        <v>479886000</v>
      </c>
      <c r="F3002" s="2763">
        <f t="shared" si="236"/>
        <v>95.977199999999996</v>
      </c>
      <c r="G3002" s="2690">
        <v>100</v>
      </c>
      <c r="H3002" s="1463"/>
    </row>
    <row r="3003" spans="2:8" ht="16.5" hidden="1" customHeight="1" x14ac:dyDescent="0.25">
      <c r="B3003" s="441"/>
      <c r="C3003" s="2577" t="s">
        <v>1994</v>
      </c>
      <c r="D3003" s="4066">
        <v>100000000</v>
      </c>
      <c r="E3003" s="2690">
        <v>100000000</v>
      </c>
      <c r="F3003" s="2763">
        <f t="shared" si="236"/>
        <v>100</v>
      </c>
      <c r="G3003" s="2690">
        <v>100</v>
      </c>
      <c r="H3003" s="1463"/>
    </row>
    <row r="3004" spans="2:8" ht="15.75" hidden="1" customHeight="1" x14ac:dyDescent="0.25">
      <c r="B3004" s="441"/>
      <c r="C3004" s="2577" t="s">
        <v>1995</v>
      </c>
      <c r="D3004" s="4066">
        <v>100000000</v>
      </c>
      <c r="E3004" s="2690">
        <v>100000000</v>
      </c>
      <c r="F3004" s="2763">
        <f t="shared" si="236"/>
        <v>100</v>
      </c>
      <c r="G3004" s="2690">
        <v>100</v>
      </c>
      <c r="H3004" s="1463"/>
    </row>
    <row r="3005" spans="2:8" ht="14.25" hidden="1" customHeight="1" x14ac:dyDescent="0.25">
      <c r="B3005" s="441"/>
      <c r="C3005" s="2577" t="s">
        <v>1996</v>
      </c>
      <c r="D3005" s="4066">
        <v>150000000</v>
      </c>
      <c r="E3005" s="2690">
        <v>149864000</v>
      </c>
      <c r="F3005" s="2763">
        <f t="shared" si="236"/>
        <v>99.909333333333336</v>
      </c>
      <c r="G3005" s="2690">
        <v>100</v>
      </c>
      <c r="H3005" s="1463"/>
    </row>
    <row r="3006" spans="2:8" ht="15.75" hidden="1" customHeight="1" x14ac:dyDescent="0.25">
      <c r="B3006" s="441"/>
      <c r="C3006" s="2577" t="s">
        <v>1997</v>
      </c>
      <c r="D3006" s="4066">
        <v>400000000</v>
      </c>
      <c r="E3006" s="2690">
        <v>399900000</v>
      </c>
      <c r="F3006" s="2763">
        <f t="shared" si="236"/>
        <v>99.975000000000009</v>
      </c>
      <c r="G3006" s="2690">
        <v>100</v>
      </c>
      <c r="H3006" s="1463"/>
    </row>
    <row r="3007" spans="2:8" ht="14.25" hidden="1" customHeight="1" x14ac:dyDescent="0.25">
      <c r="B3007" s="441"/>
      <c r="C3007" s="2577" t="s">
        <v>1998</v>
      </c>
      <c r="D3007" s="4066">
        <v>300000000</v>
      </c>
      <c r="E3007" s="2690">
        <v>293500000</v>
      </c>
      <c r="F3007" s="2763">
        <f t="shared" si="236"/>
        <v>97.833333333333343</v>
      </c>
      <c r="G3007" s="2690">
        <v>100</v>
      </c>
      <c r="H3007" s="1463"/>
    </row>
    <row r="3008" spans="2:8" ht="14.25" hidden="1" customHeight="1" x14ac:dyDescent="0.25">
      <c r="B3008" s="441"/>
      <c r="C3008" s="2577" t="s">
        <v>1999</v>
      </c>
      <c r="D3008" s="4066">
        <v>500000000</v>
      </c>
      <c r="E3008" s="2690">
        <v>499750000</v>
      </c>
      <c r="F3008" s="2763">
        <f t="shared" si="236"/>
        <v>99.95</v>
      </c>
      <c r="G3008" s="2690">
        <v>100</v>
      </c>
      <c r="H3008" s="1463"/>
    </row>
    <row r="3009" spans="2:8" ht="13.5" hidden="1" customHeight="1" x14ac:dyDescent="0.25">
      <c r="B3009" s="441"/>
      <c r="C3009" s="2577" t="s">
        <v>2000</v>
      </c>
      <c r="D3009" s="4066">
        <v>300000000</v>
      </c>
      <c r="E3009" s="2690">
        <v>299900000</v>
      </c>
      <c r="F3009" s="2763">
        <f t="shared" si="236"/>
        <v>99.966666666666669</v>
      </c>
      <c r="G3009" s="2690">
        <v>100</v>
      </c>
      <c r="H3009" s="1463"/>
    </row>
    <row r="3010" spans="2:8" ht="15.75" hidden="1" customHeight="1" x14ac:dyDescent="0.25">
      <c r="B3010" s="441"/>
      <c r="C3010" s="2577" t="s">
        <v>2001</v>
      </c>
      <c r="D3010" s="4066">
        <v>0</v>
      </c>
      <c r="E3010" s="2688">
        <v>0</v>
      </c>
      <c r="F3010" s="2688">
        <v>0</v>
      </c>
      <c r="G3010" s="2688">
        <v>0</v>
      </c>
      <c r="H3010" s="1463"/>
    </row>
    <row r="3011" spans="2:8" ht="13.5" hidden="1" customHeight="1" x14ac:dyDescent="0.25">
      <c r="B3011" s="441"/>
      <c r="C3011" s="2577" t="s">
        <v>2002</v>
      </c>
      <c r="D3011" s="4066">
        <v>500000000</v>
      </c>
      <c r="E3011" s="2690">
        <v>499900000</v>
      </c>
      <c r="F3011" s="2763">
        <f t="shared" si="236"/>
        <v>99.98</v>
      </c>
      <c r="G3011" s="2690">
        <v>100</v>
      </c>
      <c r="H3011" s="1463"/>
    </row>
    <row r="3012" spans="2:8" ht="14.25" hidden="1" customHeight="1" x14ac:dyDescent="0.25">
      <c r="B3012" s="441"/>
      <c r="C3012" s="2577" t="s">
        <v>2003</v>
      </c>
      <c r="D3012" s="4066">
        <v>400000000</v>
      </c>
      <c r="E3012" s="2690">
        <v>400000000</v>
      </c>
      <c r="F3012" s="2763">
        <f t="shared" si="236"/>
        <v>100</v>
      </c>
      <c r="G3012" s="2690">
        <v>100</v>
      </c>
      <c r="H3012" s="1463"/>
    </row>
    <row r="3013" spans="2:8" ht="15.75" hidden="1" customHeight="1" x14ac:dyDescent="0.25">
      <c r="B3013" s="441"/>
      <c r="C3013" s="2577" t="s">
        <v>2004</v>
      </c>
      <c r="D3013" s="4066">
        <v>300000000</v>
      </c>
      <c r="E3013" s="2690">
        <v>299820000</v>
      </c>
      <c r="F3013" s="2763">
        <f t="shared" si="236"/>
        <v>99.94</v>
      </c>
      <c r="G3013" s="2690">
        <v>100</v>
      </c>
      <c r="H3013" s="1463"/>
    </row>
    <row r="3014" spans="2:8" ht="18" hidden="1" customHeight="1" x14ac:dyDescent="0.25">
      <c r="B3014" s="441"/>
      <c r="C3014" s="2577" t="s">
        <v>2005</v>
      </c>
      <c r="D3014" s="4066">
        <v>350000000</v>
      </c>
      <c r="E3014" s="2690">
        <v>349875000</v>
      </c>
      <c r="F3014" s="2763">
        <f t="shared" si="236"/>
        <v>99.964285714285722</v>
      </c>
      <c r="G3014" s="2690">
        <v>100</v>
      </c>
      <c r="H3014" s="1463"/>
    </row>
    <row r="3015" spans="2:8" ht="14.25" hidden="1" customHeight="1" x14ac:dyDescent="0.25">
      <c r="B3015" s="441"/>
      <c r="C3015" s="2577" t="s">
        <v>2006</v>
      </c>
      <c r="D3015" s="4066">
        <v>100000000</v>
      </c>
      <c r="E3015" s="2690">
        <v>100000000</v>
      </c>
      <c r="F3015" s="2763">
        <f t="shared" si="236"/>
        <v>100</v>
      </c>
      <c r="G3015" s="2690">
        <v>100</v>
      </c>
      <c r="H3015" s="1463"/>
    </row>
    <row r="3016" spans="2:8" ht="14.25" hidden="1" customHeight="1" x14ac:dyDescent="0.25">
      <c r="B3016" s="441"/>
      <c r="C3016" s="2577" t="s">
        <v>4060</v>
      </c>
      <c r="D3016" s="4071">
        <v>300000000</v>
      </c>
      <c r="E3016" s="2710">
        <v>299900000</v>
      </c>
      <c r="F3016" s="2763">
        <f t="shared" si="236"/>
        <v>99.966666666666669</v>
      </c>
      <c r="G3016" s="2690">
        <v>100</v>
      </c>
      <c r="H3016" s="1463"/>
    </row>
    <row r="3017" spans="2:8" ht="14.25" hidden="1" customHeight="1" x14ac:dyDescent="0.25">
      <c r="B3017" s="441"/>
      <c r="C3017" s="2589"/>
      <c r="D3017" s="4322"/>
      <c r="E3017" s="3060"/>
      <c r="F3017" s="2752"/>
      <c r="G3017" s="2784"/>
      <c r="H3017" s="1463"/>
    </row>
    <row r="3018" spans="2:8" ht="18" customHeight="1" x14ac:dyDescent="0.25">
      <c r="B3018" s="440"/>
      <c r="C3018" s="2584" t="s">
        <v>2007</v>
      </c>
      <c r="D3018" s="4106">
        <f>SUM(D3019+D3030+D3037+D3043)</f>
        <v>4020000000</v>
      </c>
      <c r="E3018" s="2672">
        <f>SUM(E3019+E3030+E3037+E3043)</f>
        <v>3626124874</v>
      </c>
      <c r="F3018" s="2717">
        <f t="shared" si="236"/>
        <v>90.20211129353234</v>
      </c>
      <c r="G3018" s="2672">
        <f>SUM(G3019+G3030+G3037+G3043)/4</f>
        <v>100</v>
      </c>
      <c r="H3018" s="1463"/>
    </row>
    <row r="3019" spans="2:8" ht="23.25" customHeight="1" x14ac:dyDescent="0.25">
      <c r="B3019" s="445"/>
      <c r="C3019" s="2576" t="s">
        <v>2008</v>
      </c>
      <c r="D3019" s="3628">
        <f>SUM(D3020:D3028)</f>
        <v>1700000000</v>
      </c>
      <c r="E3019" s="4081">
        <f>SUM(E3020:E3028)</f>
        <v>1625477474</v>
      </c>
      <c r="F3019" s="2764">
        <f t="shared" si="236"/>
        <v>95.616321999999997</v>
      </c>
      <c r="G3019" s="2695">
        <f>SUM(G3020:G3027)/8</f>
        <v>100</v>
      </c>
      <c r="H3019" s="1463"/>
    </row>
    <row r="3020" spans="2:8" ht="15.75" hidden="1" customHeight="1" x14ac:dyDescent="0.25">
      <c r="B3020" s="441"/>
      <c r="C3020" s="2577" t="s">
        <v>2009</v>
      </c>
      <c r="D3020" s="4066">
        <v>200000000</v>
      </c>
      <c r="E3020" s="2690">
        <v>199399800</v>
      </c>
      <c r="F3020" s="2763">
        <f t="shared" si="236"/>
        <v>99.6999</v>
      </c>
      <c r="G3020" s="2690">
        <v>100</v>
      </c>
      <c r="H3020" s="1463"/>
    </row>
    <row r="3021" spans="2:8" ht="15.75" hidden="1" customHeight="1" x14ac:dyDescent="0.25">
      <c r="B3021" s="441"/>
      <c r="C3021" s="2577" t="s">
        <v>2010</v>
      </c>
      <c r="D3021" s="4066">
        <v>300000000</v>
      </c>
      <c r="E3021" s="2690">
        <v>297060174</v>
      </c>
      <c r="F3021" s="2763">
        <f t="shared" si="236"/>
        <v>99.020058000000006</v>
      </c>
      <c r="G3021" s="2690">
        <v>100</v>
      </c>
      <c r="H3021" s="1463"/>
    </row>
    <row r="3022" spans="2:8" ht="17.25" hidden="1" customHeight="1" x14ac:dyDescent="0.25">
      <c r="B3022" s="441"/>
      <c r="C3022" s="2577" t="s">
        <v>2011</v>
      </c>
      <c r="D3022" s="4066">
        <v>150000000</v>
      </c>
      <c r="E3022" s="2690">
        <v>145000000</v>
      </c>
      <c r="F3022" s="2763">
        <f t="shared" si="236"/>
        <v>96.666666666666671</v>
      </c>
      <c r="G3022" s="2690">
        <v>100</v>
      </c>
      <c r="H3022" s="1463"/>
    </row>
    <row r="3023" spans="2:8" ht="14.25" hidden="1" customHeight="1" x14ac:dyDescent="0.25">
      <c r="B3023" s="441"/>
      <c r="C3023" s="2590" t="s">
        <v>2012</v>
      </c>
      <c r="D3023" s="4323">
        <v>350000000</v>
      </c>
      <c r="E3023" s="2690">
        <v>312017500</v>
      </c>
      <c r="F3023" s="2763">
        <f t="shared" si="236"/>
        <v>89.147857142857148</v>
      </c>
      <c r="G3023" s="2690">
        <v>100</v>
      </c>
      <c r="H3023" s="1463"/>
    </row>
    <row r="3024" spans="2:8" ht="15" hidden="1" customHeight="1" x14ac:dyDescent="0.25">
      <c r="B3024" s="441"/>
      <c r="C3024" s="2590" t="s">
        <v>2013</v>
      </c>
      <c r="D3024" s="4323">
        <v>150000000</v>
      </c>
      <c r="E3024" s="2690">
        <v>130000000</v>
      </c>
      <c r="F3024" s="2763">
        <f t="shared" si="236"/>
        <v>86.666666666666671</v>
      </c>
      <c r="G3024" s="2690">
        <v>100</v>
      </c>
      <c r="H3024" s="1463"/>
    </row>
    <row r="3025" spans="2:8" ht="14.25" hidden="1" customHeight="1" x14ac:dyDescent="0.25">
      <c r="B3025" s="441"/>
      <c r="C3025" s="2590" t="s">
        <v>2014</v>
      </c>
      <c r="D3025" s="4323">
        <v>150000000</v>
      </c>
      <c r="E3025" s="2690">
        <v>145000000</v>
      </c>
      <c r="F3025" s="2763">
        <f t="shared" si="236"/>
        <v>96.666666666666671</v>
      </c>
      <c r="G3025" s="2690">
        <v>100</v>
      </c>
      <c r="H3025" s="1463"/>
    </row>
    <row r="3026" spans="2:8" ht="18" hidden="1" customHeight="1" x14ac:dyDescent="0.25">
      <c r="B3026" s="441"/>
      <c r="C3026" s="2590" t="s">
        <v>2015</v>
      </c>
      <c r="D3026" s="4323">
        <v>200000000</v>
      </c>
      <c r="E3026" s="2690">
        <v>197000000</v>
      </c>
      <c r="F3026" s="2763">
        <f t="shared" si="236"/>
        <v>98.5</v>
      </c>
      <c r="G3026" s="2690">
        <v>100</v>
      </c>
      <c r="H3026" s="1463"/>
    </row>
    <row r="3027" spans="2:8" ht="18" hidden="1" customHeight="1" x14ac:dyDescent="0.25">
      <c r="B3027" s="441"/>
      <c r="C3027" s="2590" t="s">
        <v>2016</v>
      </c>
      <c r="D3027" s="4323">
        <v>200000000</v>
      </c>
      <c r="E3027" s="2690">
        <v>200000000</v>
      </c>
      <c r="F3027" s="2763">
        <f t="shared" si="236"/>
        <v>100</v>
      </c>
      <c r="G3027" s="2690">
        <v>100</v>
      </c>
      <c r="H3027" s="1463"/>
    </row>
    <row r="3028" spans="2:8" ht="18" hidden="1" customHeight="1" x14ac:dyDescent="0.25">
      <c r="B3028" s="441"/>
      <c r="C3028" s="2590" t="s">
        <v>2017</v>
      </c>
      <c r="D3028" s="4321" t="s">
        <v>3317</v>
      </c>
      <c r="E3028" s="3666" t="s">
        <v>3317</v>
      </c>
      <c r="F3028" s="2690">
        <v>0</v>
      </c>
      <c r="G3028" s="2690">
        <v>0</v>
      </c>
      <c r="H3028" s="1461"/>
    </row>
    <row r="3029" spans="2:8" ht="9" hidden="1" customHeight="1" x14ac:dyDescent="0.25">
      <c r="B3029" s="441"/>
      <c r="C3029" s="2590"/>
      <c r="D3029" s="4276"/>
      <c r="E3029" s="3035"/>
      <c r="F3029" s="2763"/>
      <c r="G3029" s="3035"/>
      <c r="H3029" s="1463"/>
    </row>
    <row r="3030" spans="2:8" ht="15.75" customHeight="1" x14ac:dyDescent="0.25">
      <c r="B3030" s="441"/>
      <c r="C3030" s="2580" t="s">
        <v>314</v>
      </c>
      <c r="D3030" s="4324">
        <f>SUM(D3031:D3035)</f>
        <v>1100000000</v>
      </c>
      <c r="E3030" s="3540">
        <f>SUM(E3031:E3035)</f>
        <v>830740400</v>
      </c>
      <c r="F3030" s="2764">
        <f t="shared" si="236"/>
        <v>75.521854545454545</v>
      </c>
      <c r="G3030" s="2695">
        <f>SUM(G3031:G3035)/4</f>
        <v>100</v>
      </c>
      <c r="H3030" s="1463"/>
    </row>
    <row r="3031" spans="2:8" ht="16.5" hidden="1" customHeight="1" x14ac:dyDescent="0.25">
      <c r="B3031" s="441"/>
      <c r="C3031" s="2577" t="s">
        <v>2018</v>
      </c>
      <c r="D3031" s="4066">
        <v>150000000</v>
      </c>
      <c r="E3031" s="2690">
        <v>146280400</v>
      </c>
      <c r="F3031" s="2763">
        <f t="shared" si="236"/>
        <v>97.520266666666672</v>
      </c>
      <c r="G3031" s="2690">
        <v>100</v>
      </c>
      <c r="H3031" s="1463"/>
    </row>
    <row r="3032" spans="2:8" hidden="1" x14ac:dyDescent="0.25">
      <c r="B3032" s="441"/>
      <c r="C3032" s="2577" t="s">
        <v>2019</v>
      </c>
      <c r="D3032" s="4066">
        <v>250000000</v>
      </c>
      <c r="E3032" s="2688">
        <v>0</v>
      </c>
      <c r="F3032" s="2763">
        <f t="shared" si="236"/>
        <v>0</v>
      </c>
      <c r="G3032" s="2688">
        <v>0</v>
      </c>
      <c r="H3032" s="1463"/>
    </row>
    <row r="3033" spans="2:8" ht="15.75" hidden="1" customHeight="1" x14ac:dyDescent="0.25">
      <c r="B3033" s="441"/>
      <c r="C3033" s="2577" t="s">
        <v>2020</v>
      </c>
      <c r="D3033" s="4066">
        <v>200000000</v>
      </c>
      <c r="E3033" s="2690">
        <v>186625000</v>
      </c>
      <c r="F3033" s="2763">
        <f t="shared" si="236"/>
        <v>93.3125</v>
      </c>
      <c r="G3033" s="2690">
        <v>100</v>
      </c>
      <c r="H3033" s="1463"/>
    </row>
    <row r="3034" spans="2:8" ht="15" hidden="1" customHeight="1" x14ac:dyDescent="0.25">
      <c r="B3034" s="441"/>
      <c r="C3034" s="2577" t="s">
        <v>2021</v>
      </c>
      <c r="D3034" s="4066">
        <v>200000000</v>
      </c>
      <c r="E3034" s="2690">
        <v>197835000</v>
      </c>
      <c r="F3034" s="2763">
        <f t="shared" si="236"/>
        <v>98.917500000000004</v>
      </c>
      <c r="G3034" s="2690">
        <v>100</v>
      </c>
      <c r="H3034" s="1463"/>
    </row>
    <row r="3035" spans="2:8" ht="14.25" hidden="1" customHeight="1" x14ac:dyDescent="0.25">
      <c r="B3035" s="441"/>
      <c r="C3035" s="2577" t="s">
        <v>2022</v>
      </c>
      <c r="D3035" s="4066">
        <v>300000000</v>
      </c>
      <c r="E3035" s="2690">
        <v>300000000</v>
      </c>
      <c r="F3035" s="2763">
        <f t="shared" si="236"/>
        <v>100</v>
      </c>
      <c r="G3035" s="2690">
        <v>100</v>
      </c>
      <c r="H3035" s="1463"/>
    </row>
    <row r="3036" spans="2:8" ht="11.25" hidden="1" customHeight="1" x14ac:dyDescent="0.25">
      <c r="B3036" s="441"/>
      <c r="C3036" s="2577"/>
      <c r="D3036" s="4276"/>
      <c r="E3036" s="3035"/>
      <c r="F3036" s="2763"/>
      <c r="G3036" s="3035"/>
      <c r="H3036" s="1463"/>
    </row>
    <row r="3037" spans="2:8" ht="19.5" customHeight="1" x14ac:dyDescent="0.25">
      <c r="B3037" s="441"/>
      <c r="C3037" s="2576" t="s">
        <v>2023</v>
      </c>
      <c r="D3037" s="3628">
        <f>SUM(D3038:D3041)</f>
        <v>350000000</v>
      </c>
      <c r="E3037" s="4081">
        <f>SUM(E3038:E3041)</f>
        <v>350000000</v>
      </c>
      <c r="F3037" s="2764">
        <f t="shared" si="236"/>
        <v>100</v>
      </c>
      <c r="G3037" s="2695">
        <f>G3038</f>
        <v>100</v>
      </c>
      <c r="H3037" s="1463"/>
    </row>
    <row r="3038" spans="2:8" ht="17.25" hidden="1" customHeight="1" x14ac:dyDescent="0.25">
      <c r="B3038" s="441"/>
      <c r="C3038" s="2577" t="s">
        <v>2024</v>
      </c>
      <c r="D3038" s="4066">
        <v>350000000</v>
      </c>
      <c r="E3038" s="2855">
        <v>350000000</v>
      </c>
      <c r="F3038" s="2763">
        <f t="shared" si="236"/>
        <v>100</v>
      </c>
      <c r="G3038" s="2855">
        <v>100</v>
      </c>
      <c r="H3038" s="1463"/>
    </row>
    <row r="3039" spans="2:8" ht="16.5" hidden="1" customHeight="1" x14ac:dyDescent="0.25">
      <c r="B3039" s="441"/>
      <c r="C3039" s="2577" t="s">
        <v>2025</v>
      </c>
      <c r="D3039" s="4321" t="s">
        <v>3317</v>
      </c>
      <c r="E3039" s="3666" t="s">
        <v>3317</v>
      </c>
      <c r="F3039" s="3666" t="s">
        <v>3317</v>
      </c>
      <c r="G3039" s="3666" t="s">
        <v>3317</v>
      </c>
      <c r="H3039" s="1463"/>
    </row>
    <row r="3040" spans="2:8" ht="16.5" hidden="1" customHeight="1" x14ac:dyDescent="0.25">
      <c r="B3040" s="441"/>
      <c r="C3040" s="2577" t="s">
        <v>2026</v>
      </c>
      <c r="D3040" s="4321" t="s">
        <v>3317</v>
      </c>
      <c r="E3040" s="3666" t="s">
        <v>3317</v>
      </c>
      <c r="F3040" s="3666" t="s">
        <v>3317</v>
      </c>
      <c r="G3040" s="3666" t="s">
        <v>3317</v>
      </c>
      <c r="H3040" s="1463"/>
    </row>
    <row r="3041" spans="2:8" ht="19.5" hidden="1" customHeight="1" x14ac:dyDescent="0.25">
      <c r="B3041" s="444"/>
      <c r="C3041" s="2577" t="s">
        <v>2027</v>
      </c>
      <c r="D3041" s="4321" t="s">
        <v>3317</v>
      </c>
      <c r="E3041" s="3666" t="s">
        <v>3317</v>
      </c>
      <c r="F3041" s="3666" t="s">
        <v>3317</v>
      </c>
      <c r="G3041" s="3666" t="s">
        <v>3317</v>
      </c>
      <c r="H3041" s="1463"/>
    </row>
    <row r="3042" spans="2:8" ht="10.5" hidden="1" customHeight="1" x14ac:dyDescent="0.25">
      <c r="B3042" s="445"/>
      <c r="C3042" s="2577"/>
      <c r="D3042" s="4276"/>
      <c r="E3042" s="3035"/>
      <c r="F3042" s="2690"/>
      <c r="G3042" s="3035"/>
      <c r="H3042" s="1463"/>
    </row>
    <row r="3043" spans="2:8" ht="18.75" customHeight="1" x14ac:dyDescent="0.25">
      <c r="B3043" s="441"/>
      <c r="C3043" s="2576" t="s">
        <v>2028</v>
      </c>
      <c r="D3043" s="3628">
        <f>SUM(D3044:D3049)</f>
        <v>870000000</v>
      </c>
      <c r="E3043" s="4081">
        <f>SUM(E3044:E3049)</f>
        <v>819907000</v>
      </c>
      <c r="F3043" s="2764">
        <f t="shared" ref="F3043:F3049" si="237">E3043/D3043*100</f>
        <v>94.242183908045973</v>
      </c>
      <c r="G3043" s="2695">
        <f>SUM(G3044:G3049)/6</f>
        <v>100</v>
      </c>
      <c r="H3043" s="1463"/>
    </row>
    <row r="3044" spans="2:8" ht="18" hidden="1" customHeight="1" x14ac:dyDescent="0.25">
      <c r="B3044" s="441"/>
      <c r="C3044" s="2577" t="s">
        <v>2029</v>
      </c>
      <c r="D3044" s="4066">
        <v>150000000</v>
      </c>
      <c r="E3044" s="2690">
        <v>150000000</v>
      </c>
      <c r="F3044" s="2763">
        <f t="shared" si="237"/>
        <v>100</v>
      </c>
      <c r="G3044" s="2763">
        <v>100</v>
      </c>
      <c r="H3044" s="1463"/>
    </row>
    <row r="3045" spans="2:8" ht="16.5" hidden="1" customHeight="1" x14ac:dyDescent="0.25">
      <c r="B3045" s="441"/>
      <c r="C3045" s="2577" t="s">
        <v>2030</v>
      </c>
      <c r="D3045" s="4066">
        <v>150000000</v>
      </c>
      <c r="E3045" s="2690">
        <v>150000000</v>
      </c>
      <c r="F3045" s="2763">
        <f t="shared" si="237"/>
        <v>100</v>
      </c>
      <c r="G3045" s="2763">
        <v>100</v>
      </c>
      <c r="H3045" s="1463"/>
    </row>
    <row r="3046" spans="2:8" ht="15" hidden="1" customHeight="1" x14ac:dyDescent="0.25">
      <c r="B3046" s="441"/>
      <c r="C3046" s="2577" t="s">
        <v>2031</v>
      </c>
      <c r="D3046" s="4066">
        <v>200000000</v>
      </c>
      <c r="E3046" s="2690">
        <v>178207000</v>
      </c>
      <c r="F3046" s="2763">
        <f t="shared" si="237"/>
        <v>89.103499999999997</v>
      </c>
      <c r="G3046" s="2763">
        <v>100</v>
      </c>
      <c r="H3046" s="1463"/>
    </row>
    <row r="3047" spans="2:8" ht="17.25" hidden="1" customHeight="1" x14ac:dyDescent="0.25">
      <c r="B3047" s="441"/>
      <c r="C3047" s="2577" t="s">
        <v>2032</v>
      </c>
      <c r="D3047" s="4066">
        <v>100000000</v>
      </c>
      <c r="E3047" s="2855">
        <v>93900000</v>
      </c>
      <c r="F3047" s="2763">
        <f t="shared" si="237"/>
        <v>93.899999999999991</v>
      </c>
      <c r="G3047" s="2763">
        <v>100</v>
      </c>
      <c r="H3047" s="1463"/>
    </row>
    <row r="3048" spans="2:8" ht="16.5" hidden="1" customHeight="1" x14ac:dyDescent="0.25">
      <c r="B3048" s="441"/>
      <c r="C3048" s="2577" t="s">
        <v>2033</v>
      </c>
      <c r="D3048" s="4066">
        <v>150000000</v>
      </c>
      <c r="E3048" s="2690">
        <v>134640000</v>
      </c>
      <c r="F3048" s="2763">
        <f t="shared" si="237"/>
        <v>89.759999999999991</v>
      </c>
      <c r="G3048" s="2763">
        <v>100</v>
      </c>
      <c r="H3048" s="1463"/>
    </row>
    <row r="3049" spans="2:8" ht="15" hidden="1" customHeight="1" x14ac:dyDescent="0.25">
      <c r="B3049" s="441"/>
      <c r="C3049" s="2577" t="s">
        <v>2034</v>
      </c>
      <c r="D3049" s="4066">
        <v>120000000</v>
      </c>
      <c r="E3049" s="2690">
        <v>113160000</v>
      </c>
      <c r="F3049" s="2763">
        <f t="shared" si="237"/>
        <v>94.3</v>
      </c>
      <c r="G3049" s="2763">
        <v>100</v>
      </c>
      <c r="H3049" s="1463"/>
    </row>
    <row r="3050" spans="2:8" ht="18" hidden="1" customHeight="1" x14ac:dyDescent="0.25">
      <c r="B3050" s="441"/>
      <c r="C3050" s="2589"/>
      <c r="D3050" s="4299"/>
      <c r="E3050" s="2784"/>
      <c r="F3050" s="2752"/>
      <c r="G3050" s="2784"/>
      <c r="H3050" s="1463"/>
    </row>
    <row r="3051" spans="2:8" ht="18" customHeight="1" x14ac:dyDescent="0.25">
      <c r="B3051" s="440"/>
      <c r="C3051" s="2584" t="s">
        <v>2035</v>
      </c>
      <c r="D3051" s="3626">
        <f>SUM(D3052+D3056+D3063+D3070)</f>
        <v>3599320000</v>
      </c>
      <c r="E3051" s="4083">
        <f>SUM(E3052+E3056+E3063+E3070)</f>
        <v>3539069600</v>
      </c>
      <c r="F3051" s="2717">
        <f t="shared" ref="F3051:F3085" si="238">E3051/D3051*100</f>
        <v>98.326061589411324</v>
      </c>
      <c r="G3051" s="2672">
        <f>SUM(G3052+G3056+G3063+G3070)/4</f>
        <v>100</v>
      </c>
      <c r="H3051" s="1463"/>
    </row>
    <row r="3052" spans="2:8" ht="14.25" customHeight="1" x14ac:dyDescent="0.25">
      <c r="B3052" s="441"/>
      <c r="C3052" s="2576" t="s">
        <v>2036</v>
      </c>
      <c r="D3052" s="4065">
        <f>SUM(D3053:D3054)</f>
        <v>450000000</v>
      </c>
      <c r="E3052" s="2695">
        <f>SUM(E3053:E3054)</f>
        <v>450000000</v>
      </c>
      <c r="F3052" s="2764">
        <f t="shared" si="238"/>
        <v>100</v>
      </c>
      <c r="G3052" s="2695">
        <f>SUM(G3053:G3054)/2</f>
        <v>100</v>
      </c>
      <c r="H3052" s="1463"/>
    </row>
    <row r="3053" spans="2:8" ht="18.75" hidden="1" customHeight="1" x14ac:dyDescent="0.25">
      <c r="B3053" s="441"/>
      <c r="C3053" s="2577" t="s">
        <v>2037</v>
      </c>
      <c r="D3053" s="4066">
        <v>250000000</v>
      </c>
      <c r="E3053" s="2690">
        <v>250000000</v>
      </c>
      <c r="F3053" s="2763">
        <f t="shared" si="238"/>
        <v>100</v>
      </c>
      <c r="G3053" s="2690">
        <v>100</v>
      </c>
      <c r="H3053" s="1463"/>
    </row>
    <row r="3054" spans="2:8" ht="17.25" hidden="1" customHeight="1" x14ac:dyDescent="0.25">
      <c r="B3054" s="441"/>
      <c r="C3054" s="2577" t="s">
        <v>2038</v>
      </c>
      <c r="D3054" s="4066">
        <v>200000000</v>
      </c>
      <c r="E3054" s="2690">
        <v>200000000</v>
      </c>
      <c r="F3054" s="2763">
        <f t="shared" si="238"/>
        <v>100</v>
      </c>
      <c r="G3054" s="2690">
        <v>100</v>
      </c>
      <c r="H3054" s="1463"/>
    </row>
    <row r="3055" spans="2:8" ht="10.5" hidden="1" customHeight="1" x14ac:dyDescent="0.25">
      <c r="B3055" s="441"/>
      <c r="C3055" s="2577"/>
      <c r="D3055" s="4066"/>
      <c r="E3055" s="2690"/>
      <c r="F3055" s="2763"/>
      <c r="G3055" s="2690"/>
      <c r="H3055" s="1463"/>
    </row>
    <row r="3056" spans="2:8" ht="18" customHeight="1" x14ac:dyDescent="0.25">
      <c r="B3056" s="441"/>
      <c r="C3056" s="2576" t="s">
        <v>2039</v>
      </c>
      <c r="D3056" s="4065">
        <f>SUM(D3057:D3061)</f>
        <v>790000000</v>
      </c>
      <c r="E3056" s="2695">
        <f>SUM(E3057:E3061)</f>
        <v>774399600</v>
      </c>
      <c r="F3056" s="2764">
        <f t="shared" si="238"/>
        <v>98.025265822784817</v>
      </c>
      <c r="G3056" s="2695">
        <f>SUM(G3057:G3061)/5</f>
        <v>100</v>
      </c>
      <c r="H3056" s="1463"/>
    </row>
    <row r="3057" spans="2:9" ht="18" hidden="1" customHeight="1" x14ac:dyDescent="0.25">
      <c r="B3057" s="441"/>
      <c r="C3057" s="2577" t="s">
        <v>2040</v>
      </c>
      <c r="D3057" s="4066">
        <v>130000000</v>
      </c>
      <c r="E3057" s="2690">
        <v>128400000</v>
      </c>
      <c r="F3057" s="2763">
        <f t="shared" si="238"/>
        <v>98.769230769230759</v>
      </c>
      <c r="G3057" s="2690">
        <v>100</v>
      </c>
      <c r="H3057" s="1463"/>
    </row>
    <row r="3058" spans="2:9" ht="17.25" hidden="1" customHeight="1" x14ac:dyDescent="0.25">
      <c r="B3058" s="441"/>
      <c r="C3058" s="2577" t="s">
        <v>2041</v>
      </c>
      <c r="D3058" s="4066">
        <v>150000000</v>
      </c>
      <c r="E3058" s="3035">
        <v>142560000</v>
      </c>
      <c r="F3058" s="2763">
        <f t="shared" si="238"/>
        <v>95.04</v>
      </c>
      <c r="G3058" s="2690">
        <v>100</v>
      </c>
      <c r="H3058" s="1463"/>
    </row>
    <row r="3059" spans="2:9" ht="16.5" hidden="1" customHeight="1" x14ac:dyDescent="0.25">
      <c r="B3059" s="441"/>
      <c r="C3059" s="2577" t="s">
        <v>2042</v>
      </c>
      <c r="D3059" s="4066">
        <v>200000000</v>
      </c>
      <c r="E3059" s="2855">
        <v>195739600</v>
      </c>
      <c r="F3059" s="2763">
        <f t="shared" si="238"/>
        <v>97.869799999999998</v>
      </c>
      <c r="G3059" s="2855">
        <v>100</v>
      </c>
      <c r="H3059" s="1463"/>
    </row>
    <row r="3060" spans="2:9" ht="18.75" hidden="1" customHeight="1" x14ac:dyDescent="0.25">
      <c r="B3060" s="441"/>
      <c r="C3060" s="2577" t="s">
        <v>2043</v>
      </c>
      <c r="D3060" s="4066">
        <v>110000000</v>
      </c>
      <c r="E3060" s="2690">
        <v>107700000</v>
      </c>
      <c r="F3060" s="2763">
        <f t="shared" si="238"/>
        <v>97.909090909090907</v>
      </c>
      <c r="G3060" s="2690">
        <v>100</v>
      </c>
      <c r="H3060" s="1463"/>
    </row>
    <row r="3061" spans="2:9" ht="19.5" hidden="1" customHeight="1" x14ac:dyDescent="0.25">
      <c r="B3061" s="441"/>
      <c r="C3061" s="2577" t="s">
        <v>2044</v>
      </c>
      <c r="D3061" s="4066">
        <v>200000000</v>
      </c>
      <c r="E3061" s="2690">
        <v>200000000</v>
      </c>
      <c r="F3061" s="2763">
        <f t="shared" si="238"/>
        <v>100</v>
      </c>
      <c r="G3061" s="2690">
        <v>100</v>
      </c>
      <c r="H3061" s="1463"/>
    </row>
    <row r="3062" spans="2:9" ht="12" hidden="1" customHeight="1" x14ac:dyDescent="0.25">
      <c r="B3062" s="441"/>
      <c r="C3062" s="2588"/>
      <c r="D3062" s="4066"/>
      <c r="E3062" s="2690"/>
      <c r="F3062" s="2763"/>
      <c r="G3062" s="2710"/>
      <c r="H3062" s="1463"/>
    </row>
    <row r="3063" spans="2:9" ht="17.25" customHeight="1" x14ac:dyDescent="0.25">
      <c r="B3063" s="441"/>
      <c r="C3063" s="2580" t="s">
        <v>2045</v>
      </c>
      <c r="D3063" s="3628">
        <f>SUM(D3064:D3068)</f>
        <v>909320000</v>
      </c>
      <c r="E3063" s="4081">
        <f>SUM(E3064:E3068)</f>
        <v>909320000</v>
      </c>
      <c r="F3063" s="2764">
        <f t="shared" si="238"/>
        <v>100</v>
      </c>
      <c r="G3063" s="2821">
        <f>SUM(G3065:G3068)/4</f>
        <v>100</v>
      </c>
      <c r="H3063" s="1463"/>
    </row>
    <row r="3064" spans="2:9" ht="18" hidden="1" customHeight="1" x14ac:dyDescent="0.25">
      <c r="B3064" s="441"/>
      <c r="C3064" s="2590" t="s">
        <v>2046</v>
      </c>
      <c r="D3064" s="4350" t="s">
        <v>3317</v>
      </c>
      <c r="E3064" s="3668" t="s">
        <v>3317</v>
      </c>
      <c r="F3064" s="3668" t="s">
        <v>3317</v>
      </c>
      <c r="G3064" s="3668" t="s">
        <v>3317</v>
      </c>
      <c r="H3064" s="3669"/>
      <c r="I3064" s="544" t="s">
        <v>3317</v>
      </c>
    </row>
    <row r="3065" spans="2:9" ht="16.5" hidden="1" customHeight="1" x14ac:dyDescent="0.25">
      <c r="B3065" s="441"/>
      <c r="C3065" s="2590" t="s">
        <v>2047</v>
      </c>
      <c r="D3065" s="4323">
        <v>200000000</v>
      </c>
      <c r="E3065" s="2855">
        <v>200000000</v>
      </c>
      <c r="F3065" s="2763">
        <f t="shared" si="238"/>
        <v>100</v>
      </c>
      <c r="G3065" s="2855">
        <v>100</v>
      </c>
      <c r="H3065" s="1463"/>
    </row>
    <row r="3066" spans="2:9" ht="17.25" hidden="1" customHeight="1" x14ac:dyDescent="0.25">
      <c r="B3066" s="441"/>
      <c r="C3066" s="2590" t="s">
        <v>2048</v>
      </c>
      <c r="D3066" s="4323">
        <v>200000000</v>
      </c>
      <c r="E3066" s="2690">
        <v>200000000</v>
      </c>
      <c r="F3066" s="2763">
        <f t="shared" si="238"/>
        <v>100</v>
      </c>
      <c r="G3066" s="2855">
        <v>100</v>
      </c>
      <c r="H3066" s="1463"/>
    </row>
    <row r="3067" spans="2:9" ht="16.5" hidden="1" customHeight="1" x14ac:dyDescent="0.25">
      <c r="B3067" s="441"/>
      <c r="C3067" s="2590" t="s">
        <v>2049</v>
      </c>
      <c r="D3067" s="4323">
        <v>309320000</v>
      </c>
      <c r="E3067" s="2690">
        <v>309320000</v>
      </c>
      <c r="F3067" s="2763">
        <f t="shared" si="238"/>
        <v>100</v>
      </c>
      <c r="G3067" s="2855">
        <v>100</v>
      </c>
      <c r="H3067" s="1463"/>
    </row>
    <row r="3068" spans="2:9" ht="14.25" hidden="1" customHeight="1" x14ac:dyDescent="0.25">
      <c r="B3068" s="441"/>
      <c r="C3068" s="2590" t="s">
        <v>2050</v>
      </c>
      <c r="D3068" s="4323">
        <v>200000000</v>
      </c>
      <c r="E3068" s="2690">
        <v>200000000</v>
      </c>
      <c r="F3068" s="2763">
        <f t="shared" si="238"/>
        <v>100</v>
      </c>
      <c r="G3068" s="2855">
        <v>100</v>
      </c>
      <c r="H3068" s="1463"/>
    </row>
    <row r="3069" spans="2:9" ht="11.25" hidden="1" customHeight="1" x14ac:dyDescent="0.25">
      <c r="B3069" s="441"/>
      <c r="C3069" s="2590"/>
      <c r="D3069" s="4276"/>
      <c r="E3069" s="3035"/>
      <c r="F3069" s="2763"/>
      <c r="G3069" s="3035"/>
      <c r="H3069" s="1463"/>
    </row>
    <row r="3070" spans="2:9" ht="19.5" customHeight="1" x14ac:dyDescent="0.25">
      <c r="B3070" s="441"/>
      <c r="C3070" s="2580" t="s">
        <v>2051</v>
      </c>
      <c r="D3070" s="4324">
        <f>SUM(D3071:D3075)</f>
        <v>1450000000</v>
      </c>
      <c r="E3070" s="3540">
        <f>SUM(E3071:E3075)</f>
        <v>1405350000</v>
      </c>
      <c r="F3070" s="2764">
        <f t="shared" si="238"/>
        <v>96.92068965517241</v>
      </c>
      <c r="G3070" s="2695">
        <f>SUM(G3071:G3075)/5</f>
        <v>100</v>
      </c>
      <c r="H3070" s="1463"/>
    </row>
    <row r="3071" spans="2:9" ht="15.75" hidden="1" customHeight="1" x14ac:dyDescent="0.25">
      <c r="B3071" s="441"/>
      <c r="C3071" s="2590" t="s">
        <v>2052</v>
      </c>
      <c r="D3071" s="4323">
        <v>350000000</v>
      </c>
      <c r="E3071" s="2690">
        <v>350000000</v>
      </c>
      <c r="F3071" s="2763">
        <f t="shared" si="238"/>
        <v>100</v>
      </c>
      <c r="G3071" s="2690">
        <v>100</v>
      </c>
      <c r="H3071" s="1463"/>
    </row>
    <row r="3072" spans="2:9" ht="14.25" hidden="1" customHeight="1" x14ac:dyDescent="0.25">
      <c r="B3072" s="441"/>
      <c r="C3072" s="2590" t="s">
        <v>2053</v>
      </c>
      <c r="D3072" s="4323">
        <v>200000000</v>
      </c>
      <c r="E3072" s="2690">
        <v>180000000</v>
      </c>
      <c r="F3072" s="2763">
        <f t="shared" si="238"/>
        <v>90</v>
      </c>
      <c r="G3072" s="2690">
        <v>100</v>
      </c>
      <c r="H3072" s="1463"/>
    </row>
    <row r="3073" spans="2:8" ht="15.75" hidden="1" customHeight="1" x14ac:dyDescent="0.25">
      <c r="B3073" s="441"/>
      <c r="C3073" s="2590" t="s">
        <v>2054</v>
      </c>
      <c r="D3073" s="4323">
        <v>100000000</v>
      </c>
      <c r="E3073" s="2690">
        <v>100000000</v>
      </c>
      <c r="F3073" s="2763">
        <f t="shared" si="238"/>
        <v>100</v>
      </c>
      <c r="G3073" s="2690">
        <v>100</v>
      </c>
      <c r="H3073" s="1463"/>
    </row>
    <row r="3074" spans="2:8" ht="14.25" hidden="1" customHeight="1" x14ac:dyDescent="0.25">
      <c r="B3074" s="441"/>
      <c r="C3074" s="2590" t="s">
        <v>2055</v>
      </c>
      <c r="D3074" s="4323">
        <v>200000000</v>
      </c>
      <c r="E3074" s="2690">
        <v>200000000</v>
      </c>
      <c r="F3074" s="2763">
        <f t="shared" si="238"/>
        <v>100</v>
      </c>
      <c r="G3074" s="2690">
        <v>100</v>
      </c>
      <c r="H3074" s="1463"/>
    </row>
    <row r="3075" spans="2:8" ht="15.75" hidden="1" customHeight="1" x14ac:dyDescent="0.25">
      <c r="B3075" s="441"/>
      <c r="C3075" s="2577" t="s">
        <v>2056</v>
      </c>
      <c r="D3075" s="4276">
        <v>600000000</v>
      </c>
      <c r="E3075" s="3035">
        <v>575350000</v>
      </c>
      <c r="F3075" s="2763">
        <f t="shared" si="238"/>
        <v>95.891666666666666</v>
      </c>
      <c r="G3075" s="2690">
        <v>100</v>
      </c>
      <c r="H3075" s="1463"/>
    </row>
    <row r="3076" spans="2:8" ht="12" hidden="1" customHeight="1" x14ac:dyDescent="0.25">
      <c r="B3076" s="441"/>
      <c r="C3076" s="2585"/>
      <c r="D3076" s="4299"/>
      <c r="E3076" s="2784"/>
      <c r="F3076" s="2752"/>
      <c r="G3076" s="2784"/>
      <c r="H3076" s="1463"/>
    </row>
    <row r="3077" spans="2:8" ht="16.5" customHeight="1" x14ac:dyDescent="0.25">
      <c r="B3077" s="440"/>
      <c r="C3077" s="2579" t="s">
        <v>5556</v>
      </c>
      <c r="D3077" s="4349">
        <f>D3078</f>
        <v>2750000000</v>
      </c>
      <c r="E3077" s="3254">
        <f>E3078</f>
        <v>2746750000</v>
      </c>
      <c r="F3077" s="2717">
        <f t="shared" si="238"/>
        <v>99.881818181818176</v>
      </c>
      <c r="G3077" s="2672">
        <f>G3078</f>
        <v>100</v>
      </c>
      <c r="H3077" s="1463"/>
    </row>
    <row r="3078" spans="2:8" ht="18" customHeight="1" x14ac:dyDescent="0.25">
      <c r="B3078" s="445"/>
      <c r="C3078" s="2580" t="s">
        <v>2057</v>
      </c>
      <c r="D3078" s="4324">
        <f>SUM(D3079:D3086)</f>
        <v>2750000000</v>
      </c>
      <c r="E3078" s="3540">
        <f>SUM(E3079:E3086)</f>
        <v>2746750000</v>
      </c>
      <c r="F3078" s="2764">
        <f t="shared" si="238"/>
        <v>99.881818181818176</v>
      </c>
      <c r="G3078" s="2695">
        <f>SUM(G3079:G3086)/8</f>
        <v>100</v>
      </c>
      <c r="H3078" s="1463"/>
    </row>
    <row r="3079" spans="2:8" ht="15.75" hidden="1" customHeight="1" x14ac:dyDescent="0.25">
      <c r="B3079" s="441"/>
      <c r="C3079" s="2590" t="s">
        <v>2058</v>
      </c>
      <c r="D3079" s="4323">
        <v>850000000</v>
      </c>
      <c r="E3079" s="2690">
        <v>850000000</v>
      </c>
      <c r="F3079" s="2763">
        <f t="shared" si="238"/>
        <v>100</v>
      </c>
      <c r="G3079" s="2690">
        <v>100</v>
      </c>
      <c r="H3079" s="1463"/>
    </row>
    <row r="3080" spans="2:8" ht="15.75" hidden="1" customHeight="1" x14ac:dyDescent="0.25">
      <c r="B3080" s="441"/>
      <c r="C3080" s="2590" t="s">
        <v>2059</v>
      </c>
      <c r="D3080" s="4066">
        <v>200000000</v>
      </c>
      <c r="E3080" s="2690">
        <v>200000000</v>
      </c>
      <c r="F3080" s="2763">
        <f t="shared" si="238"/>
        <v>100</v>
      </c>
      <c r="G3080" s="2690">
        <v>100</v>
      </c>
      <c r="H3080" s="1463"/>
    </row>
    <row r="3081" spans="2:8" ht="12.75" hidden="1" customHeight="1" x14ac:dyDescent="0.25">
      <c r="B3081" s="441"/>
      <c r="C3081" s="2590" t="s">
        <v>2060</v>
      </c>
      <c r="D3081" s="4066">
        <v>405500000</v>
      </c>
      <c r="E3081" s="2690">
        <v>404100000</v>
      </c>
      <c r="F3081" s="2763">
        <f t="shared" si="238"/>
        <v>99.654747225647341</v>
      </c>
      <c r="G3081" s="2690">
        <v>100</v>
      </c>
      <c r="H3081" s="1463"/>
    </row>
    <row r="3082" spans="2:8" ht="17.25" hidden="1" customHeight="1" x14ac:dyDescent="0.25">
      <c r="B3082" s="441"/>
      <c r="C3082" s="2590" t="s">
        <v>2061</v>
      </c>
      <c r="D3082" s="4066">
        <v>350000000</v>
      </c>
      <c r="E3082" s="2690">
        <v>350000000</v>
      </c>
      <c r="F3082" s="2763">
        <f t="shared" si="238"/>
        <v>100</v>
      </c>
      <c r="G3082" s="2690">
        <v>100</v>
      </c>
      <c r="H3082" s="1463"/>
    </row>
    <row r="3083" spans="2:8" ht="14.25" hidden="1" customHeight="1" x14ac:dyDescent="0.25">
      <c r="B3083" s="441"/>
      <c r="C3083" s="2590" t="s">
        <v>2062</v>
      </c>
      <c r="D3083" s="4066">
        <v>350000000</v>
      </c>
      <c r="E3083" s="2690">
        <v>349492000</v>
      </c>
      <c r="F3083" s="2763">
        <f t="shared" si="238"/>
        <v>99.854857142857142</v>
      </c>
      <c r="G3083" s="2690">
        <v>100</v>
      </c>
      <c r="H3083" s="1463"/>
    </row>
    <row r="3084" spans="2:8" ht="17.25" hidden="1" customHeight="1" x14ac:dyDescent="0.25">
      <c r="B3084" s="441"/>
      <c r="C3084" s="2590" t="s">
        <v>2063</v>
      </c>
      <c r="D3084" s="4066">
        <v>200000000</v>
      </c>
      <c r="E3084" s="2690">
        <v>200000000</v>
      </c>
      <c r="F3084" s="2763">
        <f t="shared" si="238"/>
        <v>100</v>
      </c>
      <c r="G3084" s="2690">
        <v>100</v>
      </c>
      <c r="H3084" s="1463"/>
    </row>
    <row r="3085" spans="2:8" ht="16.5" hidden="1" customHeight="1" x14ac:dyDescent="0.25">
      <c r="B3085" s="444"/>
      <c r="C3085" s="2591" t="s">
        <v>5137</v>
      </c>
      <c r="D3085" s="4301">
        <v>194500000</v>
      </c>
      <c r="E3085" s="2752">
        <v>194500000</v>
      </c>
      <c r="F3085" s="2763">
        <f t="shared" si="238"/>
        <v>100</v>
      </c>
      <c r="G3085" s="2690">
        <v>100</v>
      </c>
      <c r="H3085" s="1463"/>
    </row>
    <row r="3086" spans="2:8" ht="14.25" hidden="1" customHeight="1" x14ac:dyDescent="0.25">
      <c r="B3086" s="441"/>
      <c r="C3086" s="2590" t="s">
        <v>5138</v>
      </c>
      <c r="D3086" s="4066">
        <v>200000000</v>
      </c>
      <c r="E3086" s="2690">
        <v>198658000</v>
      </c>
      <c r="F3086" s="2763">
        <f>E3086/D3086*100</f>
        <v>99.329000000000008</v>
      </c>
      <c r="G3086" s="2690">
        <v>100</v>
      </c>
      <c r="H3086" s="1463"/>
    </row>
    <row r="3087" spans="2:8" ht="14.25" hidden="1" customHeight="1" x14ac:dyDescent="0.25">
      <c r="B3087" s="441"/>
      <c r="C3087" s="2591"/>
      <c r="D3087" s="4299"/>
      <c r="E3087" s="2784"/>
      <c r="F3087" s="2784"/>
      <c r="G3087" s="2784"/>
      <c r="H3087" s="1463"/>
    </row>
    <row r="3088" spans="2:8" ht="18" customHeight="1" x14ac:dyDescent="0.25">
      <c r="B3088" s="440"/>
      <c r="C3088" s="2579" t="s">
        <v>2064</v>
      </c>
      <c r="D3088" s="4349">
        <f>SUM(D3089+D3094+D3097)</f>
        <v>1875000000</v>
      </c>
      <c r="E3088" s="3532">
        <f>SUM(E3089+E3094+E3097)</f>
        <v>1839528400</v>
      </c>
      <c r="F3088" s="2717">
        <f t="shared" ref="F3088:F3090" si="239">E3088/D3088*100</f>
        <v>98.108181333333334</v>
      </c>
      <c r="G3088" s="2719">
        <f>SUM(G3089+G3094+G3097)/3</f>
        <v>100</v>
      </c>
      <c r="H3088" s="1463"/>
    </row>
    <row r="3089" spans="2:8" ht="17.25" customHeight="1" x14ac:dyDescent="0.25">
      <c r="B3089" s="441"/>
      <c r="C3089" s="2582" t="s">
        <v>2065</v>
      </c>
      <c r="D3089" s="3627">
        <f>SUM(D3090:D3092)</f>
        <v>875000000</v>
      </c>
      <c r="E3089" s="4084">
        <f>SUM(E3090:E3092)</f>
        <v>871872500</v>
      </c>
      <c r="F3089" s="2764">
        <f t="shared" si="239"/>
        <v>99.642571428571429</v>
      </c>
      <c r="G3089" s="2725">
        <f>SUM(G3090:G3092)/2</f>
        <v>100</v>
      </c>
      <c r="H3089" s="1463"/>
    </row>
    <row r="3090" spans="2:8" ht="17.25" hidden="1" customHeight="1" x14ac:dyDescent="0.25">
      <c r="B3090" s="441"/>
      <c r="C3090" s="2577" t="s">
        <v>2066</v>
      </c>
      <c r="D3090" s="4066">
        <v>500000000</v>
      </c>
      <c r="E3090" s="2685">
        <v>496922500</v>
      </c>
      <c r="F3090" s="2763">
        <f t="shared" si="239"/>
        <v>99.384500000000003</v>
      </c>
      <c r="G3090" s="2763">
        <v>100</v>
      </c>
      <c r="H3090" s="1463"/>
    </row>
    <row r="3091" spans="2:8" ht="15.75" hidden="1" customHeight="1" x14ac:dyDescent="0.25">
      <c r="B3091" s="441"/>
      <c r="C3091" s="2577" t="s">
        <v>2067</v>
      </c>
      <c r="D3091" s="4350" t="s">
        <v>3317</v>
      </c>
      <c r="E3091" s="3668" t="s">
        <v>3317</v>
      </c>
      <c r="F3091" s="3668" t="s">
        <v>3317</v>
      </c>
      <c r="G3091" s="3668" t="s">
        <v>3317</v>
      </c>
      <c r="H3091" s="1463"/>
    </row>
    <row r="3092" spans="2:8" ht="18.75" hidden="1" customHeight="1" x14ac:dyDescent="0.25">
      <c r="B3092" s="441"/>
      <c r="C3092" s="2577" t="s">
        <v>2068</v>
      </c>
      <c r="D3092" s="4066">
        <v>375000000</v>
      </c>
      <c r="E3092" s="2708">
        <v>374950000</v>
      </c>
      <c r="F3092" s="2763">
        <f>E3092/D3092*100</f>
        <v>99.986666666666665</v>
      </c>
      <c r="G3092" s="2708">
        <v>100</v>
      </c>
      <c r="H3092" s="1463"/>
    </row>
    <row r="3093" spans="2:8" ht="10.5" hidden="1" customHeight="1" x14ac:dyDescent="0.25">
      <c r="B3093" s="441"/>
      <c r="C3093" s="2582"/>
      <c r="D3093" s="4071"/>
      <c r="E3093" s="2708"/>
      <c r="F3093" s="2763"/>
      <c r="G3093" s="2708"/>
      <c r="H3093" s="1463"/>
    </row>
    <row r="3094" spans="2:8" ht="18" customHeight="1" x14ac:dyDescent="0.25">
      <c r="B3094" s="441"/>
      <c r="C3094" s="2582" t="s">
        <v>2069</v>
      </c>
      <c r="D3094" s="4300">
        <f>SUM(D3095:D3096)</f>
        <v>300000000</v>
      </c>
      <c r="E3094" s="2821">
        <f>SUM(E3095:E3096)</f>
        <v>299900000</v>
      </c>
      <c r="F3094" s="2764">
        <f t="shared" ref="F3094:F3099" si="240">E3094/D3094*100</f>
        <v>99.966666666666669</v>
      </c>
      <c r="G3094" s="3744">
        <f>G3095</f>
        <v>100</v>
      </c>
      <c r="H3094" s="1463"/>
    </row>
    <row r="3095" spans="2:8" ht="17.25" hidden="1" customHeight="1" x14ac:dyDescent="0.25">
      <c r="B3095" s="441"/>
      <c r="C3095" s="2577" t="s">
        <v>2070</v>
      </c>
      <c r="D3095" s="4066">
        <v>300000000</v>
      </c>
      <c r="E3095" s="2708">
        <v>299900000</v>
      </c>
      <c r="F3095" s="2763">
        <f t="shared" si="240"/>
        <v>99.966666666666669</v>
      </c>
      <c r="G3095" s="2708">
        <v>100</v>
      </c>
      <c r="H3095" s="1463"/>
    </row>
    <row r="3096" spans="2:8" ht="9" hidden="1" customHeight="1" x14ac:dyDescent="0.25">
      <c r="B3096" s="441"/>
      <c r="C3096" s="2593"/>
      <c r="D3096" s="4071"/>
      <c r="E3096" s="2708"/>
      <c r="F3096" s="2763"/>
      <c r="G3096" s="2708"/>
      <c r="H3096" s="1463"/>
    </row>
    <row r="3097" spans="2:8" ht="21" customHeight="1" x14ac:dyDescent="0.25">
      <c r="B3097" s="441"/>
      <c r="C3097" s="2587" t="s">
        <v>2071</v>
      </c>
      <c r="D3097" s="4300">
        <f>SUM(D3098:D3099)</f>
        <v>700000000</v>
      </c>
      <c r="E3097" s="2821">
        <f>SUM(E3098:E3099)</f>
        <v>667755900</v>
      </c>
      <c r="F3097" s="2764">
        <f t="shared" si="240"/>
        <v>95.39370000000001</v>
      </c>
      <c r="G3097" s="2934">
        <f>SUM(G3098:G3099)/2</f>
        <v>100</v>
      </c>
      <c r="H3097" s="1463"/>
    </row>
    <row r="3098" spans="2:8" ht="16.5" hidden="1" customHeight="1" x14ac:dyDescent="0.25">
      <c r="B3098" s="441"/>
      <c r="C3098" s="2593" t="s">
        <v>2072</v>
      </c>
      <c r="D3098" s="4071">
        <v>450000000</v>
      </c>
      <c r="E3098" s="2708">
        <v>418251900</v>
      </c>
      <c r="F3098" s="2763">
        <f t="shared" si="240"/>
        <v>92.94486666666667</v>
      </c>
      <c r="G3098" s="2708">
        <v>100</v>
      </c>
      <c r="H3098" s="1463"/>
    </row>
    <row r="3099" spans="2:8" ht="16.5" hidden="1" customHeight="1" x14ac:dyDescent="0.25">
      <c r="B3099" s="441"/>
      <c r="C3099" s="2593" t="s">
        <v>2073</v>
      </c>
      <c r="D3099" s="4071">
        <v>250000000</v>
      </c>
      <c r="E3099" s="2708">
        <v>249504000</v>
      </c>
      <c r="F3099" s="2763">
        <f t="shared" si="240"/>
        <v>99.801600000000008</v>
      </c>
      <c r="G3099" s="2708">
        <v>100</v>
      </c>
      <c r="H3099" s="1463"/>
    </row>
    <row r="3100" spans="2:8" ht="12" hidden="1" customHeight="1" x14ac:dyDescent="0.25">
      <c r="B3100" s="441"/>
      <c r="C3100" s="2587"/>
      <c r="D3100" s="4285"/>
      <c r="E3100" s="2778"/>
      <c r="F3100" s="2778"/>
      <c r="G3100" s="2778"/>
      <c r="H3100" s="1463"/>
    </row>
    <row r="3101" spans="2:8" ht="18" customHeight="1" x14ac:dyDescent="0.25">
      <c r="B3101" s="440"/>
      <c r="C3101" s="2584" t="s">
        <v>2074</v>
      </c>
      <c r="D3101" s="4106">
        <f>SUM(D3102+D3107+D3115)</f>
        <v>7172880000</v>
      </c>
      <c r="E3101" s="2672">
        <f>SUM(E3102+E3107+E3115)</f>
        <v>7167063600</v>
      </c>
      <c r="F3101" s="2717">
        <f t="shared" ref="F3101:F3155" si="241">E3101/D3101*100</f>
        <v>99.918911232308361</v>
      </c>
      <c r="G3101" s="2672">
        <f>SUM(G3102+G3107+G3115)/3</f>
        <v>100</v>
      </c>
      <c r="H3101" s="1463"/>
    </row>
    <row r="3102" spans="2:8" ht="18" customHeight="1" x14ac:dyDescent="0.25">
      <c r="B3102" s="441"/>
      <c r="C3102" s="2592" t="s">
        <v>2075</v>
      </c>
      <c r="D3102" s="3627">
        <f>SUM(D3103:D3105)</f>
        <v>272880000</v>
      </c>
      <c r="E3102" s="4084">
        <f>SUM(E3103:E3105)</f>
        <v>272792600</v>
      </c>
      <c r="F3102" s="2764">
        <f t="shared" si="241"/>
        <v>99.967971269422463</v>
      </c>
      <c r="G3102" s="2734">
        <f>G3105</f>
        <v>100</v>
      </c>
      <c r="H3102" s="1463"/>
    </row>
    <row r="3103" spans="2:8" ht="15.75" hidden="1" customHeight="1" x14ac:dyDescent="0.25">
      <c r="B3103" s="441"/>
      <c r="C3103" s="2577" t="s">
        <v>2076</v>
      </c>
      <c r="D3103" s="4350" t="s">
        <v>3317</v>
      </c>
      <c r="E3103" s="3668" t="s">
        <v>3317</v>
      </c>
      <c r="F3103" s="3668" t="s">
        <v>3317</v>
      </c>
      <c r="G3103" s="3668" t="s">
        <v>3317</v>
      </c>
      <c r="H3103" s="1463"/>
    </row>
    <row r="3104" spans="2:8" ht="16.5" hidden="1" customHeight="1" x14ac:dyDescent="0.25">
      <c r="B3104" s="441"/>
      <c r="C3104" s="2577" t="s">
        <v>2077</v>
      </c>
      <c r="D3104" s="4350" t="s">
        <v>3317</v>
      </c>
      <c r="E3104" s="3668" t="s">
        <v>3317</v>
      </c>
      <c r="F3104" s="3668" t="s">
        <v>3317</v>
      </c>
      <c r="G3104" s="3668" t="s">
        <v>3317</v>
      </c>
      <c r="H3104" s="1463"/>
    </row>
    <row r="3105" spans="2:8" ht="18" hidden="1" customHeight="1" x14ac:dyDescent="0.25">
      <c r="B3105" s="441"/>
      <c r="C3105" s="2577" t="s">
        <v>2078</v>
      </c>
      <c r="D3105" s="4066">
        <v>272880000</v>
      </c>
      <c r="E3105" s="2855">
        <v>272792600</v>
      </c>
      <c r="F3105" s="2688">
        <f t="shared" si="241"/>
        <v>99.967971269422463</v>
      </c>
      <c r="G3105" s="2855">
        <v>100</v>
      </c>
      <c r="H3105" s="1463"/>
    </row>
    <row r="3106" spans="2:8" ht="10.5" hidden="1" customHeight="1" x14ac:dyDescent="0.25">
      <c r="B3106" s="441"/>
      <c r="C3106" s="2594"/>
      <c r="D3106" s="4351"/>
      <c r="E3106" s="2778"/>
      <c r="F3106" s="2688"/>
      <c r="G3106" s="2778"/>
      <c r="H3106" s="1463"/>
    </row>
    <row r="3107" spans="2:8" ht="20.25" customHeight="1" x14ac:dyDescent="0.25">
      <c r="B3107" s="441"/>
      <c r="C3107" s="2580" t="s">
        <v>2079</v>
      </c>
      <c r="D3107" s="4324">
        <f>SUM(D3108:D3113)</f>
        <v>1600000000</v>
      </c>
      <c r="E3107" s="3540">
        <f>SUM(E3108:E3113)</f>
        <v>1599660000</v>
      </c>
      <c r="F3107" s="2693">
        <f t="shared" si="241"/>
        <v>99.978750000000005</v>
      </c>
      <c r="G3107" s="2695">
        <f>SUM(G3108:G3113)/6</f>
        <v>100</v>
      </c>
      <c r="H3107" s="1463"/>
    </row>
    <row r="3108" spans="2:8" ht="17.25" hidden="1" customHeight="1" x14ac:dyDescent="0.25">
      <c r="B3108" s="441"/>
      <c r="C3108" s="2590" t="s">
        <v>2080</v>
      </c>
      <c r="D3108" s="4323">
        <v>300000000</v>
      </c>
      <c r="E3108" s="2690">
        <v>300000000</v>
      </c>
      <c r="F3108" s="2688">
        <f t="shared" si="241"/>
        <v>100</v>
      </c>
      <c r="G3108" s="2690">
        <v>100</v>
      </c>
      <c r="H3108" s="1463"/>
    </row>
    <row r="3109" spans="2:8" ht="18.75" hidden="1" customHeight="1" x14ac:dyDescent="0.25">
      <c r="B3109" s="441"/>
      <c r="C3109" s="2590" t="s">
        <v>2081</v>
      </c>
      <c r="D3109" s="4323">
        <v>250000000</v>
      </c>
      <c r="E3109" s="2690">
        <v>249900000</v>
      </c>
      <c r="F3109" s="2688">
        <f t="shared" si="241"/>
        <v>99.960000000000008</v>
      </c>
      <c r="G3109" s="2690">
        <v>100</v>
      </c>
      <c r="H3109" s="1463"/>
    </row>
    <row r="3110" spans="2:8" ht="15.75" hidden="1" customHeight="1" x14ac:dyDescent="0.25">
      <c r="B3110" s="441"/>
      <c r="C3110" s="2590" t="s">
        <v>2082</v>
      </c>
      <c r="D3110" s="4323">
        <v>250000000</v>
      </c>
      <c r="E3110" s="2690">
        <v>249890000</v>
      </c>
      <c r="F3110" s="2688">
        <f t="shared" si="241"/>
        <v>99.956000000000003</v>
      </c>
      <c r="G3110" s="2690">
        <v>100</v>
      </c>
      <c r="H3110" s="1463"/>
    </row>
    <row r="3111" spans="2:8" ht="15.75" hidden="1" customHeight="1" x14ac:dyDescent="0.25">
      <c r="B3111" s="441"/>
      <c r="C3111" s="2590" t="s">
        <v>2083</v>
      </c>
      <c r="D3111" s="4323">
        <v>250000000</v>
      </c>
      <c r="E3111" s="2690">
        <v>250000000</v>
      </c>
      <c r="F3111" s="2688">
        <f t="shared" si="241"/>
        <v>100</v>
      </c>
      <c r="G3111" s="2690">
        <v>100</v>
      </c>
      <c r="H3111" s="1463"/>
    </row>
    <row r="3112" spans="2:8" ht="15.75" hidden="1" customHeight="1" x14ac:dyDescent="0.25">
      <c r="B3112" s="441"/>
      <c r="C3112" s="2590" t="s">
        <v>2084</v>
      </c>
      <c r="D3112" s="4323">
        <v>150000000</v>
      </c>
      <c r="E3112" s="2690">
        <v>149870000</v>
      </c>
      <c r="F3112" s="2688">
        <f t="shared" si="241"/>
        <v>99.913333333333327</v>
      </c>
      <c r="G3112" s="2690">
        <v>100</v>
      </c>
      <c r="H3112" s="1463"/>
    </row>
    <row r="3113" spans="2:8" ht="18.75" hidden="1" customHeight="1" x14ac:dyDescent="0.25">
      <c r="B3113" s="441"/>
      <c r="C3113" s="2590" t="s">
        <v>2085</v>
      </c>
      <c r="D3113" s="4323">
        <v>400000000</v>
      </c>
      <c r="E3113" s="2690">
        <v>400000000</v>
      </c>
      <c r="F3113" s="2688">
        <f t="shared" si="241"/>
        <v>100</v>
      </c>
      <c r="G3113" s="2690">
        <v>100</v>
      </c>
      <c r="H3113" s="1463"/>
    </row>
    <row r="3114" spans="2:8" ht="11.25" hidden="1" customHeight="1" x14ac:dyDescent="0.25">
      <c r="B3114" s="441"/>
      <c r="C3114" s="2580"/>
      <c r="D3114" s="4324"/>
      <c r="E3114" s="3035"/>
      <c r="F3114" s="2693"/>
      <c r="G3114" s="3035"/>
      <c r="H3114" s="1463"/>
    </row>
    <row r="3115" spans="2:8" ht="18" customHeight="1" x14ac:dyDescent="0.25">
      <c r="B3115" s="441"/>
      <c r="C3115" s="2580" t="s">
        <v>2086</v>
      </c>
      <c r="D3115" s="3628">
        <f>SUM(D3116:D3133)</f>
        <v>5300000000</v>
      </c>
      <c r="E3115" s="4081">
        <f>SUM(E3116:E3133)</f>
        <v>5294611000</v>
      </c>
      <c r="F3115" s="2693">
        <f t="shared" si="241"/>
        <v>99.898320754716991</v>
      </c>
      <c r="G3115" s="2695">
        <f>SUM(G3116:G3133)/15</f>
        <v>100</v>
      </c>
      <c r="H3115" s="1463"/>
    </row>
    <row r="3116" spans="2:8" ht="18.75" hidden="1" customHeight="1" x14ac:dyDescent="0.25">
      <c r="B3116" s="441"/>
      <c r="C3116" s="2590" t="s">
        <v>2087</v>
      </c>
      <c r="D3116" s="4323">
        <v>400000000</v>
      </c>
      <c r="E3116" s="2690">
        <v>400000000</v>
      </c>
      <c r="F3116" s="2688">
        <f t="shared" si="241"/>
        <v>100</v>
      </c>
      <c r="G3116" s="2690">
        <v>100</v>
      </c>
      <c r="H3116" s="1463"/>
    </row>
    <row r="3117" spans="2:8" ht="16.5" hidden="1" customHeight="1" x14ac:dyDescent="0.25">
      <c r="B3117" s="441"/>
      <c r="C3117" s="2590" t="s">
        <v>2088</v>
      </c>
      <c r="D3117" s="4323">
        <v>400000000</v>
      </c>
      <c r="E3117" s="2690">
        <v>400000000</v>
      </c>
      <c r="F3117" s="2688">
        <f t="shared" si="241"/>
        <v>100</v>
      </c>
      <c r="G3117" s="2690">
        <v>100</v>
      </c>
      <c r="H3117" s="1463"/>
    </row>
    <row r="3118" spans="2:8" ht="16.5" hidden="1" customHeight="1" x14ac:dyDescent="0.25">
      <c r="B3118" s="441"/>
      <c r="C3118" s="2590" t="s">
        <v>2089</v>
      </c>
      <c r="D3118" s="4323">
        <v>500000000</v>
      </c>
      <c r="E3118" s="2690">
        <v>500000000</v>
      </c>
      <c r="F3118" s="2688">
        <f t="shared" si="241"/>
        <v>100</v>
      </c>
      <c r="G3118" s="2690">
        <v>100</v>
      </c>
      <c r="H3118" s="1463"/>
    </row>
    <row r="3119" spans="2:8" ht="16.5" hidden="1" customHeight="1" x14ac:dyDescent="0.25">
      <c r="B3119" s="441"/>
      <c r="C3119" s="2590" t="s">
        <v>2090</v>
      </c>
      <c r="D3119" s="4350" t="s">
        <v>3317</v>
      </c>
      <c r="E3119" s="3668" t="s">
        <v>3317</v>
      </c>
      <c r="F3119" s="3668" t="s">
        <v>3317</v>
      </c>
      <c r="G3119" s="2690" t="s">
        <v>3317</v>
      </c>
      <c r="H3119" s="1463"/>
    </row>
    <row r="3120" spans="2:8" ht="15" hidden="1" customHeight="1" x14ac:dyDescent="0.25">
      <c r="B3120" s="441"/>
      <c r="C3120" s="2590" t="s">
        <v>2091</v>
      </c>
      <c r="D3120" s="4323">
        <v>500000000</v>
      </c>
      <c r="E3120" s="2690">
        <v>499847000</v>
      </c>
      <c r="F3120" s="2688">
        <f t="shared" si="241"/>
        <v>99.969399999999993</v>
      </c>
      <c r="G3120" s="2690">
        <v>100</v>
      </c>
      <c r="H3120" s="1463"/>
    </row>
    <row r="3121" spans="2:8" ht="17.25" hidden="1" customHeight="1" x14ac:dyDescent="0.25">
      <c r="B3121" s="441"/>
      <c r="C3121" s="2590" t="s">
        <v>2092</v>
      </c>
      <c r="D3121" s="4323">
        <v>500000000</v>
      </c>
      <c r="E3121" s="2690">
        <v>497000000</v>
      </c>
      <c r="F3121" s="2688">
        <f t="shared" si="241"/>
        <v>99.4</v>
      </c>
      <c r="G3121" s="2690">
        <v>100</v>
      </c>
      <c r="H3121" s="1463"/>
    </row>
    <row r="3122" spans="2:8" ht="16.5" hidden="1" customHeight="1" x14ac:dyDescent="0.25">
      <c r="B3122" s="441"/>
      <c r="C3122" s="2590" t="s">
        <v>2093</v>
      </c>
      <c r="D3122" s="4350" t="s">
        <v>3317</v>
      </c>
      <c r="E3122" s="3668" t="s">
        <v>3317</v>
      </c>
      <c r="F3122" s="3668" t="s">
        <v>3317</v>
      </c>
      <c r="G3122" s="2690" t="s">
        <v>3317</v>
      </c>
      <c r="H3122" s="1463"/>
    </row>
    <row r="3123" spans="2:8" ht="15.75" hidden="1" customHeight="1" x14ac:dyDescent="0.25">
      <c r="B3123" s="441"/>
      <c r="C3123" s="2590" t="s">
        <v>2094</v>
      </c>
      <c r="D3123" s="4323">
        <v>500000000</v>
      </c>
      <c r="E3123" s="2690">
        <v>499149000</v>
      </c>
      <c r="F3123" s="2688">
        <f t="shared" si="241"/>
        <v>99.829800000000006</v>
      </c>
      <c r="G3123" s="2690">
        <v>100</v>
      </c>
      <c r="H3123" s="1463"/>
    </row>
    <row r="3124" spans="2:8" ht="17.25" hidden="1" customHeight="1" x14ac:dyDescent="0.25">
      <c r="B3124" s="441"/>
      <c r="C3124" s="2590" t="s">
        <v>2095</v>
      </c>
      <c r="D3124" s="4350" t="s">
        <v>3317</v>
      </c>
      <c r="E3124" s="3668" t="s">
        <v>3317</v>
      </c>
      <c r="F3124" s="3668" t="s">
        <v>3317</v>
      </c>
      <c r="G3124" s="2690" t="s">
        <v>3317</v>
      </c>
      <c r="H3124" s="1463"/>
    </row>
    <row r="3125" spans="2:8" ht="18.75" hidden="1" customHeight="1" x14ac:dyDescent="0.25">
      <c r="B3125" s="441"/>
      <c r="C3125" s="2590" t="s">
        <v>2096</v>
      </c>
      <c r="D3125" s="4323">
        <v>200000000</v>
      </c>
      <c r="E3125" s="2690">
        <v>199750000</v>
      </c>
      <c r="F3125" s="2688">
        <f t="shared" si="241"/>
        <v>99.875</v>
      </c>
      <c r="G3125" s="2690">
        <v>100</v>
      </c>
      <c r="H3125" s="1463"/>
    </row>
    <row r="3126" spans="2:8" ht="18.75" hidden="1" customHeight="1" x14ac:dyDescent="0.25">
      <c r="B3126" s="441"/>
      <c r="C3126" s="2590" t="s">
        <v>5144</v>
      </c>
      <c r="D3126" s="4323">
        <v>250000000</v>
      </c>
      <c r="E3126" s="2690">
        <v>249900000</v>
      </c>
      <c r="F3126" s="2688">
        <f t="shared" si="241"/>
        <v>99.960000000000008</v>
      </c>
      <c r="G3126" s="2690">
        <v>100</v>
      </c>
      <c r="H3126" s="1463"/>
    </row>
    <row r="3127" spans="2:8" ht="15.75" hidden="1" customHeight="1" x14ac:dyDescent="0.25">
      <c r="B3127" s="441"/>
      <c r="C3127" s="2590" t="s">
        <v>5143</v>
      </c>
      <c r="D3127" s="4323">
        <v>150000000</v>
      </c>
      <c r="E3127" s="2690">
        <v>149850000</v>
      </c>
      <c r="F3127" s="2688">
        <f t="shared" si="241"/>
        <v>99.9</v>
      </c>
      <c r="G3127" s="2690">
        <v>100</v>
      </c>
      <c r="H3127" s="1463"/>
    </row>
    <row r="3128" spans="2:8" ht="19.5" hidden="1" customHeight="1" x14ac:dyDescent="0.25">
      <c r="B3128" s="441"/>
      <c r="C3128" s="2590" t="s">
        <v>5142</v>
      </c>
      <c r="D3128" s="4323">
        <v>300000000</v>
      </c>
      <c r="E3128" s="2690">
        <v>300000000</v>
      </c>
      <c r="F3128" s="2688">
        <f t="shared" si="241"/>
        <v>100</v>
      </c>
      <c r="G3128" s="2690">
        <v>100</v>
      </c>
      <c r="H3128" s="1463"/>
    </row>
    <row r="3129" spans="2:8" ht="15.75" hidden="1" customHeight="1" x14ac:dyDescent="0.25">
      <c r="B3129" s="441"/>
      <c r="C3129" s="2590" t="s">
        <v>5141</v>
      </c>
      <c r="D3129" s="4323">
        <v>400000000</v>
      </c>
      <c r="E3129" s="2690">
        <v>399790000</v>
      </c>
      <c r="F3129" s="2688">
        <f t="shared" si="241"/>
        <v>99.947500000000005</v>
      </c>
      <c r="G3129" s="2690">
        <v>100</v>
      </c>
      <c r="H3129" s="1463"/>
    </row>
    <row r="3130" spans="2:8" ht="16.5" hidden="1" customHeight="1" x14ac:dyDescent="0.25">
      <c r="B3130" s="441"/>
      <c r="C3130" s="2590" t="s">
        <v>2097</v>
      </c>
      <c r="D3130" s="4323">
        <v>300000000</v>
      </c>
      <c r="E3130" s="2690">
        <v>299900000</v>
      </c>
      <c r="F3130" s="2688">
        <f t="shared" si="241"/>
        <v>99.966666666666669</v>
      </c>
      <c r="G3130" s="2690">
        <v>100</v>
      </c>
      <c r="H3130" s="1463"/>
    </row>
    <row r="3131" spans="2:8" ht="18" hidden="1" customHeight="1" x14ac:dyDescent="0.25">
      <c r="B3131" s="444"/>
      <c r="C3131" s="2590" t="s">
        <v>2098</v>
      </c>
      <c r="D3131" s="4323">
        <v>300000000</v>
      </c>
      <c r="E3131" s="2690">
        <v>299910000</v>
      </c>
      <c r="F3131" s="2688">
        <f t="shared" si="241"/>
        <v>99.97</v>
      </c>
      <c r="G3131" s="2690">
        <v>100</v>
      </c>
      <c r="H3131" s="1463"/>
    </row>
    <row r="3132" spans="2:8" ht="16.5" hidden="1" customHeight="1" x14ac:dyDescent="0.25">
      <c r="B3132" s="441"/>
      <c r="C3132" s="2590" t="s">
        <v>5139</v>
      </c>
      <c r="D3132" s="4323">
        <v>100000000</v>
      </c>
      <c r="E3132" s="2690">
        <v>99900000</v>
      </c>
      <c r="F3132" s="2688">
        <f t="shared" si="241"/>
        <v>99.9</v>
      </c>
      <c r="G3132" s="2690">
        <v>100</v>
      </c>
      <c r="H3132" s="1463"/>
    </row>
    <row r="3133" spans="2:8" ht="15.75" hidden="1" customHeight="1" x14ac:dyDescent="0.25">
      <c r="B3133" s="441"/>
      <c r="C3133" s="2590" t="s">
        <v>5140</v>
      </c>
      <c r="D3133" s="4323">
        <v>500000000</v>
      </c>
      <c r="E3133" s="2690">
        <v>499615000</v>
      </c>
      <c r="F3133" s="2688">
        <f t="shared" si="241"/>
        <v>99.923000000000002</v>
      </c>
      <c r="G3133" s="2690">
        <v>100</v>
      </c>
      <c r="H3133" s="1463"/>
    </row>
    <row r="3134" spans="2:8" ht="15.75" hidden="1" customHeight="1" x14ac:dyDescent="0.25">
      <c r="B3134" s="441"/>
      <c r="C3134" s="2597"/>
      <c r="D3134" s="4351"/>
      <c r="E3134" s="2784"/>
      <c r="F3134" s="2752"/>
      <c r="G3134" s="2784"/>
      <c r="H3134" s="1463"/>
    </row>
    <row r="3135" spans="2:8" ht="15.75" customHeight="1" x14ac:dyDescent="0.25">
      <c r="B3135" s="440"/>
      <c r="C3135" s="3670" t="s">
        <v>3155</v>
      </c>
      <c r="D3135" s="4349">
        <f>D3136</f>
        <v>500000000</v>
      </c>
      <c r="E3135" s="3292">
        <f>E3136</f>
        <v>478760000</v>
      </c>
      <c r="F3135" s="2717">
        <f t="shared" si="241"/>
        <v>95.75200000000001</v>
      </c>
      <c r="G3135" s="2672">
        <f>G3136</f>
        <v>100</v>
      </c>
      <c r="H3135" s="1463"/>
    </row>
    <row r="3136" spans="2:8" ht="15.75" customHeight="1" x14ac:dyDescent="0.25">
      <c r="B3136" s="441"/>
      <c r="C3136" s="3671" t="s">
        <v>3156</v>
      </c>
      <c r="D3136" s="4324">
        <f>SUM(D3137:D3139)</f>
        <v>500000000</v>
      </c>
      <c r="E3136" s="3540">
        <f>SUM(E3137:E3139)</f>
        <v>478760000</v>
      </c>
      <c r="F3136" s="2764">
        <f t="shared" si="241"/>
        <v>95.75200000000001</v>
      </c>
      <c r="G3136" s="2785">
        <f>SUM(G3137:G3139)/3</f>
        <v>100</v>
      </c>
      <c r="H3136" s="1463"/>
    </row>
    <row r="3137" spans="2:8" ht="15.75" hidden="1" customHeight="1" x14ac:dyDescent="0.25">
      <c r="B3137" s="441"/>
      <c r="C3137" s="3672" t="s">
        <v>3157</v>
      </c>
      <c r="D3137" s="4352">
        <v>200000000</v>
      </c>
      <c r="E3137" s="2690">
        <v>191830000</v>
      </c>
      <c r="F3137" s="2688">
        <f>E3137/D3137*100</f>
        <v>95.914999999999992</v>
      </c>
      <c r="G3137" s="2690">
        <v>100</v>
      </c>
      <c r="H3137" s="1463"/>
    </row>
    <row r="3138" spans="2:8" ht="15.75" hidden="1" customHeight="1" x14ac:dyDescent="0.25">
      <c r="B3138" s="441"/>
      <c r="C3138" s="3672" t="s">
        <v>3158</v>
      </c>
      <c r="D3138" s="4352">
        <v>200000000</v>
      </c>
      <c r="E3138" s="2690">
        <v>193360000</v>
      </c>
      <c r="F3138" s="2688">
        <f t="shared" si="241"/>
        <v>96.679999999999993</v>
      </c>
      <c r="G3138" s="2690">
        <v>100</v>
      </c>
      <c r="H3138" s="1463"/>
    </row>
    <row r="3139" spans="2:8" ht="15.75" hidden="1" customHeight="1" x14ac:dyDescent="0.25">
      <c r="B3139" s="441"/>
      <c r="C3139" s="3672" t="s">
        <v>3159</v>
      </c>
      <c r="D3139" s="4352">
        <v>100000000</v>
      </c>
      <c r="E3139" s="2690">
        <v>93570000</v>
      </c>
      <c r="F3139" s="2688">
        <f t="shared" si="241"/>
        <v>93.57</v>
      </c>
      <c r="G3139" s="2690">
        <v>100</v>
      </c>
      <c r="H3139" s="1463"/>
    </row>
    <row r="3140" spans="2:8" ht="15.75" hidden="1" customHeight="1" x14ac:dyDescent="0.25">
      <c r="B3140" s="441"/>
      <c r="C3140" s="2597"/>
      <c r="D3140" s="4351"/>
      <c r="E3140" s="2784"/>
      <c r="F3140" s="2752"/>
      <c r="G3140" s="2784"/>
      <c r="H3140" s="1463"/>
    </row>
    <row r="3141" spans="2:8" ht="15.75" customHeight="1" x14ac:dyDescent="0.25">
      <c r="B3141" s="440"/>
      <c r="C3141" s="3670" t="s">
        <v>3160</v>
      </c>
      <c r="D3141" s="4349">
        <f>D3142+D3153+D3161</f>
        <v>1759500000</v>
      </c>
      <c r="E3141" s="3532">
        <f>E3142+E3153+E3161</f>
        <v>1758465500</v>
      </c>
      <c r="F3141" s="2717">
        <f t="shared" si="241"/>
        <v>99.941204887752207</v>
      </c>
      <c r="G3141" s="2672">
        <f>SUM(G3142+G3153+G3161)/3</f>
        <v>100</v>
      </c>
      <c r="H3141" s="1463"/>
    </row>
    <row r="3142" spans="2:8" ht="30.75" customHeight="1" x14ac:dyDescent="0.25">
      <c r="B3142" s="441"/>
      <c r="C3142" s="3671" t="s">
        <v>3161</v>
      </c>
      <c r="D3142" s="4324">
        <f>SUM(D3143:D3151)</f>
        <v>1400000000</v>
      </c>
      <c r="E3142" s="3540">
        <f>SUM(E3143:E3151)</f>
        <v>1399035500</v>
      </c>
      <c r="F3142" s="2764">
        <f t="shared" si="241"/>
        <v>99.931107142857144</v>
      </c>
      <c r="G3142" s="2785">
        <f>SUM(G3143:G3149)/7</f>
        <v>100</v>
      </c>
      <c r="H3142" s="1463"/>
    </row>
    <row r="3143" spans="2:8" ht="15.75" hidden="1" customHeight="1" x14ac:dyDescent="0.25">
      <c r="B3143" s="441"/>
      <c r="C3143" s="3672" t="s">
        <v>3169</v>
      </c>
      <c r="D3143" s="4352">
        <v>250000000</v>
      </c>
      <c r="E3143" s="2690">
        <v>249876500</v>
      </c>
      <c r="F3143" s="2688">
        <f>E3143/D3143*100</f>
        <v>99.950599999999994</v>
      </c>
      <c r="G3143" s="2690">
        <v>100</v>
      </c>
      <c r="H3143" s="1463"/>
    </row>
    <row r="3144" spans="2:8" ht="15.75" hidden="1" customHeight="1" x14ac:dyDescent="0.25">
      <c r="B3144" s="441"/>
      <c r="C3144" s="3672" t="s">
        <v>3170</v>
      </c>
      <c r="D3144" s="4352">
        <v>200000000</v>
      </c>
      <c r="E3144" s="2690">
        <v>199875000</v>
      </c>
      <c r="F3144" s="2688">
        <f t="shared" si="241"/>
        <v>99.9375</v>
      </c>
      <c r="G3144" s="2690">
        <v>100</v>
      </c>
      <c r="H3144" s="1463"/>
    </row>
    <row r="3145" spans="2:8" ht="15.75" hidden="1" customHeight="1" x14ac:dyDescent="0.25">
      <c r="B3145" s="441"/>
      <c r="C3145" s="3672" t="s">
        <v>3171</v>
      </c>
      <c r="D3145" s="4352">
        <v>200000000</v>
      </c>
      <c r="E3145" s="2690">
        <v>199817000</v>
      </c>
      <c r="F3145" s="2688">
        <f t="shared" si="241"/>
        <v>99.908500000000004</v>
      </c>
      <c r="G3145" s="2690">
        <v>100</v>
      </c>
      <c r="H3145" s="1463"/>
    </row>
    <row r="3146" spans="2:8" ht="15.75" hidden="1" customHeight="1" x14ac:dyDescent="0.25">
      <c r="B3146" s="441"/>
      <c r="C3146" s="3672" t="s">
        <v>3172</v>
      </c>
      <c r="D3146" s="4352">
        <v>200000000</v>
      </c>
      <c r="E3146" s="2690">
        <v>199716000</v>
      </c>
      <c r="F3146" s="2688">
        <f t="shared" si="241"/>
        <v>99.858000000000004</v>
      </c>
      <c r="G3146" s="2690">
        <v>100</v>
      </c>
      <c r="H3146" s="1463"/>
    </row>
    <row r="3147" spans="2:8" ht="15.75" hidden="1" customHeight="1" x14ac:dyDescent="0.25">
      <c r="B3147" s="441"/>
      <c r="C3147" s="3672" t="s">
        <v>3173</v>
      </c>
      <c r="D3147" s="4352">
        <v>200000000</v>
      </c>
      <c r="E3147" s="2690">
        <v>199883000</v>
      </c>
      <c r="F3147" s="2688">
        <f t="shared" si="241"/>
        <v>99.941500000000005</v>
      </c>
      <c r="G3147" s="2690">
        <v>100</v>
      </c>
      <c r="H3147" s="1463"/>
    </row>
    <row r="3148" spans="2:8" ht="15.75" hidden="1" customHeight="1" x14ac:dyDescent="0.25">
      <c r="B3148" s="441"/>
      <c r="C3148" s="3672" t="s">
        <v>3174</v>
      </c>
      <c r="D3148" s="4352">
        <v>150000000</v>
      </c>
      <c r="E3148" s="2690">
        <v>150000000</v>
      </c>
      <c r="F3148" s="2688">
        <f t="shared" si="241"/>
        <v>100</v>
      </c>
      <c r="G3148" s="2690">
        <v>100</v>
      </c>
      <c r="H3148" s="1463"/>
    </row>
    <row r="3149" spans="2:8" ht="15.75" hidden="1" customHeight="1" x14ac:dyDescent="0.25">
      <c r="B3149" s="441"/>
      <c r="C3149" s="3672" t="s">
        <v>3175</v>
      </c>
      <c r="D3149" s="4352">
        <v>200000000</v>
      </c>
      <c r="E3149" s="2690">
        <v>199868000</v>
      </c>
      <c r="F3149" s="2688">
        <f t="shared" si="241"/>
        <v>99.933999999999997</v>
      </c>
      <c r="G3149" s="2690">
        <v>100</v>
      </c>
      <c r="H3149" s="1463"/>
    </row>
    <row r="3150" spans="2:8" ht="15.75" hidden="1" customHeight="1" x14ac:dyDescent="0.25">
      <c r="B3150" s="441"/>
      <c r="C3150" s="3672" t="s">
        <v>3176</v>
      </c>
      <c r="D3150" s="4353" t="s">
        <v>3317</v>
      </c>
      <c r="E3150" s="2690">
        <v>0</v>
      </c>
      <c r="F3150" s="2690">
        <v>0</v>
      </c>
      <c r="G3150" s="3035"/>
      <c r="H3150" s="1463"/>
    </row>
    <row r="3151" spans="2:8" ht="15.75" hidden="1" customHeight="1" x14ac:dyDescent="0.25">
      <c r="B3151" s="441"/>
      <c r="C3151" s="3672" t="s">
        <v>3177</v>
      </c>
      <c r="D3151" s="4353" t="s">
        <v>3317</v>
      </c>
      <c r="E3151" s="2690">
        <v>0</v>
      </c>
      <c r="F3151" s="2690">
        <v>0</v>
      </c>
      <c r="G3151" s="3035"/>
      <c r="H3151" s="1463"/>
    </row>
    <row r="3152" spans="2:8" ht="9.75" hidden="1" customHeight="1" x14ac:dyDescent="0.25">
      <c r="B3152" s="441"/>
      <c r="C3152" s="3745"/>
      <c r="D3152" s="4352"/>
      <c r="E3152" s="2690"/>
      <c r="F3152" s="2688"/>
      <c r="G3152" s="3035"/>
      <c r="H3152" s="1463"/>
    </row>
    <row r="3153" spans="2:8" ht="15.75" customHeight="1" x14ac:dyDescent="0.25">
      <c r="B3153" s="441"/>
      <c r="C3153" s="3674" t="s">
        <v>3162</v>
      </c>
      <c r="D3153" s="4324">
        <f>SUM(D3154:D3159)</f>
        <v>159500000</v>
      </c>
      <c r="E3153" s="3540">
        <f>SUM(E3154:E3159)</f>
        <v>159500000</v>
      </c>
      <c r="F3153" s="2693">
        <f t="shared" si="241"/>
        <v>100</v>
      </c>
      <c r="G3153" s="2695">
        <f>G3155</f>
        <v>100</v>
      </c>
      <c r="H3153" s="1463"/>
    </row>
    <row r="3154" spans="2:8" ht="15.75" hidden="1" customHeight="1" x14ac:dyDescent="0.25">
      <c r="B3154" s="441"/>
      <c r="C3154" s="3672" t="s">
        <v>3163</v>
      </c>
      <c r="D3154" s="4066">
        <v>0</v>
      </c>
      <c r="E3154" s="2690">
        <v>0</v>
      </c>
      <c r="F3154" s="2690">
        <v>0</v>
      </c>
      <c r="G3154" s="2690">
        <v>0</v>
      </c>
      <c r="H3154" s="1463"/>
    </row>
    <row r="3155" spans="2:8" ht="15.75" hidden="1" customHeight="1" x14ac:dyDescent="0.25">
      <c r="B3155" s="441"/>
      <c r="C3155" s="3672" t="s">
        <v>3164</v>
      </c>
      <c r="D3155" s="4352">
        <v>159500000</v>
      </c>
      <c r="E3155" s="2690">
        <v>159500000</v>
      </c>
      <c r="F3155" s="2688">
        <f t="shared" si="241"/>
        <v>100</v>
      </c>
      <c r="G3155" s="2690">
        <v>100</v>
      </c>
      <c r="H3155" s="1463"/>
    </row>
    <row r="3156" spans="2:8" ht="15.75" hidden="1" customHeight="1" x14ac:dyDescent="0.25">
      <c r="B3156" s="441"/>
      <c r="C3156" s="3672" t="s">
        <v>3165</v>
      </c>
      <c r="D3156" s="4066">
        <v>0</v>
      </c>
      <c r="E3156" s="2690">
        <v>0</v>
      </c>
      <c r="F3156" s="2690">
        <v>0</v>
      </c>
      <c r="G3156" s="2690">
        <v>0</v>
      </c>
      <c r="H3156" s="1463"/>
    </row>
    <row r="3157" spans="2:8" ht="15.75" hidden="1" customHeight="1" x14ac:dyDescent="0.25">
      <c r="B3157" s="441"/>
      <c r="C3157" s="3672" t="s">
        <v>3166</v>
      </c>
      <c r="D3157" s="4066">
        <v>0</v>
      </c>
      <c r="E3157" s="2690">
        <v>0</v>
      </c>
      <c r="F3157" s="2690">
        <v>0</v>
      </c>
      <c r="G3157" s="2690">
        <v>0</v>
      </c>
      <c r="H3157" s="1463"/>
    </row>
    <row r="3158" spans="2:8" ht="15.75" hidden="1" customHeight="1" x14ac:dyDescent="0.25">
      <c r="B3158" s="441"/>
      <c r="C3158" s="3672" t="s">
        <v>3167</v>
      </c>
      <c r="D3158" s="4066">
        <v>0</v>
      </c>
      <c r="E3158" s="2690">
        <v>0</v>
      </c>
      <c r="F3158" s="2690">
        <v>0</v>
      </c>
      <c r="G3158" s="2690">
        <v>0</v>
      </c>
      <c r="H3158" s="1463"/>
    </row>
    <row r="3159" spans="2:8" ht="15.75" hidden="1" customHeight="1" x14ac:dyDescent="0.25">
      <c r="B3159" s="441"/>
      <c r="C3159" s="3672" t="s">
        <v>3168</v>
      </c>
      <c r="D3159" s="4066">
        <v>0</v>
      </c>
      <c r="E3159" s="2690">
        <v>0</v>
      </c>
      <c r="F3159" s="2690">
        <v>0</v>
      </c>
      <c r="G3159" s="2690">
        <v>0</v>
      </c>
      <c r="H3159" s="1463"/>
    </row>
    <row r="3160" spans="2:8" ht="10.5" hidden="1" customHeight="1" x14ac:dyDescent="0.25">
      <c r="B3160" s="441"/>
      <c r="C3160" s="2594"/>
      <c r="D3160" s="4352"/>
      <c r="E3160" s="2752"/>
      <c r="F3160" s="2752"/>
      <c r="G3160" s="2784"/>
      <c r="H3160" s="1463"/>
    </row>
    <row r="3161" spans="2:8" ht="19.5" customHeight="1" x14ac:dyDescent="0.25">
      <c r="B3161" s="441"/>
      <c r="C3161" s="2580" t="s">
        <v>4061</v>
      </c>
      <c r="D3161" s="4324">
        <f>D3162</f>
        <v>200000000</v>
      </c>
      <c r="E3161" s="3284">
        <f>E3162</f>
        <v>199930000</v>
      </c>
      <c r="F3161" s="2693">
        <f t="shared" ref="F3161:F3162" si="242">E3161/D3161*100</f>
        <v>99.965000000000003</v>
      </c>
      <c r="G3161" s="2695">
        <f>G3162</f>
        <v>100</v>
      </c>
      <c r="H3161" s="1463"/>
    </row>
    <row r="3162" spans="2:8" ht="16.5" hidden="1" customHeight="1" x14ac:dyDescent="0.25">
      <c r="B3162" s="441"/>
      <c r="C3162" s="2590" t="s">
        <v>4062</v>
      </c>
      <c r="D3162" s="4323">
        <v>200000000</v>
      </c>
      <c r="E3162" s="2690">
        <v>199930000</v>
      </c>
      <c r="F3162" s="2688">
        <f t="shared" si="242"/>
        <v>99.965000000000003</v>
      </c>
      <c r="G3162" s="2690">
        <v>100</v>
      </c>
      <c r="H3162" s="1463"/>
    </row>
    <row r="3163" spans="2:8" ht="13.5" hidden="1" customHeight="1" x14ac:dyDescent="0.25">
      <c r="B3163" s="441"/>
      <c r="C3163" s="3675"/>
      <c r="D3163" s="4354"/>
      <c r="E3163" s="2752"/>
      <c r="F3163" s="2752"/>
      <c r="G3163" s="2784"/>
      <c r="H3163" s="1463"/>
    </row>
    <row r="3164" spans="2:8" ht="18" customHeight="1" x14ac:dyDescent="0.25">
      <c r="B3164" s="440"/>
      <c r="C3164" s="2584" t="s">
        <v>3096</v>
      </c>
      <c r="D3164" s="3626">
        <f>SUM(D3165+D3174+D3180+D3189+D3197+D3206)</f>
        <v>6032200000</v>
      </c>
      <c r="E3164" s="4083">
        <f>SUM(E3165+E3174+E3180+E3189+E3197+E3206)</f>
        <v>5965160525</v>
      </c>
      <c r="F3164" s="2717">
        <f t="shared" ref="F3164:F3210" si="243">E3164/D3164*100</f>
        <v>98.888639716852893</v>
      </c>
      <c r="G3164" s="2672">
        <f>SUM(G3165+G3174+G3180+G3189+G3197+G3206)/6</f>
        <v>100</v>
      </c>
      <c r="H3164" s="1463"/>
    </row>
    <row r="3165" spans="2:8" ht="17.25" customHeight="1" x14ac:dyDescent="0.25">
      <c r="B3165" s="441"/>
      <c r="C3165" s="2576" t="s">
        <v>3097</v>
      </c>
      <c r="D3165" s="4065">
        <f>SUM(D3166:D3172)</f>
        <v>1600000000</v>
      </c>
      <c r="E3165" s="2695">
        <f>SUM(E3166:E3172)</f>
        <v>1596995800</v>
      </c>
      <c r="F3165" s="2764">
        <f t="shared" si="243"/>
        <v>99.812237499999995</v>
      </c>
      <c r="G3165" s="2695">
        <f>SUM(G3166:G3172)/7</f>
        <v>100</v>
      </c>
      <c r="H3165" s="1463"/>
    </row>
    <row r="3166" spans="2:8" ht="18.75" hidden="1" customHeight="1" x14ac:dyDescent="0.25">
      <c r="B3166" s="441"/>
      <c r="C3166" s="2593" t="s">
        <v>3098</v>
      </c>
      <c r="D3166" s="4071">
        <v>250000000</v>
      </c>
      <c r="E3166" s="2855">
        <v>249670000</v>
      </c>
      <c r="F3166" s="2688">
        <f>E3166/D3166*100</f>
        <v>99.867999999999995</v>
      </c>
      <c r="G3166" s="2855">
        <v>100</v>
      </c>
      <c r="H3166" s="1463"/>
    </row>
    <row r="3167" spans="2:8" ht="29.25" hidden="1" customHeight="1" x14ac:dyDescent="0.25">
      <c r="B3167" s="441"/>
      <c r="C3167" s="2593" t="s">
        <v>3099</v>
      </c>
      <c r="D3167" s="4071">
        <v>150000000</v>
      </c>
      <c r="E3167" s="2690">
        <v>149635000</v>
      </c>
      <c r="F3167" s="2688">
        <f t="shared" si="243"/>
        <v>99.756666666666675</v>
      </c>
      <c r="G3167" s="2690">
        <v>100</v>
      </c>
      <c r="H3167" s="1463"/>
    </row>
    <row r="3168" spans="2:8" ht="16.5" hidden="1" customHeight="1" x14ac:dyDescent="0.25">
      <c r="B3168" s="441"/>
      <c r="C3168" s="2593" t="s">
        <v>3100</v>
      </c>
      <c r="D3168" s="4071">
        <v>250000000</v>
      </c>
      <c r="E3168" s="2855">
        <v>248290800</v>
      </c>
      <c r="F3168" s="2688">
        <f t="shared" si="243"/>
        <v>99.316320000000005</v>
      </c>
      <c r="G3168" s="2690">
        <v>100</v>
      </c>
      <c r="H3168" s="1463"/>
    </row>
    <row r="3169" spans="2:8" ht="16.5" hidden="1" customHeight="1" x14ac:dyDescent="0.25">
      <c r="B3169" s="441"/>
      <c r="C3169" s="2597" t="s">
        <v>2099</v>
      </c>
      <c r="D3169" s="4352">
        <v>500000000</v>
      </c>
      <c r="E3169" s="2690">
        <v>499890000</v>
      </c>
      <c r="F3169" s="2688">
        <f t="shared" si="243"/>
        <v>99.977999999999994</v>
      </c>
      <c r="G3169" s="2690">
        <v>100</v>
      </c>
      <c r="H3169" s="1463"/>
    </row>
    <row r="3170" spans="2:8" ht="17.25" hidden="1" customHeight="1" x14ac:dyDescent="0.25">
      <c r="B3170" s="441"/>
      <c r="C3170" s="2597" t="s">
        <v>3101</v>
      </c>
      <c r="D3170" s="4352">
        <v>200000000</v>
      </c>
      <c r="E3170" s="2690">
        <v>199950000</v>
      </c>
      <c r="F3170" s="2688">
        <f t="shared" si="243"/>
        <v>99.975000000000009</v>
      </c>
      <c r="G3170" s="2690">
        <v>100</v>
      </c>
      <c r="H3170" s="1463"/>
    </row>
    <row r="3171" spans="2:8" ht="15" hidden="1" customHeight="1" x14ac:dyDescent="0.25">
      <c r="B3171" s="441"/>
      <c r="C3171" s="2597" t="s">
        <v>3102</v>
      </c>
      <c r="D3171" s="4352">
        <v>150000000</v>
      </c>
      <c r="E3171" s="2690">
        <v>149825000</v>
      </c>
      <c r="F3171" s="2688">
        <f t="shared" si="243"/>
        <v>99.88333333333334</v>
      </c>
      <c r="G3171" s="2690">
        <v>100</v>
      </c>
      <c r="H3171" s="1463"/>
    </row>
    <row r="3172" spans="2:8" ht="16.5" hidden="1" customHeight="1" x14ac:dyDescent="0.25">
      <c r="B3172" s="441"/>
      <c r="C3172" s="2597" t="s">
        <v>3103</v>
      </c>
      <c r="D3172" s="4352">
        <v>100000000</v>
      </c>
      <c r="E3172" s="2690">
        <v>99735000</v>
      </c>
      <c r="F3172" s="2688">
        <f t="shared" si="243"/>
        <v>99.734999999999999</v>
      </c>
      <c r="G3172" s="2690">
        <v>100</v>
      </c>
      <c r="H3172" s="1463"/>
    </row>
    <row r="3173" spans="2:8" ht="7.5" hidden="1" customHeight="1" x14ac:dyDescent="0.25">
      <c r="B3173" s="444"/>
      <c r="C3173" s="2597"/>
      <c r="D3173" s="4324"/>
      <c r="E3173" s="3035"/>
      <c r="F3173" s="2688"/>
      <c r="G3173" s="3035"/>
      <c r="H3173" s="1463"/>
    </row>
    <row r="3174" spans="2:8" ht="16.5" customHeight="1" x14ac:dyDescent="0.25">
      <c r="B3174" s="441"/>
      <c r="C3174" s="2594" t="s">
        <v>3104</v>
      </c>
      <c r="D3174" s="4351">
        <f>SUM(D3175:D3178)</f>
        <v>300000000</v>
      </c>
      <c r="E3174" s="4088">
        <f>SUM(E3175:E3178)</f>
        <v>299950000</v>
      </c>
      <c r="F3174" s="2693">
        <f t="shared" si="243"/>
        <v>99.983333333333334</v>
      </c>
      <c r="G3174" s="2695">
        <f>SUM(G3175:G3178)/3</f>
        <v>100</v>
      </c>
      <c r="H3174" s="1463"/>
    </row>
    <row r="3175" spans="2:8" ht="15.75" hidden="1" customHeight="1" x14ac:dyDescent="0.25">
      <c r="B3175" s="441"/>
      <c r="C3175" s="2597" t="s">
        <v>3105</v>
      </c>
      <c r="D3175" s="4353" t="s">
        <v>3317</v>
      </c>
      <c r="E3175" s="3673" t="s">
        <v>3317</v>
      </c>
      <c r="F3175" s="3673" t="s">
        <v>3317</v>
      </c>
      <c r="G3175" s="3673" t="s">
        <v>3317</v>
      </c>
      <c r="H3175" s="1463"/>
    </row>
    <row r="3176" spans="2:8" ht="16.5" hidden="1" customHeight="1" x14ac:dyDescent="0.25">
      <c r="B3176" s="441"/>
      <c r="C3176" s="2597" t="s">
        <v>3106</v>
      </c>
      <c r="D3176" s="4323">
        <v>100000000</v>
      </c>
      <c r="E3176" s="2690">
        <v>100000000</v>
      </c>
      <c r="F3176" s="2688">
        <f t="shared" si="243"/>
        <v>100</v>
      </c>
      <c r="G3176" s="2690">
        <v>100</v>
      </c>
      <c r="H3176" s="1463"/>
    </row>
    <row r="3177" spans="2:8" ht="15.75" hidden="1" customHeight="1" x14ac:dyDescent="0.25">
      <c r="B3177" s="441"/>
      <c r="C3177" s="2597" t="s">
        <v>3107</v>
      </c>
      <c r="D3177" s="4352">
        <v>100000000</v>
      </c>
      <c r="E3177" s="2855">
        <v>100000000</v>
      </c>
      <c r="F3177" s="2688">
        <f t="shared" si="243"/>
        <v>100</v>
      </c>
      <c r="G3177" s="2855">
        <v>100</v>
      </c>
      <c r="H3177" s="1463"/>
    </row>
    <row r="3178" spans="2:8" ht="16.5" hidden="1" customHeight="1" x14ac:dyDescent="0.25">
      <c r="B3178" s="441"/>
      <c r="C3178" s="2597" t="s">
        <v>3108</v>
      </c>
      <c r="D3178" s="4352">
        <v>100000000</v>
      </c>
      <c r="E3178" s="2855">
        <v>99950000</v>
      </c>
      <c r="F3178" s="2688">
        <f t="shared" si="243"/>
        <v>99.95</v>
      </c>
      <c r="G3178" s="2855">
        <v>100</v>
      </c>
      <c r="H3178" s="1463"/>
    </row>
    <row r="3179" spans="2:8" ht="12" hidden="1" customHeight="1" x14ac:dyDescent="0.25">
      <c r="B3179" s="441"/>
      <c r="C3179" s="2594"/>
      <c r="D3179" s="4324"/>
      <c r="E3179" s="3035"/>
      <c r="F3179" s="2688"/>
      <c r="G3179" s="3035"/>
      <c r="H3179" s="1463"/>
    </row>
    <row r="3180" spans="2:8" ht="17.25" customHeight="1" x14ac:dyDescent="0.25">
      <c r="B3180" s="441"/>
      <c r="C3180" s="2594" t="s">
        <v>3109</v>
      </c>
      <c r="D3180" s="4351">
        <f>SUM(D3181:D3187)</f>
        <v>1475000000</v>
      </c>
      <c r="E3180" s="4088">
        <f>SUM(E3181:E3187)</f>
        <v>1458409725</v>
      </c>
      <c r="F3180" s="2693">
        <f t="shared" si="243"/>
        <v>98.875235593220339</v>
      </c>
      <c r="G3180" s="2695">
        <f>SUM(G3181:G3187)/7</f>
        <v>100</v>
      </c>
      <c r="H3180" s="1463"/>
    </row>
    <row r="3181" spans="2:8" ht="16.5" hidden="1" customHeight="1" x14ac:dyDescent="0.25">
      <c r="B3181" s="441"/>
      <c r="C3181" s="2597" t="s">
        <v>3110</v>
      </c>
      <c r="D3181" s="4352">
        <v>100000000</v>
      </c>
      <c r="E3181" s="2690">
        <v>98865000</v>
      </c>
      <c r="F3181" s="2688">
        <f t="shared" si="243"/>
        <v>98.865000000000009</v>
      </c>
      <c r="G3181" s="2690">
        <v>100</v>
      </c>
      <c r="H3181" s="1463"/>
    </row>
    <row r="3182" spans="2:8" ht="15.75" hidden="1" customHeight="1" x14ac:dyDescent="0.25">
      <c r="B3182" s="441"/>
      <c r="C3182" s="2597" t="s">
        <v>3111</v>
      </c>
      <c r="D3182" s="4352">
        <v>150000000</v>
      </c>
      <c r="E3182" s="2685">
        <v>149847000</v>
      </c>
      <c r="F3182" s="2688">
        <f t="shared" si="243"/>
        <v>99.897999999999996</v>
      </c>
      <c r="G3182" s="2690">
        <v>100</v>
      </c>
      <c r="H3182" s="1463"/>
    </row>
    <row r="3183" spans="2:8" ht="15" hidden="1" customHeight="1" x14ac:dyDescent="0.25">
      <c r="B3183" s="441"/>
      <c r="C3183" s="2597" t="s">
        <v>3112</v>
      </c>
      <c r="D3183" s="4323">
        <v>125000000</v>
      </c>
      <c r="E3183" s="2830">
        <v>124883000</v>
      </c>
      <c r="F3183" s="2688">
        <f t="shared" si="243"/>
        <v>99.906399999999991</v>
      </c>
      <c r="G3183" s="2690">
        <v>100</v>
      </c>
      <c r="H3183" s="1463"/>
    </row>
    <row r="3184" spans="2:8" ht="18" hidden="1" customHeight="1" x14ac:dyDescent="0.25">
      <c r="B3184" s="441"/>
      <c r="C3184" s="2597" t="s">
        <v>2100</v>
      </c>
      <c r="D3184" s="4323">
        <v>150000000</v>
      </c>
      <c r="E3184" s="2685">
        <v>149818000</v>
      </c>
      <c r="F3184" s="2688">
        <f t="shared" si="243"/>
        <v>99.878666666666675</v>
      </c>
      <c r="G3184" s="2690">
        <v>100</v>
      </c>
      <c r="H3184" s="1463"/>
    </row>
    <row r="3185" spans="2:8" ht="14.25" hidden="1" customHeight="1" x14ac:dyDescent="0.25">
      <c r="B3185" s="441"/>
      <c r="C3185" s="2597" t="s">
        <v>3113</v>
      </c>
      <c r="D3185" s="4323">
        <v>150000000</v>
      </c>
      <c r="E3185" s="2685">
        <v>149840000</v>
      </c>
      <c r="F3185" s="2688">
        <f t="shared" si="243"/>
        <v>99.893333333333331</v>
      </c>
      <c r="G3185" s="2690">
        <v>100</v>
      </c>
      <c r="H3185" s="1463"/>
    </row>
    <row r="3186" spans="2:8" ht="17.25" hidden="1" customHeight="1" x14ac:dyDescent="0.25">
      <c r="B3186" s="441"/>
      <c r="C3186" s="2597" t="s">
        <v>3114</v>
      </c>
      <c r="D3186" s="4323">
        <v>100000000</v>
      </c>
      <c r="E3186" s="2685">
        <v>99875325</v>
      </c>
      <c r="F3186" s="2688">
        <f t="shared" si="243"/>
        <v>99.875325000000004</v>
      </c>
      <c r="G3186" s="2690">
        <v>100</v>
      </c>
      <c r="H3186" s="1463"/>
    </row>
    <row r="3187" spans="2:8" ht="18" hidden="1" customHeight="1" x14ac:dyDescent="0.25">
      <c r="B3187" s="441"/>
      <c r="C3187" s="2597" t="s">
        <v>3115</v>
      </c>
      <c r="D3187" s="4323">
        <v>700000000</v>
      </c>
      <c r="E3187" s="2685">
        <v>685281400</v>
      </c>
      <c r="F3187" s="2688">
        <f t="shared" si="243"/>
        <v>97.89734285714286</v>
      </c>
      <c r="G3187" s="2690">
        <v>100</v>
      </c>
      <c r="H3187" s="1463"/>
    </row>
    <row r="3188" spans="2:8" ht="10.5" hidden="1" customHeight="1" x14ac:dyDescent="0.25">
      <c r="B3188" s="441"/>
      <c r="C3188" s="2597"/>
      <c r="D3188" s="4323"/>
      <c r="E3188" s="2685"/>
      <c r="F3188" s="2688"/>
      <c r="G3188" s="2804"/>
      <c r="H3188" s="1463"/>
    </row>
    <row r="3189" spans="2:8" ht="27" customHeight="1" x14ac:dyDescent="0.25">
      <c r="B3189" s="441"/>
      <c r="C3189" s="2594" t="s">
        <v>3116</v>
      </c>
      <c r="D3189" s="4351">
        <f>SUM(D3190:D3195)</f>
        <v>1210000000</v>
      </c>
      <c r="E3189" s="4088">
        <f>SUM(E3190:E3195)</f>
        <v>1207650000</v>
      </c>
      <c r="F3189" s="2693">
        <f t="shared" si="243"/>
        <v>99.805785123966942</v>
      </c>
      <c r="G3189" s="2725">
        <f>SUM(G3190:G3194)/5</f>
        <v>100</v>
      </c>
      <c r="H3189" s="1463"/>
    </row>
    <row r="3190" spans="2:8" ht="18" hidden="1" customHeight="1" x14ac:dyDescent="0.25">
      <c r="B3190" s="441"/>
      <c r="C3190" s="2597" t="s">
        <v>3122</v>
      </c>
      <c r="D3190" s="4323">
        <v>330000000</v>
      </c>
      <c r="E3190" s="2685">
        <v>329950000</v>
      </c>
      <c r="F3190" s="2688">
        <f t="shared" si="243"/>
        <v>99.984848484848484</v>
      </c>
      <c r="G3190" s="2804">
        <v>100</v>
      </c>
      <c r="H3190" s="1463"/>
    </row>
    <row r="3191" spans="2:8" ht="12.75" hidden="1" customHeight="1" x14ac:dyDescent="0.25">
      <c r="B3191" s="441"/>
      <c r="C3191" s="2597" t="s">
        <v>3117</v>
      </c>
      <c r="D3191" s="4323">
        <v>280000000</v>
      </c>
      <c r="E3191" s="2685">
        <v>279950000</v>
      </c>
      <c r="F3191" s="2688">
        <f t="shared" si="243"/>
        <v>99.982142857142847</v>
      </c>
      <c r="G3191" s="2804">
        <v>100</v>
      </c>
      <c r="H3191" s="1463"/>
    </row>
    <row r="3192" spans="2:8" ht="15.75" hidden="1" customHeight="1" x14ac:dyDescent="0.25">
      <c r="B3192" s="441"/>
      <c r="C3192" s="2597" t="s">
        <v>3118</v>
      </c>
      <c r="D3192" s="4323">
        <v>150000000</v>
      </c>
      <c r="E3192" s="2685">
        <v>150000000</v>
      </c>
      <c r="F3192" s="2688">
        <f t="shared" si="243"/>
        <v>100</v>
      </c>
      <c r="G3192" s="2804">
        <v>100</v>
      </c>
      <c r="H3192" s="1463"/>
    </row>
    <row r="3193" spans="2:8" ht="18" hidden="1" customHeight="1" x14ac:dyDescent="0.25">
      <c r="B3193" s="441"/>
      <c r="C3193" s="2597" t="s">
        <v>3119</v>
      </c>
      <c r="D3193" s="4323">
        <v>200000000</v>
      </c>
      <c r="E3193" s="2685">
        <v>197750000</v>
      </c>
      <c r="F3193" s="2688">
        <f t="shared" si="243"/>
        <v>98.875</v>
      </c>
      <c r="G3193" s="2804">
        <v>100</v>
      </c>
      <c r="H3193" s="1463"/>
    </row>
    <row r="3194" spans="2:8" ht="18" hidden="1" customHeight="1" x14ac:dyDescent="0.25">
      <c r="B3194" s="441"/>
      <c r="C3194" s="2597" t="s">
        <v>3121</v>
      </c>
      <c r="D3194" s="4323">
        <v>250000000</v>
      </c>
      <c r="E3194" s="2685">
        <v>250000000</v>
      </c>
      <c r="F3194" s="2688">
        <f t="shared" si="243"/>
        <v>100</v>
      </c>
      <c r="G3194" s="2804">
        <v>100</v>
      </c>
      <c r="H3194" s="1463"/>
    </row>
    <row r="3195" spans="2:8" ht="18" hidden="1" customHeight="1" x14ac:dyDescent="0.25">
      <c r="B3195" s="441"/>
      <c r="C3195" s="2597" t="s">
        <v>3120</v>
      </c>
      <c r="D3195" s="4350" t="s">
        <v>3317</v>
      </c>
      <c r="E3195" s="3676" t="s">
        <v>3317</v>
      </c>
      <c r="F3195" s="3676" t="s">
        <v>3317</v>
      </c>
      <c r="G3195" s="3676" t="s">
        <v>3317</v>
      </c>
      <c r="H3195" s="1463"/>
    </row>
    <row r="3196" spans="2:8" ht="13.5" hidden="1" customHeight="1" x14ac:dyDescent="0.25">
      <c r="B3196" s="441"/>
      <c r="C3196" s="2597"/>
      <c r="D3196" s="4323"/>
      <c r="E3196" s="2685"/>
      <c r="F3196" s="2688"/>
      <c r="G3196" s="2804"/>
      <c r="H3196" s="1463"/>
    </row>
    <row r="3197" spans="2:8" ht="18" customHeight="1" x14ac:dyDescent="0.25">
      <c r="B3197" s="441"/>
      <c r="C3197" s="2594" t="s">
        <v>3123</v>
      </c>
      <c r="D3197" s="4351">
        <f>SUM(D3198:D3204)</f>
        <v>1120000000</v>
      </c>
      <c r="E3197" s="4088">
        <f>SUM(E3198:E3204)</f>
        <v>1074955000</v>
      </c>
      <c r="F3197" s="2693">
        <f t="shared" si="243"/>
        <v>95.978125000000006</v>
      </c>
      <c r="G3197" s="2725">
        <f>SUM(G3198:G3204)/7</f>
        <v>100</v>
      </c>
      <c r="H3197" s="1463"/>
    </row>
    <row r="3198" spans="2:8" ht="14.25" hidden="1" customHeight="1" x14ac:dyDescent="0.25">
      <c r="B3198" s="441"/>
      <c r="C3198" s="2597" t="s">
        <v>3124</v>
      </c>
      <c r="D3198" s="4323">
        <v>200000000</v>
      </c>
      <c r="E3198" s="2685">
        <v>199900000</v>
      </c>
      <c r="F3198" s="2688">
        <f t="shared" si="243"/>
        <v>99.95</v>
      </c>
      <c r="G3198" s="2804">
        <v>100</v>
      </c>
      <c r="H3198" s="1463"/>
    </row>
    <row r="3199" spans="2:8" ht="16.5" hidden="1" customHeight="1" x14ac:dyDescent="0.25">
      <c r="B3199" s="441"/>
      <c r="C3199" s="2597" t="s">
        <v>3125</v>
      </c>
      <c r="D3199" s="4323">
        <v>150000000</v>
      </c>
      <c r="E3199" s="2685">
        <v>149900000</v>
      </c>
      <c r="F3199" s="2688">
        <f t="shared" si="243"/>
        <v>99.933333333333323</v>
      </c>
      <c r="G3199" s="2804">
        <v>100</v>
      </c>
      <c r="H3199" s="1463"/>
    </row>
    <row r="3200" spans="2:8" ht="16.5" hidden="1" customHeight="1" x14ac:dyDescent="0.25">
      <c r="B3200" s="441"/>
      <c r="C3200" s="2597" t="s">
        <v>3126</v>
      </c>
      <c r="D3200" s="4323">
        <v>150000000</v>
      </c>
      <c r="E3200" s="2685">
        <v>149900000</v>
      </c>
      <c r="F3200" s="2688">
        <f t="shared" si="243"/>
        <v>99.933333333333323</v>
      </c>
      <c r="G3200" s="2804">
        <v>100</v>
      </c>
      <c r="H3200" s="1463"/>
    </row>
    <row r="3201" spans="2:10" ht="14.25" hidden="1" customHeight="1" x14ac:dyDescent="0.25">
      <c r="B3201" s="441"/>
      <c r="C3201" s="2597" t="s">
        <v>3127</v>
      </c>
      <c r="D3201" s="4323">
        <v>50000000</v>
      </c>
      <c r="E3201" s="2685">
        <v>41701000</v>
      </c>
      <c r="F3201" s="2688">
        <f t="shared" si="243"/>
        <v>83.402000000000001</v>
      </c>
      <c r="G3201" s="2804">
        <v>100</v>
      </c>
      <c r="H3201" s="1463"/>
    </row>
    <row r="3202" spans="2:10" ht="13.5" hidden="1" customHeight="1" x14ac:dyDescent="0.25">
      <c r="B3202" s="441"/>
      <c r="C3202" s="2597" t="s">
        <v>3128</v>
      </c>
      <c r="D3202" s="4323">
        <v>200000000</v>
      </c>
      <c r="E3202" s="2685">
        <v>199820000</v>
      </c>
      <c r="F3202" s="2688">
        <f t="shared" si="243"/>
        <v>99.91</v>
      </c>
      <c r="G3202" s="2804">
        <v>100</v>
      </c>
      <c r="H3202" s="1463"/>
    </row>
    <row r="3203" spans="2:10" ht="16.5" hidden="1" customHeight="1" x14ac:dyDescent="0.25">
      <c r="B3203" s="441"/>
      <c r="C3203" s="2597" t="s">
        <v>3129</v>
      </c>
      <c r="D3203" s="4323">
        <v>220000000</v>
      </c>
      <c r="E3203" s="2685">
        <v>219834000</v>
      </c>
      <c r="F3203" s="2688">
        <f t="shared" si="243"/>
        <v>99.924545454545452</v>
      </c>
      <c r="G3203" s="2804">
        <v>100</v>
      </c>
      <c r="H3203" s="1463"/>
    </row>
    <row r="3204" spans="2:10" ht="17.25" hidden="1" customHeight="1" x14ac:dyDescent="0.25">
      <c r="B3204" s="441"/>
      <c r="C3204" s="2597" t="s">
        <v>3130</v>
      </c>
      <c r="D3204" s="4323">
        <v>150000000</v>
      </c>
      <c r="E3204" s="2685">
        <v>113900000</v>
      </c>
      <c r="F3204" s="2688">
        <f t="shared" si="243"/>
        <v>75.933333333333337</v>
      </c>
      <c r="G3204" s="2804">
        <v>100</v>
      </c>
      <c r="H3204" s="1463"/>
    </row>
    <row r="3205" spans="2:10" ht="10.5" hidden="1" customHeight="1" x14ac:dyDescent="0.25">
      <c r="B3205" s="441"/>
      <c r="C3205" s="2597"/>
      <c r="D3205" s="4323"/>
      <c r="E3205" s="2685"/>
      <c r="F3205" s="2688"/>
      <c r="G3205" s="2804"/>
      <c r="H3205" s="1463"/>
    </row>
    <row r="3206" spans="2:10" ht="18" customHeight="1" x14ac:dyDescent="0.25">
      <c r="B3206" s="441"/>
      <c r="C3206" s="2594" t="s">
        <v>3131</v>
      </c>
      <c r="D3206" s="4324">
        <f>D3207</f>
        <v>327200000</v>
      </c>
      <c r="E3206" s="3284">
        <f>E3207</f>
        <v>327200000</v>
      </c>
      <c r="F3206" s="2693">
        <f t="shared" si="243"/>
        <v>100</v>
      </c>
      <c r="G3206" s="2725">
        <f>G3207</f>
        <v>100</v>
      </c>
      <c r="H3206" s="1463"/>
    </row>
    <row r="3207" spans="2:10" ht="15.75" hidden="1" customHeight="1" x14ac:dyDescent="0.25">
      <c r="B3207" s="441"/>
      <c r="C3207" s="2597" t="s">
        <v>3132</v>
      </c>
      <c r="D3207" s="4323">
        <v>327200000</v>
      </c>
      <c r="E3207" s="2685">
        <v>327200000</v>
      </c>
      <c r="F3207" s="2688">
        <f t="shared" si="243"/>
        <v>100</v>
      </c>
      <c r="G3207" s="2804">
        <v>100</v>
      </c>
      <c r="H3207" s="1463"/>
    </row>
    <row r="3208" spans="2:10" ht="12" hidden="1" customHeight="1" x14ac:dyDescent="0.25">
      <c r="B3208" s="441"/>
      <c r="C3208" s="2476"/>
      <c r="D3208" s="4355"/>
      <c r="E3208" s="2778"/>
      <c r="F3208" s="2778"/>
      <c r="G3208" s="2778"/>
      <c r="H3208" s="1463"/>
    </row>
    <row r="3209" spans="2:10" ht="17.25" customHeight="1" x14ac:dyDescent="0.25">
      <c r="B3209" s="440"/>
      <c r="C3209" s="3677" t="s">
        <v>3090</v>
      </c>
      <c r="D3209" s="4349">
        <f>SUM(D3210+D3214)</f>
        <v>32541300000</v>
      </c>
      <c r="E3209" s="3532">
        <f>SUM(E3210+E3214)</f>
        <v>31900000000</v>
      </c>
      <c r="F3209" s="2717">
        <f t="shared" si="243"/>
        <v>98.029273569279653</v>
      </c>
      <c r="G3209" s="2672">
        <f>SUM(G3210+G3214)/2</f>
        <v>100</v>
      </c>
      <c r="H3209" s="1463"/>
    </row>
    <row r="3210" spans="2:10" ht="17.25" customHeight="1" x14ac:dyDescent="0.25">
      <c r="B3210" s="441"/>
      <c r="C3210" s="3678" t="s">
        <v>3095</v>
      </c>
      <c r="D3210" s="4356">
        <f>D3211</f>
        <v>9500000000</v>
      </c>
      <c r="E3210" s="4089">
        <f>E3211</f>
        <v>9300000000</v>
      </c>
      <c r="F3210" s="2764">
        <f t="shared" si="243"/>
        <v>97.894736842105274</v>
      </c>
      <c r="G3210" s="2785">
        <f>G3211</f>
        <v>100</v>
      </c>
      <c r="H3210" s="1463"/>
    </row>
    <row r="3211" spans="2:10" ht="17.25" customHeight="1" x14ac:dyDescent="0.25">
      <c r="B3211" s="441"/>
      <c r="C3211" s="3679" t="s">
        <v>3178</v>
      </c>
      <c r="D3211" s="4324">
        <f>SUM(D3212:D3212)</f>
        <v>9500000000</v>
      </c>
      <c r="E3211" s="3540">
        <f>SUM(E3212:E3212)</f>
        <v>9300000000</v>
      </c>
      <c r="F3211" s="2693">
        <f>E3211/D3211*100</f>
        <v>97.894736842105274</v>
      </c>
      <c r="G3211" s="2695">
        <f>G3212</f>
        <v>100</v>
      </c>
      <c r="H3211" s="1463"/>
    </row>
    <row r="3212" spans="2:10" ht="17.25" hidden="1" customHeight="1" x14ac:dyDescent="0.25">
      <c r="B3212" s="441"/>
      <c r="C3212" s="3680" t="s">
        <v>5080</v>
      </c>
      <c r="D3212" s="4323">
        <v>9500000000</v>
      </c>
      <c r="E3212" s="4086">
        <v>9300000000</v>
      </c>
      <c r="F3212" s="2688">
        <f t="shared" ref="F3212:F3222" si="244">E3212/D3212*100</f>
        <v>97.894736842105274</v>
      </c>
      <c r="G3212" s="2690">
        <v>100</v>
      </c>
      <c r="H3212" s="1463"/>
    </row>
    <row r="3213" spans="2:10" ht="12" hidden="1" customHeight="1" x14ac:dyDescent="0.25">
      <c r="B3213" s="441"/>
      <c r="C3213" s="3746"/>
      <c r="D3213" s="4324"/>
      <c r="E3213" s="3284"/>
      <c r="F3213" s="2688"/>
      <c r="G3213" s="2695"/>
      <c r="H3213" s="1463"/>
    </row>
    <row r="3214" spans="2:10" ht="17.25" customHeight="1" x14ac:dyDescent="0.25">
      <c r="B3214" s="441"/>
      <c r="C3214" s="2580" t="s">
        <v>3092</v>
      </c>
      <c r="D3214" s="4324">
        <f>SUM(D3215+D3217+D3220)</f>
        <v>23041300000</v>
      </c>
      <c r="E3214" s="3540">
        <f>SUM(E3215+E3217+E3220)</f>
        <v>22600000000</v>
      </c>
      <c r="F3214" s="2693">
        <f t="shared" si="244"/>
        <v>98.084743482355591</v>
      </c>
      <c r="G3214" s="2695">
        <f>SUM(G3215+G3217+G3220)/3</f>
        <v>100</v>
      </c>
      <c r="H3214" s="1463"/>
      <c r="J3214" s="536">
        <v>23978420000</v>
      </c>
    </row>
    <row r="3215" spans="2:10" ht="18" customHeight="1" x14ac:dyDescent="0.25">
      <c r="B3215" s="441"/>
      <c r="C3215" s="2594" t="s">
        <v>3091</v>
      </c>
      <c r="D3215" s="4324">
        <f>19320000000-937120000</f>
        <v>18382880000</v>
      </c>
      <c r="E3215" s="3540">
        <v>18100000000</v>
      </c>
      <c r="F3215" s="2693">
        <f t="shared" si="244"/>
        <v>98.461176921135319</v>
      </c>
      <c r="G3215" s="2734">
        <v>100</v>
      </c>
      <c r="H3215" s="1463"/>
      <c r="J3215" s="536">
        <v>23041300000</v>
      </c>
    </row>
    <row r="3216" spans="2:10" ht="10.5" hidden="1" customHeight="1" x14ac:dyDescent="0.25">
      <c r="B3216" s="441"/>
      <c r="C3216" s="2590"/>
      <c r="D3216" s="4352"/>
      <c r="E3216" s="2923"/>
      <c r="F3216" s="2688"/>
      <c r="G3216" s="3275"/>
      <c r="H3216" s="1463"/>
    </row>
    <row r="3217" spans="1:11" ht="15.75" customHeight="1" x14ac:dyDescent="0.25">
      <c r="B3217" s="441"/>
      <c r="C3217" s="2580" t="s">
        <v>3093</v>
      </c>
      <c r="D3217" s="4351">
        <f>D3218</f>
        <v>1000000000</v>
      </c>
      <c r="E3217" s="4085">
        <f>E3218</f>
        <v>1000000000</v>
      </c>
      <c r="F3217" s="2693">
        <f t="shared" si="244"/>
        <v>100</v>
      </c>
      <c r="G3217" s="3257">
        <f>G3218</f>
        <v>100</v>
      </c>
      <c r="H3217" s="1463"/>
      <c r="J3217" s="536">
        <f>SUM(J3214-J3215)</f>
        <v>937120000</v>
      </c>
    </row>
    <row r="3218" spans="1:11" ht="15.75" hidden="1" customHeight="1" x14ac:dyDescent="0.25">
      <c r="B3218" s="441"/>
      <c r="C3218" s="2590" t="s">
        <v>2103</v>
      </c>
      <c r="D3218" s="4352">
        <v>1000000000</v>
      </c>
      <c r="E3218" s="4087">
        <v>1000000000</v>
      </c>
      <c r="F3218" s="2688">
        <f t="shared" si="244"/>
        <v>100</v>
      </c>
      <c r="G3218" s="3275">
        <v>100</v>
      </c>
      <c r="H3218" s="1463"/>
    </row>
    <row r="3219" spans="1:11" ht="8.25" customHeight="1" x14ac:dyDescent="0.25">
      <c r="B3219" s="441"/>
      <c r="C3219" s="2590"/>
      <c r="D3219" s="4352"/>
      <c r="E3219" s="2923"/>
      <c r="F3219" s="2688"/>
      <c r="G3219" s="3275"/>
      <c r="H3219" s="1463"/>
    </row>
    <row r="3220" spans="1:11" ht="15.75" customHeight="1" thickBot="1" x14ac:dyDescent="0.3">
      <c r="B3220" s="441"/>
      <c r="C3220" s="2580" t="s">
        <v>3094</v>
      </c>
      <c r="D3220" s="4324">
        <f>SUM(D3221:D3222)</f>
        <v>3658420000</v>
      </c>
      <c r="E3220" s="3540">
        <f>SUM(E3221:E3222)</f>
        <v>3500000000</v>
      </c>
      <c r="F3220" s="2693">
        <f t="shared" si="244"/>
        <v>95.669715341595548</v>
      </c>
      <c r="G3220" s="3257">
        <f>SUM(G3221:G3222)/2</f>
        <v>100</v>
      </c>
      <c r="H3220" s="1463"/>
      <c r="J3220" s="536">
        <v>22600000000</v>
      </c>
    </row>
    <row r="3221" spans="1:11" ht="15.75" hidden="1" customHeight="1" x14ac:dyDescent="0.25">
      <c r="B3221" s="441"/>
      <c r="C3221" s="2590" t="s">
        <v>2104</v>
      </c>
      <c r="D3221" s="4352">
        <v>1900000000</v>
      </c>
      <c r="E3221" s="2923">
        <v>1800000000</v>
      </c>
      <c r="F3221" s="2688">
        <f t="shared" si="244"/>
        <v>94.73684210526315</v>
      </c>
      <c r="G3221" s="3275">
        <v>100</v>
      </c>
      <c r="H3221" s="1463"/>
      <c r="J3221" s="536">
        <f>SUM(J3220-E3214)</f>
        <v>0</v>
      </c>
    </row>
    <row r="3222" spans="1:11" ht="15.75" hidden="1" customHeight="1" x14ac:dyDescent="0.25">
      <c r="B3222" s="441"/>
      <c r="C3222" s="2590" t="s">
        <v>2105</v>
      </c>
      <c r="D3222" s="4352">
        <v>1758420000</v>
      </c>
      <c r="E3222" s="2923">
        <v>1700000000</v>
      </c>
      <c r="F3222" s="2688">
        <f t="shared" si="244"/>
        <v>96.677699298233648</v>
      </c>
      <c r="G3222" s="3275">
        <v>100</v>
      </c>
      <c r="H3222" s="1463"/>
    </row>
    <row r="3223" spans="1:11" ht="12" hidden="1" customHeight="1" thickBot="1" x14ac:dyDescent="0.3">
      <c r="B3223" s="441"/>
      <c r="C3223" s="2510"/>
      <c r="D3223" s="4322"/>
      <c r="E3223" s="3060"/>
      <c r="F3223" s="2784"/>
      <c r="G3223" s="2784"/>
      <c r="H3223" s="1463"/>
    </row>
    <row r="3224" spans="1:11" s="121" customFormat="1" ht="17.25" customHeight="1" thickBot="1" x14ac:dyDescent="0.3">
      <c r="A3224" s="16"/>
      <c r="B3224" s="456"/>
      <c r="C3224" s="3747" t="s">
        <v>2106</v>
      </c>
      <c r="D3224" s="4330">
        <f>SUM(D3225+D3254+D3295+D3311+D3327+D3359+D3378+D3389+D3393+D3400+D3428+3342+D3432)</f>
        <v>144432461000</v>
      </c>
      <c r="E3224" s="3738">
        <f>SUM(E3225+E3254+E3295+E3311+E3327+E3359+E3378+E3389+E3393+E3400+E3428+3342+E3432)</f>
        <v>134368004714</v>
      </c>
      <c r="F3224" s="3681">
        <f>E3224/D3224*100</f>
        <v>93.03172138983355</v>
      </c>
      <c r="G3224" s="4090">
        <f>SUM(G3225+G3254+G3295+G3311+G3327+G3359+G3378+G3389+G3393+G3400+G3428)/11</f>
        <v>98.642370345596859</v>
      </c>
      <c r="H3224" s="1463"/>
      <c r="J3224" s="1213"/>
      <c r="K3224" s="1213"/>
    </row>
    <row r="3225" spans="1:11" ht="18" customHeight="1" x14ac:dyDescent="0.25">
      <c r="B3225" s="459"/>
      <c r="C3225" s="2543" t="s">
        <v>3302</v>
      </c>
      <c r="D3225" s="4313">
        <f>SUM(D3226+D3229+D3232+D3240+D3244+D3249)</f>
        <v>13380248173</v>
      </c>
      <c r="E3225" s="3682">
        <f>SUM(E3226+E3229+E3232+E3240+E3244+E3249)</f>
        <v>13352342097</v>
      </c>
      <c r="F3225" s="2962">
        <f>E3225/D3225*100</f>
        <v>99.791438277981186</v>
      </c>
      <c r="G3225" s="4091">
        <f>SUM(G3229+G3232+G3240+G3244+G3249)/5</f>
        <v>100</v>
      </c>
      <c r="H3225" s="1463"/>
    </row>
    <row r="3226" spans="1:11" ht="15.75" customHeight="1" x14ac:dyDescent="0.25">
      <c r="B3226" s="441"/>
      <c r="C3226" s="2599" t="s">
        <v>2107</v>
      </c>
      <c r="D3226" s="4065">
        <f>D3227</f>
        <v>0</v>
      </c>
      <c r="E3226" s="3991">
        <f>E3227</f>
        <v>0</v>
      </c>
      <c r="F3226" s="3991">
        <v>0</v>
      </c>
      <c r="G3226" s="3991">
        <v>0</v>
      </c>
      <c r="H3226" s="1463"/>
    </row>
    <row r="3227" spans="1:11" ht="18.75" hidden="1" customHeight="1" x14ac:dyDescent="0.25">
      <c r="B3227" s="441"/>
      <c r="C3227" s="2600" t="s">
        <v>2108</v>
      </c>
      <c r="D3227" s="4357">
        <v>0</v>
      </c>
      <c r="E3227" s="3683">
        <v>0</v>
      </c>
      <c r="F3227" s="3683">
        <v>0</v>
      </c>
      <c r="G3227" s="3683">
        <v>0</v>
      </c>
      <c r="H3227" s="1463"/>
    </row>
    <row r="3228" spans="1:11" ht="9" customHeight="1" x14ac:dyDescent="0.25">
      <c r="B3228" s="441"/>
      <c r="C3228" s="2600"/>
      <c r="D3228" s="4066"/>
      <c r="E3228" s="2690"/>
      <c r="F3228" s="2702"/>
      <c r="G3228" s="3037"/>
      <c r="H3228" s="1463"/>
    </row>
    <row r="3229" spans="1:11" ht="15.75" customHeight="1" x14ac:dyDescent="0.25">
      <c r="B3229" s="441"/>
      <c r="C3229" s="2599" t="s">
        <v>2109</v>
      </c>
      <c r="D3229" s="4065">
        <f>D3230</f>
        <v>184666886</v>
      </c>
      <c r="E3229" s="3991">
        <f>E3230</f>
        <v>184666886</v>
      </c>
      <c r="F3229" s="2695">
        <f>E3229/D3229*100</f>
        <v>100</v>
      </c>
      <c r="G3229" s="2969">
        <f>G3230</f>
        <v>100</v>
      </c>
      <c r="H3229" s="1463"/>
    </row>
    <row r="3230" spans="1:11" ht="18.75" hidden="1" customHeight="1" x14ac:dyDescent="0.25">
      <c r="B3230" s="441"/>
      <c r="C3230" s="2600" t="s">
        <v>2110</v>
      </c>
      <c r="D3230" s="4357">
        <v>184666886</v>
      </c>
      <c r="E3230" s="4092">
        <v>184666886</v>
      </c>
      <c r="F3230" s="2690">
        <f>E3230/D3230*100</f>
        <v>100</v>
      </c>
      <c r="G3230" s="2967">
        <v>100</v>
      </c>
      <c r="H3230" s="1463"/>
    </row>
    <row r="3231" spans="1:11" ht="12" hidden="1" customHeight="1" x14ac:dyDescent="0.25">
      <c r="B3231" s="441"/>
      <c r="C3231" s="2601"/>
      <c r="D3231" s="4066"/>
      <c r="E3231" s="2690"/>
      <c r="F3231" s="2690"/>
      <c r="G3231" s="3037"/>
      <c r="H3231" s="1463"/>
    </row>
    <row r="3232" spans="1:11" ht="17.25" customHeight="1" x14ac:dyDescent="0.25">
      <c r="B3232" s="441"/>
      <c r="C3232" s="2599" t="s">
        <v>248</v>
      </c>
      <c r="D3232" s="4065">
        <f>SUM(D3233:D3238)</f>
        <v>10628391576</v>
      </c>
      <c r="E3232" s="2695">
        <f>SUM(E3233:E3238)</f>
        <v>10601635500</v>
      </c>
      <c r="F3232" s="2695">
        <f t="shared" ref="F3232:F3238" si="245">E3232/D3232*100</f>
        <v>99.74825846593366</v>
      </c>
      <c r="G3232" s="2969">
        <f>SUM(G3234:G3238)/4</f>
        <v>100</v>
      </c>
      <c r="H3232" s="1463"/>
    </row>
    <row r="3233" spans="1:11" ht="15.75" hidden="1" customHeight="1" x14ac:dyDescent="0.25">
      <c r="B3233" s="441"/>
      <c r="C3233" s="2600" t="s">
        <v>2111</v>
      </c>
      <c r="D3233" s="4357">
        <v>0</v>
      </c>
      <c r="E3233" s="4092">
        <v>0</v>
      </c>
      <c r="F3233" s="4092">
        <v>0</v>
      </c>
      <c r="G3233" s="4092">
        <v>0</v>
      </c>
      <c r="H3233" s="1463"/>
    </row>
    <row r="3234" spans="1:11" ht="16.5" hidden="1" customHeight="1" x14ac:dyDescent="0.25">
      <c r="B3234" s="441"/>
      <c r="C3234" s="2600" t="s">
        <v>3220</v>
      </c>
      <c r="D3234" s="4066">
        <v>2200756576</v>
      </c>
      <c r="E3234" s="2690">
        <v>2184800500</v>
      </c>
      <c r="F3234" s="2690">
        <f t="shared" si="245"/>
        <v>99.274973153596065</v>
      </c>
      <c r="G3234" s="3037">
        <v>100</v>
      </c>
      <c r="H3234" s="1463"/>
    </row>
    <row r="3235" spans="1:11" ht="16.5" hidden="1" customHeight="1" x14ac:dyDescent="0.25">
      <c r="B3235" s="441"/>
      <c r="C3235" s="2600" t="s">
        <v>2112</v>
      </c>
      <c r="D3235" s="4066">
        <v>308835000</v>
      </c>
      <c r="E3235" s="4093">
        <v>308835000</v>
      </c>
      <c r="F3235" s="2690">
        <f t="shared" si="245"/>
        <v>100</v>
      </c>
      <c r="G3235" s="2967">
        <v>100</v>
      </c>
      <c r="H3235" s="1463"/>
    </row>
    <row r="3236" spans="1:11" ht="15.75" hidden="1" customHeight="1" x14ac:dyDescent="0.25">
      <c r="B3236" s="441"/>
      <c r="C3236" s="2600" t="s">
        <v>2113</v>
      </c>
      <c r="D3236" s="4066">
        <v>0</v>
      </c>
      <c r="E3236" s="3986">
        <v>0</v>
      </c>
      <c r="F3236" s="3986">
        <v>0</v>
      </c>
      <c r="G3236" s="3986">
        <v>0</v>
      </c>
      <c r="H3236" s="1463"/>
    </row>
    <row r="3237" spans="1:11" ht="15" hidden="1" customHeight="1" x14ac:dyDescent="0.25">
      <c r="B3237" s="441"/>
      <c r="C3237" s="2600" t="s">
        <v>2114</v>
      </c>
      <c r="D3237" s="4066">
        <v>6120000000</v>
      </c>
      <c r="E3237" s="2690">
        <v>6120000000</v>
      </c>
      <c r="F3237" s="2690">
        <f t="shared" si="245"/>
        <v>100</v>
      </c>
      <c r="G3237" s="2967">
        <v>100</v>
      </c>
      <c r="H3237" s="1463"/>
    </row>
    <row r="3238" spans="1:11" ht="18" hidden="1" customHeight="1" x14ac:dyDescent="0.25">
      <c r="B3238" s="441"/>
      <c r="C3238" s="2600" t="s">
        <v>2115</v>
      </c>
      <c r="D3238" s="4066">
        <v>1998800000</v>
      </c>
      <c r="E3238" s="3986">
        <v>1988000000</v>
      </c>
      <c r="F3238" s="2690">
        <f t="shared" si="245"/>
        <v>99.4596758054833</v>
      </c>
      <c r="G3238" s="2967">
        <v>100</v>
      </c>
      <c r="H3238" s="1463"/>
    </row>
    <row r="3239" spans="1:11" ht="9.75" customHeight="1" x14ac:dyDescent="0.25">
      <c r="B3239" s="441"/>
      <c r="C3239" s="2601"/>
      <c r="D3239" s="4066"/>
      <c r="E3239" s="2690"/>
      <c r="F3239" s="2702"/>
      <c r="G3239" s="3037"/>
      <c r="H3239" s="1463"/>
    </row>
    <row r="3240" spans="1:11" s="32" customFormat="1" ht="15.75" customHeight="1" x14ac:dyDescent="0.25">
      <c r="A3240" s="1"/>
      <c r="B3240" s="441"/>
      <c r="C3240" s="2599" t="s">
        <v>2116</v>
      </c>
      <c r="D3240" s="4065">
        <f>SUM(D3241:D3242)</f>
        <v>571181000</v>
      </c>
      <c r="E3240" s="2695">
        <f>SUM(E3241:E3242)</f>
        <v>571181000</v>
      </c>
      <c r="F3240" s="2695">
        <f>SUM(E3240/D3240)*100</f>
        <v>100</v>
      </c>
      <c r="G3240" s="2969">
        <f>SUM(G3241:G3242)/2</f>
        <v>100</v>
      </c>
      <c r="H3240" s="1462"/>
      <c r="J3240" s="1208"/>
      <c r="K3240" s="1208"/>
    </row>
    <row r="3241" spans="1:11" s="196" customFormat="1" ht="17.25" hidden="1" customHeight="1" x14ac:dyDescent="0.25">
      <c r="A3241" s="12"/>
      <c r="B3241" s="448"/>
      <c r="C3241" s="2600" t="s">
        <v>2117</v>
      </c>
      <c r="D3241" s="4066">
        <v>271181000</v>
      </c>
      <c r="E3241" s="2690">
        <v>271181000</v>
      </c>
      <c r="F3241" s="2855">
        <f>SUM(E3241/D3241)*100</f>
        <v>100</v>
      </c>
      <c r="G3241" s="2967">
        <v>100</v>
      </c>
      <c r="H3241" s="3715"/>
      <c r="J3241" s="1212"/>
      <c r="K3241" s="1212"/>
    </row>
    <row r="3242" spans="1:11" s="196" customFormat="1" ht="18" hidden="1" customHeight="1" x14ac:dyDescent="0.25">
      <c r="A3242" s="12"/>
      <c r="B3242" s="448"/>
      <c r="C3242" s="2600" t="s">
        <v>4073</v>
      </c>
      <c r="D3242" s="4066">
        <v>300000000</v>
      </c>
      <c r="E3242" s="2690">
        <v>300000000</v>
      </c>
      <c r="F3242" s="2855">
        <f>SUM(E3242/D3242)*100</f>
        <v>100</v>
      </c>
      <c r="G3242" s="2967">
        <v>100</v>
      </c>
      <c r="H3242" s="3715"/>
      <c r="J3242" s="1212"/>
      <c r="K3242" s="1212"/>
    </row>
    <row r="3243" spans="1:11" ht="11.25" hidden="1" customHeight="1" x14ac:dyDescent="0.25">
      <c r="B3243" s="441"/>
      <c r="C3243" s="2601"/>
      <c r="D3243" s="4066"/>
      <c r="E3243" s="2690"/>
      <c r="F3243" s="2855"/>
      <c r="G3243" s="3037"/>
      <c r="H3243" s="1463"/>
    </row>
    <row r="3244" spans="1:11" s="32" customFormat="1" ht="19.5" customHeight="1" x14ac:dyDescent="0.25">
      <c r="A3244" s="1"/>
      <c r="B3244" s="441"/>
      <c r="C3244" s="2599" t="s">
        <v>2118</v>
      </c>
      <c r="D3244" s="4065">
        <f>SUM(D3245:D3247)</f>
        <v>1660669051</v>
      </c>
      <c r="E3244" s="2695">
        <f>SUM(E3245:E3247)</f>
        <v>1659669051</v>
      </c>
      <c r="F3244" s="3250">
        <f t="shared" ref="F3244:F3252" si="246">SUM(E3244/D3244)*100</f>
        <v>99.939783306047772</v>
      </c>
      <c r="G3244" s="2969">
        <f>SUM(G3245:G3247)/3</f>
        <v>100</v>
      </c>
      <c r="H3244" s="1462"/>
      <c r="J3244" s="1208"/>
      <c r="K3244" s="1208"/>
    </row>
    <row r="3245" spans="1:11" s="196" customFormat="1" ht="17.25" hidden="1" customHeight="1" x14ac:dyDescent="0.25">
      <c r="A3245" s="12"/>
      <c r="B3245" s="448"/>
      <c r="C3245" s="2600" t="s">
        <v>2119</v>
      </c>
      <c r="D3245" s="4066">
        <v>279771000</v>
      </c>
      <c r="E3245" s="2690">
        <v>278771000</v>
      </c>
      <c r="F3245" s="2855">
        <f t="shared" si="246"/>
        <v>99.642564811935472</v>
      </c>
      <c r="G3245" s="2967">
        <v>100</v>
      </c>
      <c r="H3245" s="3715"/>
      <c r="J3245" s="1212"/>
      <c r="K3245" s="1212"/>
    </row>
    <row r="3246" spans="1:11" s="196" customFormat="1" ht="17.25" hidden="1" customHeight="1" x14ac:dyDescent="0.25">
      <c r="A3246" s="12"/>
      <c r="B3246" s="448"/>
      <c r="C3246" s="2600" t="s">
        <v>2120</v>
      </c>
      <c r="D3246" s="4066">
        <v>390898051</v>
      </c>
      <c r="E3246" s="3986">
        <v>390898051</v>
      </c>
      <c r="F3246" s="2855">
        <f t="shared" si="246"/>
        <v>100</v>
      </c>
      <c r="G3246" s="2967">
        <v>100</v>
      </c>
      <c r="H3246" s="3715"/>
      <c r="J3246" s="1212"/>
      <c r="K3246" s="1212"/>
    </row>
    <row r="3247" spans="1:11" s="196" customFormat="1" ht="17.25" hidden="1" customHeight="1" x14ac:dyDescent="0.25">
      <c r="A3247" s="12"/>
      <c r="B3247" s="448"/>
      <c r="C3247" s="2600" t="s">
        <v>4078</v>
      </c>
      <c r="D3247" s="4066">
        <v>990000000</v>
      </c>
      <c r="E3247" s="3986">
        <v>990000000</v>
      </c>
      <c r="F3247" s="2855">
        <f t="shared" si="246"/>
        <v>100</v>
      </c>
      <c r="G3247" s="2967">
        <v>100</v>
      </c>
      <c r="H3247" s="3715"/>
      <c r="J3247" s="1212"/>
      <c r="K3247" s="1212"/>
    </row>
    <row r="3248" spans="1:11" ht="7.5" hidden="1" customHeight="1" x14ac:dyDescent="0.25">
      <c r="B3248" s="441"/>
      <c r="C3248" s="2601"/>
      <c r="D3248" s="4066"/>
      <c r="E3248" s="2690"/>
      <c r="F3248" s="2855"/>
      <c r="G3248" s="3037"/>
      <c r="H3248" s="1463"/>
    </row>
    <row r="3249" spans="1:11" s="32" customFormat="1" ht="18" customHeight="1" x14ac:dyDescent="0.25">
      <c r="A3249" s="1"/>
      <c r="B3249" s="441"/>
      <c r="C3249" s="2599" t="s">
        <v>2121</v>
      </c>
      <c r="D3249" s="4065">
        <f>SUM(D3250:D3252)</f>
        <v>335339660</v>
      </c>
      <c r="E3249" s="2695">
        <f>SUM(E3250:E3252)</f>
        <v>335189660</v>
      </c>
      <c r="F3249" s="3250">
        <f t="shared" si="246"/>
        <v>99.95526923358841</v>
      </c>
      <c r="G3249" s="2969">
        <f>SUM(G3250:G3252)/3</f>
        <v>100</v>
      </c>
      <c r="H3249" s="1462"/>
      <c r="J3249" s="1208"/>
      <c r="K3249" s="1208"/>
    </row>
    <row r="3250" spans="1:11" s="196" customFormat="1" ht="15.75" hidden="1" customHeight="1" x14ac:dyDescent="0.25">
      <c r="A3250" s="12"/>
      <c r="B3250" s="448"/>
      <c r="C3250" s="2600" t="s">
        <v>2122</v>
      </c>
      <c r="D3250" s="4066">
        <v>101488000</v>
      </c>
      <c r="E3250" s="2690">
        <v>101488000</v>
      </c>
      <c r="F3250" s="2855">
        <f t="shared" si="246"/>
        <v>100</v>
      </c>
      <c r="G3250" s="2967">
        <v>100</v>
      </c>
      <c r="H3250" s="3715"/>
      <c r="J3250" s="1212"/>
      <c r="K3250" s="1212"/>
    </row>
    <row r="3251" spans="1:11" s="196" customFormat="1" ht="15.75" hidden="1" customHeight="1" x14ac:dyDescent="0.25">
      <c r="A3251" s="12"/>
      <c r="B3251" s="448"/>
      <c r="C3251" s="2600" t="s">
        <v>2123</v>
      </c>
      <c r="D3251" s="4066">
        <v>109635660</v>
      </c>
      <c r="E3251" s="2855">
        <v>109485660</v>
      </c>
      <c r="F3251" s="2855">
        <f>SUM(E3251/D3251)*100</f>
        <v>99.863183201524038</v>
      </c>
      <c r="G3251" s="2855">
        <v>100</v>
      </c>
      <c r="H3251" s="3715"/>
      <c r="J3251" s="1212"/>
      <c r="K3251" s="1212"/>
    </row>
    <row r="3252" spans="1:11" s="196" customFormat="1" ht="15.75" hidden="1" customHeight="1" x14ac:dyDescent="0.25">
      <c r="A3252" s="12"/>
      <c r="B3252" s="448"/>
      <c r="C3252" s="2600" t="s">
        <v>2124</v>
      </c>
      <c r="D3252" s="4066">
        <v>124216000</v>
      </c>
      <c r="E3252" s="2690">
        <v>124216000</v>
      </c>
      <c r="F3252" s="2855">
        <f t="shared" si="246"/>
        <v>100</v>
      </c>
      <c r="G3252" s="2967">
        <v>100</v>
      </c>
      <c r="H3252" s="3715"/>
      <c r="J3252" s="1212"/>
      <c r="K3252" s="1212"/>
    </row>
    <row r="3253" spans="1:11" ht="12" hidden="1" customHeight="1" x14ac:dyDescent="0.25">
      <c r="B3253" s="441"/>
      <c r="C3253" s="2475"/>
      <c r="D3253" s="4301"/>
      <c r="E3253" s="2752"/>
      <c r="F3253" s="3084"/>
      <c r="G3253" s="3036"/>
      <c r="H3253" s="1463"/>
    </row>
    <row r="3254" spans="1:11" ht="16.5" customHeight="1" x14ac:dyDescent="0.25">
      <c r="B3254" s="440"/>
      <c r="C3254" s="2471" t="s">
        <v>398</v>
      </c>
      <c r="D3254" s="4106">
        <f>D3255+D3258+D3263+D3267+D3270+D3273+D3280+D3292+D3276+D3285+D3289</f>
        <v>7172357320</v>
      </c>
      <c r="E3254" s="2672">
        <f>E3255+E3258+E3263+E3267+E3270+E3273+E3280+E3292+E3276+E3285+E3289</f>
        <v>6952460000</v>
      </c>
      <c r="F3254" s="2672">
        <f>E3254/D3254*100</f>
        <v>96.934099764008977</v>
      </c>
      <c r="G3254" s="3997">
        <f>SUM(G3255+G3258+G3263+G3267+G3270+G3273+G3276+G3280+G3285+G3289+G3292)/11</f>
        <v>97.971515151515135</v>
      </c>
      <c r="H3254" s="1463"/>
    </row>
    <row r="3255" spans="1:11" ht="18.75" customHeight="1" x14ac:dyDescent="0.25">
      <c r="B3255" s="441"/>
      <c r="C3255" s="2599" t="s">
        <v>2126</v>
      </c>
      <c r="D3255" s="4065">
        <f>D3256</f>
        <v>4049400000</v>
      </c>
      <c r="E3255" s="4094">
        <f>E3256</f>
        <v>3930150000</v>
      </c>
      <c r="F3255" s="2695">
        <f>E3255/D3255*100</f>
        <v>97.055119276929915</v>
      </c>
      <c r="G3255" s="3992">
        <f>G3256</f>
        <v>100</v>
      </c>
      <c r="H3255" s="1463"/>
    </row>
    <row r="3256" spans="1:11" ht="15.75" hidden="1" customHeight="1" x14ac:dyDescent="0.25">
      <c r="B3256" s="441"/>
      <c r="C3256" s="2600" t="s">
        <v>2127</v>
      </c>
      <c r="D3256" s="4357">
        <v>4049400000</v>
      </c>
      <c r="E3256" s="4092">
        <v>3930150000</v>
      </c>
      <c r="F3256" s="2690">
        <f>E3256/D3256*100</f>
        <v>97.055119276929915</v>
      </c>
      <c r="G3256" s="2967">
        <v>100</v>
      </c>
      <c r="H3256" s="1463"/>
    </row>
    <row r="3257" spans="1:11" ht="8.25" hidden="1" customHeight="1" x14ac:dyDescent="0.25">
      <c r="B3257" s="441"/>
      <c r="C3257" s="2473"/>
      <c r="D3257" s="4071"/>
      <c r="E3257" s="2690"/>
      <c r="F3257" s="2690"/>
      <c r="G3257" s="3027"/>
      <c r="H3257" s="1463"/>
    </row>
    <row r="3258" spans="1:11" ht="17.25" customHeight="1" x14ac:dyDescent="0.25">
      <c r="B3258" s="441"/>
      <c r="C3258" s="2599" t="s">
        <v>678</v>
      </c>
      <c r="D3258" s="4358">
        <f>SUM(D3259:D3261)</f>
        <v>375000000</v>
      </c>
      <c r="E3258" s="4095">
        <f>SUM(E3259:E3261)</f>
        <v>375000000</v>
      </c>
      <c r="F3258" s="2695">
        <f t="shared" ref="F3258:F3264" si="247">E3258/D3258*100</f>
        <v>100</v>
      </c>
      <c r="G3258" s="2969">
        <f>SUM(G3260:G3261)/2</f>
        <v>100</v>
      </c>
      <c r="H3258" s="1463"/>
    </row>
    <row r="3259" spans="1:11" ht="15.75" hidden="1" customHeight="1" x14ac:dyDescent="0.25">
      <c r="B3259" s="441"/>
      <c r="C3259" s="2600" t="s">
        <v>2128</v>
      </c>
      <c r="D3259" s="4357">
        <v>0</v>
      </c>
      <c r="E3259" s="4092">
        <v>0</v>
      </c>
      <c r="F3259" s="4092">
        <v>0</v>
      </c>
      <c r="G3259" s="2855"/>
      <c r="H3259" s="1463"/>
    </row>
    <row r="3260" spans="1:11" ht="15.75" hidden="1" customHeight="1" x14ac:dyDescent="0.25">
      <c r="B3260" s="444"/>
      <c r="C3260" s="2600" t="s">
        <v>2129</v>
      </c>
      <c r="D3260" s="4357">
        <v>187500000</v>
      </c>
      <c r="E3260" s="3336">
        <v>187500000</v>
      </c>
      <c r="F3260" s="2690">
        <f t="shared" si="247"/>
        <v>100</v>
      </c>
      <c r="G3260" s="2967">
        <v>100</v>
      </c>
      <c r="H3260" s="1463"/>
    </row>
    <row r="3261" spans="1:11" ht="17.25" hidden="1" customHeight="1" x14ac:dyDescent="0.25">
      <c r="B3261" s="441"/>
      <c r="C3261" s="2600" t="s">
        <v>2130</v>
      </c>
      <c r="D3261" s="4357">
        <v>187500000</v>
      </c>
      <c r="E3261" s="3336">
        <v>187500000</v>
      </c>
      <c r="F3261" s="2690">
        <f t="shared" si="247"/>
        <v>100</v>
      </c>
      <c r="G3261" s="2967">
        <v>100</v>
      </c>
      <c r="H3261" s="1463"/>
    </row>
    <row r="3262" spans="1:11" ht="12" hidden="1" customHeight="1" x14ac:dyDescent="0.25">
      <c r="B3262" s="441"/>
      <c r="C3262" s="2600"/>
      <c r="D3262" s="4066"/>
      <c r="E3262" s="2690"/>
      <c r="F3262" s="2702"/>
      <c r="G3262" s="3037"/>
      <c r="H3262" s="1463"/>
    </row>
    <row r="3263" spans="1:11" ht="20.25" customHeight="1" x14ac:dyDescent="0.25">
      <c r="B3263" s="441"/>
      <c r="C3263" s="2599" t="s">
        <v>2131</v>
      </c>
      <c r="D3263" s="4358">
        <f>SUM(D3264:D3265)</f>
        <v>450000000</v>
      </c>
      <c r="E3263" s="4095">
        <f>SUM(E3264:E3265)</f>
        <v>450000000</v>
      </c>
      <c r="F3263" s="2695">
        <f t="shared" si="247"/>
        <v>100</v>
      </c>
      <c r="G3263" s="2969">
        <f>SUM(G3264:G3265)/2</f>
        <v>100</v>
      </c>
      <c r="H3263" s="1463"/>
    </row>
    <row r="3264" spans="1:11" ht="14.25" hidden="1" customHeight="1" x14ac:dyDescent="0.25">
      <c r="B3264" s="441"/>
      <c r="C3264" s="2600" t="s">
        <v>2132</v>
      </c>
      <c r="D3264" s="4357">
        <v>222137500</v>
      </c>
      <c r="E3264" s="2855">
        <v>222137500</v>
      </c>
      <c r="F3264" s="2690">
        <f t="shared" si="247"/>
        <v>100</v>
      </c>
      <c r="G3264" s="2855">
        <v>100</v>
      </c>
      <c r="H3264" s="1463"/>
    </row>
    <row r="3265" spans="1:11" s="196" customFormat="1" ht="17.25" hidden="1" customHeight="1" x14ac:dyDescent="0.25">
      <c r="A3265" s="12"/>
      <c r="B3265" s="448"/>
      <c r="C3265" s="2600" t="s">
        <v>2133</v>
      </c>
      <c r="D3265" s="4357">
        <v>227862500</v>
      </c>
      <c r="E3265" s="2690">
        <v>227862500</v>
      </c>
      <c r="F3265" s="2855">
        <f>SUM(E3265/D3265)*100</f>
        <v>100</v>
      </c>
      <c r="G3265" s="2690">
        <v>100</v>
      </c>
      <c r="H3265" s="3715"/>
      <c r="J3265" s="1212"/>
      <c r="K3265" s="1212"/>
    </row>
    <row r="3266" spans="1:11" ht="8.25" hidden="1" customHeight="1" x14ac:dyDescent="0.25">
      <c r="B3266" s="441"/>
      <c r="C3266" s="2601"/>
      <c r="D3266" s="4066"/>
      <c r="E3266" s="2690"/>
      <c r="F3266" s="2702"/>
      <c r="G3266" s="3037"/>
      <c r="H3266" s="1463"/>
    </row>
    <row r="3267" spans="1:11" ht="16.5" customHeight="1" x14ac:dyDescent="0.25">
      <c r="B3267" s="441"/>
      <c r="C3267" s="2599" t="s">
        <v>2134</v>
      </c>
      <c r="D3267" s="4358">
        <f>D3268</f>
        <v>187500000</v>
      </c>
      <c r="E3267" s="4095">
        <f>E3268</f>
        <v>187500000</v>
      </c>
      <c r="F3267" s="2734">
        <f>SUM(E3267/D3267)*100</f>
        <v>100</v>
      </c>
      <c r="G3267" s="3250">
        <v>100</v>
      </c>
      <c r="H3267" s="1463"/>
    </row>
    <row r="3268" spans="1:11" ht="17.25" hidden="1" customHeight="1" x14ac:dyDescent="0.25">
      <c r="B3268" s="441"/>
      <c r="C3268" s="2600" t="s">
        <v>2135</v>
      </c>
      <c r="D3268" s="4357">
        <v>187500000</v>
      </c>
      <c r="E3268" s="2855">
        <v>187500000</v>
      </c>
      <c r="F3268" s="2855">
        <f>SUM(E3268/D3268)*100</f>
        <v>100</v>
      </c>
      <c r="G3268" s="2855">
        <v>100</v>
      </c>
      <c r="H3268" s="1463"/>
    </row>
    <row r="3269" spans="1:11" ht="8.25" hidden="1" customHeight="1" x14ac:dyDescent="0.25">
      <c r="B3269" s="441"/>
      <c r="C3269" s="2473"/>
      <c r="D3269" s="4066"/>
      <c r="E3269" s="2690"/>
      <c r="F3269" s="2702"/>
      <c r="G3269" s="3037"/>
      <c r="H3269" s="1463"/>
    </row>
    <row r="3270" spans="1:11" ht="16.5" customHeight="1" x14ac:dyDescent="0.25">
      <c r="B3270" s="441"/>
      <c r="C3270" s="2599" t="s">
        <v>2136</v>
      </c>
      <c r="D3270" s="4358">
        <f>D3271</f>
        <v>187500000</v>
      </c>
      <c r="E3270" s="4095">
        <f>E3271</f>
        <v>187500000</v>
      </c>
      <c r="F3270" s="2734">
        <f>SUM(E3270/D3270)*100</f>
        <v>100</v>
      </c>
      <c r="G3270" s="3250">
        <v>100</v>
      </c>
      <c r="H3270" s="1463"/>
    </row>
    <row r="3271" spans="1:11" ht="16.5" hidden="1" customHeight="1" x14ac:dyDescent="0.25">
      <c r="B3271" s="441"/>
      <c r="C3271" s="2600" t="s">
        <v>2137</v>
      </c>
      <c r="D3271" s="4357">
        <v>187500000</v>
      </c>
      <c r="E3271" s="2855">
        <v>187500000</v>
      </c>
      <c r="F3271" s="2855">
        <f>SUM(E3271/D3271)*100</f>
        <v>100</v>
      </c>
      <c r="G3271" s="2855">
        <v>100</v>
      </c>
      <c r="H3271" s="1463"/>
    </row>
    <row r="3272" spans="1:11" ht="14.25" hidden="1" customHeight="1" x14ac:dyDescent="0.25">
      <c r="B3272" s="441"/>
      <c r="C3272" s="2473"/>
      <c r="D3272" s="4066"/>
      <c r="E3272" s="2690"/>
      <c r="F3272" s="2702"/>
      <c r="G3272" s="3037"/>
      <c r="H3272" s="1463"/>
    </row>
    <row r="3273" spans="1:11" ht="19.5" customHeight="1" x14ac:dyDescent="0.25">
      <c r="B3273" s="441"/>
      <c r="C3273" s="2599" t="s">
        <v>2138</v>
      </c>
      <c r="D3273" s="4358">
        <f>D3274</f>
        <v>187500000</v>
      </c>
      <c r="E3273" s="4358">
        <f>E3274</f>
        <v>186775000</v>
      </c>
      <c r="F3273" s="2734">
        <f>SUM(E3273/D3273)*100</f>
        <v>99.61333333333333</v>
      </c>
      <c r="G3273" s="3250">
        <f>G3274</f>
        <v>100</v>
      </c>
      <c r="H3273" s="1463"/>
    </row>
    <row r="3274" spans="1:11" ht="21" hidden="1" customHeight="1" x14ac:dyDescent="0.25">
      <c r="B3274" s="441"/>
      <c r="C3274" s="2600" t="s">
        <v>2139</v>
      </c>
      <c r="D3274" s="4357">
        <v>187500000</v>
      </c>
      <c r="E3274" s="2855">
        <v>186775000</v>
      </c>
      <c r="F3274" s="2855">
        <f>SUM(E3274/D3274)*100</f>
        <v>99.61333333333333</v>
      </c>
      <c r="G3274" s="2855">
        <v>100</v>
      </c>
      <c r="H3274" s="1463"/>
    </row>
    <row r="3275" spans="1:11" ht="9" hidden="1" customHeight="1" x14ac:dyDescent="0.25">
      <c r="B3275" s="441"/>
      <c r="C3275" s="2473"/>
      <c r="D3275" s="4066"/>
      <c r="E3275" s="2690"/>
      <c r="F3275" s="2702"/>
      <c r="G3275" s="3037"/>
      <c r="H3275" s="1463"/>
    </row>
    <row r="3276" spans="1:11" ht="18" customHeight="1" x14ac:dyDescent="0.25">
      <c r="B3276" s="441"/>
      <c r="C3276" s="2491" t="s">
        <v>2140</v>
      </c>
      <c r="D3276" s="4065">
        <f>SUM(D3277:D3278)</f>
        <v>440567320</v>
      </c>
      <c r="E3276" s="2695">
        <f>SUM(E3277:E3278)</f>
        <v>435825000</v>
      </c>
      <c r="F3276" s="2734">
        <f>SUM(E3276/D3276)*100</f>
        <v>98.92358788663671</v>
      </c>
      <c r="G3276" s="2969">
        <f>SUM(G3277:G3278)/2</f>
        <v>100</v>
      </c>
      <c r="H3276" s="1463"/>
    </row>
    <row r="3277" spans="1:11" ht="21.75" hidden="1" customHeight="1" x14ac:dyDescent="0.25">
      <c r="B3277" s="441"/>
      <c r="C3277" s="2494" t="s">
        <v>2141</v>
      </c>
      <c r="D3277" s="4357">
        <v>253067320</v>
      </c>
      <c r="E3277" s="4096">
        <v>248325000</v>
      </c>
      <c r="F3277" s="2855">
        <f>SUM(E3277/D3277)*100</f>
        <v>98.126063847358878</v>
      </c>
      <c r="G3277" s="2967">
        <v>100</v>
      </c>
      <c r="H3277" s="1463"/>
    </row>
    <row r="3278" spans="1:11" ht="16.5" hidden="1" customHeight="1" x14ac:dyDescent="0.25">
      <c r="B3278" s="441"/>
      <c r="C3278" s="2494" t="s">
        <v>2142</v>
      </c>
      <c r="D3278" s="4357">
        <v>187500000</v>
      </c>
      <c r="E3278" s="2855">
        <v>187500000</v>
      </c>
      <c r="F3278" s="2855">
        <f>SUM(E3278/D3278)*100</f>
        <v>100</v>
      </c>
      <c r="G3278" s="2855">
        <v>100</v>
      </c>
      <c r="H3278" s="1463"/>
    </row>
    <row r="3279" spans="1:11" ht="12.75" hidden="1" customHeight="1" x14ac:dyDescent="0.25">
      <c r="B3279" s="441"/>
      <c r="C3279" s="2473"/>
      <c r="D3279" s="4066"/>
      <c r="E3279" s="2690"/>
      <c r="F3279" s="2702"/>
      <c r="G3279" s="3037"/>
      <c r="H3279" s="1463"/>
    </row>
    <row r="3280" spans="1:11" ht="17.25" customHeight="1" x14ac:dyDescent="0.25">
      <c r="B3280" s="441"/>
      <c r="C3280" s="2491" t="s">
        <v>2143</v>
      </c>
      <c r="D3280" s="4065">
        <f>SUM(D3281:D3283)</f>
        <v>682400000</v>
      </c>
      <c r="E3280" s="2695">
        <f>SUM(E3281:E3283)</f>
        <v>630075000</v>
      </c>
      <c r="F3280" s="2734">
        <f>SUM(E3280/D3280)*100</f>
        <v>92.332209847596715</v>
      </c>
      <c r="G3280" s="2695">
        <f>SUM(G3281:G3283)/3</f>
        <v>94.666666666666671</v>
      </c>
      <c r="H3280" s="1463"/>
    </row>
    <row r="3281" spans="1:11" ht="15" hidden="1" customHeight="1" x14ac:dyDescent="0.25">
      <c r="B3281" s="441"/>
      <c r="C3281" s="2494" t="s">
        <v>2144</v>
      </c>
      <c r="D3281" s="4357">
        <v>205400000</v>
      </c>
      <c r="E3281" s="4096">
        <v>199400000</v>
      </c>
      <c r="F3281" s="2855">
        <f>SUM(E3281/D3281)*100</f>
        <v>97.078870496592018</v>
      </c>
      <c r="G3281" s="2690">
        <v>100</v>
      </c>
      <c r="H3281" s="1463"/>
    </row>
    <row r="3282" spans="1:11" ht="15.75" hidden="1" customHeight="1" x14ac:dyDescent="0.25">
      <c r="B3282" s="441"/>
      <c r="C3282" s="2494" t="s">
        <v>2145</v>
      </c>
      <c r="D3282" s="3704">
        <v>227000000</v>
      </c>
      <c r="E3282" s="4096">
        <v>190675000</v>
      </c>
      <c r="F3282" s="2855">
        <f t="shared" ref="F3282:F3293" si="248">SUM(E3282/D3282)*100</f>
        <v>83.997797356828201</v>
      </c>
      <c r="G3282" s="2690">
        <v>84</v>
      </c>
      <c r="H3282" s="1463"/>
    </row>
    <row r="3283" spans="1:11" ht="14.25" hidden="1" customHeight="1" x14ac:dyDescent="0.25">
      <c r="B3283" s="441"/>
      <c r="C3283" s="2494" t="s">
        <v>2146</v>
      </c>
      <c r="D3283" s="4357">
        <v>250000000</v>
      </c>
      <c r="E3283" s="4096">
        <v>240000000</v>
      </c>
      <c r="F3283" s="2855">
        <f t="shared" si="248"/>
        <v>96</v>
      </c>
      <c r="G3283" s="2690">
        <v>100</v>
      </c>
      <c r="H3283" s="1463"/>
    </row>
    <row r="3284" spans="1:11" ht="12" hidden="1" customHeight="1" x14ac:dyDescent="0.25">
      <c r="B3284" s="441"/>
      <c r="C3284" s="2494"/>
      <c r="D3284" s="3704"/>
      <c r="E3284" s="4096"/>
      <c r="F3284" s="2855"/>
      <c r="G3284" s="2690"/>
      <c r="H3284" s="1463"/>
    </row>
    <row r="3285" spans="1:11" s="32" customFormat="1" ht="18" customHeight="1" x14ac:dyDescent="0.25">
      <c r="A3285" s="1"/>
      <c r="B3285" s="441"/>
      <c r="C3285" s="2474" t="s">
        <v>2147</v>
      </c>
      <c r="D3285" s="4065">
        <f>SUM(D3286:D3287)</f>
        <v>487500000</v>
      </c>
      <c r="E3285" s="2695">
        <f>SUM(E3286:E3287)</f>
        <v>460790000</v>
      </c>
      <c r="F3285" s="3685">
        <f t="shared" si="248"/>
        <v>94.521025641025631</v>
      </c>
      <c r="G3285" s="2969">
        <f>SUM(G3286:G3287)/2</f>
        <v>100</v>
      </c>
      <c r="H3285" s="1462"/>
      <c r="J3285" s="1208"/>
      <c r="K3285" s="1208"/>
    </row>
    <row r="3286" spans="1:11" ht="16.5" hidden="1" customHeight="1" x14ac:dyDescent="0.25">
      <c r="B3286" s="441"/>
      <c r="C3286" s="2473" t="s">
        <v>2148</v>
      </c>
      <c r="D3286" s="4066">
        <v>300000000</v>
      </c>
      <c r="E3286" s="2690">
        <v>273290000</v>
      </c>
      <c r="F3286" s="2855">
        <f t="shared" si="248"/>
        <v>91.096666666666664</v>
      </c>
      <c r="G3286" s="2967">
        <v>100</v>
      </c>
      <c r="H3286" s="1463"/>
    </row>
    <row r="3287" spans="1:11" ht="18.75" hidden="1" customHeight="1" x14ac:dyDescent="0.25">
      <c r="B3287" s="441"/>
      <c r="C3287" s="2473" t="s">
        <v>2149</v>
      </c>
      <c r="D3287" s="4066">
        <v>187500000</v>
      </c>
      <c r="E3287" s="2690">
        <v>187500000</v>
      </c>
      <c r="F3287" s="2855">
        <f t="shared" si="248"/>
        <v>100</v>
      </c>
      <c r="G3287" s="2967">
        <v>100</v>
      </c>
      <c r="H3287" s="1463"/>
    </row>
    <row r="3288" spans="1:11" ht="12" hidden="1" customHeight="1" x14ac:dyDescent="0.25">
      <c r="B3288" s="441"/>
      <c r="C3288" s="2473"/>
      <c r="D3288" s="4066"/>
      <c r="E3288" s="2690"/>
      <c r="F3288" s="2855"/>
      <c r="G3288" s="3037"/>
      <c r="H3288" s="1463"/>
    </row>
    <row r="3289" spans="1:11" s="32" customFormat="1" ht="15.75" customHeight="1" x14ac:dyDescent="0.25">
      <c r="A3289" s="1"/>
      <c r="B3289" s="441"/>
      <c r="C3289" s="2474" t="s">
        <v>2150</v>
      </c>
      <c r="D3289" s="4065">
        <f>D3290</f>
        <v>62490000</v>
      </c>
      <c r="E3289" s="2695">
        <f>E3290</f>
        <v>51880000</v>
      </c>
      <c r="F3289" s="3250">
        <f t="shared" si="248"/>
        <v>83.02128340534486</v>
      </c>
      <c r="G3289" s="2969">
        <f>G3290</f>
        <v>83.02</v>
      </c>
      <c r="H3289" s="1462"/>
      <c r="J3289" s="1208"/>
      <c r="K3289" s="1208"/>
    </row>
    <row r="3290" spans="1:11" ht="17.25" hidden="1" customHeight="1" x14ac:dyDescent="0.25">
      <c r="B3290" s="441"/>
      <c r="C3290" s="2473" t="s">
        <v>2151</v>
      </c>
      <c r="D3290" s="4066">
        <v>62490000</v>
      </c>
      <c r="E3290" s="2690">
        <v>51880000</v>
      </c>
      <c r="F3290" s="2855">
        <f t="shared" si="248"/>
        <v>83.02128340534486</v>
      </c>
      <c r="G3290" s="2967">
        <v>83.02</v>
      </c>
      <c r="H3290" s="1463"/>
    </row>
    <row r="3291" spans="1:11" ht="12" hidden="1" customHeight="1" x14ac:dyDescent="0.25">
      <c r="B3291" s="441"/>
      <c r="C3291" s="2473"/>
      <c r="D3291" s="4066"/>
      <c r="E3291" s="2690"/>
      <c r="F3291" s="2855"/>
      <c r="G3291" s="3037"/>
      <c r="H3291" s="1463"/>
    </row>
    <row r="3292" spans="1:11" ht="18.75" customHeight="1" x14ac:dyDescent="0.25">
      <c r="B3292" s="441"/>
      <c r="C3292" s="2491" t="s">
        <v>2152</v>
      </c>
      <c r="D3292" s="4065">
        <f>D3293</f>
        <v>62500000</v>
      </c>
      <c r="E3292" s="3991">
        <f>E3293</f>
        <v>56965000</v>
      </c>
      <c r="F3292" s="3250">
        <f t="shared" si="248"/>
        <v>91.144000000000005</v>
      </c>
      <c r="G3292" s="2969">
        <f>G3293</f>
        <v>100</v>
      </c>
      <c r="H3292" s="1463"/>
    </row>
    <row r="3293" spans="1:11" ht="17.25" hidden="1" customHeight="1" x14ac:dyDescent="0.25">
      <c r="B3293" s="441"/>
      <c r="C3293" s="2494" t="s">
        <v>2153</v>
      </c>
      <c r="D3293" s="4357">
        <v>62500000</v>
      </c>
      <c r="E3293" s="4092">
        <v>56965000</v>
      </c>
      <c r="F3293" s="2855">
        <f t="shared" si="248"/>
        <v>91.144000000000005</v>
      </c>
      <c r="G3293" s="2967">
        <v>100</v>
      </c>
      <c r="H3293" s="1463"/>
    </row>
    <row r="3294" spans="1:11" ht="12" hidden="1" customHeight="1" x14ac:dyDescent="0.25">
      <c r="B3294" s="441"/>
      <c r="C3294" s="2475"/>
      <c r="D3294" s="4301"/>
      <c r="E3294" s="2752"/>
      <c r="F3294" s="3084"/>
      <c r="G3294" s="3036"/>
      <c r="H3294" s="1463"/>
    </row>
    <row r="3295" spans="1:11" ht="17.25" customHeight="1" x14ac:dyDescent="0.25">
      <c r="B3295" s="440"/>
      <c r="C3295" s="2471" t="s">
        <v>1789</v>
      </c>
      <c r="D3295" s="4106">
        <f>SUM(D3296+D3299+D3302+D3305+D3308)</f>
        <v>50384398328</v>
      </c>
      <c r="E3295" s="2672">
        <f>SUM(E3296+E3299+E3302+E3305+E3308)</f>
        <v>48845391801</v>
      </c>
      <c r="F3295" s="2672">
        <f>E3295/D3295*100</f>
        <v>96.945470069958674</v>
      </c>
      <c r="G3295" s="3997">
        <f>SUM(G3296+G3299+G3302+G3305+G3308)/5</f>
        <v>96.001999999999995</v>
      </c>
      <c r="H3295" s="1463"/>
    </row>
    <row r="3296" spans="1:11" ht="18" customHeight="1" x14ac:dyDescent="0.25">
      <c r="B3296" s="441"/>
      <c r="C3296" s="2491" t="s">
        <v>2154</v>
      </c>
      <c r="D3296" s="4065">
        <f>SUM(D3297)</f>
        <v>22782131648</v>
      </c>
      <c r="E3296" s="2695">
        <f>SUM(E3297)</f>
        <v>22009360063</v>
      </c>
      <c r="F3296" s="2695">
        <f>E3296/D3296*100</f>
        <v>96.607992627995202</v>
      </c>
      <c r="G3296" s="3250">
        <f>G3297</f>
        <v>100</v>
      </c>
      <c r="H3296" s="1463"/>
    </row>
    <row r="3297" spans="1:11" ht="18.75" hidden="1" customHeight="1" x14ac:dyDescent="0.25">
      <c r="B3297" s="441"/>
      <c r="C3297" s="2494" t="s">
        <v>2155</v>
      </c>
      <c r="D3297" s="3704">
        <v>22782131648</v>
      </c>
      <c r="E3297" s="4096">
        <v>22009360063</v>
      </c>
      <c r="F3297" s="2690">
        <f>E3297/D3297*100</f>
        <v>96.607992627995202</v>
      </c>
      <c r="G3297" s="2855">
        <v>100</v>
      </c>
      <c r="H3297" s="1463"/>
    </row>
    <row r="3298" spans="1:11" ht="8.25" hidden="1" customHeight="1" x14ac:dyDescent="0.25">
      <c r="B3298" s="441"/>
      <c r="C3298" s="2473"/>
      <c r="D3298" s="4066"/>
      <c r="E3298" s="2690"/>
      <c r="F3298" s="2690"/>
      <c r="G3298" s="2690"/>
      <c r="H3298" s="1463"/>
    </row>
    <row r="3299" spans="1:11" ht="16.5" customHeight="1" x14ac:dyDescent="0.25">
      <c r="B3299" s="441"/>
      <c r="C3299" s="2491" t="s">
        <v>2156</v>
      </c>
      <c r="D3299" s="4065">
        <f>SUM(D3300:D3300)</f>
        <v>23045987195</v>
      </c>
      <c r="E3299" s="2695">
        <f>SUM(E3300:E3300)</f>
        <v>22458864538</v>
      </c>
      <c r="F3299" s="2695">
        <f t="shared" ref="F3299:F3309" si="249">E3299/D3299*100</f>
        <v>97.45238660408792</v>
      </c>
      <c r="G3299" s="2695">
        <f>G3300</f>
        <v>100</v>
      </c>
      <c r="H3299" s="1463"/>
    </row>
    <row r="3300" spans="1:11" ht="16.5" hidden="1" customHeight="1" x14ac:dyDescent="0.25">
      <c r="B3300" s="441"/>
      <c r="C3300" s="2494" t="s">
        <v>2157</v>
      </c>
      <c r="D3300" s="4066">
        <v>23045987195</v>
      </c>
      <c r="E3300" s="4096">
        <v>22458864538</v>
      </c>
      <c r="F3300" s="2690">
        <f t="shared" si="249"/>
        <v>97.45238660408792</v>
      </c>
      <c r="G3300" s="2690">
        <v>100</v>
      </c>
      <c r="H3300" s="1463"/>
    </row>
    <row r="3301" spans="1:11" ht="8.25" hidden="1" customHeight="1" x14ac:dyDescent="0.25">
      <c r="B3301" s="441"/>
      <c r="C3301" s="2551"/>
      <c r="D3301" s="4066"/>
      <c r="E3301" s="2690"/>
      <c r="F3301" s="2690"/>
      <c r="G3301" s="2690"/>
      <c r="H3301" s="1463"/>
    </row>
    <row r="3302" spans="1:11" ht="18.75" customHeight="1" x14ac:dyDescent="0.25">
      <c r="B3302" s="441"/>
      <c r="C3302" s="2491" t="s">
        <v>2158</v>
      </c>
      <c r="D3302" s="4358">
        <f>D3303</f>
        <v>3109200000</v>
      </c>
      <c r="E3302" s="4095">
        <f>E3303</f>
        <v>3073369700</v>
      </c>
      <c r="F3302" s="2695">
        <f t="shared" si="249"/>
        <v>98.847603885243799</v>
      </c>
      <c r="G3302" s="2695">
        <f>G3303</f>
        <v>100</v>
      </c>
      <c r="H3302" s="1463"/>
    </row>
    <row r="3303" spans="1:11" ht="18.75" hidden="1" customHeight="1" x14ac:dyDescent="0.25">
      <c r="B3303" s="441"/>
      <c r="C3303" s="2494" t="s">
        <v>2159</v>
      </c>
      <c r="D3303" s="4357">
        <v>3109200000</v>
      </c>
      <c r="E3303" s="4096">
        <v>3073369700</v>
      </c>
      <c r="F3303" s="2690">
        <f t="shared" si="249"/>
        <v>98.847603885243799</v>
      </c>
      <c r="G3303" s="2690">
        <v>100</v>
      </c>
      <c r="H3303" s="1463"/>
    </row>
    <row r="3304" spans="1:11" ht="10.5" hidden="1" customHeight="1" x14ac:dyDescent="0.25">
      <c r="B3304" s="441"/>
      <c r="C3304" s="2476"/>
      <c r="D3304" s="4071"/>
      <c r="E3304" s="2710"/>
      <c r="F3304" s="2690"/>
      <c r="G3304" s="3027"/>
      <c r="H3304" s="1463"/>
    </row>
    <row r="3305" spans="1:11" s="32" customFormat="1" ht="20.25" customHeight="1" x14ac:dyDescent="0.25">
      <c r="A3305" s="1"/>
      <c r="B3305" s="441"/>
      <c r="C3305" s="2474" t="s">
        <v>2160</v>
      </c>
      <c r="D3305" s="4065">
        <f>D3306</f>
        <v>499150000</v>
      </c>
      <c r="E3305" s="2695">
        <f>E3306</f>
        <v>399350000</v>
      </c>
      <c r="F3305" s="2695">
        <f t="shared" si="249"/>
        <v>80.006010217369521</v>
      </c>
      <c r="G3305" s="2969">
        <f>G3306</f>
        <v>80.010000000000005</v>
      </c>
      <c r="H3305" s="1462"/>
      <c r="J3305" s="1208"/>
      <c r="K3305" s="1208"/>
    </row>
    <row r="3306" spans="1:11" ht="15.75" hidden="1" customHeight="1" x14ac:dyDescent="0.25">
      <c r="B3306" s="444"/>
      <c r="C3306" s="2473" t="s">
        <v>3303</v>
      </c>
      <c r="D3306" s="4066">
        <v>499150000</v>
      </c>
      <c r="E3306" s="2690">
        <v>399350000</v>
      </c>
      <c r="F3306" s="2690">
        <f t="shared" si="249"/>
        <v>80.006010217369521</v>
      </c>
      <c r="G3306" s="3037">
        <v>80.010000000000005</v>
      </c>
      <c r="H3306" s="1463"/>
    </row>
    <row r="3307" spans="1:11" ht="9" hidden="1" customHeight="1" x14ac:dyDescent="0.25">
      <c r="B3307" s="441"/>
      <c r="C3307" s="2473"/>
      <c r="D3307" s="4066"/>
      <c r="E3307" s="2690"/>
      <c r="F3307" s="2702"/>
      <c r="G3307" s="3037"/>
      <c r="H3307" s="1463"/>
    </row>
    <row r="3308" spans="1:11" s="32" customFormat="1" ht="18.75" customHeight="1" x14ac:dyDescent="0.25">
      <c r="A3308" s="1"/>
      <c r="B3308" s="441"/>
      <c r="C3308" s="2474" t="s">
        <v>2161</v>
      </c>
      <c r="D3308" s="4065">
        <f>D3309</f>
        <v>947929485</v>
      </c>
      <c r="E3308" s="4065">
        <f>E3309</f>
        <v>904447500</v>
      </c>
      <c r="F3308" s="2695">
        <f t="shared" si="249"/>
        <v>95.412951523498606</v>
      </c>
      <c r="G3308" s="3250">
        <f>G3309</f>
        <v>100</v>
      </c>
      <c r="H3308" s="1462"/>
      <c r="J3308" s="1208"/>
      <c r="K3308" s="1208"/>
    </row>
    <row r="3309" spans="1:11" ht="15.75" hidden="1" customHeight="1" x14ac:dyDescent="0.25">
      <c r="B3309" s="441"/>
      <c r="C3309" s="2473" t="s">
        <v>2162</v>
      </c>
      <c r="D3309" s="4066">
        <v>947929485</v>
      </c>
      <c r="E3309" s="2855">
        <v>904447500</v>
      </c>
      <c r="F3309" s="2690">
        <f t="shared" si="249"/>
        <v>95.412951523498606</v>
      </c>
      <c r="G3309" s="2855">
        <v>100</v>
      </c>
      <c r="H3309" s="1463"/>
    </row>
    <row r="3310" spans="1:11" ht="15" hidden="1" customHeight="1" x14ac:dyDescent="0.25">
      <c r="B3310" s="441"/>
      <c r="C3310" s="2563"/>
      <c r="D3310" s="4342"/>
      <c r="E3310" s="3024"/>
      <c r="F3310" s="3358"/>
      <c r="G3310" s="4098"/>
      <c r="H3310" s="1463"/>
    </row>
    <row r="3311" spans="1:11" ht="18.75" customHeight="1" x14ac:dyDescent="0.25">
      <c r="B3311" s="440"/>
      <c r="C3311" s="2471" t="s">
        <v>2163</v>
      </c>
      <c r="D3311" s="4106">
        <f>SUM(D3312+D3321+D3324)</f>
        <v>39285554410</v>
      </c>
      <c r="E3311" s="2672">
        <f>SUM(E3312+E3321+E3324)</f>
        <v>39074939210</v>
      </c>
      <c r="F3311" s="2672">
        <f>E3311/D3311*100</f>
        <v>99.463886400069768</v>
      </c>
      <c r="G3311" s="3997">
        <f>SUM(G3312+G3321+G3324)/3</f>
        <v>100</v>
      </c>
      <c r="H3311" s="1463"/>
    </row>
    <row r="3312" spans="1:11" ht="18" customHeight="1" x14ac:dyDescent="0.25">
      <c r="B3312" s="441"/>
      <c r="C3312" s="2525" t="s">
        <v>290</v>
      </c>
      <c r="D3312" s="4065">
        <f>SUM(D3313:D3319)</f>
        <v>38384351910</v>
      </c>
      <c r="E3312" s="2695">
        <f>SUM(E3313:E3319)</f>
        <v>38173736710</v>
      </c>
      <c r="F3312" s="2695">
        <f>E3312/D3312*100</f>
        <v>99.45129931985349</v>
      </c>
      <c r="G3312" s="3992">
        <f>SUM(G3313:G3319)/7</f>
        <v>100</v>
      </c>
      <c r="H3312" s="1463"/>
    </row>
    <row r="3313" spans="2:8" ht="16.5" hidden="1" customHeight="1" x14ac:dyDescent="0.25">
      <c r="B3313" s="441"/>
      <c r="C3313" s="2473" t="s">
        <v>2164</v>
      </c>
      <c r="D3313" s="4357">
        <v>432595000</v>
      </c>
      <c r="E3313" s="3979">
        <v>432595000</v>
      </c>
      <c r="F3313" s="2690">
        <f>E3313/D3313*100</f>
        <v>100</v>
      </c>
      <c r="G3313" s="2855">
        <v>100</v>
      </c>
      <c r="H3313" s="1463"/>
    </row>
    <row r="3314" spans="2:8" ht="15" hidden="1" customHeight="1" x14ac:dyDescent="0.25">
      <c r="B3314" s="441"/>
      <c r="C3314" s="2473" t="s">
        <v>2165</v>
      </c>
      <c r="D3314" s="4357">
        <v>3600000000</v>
      </c>
      <c r="E3314" s="3363">
        <v>3597000000</v>
      </c>
      <c r="F3314" s="2690">
        <f t="shared" ref="F3314:F3316" si="250">E3314/D3314*100</f>
        <v>99.916666666666671</v>
      </c>
      <c r="G3314" s="3988">
        <v>100</v>
      </c>
      <c r="H3314" s="1463"/>
    </row>
    <row r="3315" spans="2:8" ht="17.25" hidden="1" customHeight="1" x14ac:dyDescent="0.25">
      <c r="B3315" s="441"/>
      <c r="C3315" s="2602" t="s">
        <v>2166</v>
      </c>
      <c r="D3315" s="4357">
        <v>500000000</v>
      </c>
      <c r="E3315" s="3336">
        <v>500000000</v>
      </c>
      <c r="F3315" s="2690">
        <f t="shared" si="250"/>
        <v>100</v>
      </c>
      <c r="G3315" s="3988">
        <v>100</v>
      </c>
      <c r="H3315" s="1463"/>
    </row>
    <row r="3316" spans="2:8" ht="18" hidden="1" customHeight="1" x14ac:dyDescent="0.25">
      <c r="B3316" s="441"/>
      <c r="C3316" s="2602" t="s">
        <v>2167</v>
      </c>
      <c r="D3316" s="4071">
        <v>200000000</v>
      </c>
      <c r="E3316" s="2710">
        <v>199912500</v>
      </c>
      <c r="F3316" s="2690">
        <f t="shared" si="250"/>
        <v>99.956249999999997</v>
      </c>
      <c r="G3316" s="3988">
        <v>100</v>
      </c>
      <c r="H3316" s="1463"/>
    </row>
    <row r="3317" spans="2:8" ht="17.25" hidden="1" customHeight="1" x14ac:dyDescent="0.25">
      <c r="B3317" s="441"/>
      <c r="C3317" s="2602" t="s">
        <v>2168</v>
      </c>
      <c r="D3317" s="4357">
        <v>155554410</v>
      </c>
      <c r="E3317" s="2710">
        <v>155554410</v>
      </c>
      <c r="F3317" s="2855">
        <f>SUM(E3317/D3317)*100</f>
        <v>100</v>
      </c>
      <c r="G3317" s="3988">
        <v>100</v>
      </c>
      <c r="H3317" s="1463"/>
    </row>
    <row r="3318" spans="2:8" ht="16.5" hidden="1" customHeight="1" x14ac:dyDescent="0.25">
      <c r="B3318" s="441"/>
      <c r="C3318" s="2602" t="s">
        <v>2169</v>
      </c>
      <c r="D3318" s="4357">
        <v>441202500</v>
      </c>
      <c r="E3318" s="3336">
        <v>441202500</v>
      </c>
      <c r="F3318" s="2855">
        <f t="shared" ref="F3318:F3319" si="251">SUM(E3318/D3318)*100</f>
        <v>100</v>
      </c>
      <c r="G3318" s="3988">
        <v>100</v>
      </c>
      <c r="H3318" s="1463"/>
    </row>
    <row r="3319" spans="2:8" ht="29.25" hidden="1" customHeight="1" x14ac:dyDescent="0.25">
      <c r="B3319" s="441"/>
      <c r="C3319" s="2602" t="s">
        <v>2170</v>
      </c>
      <c r="D3319" s="4357">
        <v>33055000000</v>
      </c>
      <c r="E3319" s="2710">
        <v>32847472300</v>
      </c>
      <c r="F3319" s="2855">
        <f t="shared" si="251"/>
        <v>99.372174557555596</v>
      </c>
      <c r="G3319" s="3988">
        <v>100</v>
      </c>
      <c r="H3319" s="1463"/>
    </row>
    <row r="3320" spans="2:8" ht="8.25" hidden="1" customHeight="1" x14ac:dyDescent="0.25">
      <c r="B3320" s="441"/>
      <c r="C3320" s="2602"/>
      <c r="D3320" s="4071"/>
      <c r="E3320" s="2710"/>
      <c r="F3320" s="2710"/>
      <c r="G3320" s="3988"/>
      <c r="H3320" s="1463"/>
    </row>
    <row r="3321" spans="2:8" ht="15.75" customHeight="1" x14ac:dyDescent="0.25">
      <c r="B3321" s="441"/>
      <c r="C3321" s="2525" t="s">
        <v>2171</v>
      </c>
      <c r="D3321" s="4358">
        <f>D3322</f>
        <v>401202500</v>
      </c>
      <c r="E3321" s="4099">
        <f>E3322</f>
        <v>401202500</v>
      </c>
      <c r="F3321" s="2695">
        <f>E3321/D3321*100</f>
        <v>100</v>
      </c>
      <c r="G3321" s="3990">
        <f>G3322</f>
        <v>100</v>
      </c>
      <c r="H3321" s="1463"/>
    </row>
    <row r="3322" spans="2:8" ht="16.5" hidden="1" customHeight="1" x14ac:dyDescent="0.25">
      <c r="B3322" s="441"/>
      <c r="C3322" s="2524" t="s">
        <v>2172</v>
      </c>
      <c r="D3322" s="4357">
        <v>401202500</v>
      </c>
      <c r="E3322" s="3336">
        <v>401202500</v>
      </c>
      <c r="F3322" s="2690">
        <f>E3322/D3322*100</f>
        <v>100</v>
      </c>
      <c r="G3322" s="3988">
        <v>100</v>
      </c>
      <c r="H3322" s="1463"/>
    </row>
    <row r="3323" spans="2:8" ht="12" hidden="1" customHeight="1" x14ac:dyDescent="0.25">
      <c r="B3323" s="441"/>
      <c r="C3323" s="2475"/>
      <c r="D3323" s="4071"/>
      <c r="E3323" s="2710"/>
      <c r="F3323" s="2792"/>
      <c r="G3323" s="3027"/>
      <c r="H3323" s="1463"/>
    </row>
    <row r="3324" spans="2:8" ht="21" customHeight="1" x14ac:dyDescent="0.25">
      <c r="B3324" s="441"/>
      <c r="C3324" s="2474" t="s">
        <v>4074</v>
      </c>
      <c r="D3324" s="4065">
        <f>D3325</f>
        <v>500000000</v>
      </c>
      <c r="E3324" s="4065">
        <f>E3325</f>
        <v>500000000</v>
      </c>
      <c r="F3324" s="2695">
        <f>E3324/D3324*100</f>
        <v>100</v>
      </c>
      <c r="G3324" s="3250">
        <f>G3325</f>
        <v>100</v>
      </c>
      <c r="H3324" s="1463"/>
    </row>
    <row r="3325" spans="2:8" ht="16.5" hidden="1" customHeight="1" x14ac:dyDescent="0.25">
      <c r="B3325" s="441"/>
      <c r="C3325" s="2473" t="s">
        <v>4075</v>
      </c>
      <c r="D3325" s="4066">
        <v>500000000</v>
      </c>
      <c r="E3325" s="2855">
        <v>500000000</v>
      </c>
      <c r="F3325" s="2690">
        <f>E3325/D3325*100</f>
        <v>100</v>
      </c>
      <c r="G3325" s="2855">
        <v>100</v>
      </c>
      <c r="H3325" s="1463"/>
    </row>
    <row r="3326" spans="2:8" ht="12" hidden="1" customHeight="1" x14ac:dyDescent="0.25">
      <c r="B3326" s="441"/>
      <c r="C3326" s="2475"/>
      <c r="D3326" s="4301"/>
      <c r="E3326" s="2752"/>
      <c r="F3326" s="3084"/>
      <c r="G3326" s="3036"/>
      <c r="H3326" s="1463"/>
    </row>
    <row r="3327" spans="2:8" ht="17.25" customHeight="1" x14ac:dyDescent="0.25">
      <c r="B3327" s="440"/>
      <c r="C3327" s="2497" t="s">
        <v>3304</v>
      </c>
      <c r="D3327" s="4106">
        <f>SUM(D3328+D3331+D3336+D3340+D3344+D3347+D3350+D3354)</f>
        <v>10260418000</v>
      </c>
      <c r="E3327" s="2672">
        <f>SUM(E3328+E3331+E3336+E3340+E3344+E3347+E3350+E3354)</f>
        <v>10198327195</v>
      </c>
      <c r="F3327" s="2672">
        <f>E3327/D3327*100</f>
        <v>99.394851116202091</v>
      </c>
      <c r="G3327" s="2670">
        <f>SUM(G3328+G3331+G3336+G3340+G3344+G3347+G3350+G3354)/8</f>
        <v>98.5</v>
      </c>
      <c r="H3327" s="1463"/>
    </row>
    <row r="3328" spans="2:8" ht="18.75" customHeight="1" x14ac:dyDescent="0.25">
      <c r="B3328" s="441"/>
      <c r="C3328" s="2603" t="s">
        <v>2173</v>
      </c>
      <c r="D3328" s="4311">
        <f>D3329</f>
        <v>100000000</v>
      </c>
      <c r="E3328" s="2824">
        <f>E3329</f>
        <v>99731320</v>
      </c>
      <c r="F3328" s="2785">
        <f>SUM(E3328/D3328)*100</f>
        <v>99.731319999999997</v>
      </c>
      <c r="G3328" s="4100">
        <v>88</v>
      </c>
      <c r="H3328" s="1463"/>
    </row>
    <row r="3329" spans="1:11" ht="16.5" hidden="1" customHeight="1" x14ac:dyDescent="0.25">
      <c r="B3329" s="441"/>
      <c r="C3329" s="2494" t="s">
        <v>2174</v>
      </c>
      <c r="D3329" s="4357">
        <v>100000000</v>
      </c>
      <c r="E3329" s="3979">
        <v>99731320</v>
      </c>
      <c r="F3329" s="2855">
        <f>SUM(E3329/D3329)*100</f>
        <v>99.731319999999997</v>
      </c>
      <c r="G3329" s="2967">
        <v>100</v>
      </c>
      <c r="H3329" s="1463"/>
    </row>
    <row r="3330" spans="1:11" ht="12" hidden="1" customHeight="1" x14ac:dyDescent="0.25">
      <c r="B3330" s="441"/>
      <c r="C3330" s="2551"/>
      <c r="D3330" s="4066"/>
      <c r="E3330" s="2690"/>
      <c r="F3330" s="2855"/>
      <c r="G3330" s="3037"/>
      <c r="H3330" s="1463"/>
    </row>
    <row r="3331" spans="1:11" ht="28.5" customHeight="1" x14ac:dyDescent="0.25">
      <c r="B3331" s="441"/>
      <c r="C3331" s="2491" t="s">
        <v>2175</v>
      </c>
      <c r="D3331" s="4065">
        <f>SUM(D3332:D3334)</f>
        <v>6018000000</v>
      </c>
      <c r="E3331" s="2695">
        <f>SUM(E3332:E3334)</f>
        <v>5958317875</v>
      </c>
      <c r="F3331" s="3250">
        <f t="shared" ref="F3331:F3357" si="252">SUM(E3331/D3331)*100</f>
        <v>99.008273097374541</v>
      </c>
      <c r="G3331" s="2969">
        <f>SUM(G3332:G3334)/3</f>
        <v>100</v>
      </c>
      <c r="H3331" s="1463"/>
    </row>
    <row r="3332" spans="1:11" ht="17.25" hidden="1" customHeight="1" x14ac:dyDescent="0.25">
      <c r="B3332" s="441"/>
      <c r="C3332" s="2494" t="s">
        <v>2176</v>
      </c>
      <c r="D3332" s="4357">
        <v>800000000</v>
      </c>
      <c r="E3332" s="4096">
        <v>796017875</v>
      </c>
      <c r="F3332" s="2855">
        <f t="shared" si="252"/>
        <v>99.502234375</v>
      </c>
      <c r="G3332" s="2967">
        <v>100</v>
      </c>
      <c r="H3332" s="1463"/>
    </row>
    <row r="3333" spans="1:11" ht="15" hidden="1" customHeight="1" x14ac:dyDescent="0.25">
      <c r="B3333" s="441"/>
      <c r="C3333" s="2494" t="s">
        <v>2177</v>
      </c>
      <c r="D3333" s="3704">
        <v>4518000000</v>
      </c>
      <c r="E3333" s="4096">
        <v>4462300000</v>
      </c>
      <c r="F3333" s="2855">
        <f t="shared" si="252"/>
        <v>98.767153607791059</v>
      </c>
      <c r="G3333" s="2967">
        <v>100</v>
      </c>
      <c r="H3333" s="1463"/>
    </row>
    <row r="3334" spans="1:11" ht="18.75" hidden="1" customHeight="1" x14ac:dyDescent="0.25">
      <c r="B3334" s="441"/>
      <c r="C3334" s="2494" t="s">
        <v>2178</v>
      </c>
      <c r="D3334" s="4357">
        <v>700000000</v>
      </c>
      <c r="E3334" s="4096">
        <v>700000000</v>
      </c>
      <c r="F3334" s="2855">
        <f t="shared" si="252"/>
        <v>100</v>
      </c>
      <c r="G3334" s="2967">
        <v>100</v>
      </c>
      <c r="H3334" s="1463"/>
    </row>
    <row r="3335" spans="1:11" ht="12" hidden="1" customHeight="1" x14ac:dyDescent="0.25">
      <c r="B3335" s="441"/>
      <c r="C3335" s="2551"/>
      <c r="D3335" s="4066"/>
      <c r="E3335" s="2690"/>
      <c r="F3335" s="2855"/>
      <c r="G3335" s="3027"/>
      <c r="H3335" s="1463"/>
    </row>
    <row r="3336" spans="1:11" ht="15.75" customHeight="1" x14ac:dyDescent="0.25">
      <c r="B3336" s="441"/>
      <c r="C3336" s="2491" t="s">
        <v>2179</v>
      </c>
      <c r="D3336" s="4065">
        <f>SUM(D3337:D3338)</f>
        <v>175740000</v>
      </c>
      <c r="E3336" s="2695">
        <f>SUM(E3337:E3338)</f>
        <v>173600000</v>
      </c>
      <c r="F3336" s="3250">
        <f t="shared" si="252"/>
        <v>98.782292022305668</v>
      </c>
      <c r="G3336" s="2969">
        <f>G3338</f>
        <v>100</v>
      </c>
      <c r="H3336" s="1463"/>
    </row>
    <row r="3337" spans="1:11" ht="30" hidden="1" customHeight="1" x14ac:dyDescent="0.25">
      <c r="B3337" s="441"/>
      <c r="C3337" s="2494" t="s">
        <v>2180</v>
      </c>
      <c r="D3337" s="3704">
        <v>0</v>
      </c>
      <c r="E3337" s="4097">
        <v>0</v>
      </c>
      <c r="F3337" s="4097">
        <v>0</v>
      </c>
      <c r="G3337" s="4097">
        <v>0</v>
      </c>
      <c r="H3337" s="1463"/>
    </row>
    <row r="3338" spans="1:11" ht="15.75" hidden="1" customHeight="1" x14ac:dyDescent="0.25">
      <c r="B3338" s="441"/>
      <c r="C3338" s="2475" t="s">
        <v>2181</v>
      </c>
      <c r="D3338" s="4301">
        <v>175740000</v>
      </c>
      <c r="E3338" s="2752">
        <v>173600000</v>
      </c>
      <c r="F3338" s="2855">
        <f t="shared" si="252"/>
        <v>98.782292022305668</v>
      </c>
      <c r="G3338" s="2993">
        <v>100</v>
      </c>
      <c r="H3338" s="1463"/>
    </row>
    <row r="3339" spans="1:11" ht="9.75" hidden="1" customHeight="1" x14ac:dyDescent="0.25">
      <c r="B3339" s="441"/>
      <c r="C3339" s="2473"/>
      <c r="D3339" s="4066"/>
      <c r="E3339" s="2690"/>
      <c r="F3339" s="2855"/>
      <c r="G3339" s="3037"/>
      <c r="H3339" s="1463"/>
    </row>
    <row r="3340" spans="1:11" s="32" customFormat="1" ht="16.5" customHeight="1" x14ac:dyDescent="0.25">
      <c r="A3340" s="1"/>
      <c r="B3340" s="441"/>
      <c r="C3340" s="2474" t="s">
        <v>2182</v>
      </c>
      <c r="D3340" s="4065">
        <f>SUM(D3341:D3342)</f>
        <v>500000000</v>
      </c>
      <c r="E3340" s="2695">
        <f>SUM(E3341:E3342)</f>
        <v>500000000</v>
      </c>
      <c r="F3340" s="3250">
        <f t="shared" si="252"/>
        <v>100</v>
      </c>
      <c r="G3340" s="2969">
        <f>SUM(G3341:G3342)/2</f>
        <v>100</v>
      </c>
      <c r="H3340" s="1462"/>
      <c r="J3340" s="1208"/>
      <c r="K3340" s="1208"/>
    </row>
    <row r="3341" spans="1:11" ht="15" hidden="1" customHeight="1" x14ac:dyDescent="0.25">
      <c r="B3341" s="441"/>
      <c r="C3341" s="2473" t="s">
        <v>2183</v>
      </c>
      <c r="D3341" s="4066">
        <v>300000000</v>
      </c>
      <c r="E3341" s="2690">
        <v>300000000</v>
      </c>
      <c r="F3341" s="2855">
        <f t="shared" si="252"/>
        <v>100</v>
      </c>
      <c r="G3341" s="2967">
        <v>100</v>
      </c>
      <c r="H3341" s="1463"/>
    </row>
    <row r="3342" spans="1:11" ht="17.25" hidden="1" customHeight="1" x14ac:dyDescent="0.25">
      <c r="B3342" s="441"/>
      <c r="C3342" s="2473" t="s">
        <v>2184</v>
      </c>
      <c r="D3342" s="4066">
        <v>200000000</v>
      </c>
      <c r="E3342" s="2690">
        <v>200000000</v>
      </c>
      <c r="F3342" s="2855">
        <f t="shared" si="252"/>
        <v>100</v>
      </c>
      <c r="G3342" s="2967">
        <v>100</v>
      </c>
      <c r="H3342" s="1463"/>
    </row>
    <row r="3343" spans="1:11" ht="11.25" hidden="1" customHeight="1" x14ac:dyDescent="0.25">
      <c r="B3343" s="441"/>
      <c r="C3343" s="2473"/>
      <c r="D3343" s="4066"/>
      <c r="E3343" s="2690"/>
      <c r="F3343" s="2855"/>
      <c r="G3343" s="3037"/>
      <c r="H3343" s="1463"/>
    </row>
    <row r="3344" spans="1:11" s="32" customFormat="1" ht="17.25" customHeight="1" x14ac:dyDescent="0.25">
      <c r="A3344" s="1"/>
      <c r="B3344" s="441"/>
      <c r="C3344" s="2474" t="s">
        <v>2185</v>
      </c>
      <c r="D3344" s="4065">
        <f>D3345</f>
        <v>200000000</v>
      </c>
      <c r="E3344" s="2695">
        <f>E3345</f>
        <v>200000000</v>
      </c>
      <c r="F3344" s="3250">
        <f t="shared" si="252"/>
        <v>100</v>
      </c>
      <c r="G3344" s="2969">
        <f>G3345</f>
        <v>100</v>
      </c>
      <c r="H3344" s="1462"/>
      <c r="J3344" s="1208"/>
      <c r="K3344" s="1208"/>
    </row>
    <row r="3345" spans="1:11" ht="15.75" hidden="1" customHeight="1" x14ac:dyDescent="0.25">
      <c r="B3345" s="441"/>
      <c r="C3345" s="2473" t="s">
        <v>2186</v>
      </c>
      <c r="D3345" s="4066">
        <v>200000000</v>
      </c>
      <c r="E3345" s="2690">
        <v>200000000</v>
      </c>
      <c r="F3345" s="2855">
        <f t="shared" si="252"/>
        <v>100</v>
      </c>
      <c r="G3345" s="2967">
        <v>100</v>
      </c>
      <c r="H3345" s="1463"/>
    </row>
    <row r="3346" spans="1:11" ht="11.25" hidden="1" customHeight="1" x14ac:dyDescent="0.25">
      <c r="B3346" s="441"/>
      <c r="C3346" s="2473"/>
      <c r="D3346" s="4066"/>
      <c r="E3346" s="2690"/>
      <c r="F3346" s="2855"/>
      <c r="G3346" s="3037"/>
      <c r="H3346" s="1463"/>
    </row>
    <row r="3347" spans="1:11" s="32" customFormat="1" ht="16.5" customHeight="1" x14ac:dyDescent="0.25">
      <c r="A3347" s="1"/>
      <c r="B3347" s="441"/>
      <c r="C3347" s="2474" t="s">
        <v>2187</v>
      </c>
      <c r="D3347" s="4065">
        <f>D3348</f>
        <v>200000000</v>
      </c>
      <c r="E3347" s="2695">
        <f>E3348</f>
        <v>200000000</v>
      </c>
      <c r="F3347" s="3250">
        <f t="shared" si="252"/>
        <v>100</v>
      </c>
      <c r="G3347" s="2969">
        <f>G3348</f>
        <v>100</v>
      </c>
      <c r="H3347" s="1462"/>
      <c r="J3347" s="1208"/>
      <c r="K3347" s="1208"/>
    </row>
    <row r="3348" spans="1:11" ht="16.5" hidden="1" customHeight="1" x14ac:dyDescent="0.25">
      <c r="B3348" s="441"/>
      <c r="C3348" s="2473" t="s">
        <v>2188</v>
      </c>
      <c r="D3348" s="4066">
        <v>200000000</v>
      </c>
      <c r="E3348" s="2690">
        <v>200000000</v>
      </c>
      <c r="F3348" s="2855">
        <f t="shared" si="252"/>
        <v>100</v>
      </c>
      <c r="G3348" s="2967">
        <v>100</v>
      </c>
      <c r="H3348" s="1463"/>
    </row>
    <row r="3349" spans="1:11" ht="11.25" hidden="1" customHeight="1" x14ac:dyDescent="0.25">
      <c r="B3349" s="444"/>
      <c r="C3349" s="2473"/>
      <c r="D3349" s="4066"/>
      <c r="E3349" s="2690"/>
      <c r="F3349" s="2855"/>
      <c r="G3349" s="3037"/>
      <c r="H3349" s="1463"/>
    </row>
    <row r="3350" spans="1:11" s="32" customFormat="1" ht="17.25" customHeight="1" x14ac:dyDescent="0.25">
      <c r="A3350" s="1"/>
      <c r="B3350" s="441"/>
      <c r="C3350" s="2474" t="s">
        <v>2189</v>
      </c>
      <c r="D3350" s="4065">
        <f>SUM(D3351:D3352)</f>
        <v>916678000</v>
      </c>
      <c r="E3350" s="2695">
        <f>SUM(E3351:E3352)</f>
        <v>916678000</v>
      </c>
      <c r="F3350" s="3250">
        <f t="shared" si="252"/>
        <v>100</v>
      </c>
      <c r="G3350" s="2969">
        <f>SUM(G3351:G3352)/2</f>
        <v>100</v>
      </c>
      <c r="H3350" s="1462"/>
      <c r="J3350" s="1208"/>
      <c r="K3350" s="1208"/>
    </row>
    <row r="3351" spans="1:11" ht="21.75" hidden="1" customHeight="1" x14ac:dyDescent="0.25">
      <c r="B3351" s="441"/>
      <c r="C3351" s="2473" t="s">
        <v>2190</v>
      </c>
      <c r="D3351" s="4066">
        <v>400000000</v>
      </c>
      <c r="E3351" s="2690">
        <v>400000000</v>
      </c>
      <c r="F3351" s="2855">
        <f t="shared" si="252"/>
        <v>100</v>
      </c>
      <c r="G3351" s="2967">
        <v>100</v>
      </c>
      <c r="H3351" s="1463"/>
    </row>
    <row r="3352" spans="1:11" ht="20.25" hidden="1" customHeight="1" x14ac:dyDescent="0.25">
      <c r="B3352" s="441"/>
      <c r="C3352" s="2473" t="s">
        <v>4079</v>
      </c>
      <c r="D3352" s="4066">
        <v>516678000</v>
      </c>
      <c r="E3352" s="2690">
        <v>516678000</v>
      </c>
      <c r="F3352" s="2855">
        <f t="shared" si="252"/>
        <v>100</v>
      </c>
      <c r="G3352" s="2967">
        <v>100</v>
      </c>
      <c r="H3352" s="1463"/>
    </row>
    <row r="3353" spans="1:11" ht="11.25" hidden="1" customHeight="1" x14ac:dyDescent="0.25">
      <c r="B3353" s="441"/>
      <c r="C3353" s="2473"/>
      <c r="D3353" s="4066"/>
      <c r="E3353" s="2690"/>
      <c r="F3353" s="2855"/>
      <c r="G3353" s="3037"/>
      <c r="H3353" s="1463"/>
    </row>
    <row r="3354" spans="1:11" s="32" customFormat="1" ht="20.25" customHeight="1" x14ac:dyDescent="0.25">
      <c r="A3354" s="1"/>
      <c r="B3354" s="441"/>
      <c r="C3354" s="2474" t="s">
        <v>2191</v>
      </c>
      <c r="D3354" s="4065">
        <f>SUM(D3355:D3357)</f>
        <v>2150000000</v>
      </c>
      <c r="E3354" s="2695">
        <f>SUM(E3355:E3357)</f>
        <v>2150000000</v>
      </c>
      <c r="F3354" s="3250">
        <f t="shared" si="252"/>
        <v>100</v>
      </c>
      <c r="G3354" s="2969">
        <f>SUM(G3355:G3357)/3</f>
        <v>100</v>
      </c>
      <c r="H3354" s="1462"/>
      <c r="J3354" s="1208"/>
      <c r="K3354" s="1208"/>
    </row>
    <row r="3355" spans="1:11" ht="20.25" hidden="1" customHeight="1" x14ac:dyDescent="0.25">
      <c r="B3355" s="441"/>
      <c r="C3355" s="2473" t="s">
        <v>2192</v>
      </c>
      <c r="D3355" s="4066">
        <v>300000000</v>
      </c>
      <c r="E3355" s="2690">
        <v>300000000</v>
      </c>
      <c r="F3355" s="2855">
        <f t="shared" si="252"/>
        <v>100</v>
      </c>
      <c r="G3355" s="2967">
        <v>100</v>
      </c>
      <c r="H3355" s="1463"/>
    </row>
    <row r="3356" spans="1:11" ht="17.25" hidden="1" customHeight="1" x14ac:dyDescent="0.25">
      <c r="B3356" s="441"/>
      <c r="C3356" s="2473" t="s">
        <v>2193</v>
      </c>
      <c r="D3356" s="4066">
        <v>300000000</v>
      </c>
      <c r="E3356" s="2690">
        <v>300000000</v>
      </c>
      <c r="F3356" s="2855">
        <f t="shared" si="252"/>
        <v>100</v>
      </c>
      <c r="G3356" s="2967">
        <v>100</v>
      </c>
      <c r="H3356" s="1463"/>
    </row>
    <row r="3357" spans="1:11" ht="18" hidden="1" customHeight="1" x14ac:dyDescent="0.25">
      <c r="B3357" s="441"/>
      <c r="C3357" s="2473" t="s">
        <v>2194</v>
      </c>
      <c r="D3357" s="4066">
        <v>1550000000</v>
      </c>
      <c r="E3357" s="2690">
        <v>1550000000</v>
      </c>
      <c r="F3357" s="2855">
        <f t="shared" si="252"/>
        <v>100</v>
      </c>
      <c r="G3357" s="2967">
        <v>100</v>
      </c>
      <c r="H3357" s="1463"/>
    </row>
    <row r="3358" spans="1:11" ht="12" hidden="1" customHeight="1" x14ac:dyDescent="0.25">
      <c r="B3358" s="441"/>
      <c r="C3358" s="2475"/>
      <c r="D3358" s="4301"/>
      <c r="E3358" s="2752"/>
      <c r="F3358" s="3084"/>
      <c r="G3358" s="3036"/>
      <c r="H3358" s="1463"/>
    </row>
    <row r="3359" spans="1:11" ht="16.5" customHeight="1" x14ac:dyDescent="0.25">
      <c r="B3359" s="440"/>
      <c r="C3359" s="2497" t="s">
        <v>3305</v>
      </c>
      <c r="D3359" s="4106">
        <f>SUM(D3360+D3365+D3368+D3372+D3375)</f>
        <v>4948607585</v>
      </c>
      <c r="E3359" s="2672">
        <f>SUM(E3360+E3365+E3368+E3372+E3375)</f>
        <v>4948607585</v>
      </c>
      <c r="F3359" s="2672">
        <f>E3359/D3359*100</f>
        <v>100</v>
      </c>
      <c r="G3359" s="2670">
        <f>SUM(G3360+G3365+G3368+G3372+G3375)/5</f>
        <v>100</v>
      </c>
      <c r="H3359" s="1463"/>
    </row>
    <row r="3360" spans="1:11" ht="15.75" customHeight="1" x14ac:dyDescent="0.25">
      <c r="B3360" s="441"/>
      <c r="C3360" s="2603" t="s">
        <v>2195</v>
      </c>
      <c r="D3360" s="4359">
        <f>SUM(D3361:D3363)</f>
        <v>533035140</v>
      </c>
      <c r="E3360" s="4101">
        <f>SUM(E3361:E3363)</f>
        <v>533035140</v>
      </c>
      <c r="F3360" s="3250">
        <f>E3360/D3360*100</f>
        <v>100</v>
      </c>
      <c r="G3360" s="3250">
        <f>SUM(G3361:G3363)/3</f>
        <v>100</v>
      </c>
      <c r="H3360" s="1463"/>
    </row>
    <row r="3361" spans="1:11" ht="16.5" hidden="1" customHeight="1" x14ac:dyDescent="0.25">
      <c r="B3361" s="441"/>
      <c r="C3361" s="2494" t="s">
        <v>2196</v>
      </c>
      <c r="D3361" s="4357">
        <v>232535140</v>
      </c>
      <c r="E3361" s="2855">
        <v>232535140</v>
      </c>
      <c r="F3361" s="2855">
        <f>SUM(E3361/D3361)*100</f>
        <v>100</v>
      </c>
      <c r="G3361" s="2855">
        <v>100</v>
      </c>
      <c r="H3361" s="1463"/>
    </row>
    <row r="3362" spans="1:11" ht="15.75" hidden="1" customHeight="1" x14ac:dyDescent="0.25">
      <c r="B3362" s="441"/>
      <c r="C3362" s="2494" t="s">
        <v>2197</v>
      </c>
      <c r="D3362" s="4357">
        <v>100500000</v>
      </c>
      <c r="E3362" s="3336">
        <v>100500000</v>
      </c>
      <c r="F3362" s="2855">
        <f>SUM(E3362/D3362)*100</f>
        <v>100</v>
      </c>
      <c r="G3362" s="2855">
        <v>100</v>
      </c>
      <c r="H3362" s="1463"/>
    </row>
    <row r="3363" spans="1:11" ht="19.5" hidden="1" customHeight="1" x14ac:dyDescent="0.25">
      <c r="B3363" s="441"/>
      <c r="C3363" s="2494" t="s">
        <v>2198</v>
      </c>
      <c r="D3363" s="4357">
        <v>200000000</v>
      </c>
      <c r="E3363" s="2855">
        <v>200000000</v>
      </c>
      <c r="F3363" s="2855">
        <f t="shared" ref="F3363:F3370" si="253">SUM(E3363/D3363)*100</f>
        <v>100</v>
      </c>
      <c r="G3363" s="2924">
        <v>100</v>
      </c>
      <c r="H3363" s="1463"/>
    </row>
    <row r="3364" spans="1:11" ht="9" hidden="1" customHeight="1" x14ac:dyDescent="0.25">
      <c r="B3364" s="441"/>
      <c r="C3364" s="2551"/>
      <c r="D3364" s="4066"/>
      <c r="E3364" s="2690"/>
      <c r="F3364" s="2855"/>
      <c r="G3364" s="3037"/>
      <c r="H3364" s="1463"/>
    </row>
    <row r="3365" spans="1:11" ht="16.5" customHeight="1" x14ac:dyDescent="0.25">
      <c r="B3365" s="441"/>
      <c r="C3365" s="2491" t="s">
        <v>2199</v>
      </c>
      <c r="D3365" s="4358">
        <f>D3366</f>
        <v>6000000</v>
      </c>
      <c r="E3365" s="4099">
        <f>E3366</f>
        <v>6000000</v>
      </c>
      <c r="F3365" s="3250">
        <f t="shared" si="253"/>
        <v>100</v>
      </c>
      <c r="G3365" s="3002">
        <f>G3366</f>
        <v>100</v>
      </c>
      <c r="H3365" s="1463"/>
    </row>
    <row r="3366" spans="1:11" ht="18" hidden="1" customHeight="1" x14ac:dyDescent="0.25">
      <c r="B3366" s="441"/>
      <c r="C3366" s="2494" t="s">
        <v>2200</v>
      </c>
      <c r="D3366" s="4357">
        <v>6000000</v>
      </c>
      <c r="E3366" s="3363">
        <v>6000000</v>
      </c>
      <c r="F3366" s="2855">
        <f t="shared" si="253"/>
        <v>100</v>
      </c>
      <c r="G3366" s="2993">
        <v>100</v>
      </c>
      <c r="H3366" s="1463"/>
    </row>
    <row r="3367" spans="1:11" ht="11.25" hidden="1" customHeight="1" x14ac:dyDescent="0.25">
      <c r="B3367" s="441"/>
      <c r="C3367" s="2551"/>
      <c r="D3367" s="4066"/>
      <c r="E3367" s="2690"/>
      <c r="F3367" s="2855"/>
      <c r="G3367" s="3037"/>
      <c r="H3367" s="1463"/>
    </row>
    <row r="3368" spans="1:11" ht="16.5" customHeight="1" x14ac:dyDescent="0.25">
      <c r="B3368" s="441"/>
      <c r="C3368" s="2491" t="s">
        <v>2201</v>
      </c>
      <c r="D3368" s="4358">
        <f>SUM(D3369:D3370)</f>
        <v>4066723445</v>
      </c>
      <c r="E3368" s="4095">
        <f>SUM(E3369:E3370)</f>
        <v>4066723445</v>
      </c>
      <c r="F3368" s="3250">
        <f t="shared" si="253"/>
        <v>100</v>
      </c>
      <c r="G3368" s="2969">
        <f>SUM(G3369:G3370)/2</f>
        <v>100</v>
      </c>
      <c r="H3368" s="1463"/>
    </row>
    <row r="3369" spans="1:11" ht="15.75" hidden="1" customHeight="1" x14ac:dyDescent="0.25">
      <c r="B3369" s="441"/>
      <c r="C3369" s="2494" t="s">
        <v>2202</v>
      </c>
      <c r="D3369" s="4357">
        <v>193349000</v>
      </c>
      <c r="E3369" s="3336">
        <v>193349000</v>
      </c>
      <c r="F3369" s="2855">
        <f t="shared" si="253"/>
        <v>100</v>
      </c>
      <c r="G3369" s="2967">
        <v>100</v>
      </c>
      <c r="H3369" s="1463"/>
    </row>
    <row r="3370" spans="1:11" ht="18.75" hidden="1" customHeight="1" x14ac:dyDescent="0.25">
      <c r="B3370" s="441"/>
      <c r="C3370" s="2494" t="s">
        <v>2203</v>
      </c>
      <c r="D3370" s="4357">
        <v>3873374445</v>
      </c>
      <c r="E3370" s="4096">
        <v>3873374445</v>
      </c>
      <c r="F3370" s="2855">
        <f t="shared" si="253"/>
        <v>100</v>
      </c>
      <c r="G3370" s="2967">
        <v>100</v>
      </c>
      <c r="H3370" s="1463"/>
    </row>
    <row r="3371" spans="1:11" ht="9" hidden="1" customHeight="1" x14ac:dyDescent="0.25">
      <c r="B3371" s="441"/>
      <c r="C3371" s="2494"/>
      <c r="D3371" s="3704"/>
      <c r="E3371" s="4096"/>
      <c r="F3371" s="2690"/>
      <c r="G3371" s="2967"/>
      <c r="H3371" s="1463"/>
    </row>
    <row r="3372" spans="1:11" s="32" customFormat="1" ht="16.5" customHeight="1" x14ac:dyDescent="0.25">
      <c r="A3372" s="1"/>
      <c r="B3372" s="441"/>
      <c r="C3372" s="2491" t="s">
        <v>2204</v>
      </c>
      <c r="D3372" s="4358">
        <f>D3373</f>
        <v>192849000</v>
      </c>
      <c r="E3372" s="4095">
        <f>E3373</f>
        <v>192849000</v>
      </c>
      <c r="F3372" s="2785">
        <f>SUM(E3372/D3372)*100</f>
        <v>100</v>
      </c>
      <c r="G3372" s="3250">
        <v>100</v>
      </c>
      <c r="H3372" s="1462"/>
      <c r="J3372" s="1208"/>
      <c r="K3372" s="1208"/>
    </row>
    <row r="3373" spans="1:11" ht="15.75" hidden="1" customHeight="1" x14ac:dyDescent="0.25">
      <c r="B3373" s="441"/>
      <c r="C3373" s="2494" t="s">
        <v>2205</v>
      </c>
      <c r="D3373" s="4357">
        <v>192849000</v>
      </c>
      <c r="E3373" s="2855">
        <v>192849000</v>
      </c>
      <c r="F3373" s="2855">
        <f>SUM(E3373/D3373)*100</f>
        <v>100</v>
      </c>
      <c r="G3373" s="2855">
        <v>100</v>
      </c>
      <c r="H3373" s="1463"/>
    </row>
    <row r="3374" spans="1:11" ht="10.5" hidden="1" customHeight="1" x14ac:dyDescent="0.25">
      <c r="B3374" s="441"/>
      <c r="C3374" s="2494"/>
      <c r="D3374" s="3704"/>
      <c r="E3374" s="4096"/>
      <c r="F3374" s="2690"/>
      <c r="G3374" s="2967"/>
      <c r="H3374" s="1463"/>
    </row>
    <row r="3375" spans="1:11" s="32" customFormat="1" ht="17.25" customHeight="1" x14ac:dyDescent="0.25">
      <c r="A3375" s="1"/>
      <c r="B3375" s="441"/>
      <c r="C3375" s="2496" t="s">
        <v>2206</v>
      </c>
      <c r="D3375" s="4360">
        <f>D3376</f>
        <v>150000000</v>
      </c>
      <c r="E3375" s="4102">
        <f>E3376</f>
        <v>150000000</v>
      </c>
      <c r="F3375" s="2785">
        <f>SUM(E3375/D3375)*100</f>
        <v>100</v>
      </c>
      <c r="G3375" s="2969">
        <v>100</v>
      </c>
      <c r="H3375" s="1462"/>
      <c r="J3375" s="1208"/>
      <c r="K3375" s="1208"/>
    </row>
    <row r="3376" spans="1:11" ht="17.25" hidden="1" customHeight="1" x14ac:dyDescent="0.25">
      <c r="B3376" s="441"/>
      <c r="C3376" s="2494" t="s">
        <v>2207</v>
      </c>
      <c r="D3376" s="4357">
        <v>150000000</v>
      </c>
      <c r="E3376" s="3363">
        <v>150000000</v>
      </c>
      <c r="F3376" s="2855">
        <f>SUM(E3376/D3376)*100</f>
        <v>100</v>
      </c>
      <c r="G3376" s="2967">
        <v>100</v>
      </c>
      <c r="H3376" s="1463"/>
    </row>
    <row r="3377" spans="1:11" ht="12" hidden="1" customHeight="1" x14ac:dyDescent="0.25">
      <c r="B3377" s="441"/>
      <c r="C3377" s="2475"/>
      <c r="D3377" s="4301"/>
      <c r="E3377" s="2752"/>
      <c r="F3377" s="3084"/>
      <c r="G3377" s="3036"/>
      <c r="H3377" s="1463"/>
    </row>
    <row r="3378" spans="1:11" ht="18.75" customHeight="1" x14ac:dyDescent="0.25">
      <c r="B3378" s="440"/>
      <c r="C3378" s="2497" t="s">
        <v>3306</v>
      </c>
      <c r="D3378" s="4106">
        <f>SUM(D3379+D3382+D3386)</f>
        <v>999520000</v>
      </c>
      <c r="E3378" s="2672">
        <f>SUM(E3379+E3382+E3386)</f>
        <v>999520000</v>
      </c>
      <c r="F3378" s="2672">
        <f>E3378/D3378*100</f>
        <v>100</v>
      </c>
      <c r="G3378" s="2670">
        <f>SUM(G3379+G3382+G3386)/3</f>
        <v>100</v>
      </c>
      <c r="H3378" s="1463"/>
    </row>
    <row r="3379" spans="1:11" ht="17.25" customHeight="1" x14ac:dyDescent="0.25">
      <c r="B3379" s="441"/>
      <c r="C3379" s="2482" t="s">
        <v>1601</v>
      </c>
      <c r="D3379" s="4305">
        <f>D3380</f>
        <v>318201000</v>
      </c>
      <c r="E3379" s="2785">
        <f>E3380</f>
        <v>318201000</v>
      </c>
      <c r="F3379" s="2695">
        <f>E3379/D3379*100</f>
        <v>100</v>
      </c>
      <c r="G3379" s="3002">
        <f>G3380</f>
        <v>100</v>
      </c>
      <c r="H3379" s="1463"/>
    </row>
    <row r="3380" spans="1:11" ht="15.75" hidden="1" customHeight="1" x14ac:dyDescent="0.25">
      <c r="B3380" s="441"/>
      <c r="C3380" s="2494" t="s">
        <v>2208</v>
      </c>
      <c r="D3380" s="4357">
        <v>318201000</v>
      </c>
      <c r="E3380" s="3336">
        <v>318201000</v>
      </c>
      <c r="F3380" s="2690">
        <f t="shared" ref="F3380:F3387" si="254">E3380/D3380*100</f>
        <v>100</v>
      </c>
      <c r="G3380" s="2967">
        <v>100</v>
      </c>
      <c r="H3380" s="1463"/>
    </row>
    <row r="3381" spans="1:11" ht="9.75" hidden="1" customHeight="1" x14ac:dyDescent="0.25">
      <c r="B3381" s="441"/>
      <c r="C3381" s="2551"/>
      <c r="D3381" s="4066"/>
      <c r="E3381" s="2690"/>
      <c r="F3381" s="2695"/>
      <c r="G3381" s="3037"/>
      <c r="H3381" s="1463"/>
    </row>
    <row r="3382" spans="1:11" ht="19.5" customHeight="1" x14ac:dyDescent="0.25">
      <c r="B3382" s="441"/>
      <c r="C3382" s="2491" t="s">
        <v>2209</v>
      </c>
      <c r="D3382" s="4065">
        <f>D3383+D3384</f>
        <v>431799000</v>
      </c>
      <c r="E3382" s="2695">
        <f>E3383+E3384</f>
        <v>431799000</v>
      </c>
      <c r="F3382" s="2695">
        <f t="shared" si="254"/>
        <v>100</v>
      </c>
      <c r="G3382" s="3250">
        <f>SUM(G3383:G3384)/2</f>
        <v>100</v>
      </c>
      <c r="H3382" s="1463"/>
    </row>
    <row r="3383" spans="1:11" ht="15" hidden="1" customHeight="1" x14ac:dyDescent="0.25">
      <c r="B3383" s="441"/>
      <c r="C3383" s="2494" t="s">
        <v>2210</v>
      </c>
      <c r="D3383" s="4357">
        <v>181799000</v>
      </c>
      <c r="E3383" s="3336">
        <v>181799000</v>
      </c>
      <c r="F3383" s="2690">
        <f t="shared" si="254"/>
        <v>100</v>
      </c>
      <c r="G3383" s="2855">
        <v>100</v>
      </c>
      <c r="H3383" s="1463"/>
    </row>
    <row r="3384" spans="1:11" s="196" customFormat="1" ht="15" hidden="1" customHeight="1" x14ac:dyDescent="0.25">
      <c r="A3384" s="12"/>
      <c r="B3384" s="448"/>
      <c r="C3384" s="2494" t="s">
        <v>2211</v>
      </c>
      <c r="D3384" s="4066">
        <v>250000000</v>
      </c>
      <c r="E3384" s="2690">
        <v>250000000</v>
      </c>
      <c r="F3384" s="2690">
        <f t="shared" si="254"/>
        <v>100</v>
      </c>
      <c r="G3384" s="2967">
        <v>100</v>
      </c>
      <c r="H3384" s="3715"/>
      <c r="J3384" s="1212"/>
      <c r="K3384" s="1212"/>
    </row>
    <row r="3385" spans="1:11" ht="12.75" hidden="1" customHeight="1" x14ac:dyDescent="0.25">
      <c r="B3385" s="441"/>
      <c r="C3385" s="2551"/>
      <c r="D3385" s="4066"/>
      <c r="E3385" s="2690"/>
      <c r="F3385" s="2695"/>
      <c r="G3385" s="3037"/>
      <c r="H3385" s="1463"/>
    </row>
    <row r="3386" spans="1:11" ht="15.75" customHeight="1" x14ac:dyDescent="0.25">
      <c r="B3386" s="441"/>
      <c r="C3386" s="2491" t="s">
        <v>2212</v>
      </c>
      <c r="D3386" s="4361">
        <f>D3387</f>
        <v>249520000</v>
      </c>
      <c r="E3386" s="2702">
        <f>E3387</f>
        <v>249520000</v>
      </c>
      <c r="F3386" s="2695">
        <f t="shared" si="254"/>
        <v>100</v>
      </c>
      <c r="G3386" s="2969">
        <f>G3387</f>
        <v>100</v>
      </c>
      <c r="H3386" s="1463"/>
    </row>
    <row r="3387" spans="1:11" ht="14.25" hidden="1" customHeight="1" x14ac:dyDescent="0.25">
      <c r="B3387" s="441"/>
      <c r="C3387" s="2494" t="s">
        <v>2213</v>
      </c>
      <c r="D3387" s="4357">
        <v>249520000</v>
      </c>
      <c r="E3387" s="3336">
        <v>249520000</v>
      </c>
      <c r="F3387" s="2690">
        <f t="shared" si="254"/>
        <v>100</v>
      </c>
      <c r="G3387" s="2967">
        <v>100</v>
      </c>
      <c r="H3387" s="1463"/>
    </row>
    <row r="3388" spans="1:11" ht="12" hidden="1" customHeight="1" x14ac:dyDescent="0.25">
      <c r="B3388" s="441"/>
      <c r="C3388" s="2475"/>
      <c r="D3388" s="4301"/>
      <c r="E3388" s="2752"/>
      <c r="F3388" s="3084"/>
      <c r="G3388" s="3036"/>
      <c r="H3388" s="1463"/>
    </row>
    <row r="3389" spans="1:11" ht="15.75" customHeight="1" x14ac:dyDescent="0.25">
      <c r="B3389" s="440"/>
      <c r="C3389" s="2471" t="s">
        <v>3307</v>
      </c>
      <c r="D3389" s="4106">
        <f>D3390</f>
        <v>200000000</v>
      </c>
      <c r="E3389" s="4106">
        <f>E3390</f>
        <v>200000000</v>
      </c>
      <c r="F3389" s="2672">
        <f>E3389/D3389*100</f>
        <v>100</v>
      </c>
      <c r="G3389" s="3345">
        <f>G3390</f>
        <v>100</v>
      </c>
      <c r="H3389" s="1463"/>
    </row>
    <row r="3390" spans="1:11" ht="16.5" customHeight="1" x14ac:dyDescent="0.25">
      <c r="B3390" s="441"/>
      <c r="C3390" s="2491" t="s">
        <v>3301</v>
      </c>
      <c r="D3390" s="4358">
        <f>D3391</f>
        <v>200000000</v>
      </c>
      <c r="E3390" s="4358">
        <f>E3391</f>
        <v>200000000</v>
      </c>
      <c r="F3390" s="2695">
        <f>E3390/D3390*100</f>
        <v>100</v>
      </c>
      <c r="G3390" s="4055">
        <f>G3391</f>
        <v>100</v>
      </c>
      <c r="H3390" s="1463"/>
    </row>
    <row r="3391" spans="1:11" ht="15.75" hidden="1" customHeight="1" x14ac:dyDescent="0.25">
      <c r="B3391" s="441"/>
      <c r="C3391" s="2494" t="s">
        <v>2214</v>
      </c>
      <c r="D3391" s="4357">
        <v>200000000</v>
      </c>
      <c r="E3391" s="2855">
        <v>200000000</v>
      </c>
      <c r="F3391" s="2690">
        <f t="shared" ref="F3391" si="255">E3391/D3391*100</f>
        <v>100</v>
      </c>
      <c r="G3391" s="2855">
        <v>100</v>
      </c>
      <c r="H3391" s="1463"/>
    </row>
    <row r="3392" spans="1:11" ht="12" hidden="1" customHeight="1" x14ac:dyDescent="0.25">
      <c r="B3392" s="441"/>
      <c r="C3392" s="2604"/>
      <c r="D3392" s="4071"/>
      <c r="E3392" s="2710"/>
      <c r="F3392" s="2710"/>
      <c r="G3392" s="3027"/>
      <c r="H3392" s="1463"/>
    </row>
    <row r="3393" spans="1:11" ht="16.5" customHeight="1" x14ac:dyDescent="0.25">
      <c r="B3393" s="440"/>
      <c r="C3393" s="2497" t="s">
        <v>3308</v>
      </c>
      <c r="D3393" s="4106">
        <f>D3394</f>
        <v>1511040000</v>
      </c>
      <c r="E3393" s="2672">
        <f>E3394</f>
        <v>1509000000</v>
      </c>
      <c r="F3393" s="2672">
        <f>E3393/D3393*100</f>
        <v>99.864993646759842</v>
      </c>
      <c r="G3393" s="2670">
        <f>G3394</f>
        <v>100</v>
      </c>
      <c r="H3393" s="1463"/>
    </row>
    <row r="3394" spans="1:11" s="32" customFormat="1" ht="20.25" customHeight="1" x14ac:dyDescent="0.25">
      <c r="A3394" s="1"/>
      <c r="B3394" s="441"/>
      <c r="C3394" s="2482" t="s">
        <v>2215</v>
      </c>
      <c r="D3394" s="4362">
        <f>SUM(D3395:D3398)</f>
        <v>1511040000</v>
      </c>
      <c r="E3394" s="4103">
        <f>SUM(E3395:E3398)</f>
        <v>1509000000</v>
      </c>
      <c r="F3394" s="2785">
        <f>E3394/D3394*100</f>
        <v>99.864993646759842</v>
      </c>
      <c r="G3394" s="3002">
        <f>SUM(G3395:G3398)/4</f>
        <v>100</v>
      </c>
      <c r="H3394" s="1462"/>
      <c r="J3394" s="1208"/>
      <c r="K3394" s="1208"/>
    </row>
    <row r="3395" spans="1:11" s="196" customFormat="1" ht="18.75" hidden="1" customHeight="1" x14ac:dyDescent="0.25">
      <c r="A3395" s="12"/>
      <c r="B3395" s="448"/>
      <c r="C3395" s="2494" t="s">
        <v>2216</v>
      </c>
      <c r="D3395" s="4357">
        <v>684000000</v>
      </c>
      <c r="E3395" s="4066">
        <v>684000000</v>
      </c>
      <c r="F3395" s="2855">
        <f>SUM(E3395/D3395)*100</f>
        <v>100</v>
      </c>
      <c r="G3395" s="2967">
        <v>100</v>
      </c>
      <c r="H3395" s="3715"/>
      <c r="J3395" s="1212"/>
      <c r="K3395" s="1212"/>
    </row>
    <row r="3396" spans="1:11" s="196" customFormat="1" ht="15.75" hidden="1" customHeight="1" x14ac:dyDescent="0.25">
      <c r="A3396" s="12"/>
      <c r="B3396" s="448"/>
      <c r="C3396" s="2494" t="s">
        <v>2217</v>
      </c>
      <c r="D3396" s="4066">
        <v>526040000</v>
      </c>
      <c r="E3396" s="2690">
        <v>524000000</v>
      </c>
      <c r="F3396" s="2855">
        <f>SUM(E3396/D3396)*100</f>
        <v>99.612196791118549</v>
      </c>
      <c r="G3396" s="2967">
        <v>100</v>
      </c>
      <c r="H3396" s="3715"/>
      <c r="J3396" s="1212"/>
      <c r="K3396" s="1212"/>
    </row>
    <row r="3397" spans="1:11" s="196" customFormat="1" ht="18.75" hidden="1" customHeight="1" x14ac:dyDescent="0.25">
      <c r="A3397" s="12"/>
      <c r="B3397" s="448"/>
      <c r="C3397" s="2494" t="s">
        <v>2218</v>
      </c>
      <c r="D3397" s="4357">
        <v>151000000</v>
      </c>
      <c r="E3397" s="4066">
        <v>151000000</v>
      </c>
      <c r="F3397" s="2855">
        <f>SUM(E3397/D3397)*100</f>
        <v>100</v>
      </c>
      <c r="G3397" s="2967">
        <v>100</v>
      </c>
      <c r="H3397" s="3715"/>
      <c r="J3397" s="1212"/>
      <c r="K3397" s="1212"/>
    </row>
    <row r="3398" spans="1:11" s="196" customFormat="1" ht="18.75" hidden="1" customHeight="1" x14ac:dyDescent="0.25">
      <c r="A3398" s="12"/>
      <c r="B3398" s="448"/>
      <c r="C3398" s="2494" t="s">
        <v>2219</v>
      </c>
      <c r="D3398" s="4357">
        <v>150000000</v>
      </c>
      <c r="E3398" s="4066">
        <v>150000000</v>
      </c>
      <c r="F3398" s="2855">
        <f>SUM(E3398/D3398)*100</f>
        <v>100</v>
      </c>
      <c r="G3398" s="2967">
        <v>100</v>
      </c>
      <c r="H3398" s="3715"/>
      <c r="J3398" s="1212"/>
      <c r="K3398" s="1212"/>
    </row>
    <row r="3399" spans="1:11" ht="12" hidden="1" customHeight="1" x14ac:dyDescent="0.25">
      <c r="B3399" s="441"/>
      <c r="C3399" s="2556"/>
      <c r="D3399" s="4301"/>
      <c r="E3399" s="2752"/>
      <c r="F3399" s="2752"/>
      <c r="G3399" s="3036"/>
      <c r="H3399" s="1463"/>
    </row>
    <row r="3400" spans="1:11" s="20" customFormat="1" ht="18" customHeight="1" x14ac:dyDescent="0.25">
      <c r="A3400" s="963"/>
      <c r="B3400" s="440"/>
      <c r="C3400" s="2497" t="s">
        <v>3309</v>
      </c>
      <c r="D3400" s="4106">
        <f>SUM(D3407+D3415)</f>
        <v>15500613842</v>
      </c>
      <c r="E3400" s="3997">
        <f>SUM(E3407+E3415)</f>
        <v>7497713484</v>
      </c>
      <c r="F3400" s="3997">
        <f>E3400/D3400*100</f>
        <v>48.370429457989715</v>
      </c>
      <c r="G3400" s="3997">
        <f>SUM(G3407+G3415)/2</f>
        <v>92.592558650050222</v>
      </c>
      <c r="H3400" s="1463"/>
      <c r="J3400" s="536"/>
      <c r="K3400" s="536"/>
    </row>
    <row r="3401" spans="1:11" s="20" customFormat="1" ht="16.5" customHeight="1" x14ac:dyDescent="0.25">
      <c r="A3401" s="963"/>
      <c r="B3401" s="441"/>
      <c r="C3401" s="2497" t="s">
        <v>2220</v>
      </c>
      <c r="D3401" s="4106">
        <v>0</v>
      </c>
      <c r="E3401" s="3997">
        <v>0</v>
      </c>
      <c r="F3401" s="3997">
        <v>0</v>
      </c>
      <c r="G3401" s="3997">
        <v>0</v>
      </c>
      <c r="H3401" s="1463"/>
      <c r="J3401" s="536"/>
      <c r="K3401" s="536"/>
    </row>
    <row r="3402" spans="1:11" s="32" customFormat="1" ht="15" customHeight="1" x14ac:dyDescent="0.25">
      <c r="A3402" s="470"/>
      <c r="B3402" s="441"/>
      <c r="C3402" s="2569" t="s">
        <v>2221</v>
      </c>
      <c r="D3402" s="4363">
        <v>0</v>
      </c>
      <c r="E3402" s="4104">
        <v>0</v>
      </c>
      <c r="F3402" s="4104">
        <v>0</v>
      </c>
      <c r="G3402" s="4104">
        <v>0</v>
      </c>
      <c r="H3402" s="1462"/>
      <c r="J3402" s="1208"/>
      <c r="K3402" s="1208"/>
    </row>
    <row r="3403" spans="1:11" s="196" customFormat="1" ht="15.75" hidden="1" customHeight="1" x14ac:dyDescent="0.25">
      <c r="A3403" s="477"/>
      <c r="B3403" s="448"/>
      <c r="C3403" s="2494" t="s">
        <v>2222</v>
      </c>
      <c r="D3403" s="4066">
        <v>0</v>
      </c>
      <c r="E3403" s="3986">
        <v>0</v>
      </c>
      <c r="F3403" s="3986">
        <v>0</v>
      </c>
      <c r="G3403" s="3986">
        <v>0</v>
      </c>
      <c r="H3403" s="3715"/>
      <c r="J3403" s="1212"/>
      <c r="K3403" s="1212"/>
    </row>
    <row r="3404" spans="1:11" s="196" customFormat="1" ht="15.75" hidden="1" customHeight="1" x14ac:dyDescent="0.25">
      <c r="A3404" s="477"/>
      <c r="B3404" s="448"/>
      <c r="C3404" s="2494" t="s">
        <v>2223</v>
      </c>
      <c r="D3404" s="4066">
        <v>0</v>
      </c>
      <c r="E3404" s="3986">
        <v>0</v>
      </c>
      <c r="F3404" s="3986">
        <v>0</v>
      </c>
      <c r="G3404" s="3986">
        <v>0</v>
      </c>
      <c r="H3404" s="3715"/>
      <c r="J3404" s="1212"/>
      <c r="K3404" s="1212"/>
    </row>
    <row r="3405" spans="1:11" s="196" customFormat="1" ht="16.5" hidden="1" customHeight="1" x14ac:dyDescent="0.25">
      <c r="A3405" s="477"/>
      <c r="B3405" s="448"/>
      <c r="C3405" s="2494" t="s">
        <v>2224</v>
      </c>
      <c r="D3405" s="4066">
        <v>0</v>
      </c>
      <c r="E3405" s="3986">
        <v>0</v>
      </c>
      <c r="F3405" s="3986">
        <v>0</v>
      </c>
      <c r="G3405" s="3986">
        <v>0</v>
      </c>
      <c r="H3405" s="3715"/>
      <c r="J3405" s="1212"/>
      <c r="K3405" s="1212"/>
    </row>
    <row r="3406" spans="1:11" ht="12" hidden="1" customHeight="1" x14ac:dyDescent="0.25">
      <c r="B3406" s="441"/>
      <c r="C3406" s="2604"/>
      <c r="D3406" s="4071"/>
      <c r="E3406" s="2710"/>
      <c r="F3406" s="2710"/>
      <c r="G3406" s="3027"/>
      <c r="H3406" s="1463"/>
    </row>
    <row r="3407" spans="1:11" ht="16.5" customHeight="1" x14ac:dyDescent="0.25">
      <c r="B3407" s="441"/>
      <c r="C3407" s="2491" t="s">
        <v>3310</v>
      </c>
      <c r="D3407" s="4358">
        <f>SUM(D3408+D3411)</f>
        <v>2500000000</v>
      </c>
      <c r="E3407" s="4099">
        <f>SUM(E3408+E3411)</f>
        <v>2497389800</v>
      </c>
      <c r="F3407" s="2695">
        <f>SUM(E3407/D3407)*100</f>
        <v>99.895591999999994</v>
      </c>
      <c r="G3407" s="2969">
        <f>SUM(G3408+G3411)/2</f>
        <v>100</v>
      </c>
      <c r="H3407" s="1463"/>
    </row>
    <row r="3408" spans="1:11" ht="16.5" customHeight="1" x14ac:dyDescent="0.25">
      <c r="B3408" s="441"/>
      <c r="C3408" s="2482" t="s">
        <v>2225</v>
      </c>
      <c r="D3408" s="4362">
        <f>D3409</f>
        <v>300000000</v>
      </c>
      <c r="E3408" s="4105">
        <f>E3409</f>
        <v>300000000</v>
      </c>
      <c r="F3408" s="2785">
        <f>SUM(E3408/D3408)*100</f>
        <v>100</v>
      </c>
      <c r="G3408" s="3002">
        <v>100</v>
      </c>
      <c r="H3408" s="1463"/>
    </row>
    <row r="3409" spans="1:11" ht="15" hidden="1" customHeight="1" x14ac:dyDescent="0.25">
      <c r="B3409" s="441"/>
      <c r="C3409" s="2494" t="s">
        <v>3211</v>
      </c>
      <c r="D3409" s="4357">
        <v>300000000</v>
      </c>
      <c r="E3409" s="3363">
        <v>300000000</v>
      </c>
      <c r="F3409" s="2855">
        <f>SUM(E3409/D3409)*100</f>
        <v>100</v>
      </c>
      <c r="G3409" s="2967">
        <v>100</v>
      </c>
      <c r="H3409" s="1463"/>
    </row>
    <row r="3410" spans="1:11" ht="12" hidden="1" customHeight="1" x14ac:dyDescent="0.25">
      <c r="B3410" s="441"/>
      <c r="C3410" s="2556"/>
      <c r="D3410" s="4301"/>
      <c r="E3410" s="2752"/>
      <c r="F3410" s="2855"/>
      <c r="G3410" s="3036"/>
      <c r="H3410" s="1463"/>
    </row>
    <row r="3411" spans="1:11" ht="20.25" customHeight="1" x14ac:dyDescent="0.25">
      <c r="B3411" s="441"/>
      <c r="C3411" s="2491" t="s">
        <v>4076</v>
      </c>
      <c r="D3411" s="4065">
        <f>SUM(D3412:D3413)</f>
        <v>2200000000</v>
      </c>
      <c r="E3411" s="3991">
        <f>SUM(E3412:E3413)</f>
        <v>2197389800</v>
      </c>
      <c r="F3411" s="3250">
        <f t="shared" ref="F3411:F3413" si="256">SUM(E3411/D3411)*100</f>
        <v>99.881354545454542</v>
      </c>
      <c r="G3411" s="2969">
        <f>SUM(G3412:G3413)/2</f>
        <v>100</v>
      </c>
      <c r="H3411" s="1463"/>
    </row>
    <row r="3412" spans="1:11" ht="18" hidden="1" customHeight="1" x14ac:dyDescent="0.25">
      <c r="B3412" s="441"/>
      <c r="C3412" s="2494" t="s">
        <v>7612</v>
      </c>
      <c r="D3412" s="4066">
        <v>1331249200</v>
      </c>
      <c r="E3412" s="2690">
        <v>1328872000</v>
      </c>
      <c r="F3412" s="2855">
        <f t="shared" si="256"/>
        <v>99.82143087860635</v>
      </c>
      <c r="G3412" s="2967">
        <v>100</v>
      </c>
      <c r="H3412" s="1463"/>
    </row>
    <row r="3413" spans="1:11" ht="17.25" hidden="1" customHeight="1" x14ac:dyDescent="0.25">
      <c r="B3413" s="441"/>
      <c r="C3413" s="2494" t="s">
        <v>4077</v>
      </c>
      <c r="D3413" s="4066">
        <v>868750800</v>
      </c>
      <c r="E3413" s="2690">
        <v>868517800</v>
      </c>
      <c r="F3413" s="2855">
        <f t="shared" si="256"/>
        <v>99.973179880812765</v>
      </c>
      <c r="G3413" s="2967">
        <v>100</v>
      </c>
      <c r="H3413" s="1463"/>
    </row>
    <row r="3414" spans="1:11" ht="12" hidden="1" customHeight="1" x14ac:dyDescent="0.25">
      <c r="B3414" s="441"/>
      <c r="C3414" s="2556"/>
      <c r="D3414" s="4301"/>
      <c r="E3414" s="2752"/>
      <c r="F3414" s="2752"/>
      <c r="G3414" s="3036"/>
      <c r="H3414" s="1463"/>
    </row>
    <row r="3415" spans="1:11" ht="17.25" customHeight="1" x14ac:dyDescent="0.25">
      <c r="B3415" s="441"/>
      <c r="C3415" s="2491" t="s">
        <v>3311</v>
      </c>
      <c r="D3415" s="4358">
        <f>SUM(D3416+D3421+D3425)</f>
        <v>13000613842</v>
      </c>
      <c r="E3415" s="4095">
        <f>SUM(E3416+E3421+E3425)</f>
        <v>5000323684</v>
      </c>
      <c r="F3415" s="2695">
        <f>E3415/D3415*100</f>
        <v>38.462212206056542</v>
      </c>
      <c r="G3415" s="2969">
        <f>SUM(G3416+G3421)/2</f>
        <v>85.185117300100458</v>
      </c>
      <c r="H3415" s="1463"/>
    </row>
    <row r="3416" spans="1:11" s="32" customFormat="1" ht="18" customHeight="1" x14ac:dyDescent="0.25">
      <c r="A3416" s="1"/>
      <c r="B3416" s="441"/>
      <c r="C3416" s="2569" t="s">
        <v>3212</v>
      </c>
      <c r="D3416" s="4072">
        <f>SUM(D3417:D3419)</f>
        <v>9664260475</v>
      </c>
      <c r="E3416" s="4042">
        <f>SUM(E3417:E3419)</f>
        <v>1664258760</v>
      </c>
      <c r="F3416" s="2734">
        <f>E3416/D3416*100</f>
        <v>17.220756459381338</v>
      </c>
      <c r="G3416" s="2677">
        <f>SUM(G3417:G3419)/3</f>
        <v>70.370234600200916</v>
      </c>
      <c r="H3416" s="1462"/>
      <c r="J3416" s="1208"/>
      <c r="K3416" s="1208"/>
    </row>
    <row r="3417" spans="1:11" ht="15" hidden="1" customHeight="1" x14ac:dyDescent="0.25">
      <c r="B3417" s="441"/>
      <c r="C3417" s="2494" t="s">
        <v>3213</v>
      </c>
      <c r="D3417" s="4357">
        <v>164301715</v>
      </c>
      <c r="E3417" s="4066">
        <v>164300000</v>
      </c>
      <c r="F3417" s="2752">
        <f>SUM(E3417/D3417)*100</f>
        <v>99.998956188619218</v>
      </c>
      <c r="G3417" s="2967">
        <v>100</v>
      </c>
      <c r="H3417" s="1463"/>
    </row>
    <row r="3418" spans="1:11" ht="15" hidden="1" customHeight="1" x14ac:dyDescent="0.25">
      <c r="B3418" s="441"/>
      <c r="C3418" s="2494" t="s">
        <v>3214</v>
      </c>
      <c r="D3418" s="4066">
        <v>8999958760</v>
      </c>
      <c r="E3418" s="2690">
        <v>999958760</v>
      </c>
      <c r="F3418" s="2752">
        <f>SUM(E3418/D3418)*100</f>
        <v>11.110703800602749</v>
      </c>
      <c r="G3418" s="2967">
        <v>11.110703800602749</v>
      </c>
      <c r="H3418" s="1463"/>
    </row>
    <row r="3419" spans="1:11" ht="17.25" hidden="1" customHeight="1" x14ac:dyDescent="0.25">
      <c r="B3419" s="441"/>
      <c r="C3419" s="2494" t="s">
        <v>3215</v>
      </c>
      <c r="D3419" s="4357">
        <v>500000000</v>
      </c>
      <c r="E3419" s="4066">
        <v>500000000</v>
      </c>
      <c r="F3419" s="2752">
        <f>SUM(E3419/D3419)*100</f>
        <v>100</v>
      </c>
      <c r="G3419" s="2967">
        <v>100</v>
      </c>
      <c r="H3419" s="1463"/>
    </row>
    <row r="3420" spans="1:11" ht="7.5" hidden="1" customHeight="1" x14ac:dyDescent="0.25">
      <c r="B3420" s="441"/>
      <c r="C3420" s="2491"/>
      <c r="D3420" s="4066"/>
      <c r="E3420" s="2690"/>
      <c r="F3420" s="2690"/>
      <c r="G3420" s="3037"/>
      <c r="H3420" s="1463"/>
    </row>
    <row r="3421" spans="1:11" s="32" customFormat="1" ht="15.75" customHeight="1" x14ac:dyDescent="0.25">
      <c r="A3421" s="1"/>
      <c r="B3421" s="441"/>
      <c r="C3421" s="2491" t="s">
        <v>3216</v>
      </c>
      <c r="D3421" s="4358">
        <f>SUM(D3422:D3423)</f>
        <v>2000000924</v>
      </c>
      <c r="E3421" s="4095">
        <f>SUM(E3422:E3423)</f>
        <v>2000000924</v>
      </c>
      <c r="F3421" s="2695">
        <f>E3421/D3421*100</f>
        <v>100</v>
      </c>
      <c r="G3421" s="2969">
        <f>SUM(G3422:G3423)/2</f>
        <v>100</v>
      </c>
      <c r="H3421" s="1462"/>
      <c r="J3421" s="1208"/>
      <c r="K3421" s="1208"/>
    </row>
    <row r="3422" spans="1:11" ht="18" hidden="1" customHeight="1" x14ac:dyDescent="0.25">
      <c r="B3422" s="441"/>
      <c r="C3422" s="2494" t="s">
        <v>3217</v>
      </c>
      <c r="D3422" s="4357">
        <v>1000000924</v>
      </c>
      <c r="E3422" s="4066">
        <v>1000000924</v>
      </c>
      <c r="F3422" s="2752">
        <f>SUM(E3422/D3422)*100</f>
        <v>100</v>
      </c>
      <c r="G3422" s="2967">
        <v>100</v>
      </c>
      <c r="H3422" s="1463"/>
    </row>
    <row r="3423" spans="1:11" ht="15.75" hidden="1" customHeight="1" x14ac:dyDescent="0.25">
      <c r="B3423" s="441"/>
      <c r="C3423" s="2494" t="s">
        <v>3218</v>
      </c>
      <c r="D3423" s="4357">
        <v>1000000000</v>
      </c>
      <c r="E3423" s="2690">
        <v>1000000000</v>
      </c>
      <c r="F3423" s="2752">
        <f>SUM(E3423/D3423)*100</f>
        <v>100</v>
      </c>
      <c r="G3423" s="2967">
        <v>100</v>
      </c>
      <c r="H3423" s="1463"/>
    </row>
    <row r="3424" spans="1:11" ht="9" hidden="1" customHeight="1" x14ac:dyDescent="0.25">
      <c r="B3424" s="441"/>
      <c r="C3424" s="2491"/>
      <c r="D3424" s="4066"/>
      <c r="E3424" s="2690"/>
      <c r="F3424" s="2690"/>
      <c r="G3424" s="3037"/>
      <c r="H3424" s="1463"/>
    </row>
    <row r="3425" spans="1:11" ht="15" customHeight="1" x14ac:dyDescent="0.25">
      <c r="B3425" s="441"/>
      <c r="C3425" s="2491" t="s">
        <v>3312</v>
      </c>
      <c r="D3425" s="4065">
        <f>D3426</f>
        <v>1336352443</v>
      </c>
      <c r="E3425" s="3991">
        <f>E3426</f>
        <v>1336064000</v>
      </c>
      <c r="F3425" s="2695">
        <f>E3425/D3425*100</f>
        <v>99.978415649141738</v>
      </c>
      <c r="G3425" s="2969">
        <f>G3426</f>
        <v>100</v>
      </c>
      <c r="H3425" s="1463"/>
    </row>
    <row r="3426" spans="1:11" ht="18" hidden="1" customHeight="1" x14ac:dyDescent="0.25">
      <c r="B3426" s="441"/>
      <c r="C3426" s="2473" t="s">
        <v>3219</v>
      </c>
      <c r="D3426" s="4066">
        <f>1336355785-3342</f>
        <v>1336352443</v>
      </c>
      <c r="E3426" s="2690">
        <v>1336064000</v>
      </c>
      <c r="F3426" s="2690">
        <f>SUM(E3426/D3426)*100</f>
        <v>99.978415649141738</v>
      </c>
      <c r="G3426" s="2967">
        <v>100</v>
      </c>
      <c r="H3426" s="1463"/>
    </row>
    <row r="3427" spans="1:11" ht="12.75" hidden="1" customHeight="1" x14ac:dyDescent="0.25">
      <c r="B3427" s="441"/>
      <c r="C3427" s="2475"/>
      <c r="D3427" s="4301"/>
      <c r="E3427" s="2752"/>
      <c r="F3427" s="3084"/>
      <c r="G3427" s="3036"/>
      <c r="H3427" s="1463"/>
    </row>
    <row r="3428" spans="1:11" ht="21" customHeight="1" x14ac:dyDescent="0.25">
      <c r="B3428" s="440"/>
      <c r="C3428" s="2471" t="s">
        <v>3313</v>
      </c>
      <c r="D3428" s="4106">
        <f>SUM(D3429)</f>
        <v>789700000</v>
      </c>
      <c r="E3428" s="2672">
        <f>SUM(E3429)</f>
        <v>789700000</v>
      </c>
      <c r="F3428" s="2672">
        <f>SUM(E3428/D3428)*100</f>
        <v>100</v>
      </c>
      <c r="G3428" s="3345">
        <v>100</v>
      </c>
      <c r="H3428" s="1463"/>
    </row>
    <row r="3429" spans="1:11" ht="17.25" customHeight="1" x14ac:dyDescent="0.25">
      <c r="B3429" s="441"/>
      <c r="C3429" s="2521" t="s">
        <v>2226</v>
      </c>
      <c r="D3429" s="4339">
        <f>D3430</f>
        <v>789700000</v>
      </c>
      <c r="E3429" s="3003">
        <f>E3430</f>
        <v>789700000</v>
      </c>
      <c r="F3429" s="2824">
        <f>SUM(E3429/D3429)*100</f>
        <v>100</v>
      </c>
      <c r="G3429" s="4055">
        <v>100</v>
      </c>
      <c r="H3429" s="1463"/>
    </row>
    <row r="3430" spans="1:11" ht="17.25" hidden="1" customHeight="1" x14ac:dyDescent="0.25">
      <c r="B3430" s="444"/>
      <c r="C3430" s="2473" t="s">
        <v>2227</v>
      </c>
      <c r="D3430" s="4066">
        <v>789700000</v>
      </c>
      <c r="E3430" s="3363">
        <v>789700000</v>
      </c>
      <c r="F3430" s="2752">
        <f>SUM(E3430/D3430)*100</f>
        <v>100</v>
      </c>
      <c r="G3430" s="2855">
        <v>100</v>
      </c>
      <c r="H3430" s="1463"/>
    </row>
    <row r="3431" spans="1:11" ht="14.25" hidden="1" customHeight="1" x14ac:dyDescent="0.25">
      <c r="B3431" s="441"/>
      <c r="C3431" s="2605"/>
      <c r="D3431" s="4322"/>
      <c r="E3431" s="2778"/>
      <c r="F3431" s="2778"/>
      <c r="G3431" s="2778"/>
      <c r="H3431" s="1463"/>
    </row>
    <row r="3432" spans="1:11" s="32" customFormat="1" ht="16.5" customHeight="1" x14ac:dyDescent="0.25">
      <c r="A3432" s="1"/>
      <c r="B3432" s="440"/>
      <c r="C3432" s="2606" t="s">
        <v>2228</v>
      </c>
      <c r="D3432" s="4106">
        <v>0</v>
      </c>
      <c r="E3432" s="2672">
        <v>0</v>
      </c>
      <c r="F3432" s="2672">
        <v>0</v>
      </c>
      <c r="G3432" s="2672">
        <v>0</v>
      </c>
      <c r="H3432" s="1462"/>
      <c r="J3432" s="1208"/>
      <c r="K3432" s="1208"/>
    </row>
    <row r="3433" spans="1:11" ht="15.75" customHeight="1" thickBot="1" x14ac:dyDescent="0.3">
      <c r="B3433" s="441"/>
      <c r="C3433" s="2587" t="s">
        <v>2229</v>
      </c>
      <c r="D3433" s="4299">
        <v>0</v>
      </c>
      <c r="E3433" s="2784">
        <v>0</v>
      </c>
      <c r="F3433" s="2784">
        <v>0</v>
      </c>
      <c r="G3433" s="2784">
        <v>0</v>
      </c>
      <c r="H3433" s="1463"/>
    </row>
    <row r="3434" spans="1:11" ht="15" hidden="1" customHeight="1" x14ac:dyDescent="0.25">
      <c r="B3434" s="441"/>
      <c r="C3434" s="2524" t="s">
        <v>2230</v>
      </c>
      <c r="D3434" s="4276"/>
      <c r="E3434" s="3035">
        <v>0</v>
      </c>
      <c r="F3434" s="3035">
        <v>0</v>
      </c>
      <c r="G3434" s="3035">
        <v>0</v>
      </c>
      <c r="H3434" s="1463"/>
    </row>
    <row r="3435" spans="1:11" ht="14.25" hidden="1" customHeight="1" thickBot="1" x14ac:dyDescent="0.3">
      <c r="B3435" s="441"/>
      <c r="C3435" s="2607"/>
      <c r="D3435" s="4364"/>
      <c r="E3435" s="2784"/>
      <c r="F3435" s="2784"/>
      <c r="G3435" s="2784"/>
      <c r="H3435" s="1463"/>
    </row>
    <row r="3436" spans="1:11" ht="15.75" customHeight="1" thickBot="1" x14ac:dyDescent="0.3">
      <c r="B3436" s="447"/>
      <c r="C3436" s="3747" t="s">
        <v>2231</v>
      </c>
      <c r="D3436" s="4330">
        <f>(D3438+D3507+D3592+D3604+D3611+D3626+D3631+D3652+D3656+D3675+D3684+D3706+D3714+D3722+D3726+D3769+D3778+D3790+D3794)</f>
        <v>138203382000</v>
      </c>
      <c r="E3436" s="3738">
        <f>(E3438+E3507+E3592+E3604+E3611+E3626+E3631+E3652+E3656+E3675+E3684+E3706+E3714+E3722+E3726+E3769+E3778+E3790+E3794)</f>
        <v>121271139475</v>
      </c>
      <c r="F3436" s="3681">
        <f>E3436/D3436*100</f>
        <v>87.748315359605314</v>
      </c>
      <c r="G3436" s="3738">
        <f>SUM(G3438+G3507+G3592+G3604+G3611+G3626+G3631+G3652+G3656+G3675+G3684+G3706+G3714+G3722+G3726+G3769+G3778+G3790+G3794)/19</f>
        <v>90.154173312068039</v>
      </c>
      <c r="H3436" s="3723"/>
    </row>
    <row r="3437" spans="1:11" ht="6.75" customHeight="1" x14ac:dyDescent="0.25">
      <c r="B3437" s="441"/>
      <c r="C3437" s="2521"/>
      <c r="D3437" s="4365"/>
      <c r="E3437" s="3084"/>
      <c r="F3437" s="3084"/>
      <c r="G3437" s="2785"/>
      <c r="H3437" s="1463"/>
    </row>
    <row r="3438" spans="1:11" ht="20.25" customHeight="1" x14ac:dyDescent="0.25">
      <c r="B3438" s="440"/>
      <c r="C3438" s="2532" t="s">
        <v>3314</v>
      </c>
      <c r="D3438" s="4106">
        <f>D3439+D3448+D3476+D3480+D3488+D3492+D3496+D3499+D3504</f>
        <v>33370000000</v>
      </c>
      <c r="E3438" s="2672">
        <f>E3439+E3448+E3476+E3480+E3488+E3492+E3496+E3499</f>
        <v>31884040503</v>
      </c>
      <c r="F3438" s="3254">
        <f>E3438/D3438*100</f>
        <v>95.547019787234049</v>
      </c>
      <c r="G3438" s="2670">
        <f>SUM(G3439+G3448+G3480+G3488+G3492+G3496+G3499+G3504)/8</f>
        <v>99</v>
      </c>
      <c r="H3438" s="1463"/>
    </row>
    <row r="3439" spans="1:11" ht="16.5" customHeight="1" x14ac:dyDescent="0.25">
      <c r="A3439"/>
      <c r="B3439" s="460"/>
      <c r="C3439" s="2608" t="s">
        <v>243</v>
      </c>
      <c r="D3439" s="4159">
        <f>SUM(D3440:D3446)</f>
        <v>1680000000</v>
      </c>
      <c r="E3439" s="2813">
        <f>SUM(E3440:E3446)</f>
        <v>1670000000</v>
      </c>
      <c r="F3439" s="3257">
        <f>E3439/D3439*100</f>
        <v>99.404761904761912</v>
      </c>
      <c r="G3439" s="3257">
        <f>SUM(G3443:G3446)/4</f>
        <v>100</v>
      </c>
      <c r="H3439" s="1463"/>
    </row>
    <row r="3440" spans="1:11" ht="14.25" hidden="1" customHeight="1" x14ac:dyDescent="0.25">
      <c r="A3440"/>
      <c r="B3440" s="441"/>
      <c r="C3440" s="2473" t="s">
        <v>2233</v>
      </c>
      <c r="D3440" s="4066" t="s">
        <v>3317</v>
      </c>
      <c r="E3440" s="3686" t="s">
        <v>3317</v>
      </c>
      <c r="F3440" s="3686" t="s">
        <v>3317</v>
      </c>
      <c r="G3440" s="3686" t="s">
        <v>3317</v>
      </c>
      <c r="H3440" s="1463"/>
    </row>
    <row r="3441" spans="1:8" ht="15.75" hidden="1" customHeight="1" x14ac:dyDescent="0.25">
      <c r="A3441"/>
      <c r="B3441" s="441"/>
      <c r="C3441" s="2473" t="s">
        <v>2234</v>
      </c>
      <c r="D3441" s="4066" t="s">
        <v>3317</v>
      </c>
      <c r="E3441" s="3686" t="s">
        <v>3317</v>
      </c>
      <c r="F3441" s="3686" t="s">
        <v>3317</v>
      </c>
      <c r="G3441" s="3686" t="s">
        <v>3317</v>
      </c>
      <c r="H3441" s="1463"/>
    </row>
    <row r="3442" spans="1:8" ht="15" hidden="1" customHeight="1" x14ac:dyDescent="0.25">
      <c r="B3442" s="441"/>
      <c r="C3442" s="2473" t="s">
        <v>3950</v>
      </c>
      <c r="D3442" s="4066" t="s">
        <v>3317</v>
      </c>
      <c r="E3442" s="3686" t="s">
        <v>3317</v>
      </c>
      <c r="F3442" s="3686" t="s">
        <v>3317</v>
      </c>
      <c r="G3442" s="3686" t="s">
        <v>3317</v>
      </c>
      <c r="H3442" s="1463"/>
    </row>
    <row r="3443" spans="1:8" ht="15.75" hidden="1" customHeight="1" x14ac:dyDescent="0.25">
      <c r="B3443" s="441"/>
      <c r="C3443" s="2473" t="s">
        <v>2235</v>
      </c>
      <c r="D3443" s="4066">
        <v>1000000000</v>
      </c>
      <c r="E3443" s="4036">
        <v>995000000</v>
      </c>
      <c r="F3443" s="3275">
        <f>E3443/D3443*100</f>
        <v>99.5</v>
      </c>
      <c r="G3443" s="3275">
        <v>100</v>
      </c>
      <c r="H3443" s="1463"/>
    </row>
    <row r="3444" spans="1:8" ht="13.5" hidden="1" customHeight="1" x14ac:dyDescent="0.25">
      <c r="B3444" s="441"/>
      <c r="C3444" s="2473" t="s">
        <v>2236</v>
      </c>
      <c r="D3444" s="4066">
        <v>280000000</v>
      </c>
      <c r="E3444" s="4036">
        <v>277500000</v>
      </c>
      <c r="F3444" s="3275">
        <f t="shared" ref="F3444:F3446" si="257">E3444/D3444*100</f>
        <v>99.107142857142861</v>
      </c>
      <c r="G3444" s="3275">
        <v>100</v>
      </c>
      <c r="H3444" s="1463"/>
    </row>
    <row r="3445" spans="1:8" ht="13.5" hidden="1" customHeight="1" x14ac:dyDescent="0.25">
      <c r="B3445" s="441"/>
      <c r="C3445" s="2473" t="s">
        <v>2237</v>
      </c>
      <c r="D3445" s="4066">
        <v>250000000</v>
      </c>
      <c r="E3445" s="4036">
        <v>247500000</v>
      </c>
      <c r="F3445" s="3275">
        <f t="shared" si="257"/>
        <v>99</v>
      </c>
      <c r="G3445" s="3275">
        <v>100</v>
      </c>
      <c r="H3445" s="1463"/>
    </row>
    <row r="3446" spans="1:8" ht="13.5" hidden="1" customHeight="1" x14ac:dyDescent="0.25">
      <c r="B3446" s="441"/>
      <c r="C3446" s="2473" t="s">
        <v>2238</v>
      </c>
      <c r="D3446" s="4066">
        <v>150000000</v>
      </c>
      <c r="E3446" s="4036">
        <v>150000000</v>
      </c>
      <c r="F3446" s="3275">
        <f t="shared" si="257"/>
        <v>100</v>
      </c>
      <c r="G3446" s="3275">
        <v>100</v>
      </c>
      <c r="H3446" s="1463"/>
    </row>
    <row r="3447" spans="1:8" ht="16.5" hidden="1" customHeight="1" x14ac:dyDescent="0.25">
      <c r="A3447"/>
      <c r="B3447" s="441"/>
      <c r="C3447" s="2473"/>
      <c r="D3447" s="4066"/>
      <c r="E3447" s="3407"/>
      <c r="F3447" s="3257"/>
      <c r="G3447" s="4107"/>
      <c r="H3447" s="1463"/>
    </row>
    <row r="3448" spans="1:8" ht="15.75" customHeight="1" x14ac:dyDescent="0.25">
      <c r="A3448"/>
      <c r="B3448" s="439"/>
      <c r="C3448" s="2609" t="s">
        <v>1247</v>
      </c>
      <c r="D3448" s="4159">
        <f>SUM(D3449:D3474)</f>
        <v>26271500000</v>
      </c>
      <c r="E3448" s="2813">
        <f>SUM(E3449:E3474)</f>
        <v>25258329703</v>
      </c>
      <c r="F3448" s="3257">
        <f>E3448/D3448*100</f>
        <v>96.143462318482008</v>
      </c>
      <c r="G3448" s="4108">
        <f>SUM(G3449:G3472)/25</f>
        <v>92</v>
      </c>
      <c r="H3448" s="1463"/>
    </row>
    <row r="3449" spans="1:8" ht="15" hidden="1" customHeight="1" x14ac:dyDescent="0.25">
      <c r="A3449"/>
      <c r="B3449" s="441"/>
      <c r="C3449" s="2473" t="s">
        <v>2239</v>
      </c>
      <c r="D3449" s="4066">
        <v>900000000</v>
      </c>
      <c r="E3449" s="3620">
        <v>896500000</v>
      </c>
      <c r="F3449" s="3275">
        <f>E3449/D3449*100</f>
        <v>99.6111111111111</v>
      </c>
      <c r="G3449" s="4109">
        <v>100</v>
      </c>
      <c r="H3449" s="1463"/>
    </row>
    <row r="3450" spans="1:8" ht="15.75" hidden="1" customHeight="1" x14ac:dyDescent="0.25">
      <c r="A3450"/>
      <c r="B3450" s="441"/>
      <c r="C3450" s="2473" t="s">
        <v>2240</v>
      </c>
      <c r="D3450" s="4066">
        <v>2000000000</v>
      </c>
      <c r="E3450" s="3620">
        <v>1999966203</v>
      </c>
      <c r="F3450" s="3275">
        <f t="shared" ref="F3450:F3451" si="258">E3450/D3450*100</f>
        <v>99.998310150000009</v>
      </c>
      <c r="G3450" s="4109">
        <v>100</v>
      </c>
      <c r="H3450" s="1463"/>
    </row>
    <row r="3451" spans="1:8" ht="15.75" hidden="1" customHeight="1" x14ac:dyDescent="0.25">
      <c r="A3451"/>
      <c r="B3451" s="441"/>
      <c r="C3451" s="2473" t="s">
        <v>2241</v>
      </c>
      <c r="D3451" s="4066">
        <v>1540000000</v>
      </c>
      <c r="E3451" s="4109">
        <v>1539923000</v>
      </c>
      <c r="F3451" s="3275">
        <f t="shared" si="258"/>
        <v>99.995000000000005</v>
      </c>
      <c r="G3451" s="4109">
        <v>100</v>
      </c>
      <c r="H3451" s="1463"/>
    </row>
    <row r="3452" spans="1:8" ht="14.25" hidden="1" customHeight="1" x14ac:dyDescent="0.25">
      <c r="A3452"/>
      <c r="B3452" s="441"/>
      <c r="C3452" s="2473" t="s">
        <v>2242</v>
      </c>
      <c r="D3452" s="4066">
        <v>1850000000</v>
      </c>
      <c r="E3452" s="3620">
        <v>1845000000</v>
      </c>
      <c r="F3452" s="3275">
        <f>E3452/D3452*100</f>
        <v>99.729729729729726</v>
      </c>
      <c r="G3452" s="4109">
        <v>100</v>
      </c>
      <c r="H3452" s="1463"/>
    </row>
    <row r="3453" spans="1:8" ht="15.75" hidden="1" customHeight="1" x14ac:dyDescent="0.25">
      <c r="A3453"/>
      <c r="B3453" s="441"/>
      <c r="C3453" s="2473" t="s">
        <v>2243</v>
      </c>
      <c r="D3453" s="4066">
        <v>700000000</v>
      </c>
      <c r="E3453" s="3620">
        <v>697500000</v>
      </c>
      <c r="F3453" s="3275">
        <f t="shared" ref="F3453:F3457" si="259">E3453/D3453*100</f>
        <v>99.642857142857139</v>
      </c>
      <c r="G3453" s="2855">
        <v>100</v>
      </c>
      <c r="H3453" s="1463"/>
    </row>
    <row r="3454" spans="1:8" ht="14.25" hidden="1" customHeight="1" x14ac:dyDescent="0.25">
      <c r="A3454"/>
      <c r="B3454" s="441"/>
      <c r="C3454" s="2473" t="s">
        <v>2244</v>
      </c>
      <c r="D3454" s="4066">
        <v>880000000</v>
      </c>
      <c r="E3454" s="3620">
        <v>876500000</v>
      </c>
      <c r="F3454" s="3275">
        <f t="shared" si="259"/>
        <v>99.60227272727272</v>
      </c>
      <c r="G3454" s="2855">
        <v>100</v>
      </c>
      <c r="H3454" s="1463"/>
    </row>
    <row r="3455" spans="1:8" ht="15.75" hidden="1" customHeight="1" x14ac:dyDescent="0.25">
      <c r="A3455"/>
      <c r="B3455" s="441"/>
      <c r="C3455" s="2473" t="s">
        <v>2245</v>
      </c>
      <c r="D3455" s="4066">
        <v>1400000000</v>
      </c>
      <c r="E3455" s="4109">
        <v>1394500000</v>
      </c>
      <c r="F3455" s="3275">
        <f t="shared" si="259"/>
        <v>99.607142857142861</v>
      </c>
      <c r="G3455" s="2855">
        <v>100</v>
      </c>
      <c r="H3455" s="1463"/>
    </row>
    <row r="3456" spans="1:8" ht="14.25" hidden="1" customHeight="1" x14ac:dyDescent="0.25">
      <c r="A3456"/>
      <c r="B3456" s="441"/>
      <c r="C3456" s="2473" t="s">
        <v>2246</v>
      </c>
      <c r="D3456" s="4066">
        <v>55000000</v>
      </c>
      <c r="E3456" s="4109">
        <v>55000000</v>
      </c>
      <c r="F3456" s="3275">
        <f t="shared" si="259"/>
        <v>100</v>
      </c>
      <c r="G3456" s="2855">
        <v>100</v>
      </c>
      <c r="H3456" s="1463"/>
    </row>
    <row r="3457" spans="1:8" ht="17.25" hidden="1" customHeight="1" x14ac:dyDescent="0.25">
      <c r="A3457"/>
      <c r="B3457" s="441"/>
      <c r="C3457" s="2473" t="s">
        <v>2247</v>
      </c>
      <c r="D3457" s="4066">
        <v>1100000000</v>
      </c>
      <c r="E3457" s="4109">
        <v>996000000</v>
      </c>
      <c r="F3457" s="3275">
        <f t="shared" si="259"/>
        <v>90.545454545454547</v>
      </c>
      <c r="G3457" s="2855">
        <v>100</v>
      </c>
      <c r="H3457" s="1463"/>
    </row>
    <row r="3458" spans="1:8" ht="16.5" hidden="1" customHeight="1" x14ac:dyDescent="0.25">
      <c r="A3458"/>
      <c r="B3458" s="441"/>
      <c r="C3458" s="2473" t="s">
        <v>2248</v>
      </c>
      <c r="D3458" s="4066">
        <v>800000000</v>
      </c>
      <c r="E3458" s="3620">
        <v>797500000</v>
      </c>
      <c r="F3458" s="3275">
        <f>E3458/D3458*100</f>
        <v>99.6875</v>
      </c>
      <c r="G3458" s="2855">
        <v>100</v>
      </c>
      <c r="H3458" s="1463"/>
    </row>
    <row r="3459" spans="1:8" ht="18.75" hidden="1" customHeight="1" x14ac:dyDescent="0.25">
      <c r="A3459"/>
      <c r="B3459" s="441"/>
      <c r="C3459" s="2473" t="s">
        <v>2249</v>
      </c>
      <c r="D3459" s="4066">
        <v>400000000</v>
      </c>
      <c r="E3459" s="3620">
        <v>396000000</v>
      </c>
      <c r="F3459" s="3275">
        <f t="shared" ref="F3459:F3460" si="260">E3459/D3459*100</f>
        <v>99</v>
      </c>
      <c r="G3459" s="2855">
        <v>100</v>
      </c>
      <c r="H3459" s="1463"/>
    </row>
    <row r="3460" spans="1:8" ht="17.25" hidden="1" customHeight="1" x14ac:dyDescent="0.25">
      <c r="A3460"/>
      <c r="B3460" s="441"/>
      <c r="C3460" s="2473" t="s">
        <v>2250</v>
      </c>
      <c r="D3460" s="4066">
        <v>800000000</v>
      </c>
      <c r="E3460" s="4109">
        <v>797000000</v>
      </c>
      <c r="F3460" s="3275">
        <f t="shared" si="260"/>
        <v>99.625</v>
      </c>
      <c r="G3460" s="2855">
        <v>100</v>
      </c>
      <c r="H3460" s="1463"/>
    </row>
    <row r="3461" spans="1:8" ht="18" hidden="1" customHeight="1" x14ac:dyDescent="0.25">
      <c r="A3461"/>
      <c r="B3461" s="441"/>
      <c r="C3461" s="2473" t="s">
        <v>2251</v>
      </c>
      <c r="D3461" s="4066" t="s">
        <v>3317</v>
      </c>
      <c r="E3461" s="2690" t="s">
        <v>3317</v>
      </c>
      <c r="F3461" s="2690" t="s">
        <v>3317</v>
      </c>
      <c r="G3461" s="2690" t="s">
        <v>3317</v>
      </c>
      <c r="H3461" s="1463"/>
    </row>
    <row r="3462" spans="1:8" ht="14.25" hidden="1" customHeight="1" x14ac:dyDescent="0.25">
      <c r="A3462"/>
      <c r="B3462" s="441"/>
      <c r="C3462" s="2473" t="s">
        <v>2252</v>
      </c>
      <c r="D3462" s="4066">
        <v>2500000000</v>
      </c>
      <c r="E3462" s="3620">
        <v>2490000000</v>
      </c>
      <c r="F3462" s="3275">
        <f>E3462/D3462*100</f>
        <v>99.6</v>
      </c>
      <c r="G3462" s="2855">
        <v>100</v>
      </c>
      <c r="H3462" s="1463"/>
    </row>
    <row r="3463" spans="1:8" ht="13.5" hidden="1" customHeight="1" x14ac:dyDescent="0.25">
      <c r="A3463"/>
      <c r="B3463" s="441"/>
      <c r="C3463" s="2473" t="s">
        <v>2253</v>
      </c>
      <c r="D3463" s="4066">
        <v>5100000000</v>
      </c>
      <c r="E3463" s="3620">
        <v>4924000000</v>
      </c>
      <c r="F3463" s="3275">
        <f t="shared" ref="F3463" si="261">E3463/D3463*100</f>
        <v>96.549019607843135</v>
      </c>
      <c r="G3463" s="4109">
        <v>100</v>
      </c>
      <c r="H3463" s="1463"/>
    </row>
    <row r="3464" spans="1:8" ht="14.25" hidden="1" customHeight="1" x14ac:dyDescent="0.25">
      <c r="A3464"/>
      <c r="B3464" s="441"/>
      <c r="C3464" s="2473" t="s">
        <v>2254</v>
      </c>
      <c r="D3464" s="4066">
        <v>460000000</v>
      </c>
      <c r="E3464" s="3620">
        <v>457400000</v>
      </c>
      <c r="F3464" s="3275">
        <f>E3464/D3464*100</f>
        <v>99.434782608695656</v>
      </c>
      <c r="G3464" s="4109">
        <v>100</v>
      </c>
      <c r="H3464" s="1463"/>
    </row>
    <row r="3465" spans="1:8" ht="15.75" hidden="1" customHeight="1" x14ac:dyDescent="0.25">
      <c r="A3465"/>
      <c r="B3465" s="441"/>
      <c r="C3465" s="2473" t="s">
        <v>2255</v>
      </c>
      <c r="D3465" s="4066">
        <v>1900000000</v>
      </c>
      <c r="E3465" s="4109">
        <v>1835033000</v>
      </c>
      <c r="F3465" s="3275">
        <f>E3465/D3465*100</f>
        <v>96.580684210526314</v>
      </c>
      <c r="G3465" s="4109">
        <v>100</v>
      </c>
      <c r="H3465" s="1463"/>
    </row>
    <row r="3466" spans="1:8" ht="15.75" hidden="1" customHeight="1" x14ac:dyDescent="0.25">
      <c r="A3466"/>
      <c r="B3466" s="441"/>
      <c r="C3466" s="2473" t="s">
        <v>2256</v>
      </c>
      <c r="D3466" s="4066">
        <v>440000000</v>
      </c>
      <c r="E3466" s="3620">
        <v>439090000</v>
      </c>
      <c r="F3466" s="3275">
        <f>E3466/D3466*100</f>
        <v>99.793181818181822</v>
      </c>
      <c r="G3466" s="4109">
        <v>100</v>
      </c>
      <c r="H3466" s="1463"/>
    </row>
    <row r="3467" spans="1:8" ht="16.5" hidden="1" customHeight="1" x14ac:dyDescent="0.25">
      <c r="A3467"/>
      <c r="B3467" s="441"/>
      <c r="C3467" s="2473" t="s">
        <v>3951</v>
      </c>
      <c r="D3467" s="4066">
        <v>850000000</v>
      </c>
      <c r="E3467" s="4109">
        <v>848000000</v>
      </c>
      <c r="F3467" s="3275">
        <f t="shared" ref="F3467:F3472" si="262">E3467/D3467*100</f>
        <v>99.764705882352942</v>
      </c>
      <c r="G3467" s="4109">
        <v>100</v>
      </c>
      <c r="H3467" s="1463"/>
    </row>
    <row r="3468" spans="1:8" ht="16.5" hidden="1" customHeight="1" x14ac:dyDescent="0.25">
      <c r="A3468"/>
      <c r="B3468" s="441"/>
      <c r="C3468" s="2473" t="s">
        <v>3952</v>
      </c>
      <c r="D3468" s="4066">
        <v>180000000</v>
      </c>
      <c r="E3468" s="4109">
        <v>177000000</v>
      </c>
      <c r="F3468" s="3275">
        <f t="shared" si="262"/>
        <v>98.333333333333329</v>
      </c>
      <c r="G3468" s="4109">
        <v>100</v>
      </c>
      <c r="H3468" s="1463"/>
    </row>
    <row r="3469" spans="1:8" ht="16.5" hidden="1" customHeight="1" x14ac:dyDescent="0.25">
      <c r="A3469"/>
      <c r="B3469" s="441"/>
      <c r="C3469" s="2473" t="s">
        <v>3953</v>
      </c>
      <c r="D3469" s="4066">
        <v>260000000</v>
      </c>
      <c r="E3469" s="4109">
        <v>256400000</v>
      </c>
      <c r="F3469" s="3275">
        <f t="shared" si="262"/>
        <v>98.615384615384613</v>
      </c>
      <c r="G3469" s="4109">
        <v>100</v>
      </c>
      <c r="H3469" s="1463"/>
    </row>
    <row r="3470" spans="1:8" ht="16.5" hidden="1" customHeight="1" x14ac:dyDescent="0.25">
      <c r="A3470"/>
      <c r="B3470" s="441"/>
      <c r="C3470" s="2473" t="s">
        <v>3954</v>
      </c>
      <c r="D3470" s="4066">
        <v>206500000</v>
      </c>
      <c r="E3470" s="4109">
        <v>203500000</v>
      </c>
      <c r="F3470" s="3275">
        <f t="shared" si="262"/>
        <v>98.54721549636804</v>
      </c>
      <c r="G3470" s="4109">
        <v>100</v>
      </c>
      <c r="H3470" s="1463"/>
    </row>
    <row r="3471" spans="1:8" ht="16.5" hidden="1" customHeight="1" x14ac:dyDescent="0.25">
      <c r="A3471"/>
      <c r="B3471" s="441"/>
      <c r="C3471" s="2473" t="s">
        <v>3955</v>
      </c>
      <c r="D3471" s="4066">
        <v>600000000</v>
      </c>
      <c r="E3471" s="4109">
        <v>597000000</v>
      </c>
      <c r="F3471" s="3275">
        <f t="shared" si="262"/>
        <v>99.5</v>
      </c>
      <c r="G3471" s="4109">
        <v>100</v>
      </c>
      <c r="H3471" s="1463"/>
    </row>
    <row r="3472" spans="1:8" ht="16.5" hidden="1" customHeight="1" x14ac:dyDescent="0.25">
      <c r="A3472"/>
      <c r="B3472" s="441"/>
      <c r="C3472" s="2473" t="s">
        <v>3956</v>
      </c>
      <c r="D3472" s="4066">
        <v>750000000</v>
      </c>
      <c r="E3472" s="4109">
        <v>739517500</v>
      </c>
      <c r="F3472" s="3275">
        <f t="shared" si="262"/>
        <v>98.602333333333334</v>
      </c>
      <c r="G3472" s="4109">
        <v>100</v>
      </c>
      <c r="H3472" s="1463"/>
    </row>
    <row r="3473" spans="1:8" ht="16.5" hidden="1" customHeight="1" x14ac:dyDescent="0.25">
      <c r="A3473"/>
      <c r="B3473" s="441"/>
      <c r="C3473" s="2473" t="s">
        <v>5550</v>
      </c>
      <c r="D3473" s="4066">
        <v>320000000</v>
      </c>
      <c r="E3473" s="4109">
        <v>0</v>
      </c>
      <c r="F3473" s="4109">
        <v>0</v>
      </c>
      <c r="G3473" s="4109">
        <v>0</v>
      </c>
      <c r="H3473" s="1463"/>
    </row>
    <row r="3474" spans="1:8" ht="16.5" hidden="1" customHeight="1" x14ac:dyDescent="0.25">
      <c r="A3474"/>
      <c r="B3474" s="441"/>
      <c r="C3474" s="2473" t="s">
        <v>5551</v>
      </c>
      <c r="D3474" s="4066">
        <v>280000000</v>
      </c>
      <c r="E3474" s="4109">
        <v>0</v>
      </c>
      <c r="F3474" s="4109">
        <v>0</v>
      </c>
      <c r="G3474" s="4109">
        <v>0</v>
      </c>
      <c r="H3474" s="1463"/>
    </row>
    <row r="3475" spans="1:8" ht="11.25" hidden="1" customHeight="1" x14ac:dyDescent="0.25">
      <c r="B3475" s="441"/>
      <c r="C3475" s="2473"/>
      <c r="D3475" s="4066"/>
      <c r="E3475" s="3620"/>
      <c r="F3475" s="3275"/>
      <c r="G3475" s="4109"/>
      <c r="H3475" s="1463"/>
    </row>
    <row r="3476" spans="1:8" ht="15" customHeight="1" x14ac:dyDescent="0.25">
      <c r="B3476" s="439"/>
      <c r="C3476" s="2491" t="s">
        <v>2257</v>
      </c>
      <c r="D3476" s="4066"/>
      <c r="E3476" s="2690"/>
      <c r="F3476" s="2690"/>
      <c r="G3476" s="2690"/>
      <c r="H3476" s="1463"/>
    </row>
    <row r="3477" spans="1:8" ht="15" hidden="1" customHeight="1" x14ac:dyDescent="0.25">
      <c r="B3477" s="441"/>
      <c r="C3477" s="2473" t="s">
        <v>2258</v>
      </c>
      <c r="D3477" s="4066" t="s">
        <v>3317</v>
      </c>
      <c r="E3477" s="2690" t="s">
        <v>3317</v>
      </c>
      <c r="F3477" s="2690" t="s">
        <v>3317</v>
      </c>
      <c r="G3477" s="2690" t="s">
        <v>3317</v>
      </c>
      <c r="H3477" s="1463"/>
    </row>
    <row r="3478" spans="1:8" ht="15" hidden="1" customHeight="1" x14ac:dyDescent="0.25">
      <c r="A3478"/>
      <c r="B3478" s="441"/>
      <c r="C3478" s="2473" t="s">
        <v>2259</v>
      </c>
      <c r="D3478" s="4066" t="s">
        <v>3317</v>
      </c>
      <c r="E3478" s="2690" t="s">
        <v>3317</v>
      </c>
      <c r="F3478" s="2690" t="s">
        <v>3317</v>
      </c>
      <c r="G3478" s="2690" t="s">
        <v>3317</v>
      </c>
      <c r="H3478" s="1463"/>
    </row>
    <row r="3479" spans="1:8" ht="8.25" hidden="1" customHeight="1" x14ac:dyDescent="0.25">
      <c r="A3479"/>
      <c r="B3479" s="444"/>
      <c r="C3479" s="2473"/>
      <c r="D3479" s="4066"/>
      <c r="E3479" s="3620"/>
      <c r="F3479" s="3407"/>
      <c r="G3479" s="3407"/>
      <c r="H3479" s="1463"/>
    </row>
    <row r="3480" spans="1:8" ht="17.25" customHeight="1" x14ac:dyDescent="0.25">
      <c r="A3480"/>
      <c r="B3480" s="461"/>
      <c r="C3480" s="2609" t="s">
        <v>2116</v>
      </c>
      <c r="D3480" s="4159">
        <f>SUM(D3481:D3486)</f>
        <v>1900000000</v>
      </c>
      <c r="E3480" s="2813">
        <f>SUM(E3481:E3486)</f>
        <v>1861725600</v>
      </c>
      <c r="F3480" s="3257">
        <f>E3480/D3480*100</f>
        <v>97.985557894736843</v>
      </c>
      <c r="G3480" s="4108">
        <f>SUM(G3481:G3486)/6</f>
        <v>100</v>
      </c>
      <c r="H3480" s="1463"/>
    </row>
    <row r="3481" spans="1:8" ht="15" hidden="1" customHeight="1" x14ac:dyDescent="0.25">
      <c r="A3481"/>
      <c r="B3481" s="441"/>
      <c r="C3481" s="2473" t="s">
        <v>2260</v>
      </c>
      <c r="D3481" s="4066">
        <v>250000000</v>
      </c>
      <c r="E3481" s="3686">
        <v>250000000</v>
      </c>
      <c r="F3481" s="3275">
        <f>E3481/D3481*100</f>
        <v>100</v>
      </c>
      <c r="G3481" s="4109">
        <v>100</v>
      </c>
      <c r="H3481" s="1463"/>
    </row>
    <row r="3482" spans="1:8" ht="15.75" hidden="1" customHeight="1" x14ac:dyDescent="0.25">
      <c r="A3482"/>
      <c r="B3482" s="441"/>
      <c r="C3482" s="2473" t="s">
        <v>2261</v>
      </c>
      <c r="D3482" s="4066">
        <v>250000000</v>
      </c>
      <c r="E3482" s="3686">
        <v>250000000</v>
      </c>
      <c r="F3482" s="3275">
        <f t="shared" ref="F3482:F3486" si="263">E3482/D3482*100</f>
        <v>100</v>
      </c>
      <c r="G3482" s="4109">
        <v>100</v>
      </c>
      <c r="H3482" s="1463"/>
    </row>
    <row r="3483" spans="1:8" ht="14.25" hidden="1" customHeight="1" x14ac:dyDescent="0.25">
      <c r="A3483"/>
      <c r="B3483" s="441"/>
      <c r="C3483" s="2473" t="s">
        <v>2262</v>
      </c>
      <c r="D3483" s="4066">
        <v>500000000</v>
      </c>
      <c r="E3483" s="3686">
        <v>497725600</v>
      </c>
      <c r="F3483" s="3275">
        <f t="shared" si="263"/>
        <v>99.545119999999997</v>
      </c>
      <c r="G3483" s="4109">
        <v>100</v>
      </c>
      <c r="H3483" s="1463"/>
    </row>
    <row r="3484" spans="1:8" ht="15" hidden="1" customHeight="1" x14ac:dyDescent="0.25">
      <c r="B3484" s="441"/>
      <c r="C3484" s="2473" t="s">
        <v>2263</v>
      </c>
      <c r="D3484" s="4066">
        <v>250000000</v>
      </c>
      <c r="E3484" s="4109">
        <v>250000000</v>
      </c>
      <c r="F3484" s="3275">
        <f t="shared" si="263"/>
        <v>100</v>
      </c>
      <c r="G3484" s="4109">
        <v>100</v>
      </c>
      <c r="H3484" s="1463"/>
    </row>
    <row r="3485" spans="1:8" ht="15" hidden="1" customHeight="1" x14ac:dyDescent="0.25">
      <c r="A3485"/>
      <c r="B3485" s="441"/>
      <c r="C3485" s="2473" t="s">
        <v>2264</v>
      </c>
      <c r="D3485" s="4066">
        <v>400000000</v>
      </c>
      <c r="E3485" s="3686">
        <v>400000000</v>
      </c>
      <c r="F3485" s="3275">
        <f t="shared" si="263"/>
        <v>100</v>
      </c>
      <c r="G3485" s="4109">
        <v>100</v>
      </c>
      <c r="H3485" s="1463"/>
    </row>
    <row r="3486" spans="1:8" ht="15" hidden="1" customHeight="1" x14ac:dyDescent="0.25">
      <c r="A3486"/>
      <c r="B3486" s="441"/>
      <c r="C3486" s="2473" t="s">
        <v>2265</v>
      </c>
      <c r="D3486" s="4066">
        <v>250000000</v>
      </c>
      <c r="E3486" s="3686">
        <v>214000000</v>
      </c>
      <c r="F3486" s="3275">
        <f t="shared" si="263"/>
        <v>85.6</v>
      </c>
      <c r="G3486" s="4109">
        <v>100</v>
      </c>
      <c r="H3486" s="1463"/>
    </row>
    <row r="3487" spans="1:8" ht="9.75" hidden="1" customHeight="1" x14ac:dyDescent="0.25">
      <c r="A3487"/>
      <c r="B3487" s="441"/>
      <c r="C3487" s="2473"/>
      <c r="D3487" s="4276"/>
      <c r="E3487" s="4110"/>
      <c r="F3487" s="3275"/>
      <c r="G3487" s="4109"/>
      <c r="H3487" s="1463"/>
    </row>
    <row r="3488" spans="1:8" ht="18.75" customHeight="1" x14ac:dyDescent="0.25">
      <c r="A3488"/>
      <c r="B3488" s="439"/>
      <c r="C3488" s="2491" t="s">
        <v>2266</v>
      </c>
      <c r="D3488" s="4159">
        <f>SUM(D3489:D3490)</f>
        <v>995000000</v>
      </c>
      <c r="E3488" s="2813">
        <f>SUM(E3489:E3490)</f>
        <v>989800000</v>
      </c>
      <c r="F3488" s="3257">
        <f>E3488/D3488*100</f>
        <v>99.477386934673362</v>
      </c>
      <c r="G3488" s="4108">
        <f>SUM(G3489:G3490)/2</f>
        <v>100</v>
      </c>
      <c r="H3488" s="1463"/>
    </row>
    <row r="3489" spans="1:8" ht="15" hidden="1" customHeight="1" x14ac:dyDescent="0.25">
      <c r="A3489"/>
      <c r="B3489" s="441"/>
      <c r="C3489" s="2473" t="s">
        <v>2267</v>
      </c>
      <c r="D3489" s="4066">
        <v>700000000</v>
      </c>
      <c r="E3489" s="3686">
        <v>696900000</v>
      </c>
      <c r="F3489" s="3275">
        <f>E3489/D3489*100</f>
        <v>99.55714285714285</v>
      </c>
      <c r="G3489" s="4109">
        <v>100</v>
      </c>
      <c r="H3489" s="1463"/>
    </row>
    <row r="3490" spans="1:8" ht="13.5" hidden="1" customHeight="1" x14ac:dyDescent="0.25">
      <c r="A3490"/>
      <c r="B3490" s="441"/>
      <c r="C3490" s="2473" t="s">
        <v>2268</v>
      </c>
      <c r="D3490" s="4066">
        <v>295000000</v>
      </c>
      <c r="E3490" s="3686">
        <v>292900000</v>
      </c>
      <c r="F3490" s="3275">
        <f t="shared" ref="F3490" si="264">E3490/D3490*100</f>
        <v>99.288135593220346</v>
      </c>
      <c r="G3490" s="4109">
        <v>100</v>
      </c>
      <c r="H3490" s="1463"/>
    </row>
    <row r="3491" spans="1:8" ht="11.25" hidden="1" customHeight="1" x14ac:dyDescent="0.25">
      <c r="A3491"/>
      <c r="B3491" s="441"/>
      <c r="C3491" s="2473"/>
      <c r="D3491" s="4276"/>
      <c r="E3491" s="4111"/>
      <c r="F3491" s="4111"/>
      <c r="G3491" s="4109"/>
      <c r="H3491" s="1463"/>
    </row>
    <row r="3492" spans="1:8" ht="18" customHeight="1" x14ac:dyDescent="0.25">
      <c r="A3492"/>
      <c r="B3492" s="439"/>
      <c r="C3492" s="2609" t="s">
        <v>2269</v>
      </c>
      <c r="D3492" s="4159">
        <f>SUM(D3493:D3494)</f>
        <v>1000000000</v>
      </c>
      <c r="E3492" s="2813">
        <f>SUM(E3493:E3494)</f>
        <v>789285200</v>
      </c>
      <c r="F3492" s="3257">
        <f>E3492/D3492*100</f>
        <v>78.928520000000006</v>
      </c>
      <c r="G3492" s="4108">
        <f>SUM(G3493:G3494)/2</f>
        <v>100</v>
      </c>
      <c r="H3492" s="1463"/>
    </row>
    <row r="3493" spans="1:8" ht="15.75" hidden="1" customHeight="1" x14ac:dyDescent="0.25">
      <c r="A3493"/>
      <c r="B3493" s="441"/>
      <c r="C3493" s="2473" t="s">
        <v>2270</v>
      </c>
      <c r="D3493" s="4066">
        <v>500000000</v>
      </c>
      <c r="E3493" s="2971">
        <v>498180000</v>
      </c>
      <c r="F3493" s="3275">
        <f>E3493/D3493*100</f>
        <v>99.635999999999996</v>
      </c>
      <c r="G3493" s="4109">
        <v>100</v>
      </c>
      <c r="H3493" s="1463"/>
    </row>
    <row r="3494" spans="1:8" ht="16.5" hidden="1" customHeight="1" x14ac:dyDescent="0.25">
      <c r="A3494"/>
      <c r="B3494" s="441"/>
      <c r="C3494" s="2473" t="s">
        <v>2271</v>
      </c>
      <c r="D3494" s="4066">
        <v>500000000</v>
      </c>
      <c r="E3494" s="2971">
        <v>291105200</v>
      </c>
      <c r="F3494" s="3275">
        <f t="shared" ref="F3494" si="265">E3494/D3494*100</f>
        <v>58.221040000000002</v>
      </c>
      <c r="G3494" s="4109">
        <v>100</v>
      </c>
      <c r="H3494" s="1463"/>
    </row>
    <row r="3495" spans="1:8" ht="12.75" hidden="1" customHeight="1" x14ac:dyDescent="0.25">
      <c r="A3495"/>
      <c r="B3495" s="441"/>
      <c r="C3495" s="2473"/>
      <c r="D3495" s="4066"/>
      <c r="E3495" s="2971"/>
      <c r="F3495" s="3275"/>
      <c r="G3495" s="4109"/>
      <c r="H3495" s="1463"/>
    </row>
    <row r="3496" spans="1:8" ht="16.5" customHeight="1" x14ac:dyDescent="0.25">
      <c r="A3496"/>
      <c r="B3496" s="439"/>
      <c r="C3496" s="2491" t="s">
        <v>2272</v>
      </c>
      <c r="D3496" s="4159">
        <f>D3497</f>
        <v>710000000</v>
      </c>
      <c r="E3496" s="2813">
        <f>E3497</f>
        <v>710000000</v>
      </c>
      <c r="F3496" s="3257">
        <f>SUM(E3496/D3496)*100</f>
        <v>100</v>
      </c>
      <c r="G3496" s="4108">
        <f>SUM(G3497)/1</f>
        <v>100</v>
      </c>
      <c r="H3496" s="1463"/>
    </row>
    <row r="3497" spans="1:8" ht="15" hidden="1" customHeight="1" x14ac:dyDescent="0.25">
      <c r="A3497"/>
      <c r="B3497" s="441"/>
      <c r="C3497" s="2473" t="s">
        <v>2273</v>
      </c>
      <c r="D3497" s="4066">
        <v>710000000</v>
      </c>
      <c r="E3497" s="2855">
        <v>710000000</v>
      </c>
      <c r="F3497" s="3275">
        <f>SUM(E3497/D3497)*100</f>
        <v>100</v>
      </c>
      <c r="G3497" s="4109">
        <v>100</v>
      </c>
      <c r="H3497" s="1463"/>
    </row>
    <row r="3498" spans="1:8" ht="9" hidden="1" customHeight="1" x14ac:dyDescent="0.25">
      <c r="A3498"/>
      <c r="B3498" s="441"/>
      <c r="C3498" s="2473"/>
      <c r="D3498" s="4066"/>
      <c r="E3498" s="2971"/>
      <c r="F3498" s="3275"/>
      <c r="G3498" s="4109"/>
      <c r="H3498" s="1463"/>
    </row>
    <row r="3499" spans="1:8" ht="19.5" customHeight="1" x14ac:dyDescent="0.25">
      <c r="A3499"/>
      <c r="B3499" s="439"/>
      <c r="C3499" s="2491" t="s">
        <v>2274</v>
      </c>
      <c r="D3499" s="4159">
        <f>SUM(D3500:D3502)</f>
        <v>610000000</v>
      </c>
      <c r="E3499" s="2813">
        <f>SUM(E3500:E3502)</f>
        <v>604900000</v>
      </c>
      <c r="F3499" s="3257">
        <f>E3499/D3499*100</f>
        <v>99.163934426229503</v>
      </c>
      <c r="G3499" s="4108">
        <f>SUM(G3500:G3502)/3</f>
        <v>100</v>
      </c>
      <c r="H3499" s="1463"/>
    </row>
    <row r="3500" spans="1:8" ht="15" hidden="1" customHeight="1" x14ac:dyDescent="0.25">
      <c r="A3500"/>
      <c r="B3500" s="441"/>
      <c r="C3500" s="2473" t="s">
        <v>2275</v>
      </c>
      <c r="D3500" s="4066">
        <v>350000000</v>
      </c>
      <c r="E3500" s="2971">
        <v>350000000</v>
      </c>
      <c r="F3500" s="3275">
        <f>E3500/D3500*100</f>
        <v>100</v>
      </c>
      <c r="G3500" s="4109">
        <v>100</v>
      </c>
      <c r="H3500" s="1463"/>
    </row>
    <row r="3501" spans="1:8" ht="16.5" hidden="1" customHeight="1" x14ac:dyDescent="0.25">
      <c r="B3501" s="441"/>
      <c r="C3501" s="2475" t="s">
        <v>2276</v>
      </c>
      <c r="D3501" s="4066">
        <v>160000000</v>
      </c>
      <c r="E3501" s="2971">
        <v>160000000</v>
      </c>
      <c r="F3501" s="3275">
        <f t="shared" ref="F3501:F3502" si="266">E3501/D3501*100</f>
        <v>100</v>
      </c>
      <c r="G3501" s="4112">
        <v>100</v>
      </c>
      <c r="H3501" s="1463"/>
    </row>
    <row r="3502" spans="1:8" ht="17.25" hidden="1" customHeight="1" x14ac:dyDescent="0.25">
      <c r="B3502" s="441"/>
      <c r="C3502" s="2473" t="s">
        <v>2277</v>
      </c>
      <c r="D3502" s="4066">
        <v>100000000</v>
      </c>
      <c r="E3502" s="2971">
        <v>94900000</v>
      </c>
      <c r="F3502" s="3275">
        <f t="shared" si="266"/>
        <v>94.899999999999991</v>
      </c>
      <c r="G3502" s="4109">
        <v>100</v>
      </c>
      <c r="H3502" s="1463"/>
    </row>
    <row r="3503" spans="1:8" ht="12" hidden="1" customHeight="1" x14ac:dyDescent="0.25">
      <c r="B3503" s="441"/>
      <c r="C3503" s="2528"/>
      <c r="D3503" s="4301"/>
      <c r="E3503" s="2752"/>
      <c r="F3503" s="3084"/>
      <c r="G3503" s="3036"/>
      <c r="H3503" s="1463"/>
    </row>
    <row r="3504" spans="1:8" ht="18" customHeight="1" x14ac:dyDescent="0.25">
      <c r="B3504" s="441"/>
      <c r="C3504" s="2525" t="s">
        <v>3948</v>
      </c>
      <c r="D3504" s="4065">
        <f>D3505</f>
        <v>203500000</v>
      </c>
      <c r="E3504" s="4108">
        <f>E3505</f>
        <v>203500000</v>
      </c>
      <c r="F3504" s="3257">
        <f>E3504/D3504*100</f>
        <v>100</v>
      </c>
      <c r="G3504" s="4108">
        <v>100</v>
      </c>
      <c r="H3504" s="1463"/>
    </row>
    <row r="3505" spans="2:11" ht="15" hidden="1" customHeight="1" x14ac:dyDescent="0.25">
      <c r="B3505" s="441"/>
      <c r="C3505" s="2524" t="s">
        <v>3949</v>
      </c>
      <c r="D3505" s="4066">
        <v>203500000</v>
      </c>
      <c r="E3505" s="4113">
        <v>203500000</v>
      </c>
      <c r="F3505" s="3275">
        <f>E3505/D3505*100</f>
        <v>100</v>
      </c>
      <c r="G3505" s="4109">
        <v>100</v>
      </c>
      <c r="H3505" s="1463"/>
    </row>
    <row r="3506" spans="2:11" ht="12" hidden="1" customHeight="1" x14ac:dyDescent="0.25">
      <c r="B3506" s="441"/>
      <c r="C3506" s="2528"/>
      <c r="D3506" s="4301"/>
      <c r="E3506" s="2752"/>
      <c r="F3506" s="3084"/>
      <c r="G3506" s="3036"/>
      <c r="H3506" s="1463"/>
    </row>
    <row r="3507" spans="2:11" s="1" customFormat="1" ht="17.25" customHeight="1" x14ac:dyDescent="0.25">
      <c r="B3507" s="440"/>
      <c r="C3507" s="2471" t="s">
        <v>398</v>
      </c>
      <c r="D3507" s="4106">
        <f>D3508+D3513+D3528+D3533+D3544+D3552+D3572+D3579+D3582+D3585+D3588</f>
        <v>13172298000</v>
      </c>
      <c r="E3507" s="2672">
        <f>E3508+E3513+E3528+E3533+E3544+E3552+E3572+E3579+E3582+E3585+E3588</f>
        <v>10460906109</v>
      </c>
      <c r="F3507" s="3254">
        <f>E3507/D3507*100</f>
        <v>79.415953913280731</v>
      </c>
      <c r="G3507" s="2670">
        <f>SUM(G3508+G3513+G3528+G3533+G3544+G3552+G3572+G3579+G3582+G3585+G3588)/11</f>
        <v>81.818181818181813</v>
      </c>
      <c r="H3507" s="1462"/>
      <c r="J3507" s="535"/>
      <c r="K3507" s="535"/>
    </row>
    <row r="3508" spans="2:11" ht="16.5" customHeight="1" x14ac:dyDescent="0.25">
      <c r="B3508" s="441"/>
      <c r="C3508" s="2599" t="s">
        <v>2278</v>
      </c>
      <c r="D3508" s="4159">
        <f>SUM(D3509:D3511)</f>
        <v>1586048000</v>
      </c>
      <c r="E3508" s="2813">
        <f>SUM(E3509:E3511)</f>
        <v>1541133435</v>
      </c>
      <c r="F3508" s="3257">
        <f>E3508/D3508*100</f>
        <v>97.168145919921727</v>
      </c>
      <c r="G3508" s="2969">
        <f>SUM(G3509:G3511)/3</f>
        <v>100</v>
      </c>
      <c r="H3508" s="1463"/>
    </row>
    <row r="3509" spans="2:11" ht="15.75" hidden="1" customHeight="1" x14ac:dyDescent="0.25">
      <c r="B3509" s="441"/>
      <c r="C3509" s="2610" t="s">
        <v>2279</v>
      </c>
      <c r="D3509" s="4066">
        <v>490000000</v>
      </c>
      <c r="E3509" s="4109">
        <v>489443650</v>
      </c>
      <c r="F3509" s="3275">
        <f>E3509/D3509*100</f>
        <v>99.886459183673466</v>
      </c>
      <c r="G3509" s="4109">
        <v>100</v>
      </c>
      <c r="H3509" s="1463"/>
    </row>
    <row r="3510" spans="2:11" ht="17.25" hidden="1" customHeight="1" x14ac:dyDescent="0.25">
      <c r="B3510" s="441"/>
      <c r="C3510" s="2611" t="s">
        <v>2280</v>
      </c>
      <c r="D3510" s="4066">
        <v>400000000</v>
      </c>
      <c r="E3510" s="3275">
        <v>356539785</v>
      </c>
      <c r="F3510" s="3275">
        <f t="shared" ref="F3510:F3511" si="267">E3510/D3510*100</f>
        <v>89.134946249999999</v>
      </c>
      <c r="G3510" s="4109">
        <v>100</v>
      </c>
      <c r="H3510" s="1463"/>
    </row>
    <row r="3511" spans="2:11" ht="15.75" hidden="1" customHeight="1" x14ac:dyDescent="0.25">
      <c r="B3511" s="441"/>
      <c r="C3511" s="2611" t="s">
        <v>3957</v>
      </c>
      <c r="D3511" s="4066">
        <v>696048000</v>
      </c>
      <c r="E3511" s="3275">
        <v>695150000</v>
      </c>
      <c r="F3511" s="3275">
        <f t="shared" si="267"/>
        <v>99.870985909017776</v>
      </c>
      <c r="G3511" s="4109">
        <v>100</v>
      </c>
      <c r="H3511" s="1463"/>
    </row>
    <row r="3512" spans="2:11" ht="12" hidden="1" customHeight="1" x14ac:dyDescent="0.25">
      <c r="B3512" s="441"/>
      <c r="C3512" s="2473"/>
      <c r="D3512" s="4066"/>
      <c r="E3512" s="3620"/>
      <c r="F3512" s="3275"/>
      <c r="G3512" s="2967"/>
      <c r="H3512" s="1463"/>
    </row>
    <row r="3513" spans="2:11" ht="18" customHeight="1" x14ac:dyDescent="0.25">
      <c r="B3513" s="441"/>
      <c r="C3513" s="2609" t="s">
        <v>2281</v>
      </c>
      <c r="D3513" s="4159">
        <f>SUM(D3514:D3526)</f>
        <v>1399630000</v>
      </c>
      <c r="E3513" s="2813">
        <f>SUM(E3514:E3526)</f>
        <v>1391426000</v>
      </c>
      <c r="F3513" s="3257">
        <f>E3513/D3513*100</f>
        <v>99.413845087630307</v>
      </c>
      <c r="G3513" s="2969">
        <f>SUM(G3518:G3526)/5</f>
        <v>100</v>
      </c>
      <c r="H3513" s="1463"/>
    </row>
    <row r="3514" spans="2:11" ht="17.25" hidden="1" customHeight="1" x14ac:dyDescent="0.25">
      <c r="B3514" s="441"/>
      <c r="C3514" s="2611" t="s">
        <v>2282</v>
      </c>
      <c r="D3514" s="4066" t="s">
        <v>3317</v>
      </c>
      <c r="E3514" s="2690" t="s">
        <v>3317</v>
      </c>
      <c r="F3514" s="2688" t="s">
        <v>3317</v>
      </c>
      <c r="G3514" s="2967"/>
      <c r="H3514" s="1463"/>
    </row>
    <row r="3515" spans="2:11" ht="15.75" hidden="1" customHeight="1" x14ac:dyDescent="0.25">
      <c r="B3515" s="441"/>
      <c r="C3515" s="2611" t="s">
        <v>2283</v>
      </c>
      <c r="D3515" s="4066" t="s">
        <v>3317</v>
      </c>
      <c r="E3515" s="2690" t="s">
        <v>3317</v>
      </c>
      <c r="F3515" s="2688" t="s">
        <v>3317</v>
      </c>
      <c r="G3515" s="2967"/>
      <c r="H3515" s="1463"/>
    </row>
    <row r="3516" spans="2:11" ht="17.25" hidden="1" customHeight="1" x14ac:dyDescent="0.25">
      <c r="B3516" s="441"/>
      <c r="C3516" s="2611" t="s">
        <v>2284</v>
      </c>
      <c r="D3516" s="4066" t="s">
        <v>3317</v>
      </c>
      <c r="E3516" s="2690" t="s">
        <v>3317</v>
      </c>
      <c r="F3516" s="2688" t="s">
        <v>3317</v>
      </c>
      <c r="G3516" s="2967"/>
      <c r="H3516" s="1463"/>
    </row>
    <row r="3517" spans="2:11" ht="17.25" hidden="1" customHeight="1" x14ac:dyDescent="0.25">
      <c r="B3517" s="441"/>
      <c r="C3517" s="2611" t="s">
        <v>2285</v>
      </c>
      <c r="D3517" s="4066" t="s">
        <v>3317</v>
      </c>
      <c r="E3517" s="2690" t="s">
        <v>3317</v>
      </c>
      <c r="F3517" s="2688" t="s">
        <v>3317</v>
      </c>
      <c r="G3517" s="2967"/>
      <c r="H3517" s="1463"/>
    </row>
    <row r="3518" spans="2:11" ht="15.75" hidden="1" customHeight="1" x14ac:dyDescent="0.25">
      <c r="B3518" s="441"/>
      <c r="C3518" s="2611" t="s">
        <v>2286</v>
      </c>
      <c r="D3518" s="4066">
        <v>80750000</v>
      </c>
      <c r="E3518" s="3986">
        <v>80750000</v>
      </c>
      <c r="F3518" s="3275">
        <f>E3518/D3518*100</f>
        <v>100</v>
      </c>
      <c r="G3518" s="3275">
        <v>100</v>
      </c>
      <c r="H3518" s="1463"/>
    </row>
    <row r="3519" spans="2:11" ht="15" hidden="1" customHeight="1" x14ac:dyDescent="0.25">
      <c r="B3519" s="441"/>
      <c r="C3519" s="2611" t="s">
        <v>2287</v>
      </c>
      <c r="D3519" s="4066" t="s">
        <v>3317</v>
      </c>
      <c r="E3519" s="2690" t="s">
        <v>3317</v>
      </c>
      <c r="F3519" s="2688" t="s">
        <v>3317</v>
      </c>
      <c r="G3519" s="3275"/>
      <c r="H3519" s="1463"/>
    </row>
    <row r="3520" spans="2:11" ht="17.25" hidden="1" customHeight="1" x14ac:dyDescent="0.25">
      <c r="B3520" s="441"/>
      <c r="C3520" s="2611" t="s">
        <v>2288</v>
      </c>
      <c r="D3520" s="4066" t="s">
        <v>3317</v>
      </c>
      <c r="E3520" s="2690" t="s">
        <v>3317</v>
      </c>
      <c r="F3520" s="2688" t="s">
        <v>3317</v>
      </c>
      <c r="G3520" s="2690"/>
      <c r="H3520" s="1463"/>
    </row>
    <row r="3521" spans="2:8" ht="19.5" hidden="1" customHeight="1" x14ac:dyDescent="0.25">
      <c r="B3521" s="441"/>
      <c r="C3521" s="2611" t="s">
        <v>2289</v>
      </c>
      <c r="D3521" s="4066" t="s">
        <v>3317</v>
      </c>
      <c r="E3521" s="2690" t="s">
        <v>3317</v>
      </c>
      <c r="F3521" s="2688" t="s">
        <v>3317</v>
      </c>
      <c r="G3521" s="3257"/>
      <c r="H3521" s="1463"/>
    </row>
    <row r="3522" spans="2:8" ht="18" hidden="1" customHeight="1" x14ac:dyDescent="0.25">
      <c r="B3522" s="441"/>
      <c r="C3522" s="2611" t="s">
        <v>2290</v>
      </c>
      <c r="D3522" s="4066" t="s">
        <v>3317</v>
      </c>
      <c r="E3522" s="2690" t="s">
        <v>3317</v>
      </c>
      <c r="F3522" s="2688" t="s">
        <v>3317</v>
      </c>
      <c r="G3522" s="3275"/>
      <c r="H3522" s="1463"/>
    </row>
    <row r="3523" spans="2:8" ht="16.5" hidden="1" customHeight="1" x14ac:dyDescent="0.25">
      <c r="B3523" s="441"/>
      <c r="C3523" s="2611" t="s">
        <v>2291</v>
      </c>
      <c r="D3523" s="4066">
        <v>102200000</v>
      </c>
      <c r="E3523" s="2971">
        <v>102200000</v>
      </c>
      <c r="F3523" s="3275">
        <f>E3523/D3523*100</f>
        <v>100</v>
      </c>
      <c r="G3523" s="3275">
        <v>100</v>
      </c>
      <c r="H3523" s="1463"/>
    </row>
    <row r="3524" spans="2:8" ht="16.5" hidden="1" customHeight="1" x14ac:dyDescent="0.25">
      <c r="B3524" s="444"/>
      <c r="C3524" s="2611" t="s">
        <v>2292</v>
      </c>
      <c r="D3524" s="4066">
        <v>1000000000</v>
      </c>
      <c r="E3524" s="2855">
        <v>999996000</v>
      </c>
      <c r="F3524" s="3275">
        <f t="shared" ref="F3524:F3526" si="268">E3524/D3524*100</f>
        <v>99.999600000000001</v>
      </c>
      <c r="G3524" s="2855">
        <v>100</v>
      </c>
      <c r="H3524" s="1463"/>
    </row>
    <row r="3525" spans="2:8" ht="17.25" hidden="1" customHeight="1" x14ac:dyDescent="0.25">
      <c r="B3525" s="441"/>
      <c r="C3525" s="2611" t="s">
        <v>2293</v>
      </c>
      <c r="D3525" s="4066">
        <v>90080000</v>
      </c>
      <c r="E3525" s="2855">
        <v>90080000</v>
      </c>
      <c r="F3525" s="3275">
        <f t="shared" si="268"/>
        <v>100</v>
      </c>
      <c r="G3525" s="2855">
        <v>100</v>
      </c>
      <c r="H3525" s="1463"/>
    </row>
    <row r="3526" spans="2:8" ht="15" hidden="1" customHeight="1" x14ac:dyDescent="0.25">
      <c r="B3526" s="441"/>
      <c r="C3526" s="2611" t="s">
        <v>2294</v>
      </c>
      <c r="D3526" s="4066">
        <v>126600000</v>
      </c>
      <c r="E3526" s="2855">
        <v>118400000</v>
      </c>
      <c r="F3526" s="3275">
        <f t="shared" si="268"/>
        <v>93.522906793048975</v>
      </c>
      <c r="G3526" s="2855">
        <v>100</v>
      </c>
      <c r="H3526" s="1463"/>
    </row>
    <row r="3527" spans="2:8" ht="12" hidden="1" customHeight="1" x14ac:dyDescent="0.25">
      <c r="B3527" s="441"/>
      <c r="C3527" s="2612"/>
      <c r="D3527" s="4066"/>
      <c r="E3527" s="3620"/>
      <c r="F3527" s="3275"/>
      <c r="G3527" s="2967"/>
      <c r="H3527" s="1463"/>
    </row>
    <row r="3528" spans="2:8" ht="15" customHeight="1" x14ac:dyDescent="0.25">
      <c r="B3528" s="441"/>
      <c r="C3528" s="2613" t="s">
        <v>2295</v>
      </c>
      <c r="D3528" s="4159">
        <f>SUM(D3529:D3531)</f>
        <v>263700000</v>
      </c>
      <c r="E3528" s="2813">
        <f>SUM(E3529:E3531)</f>
        <v>241650800</v>
      </c>
      <c r="F3528" s="3257">
        <f>E3528/D3528*100</f>
        <v>91.638528631020094</v>
      </c>
      <c r="G3528" s="2969">
        <f>SUM(G3529:G3531)/3</f>
        <v>100</v>
      </c>
      <c r="H3528" s="1463"/>
    </row>
    <row r="3529" spans="2:8" ht="15" hidden="1" customHeight="1" x14ac:dyDescent="0.25">
      <c r="B3529" s="441"/>
      <c r="C3529" s="2611" t="s">
        <v>2296</v>
      </c>
      <c r="D3529" s="4066">
        <v>87640000</v>
      </c>
      <c r="E3529" s="2971">
        <v>74740000</v>
      </c>
      <c r="F3529" s="3275">
        <f>E3529/D3529*100</f>
        <v>85.280693747147424</v>
      </c>
      <c r="G3529" s="2967">
        <v>100</v>
      </c>
      <c r="H3529" s="1463"/>
    </row>
    <row r="3530" spans="2:8" ht="15.75" hidden="1" customHeight="1" x14ac:dyDescent="0.25">
      <c r="B3530" s="441"/>
      <c r="C3530" s="2611" t="s">
        <v>2297</v>
      </c>
      <c r="D3530" s="4066">
        <v>131360000</v>
      </c>
      <c r="E3530" s="2855">
        <v>122260000</v>
      </c>
      <c r="F3530" s="3275">
        <f>E3530/D3530*100</f>
        <v>93.072472594397084</v>
      </c>
      <c r="G3530" s="2967">
        <v>100</v>
      </c>
      <c r="H3530" s="1463"/>
    </row>
    <row r="3531" spans="2:8" ht="17.25" hidden="1" customHeight="1" x14ac:dyDescent="0.25">
      <c r="B3531" s="441"/>
      <c r="C3531" s="2611" t="s">
        <v>2298</v>
      </c>
      <c r="D3531" s="4066">
        <v>44700000</v>
      </c>
      <c r="E3531" s="2690">
        <v>44650800</v>
      </c>
      <c r="F3531" s="3275">
        <f>E3531/D3531*100</f>
        <v>99.889932885906035</v>
      </c>
      <c r="G3531" s="2967">
        <v>100</v>
      </c>
      <c r="H3531" s="1463"/>
    </row>
    <row r="3532" spans="2:8" ht="13.5" hidden="1" customHeight="1" x14ac:dyDescent="0.25">
      <c r="B3532" s="441"/>
      <c r="C3532" s="2473"/>
      <c r="D3532" s="4065"/>
      <c r="E3532" s="3991"/>
      <c r="F3532" s="3257"/>
      <c r="G3532" s="3991"/>
      <c r="H3532" s="1463"/>
    </row>
    <row r="3533" spans="2:8" ht="19.5" customHeight="1" x14ac:dyDescent="0.25">
      <c r="B3533" s="441"/>
      <c r="C3533" s="2609" t="s">
        <v>409</v>
      </c>
      <c r="D3533" s="4159">
        <f>SUM(D3534:D3542)</f>
        <v>1442500000</v>
      </c>
      <c r="E3533" s="2813">
        <f>SUM(E3534:E3542)</f>
        <v>122400000</v>
      </c>
      <c r="F3533" s="3257">
        <f>E3533/D3533*100</f>
        <v>8.4852686308492196</v>
      </c>
      <c r="G3533" s="2969">
        <f>SUM(G3538:G3542)/5</f>
        <v>20</v>
      </c>
      <c r="H3533" s="1463"/>
    </row>
    <row r="3534" spans="2:8" ht="16.5" hidden="1" customHeight="1" x14ac:dyDescent="0.25">
      <c r="B3534" s="441"/>
      <c r="C3534" s="2611" t="s">
        <v>2299</v>
      </c>
      <c r="D3534" s="4066" t="s">
        <v>3317</v>
      </c>
      <c r="E3534" s="2690" t="s">
        <v>3317</v>
      </c>
      <c r="F3534" s="2688" t="s">
        <v>3317</v>
      </c>
      <c r="G3534" s="2967"/>
      <c r="H3534" s="1463"/>
    </row>
    <row r="3535" spans="2:8" ht="15" hidden="1" customHeight="1" x14ac:dyDescent="0.25">
      <c r="B3535" s="441"/>
      <c r="C3535" s="2611" t="s">
        <v>2300</v>
      </c>
      <c r="D3535" s="4066" t="s">
        <v>3317</v>
      </c>
      <c r="E3535" s="2690" t="s">
        <v>3317</v>
      </c>
      <c r="F3535" s="2688" t="s">
        <v>3317</v>
      </c>
      <c r="G3535" s="2967"/>
      <c r="H3535" s="1463"/>
    </row>
    <row r="3536" spans="2:8" ht="14.25" hidden="1" customHeight="1" x14ac:dyDescent="0.25">
      <c r="B3536" s="441"/>
      <c r="C3536" s="2611" t="s">
        <v>2301</v>
      </c>
      <c r="D3536" s="4066" t="s">
        <v>3317</v>
      </c>
      <c r="E3536" s="2690" t="s">
        <v>3317</v>
      </c>
      <c r="F3536" s="2688" t="s">
        <v>3317</v>
      </c>
      <c r="G3536" s="2967"/>
      <c r="H3536" s="1463"/>
    </row>
    <row r="3537" spans="2:8" ht="15" hidden="1" customHeight="1" x14ac:dyDescent="0.25">
      <c r="B3537" s="441"/>
      <c r="C3537" s="2611" t="s">
        <v>2302</v>
      </c>
      <c r="D3537" s="4066" t="s">
        <v>3317</v>
      </c>
      <c r="E3537" s="2690" t="s">
        <v>3317</v>
      </c>
      <c r="F3537" s="2688" t="s">
        <v>3317</v>
      </c>
      <c r="G3537" s="2967"/>
      <c r="H3537" s="1463"/>
    </row>
    <row r="3538" spans="2:8" ht="17.25" hidden="1" customHeight="1" x14ac:dyDescent="0.25">
      <c r="B3538" s="441"/>
      <c r="C3538" s="2611" t="s">
        <v>2303</v>
      </c>
      <c r="D3538" s="4066">
        <v>350000000</v>
      </c>
      <c r="E3538" s="2855">
        <v>0</v>
      </c>
      <c r="F3538" s="3275">
        <f>E3538/D3538*100</f>
        <v>0</v>
      </c>
      <c r="G3538" s="2855">
        <v>0</v>
      </c>
      <c r="H3538" s="1463"/>
    </row>
    <row r="3539" spans="2:8" ht="15" hidden="1" customHeight="1" x14ac:dyDescent="0.25">
      <c r="B3539" s="441"/>
      <c r="C3539" s="2611" t="s">
        <v>2304</v>
      </c>
      <c r="D3539" s="4066">
        <v>350000000</v>
      </c>
      <c r="E3539" s="2855">
        <v>0</v>
      </c>
      <c r="F3539" s="2855">
        <v>0</v>
      </c>
      <c r="G3539" s="2855">
        <v>0</v>
      </c>
      <c r="H3539" s="1463"/>
    </row>
    <row r="3540" spans="2:8" ht="13.5" hidden="1" customHeight="1" x14ac:dyDescent="0.25">
      <c r="B3540" s="441"/>
      <c r="C3540" s="2611" t="s">
        <v>2305</v>
      </c>
      <c r="D3540" s="4066">
        <v>300000000</v>
      </c>
      <c r="E3540" s="2855">
        <v>0</v>
      </c>
      <c r="F3540" s="2855">
        <v>0</v>
      </c>
      <c r="G3540" s="2855">
        <v>0</v>
      </c>
      <c r="H3540" s="1463"/>
    </row>
    <row r="3541" spans="2:8" ht="16.5" hidden="1" customHeight="1" x14ac:dyDescent="0.25">
      <c r="B3541" s="441"/>
      <c r="C3541" s="2611" t="s">
        <v>2306</v>
      </c>
      <c r="D3541" s="4066">
        <v>292500000</v>
      </c>
      <c r="E3541" s="2855">
        <v>0</v>
      </c>
      <c r="F3541" s="2855">
        <v>0</v>
      </c>
      <c r="G3541" s="2855">
        <v>0</v>
      </c>
      <c r="H3541" s="1463"/>
    </row>
    <row r="3542" spans="2:8" ht="13.5" hidden="1" customHeight="1" x14ac:dyDescent="0.25">
      <c r="B3542" s="441"/>
      <c r="C3542" s="2611" t="s">
        <v>2307</v>
      </c>
      <c r="D3542" s="4066">
        <v>150000000</v>
      </c>
      <c r="E3542" s="3620">
        <v>122400000</v>
      </c>
      <c r="F3542" s="3275">
        <f>E3542/D3542*100</f>
        <v>81.599999999999994</v>
      </c>
      <c r="G3542" s="2967">
        <v>100</v>
      </c>
      <c r="H3542" s="1463"/>
    </row>
    <row r="3543" spans="2:8" ht="12" hidden="1" customHeight="1" x14ac:dyDescent="0.25">
      <c r="B3543" s="441"/>
      <c r="C3543" s="2473"/>
      <c r="D3543" s="4066"/>
      <c r="E3543" s="3620"/>
      <c r="F3543" s="3275"/>
      <c r="G3543" s="2967"/>
      <c r="H3543" s="1463"/>
    </row>
    <row r="3544" spans="2:8" ht="16.5" customHeight="1" x14ac:dyDescent="0.25">
      <c r="B3544" s="441"/>
      <c r="C3544" s="2609" t="s">
        <v>2308</v>
      </c>
      <c r="D3544" s="4159">
        <f>SUM(D3545:D3550)</f>
        <v>3714600000</v>
      </c>
      <c r="E3544" s="2813">
        <f>SUM(E3545:E3550)</f>
        <v>3593497400</v>
      </c>
      <c r="F3544" s="3257">
        <f t="shared" ref="F3544:F3550" si="269">E3544/D3544*100</f>
        <v>96.739821245894575</v>
      </c>
      <c r="G3544" s="3991">
        <f>SUM(G3545:G3550)/6</f>
        <v>100</v>
      </c>
      <c r="H3544" s="1463"/>
    </row>
    <row r="3545" spans="2:8" ht="16.5" hidden="1" customHeight="1" x14ac:dyDescent="0.25">
      <c r="B3545" s="441"/>
      <c r="C3545" s="2611" t="s">
        <v>2309</v>
      </c>
      <c r="D3545" s="4066">
        <v>500000000</v>
      </c>
      <c r="E3545" s="2855">
        <v>466832800</v>
      </c>
      <c r="F3545" s="3275">
        <f t="shared" si="269"/>
        <v>93.366559999999993</v>
      </c>
      <c r="G3545" s="2855">
        <v>100</v>
      </c>
      <c r="H3545" s="1463"/>
    </row>
    <row r="3546" spans="2:8" ht="18" hidden="1" customHeight="1" x14ac:dyDescent="0.25">
      <c r="B3546" s="441"/>
      <c r="C3546" s="2611" t="s">
        <v>2310</v>
      </c>
      <c r="D3546" s="4066">
        <v>1100000000</v>
      </c>
      <c r="E3546" s="3620">
        <v>1086100000</v>
      </c>
      <c r="F3546" s="3275">
        <f t="shared" si="269"/>
        <v>98.736363636363635</v>
      </c>
      <c r="G3546" s="2967">
        <v>100</v>
      </c>
      <c r="H3546" s="1463"/>
    </row>
    <row r="3547" spans="2:8" ht="18" hidden="1" customHeight="1" x14ac:dyDescent="0.25">
      <c r="B3547" s="441"/>
      <c r="C3547" s="2611" t="s">
        <v>2311</v>
      </c>
      <c r="D3547" s="4066">
        <v>700000000</v>
      </c>
      <c r="E3547" s="2690">
        <v>696515000</v>
      </c>
      <c r="F3547" s="3275">
        <f t="shared" si="269"/>
        <v>99.502142857142857</v>
      </c>
      <c r="G3547" s="2967">
        <v>100</v>
      </c>
      <c r="H3547" s="1463"/>
    </row>
    <row r="3548" spans="2:8" ht="17.25" hidden="1" customHeight="1" x14ac:dyDescent="0.25">
      <c r="B3548" s="441"/>
      <c r="C3548" s="2611" t="s">
        <v>2312</v>
      </c>
      <c r="D3548" s="4066">
        <v>500000000</v>
      </c>
      <c r="E3548" s="2855">
        <v>433149600</v>
      </c>
      <c r="F3548" s="3275">
        <f t="shared" si="269"/>
        <v>86.629919999999998</v>
      </c>
      <c r="G3548" s="2855">
        <v>100</v>
      </c>
      <c r="H3548" s="1463"/>
    </row>
    <row r="3549" spans="2:8" ht="18" hidden="1" customHeight="1" x14ac:dyDescent="0.25">
      <c r="B3549" s="441"/>
      <c r="C3549" s="2611" t="s">
        <v>2313</v>
      </c>
      <c r="D3549" s="4066">
        <v>700000000</v>
      </c>
      <c r="E3549" s="2971">
        <v>696300000</v>
      </c>
      <c r="F3549" s="3275">
        <f t="shared" si="269"/>
        <v>99.471428571428561</v>
      </c>
      <c r="G3549" s="2967">
        <v>100</v>
      </c>
      <c r="H3549" s="1463"/>
    </row>
    <row r="3550" spans="2:8" ht="18" hidden="1" customHeight="1" x14ac:dyDescent="0.25">
      <c r="B3550" s="441"/>
      <c r="C3550" s="2611" t="s">
        <v>2314</v>
      </c>
      <c r="D3550" s="4066">
        <v>214600000</v>
      </c>
      <c r="E3550" s="2690">
        <v>214600000</v>
      </c>
      <c r="F3550" s="3275">
        <f t="shared" si="269"/>
        <v>100</v>
      </c>
      <c r="G3550" s="3275">
        <v>100</v>
      </c>
      <c r="H3550" s="1463"/>
    </row>
    <row r="3551" spans="2:8" ht="6.75" hidden="1" customHeight="1" x14ac:dyDescent="0.25">
      <c r="B3551" s="441"/>
      <c r="C3551" s="2473"/>
      <c r="D3551" s="4065"/>
      <c r="E3551" s="3991"/>
      <c r="F3551" s="3257"/>
      <c r="G3551" s="3991"/>
      <c r="H3551" s="1463"/>
    </row>
    <row r="3552" spans="2:8" ht="17.25" customHeight="1" x14ac:dyDescent="0.25">
      <c r="B3552" s="441"/>
      <c r="C3552" s="2609" t="s">
        <v>2315</v>
      </c>
      <c r="D3552" s="4159">
        <f>SUM(D3553:D3570)</f>
        <v>239200000</v>
      </c>
      <c r="E3552" s="2813">
        <f>SUM(E3553:E3570)</f>
        <v>233400000</v>
      </c>
      <c r="F3552" s="3257">
        <f>E3552/D3552*100</f>
        <v>97.575250836120404</v>
      </c>
      <c r="G3552" s="2969">
        <f>SUM(G3553:G3570)/3</f>
        <v>100</v>
      </c>
      <c r="H3552" s="1463"/>
    </row>
    <row r="3553" spans="2:8" ht="16.5" hidden="1" customHeight="1" x14ac:dyDescent="0.25">
      <c r="B3553" s="441"/>
      <c r="C3553" s="2611" t="s">
        <v>2316</v>
      </c>
      <c r="D3553" s="4066">
        <v>66200000</v>
      </c>
      <c r="E3553" s="2690">
        <v>66200000</v>
      </c>
      <c r="F3553" s="3275">
        <f>E3553/D3553*100</f>
        <v>100</v>
      </c>
      <c r="G3553" s="2967">
        <v>100</v>
      </c>
      <c r="H3553" s="1463"/>
    </row>
    <row r="3554" spans="2:8" ht="15" hidden="1" customHeight="1" x14ac:dyDescent="0.25">
      <c r="B3554" s="441"/>
      <c r="C3554" s="2611" t="s">
        <v>2317</v>
      </c>
      <c r="D3554" s="4066" t="s">
        <v>3317</v>
      </c>
      <c r="E3554" s="2690" t="s">
        <v>3317</v>
      </c>
      <c r="F3554" s="2688" t="s">
        <v>3317</v>
      </c>
      <c r="G3554" s="2688" t="s">
        <v>3317</v>
      </c>
      <c r="H3554" s="1463"/>
    </row>
    <row r="3555" spans="2:8" ht="16.5" hidden="1" customHeight="1" x14ac:dyDescent="0.25">
      <c r="B3555" s="441"/>
      <c r="C3555" s="2611" t="s">
        <v>2318</v>
      </c>
      <c r="D3555" s="4066">
        <v>88850000</v>
      </c>
      <c r="E3555" s="2855">
        <v>83050000</v>
      </c>
      <c r="F3555" s="3275">
        <f>E3555/D3555*100</f>
        <v>93.472144063027571</v>
      </c>
      <c r="G3555" s="2967">
        <v>100</v>
      </c>
      <c r="H3555" s="1463"/>
    </row>
    <row r="3556" spans="2:8" ht="15.75" hidden="1" customHeight="1" x14ac:dyDescent="0.25">
      <c r="B3556" s="441"/>
      <c r="C3556" s="2611" t="s">
        <v>2319</v>
      </c>
      <c r="D3556" s="4066" t="s">
        <v>3317</v>
      </c>
      <c r="E3556" s="2690" t="s">
        <v>3317</v>
      </c>
      <c r="F3556" s="2688" t="s">
        <v>3317</v>
      </c>
      <c r="G3556" s="2688" t="s">
        <v>3317</v>
      </c>
      <c r="H3556" s="1463"/>
    </row>
    <row r="3557" spans="2:8" ht="14.25" hidden="1" customHeight="1" x14ac:dyDescent="0.25">
      <c r="B3557" s="441"/>
      <c r="C3557" s="2611" t="s">
        <v>2320</v>
      </c>
      <c r="D3557" s="4066" t="s">
        <v>3317</v>
      </c>
      <c r="E3557" s="2690" t="s">
        <v>3317</v>
      </c>
      <c r="F3557" s="2688" t="s">
        <v>3317</v>
      </c>
      <c r="G3557" s="2688" t="s">
        <v>3317</v>
      </c>
      <c r="H3557" s="1463"/>
    </row>
    <row r="3558" spans="2:8" ht="15.75" hidden="1" customHeight="1" x14ac:dyDescent="0.25">
      <c r="B3558" s="441"/>
      <c r="C3558" s="2611" t="s">
        <v>2321</v>
      </c>
      <c r="D3558" s="4066" t="s">
        <v>3317</v>
      </c>
      <c r="E3558" s="2690" t="s">
        <v>3317</v>
      </c>
      <c r="F3558" s="2688" t="s">
        <v>3317</v>
      </c>
      <c r="G3558" s="2688" t="s">
        <v>3317</v>
      </c>
      <c r="H3558" s="1463"/>
    </row>
    <row r="3559" spans="2:8" ht="17.25" hidden="1" customHeight="1" x14ac:dyDescent="0.25">
      <c r="B3559" s="441"/>
      <c r="C3559" s="2611" t="s">
        <v>2322</v>
      </c>
      <c r="D3559" s="4066" t="s">
        <v>3317</v>
      </c>
      <c r="E3559" s="2690" t="s">
        <v>3317</v>
      </c>
      <c r="F3559" s="2688" t="s">
        <v>3317</v>
      </c>
      <c r="G3559" s="2688" t="s">
        <v>3317</v>
      </c>
      <c r="H3559" s="1463"/>
    </row>
    <row r="3560" spans="2:8" ht="30" hidden="1" customHeight="1" x14ac:dyDescent="0.25">
      <c r="B3560" s="441"/>
      <c r="C3560" s="2614" t="s">
        <v>2323</v>
      </c>
      <c r="D3560" s="4066" t="s">
        <v>3317</v>
      </c>
      <c r="E3560" s="2690" t="s">
        <v>3317</v>
      </c>
      <c r="F3560" s="2688" t="s">
        <v>3317</v>
      </c>
      <c r="G3560" s="2688" t="s">
        <v>3317</v>
      </c>
      <c r="H3560" s="1463"/>
    </row>
    <row r="3561" spans="2:8" ht="16.5" hidden="1" customHeight="1" x14ac:dyDescent="0.25">
      <c r="B3561" s="441"/>
      <c r="C3561" s="2614" t="s">
        <v>2324</v>
      </c>
      <c r="D3561" s="4066" t="s">
        <v>3317</v>
      </c>
      <c r="E3561" s="2690" t="s">
        <v>3317</v>
      </c>
      <c r="F3561" s="2688" t="s">
        <v>3317</v>
      </c>
      <c r="G3561" s="2688" t="s">
        <v>3317</v>
      </c>
      <c r="H3561" s="1463"/>
    </row>
    <row r="3562" spans="2:8" ht="16.5" hidden="1" customHeight="1" x14ac:dyDescent="0.25">
      <c r="B3562" s="441"/>
      <c r="C3562" s="2614" t="s">
        <v>2325</v>
      </c>
      <c r="D3562" s="4066" t="s">
        <v>3317</v>
      </c>
      <c r="E3562" s="2690" t="s">
        <v>3317</v>
      </c>
      <c r="F3562" s="2688" t="s">
        <v>3317</v>
      </c>
      <c r="G3562" s="2688" t="s">
        <v>3317</v>
      </c>
      <c r="H3562" s="1463"/>
    </row>
    <row r="3563" spans="2:8" ht="15.75" hidden="1" customHeight="1" x14ac:dyDescent="0.25">
      <c r="B3563" s="441"/>
      <c r="C3563" s="2614" t="s">
        <v>2326</v>
      </c>
      <c r="D3563" s="4066" t="s">
        <v>3317</v>
      </c>
      <c r="E3563" s="2690" t="s">
        <v>3317</v>
      </c>
      <c r="F3563" s="2688" t="s">
        <v>3317</v>
      </c>
      <c r="G3563" s="2688" t="s">
        <v>3317</v>
      </c>
      <c r="H3563" s="1463"/>
    </row>
    <row r="3564" spans="2:8" ht="15.75" hidden="1" customHeight="1" x14ac:dyDescent="0.25">
      <c r="B3564" s="441"/>
      <c r="C3564" s="2614" t="s">
        <v>2327</v>
      </c>
      <c r="D3564" s="4066" t="s">
        <v>3317</v>
      </c>
      <c r="E3564" s="2690" t="s">
        <v>3317</v>
      </c>
      <c r="F3564" s="2688" t="s">
        <v>3317</v>
      </c>
      <c r="G3564" s="2688" t="s">
        <v>3317</v>
      </c>
      <c r="H3564" s="1463"/>
    </row>
    <row r="3565" spans="2:8" ht="17.25" hidden="1" customHeight="1" x14ac:dyDescent="0.25">
      <c r="B3565" s="441"/>
      <c r="C3565" s="2614" t="s">
        <v>2328</v>
      </c>
      <c r="D3565" s="4066" t="s">
        <v>3317</v>
      </c>
      <c r="E3565" s="2690" t="s">
        <v>3317</v>
      </c>
      <c r="F3565" s="2688" t="s">
        <v>3317</v>
      </c>
      <c r="G3565" s="2688" t="s">
        <v>3317</v>
      </c>
      <c r="H3565" s="1463"/>
    </row>
    <row r="3566" spans="2:8" ht="15.75" hidden="1" customHeight="1" x14ac:dyDescent="0.25">
      <c r="B3566" s="441"/>
      <c r="C3566" s="2614" t="s">
        <v>2329</v>
      </c>
      <c r="D3566" s="4066" t="s">
        <v>3317</v>
      </c>
      <c r="E3566" s="2690" t="s">
        <v>3317</v>
      </c>
      <c r="F3566" s="2688" t="s">
        <v>3317</v>
      </c>
      <c r="G3566" s="2688" t="s">
        <v>3317</v>
      </c>
      <c r="H3566" s="1463"/>
    </row>
    <row r="3567" spans="2:8" ht="15.75" hidden="1" customHeight="1" x14ac:dyDescent="0.25">
      <c r="B3567" s="441"/>
      <c r="C3567" s="2614" t="s">
        <v>2330</v>
      </c>
      <c r="D3567" s="4066" t="s">
        <v>3317</v>
      </c>
      <c r="E3567" s="2690" t="s">
        <v>3317</v>
      </c>
      <c r="F3567" s="2688" t="s">
        <v>3317</v>
      </c>
      <c r="G3567" s="2688" t="s">
        <v>3317</v>
      </c>
      <c r="H3567" s="1463"/>
    </row>
    <row r="3568" spans="2:8" ht="17.25" hidden="1" customHeight="1" x14ac:dyDescent="0.25">
      <c r="B3568" s="444"/>
      <c r="C3568" s="2614" t="s">
        <v>2331</v>
      </c>
      <c r="D3568" s="4066">
        <v>84150000</v>
      </c>
      <c r="E3568" s="2971">
        <v>84150000</v>
      </c>
      <c r="F3568" s="3275">
        <f>E3568/D3568*100</f>
        <v>100</v>
      </c>
      <c r="G3568" s="2967">
        <v>100</v>
      </c>
      <c r="H3568" s="1463"/>
    </row>
    <row r="3569" spans="2:8" ht="15.75" hidden="1" customHeight="1" x14ac:dyDescent="0.25">
      <c r="B3569" s="441"/>
      <c r="C3569" s="2614" t="s">
        <v>2332</v>
      </c>
      <c r="D3569" s="4066" t="s">
        <v>3317</v>
      </c>
      <c r="E3569" s="2690" t="s">
        <v>3317</v>
      </c>
      <c r="F3569" s="2688" t="s">
        <v>3317</v>
      </c>
      <c r="G3569" s="2688" t="s">
        <v>3317</v>
      </c>
      <c r="H3569" s="1463"/>
    </row>
    <row r="3570" spans="2:8" ht="19.5" hidden="1" customHeight="1" x14ac:dyDescent="0.25">
      <c r="B3570" s="441"/>
      <c r="C3570" s="2614" t="s">
        <v>2333</v>
      </c>
      <c r="D3570" s="4066" t="s">
        <v>3317</v>
      </c>
      <c r="E3570" s="2690" t="s">
        <v>3317</v>
      </c>
      <c r="F3570" s="2688" t="s">
        <v>3317</v>
      </c>
      <c r="G3570" s="2688" t="s">
        <v>3317</v>
      </c>
      <c r="H3570" s="1463"/>
    </row>
    <row r="3571" spans="2:8" ht="10.5" hidden="1" customHeight="1" x14ac:dyDescent="0.25">
      <c r="B3571" s="441"/>
      <c r="C3571" s="2476"/>
      <c r="D3571" s="4071"/>
      <c r="E3571" s="2710"/>
      <c r="F3571" s="2710"/>
      <c r="G3571" s="2985"/>
      <c r="H3571" s="1463"/>
    </row>
    <row r="3572" spans="2:8" ht="16.5" customHeight="1" x14ac:dyDescent="0.25">
      <c r="B3572" s="441"/>
      <c r="C3572" s="2477" t="s">
        <v>3958</v>
      </c>
      <c r="D3572" s="4300">
        <f>SUM(D3573:D3577)</f>
        <v>562150000</v>
      </c>
      <c r="E3572" s="3990">
        <f>SUM(E3573:E3577)</f>
        <v>476290000</v>
      </c>
      <c r="F3572" s="3257">
        <f>E3572/D3572*100</f>
        <v>84.726496486702843</v>
      </c>
      <c r="G3572" s="3250">
        <f>SUM(G3573:G3577)/5</f>
        <v>80</v>
      </c>
      <c r="H3572" s="1463"/>
    </row>
    <row r="3573" spans="2:8" ht="17.25" hidden="1" customHeight="1" x14ac:dyDescent="0.25">
      <c r="B3573" s="441"/>
      <c r="C3573" s="2476" t="s">
        <v>3959</v>
      </c>
      <c r="D3573" s="4071">
        <v>84150000</v>
      </c>
      <c r="E3573" s="2855">
        <v>0</v>
      </c>
      <c r="F3573" s="3275">
        <f>E3573/D3573*100</f>
        <v>0</v>
      </c>
      <c r="G3573" s="2855">
        <v>0</v>
      </c>
      <c r="H3573" s="1463"/>
    </row>
    <row r="3574" spans="2:8" ht="18" hidden="1" customHeight="1" x14ac:dyDescent="0.25">
      <c r="B3574" s="441"/>
      <c r="C3574" s="2476" t="s">
        <v>3960</v>
      </c>
      <c r="D3574" s="4071">
        <v>94250000</v>
      </c>
      <c r="E3574" s="2855">
        <v>94250000</v>
      </c>
      <c r="F3574" s="3275">
        <f t="shared" ref="F3574:F3577" si="270">E3574/D3574*100</f>
        <v>100</v>
      </c>
      <c r="G3574" s="2855">
        <v>100</v>
      </c>
      <c r="H3574" s="1463"/>
    </row>
    <row r="3575" spans="2:8" ht="17.25" hidden="1" customHeight="1" x14ac:dyDescent="0.25">
      <c r="B3575" s="441"/>
      <c r="C3575" s="2476" t="s">
        <v>3961</v>
      </c>
      <c r="D3575" s="4071">
        <v>84750000</v>
      </c>
      <c r="E3575" s="2855">
        <v>83040000</v>
      </c>
      <c r="F3575" s="3275">
        <f t="shared" si="270"/>
        <v>97.982300884955748</v>
      </c>
      <c r="G3575" s="2855">
        <v>100</v>
      </c>
      <c r="H3575" s="1463"/>
    </row>
    <row r="3576" spans="2:8" ht="17.25" hidden="1" customHeight="1" x14ac:dyDescent="0.25">
      <c r="B3576" s="441"/>
      <c r="C3576" s="2476" t="s">
        <v>3962</v>
      </c>
      <c r="D3576" s="4071">
        <v>143600000</v>
      </c>
      <c r="E3576" s="2855">
        <v>143600000</v>
      </c>
      <c r="F3576" s="3275">
        <f t="shared" si="270"/>
        <v>100</v>
      </c>
      <c r="G3576" s="2855">
        <v>100</v>
      </c>
      <c r="H3576" s="1463"/>
    </row>
    <row r="3577" spans="2:8" ht="27.75" hidden="1" customHeight="1" x14ac:dyDescent="0.25">
      <c r="B3577" s="441"/>
      <c r="C3577" s="2476" t="s">
        <v>3963</v>
      </c>
      <c r="D3577" s="4071">
        <v>155400000</v>
      </c>
      <c r="E3577" s="2855">
        <v>155400000</v>
      </c>
      <c r="F3577" s="3275">
        <f t="shared" si="270"/>
        <v>100</v>
      </c>
      <c r="G3577" s="2855">
        <v>100</v>
      </c>
      <c r="H3577" s="1463"/>
    </row>
    <row r="3578" spans="2:8" ht="10.5" hidden="1" customHeight="1" x14ac:dyDescent="0.25">
      <c r="B3578" s="441"/>
      <c r="C3578" s="2473"/>
      <c r="D3578" s="4066"/>
      <c r="E3578" s="2690"/>
      <c r="F3578" s="2690"/>
      <c r="G3578" s="2967"/>
      <c r="H3578" s="1463"/>
    </row>
    <row r="3579" spans="2:8" ht="18" customHeight="1" x14ac:dyDescent="0.25">
      <c r="B3579" s="441"/>
      <c r="C3579" s="2474" t="s">
        <v>3964</v>
      </c>
      <c r="D3579" s="4065">
        <f>D3580</f>
        <v>679945000</v>
      </c>
      <c r="E3579" s="3250">
        <v>0</v>
      </c>
      <c r="F3579" s="3250">
        <v>0</v>
      </c>
      <c r="G3579" s="3250">
        <v>0</v>
      </c>
      <c r="H3579" s="1463"/>
    </row>
    <row r="3580" spans="2:8" ht="18" hidden="1" customHeight="1" x14ac:dyDescent="0.25">
      <c r="B3580" s="441"/>
      <c r="C3580" s="2473" t="s">
        <v>3965</v>
      </c>
      <c r="D3580" s="4066">
        <v>679945000</v>
      </c>
      <c r="E3580" s="2855">
        <v>0</v>
      </c>
      <c r="F3580" s="2855">
        <v>0</v>
      </c>
      <c r="G3580" s="2855">
        <v>0</v>
      </c>
      <c r="H3580" s="1463"/>
    </row>
    <row r="3581" spans="2:8" ht="11.25" hidden="1" customHeight="1" x14ac:dyDescent="0.25">
      <c r="B3581" s="441"/>
      <c r="C3581" s="2473"/>
      <c r="D3581" s="4066"/>
      <c r="E3581" s="2690"/>
      <c r="F3581" s="2690"/>
      <c r="G3581" s="2967"/>
      <c r="H3581" s="1463"/>
    </row>
    <row r="3582" spans="2:8" ht="18.75" customHeight="1" x14ac:dyDescent="0.25">
      <c r="B3582" s="441"/>
      <c r="C3582" s="2474" t="s">
        <v>3966</v>
      </c>
      <c r="D3582" s="4065">
        <f>D3583</f>
        <v>3062575000</v>
      </c>
      <c r="E3582" s="3991">
        <f>E3583</f>
        <v>2650358474</v>
      </c>
      <c r="F3582" s="2695">
        <f>E3582/D3582*100</f>
        <v>86.540198166575507</v>
      </c>
      <c r="G3582" s="2969">
        <f>G3583</f>
        <v>100</v>
      </c>
      <c r="H3582" s="1463"/>
    </row>
    <row r="3583" spans="2:8" ht="16.5" hidden="1" customHeight="1" x14ac:dyDescent="0.25">
      <c r="B3583" s="441"/>
      <c r="C3583" s="2473" t="s">
        <v>3967</v>
      </c>
      <c r="D3583" s="4066">
        <v>3062575000</v>
      </c>
      <c r="E3583" s="2690">
        <v>2650358474</v>
      </c>
      <c r="F3583" s="2690">
        <f>E3583/D3583*100</f>
        <v>86.540198166575507</v>
      </c>
      <c r="G3583" s="2967">
        <v>100</v>
      </c>
      <c r="H3583" s="1463"/>
    </row>
    <row r="3584" spans="2:8" ht="10.5" hidden="1" customHeight="1" x14ac:dyDescent="0.25">
      <c r="B3584" s="441"/>
      <c r="C3584" s="2473"/>
      <c r="D3584" s="4066"/>
      <c r="E3584" s="2690"/>
      <c r="F3584" s="2690"/>
      <c r="G3584" s="2967"/>
      <c r="H3584" s="1463"/>
    </row>
    <row r="3585" spans="2:8" ht="18" customHeight="1" x14ac:dyDescent="0.25">
      <c r="B3585" s="441"/>
      <c r="C3585" s="2474" t="s">
        <v>3968</v>
      </c>
      <c r="D3585" s="4065">
        <f>D3586</f>
        <v>88850000</v>
      </c>
      <c r="E3585" s="3991">
        <f>E3586</f>
        <v>77650000</v>
      </c>
      <c r="F3585" s="2695">
        <f>E3585/D3585*100</f>
        <v>87.394485087225661</v>
      </c>
      <c r="G3585" s="3250">
        <f>G3586</f>
        <v>100</v>
      </c>
      <c r="H3585" s="1463"/>
    </row>
    <row r="3586" spans="2:8" ht="19.5" hidden="1" customHeight="1" x14ac:dyDescent="0.25">
      <c r="B3586" s="441"/>
      <c r="C3586" s="2473" t="s">
        <v>3969</v>
      </c>
      <c r="D3586" s="4066">
        <v>88850000</v>
      </c>
      <c r="E3586" s="2855">
        <v>77650000</v>
      </c>
      <c r="F3586" s="2690">
        <f>E3586/D3586*100</f>
        <v>87.394485087225661</v>
      </c>
      <c r="G3586" s="2855">
        <v>100</v>
      </c>
      <c r="H3586" s="1463"/>
    </row>
    <row r="3587" spans="2:8" ht="10.5" hidden="1" customHeight="1" x14ac:dyDescent="0.25">
      <c r="B3587" s="441"/>
      <c r="C3587" s="2473"/>
      <c r="D3587" s="4066"/>
      <c r="E3587" s="2690"/>
      <c r="F3587" s="2690"/>
      <c r="G3587" s="2690"/>
      <c r="H3587" s="1463"/>
    </row>
    <row r="3588" spans="2:8" ht="18.75" customHeight="1" x14ac:dyDescent="0.25">
      <c r="B3588" s="441"/>
      <c r="C3588" s="2474" t="s">
        <v>3970</v>
      </c>
      <c r="D3588" s="4065">
        <f>SUM(D3589:D3590)</f>
        <v>133100000</v>
      </c>
      <c r="E3588" s="3991">
        <f>SUM(E3589:E3590)</f>
        <v>133100000</v>
      </c>
      <c r="F3588" s="2695">
        <f>E3588/D3588*100</f>
        <v>100</v>
      </c>
      <c r="G3588" s="3250">
        <f>SUM(G3589:G3590)/2</f>
        <v>100</v>
      </c>
      <c r="H3588" s="1463"/>
    </row>
    <row r="3589" spans="2:8" ht="14.25" hidden="1" customHeight="1" x14ac:dyDescent="0.25">
      <c r="B3589" s="441"/>
      <c r="C3589" s="2473" t="s">
        <v>3971</v>
      </c>
      <c r="D3589" s="4066">
        <v>69050000</v>
      </c>
      <c r="E3589" s="2855">
        <v>69050000</v>
      </c>
      <c r="F3589" s="2690">
        <f>E3589/D3589*100</f>
        <v>100</v>
      </c>
      <c r="G3589" s="2855">
        <v>100</v>
      </c>
      <c r="H3589" s="1463"/>
    </row>
    <row r="3590" spans="2:8" ht="18.75" hidden="1" customHeight="1" x14ac:dyDescent="0.25">
      <c r="B3590" s="441"/>
      <c r="C3590" s="2473" t="s">
        <v>3972</v>
      </c>
      <c r="D3590" s="4066">
        <v>64050000</v>
      </c>
      <c r="E3590" s="2855">
        <v>64050000</v>
      </c>
      <c r="F3590" s="2690">
        <f>E3590/D3590*100</f>
        <v>100</v>
      </c>
      <c r="G3590" s="2855">
        <v>100</v>
      </c>
      <c r="H3590" s="1463"/>
    </row>
    <row r="3591" spans="2:8" ht="10.5" hidden="1" customHeight="1" x14ac:dyDescent="0.25">
      <c r="B3591" s="441"/>
      <c r="C3591" s="2475"/>
      <c r="D3591" s="4301"/>
      <c r="E3591" s="2752"/>
      <c r="F3591" s="2752"/>
      <c r="G3591" s="2993"/>
      <c r="H3591" s="1463"/>
    </row>
    <row r="3592" spans="2:8" ht="19.5" customHeight="1" x14ac:dyDescent="0.25">
      <c r="B3592" s="440"/>
      <c r="C3592" s="2497" t="s">
        <v>2334</v>
      </c>
      <c r="D3592" s="4106">
        <f>D3593+D3596+D3600</f>
        <v>4280000000</v>
      </c>
      <c r="E3592" s="3997">
        <f>E3593+E3596+E3600</f>
        <v>4232768852</v>
      </c>
      <c r="F3592" s="2672">
        <f>E3592/D3592*100</f>
        <v>98.896468504672896</v>
      </c>
      <c r="G3592" s="2670">
        <f>SUM(G3593+G3596+G3600)/3</f>
        <v>100</v>
      </c>
      <c r="H3592" s="1463"/>
    </row>
    <row r="3593" spans="2:8" ht="18.75" customHeight="1" x14ac:dyDescent="0.25">
      <c r="B3593" s="441"/>
      <c r="C3593" s="2609" t="s">
        <v>2335</v>
      </c>
      <c r="D3593" s="4305">
        <f>D3594</f>
        <v>150000000</v>
      </c>
      <c r="E3593" s="3775">
        <f>E3594</f>
        <v>150000000</v>
      </c>
      <c r="F3593" s="2785">
        <f>E3593/D3593*100</f>
        <v>100</v>
      </c>
      <c r="G3593" s="3002">
        <f>G3594</f>
        <v>100</v>
      </c>
      <c r="H3593" s="1463"/>
    </row>
    <row r="3594" spans="2:8" ht="18" hidden="1" customHeight="1" x14ac:dyDescent="0.25">
      <c r="B3594" s="441"/>
      <c r="C3594" s="2473" t="s">
        <v>2336</v>
      </c>
      <c r="D3594" s="4066">
        <v>150000000</v>
      </c>
      <c r="E3594" s="2690">
        <v>150000000</v>
      </c>
      <c r="F3594" s="2752">
        <f>E3594/D3594*100</f>
        <v>100</v>
      </c>
      <c r="G3594" s="2967">
        <v>100</v>
      </c>
      <c r="H3594" s="1463"/>
    </row>
    <row r="3595" spans="2:8" ht="9.75" hidden="1" customHeight="1" x14ac:dyDescent="0.25">
      <c r="B3595" s="441"/>
      <c r="C3595" s="2473"/>
      <c r="D3595" s="4066"/>
      <c r="E3595" s="2690"/>
      <c r="F3595" s="2690"/>
      <c r="G3595" s="2967"/>
      <c r="H3595" s="1463"/>
    </row>
    <row r="3596" spans="2:8" ht="18" customHeight="1" x14ac:dyDescent="0.25">
      <c r="B3596" s="441"/>
      <c r="C3596" s="2491" t="s">
        <v>2337</v>
      </c>
      <c r="D3596" s="4159">
        <f>SUM(D3597:D3598)</f>
        <v>3145000000</v>
      </c>
      <c r="E3596" s="2813">
        <f>SUM(E3597:E3598)</f>
        <v>3102215852</v>
      </c>
      <c r="F3596" s="2785">
        <f>E3596/D3596*100</f>
        <v>98.639613736089032</v>
      </c>
      <c r="G3596" s="2969">
        <f>SUM(G3597:G3598)/2</f>
        <v>100</v>
      </c>
      <c r="H3596" s="1463"/>
    </row>
    <row r="3597" spans="2:8" ht="18" hidden="1" customHeight="1" x14ac:dyDescent="0.25">
      <c r="B3597" s="441"/>
      <c r="C3597" s="2615" t="s">
        <v>2338</v>
      </c>
      <c r="D3597" s="4066">
        <v>1145000000</v>
      </c>
      <c r="E3597" s="2690">
        <v>1142417489</v>
      </c>
      <c r="F3597" s="2690">
        <f>E3597/D3597*100</f>
        <v>99.77445318777292</v>
      </c>
      <c r="G3597" s="2967">
        <v>100</v>
      </c>
      <c r="H3597" s="1463"/>
    </row>
    <row r="3598" spans="2:8" ht="19.5" hidden="1" customHeight="1" x14ac:dyDescent="0.25">
      <c r="B3598" s="441"/>
      <c r="C3598" s="2473" t="s">
        <v>2339</v>
      </c>
      <c r="D3598" s="4066">
        <v>2000000000</v>
      </c>
      <c r="E3598" s="2690">
        <v>1959798363</v>
      </c>
      <c r="F3598" s="2690">
        <f>E3598/D3598*100</f>
        <v>97.989918149999994</v>
      </c>
      <c r="G3598" s="2967">
        <v>100</v>
      </c>
      <c r="H3598" s="1463"/>
    </row>
    <row r="3599" spans="2:8" ht="10.5" hidden="1" customHeight="1" x14ac:dyDescent="0.25">
      <c r="B3599" s="441"/>
      <c r="C3599" s="2475"/>
      <c r="D3599" s="4071"/>
      <c r="E3599" s="2710"/>
      <c r="F3599" s="2752"/>
      <c r="G3599" s="2985"/>
      <c r="H3599" s="1463"/>
    </row>
    <row r="3600" spans="2:8" ht="16.5" customHeight="1" x14ac:dyDescent="0.25">
      <c r="B3600" s="441"/>
      <c r="C3600" s="2474" t="s">
        <v>3973</v>
      </c>
      <c r="D3600" s="4300">
        <f>SUM(D3601:D3602)</f>
        <v>985000000</v>
      </c>
      <c r="E3600" s="3990">
        <f>SUM(E3601:E3602)</f>
        <v>980553000</v>
      </c>
      <c r="F3600" s="2785">
        <f>E3600/D3600*100</f>
        <v>99.54852791878173</v>
      </c>
      <c r="G3600" s="3250">
        <f>SUM(G3601:G3602)/2</f>
        <v>100</v>
      </c>
      <c r="H3600" s="1463"/>
    </row>
    <row r="3601" spans="2:8" ht="17.25" hidden="1" customHeight="1" x14ac:dyDescent="0.25">
      <c r="B3601" s="441"/>
      <c r="C3601" s="2473" t="s">
        <v>3974</v>
      </c>
      <c r="D3601" s="4071">
        <v>420000000</v>
      </c>
      <c r="E3601" s="2855">
        <v>419353000</v>
      </c>
      <c r="F3601" s="2690">
        <f>E3601/D3601*100</f>
        <v>99.845952380952383</v>
      </c>
      <c r="G3601" s="2855">
        <v>100</v>
      </c>
      <c r="H3601" s="1463"/>
    </row>
    <row r="3602" spans="2:8" ht="15.75" hidden="1" customHeight="1" x14ac:dyDescent="0.25">
      <c r="B3602" s="441"/>
      <c r="C3602" s="2473" t="s">
        <v>3975</v>
      </c>
      <c r="D3602" s="4071">
        <v>565000000</v>
      </c>
      <c r="E3602" s="2855">
        <v>561200000</v>
      </c>
      <c r="F3602" s="2690">
        <f>E3602/D3602*100</f>
        <v>99.327433628318587</v>
      </c>
      <c r="G3602" s="2855">
        <v>100</v>
      </c>
      <c r="H3602" s="1463"/>
    </row>
    <row r="3603" spans="2:8" ht="10.5" hidden="1" customHeight="1" x14ac:dyDescent="0.25">
      <c r="B3603" s="441"/>
      <c r="C3603" s="2475"/>
      <c r="D3603" s="4071"/>
      <c r="E3603" s="2710"/>
      <c r="F3603" s="2710"/>
      <c r="G3603" s="2985"/>
      <c r="H3603" s="1463"/>
    </row>
    <row r="3604" spans="2:8" ht="18" customHeight="1" x14ac:dyDescent="0.25">
      <c r="B3604" s="440"/>
      <c r="C3604" s="2606" t="s">
        <v>2340</v>
      </c>
      <c r="D3604" s="4080">
        <f>SUM(D3605+D3608)</f>
        <v>7000000000</v>
      </c>
      <c r="E3604" s="2786">
        <f>SUM(E3605+E3608)</f>
        <v>6884356000</v>
      </c>
      <c r="F3604" s="2672">
        <f>E3604/D3604*100</f>
        <v>98.347942857142854</v>
      </c>
      <c r="G3604" s="2670">
        <f>SUM(G3605+G3608)/2</f>
        <v>100</v>
      </c>
      <c r="H3604" s="1463"/>
    </row>
    <row r="3605" spans="2:8" ht="19.5" customHeight="1" x14ac:dyDescent="0.25">
      <c r="B3605" s="441"/>
      <c r="C3605" s="2599" t="s">
        <v>2341</v>
      </c>
      <c r="D3605" s="4072">
        <f>D3606</f>
        <v>5000000000</v>
      </c>
      <c r="E3605" s="3992">
        <f>E3606</f>
        <v>4926066000</v>
      </c>
      <c r="F3605" s="2785">
        <f>E3605/D3605*100</f>
        <v>98.521320000000003</v>
      </c>
      <c r="G3605" s="2677">
        <f>G3606</f>
        <v>100</v>
      </c>
      <c r="H3605" s="1463"/>
    </row>
    <row r="3606" spans="2:8" ht="16.5" hidden="1" customHeight="1" x14ac:dyDescent="0.25">
      <c r="B3606" s="441"/>
      <c r="C3606" s="2494" t="s">
        <v>2342</v>
      </c>
      <c r="D3606" s="4066">
        <v>5000000000</v>
      </c>
      <c r="E3606" s="2690">
        <v>4926066000</v>
      </c>
      <c r="F3606" s="2690">
        <f>E3606/D3606*100</f>
        <v>98.521320000000003</v>
      </c>
      <c r="G3606" s="2967">
        <v>100</v>
      </c>
      <c r="H3606" s="1463"/>
    </row>
    <row r="3607" spans="2:8" ht="10.5" hidden="1" customHeight="1" x14ac:dyDescent="0.25">
      <c r="B3607" s="441"/>
      <c r="C3607" s="2494"/>
      <c r="D3607" s="4066"/>
      <c r="E3607" s="2690"/>
      <c r="F3607" s="2690"/>
      <c r="G3607" s="2967"/>
      <c r="H3607" s="1463"/>
    </row>
    <row r="3608" spans="2:8" ht="15.75" customHeight="1" x14ac:dyDescent="0.25">
      <c r="B3608" s="441"/>
      <c r="C3608" s="2609" t="s">
        <v>2343</v>
      </c>
      <c r="D3608" s="4065">
        <f>D3609</f>
        <v>2000000000</v>
      </c>
      <c r="E3608" s="2695">
        <f>E3609</f>
        <v>1958290000</v>
      </c>
      <c r="F3608" s="2785">
        <f>E3608/D3608*100</f>
        <v>97.914500000000004</v>
      </c>
      <c r="G3608" s="2969">
        <f>G3609</f>
        <v>100</v>
      </c>
      <c r="H3608" s="1463"/>
    </row>
    <row r="3609" spans="2:8" ht="16.5" hidden="1" customHeight="1" x14ac:dyDescent="0.25">
      <c r="B3609" s="441"/>
      <c r="C3609" s="2473" t="s">
        <v>3987</v>
      </c>
      <c r="D3609" s="4066">
        <v>2000000000</v>
      </c>
      <c r="E3609" s="2690">
        <v>1958290000</v>
      </c>
      <c r="F3609" s="2690">
        <f>E3609/D3609*100</f>
        <v>97.914500000000004</v>
      </c>
      <c r="G3609" s="2967">
        <v>100</v>
      </c>
      <c r="H3609" s="1463"/>
    </row>
    <row r="3610" spans="2:8" ht="10.5" hidden="1" customHeight="1" x14ac:dyDescent="0.25">
      <c r="B3610" s="441"/>
      <c r="C3610" s="2475"/>
      <c r="D3610" s="4301"/>
      <c r="E3610" s="2752"/>
      <c r="F3610" s="2752"/>
      <c r="G3610" s="2993"/>
      <c r="H3610" s="1463"/>
    </row>
    <row r="3611" spans="2:8" ht="17.25" customHeight="1" x14ac:dyDescent="0.25">
      <c r="B3611" s="440"/>
      <c r="C3611" s="2606" t="s">
        <v>2344</v>
      </c>
      <c r="D3611" s="4080">
        <f>SUM(D3612+D3617+D3623)</f>
        <v>3520000000</v>
      </c>
      <c r="E3611" s="2786">
        <f>SUM(E3612+E3617+E3623)</f>
        <v>3520000000</v>
      </c>
      <c r="F3611" s="2672">
        <f>E3611/D3611*100</f>
        <v>100</v>
      </c>
      <c r="G3611" s="2670">
        <f>SUM(G3612+G3617+G3623)/3</f>
        <v>100</v>
      </c>
      <c r="H3611" s="1463"/>
    </row>
    <row r="3612" spans="2:8" ht="17.25" customHeight="1" x14ac:dyDescent="0.25">
      <c r="B3612" s="441"/>
      <c r="C3612" s="2599" t="s">
        <v>2345</v>
      </c>
      <c r="D3612" s="4159">
        <f>SUM(D3613:D3615)</f>
        <v>920000000</v>
      </c>
      <c r="E3612" s="2813">
        <f>SUM(E3613:E3615)</f>
        <v>920000000</v>
      </c>
      <c r="F3612" s="2785">
        <f>E3612/D3612*100</f>
        <v>100</v>
      </c>
      <c r="G3612" s="2969">
        <f>SUM(G3613:G3615)/3</f>
        <v>100</v>
      </c>
      <c r="H3612" s="1463"/>
    </row>
    <row r="3613" spans="2:8" ht="15" hidden="1" customHeight="1" x14ac:dyDescent="0.25">
      <c r="B3613" s="441"/>
      <c r="C3613" s="2616" t="s">
        <v>2346</v>
      </c>
      <c r="D3613" s="4066">
        <v>260000000</v>
      </c>
      <c r="E3613" s="2690">
        <v>260000000</v>
      </c>
      <c r="F3613" s="2690">
        <f>E3613/D3613*100</f>
        <v>100</v>
      </c>
      <c r="G3613" s="2967">
        <v>100</v>
      </c>
      <c r="H3613" s="1463"/>
    </row>
    <row r="3614" spans="2:8" ht="15.75" hidden="1" customHeight="1" x14ac:dyDescent="0.25">
      <c r="B3614" s="441"/>
      <c r="C3614" s="2494" t="s">
        <v>2347</v>
      </c>
      <c r="D3614" s="4066">
        <v>260000000</v>
      </c>
      <c r="E3614" s="2690">
        <v>260000000</v>
      </c>
      <c r="F3614" s="2690">
        <f t="shared" ref="F3614:F3615" si="271">E3614/D3614*100</f>
        <v>100</v>
      </c>
      <c r="G3614" s="2967">
        <v>100</v>
      </c>
      <c r="H3614" s="1463"/>
    </row>
    <row r="3615" spans="2:8" ht="17.25" hidden="1" customHeight="1" x14ac:dyDescent="0.25">
      <c r="B3615" s="441"/>
      <c r="C3615" s="2494" t="s">
        <v>2348</v>
      </c>
      <c r="D3615" s="4066">
        <v>400000000</v>
      </c>
      <c r="E3615" s="2690">
        <v>400000000</v>
      </c>
      <c r="F3615" s="2690">
        <f t="shared" si="271"/>
        <v>100</v>
      </c>
      <c r="G3615" s="2967">
        <v>100</v>
      </c>
      <c r="H3615" s="1463"/>
    </row>
    <row r="3616" spans="2:8" ht="10.5" hidden="1" customHeight="1" x14ac:dyDescent="0.25">
      <c r="B3616" s="441"/>
      <c r="C3616" s="2494"/>
      <c r="D3616" s="4066"/>
      <c r="E3616" s="2690"/>
      <c r="F3616" s="2690"/>
      <c r="G3616" s="2967"/>
      <c r="H3616" s="1463"/>
    </row>
    <row r="3617" spans="2:8" ht="18" customHeight="1" x14ac:dyDescent="0.25">
      <c r="B3617" s="441"/>
      <c r="C3617" s="2491" t="s">
        <v>3179</v>
      </c>
      <c r="D3617" s="4159">
        <f>+SUM(D3618:D3621)</f>
        <v>2440000000</v>
      </c>
      <c r="E3617" s="2813">
        <f>+SUM(E3618:E3621)</f>
        <v>2440000000</v>
      </c>
      <c r="F3617" s="2785">
        <f>E3617/D3617*100</f>
        <v>100</v>
      </c>
      <c r="G3617" s="2969">
        <f>SUM(G3618:G3621)/4</f>
        <v>100</v>
      </c>
      <c r="H3617" s="1463"/>
    </row>
    <row r="3618" spans="2:8" ht="16.5" hidden="1" customHeight="1" x14ac:dyDescent="0.25">
      <c r="B3618" s="441"/>
      <c r="C3618" s="2611" t="s">
        <v>2349</v>
      </c>
      <c r="D3618" s="4066">
        <v>400000000</v>
      </c>
      <c r="E3618" s="2690">
        <v>400000000</v>
      </c>
      <c r="F3618" s="2690">
        <f>E3618/D3618*100</f>
        <v>100</v>
      </c>
      <c r="G3618" s="2967">
        <v>100</v>
      </c>
      <c r="H3618" s="1463"/>
    </row>
    <row r="3619" spans="2:8" ht="16.5" hidden="1" customHeight="1" x14ac:dyDescent="0.25">
      <c r="B3619" s="441"/>
      <c r="C3619" s="2611" t="s">
        <v>2350</v>
      </c>
      <c r="D3619" s="4066">
        <v>1140000000</v>
      </c>
      <c r="E3619" s="2690">
        <v>1140000000</v>
      </c>
      <c r="F3619" s="2690">
        <f t="shared" ref="F3619:F3621" si="272">E3619/D3619*100</f>
        <v>100</v>
      </c>
      <c r="G3619" s="2967">
        <v>100</v>
      </c>
      <c r="H3619" s="1463"/>
    </row>
    <row r="3620" spans="2:8" ht="15.75" hidden="1" customHeight="1" x14ac:dyDescent="0.25">
      <c r="B3620" s="441"/>
      <c r="C3620" s="2611" t="s">
        <v>2351</v>
      </c>
      <c r="D3620" s="4066">
        <v>400000000</v>
      </c>
      <c r="E3620" s="2690">
        <v>400000000</v>
      </c>
      <c r="F3620" s="2690">
        <f t="shared" si="272"/>
        <v>100</v>
      </c>
      <c r="G3620" s="2967">
        <v>100</v>
      </c>
      <c r="H3620" s="1463"/>
    </row>
    <row r="3621" spans="2:8" ht="18" hidden="1" customHeight="1" x14ac:dyDescent="0.25">
      <c r="B3621" s="441"/>
      <c r="C3621" s="2611" t="s">
        <v>2352</v>
      </c>
      <c r="D3621" s="4066">
        <v>500000000</v>
      </c>
      <c r="E3621" s="2690">
        <v>500000000</v>
      </c>
      <c r="F3621" s="2690">
        <f t="shared" si="272"/>
        <v>100</v>
      </c>
      <c r="G3621" s="2967">
        <v>100</v>
      </c>
      <c r="H3621" s="1463"/>
    </row>
    <row r="3622" spans="2:8" ht="10.5" hidden="1" customHeight="1" x14ac:dyDescent="0.25">
      <c r="B3622" s="441"/>
      <c r="C3622" s="2494"/>
      <c r="D3622" s="4066"/>
      <c r="E3622" s="2690"/>
      <c r="F3622" s="2690"/>
      <c r="G3622" s="2967"/>
      <c r="H3622" s="1463"/>
    </row>
    <row r="3623" spans="2:8" ht="18.75" customHeight="1" x14ac:dyDescent="0.25">
      <c r="B3623" s="441"/>
      <c r="C3623" s="2491" t="s">
        <v>2353</v>
      </c>
      <c r="D3623" s="4065">
        <f>D3624</f>
        <v>160000000</v>
      </c>
      <c r="E3623" s="3991">
        <f>E3624</f>
        <v>160000000</v>
      </c>
      <c r="F3623" s="3257">
        <f t="shared" ref="F3623:F3624" si="273">SUM(E3623/D3623)*100</f>
        <v>100</v>
      </c>
      <c r="G3623" s="3257">
        <f>G3624</f>
        <v>100</v>
      </c>
      <c r="H3623" s="1463"/>
    </row>
    <row r="3624" spans="2:8" ht="16.5" hidden="1" customHeight="1" x14ac:dyDescent="0.25">
      <c r="B3624" s="441"/>
      <c r="C3624" s="2473" t="s">
        <v>2354</v>
      </c>
      <c r="D3624" s="4066">
        <v>160000000</v>
      </c>
      <c r="E3624" s="2855">
        <v>160000000</v>
      </c>
      <c r="F3624" s="3275">
        <f t="shared" si="273"/>
        <v>100</v>
      </c>
      <c r="G3624" s="3275">
        <v>100</v>
      </c>
      <c r="H3624" s="1463"/>
    </row>
    <row r="3625" spans="2:8" ht="10.5" hidden="1" customHeight="1" x14ac:dyDescent="0.25">
      <c r="B3625" s="441"/>
      <c r="C3625" s="2475"/>
      <c r="D3625" s="4301"/>
      <c r="E3625" s="2752"/>
      <c r="F3625" s="2752"/>
      <c r="G3625" s="2993"/>
      <c r="H3625" s="1463"/>
    </row>
    <row r="3626" spans="2:8" ht="16.5" customHeight="1" x14ac:dyDescent="0.25">
      <c r="B3626" s="440"/>
      <c r="C3626" s="2532" t="s">
        <v>2355</v>
      </c>
      <c r="D3626" s="4106">
        <f>D3627</f>
        <v>1200000000</v>
      </c>
      <c r="E3626" s="3997">
        <f>E3627</f>
        <v>1200000000</v>
      </c>
      <c r="F3626" s="3254">
        <f>E3626/D3626*100</f>
        <v>100</v>
      </c>
      <c r="G3626" s="2670">
        <f>G3627</f>
        <v>100</v>
      </c>
      <c r="H3626" s="1463"/>
    </row>
    <row r="3627" spans="2:8" ht="15.75" customHeight="1" x14ac:dyDescent="0.25">
      <c r="B3627" s="441"/>
      <c r="C3627" s="2521" t="s">
        <v>2356</v>
      </c>
      <c r="D3627" s="4305">
        <v>1200000000</v>
      </c>
      <c r="E3627" s="2785">
        <v>1200000000</v>
      </c>
      <c r="F3627" s="3298">
        <f>E3627/D3627*100</f>
        <v>100</v>
      </c>
      <c r="G3627" s="3002">
        <f>SUM(G3628:G3629)/2</f>
        <v>100</v>
      </c>
      <c r="H3627" s="1463"/>
    </row>
    <row r="3628" spans="2:8" ht="15" hidden="1" customHeight="1" x14ac:dyDescent="0.25">
      <c r="B3628" s="441"/>
      <c r="C3628" s="2578" t="s">
        <v>2357</v>
      </c>
      <c r="D3628" s="4066">
        <v>600000000</v>
      </c>
      <c r="E3628" s="3986">
        <v>600000000</v>
      </c>
      <c r="F3628" s="3275">
        <f t="shared" ref="F3628:F3629" si="274">E3628/D3628*100</f>
        <v>100</v>
      </c>
      <c r="G3628" s="2967">
        <v>100</v>
      </c>
      <c r="H3628" s="1463"/>
    </row>
    <row r="3629" spans="2:8" ht="15.75" hidden="1" customHeight="1" x14ac:dyDescent="0.25">
      <c r="B3629" s="441"/>
      <c r="C3629" s="2578" t="s">
        <v>2358</v>
      </c>
      <c r="D3629" s="4066">
        <v>600000000</v>
      </c>
      <c r="E3629" s="3986">
        <v>600000000</v>
      </c>
      <c r="F3629" s="3275">
        <f t="shared" si="274"/>
        <v>100</v>
      </c>
      <c r="G3629" s="2967">
        <v>100</v>
      </c>
      <c r="H3629" s="1463"/>
    </row>
    <row r="3630" spans="2:8" ht="12" hidden="1" customHeight="1" x14ac:dyDescent="0.25">
      <c r="B3630" s="441"/>
      <c r="C3630" s="2528"/>
      <c r="D3630" s="4301"/>
      <c r="E3630" s="2752"/>
      <c r="F3630" s="2752"/>
      <c r="G3630" s="2993"/>
      <c r="H3630" s="1463"/>
    </row>
    <row r="3631" spans="2:8" ht="18" customHeight="1" x14ac:dyDescent="0.25">
      <c r="B3631" s="440"/>
      <c r="C3631" s="2532" t="s">
        <v>2035</v>
      </c>
      <c r="D3631" s="4106">
        <f>D3632+D3637+D3645+D3649+D3641</f>
        <v>3050000000</v>
      </c>
      <c r="E3631" s="2672">
        <f>E3632+E3637+E3645+E3649+E3641</f>
        <v>2946688455</v>
      </c>
      <c r="F3631" s="3254">
        <f>E3631/D3631*100</f>
        <v>96.612736229508201</v>
      </c>
      <c r="G3631" s="2670">
        <f>SUM(G3632+G3637+G3641+G3645+G3649)/5</f>
        <v>100</v>
      </c>
      <c r="H3631" s="1463"/>
    </row>
    <row r="3632" spans="2:8" ht="17.25" customHeight="1" x14ac:dyDescent="0.25">
      <c r="B3632" s="441"/>
      <c r="C3632" s="2525" t="s">
        <v>2359</v>
      </c>
      <c r="D3632" s="4065">
        <f>SUM(D3633:D3635)</f>
        <v>1225000000</v>
      </c>
      <c r="E3632" s="2695">
        <f>SUM(E3633:E3635)</f>
        <v>1125304300</v>
      </c>
      <c r="F3632" s="3298">
        <f>E3632/D3632*100</f>
        <v>91.861575510204091</v>
      </c>
      <c r="G3632" s="2969">
        <f>SUM(G3633:G3635)/3</f>
        <v>100</v>
      </c>
      <c r="H3632" s="1463"/>
    </row>
    <row r="3633" spans="2:8" ht="18" hidden="1" customHeight="1" x14ac:dyDescent="0.25">
      <c r="B3633" s="441"/>
      <c r="C3633" s="2473" t="s">
        <v>2360</v>
      </c>
      <c r="D3633" s="4066">
        <v>700000000</v>
      </c>
      <c r="E3633" s="3986">
        <v>604726000</v>
      </c>
      <c r="F3633" s="3275">
        <f t="shared" ref="F3633:F3635" si="275">E3633/D3633*100</f>
        <v>86.389428571428567</v>
      </c>
      <c r="G3633" s="2967">
        <v>100</v>
      </c>
      <c r="H3633" s="1463"/>
    </row>
    <row r="3634" spans="2:8" ht="14.25" hidden="1" customHeight="1" x14ac:dyDescent="0.25">
      <c r="B3634" s="441"/>
      <c r="C3634" s="2473" t="s">
        <v>2361</v>
      </c>
      <c r="D3634" s="4066">
        <v>180000000</v>
      </c>
      <c r="E3634" s="3986">
        <v>175768300</v>
      </c>
      <c r="F3634" s="3275">
        <f t="shared" si="275"/>
        <v>97.649055555555549</v>
      </c>
      <c r="G3634" s="2967">
        <v>100</v>
      </c>
      <c r="H3634" s="1463"/>
    </row>
    <row r="3635" spans="2:8" ht="16.5" hidden="1" customHeight="1" x14ac:dyDescent="0.25">
      <c r="B3635" s="441"/>
      <c r="C3635" s="2473" t="s">
        <v>2362</v>
      </c>
      <c r="D3635" s="4066">
        <v>345000000</v>
      </c>
      <c r="E3635" s="2690">
        <v>344810000</v>
      </c>
      <c r="F3635" s="3278">
        <f t="shared" si="275"/>
        <v>99.944927536231887</v>
      </c>
      <c r="G3635" s="2967">
        <v>100</v>
      </c>
      <c r="H3635" s="1463"/>
    </row>
    <row r="3636" spans="2:8" ht="12" hidden="1" customHeight="1" x14ac:dyDescent="0.25">
      <c r="B3636" s="441"/>
      <c r="C3636" s="2473"/>
      <c r="D3636" s="4066"/>
      <c r="E3636" s="2690"/>
      <c r="F3636" s="2690"/>
      <c r="G3636" s="2967"/>
      <c r="H3636" s="1463"/>
    </row>
    <row r="3637" spans="2:8" ht="19.5" customHeight="1" x14ac:dyDescent="0.25">
      <c r="B3637" s="441"/>
      <c r="C3637" s="2474" t="s">
        <v>2363</v>
      </c>
      <c r="D3637" s="4065">
        <f>SUM(D3638:D3639)</f>
        <v>300000000</v>
      </c>
      <c r="E3637" s="2695">
        <f>SUM(E3638:E3639)</f>
        <v>298882508</v>
      </c>
      <c r="F3637" s="3298">
        <f>E3637/D3637*100</f>
        <v>99.627502666666672</v>
      </c>
      <c r="G3637" s="2969">
        <f>SUM(G3638:G3639)/2</f>
        <v>100</v>
      </c>
      <c r="H3637" s="1463"/>
    </row>
    <row r="3638" spans="2:8" ht="14.25" hidden="1" customHeight="1" x14ac:dyDescent="0.25">
      <c r="B3638" s="441"/>
      <c r="C3638" s="2473" t="s">
        <v>2364</v>
      </c>
      <c r="D3638" s="4066">
        <v>100000000</v>
      </c>
      <c r="E3638" s="2690">
        <v>99796508</v>
      </c>
      <c r="F3638" s="3275">
        <f t="shared" ref="F3638:F3639" si="276">E3638/D3638*100</f>
        <v>99.796507999999989</v>
      </c>
      <c r="G3638" s="2967">
        <v>100</v>
      </c>
      <c r="H3638" s="1463"/>
    </row>
    <row r="3639" spans="2:8" ht="14.25" hidden="1" customHeight="1" x14ac:dyDescent="0.25">
      <c r="B3639" s="441"/>
      <c r="C3639" s="2473" t="s">
        <v>2365</v>
      </c>
      <c r="D3639" s="4066">
        <v>200000000</v>
      </c>
      <c r="E3639" s="2690">
        <v>199086000</v>
      </c>
      <c r="F3639" s="3275">
        <f t="shared" si="276"/>
        <v>99.543000000000006</v>
      </c>
      <c r="G3639" s="2967">
        <v>100</v>
      </c>
      <c r="H3639" s="1463"/>
    </row>
    <row r="3640" spans="2:8" ht="11.25" hidden="1" customHeight="1" x14ac:dyDescent="0.25">
      <c r="B3640" s="441"/>
      <c r="C3640" s="2473"/>
      <c r="D3640" s="4066"/>
      <c r="E3640" s="2690"/>
      <c r="F3640" s="2690"/>
      <c r="G3640" s="2967"/>
      <c r="H3640" s="1463"/>
    </row>
    <row r="3641" spans="2:8" ht="14.25" customHeight="1" x14ac:dyDescent="0.25">
      <c r="B3641" s="441"/>
      <c r="C3641" s="2474" t="s">
        <v>2366</v>
      </c>
      <c r="D3641" s="4065">
        <f>SUM(D3642:D3643)</f>
        <v>500000000</v>
      </c>
      <c r="E3641" s="2695">
        <f>SUM(E3642:E3643)</f>
        <v>498565965</v>
      </c>
      <c r="F3641" s="3298">
        <f>E3641/D3641*100</f>
        <v>99.713193000000004</v>
      </c>
      <c r="G3641" s="2969">
        <v>100</v>
      </c>
      <c r="H3641" s="1463"/>
    </row>
    <row r="3642" spans="2:8" ht="14.25" hidden="1" customHeight="1" x14ac:dyDescent="0.25">
      <c r="B3642" s="441"/>
      <c r="C3642" s="2473" t="s">
        <v>2367</v>
      </c>
      <c r="D3642" s="4066">
        <v>350000000</v>
      </c>
      <c r="E3642" s="2690">
        <v>349639900</v>
      </c>
      <c r="F3642" s="3275">
        <f t="shared" ref="F3642:F3643" si="277">E3642/D3642*100</f>
        <v>99.897114285714281</v>
      </c>
      <c r="G3642" s="2967">
        <v>100</v>
      </c>
      <c r="H3642" s="1463"/>
    </row>
    <row r="3643" spans="2:8" ht="14.25" hidden="1" customHeight="1" x14ac:dyDescent="0.25">
      <c r="B3643" s="441"/>
      <c r="C3643" s="2473" t="s">
        <v>2368</v>
      </c>
      <c r="D3643" s="4066">
        <v>150000000</v>
      </c>
      <c r="E3643" s="2690">
        <v>148926065</v>
      </c>
      <c r="F3643" s="3275">
        <f t="shared" si="277"/>
        <v>99.284043333333344</v>
      </c>
      <c r="G3643" s="2967">
        <v>100</v>
      </c>
      <c r="H3643" s="1463"/>
    </row>
    <row r="3644" spans="2:8" ht="9" hidden="1" customHeight="1" x14ac:dyDescent="0.25">
      <c r="B3644" s="441"/>
      <c r="C3644" s="2474"/>
      <c r="D3644" s="4066"/>
      <c r="E3644" s="2690"/>
      <c r="F3644" s="2690"/>
      <c r="G3644" s="2967"/>
      <c r="H3644" s="1463"/>
    </row>
    <row r="3645" spans="2:8" ht="18.75" customHeight="1" x14ac:dyDescent="0.25">
      <c r="B3645" s="441"/>
      <c r="C3645" s="2474" t="s">
        <v>2369</v>
      </c>
      <c r="D3645" s="4065">
        <f>SUM(D3646:D3647)</f>
        <v>200000000</v>
      </c>
      <c r="E3645" s="2695">
        <f>SUM(E3646:E3647)</f>
        <v>199037682</v>
      </c>
      <c r="F3645" s="3298">
        <f>E3645/D3645*100</f>
        <v>99.518841000000009</v>
      </c>
      <c r="G3645" s="2969">
        <f>SUM(G3646:G3647)/2</f>
        <v>100</v>
      </c>
      <c r="H3645" s="1463"/>
    </row>
    <row r="3646" spans="2:8" ht="14.25" hidden="1" customHeight="1" x14ac:dyDescent="0.25">
      <c r="B3646" s="441"/>
      <c r="C3646" s="2473" t="s">
        <v>2370</v>
      </c>
      <c r="D3646" s="4066">
        <v>100000000</v>
      </c>
      <c r="E3646" s="2690">
        <v>99190156</v>
      </c>
      <c r="F3646" s="3275">
        <f t="shared" ref="F3646:F3647" si="278">E3646/D3646*100</f>
        <v>99.190156000000002</v>
      </c>
      <c r="G3646" s="2967">
        <v>100</v>
      </c>
      <c r="H3646" s="1463"/>
    </row>
    <row r="3647" spans="2:8" ht="14.25" hidden="1" customHeight="1" x14ac:dyDescent="0.25">
      <c r="B3647" s="441"/>
      <c r="C3647" s="2473" t="s">
        <v>2371</v>
      </c>
      <c r="D3647" s="4066">
        <v>100000000</v>
      </c>
      <c r="E3647" s="2690">
        <v>99847526</v>
      </c>
      <c r="F3647" s="3275">
        <f t="shared" si="278"/>
        <v>99.847526000000002</v>
      </c>
      <c r="G3647" s="2967">
        <v>100</v>
      </c>
      <c r="H3647" s="1463"/>
    </row>
    <row r="3648" spans="2:8" ht="9" hidden="1" customHeight="1" x14ac:dyDescent="0.25">
      <c r="B3648" s="444"/>
      <c r="C3648" s="2474"/>
      <c r="D3648" s="4066"/>
      <c r="E3648" s="2690"/>
      <c r="F3648" s="2690"/>
      <c r="G3648" s="2967"/>
      <c r="H3648" s="1463"/>
    </row>
    <row r="3649" spans="2:8" ht="18" customHeight="1" x14ac:dyDescent="0.25">
      <c r="B3649" s="441"/>
      <c r="C3649" s="2474" t="s">
        <v>2372</v>
      </c>
      <c r="D3649" s="4065">
        <f>D3650</f>
        <v>825000000</v>
      </c>
      <c r="E3649" s="2695">
        <f>E3650</f>
        <v>824898000</v>
      </c>
      <c r="F3649" s="3298">
        <f>E3649/D3649*100</f>
        <v>99.987636363636369</v>
      </c>
      <c r="G3649" s="2969">
        <f>G3650</f>
        <v>100</v>
      </c>
      <c r="H3649" s="1463"/>
    </row>
    <row r="3650" spans="2:8" ht="14.25" hidden="1" customHeight="1" x14ac:dyDescent="0.25">
      <c r="B3650" s="441"/>
      <c r="C3650" s="2473" t="s">
        <v>2373</v>
      </c>
      <c r="D3650" s="4066">
        <v>825000000</v>
      </c>
      <c r="E3650" s="2690">
        <v>824898000</v>
      </c>
      <c r="F3650" s="3275">
        <f t="shared" ref="F3650" si="279">E3650/D3650*100</f>
        <v>99.987636363636369</v>
      </c>
      <c r="G3650" s="2967">
        <v>100</v>
      </c>
      <c r="H3650" s="1463"/>
    </row>
    <row r="3651" spans="2:8" ht="14.25" hidden="1" customHeight="1" x14ac:dyDescent="0.25">
      <c r="B3651" s="441"/>
      <c r="C3651" s="2475"/>
      <c r="D3651" s="4301"/>
      <c r="E3651" s="2752"/>
      <c r="F3651" s="2752"/>
      <c r="G3651" s="2993"/>
      <c r="H3651" s="1463"/>
    </row>
    <row r="3652" spans="2:8" ht="19.5" customHeight="1" x14ac:dyDescent="0.25">
      <c r="B3652" s="440"/>
      <c r="C3652" s="2532" t="s">
        <v>2374</v>
      </c>
      <c r="D3652" s="4106">
        <f>D3653</f>
        <v>300000000</v>
      </c>
      <c r="E3652" s="3997">
        <f>E3653</f>
        <v>300000000</v>
      </c>
      <c r="F3652" s="3254">
        <f>E3652/D3652*100</f>
        <v>100</v>
      </c>
      <c r="G3652" s="3997">
        <f>G3653</f>
        <v>100</v>
      </c>
      <c r="H3652" s="1463"/>
    </row>
    <row r="3653" spans="2:8" ht="18" customHeight="1" x14ac:dyDescent="0.25">
      <c r="B3653" s="441"/>
      <c r="C3653" s="2525" t="s">
        <v>2375</v>
      </c>
      <c r="D3653" s="4065">
        <f>D3654</f>
        <v>300000000</v>
      </c>
      <c r="E3653" s="3991">
        <f>E3654</f>
        <v>300000000</v>
      </c>
      <c r="F3653" s="3257">
        <f>E3653/D3653*100</f>
        <v>100</v>
      </c>
      <c r="G3653" s="2969">
        <f>G3654</f>
        <v>100</v>
      </c>
      <c r="H3653" s="1463"/>
    </row>
    <row r="3654" spans="2:8" ht="17.25" hidden="1" customHeight="1" x14ac:dyDescent="0.25">
      <c r="B3654" s="441"/>
      <c r="C3654" s="2473" t="s">
        <v>2376</v>
      </c>
      <c r="D3654" s="4066">
        <v>300000000</v>
      </c>
      <c r="E3654" s="2971">
        <v>300000000</v>
      </c>
      <c r="F3654" s="3275">
        <f>E3654/D3654*100</f>
        <v>100</v>
      </c>
      <c r="G3654" s="2967">
        <v>100</v>
      </c>
      <c r="H3654" s="1463"/>
    </row>
    <row r="3655" spans="2:8" ht="12" hidden="1" customHeight="1" x14ac:dyDescent="0.25">
      <c r="B3655" s="441"/>
      <c r="C3655" s="2475"/>
      <c r="D3655" s="4301"/>
      <c r="E3655" s="2752"/>
      <c r="F3655" s="3084"/>
      <c r="G3655" s="2993"/>
      <c r="H3655" s="1463"/>
    </row>
    <row r="3656" spans="2:8" ht="17.25" customHeight="1" x14ac:dyDescent="0.25">
      <c r="B3656" s="440"/>
      <c r="C3656" s="2532" t="s">
        <v>339</v>
      </c>
      <c r="D3656" s="4106">
        <f>D3657+D3668+D3672</f>
        <v>6000000000</v>
      </c>
      <c r="E3656" s="2672">
        <f>E3657+E3668+E3672</f>
        <v>5890369000</v>
      </c>
      <c r="F3656" s="3254">
        <f>E3656/D3656*100</f>
        <v>98.172816666666662</v>
      </c>
      <c r="G3656" s="2670">
        <f>SUM(G3657+G3668)/2</f>
        <v>100</v>
      </c>
      <c r="H3656" s="1463"/>
    </row>
    <row r="3657" spans="2:8" ht="18.75" customHeight="1" x14ac:dyDescent="0.25">
      <c r="B3657" s="441"/>
      <c r="C3657" s="2525" t="s">
        <v>2377</v>
      </c>
      <c r="D3657" s="4159">
        <f>D3658+D3659+D3660+D3661+D3662+D3663+D3664+D3665+D3666</f>
        <v>4800000000</v>
      </c>
      <c r="E3657" s="2813">
        <f>E3658+E3659+E3660+E3661+E3662+E3663+E3664+E3665+E3666</f>
        <v>4705050000</v>
      </c>
      <c r="F3657" s="3257">
        <f>E3657/D3657*100</f>
        <v>98.021875000000009</v>
      </c>
      <c r="G3657" s="3775">
        <f>SUM(G3658:G3666)/9</f>
        <v>100</v>
      </c>
      <c r="H3657" s="1463"/>
    </row>
    <row r="3658" spans="2:8" ht="16.5" hidden="1" customHeight="1" x14ac:dyDescent="0.25">
      <c r="B3658" s="441"/>
      <c r="C3658" s="2473" t="s">
        <v>2378</v>
      </c>
      <c r="D3658" s="4066">
        <v>1000000000</v>
      </c>
      <c r="E3658" s="3620">
        <v>999100000</v>
      </c>
      <c r="F3658" s="3275">
        <f>E3658/D3658*100</f>
        <v>99.91</v>
      </c>
      <c r="G3658" s="2967">
        <v>100</v>
      </c>
      <c r="H3658" s="1463"/>
    </row>
    <row r="3659" spans="2:8" ht="16.5" hidden="1" customHeight="1" x14ac:dyDescent="0.25">
      <c r="B3659" s="441"/>
      <c r="C3659" s="2473" t="s">
        <v>2379</v>
      </c>
      <c r="D3659" s="4066">
        <v>500000000</v>
      </c>
      <c r="E3659" s="2690">
        <v>495410000</v>
      </c>
      <c r="F3659" s="3275">
        <f t="shared" ref="F3659:F3666" si="280">E3659/D3659*100</f>
        <v>99.082000000000008</v>
      </c>
      <c r="G3659" s="2967">
        <v>100</v>
      </c>
      <c r="H3659" s="1463"/>
    </row>
    <row r="3660" spans="2:8" ht="15" hidden="1" customHeight="1" x14ac:dyDescent="0.25">
      <c r="B3660" s="441"/>
      <c r="C3660" s="2526" t="s">
        <v>2380</v>
      </c>
      <c r="D3660" s="4066">
        <v>500000000</v>
      </c>
      <c r="E3660" s="3986">
        <v>472450000</v>
      </c>
      <c r="F3660" s="3275">
        <f t="shared" si="280"/>
        <v>94.49</v>
      </c>
      <c r="G3660" s="2967">
        <v>100</v>
      </c>
      <c r="H3660" s="1463"/>
    </row>
    <row r="3661" spans="2:8" ht="15.75" hidden="1" customHeight="1" x14ac:dyDescent="0.25">
      <c r="B3661" s="441"/>
      <c r="C3661" s="2473" t="s">
        <v>2381</v>
      </c>
      <c r="D3661" s="4066">
        <v>600000000</v>
      </c>
      <c r="E3661" s="3620">
        <v>598450000</v>
      </c>
      <c r="F3661" s="3275">
        <f t="shared" si="280"/>
        <v>99.74166666666666</v>
      </c>
      <c r="G3661" s="2967">
        <v>100</v>
      </c>
      <c r="H3661" s="1463"/>
    </row>
    <row r="3662" spans="2:8" ht="17.25" hidden="1" customHeight="1" x14ac:dyDescent="0.25">
      <c r="B3662" s="441"/>
      <c r="C3662" s="2475" t="s">
        <v>2382</v>
      </c>
      <c r="D3662" s="4071">
        <v>600000000</v>
      </c>
      <c r="E3662" s="2752">
        <v>596225000</v>
      </c>
      <c r="F3662" s="3275">
        <f t="shared" si="280"/>
        <v>99.370833333333337</v>
      </c>
      <c r="G3662" s="2967">
        <v>100</v>
      </c>
      <c r="H3662" s="1463"/>
    </row>
    <row r="3663" spans="2:8" ht="15.75" hidden="1" customHeight="1" x14ac:dyDescent="0.25">
      <c r="B3663" s="441"/>
      <c r="C3663" s="2473" t="s">
        <v>2383</v>
      </c>
      <c r="D3663" s="4066">
        <v>200000000</v>
      </c>
      <c r="E3663" s="3986">
        <v>199150000</v>
      </c>
      <c r="F3663" s="3275">
        <f t="shared" si="280"/>
        <v>99.575000000000003</v>
      </c>
      <c r="G3663" s="2967">
        <v>100</v>
      </c>
      <c r="H3663" s="1463"/>
    </row>
    <row r="3664" spans="2:8" ht="15.75" hidden="1" customHeight="1" x14ac:dyDescent="0.25">
      <c r="B3664" s="441"/>
      <c r="C3664" s="2473" t="s">
        <v>2384</v>
      </c>
      <c r="D3664" s="4066">
        <v>600000000</v>
      </c>
      <c r="E3664" s="3620">
        <v>598595000</v>
      </c>
      <c r="F3664" s="3275">
        <f t="shared" si="280"/>
        <v>99.765833333333333</v>
      </c>
      <c r="G3664" s="2967">
        <v>100</v>
      </c>
      <c r="H3664" s="1463"/>
    </row>
    <row r="3665" spans="2:8" ht="17.25" hidden="1" customHeight="1" x14ac:dyDescent="0.25">
      <c r="B3665" s="441"/>
      <c r="C3665" s="2473" t="s">
        <v>2385</v>
      </c>
      <c r="D3665" s="4066">
        <v>500000000</v>
      </c>
      <c r="E3665" s="2690">
        <v>498030000</v>
      </c>
      <c r="F3665" s="3275">
        <f t="shared" si="280"/>
        <v>99.605999999999995</v>
      </c>
      <c r="G3665" s="2967">
        <v>100</v>
      </c>
      <c r="H3665" s="1463"/>
    </row>
    <row r="3666" spans="2:8" ht="16.5" hidden="1" customHeight="1" x14ac:dyDescent="0.25">
      <c r="B3666" s="441"/>
      <c r="C3666" s="2473" t="s">
        <v>2386</v>
      </c>
      <c r="D3666" s="4066">
        <v>300000000</v>
      </c>
      <c r="E3666" s="2855">
        <v>247640000</v>
      </c>
      <c r="F3666" s="3275">
        <f t="shared" si="280"/>
        <v>82.546666666666667</v>
      </c>
      <c r="G3666" s="2967">
        <v>100</v>
      </c>
      <c r="H3666" s="1463"/>
    </row>
    <row r="3667" spans="2:8" ht="12" hidden="1" customHeight="1" x14ac:dyDescent="0.25">
      <c r="B3667" s="441"/>
      <c r="C3667" s="2494"/>
      <c r="D3667" s="4066"/>
      <c r="E3667" s="2690"/>
      <c r="F3667" s="2702"/>
      <c r="G3667" s="2967"/>
      <c r="H3667" s="1463"/>
    </row>
    <row r="3668" spans="2:8" ht="21.75" customHeight="1" x14ac:dyDescent="0.25">
      <c r="B3668" s="441"/>
      <c r="C3668" s="2613" t="s">
        <v>2387</v>
      </c>
      <c r="D3668" s="4159">
        <f>SUM(D3669:D3670)</f>
        <v>1200000000</v>
      </c>
      <c r="E3668" s="2813">
        <f>SUM(E3669:E3670)</f>
        <v>1185319000</v>
      </c>
      <c r="F3668" s="3257">
        <f>E3668/D3668*100</f>
        <v>98.776583333333335</v>
      </c>
      <c r="G3668" s="2969">
        <f>SUM(G3669:G3670)/2</f>
        <v>100</v>
      </c>
      <c r="H3668" s="1463"/>
    </row>
    <row r="3669" spans="2:8" ht="17.25" hidden="1" customHeight="1" x14ac:dyDescent="0.25">
      <c r="B3669" s="441"/>
      <c r="C3669" s="2473" t="s">
        <v>2388</v>
      </c>
      <c r="D3669" s="4066">
        <v>600000000</v>
      </c>
      <c r="E3669" s="2690">
        <v>591499000</v>
      </c>
      <c r="F3669" s="3275">
        <f>E3669/D3669*100</f>
        <v>98.583166666666671</v>
      </c>
      <c r="G3669" s="2967">
        <v>100</v>
      </c>
      <c r="H3669" s="1463"/>
    </row>
    <row r="3670" spans="2:8" ht="15" hidden="1" customHeight="1" x14ac:dyDescent="0.25">
      <c r="B3670" s="441"/>
      <c r="C3670" s="2473" t="s">
        <v>2389</v>
      </c>
      <c r="D3670" s="4066">
        <v>600000000</v>
      </c>
      <c r="E3670" s="2690">
        <v>593820000</v>
      </c>
      <c r="F3670" s="3275">
        <f>E3670/D3670*100</f>
        <v>98.97</v>
      </c>
      <c r="G3670" s="2967">
        <v>100</v>
      </c>
      <c r="H3670" s="1463"/>
    </row>
    <row r="3671" spans="2:8" ht="12" hidden="1" customHeight="1" x14ac:dyDescent="0.25">
      <c r="B3671" s="441"/>
      <c r="C3671" s="2473"/>
      <c r="D3671" s="4066"/>
      <c r="E3671" s="2690"/>
      <c r="F3671" s="2702"/>
      <c r="G3671" s="2967"/>
      <c r="H3671" s="1463"/>
    </row>
    <row r="3672" spans="2:8" ht="17.25" customHeight="1" x14ac:dyDescent="0.25">
      <c r="B3672" s="441"/>
      <c r="C3672" s="2474" t="s">
        <v>2390</v>
      </c>
      <c r="D3672" s="4321">
        <v>0</v>
      </c>
      <c r="E3672" s="2690">
        <v>0</v>
      </c>
      <c r="F3672" s="2690">
        <v>0</v>
      </c>
      <c r="G3672" s="2690">
        <v>0</v>
      </c>
      <c r="H3672" s="1463"/>
    </row>
    <row r="3673" spans="2:8" ht="15" hidden="1" customHeight="1" x14ac:dyDescent="0.25">
      <c r="B3673" s="441"/>
      <c r="C3673" s="2473" t="s">
        <v>2391</v>
      </c>
      <c r="D3673" s="4066" t="s">
        <v>3317</v>
      </c>
      <c r="E3673" s="2690" t="s">
        <v>3317</v>
      </c>
      <c r="F3673" s="2690" t="s">
        <v>3317</v>
      </c>
      <c r="G3673" s="2690" t="s">
        <v>3317</v>
      </c>
      <c r="H3673" s="1463"/>
    </row>
    <row r="3674" spans="2:8" ht="9.75" hidden="1" customHeight="1" x14ac:dyDescent="0.25">
      <c r="B3674" s="441"/>
      <c r="C3674" s="2475"/>
      <c r="D3674" s="4301"/>
      <c r="E3674" s="2752"/>
      <c r="F3674" s="3084"/>
      <c r="G3674" s="2993"/>
      <c r="H3674" s="1463"/>
    </row>
    <row r="3675" spans="2:8" ht="16.5" customHeight="1" x14ac:dyDescent="0.25">
      <c r="B3675" s="440"/>
      <c r="C3675" s="2532" t="s">
        <v>2392</v>
      </c>
      <c r="D3675" s="4106">
        <f>SUM(D3676+D3679)</f>
        <v>3700000000</v>
      </c>
      <c r="E3675" s="2672">
        <f>SUM(E3676+E3679)</f>
        <v>3633504000</v>
      </c>
      <c r="F3675" s="3254">
        <f>E3675/D3675*100</f>
        <v>98.202810810810817</v>
      </c>
      <c r="G3675" s="2670">
        <f>SUM(G3676+G3679)/2</f>
        <v>100</v>
      </c>
      <c r="H3675" s="1463"/>
    </row>
    <row r="3676" spans="2:8" ht="18" customHeight="1" x14ac:dyDescent="0.25">
      <c r="B3676" s="445"/>
      <c r="C3676" s="2525" t="s">
        <v>2393</v>
      </c>
      <c r="D3676" s="4065">
        <f>D3677</f>
        <v>2700000000</v>
      </c>
      <c r="E3676" s="3991">
        <f>E3677</f>
        <v>2633504000</v>
      </c>
      <c r="F3676" s="3257">
        <f>E3676/D3676*100</f>
        <v>97.53718518518518</v>
      </c>
      <c r="G3676" s="2969">
        <f>G3677</f>
        <v>100</v>
      </c>
      <c r="H3676" s="1463"/>
    </row>
    <row r="3677" spans="2:8" ht="18" hidden="1" customHeight="1" x14ac:dyDescent="0.25">
      <c r="B3677" s="441"/>
      <c r="C3677" s="2473" t="s">
        <v>2394</v>
      </c>
      <c r="D3677" s="4066">
        <v>2700000000</v>
      </c>
      <c r="E3677" s="3620">
        <v>2633504000</v>
      </c>
      <c r="F3677" s="3275">
        <f>E3677/D3677*100</f>
        <v>97.53718518518518</v>
      </c>
      <c r="G3677" s="2967">
        <v>100</v>
      </c>
      <c r="H3677" s="1463"/>
    </row>
    <row r="3678" spans="2:8" ht="9" hidden="1" customHeight="1" x14ac:dyDescent="0.25">
      <c r="B3678" s="441"/>
      <c r="C3678" s="2473"/>
      <c r="D3678" s="4066"/>
      <c r="E3678" s="2690"/>
      <c r="F3678" s="2690"/>
      <c r="G3678" s="2967"/>
      <c r="H3678" s="1463"/>
    </row>
    <row r="3679" spans="2:8" ht="20.25" customHeight="1" x14ac:dyDescent="0.25">
      <c r="B3679" s="441"/>
      <c r="C3679" s="2521" t="s">
        <v>2395</v>
      </c>
      <c r="D3679" s="4305">
        <f>SUM(D3680:D3682)</f>
        <v>1000000000</v>
      </c>
      <c r="E3679" s="2785">
        <f>SUM(E3680:E3682)</f>
        <v>1000000000</v>
      </c>
      <c r="F3679" s="3257">
        <f>E3679/D3679*100</f>
        <v>100</v>
      </c>
      <c r="G3679" s="3991">
        <f>SUM(G3680:G3682)/3</f>
        <v>100</v>
      </c>
      <c r="H3679" s="1463"/>
    </row>
    <row r="3680" spans="2:8" ht="17.25" hidden="1" customHeight="1" x14ac:dyDescent="0.25">
      <c r="B3680" s="441"/>
      <c r="C3680" s="2473" t="s">
        <v>2396</v>
      </c>
      <c r="D3680" s="4066">
        <v>200000000</v>
      </c>
      <c r="E3680" s="3620">
        <v>200000000</v>
      </c>
      <c r="F3680" s="3275">
        <f>E3680/D3680*100</f>
        <v>100</v>
      </c>
      <c r="G3680" s="2967">
        <v>100</v>
      </c>
      <c r="H3680" s="1463"/>
    </row>
    <row r="3681" spans="1:8" ht="17.25" hidden="1" customHeight="1" x14ac:dyDescent="0.25">
      <c r="B3681" s="441"/>
      <c r="C3681" s="2473" t="s">
        <v>2397</v>
      </c>
      <c r="D3681" s="4066">
        <v>500000000</v>
      </c>
      <c r="E3681" s="3620">
        <v>500000000</v>
      </c>
      <c r="F3681" s="3275">
        <f>E3681/D3681*100</f>
        <v>100</v>
      </c>
      <c r="G3681" s="2967">
        <v>100</v>
      </c>
      <c r="H3681" s="1463"/>
    </row>
    <row r="3682" spans="1:8" ht="21" hidden="1" customHeight="1" x14ac:dyDescent="0.25">
      <c r="B3682" s="441"/>
      <c r="C3682" s="2473" t="s">
        <v>2398</v>
      </c>
      <c r="D3682" s="4066">
        <v>300000000</v>
      </c>
      <c r="E3682" s="3620">
        <v>300000000</v>
      </c>
      <c r="F3682" s="3275">
        <f>E3682/D3682*100</f>
        <v>100</v>
      </c>
      <c r="G3682" s="2967">
        <v>100</v>
      </c>
      <c r="H3682" s="1463"/>
    </row>
    <row r="3683" spans="1:8" ht="12" hidden="1" customHeight="1" x14ac:dyDescent="0.25">
      <c r="B3683" s="441"/>
      <c r="C3683" s="2475" t="s">
        <v>2399</v>
      </c>
      <c r="D3683" s="4071"/>
      <c r="E3683" s="2710"/>
      <c r="F3683" s="3084"/>
      <c r="G3683" s="2993"/>
      <c r="H3683" s="1463"/>
    </row>
    <row r="3684" spans="1:8" ht="17.25" customHeight="1" x14ac:dyDescent="0.25">
      <c r="A3684" s="1"/>
      <c r="B3684" s="458"/>
      <c r="C3684" s="2532" t="s">
        <v>2400</v>
      </c>
      <c r="D3684" s="4106">
        <f>SUM(D3685+D3700+D3693)</f>
        <v>6092702000</v>
      </c>
      <c r="E3684" s="2672">
        <f>SUM(E3685+E3700+E3693)</f>
        <v>4519452000</v>
      </c>
      <c r="F3684" s="3254">
        <f>E3684/D3684*100</f>
        <v>74.178123269445976</v>
      </c>
      <c r="G3684" s="3192">
        <f>SUM(G3685+G3693+G3700)/3</f>
        <v>81.1111111111111</v>
      </c>
      <c r="H3684" s="1463"/>
    </row>
    <row r="3685" spans="1:8" ht="16.5" customHeight="1" x14ac:dyDescent="0.25">
      <c r="B3685" s="441"/>
      <c r="C3685" s="2525" t="s">
        <v>2401</v>
      </c>
      <c r="D3685" s="4065">
        <f>SUM(D3686:D3691)</f>
        <v>2500000000</v>
      </c>
      <c r="E3685" s="2695">
        <f>SUM(E3686:E3691)</f>
        <v>1833946900</v>
      </c>
      <c r="F3685" s="3257">
        <f>E3685/D3685*100</f>
        <v>73.357876000000005</v>
      </c>
      <c r="G3685" s="3991">
        <f>SUM(G3686:G3691)/6</f>
        <v>83.333333333333329</v>
      </c>
      <c r="H3685" s="1463"/>
    </row>
    <row r="3686" spans="1:8" ht="18" hidden="1" customHeight="1" x14ac:dyDescent="0.25">
      <c r="B3686" s="441"/>
      <c r="C3686" s="2473" t="s">
        <v>2402</v>
      </c>
      <c r="D3686" s="4066">
        <v>600000000</v>
      </c>
      <c r="E3686" s="3986">
        <v>419447900</v>
      </c>
      <c r="F3686" s="3275">
        <f>E3686/D3686*100</f>
        <v>69.907983333333334</v>
      </c>
      <c r="G3686" s="2967">
        <v>100</v>
      </c>
      <c r="H3686" s="1463"/>
    </row>
    <row r="3687" spans="1:8" ht="15" hidden="1" customHeight="1" x14ac:dyDescent="0.25">
      <c r="B3687" s="441"/>
      <c r="C3687" s="2475" t="s">
        <v>2403</v>
      </c>
      <c r="D3687" s="4301">
        <v>400000000</v>
      </c>
      <c r="E3687" s="2967">
        <v>0</v>
      </c>
      <c r="F3687" s="2967">
        <v>0</v>
      </c>
      <c r="G3687" s="2967">
        <v>0</v>
      </c>
      <c r="H3687" s="1463"/>
    </row>
    <row r="3688" spans="1:8" ht="18" hidden="1" customHeight="1" x14ac:dyDescent="0.25">
      <c r="B3688" s="444"/>
      <c r="C3688" s="2473" t="s">
        <v>2404</v>
      </c>
      <c r="D3688" s="4066">
        <v>600000000</v>
      </c>
      <c r="E3688" s="2690">
        <v>526798000</v>
      </c>
      <c r="F3688" s="3275">
        <f>E3688/D3688*100</f>
        <v>87.799666666666667</v>
      </c>
      <c r="G3688" s="2967">
        <v>100</v>
      </c>
      <c r="H3688" s="1463"/>
    </row>
    <row r="3689" spans="1:8" ht="15" hidden="1" customHeight="1" x14ac:dyDescent="0.25">
      <c r="B3689" s="441"/>
      <c r="C3689" s="2473" t="s">
        <v>2405</v>
      </c>
      <c r="D3689" s="4066">
        <v>250000000</v>
      </c>
      <c r="E3689" s="2967">
        <v>241467000</v>
      </c>
      <c r="F3689" s="3275">
        <f t="shared" ref="F3689:F3691" si="281">E3689/D3689*100</f>
        <v>96.586799999999997</v>
      </c>
      <c r="G3689" s="2967">
        <v>100</v>
      </c>
      <c r="H3689" s="1463"/>
    </row>
    <row r="3690" spans="1:8" ht="16.5" hidden="1" customHeight="1" x14ac:dyDescent="0.25">
      <c r="B3690" s="441"/>
      <c r="C3690" s="2473" t="s">
        <v>2406</v>
      </c>
      <c r="D3690" s="4066">
        <v>300000000</v>
      </c>
      <c r="E3690" s="2690">
        <v>297605200</v>
      </c>
      <c r="F3690" s="3275">
        <f t="shared" si="281"/>
        <v>99.201733333333337</v>
      </c>
      <c r="G3690" s="2967">
        <v>100</v>
      </c>
      <c r="H3690" s="1463"/>
    </row>
    <row r="3691" spans="1:8" ht="17.25" hidden="1" customHeight="1" x14ac:dyDescent="0.25">
      <c r="B3691" s="441"/>
      <c r="C3691" s="2473" t="s">
        <v>2407</v>
      </c>
      <c r="D3691" s="4066">
        <v>350000000</v>
      </c>
      <c r="E3691" s="2690">
        <v>348628800</v>
      </c>
      <c r="F3691" s="3275">
        <f t="shared" si="281"/>
        <v>99.608228571428569</v>
      </c>
      <c r="G3691" s="2967">
        <v>100</v>
      </c>
      <c r="H3691" s="1463"/>
    </row>
    <row r="3692" spans="1:8" ht="8.25" hidden="1" customHeight="1" x14ac:dyDescent="0.25">
      <c r="B3692" s="441"/>
      <c r="C3692" s="2473"/>
      <c r="D3692" s="4066"/>
      <c r="E3692" s="2690"/>
      <c r="F3692" s="2690"/>
      <c r="G3692" s="2967"/>
      <c r="H3692" s="1463"/>
    </row>
    <row r="3693" spans="1:8" ht="17.25" customHeight="1" x14ac:dyDescent="0.25">
      <c r="B3693" s="441"/>
      <c r="C3693" s="2474" t="s">
        <v>2408</v>
      </c>
      <c r="D3693" s="4065">
        <f>SUM(D3694:D3698)</f>
        <v>2242702000</v>
      </c>
      <c r="E3693" s="2695">
        <f>SUM(E3694:E3698)</f>
        <v>1415024300</v>
      </c>
      <c r="F3693" s="3257">
        <f>E3693/D3693*100</f>
        <v>63.094619793445581</v>
      </c>
      <c r="G3693" s="2969">
        <f>SUM(G3694:G3698)/5</f>
        <v>60</v>
      </c>
      <c r="H3693" s="1463"/>
    </row>
    <row r="3694" spans="1:8" ht="15.75" hidden="1" customHeight="1" x14ac:dyDescent="0.25">
      <c r="B3694" s="441"/>
      <c r="C3694" s="2473" t="s">
        <v>2409</v>
      </c>
      <c r="D3694" s="4066">
        <v>400000000</v>
      </c>
      <c r="E3694" s="2690">
        <v>376382000</v>
      </c>
      <c r="F3694" s="3275">
        <f>E3694/D3694*100</f>
        <v>94.095500000000001</v>
      </c>
      <c r="G3694" s="2967">
        <v>100</v>
      </c>
      <c r="H3694" s="1463"/>
    </row>
    <row r="3695" spans="1:8" ht="20.25" hidden="1" customHeight="1" x14ac:dyDescent="0.25">
      <c r="B3695" s="441"/>
      <c r="C3695" s="2473" t="s">
        <v>2410</v>
      </c>
      <c r="D3695" s="4066">
        <v>400000000</v>
      </c>
      <c r="E3695" s="3275">
        <v>0</v>
      </c>
      <c r="F3695" s="3275">
        <v>0</v>
      </c>
      <c r="G3695" s="3275">
        <v>0</v>
      </c>
      <c r="H3695" s="1463"/>
    </row>
    <row r="3696" spans="1:8" ht="16.5" hidden="1" customHeight="1" x14ac:dyDescent="0.25">
      <c r="B3696" s="441"/>
      <c r="C3696" s="2473" t="s">
        <v>2411</v>
      </c>
      <c r="D3696" s="4066">
        <v>800000000</v>
      </c>
      <c r="E3696" s="2690">
        <v>799685600</v>
      </c>
      <c r="F3696" s="3275">
        <f>E3696/D3696*100</f>
        <v>99.960700000000003</v>
      </c>
      <c r="G3696" s="2967">
        <v>100</v>
      </c>
      <c r="H3696" s="1463"/>
    </row>
    <row r="3697" spans="2:8" ht="18" hidden="1" customHeight="1" x14ac:dyDescent="0.25">
      <c r="B3697" s="441"/>
      <c r="C3697" s="2473" t="s">
        <v>2412</v>
      </c>
      <c r="D3697" s="4066">
        <v>400000000</v>
      </c>
      <c r="E3697" s="3275">
        <v>0</v>
      </c>
      <c r="F3697" s="3275">
        <f t="shared" ref="F3697:F3698" si="282">E3697/D3697*100</f>
        <v>0</v>
      </c>
      <c r="G3697" s="3275">
        <v>0</v>
      </c>
      <c r="H3697" s="1463"/>
    </row>
    <row r="3698" spans="2:8" ht="18.75" hidden="1" customHeight="1" x14ac:dyDescent="0.25">
      <c r="B3698" s="441"/>
      <c r="C3698" s="2473" t="s">
        <v>2413</v>
      </c>
      <c r="D3698" s="4066">
        <v>242702000</v>
      </c>
      <c r="E3698" s="2690">
        <v>238956700</v>
      </c>
      <c r="F3698" s="3275">
        <f t="shared" si="282"/>
        <v>98.456831834925126</v>
      </c>
      <c r="G3698" s="2967">
        <v>100</v>
      </c>
      <c r="H3698" s="1463"/>
    </row>
    <row r="3699" spans="2:8" ht="11.25" hidden="1" customHeight="1" x14ac:dyDescent="0.25">
      <c r="B3699" s="441"/>
      <c r="C3699" s="2473"/>
      <c r="D3699" s="4066"/>
      <c r="E3699" s="2690"/>
      <c r="F3699" s="2690"/>
      <c r="G3699" s="2967"/>
      <c r="H3699" s="1463"/>
    </row>
    <row r="3700" spans="2:8" ht="20.25" customHeight="1" x14ac:dyDescent="0.25">
      <c r="B3700" s="441"/>
      <c r="C3700" s="2474" t="s">
        <v>2414</v>
      </c>
      <c r="D3700" s="4065">
        <f>SUM(D3701:D3704)</f>
        <v>1350000000</v>
      </c>
      <c r="E3700" s="2695">
        <f>SUM(E3701:E3704)</f>
        <v>1270480800</v>
      </c>
      <c r="F3700" s="3257">
        <f>E3700/D3700*100</f>
        <v>94.109688888888883</v>
      </c>
      <c r="G3700" s="2969">
        <f>SUM(G3701:G3704)/4</f>
        <v>100</v>
      </c>
      <c r="H3700" s="1463"/>
    </row>
    <row r="3701" spans="2:8" ht="15.75" hidden="1" customHeight="1" x14ac:dyDescent="0.25">
      <c r="B3701" s="441"/>
      <c r="C3701" s="2473" t="s">
        <v>2415</v>
      </c>
      <c r="D3701" s="4066">
        <v>350000000</v>
      </c>
      <c r="E3701" s="2967">
        <v>321078500</v>
      </c>
      <c r="F3701" s="3275">
        <f t="shared" ref="F3701:F3704" si="283">E3701/D3701*100</f>
        <v>91.736714285714285</v>
      </c>
      <c r="G3701" s="2967">
        <v>100</v>
      </c>
      <c r="H3701" s="1463"/>
    </row>
    <row r="3702" spans="2:8" ht="18" hidden="1" customHeight="1" x14ac:dyDescent="0.25">
      <c r="B3702" s="441"/>
      <c r="C3702" s="2473" t="s">
        <v>2416</v>
      </c>
      <c r="D3702" s="4301">
        <v>250000000</v>
      </c>
      <c r="E3702" s="2971">
        <v>245782600</v>
      </c>
      <c r="F3702" s="3275">
        <f t="shared" si="283"/>
        <v>98.313040000000001</v>
      </c>
      <c r="G3702" s="2967">
        <v>100</v>
      </c>
      <c r="H3702" s="1463"/>
    </row>
    <row r="3703" spans="2:8" ht="19.5" hidden="1" customHeight="1" x14ac:dyDescent="0.25">
      <c r="B3703" s="441"/>
      <c r="C3703" s="2473" t="s">
        <v>2417</v>
      </c>
      <c r="D3703" s="4066">
        <v>250000000</v>
      </c>
      <c r="E3703" s="2971">
        <v>249383800</v>
      </c>
      <c r="F3703" s="3275">
        <f t="shared" si="283"/>
        <v>99.753519999999995</v>
      </c>
      <c r="G3703" s="2967">
        <v>100</v>
      </c>
      <c r="H3703" s="1463"/>
    </row>
    <row r="3704" spans="2:8" ht="15.75" hidden="1" customHeight="1" x14ac:dyDescent="0.25">
      <c r="B3704" s="441"/>
      <c r="C3704" s="2473" t="s">
        <v>2418</v>
      </c>
      <c r="D3704" s="4066">
        <v>500000000</v>
      </c>
      <c r="E3704" s="2967">
        <v>454235900</v>
      </c>
      <c r="F3704" s="3275">
        <f t="shared" si="283"/>
        <v>90.847180000000009</v>
      </c>
      <c r="G3704" s="2967">
        <v>100</v>
      </c>
      <c r="H3704" s="1463"/>
    </row>
    <row r="3705" spans="2:8" ht="12" hidden="1" customHeight="1" x14ac:dyDescent="0.25">
      <c r="B3705" s="441"/>
      <c r="C3705" s="2475"/>
      <c r="D3705" s="4299"/>
      <c r="E3705" s="2784"/>
      <c r="F3705" s="2785"/>
      <c r="G3705" s="3036"/>
      <c r="H3705" s="1463"/>
    </row>
    <row r="3706" spans="2:8" ht="17.25" customHeight="1" x14ac:dyDescent="0.25">
      <c r="B3706" s="440"/>
      <c r="C3706" s="2532" t="s">
        <v>831</v>
      </c>
      <c r="D3706" s="4106">
        <f>SUM(D3707+D3710)</f>
        <v>1865000000</v>
      </c>
      <c r="E3706" s="2672">
        <f>SUM(E3707+E3710)</f>
        <v>1798000000</v>
      </c>
      <c r="F3706" s="3254">
        <f>E3706/D3706*100</f>
        <v>96.407506702412874</v>
      </c>
      <c r="G3706" s="3997">
        <f>SUM(G3707+G3710)/2</f>
        <v>100</v>
      </c>
      <c r="H3706" s="1463"/>
    </row>
    <row r="3707" spans="2:8" ht="16.5" customHeight="1" x14ac:dyDescent="0.25">
      <c r="B3707" s="441"/>
      <c r="C3707" s="2525" t="s">
        <v>832</v>
      </c>
      <c r="D3707" s="4305">
        <f>D3708</f>
        <v>700000000</v>
      </c>
      <c r="E3707" s="3775">
        <f>E3708</f>
        <v>644500000</v>
      </c>
      <c r="F3707" s="3257">
        <f>E3707/D3707*100</f>
        <v>92.071428571428569</v>
      </c>
      <c r="G3707" s="3775">
        <f>G3708</f>
        <v>100</v>
      </c>
      <c r="H3707" s="1463"/>
    </row>
    <row r="3708" spans="2:8" ht="20.25" hidden="1" customHeight="1" x14ac:dyDescent="0.25">
      <c r="B3708" s="441"/>
      <c r="C3708" s="2473" t="s">
        <v>2419</v>
      </c>
      <c r="D3708" s="4066">
        <v>700000000</v>
      </c>
      <c r="E3708" s="3986">
        <v>644500000</v>
      </c>
      <c r="F3708" s="3275">
        <f>E3708/D3708*100</f>
        <v>92.071428571428569</v>
      </c>
      <c r="G3708" s="2967">
        <v>100</v>
      </c>
      <c r="H3708" s="1463"/>
    </row>
    <row r="3709" spans="2:8" ht="12.75" hidden="1" customHeight="1" x14ac:dyDescent="0.25">
      <c r="B3709" s="441"/>
      <c r="C3709" s="2475"/>
      <c r="D3709" s="4301"/>
      <c r="E3709" s="3994"/>
      <c r="F3709" s="2785"/>
      <c r="G3709" s="2993"/>
      <c r="H3709" s="1463"/>
    </row>
    <row r="3710" spans="2:8" ht="20.25" customHeight="1" x14ac:dyDescent="0.25">
      <c r="B3710" s="441"/>
      <c r="C3710" s="2474" t="s">
        <v>2420</v>
      </c>
      <c r="D3710" s="4065">
        <f>SUM(D3711:D3712)</f>
        <v>1165000000</v>
      </c>
      <c r="E3710" s="3991">
        <f>SUM(E3711:E3712)</f>
        <v>1153500000</v>
      </c>
      <c r="F3710" s="3257">
        <f>E3710/D3710*100</f>
        <v>99.012875536480678</v>
      </c>
      <c r="G3710" s="2969">
        <f>SUM(G3711:G3712)/2</f>
        <v>100</v>
      </c>
      <c r="H3710" s="1463"/>
    </row>
    <row r="3711" spans="2:8" ht="17.25" hidden="1" customHeight="1" x14ac:dyDescent="0.25">
      <c r="B3711" s="441"/>
      <c r="C3711" s="2473" t="s">
        <v>2421</v>
      </c>
      <c r="D3711" s="4066">
        <v>800000000</v>
      </c>
      <c r="E3711" s="3986">
        <v>788500000</v>
      </c>
      <c r="F3711" s="3275">
        <f>E3711/D3711*100</f>
        <v>98.5625</v>
      </c>
      <c r="G3711" s="2967">
        <v>100</v>
      </c>
      <c r="H3711" s="1463"/>
    </row>
    <row r="3712" spans="2:8" ht="16.5" hidden="1" customHeight="1" x14ac:dyDescent="0.25">
      <c r="B3712" s="441"/>
      <c r="C3712" s="2476" t="s">
        <v>3976</v>
      </c>
      <c r="D3712" s="4071">
        <v>365000000</v>
      </c>
      <c r="E3712" s="2967">
        <v>365000000</v>
      </c>
      <c r="F3712" s="3275">
        <f>E3712/D3712*100</f>
        <v>100</v>
      </c>
      <c r="G3712" s="2967">
        <v>100</v>
      </c>
      <c r="H3712" s="1463"/>
    </row>
    <row r="3713" spans="2:8" ht="12" hidden="1" customHeight="1" x14ac:dyDescent="0.25">
      <c r="B3713" s="441"/>
      <c r="C3713" s="2476"/>
      <c r="D3713" s="4285"/>
      <c r="E3713" s="2778"/>
      <c r="F3713" s="2821"/>
      <c r="G3713" s="2985"/>
      <c r="H3713" s="1463"/>
    </row>
    <row r="3714" spans="2:8" ht="18" customHeight="1" x14ac:dyDescent="0.25">
      <c r="B3714" s="440"/>
      <c r="C3714" s="2532" t="s">
        <v>2422</v>
      </c>
      <c r="D3714" s="4106">
        <f>SUM(D3715+D3719)</f>
        <v>1600000000</v>
      </c>
      <c r="E3714" s="2672">
        <f>SUM(E3715+E3719)</f>
        <v>1597270000</v>
      </c>
      <c r="F3714" s="3254">
        <f>E3714/D3714*100</f>
        <v>99.829374999999999</v>
      </c>
      <c r="G3714" s="2670">
        <f>SUM(G3715+G3719)/2</f>
        <v>100</v>
      </c>
      <c r="H3714" s="1463"/>
    </row>
    <row r="3715" spans="2:8" ht="18.75" customHeight="1" x14ac:dyDescent="0.25">
      <c r="B3715" s="441"/>
      <c r="C3715" s="2525" t="s">
        <v>2423</v>
      </c>
      <c r="D3715" s="4065">
        <f>SUM(D3716:D3717)</f>
        <v>1100000000</v>
      </c>
      <c r="E3715" s="3991">
        <f>SUM(E3716:E3717)</f>
        <v>1100000000</v>
      </c>
      <c r="F3715" s="3257">
        <f>E3715/D3715*100</f>
        <v>100</v>
      </c>
      <c r="G3715" s="3775">
        <f>SUM(G3716:G3717)/2</f>
        <v>100</v>
      </c>
      <c r="H3715" s="1463"/>
    </row>
    <row r="3716" spans="2:8" ht="18" hidden="1" customHeight="1" x14ac:dyDescent="0.25">
      <c r="B3716" s="441"/>
      <c r="C3716" s="2473" t="s">
        <v>2424</v>
      </c>
      <c r="D3716" s="4066">
        <v>350000000</v>
      </c>
      <c r="E3716" s="3986">
        <v>350000000</v>
      </c>
      <c r="F3716" s="3275">
        <f>E3716/D3716*100</f>
        <v>100</v>
      </c>
      <c r="G3716" s="2967">
        <v>100</v>
      </c>
      <c r="H3716" s="1463"/>
    </row>
    <row r="3717" spans="2:8" ht="18" hidden="1" customHeight="1" x14ac:dyDescent="0.25">
      <c r="B3717" s="441"/>
      <c r="C3717" s="2476" t="s">
        <v>3977</v>
      </c>
      <c r="D3717" s="4071">
        <v>750000000</v>
      </c>
      <c r="E3717" s="2967">
        <v>750000000</v>
      </c>
      <c r="F3717" s="3275">
        <f>E3717/D3717*100</f>
        <v>100</v>
      </c>
      <c r="G3717" s="2967">
        <v>100</v>
      </c>
      <c r="H3717" s="1463"/>
    </row>
    <row r="3718" spans="2:8" ht="13.5" hidden="1" customHeight="1" x14ac:dyDescent="0.25">
      <c r="B3718" s="441"/>
      <c r="C3718" s="2476"/>
      <c r="D3718" s="4071"/>
      <c r="E3718" s="2710"/>
      <c r="F3718" s="2710"/>
      <c r="G3718" s="2985"/>
      <c r="H3718" s="1463"/>
    </row>
    <row r="3719" spans="2:8" ht="16.5" customHeight="1" x14ac:dyDescent="0.25">
      <c r="B3719" s="441"/>
      <c r="C3719" s="2474" t="s">
        <v>2425</v>
      </c>
      <c r="D3719" s="4065">
        <f>D3720</f>
        <v>500000000</v>
      </c>
      <c r="E3719" s="3991">
        <f>E3720</f>
        <v>497270000</v>
      </c>
      <c r="F3719" s="3257">
        <f>E3719/D3719*100</f>
        <v>99.453999999999994</v>
      </c>
      <c r="G3719" s="2969">
        <f>G3720</f>
        <v>100</v>
      </c>
      <c r="H3719" s="1463"/>
    </row>
    <row r="3720" spans="2:8" ht="15.75" hidden="1" customHeight="1" x14ac:dyDescent="0.25">
      <c r="B3720" s="441"/>
      <c r="C3720" s="2473" t="s">
        <v>2426</v>
      </c>
      <c r="D3720" s="4066">
        <v>500000000</v>
      </c>
      <c r="E3720" s="2690">
        <v>497270000</v>
      </c>
      <c r="F3720" s="3275">
        <f>E3720/D3720*100</f>
        <v>99.453999999999994</v>
      </c>
      <c r="G3720" s="2967">
        <v>100</v>
      </c>
      <c r="H3720" s="1463"/>
    </row>
    <row r="3721" spans="2:8" ht="12.75" hidden="1" customHeight="1" x14ac:dyDescent="0.25">
      <c r="B3721" s="441"/>
      <c r="C3721" s="2475"/>
      <c r="D3721" s="4301"/>
      <c r="E3721" s="2752"/>
      <c r="F3721" s="2752"/>
      <c r="G3721" s="2993"/>
      <c r="H3721" s="1463"/>
    </row>
    <row r="3722" spans="2:8" ht="15.75" customHeight="1" x14ac:dyDescent="0.25">
      <c r="B3722" s="440"/>
      <c r="C3722" s="2532" t="s">
        <v>2427</v>
      </c>
      <c r="D3722" s="4106">
        <f>SUM(D3723)</f>
        <v>400000000</v>
      </c>
      <c r="E3722" s="2672">
        <f>SUM(E3723)</f>
        <v>400000000</v>
      </c>
      <c r="F3722" s="3254">
        <f>SUM(E3722/D3722)*100</f>
        <v>100</v>
      </c>
      <c r="G3722" s="2670">
        <f>G3723</f>
        <v>100</v>
      </c>
      <c r="H3722" s="1463"/>
    </row>
    <row r="3723" spans="2:8" ht="16.5" customHeight="1" x14ac:dyDescent="0.25">
      <c r="B3723" s="441"/>
      <c r="C3723" s="2525" t="s">
        <v>2428</v>
      </c>
      <c r="D3723" s="4065">
        <f>D3724</f>
        <v>400000000</v>
      </c>
      <c r="E3723" s="2695">
        <f>E3724</f>
        <v>400000000</v>
      </c>
      <c r="F3723" s="3281">
        <f>SUM(E3723/D3723)*100</f>
        <v>100</v>
      </c>
      <c r="G3723" s="2677">
        <f>G3724</f>
        <v>100</v>
      </c>
      <c r="H3723" s="1463"/>
    </row>
    <row r="3724" spans="2:8" ht="17.25" hidden="1" customHeight="1" x14ac:dyDescent="0.25">
      <c r="B3724" s="441"/>
      <c r="C3724" s="2473" t="s">
        <v>2429</v>
      </c>
      <c r="D3724" s="4066">
        <v>400000000</v>
      </c>
      <c r="E3724" s="2690">
        <v>400000000</v>
      </c>
      <c r="F3724" s="3688">
        <f>SUM(E3724/D3724)*100</f>
        <v>100</v>
      </c>
      <c r="G3724" s="2683">
        <v>100</v>
      </c>
      <c r="H3724" s="1463"/>
    </row>
    <row r="3725" spans="2:8" ht="12" hidden="1" customHeight="1" x14ac:dyDescent="0.25">
      <c r="B3725" s="441"/>
      <c r="C3725" s="2475"/>
      <c r="D3725" s="4301"/>
      <c r="E3725" s="2752"/>
      <c r="F3725" s="3084"/>
      <c r="G3725" s="2993"/>
      <c r="H3725" s="1463"/>
    </row>
    <row r="3726" spans="2:8" ht="16.5" customHeight="1" x14ac:dyDescent="0.25">
      <c r="B3726" s="440"/>
      <c r="C3726" s="2532" t="s">
        <v>2430</v>
      </c>
      <c r="D3726" s="4106">
        <f>SUM(D3727,D3752,D3735,D3746,D3755,D3765)</f>
        <v>34000000000</v>
      </c>
      <c r="E3726" s="2672">
        <f>SUM(E3727,E3752,E3735,E3746,E3755,E3765)</f>
        <v>33320029556</v>
      </c>
      <c r="F3726" s="3254">
        <f>E3726/D3726*100</f>
        <v>98.000086929411765</v>
      </c>
      <c r="G3726" s="2670">
        <f>SUM(G3727+G3735+G3746+G3752+G3755+G3765)/6</f>
        <v>100</v>
      </c>
      <c r="H3726" s="1463"/>
    </row>
    <row r="3727" spans="2:8" ht="18.75" customHeight="1" x14ac:dyDescent="0.25">
      <c r="B3727" s="441"/>
      <c r="C3727" s="2521" t="s">
        <v>2431</v>
      </c>
      <c r="D3727" s="4305">
        <f>SUM(D3728:D3733)</f>
        <v>12600000000</v>
      </c>
      <c r="E3727" s="2785">
        <f>SUM(E3728:E3733)</f>
        <v>12340359000</v>
      </c>
      <c r="F3727" s="3257">
        <f>E3727/D3727*100</f>
        <v>97.939357142857148</v>
      </c>
      <c r="G3727" s="3775">
        <f>SUM(G3728:G3733)/6</f>
        <v>100</v>
      </c>
      <c r="H3727" s="1463"/>
    </row>
    <row r="3728" spans="2:8" ht="17.25" hidden="1" customHeight="1" x14ac:dyDescent="0.25">
      <c r="B3728" s="441"/>
      <c r="C3728" s="2473" t="s">
        <v>2432</v>
      </c>
      <c r="D3728" s="4066">
        <v>2300000000</v>
      </c>
      <c r="E3728" s="2971">
        <v>2243630000</v>
      </c>
      <c r="F3728" s="3275">
        <f>E3728/D3728*100</f>
        <v>97.549130434782612</v>
      </c>
      <c r="G3728" s="2967">
        <v>100</v>
      </c>
      <c r="H3728" s="1463"/>
    </row>
    <row r="3729" spans="2:8" ht="17.25" hidden="1" customHeight="1" x14ac:dyDescent="0.25">
      <c r="B3729" s="444"/>
      <c r="C3729" s="2473" t="s">
        <v>2433</v>
      </c>
      <c r="D3729" s="4066">
        <v>2000000000</v>
      </c>
      <c r="E3729" s="2690">
        <v>1965050000</v>
      </c>
      <c r="F3729" s="3275">
        <f t="shared" ref="F3729:F3733" si="284">E3729/D3729*100</f>
        <v>98.252499999999998</v>
      </c>
      <c r="G3729" s="2967">
        <v>100</v>
      </c>
      <c r="H3729" s="1463"/>
    </row>
    <row r="3730" spans="2:8" ht="15" hidden="1" customHeight="1" x14ac:dyDescent="0.25">
      <c r="B3730" s="441"/>
      <c r="C3730" s="2475" t="s">
        <v>2434</v>
      </c>
      <c r="D3730" s="4066">
        <v>2500000000</v>
      </c>
      <c r="E3730" s="2690">
        <v>2470000000</v>
      </c>
      <c r="F3730" s="3275">
        <f t="shared" si="284"/>
        <v>98.8</v>
      </c>
      <c r="G3730" s="2967">
        <v>100</v>
      </c>
      <c r="H3730" s="1463"/>
    </row>
    <row r="3731" spans="2:8" ht="17.25" hidden="1" customHeight="1" x14ac:dyDescent="0.25">
      <c r="B3731" s="441"/>
      <c r="C3731" s="2473" t="s">
        <v>2435</v>
      </c>
      <c r="D3731" s="4066">
        <v>2500000000</v>
      </c>
      <c r="E3731" s="2690">
        <v>2462050000</v>
      </c>
      <c r="F3731" s="3275">
        <f t="shared" si="284"/>
        <v>98.481999999999999</v>
      </c>
      <c r="G3731" s="2967">
        <v>100</v>
      </c>
      <c r="H3731" s="1463"/>
    </row>
    <row r="3732" spans="2:8" ht="16.5" hidden="1" customHeight="1" x14ac:dyDescent="0.25">
      <c r="B3732" s="441"/>
      <c r="C3732" s="2473" t="s">
        <v>2436</v>
      </c>
      <c r="D3732" s="4066">
        <v>2300000000</v>
      </c>
      <c r="E3732" s="2690">
        <v>2209781000</v>
      </c>
      <c r="F3732" s="3275">
        <f t="shared" si="284"/>
        <v>96.077434782608691</v>
      </c>
      <c r="G3732" s="2967">
        <v>100</v>
      </c>
      <c r="H3732" s="1463"/>
    </row>
    <row r="3733" spans="2:8" ht="17.25" hidden="1" customHeight="1" x14ac:dyDescent="0.25">
      <c r="B3733" s="441"/>
      <c r="C3733" s="2473" t="s">
        <v>2437</v>
      </c>
      <c r="D3733" s="4066">
        <v>1000000000</v>
      </c>
      <c r="E3733" s="2690">
        <v>989848000</v>
      </c>
      <c r="F3733" s="3275">
        <f t="shared" si="284"/>
        <v>98.984799999999993</v>
      </c>
      <c r="G3733" s="2967">
        <v>100</v>
      </c>
      <c r="H3733" s="1463"/>
    </row>
    <row r="3734" spans="2:8" ht="12" hidden="1" customHeight="1" x14ac:dyDescent="0.25">
      <c r="B3734" s="441"/>
      <c r="C3734" s="2475"/>
      <c r="D3734" s="4071"/>
      <c r="E3734" s="2710"/>
      <c r="F3734" s="2702"/>
      <c r="G3734" s="2967"/>
      <c r="H3734" s="1463"/>
    </row>
    <row r="3735" spans="2:8" ht="17.25" customHeight="1" x14ac:dyDescent="0.25">
      <c r="B3735" s="441"/>
      <c r="C3735" s="2474" t="s">
        <v>2438</v>
      </c>
      <c r="D3735" s="4065">
        <f>SUM(D3736:D3744)</f>
        <v>9780000000</v>
      </c>
      <c r="E3735" s="2695">
        <f>SUM(E3736:E3744)</f>
        <v>9407650305</v>
      </c>
      <c r="F3735" s="3257">
        <f>E3735/D3735*100</f>
        <v>96.192743404907972</v>
      </c>
      <c r="G3735" s="2969">
        <f>SUM(G3736:G3744)/9</f>
        <v>100</v>
      </c>
      <c r="H3735" s="1463"/>
    </row>
    <row r="3736" spans="2:8" ht="15" hidden="1" customHeight="1" x14ac:dyDescent="0.25">
      <c r="B3736" s="441"/>
      <c r="C3736" s="2473" t="s">
        <v>2439</v>
      </c>
      <c r="D3736" s="4066">
        <v>1100000000</v>
      </c>
      <c r="E3736" s="2967">
        <v>1070000000</v>
      </c>
      <c r="F3736" s="3275">
        <f t="shared" ref="F3736:F3744" si="285">E3736/D3736*100</f>
        <v>97.27272727272728</v>
      </c>
      <c r="G3736" s="2967">
        <v>100</v>
      </c>
      <c r="H3736" s="1463"/>
    </row>
    <row r="3737" spans="2:8" ht="20.25" hidden="1" customHeight="1" x14ac:dyDescent="0.25">
      <c r="B3737" s="441"/>
      <c r="C3737" s="2473" t="s">
        <v>2440</v>
      </c>
      <c r="D3737" s="4066">
        <v>1200000000</v>
      </c>
      <c r="E3737" s="2690">
        <v>1170135200</v>
      </c>
      <c r="F3737" s="3275">
        <f t="shared" si="285"/>
        <v>97.511266666666657</v>
      </c>
      <c r="G3737" s="2967">
        <v>100</v>
      </c>
      <c r="H3737" s="1463"/>
    </row>
    <row r="3738" spans="2:8" ht="13.5" hidden="1" customHeight="1" x14ac:dyDescent="0.25">
      <c r="B3738" s="441"/>
      <c r="C3738" s="2473" t="s">
        <v>2441</v>
      </c>
      <c r="D3738" s="4066">
        <v>1000000000</v>
      </c>
      <c r="E3738" s="2690">
        <v>992000000</v>
      </c>
      <c r="F3738" s="3275">
        <f t="shared" si="285"/>
        <v>99.2</v>
      </c>
      <c r="G3738" s="2967">
        <v>100</v>
      </c>
      <c r="H3738" s="1463"/>
    </row>
    <row r="3739" spans="2:8" ht="19.5" hidden="1" customHeight="1" x14ac:dyDescent="0.25">
      <c r="B3739" s="441"/>
      <c r="C3739" s="2473" t="s">
        <v>2442</v>
      </c>
      <c r="D3739" s="4066">
        <v>1200000000</v>
      </c>
      <c r="E3739" s="2690">
        <v>1115020000</v>
      </c>
      <c r="F3739" s="3275">
        <f t="shared" si="285"/>
        <v>92.918333333333337</v>
      </c>
      <c r="G3739" s="2967">
        <v>100</v>
      </c>
      <c r="H3739" s="1463"/>
    </row>
    <row r="3740" spans="2:8" ht="15.75" hidden="1" customHeight="1" x14ac:dyDescent="0.25">
      <c r="B3740" s="441"/>
      <c r="C3740" s="2473" t="s">
        <v>2443</v>
      </c>
      <c r="D3740" s="4066">
        <v>1400000000</v>
      </c>
      <c r="E3740" s="2690">
        <v>1301679000</v>
      </c>
      <c r="F3740" s="3275">
        <f t="shared" si="285"/>
        <v>92.977071428571435</v>
      </c>
      <c r="G3740" s="2967">
        <v>100</v>
      </c>
      <c r="H3740" s="1463"/>
    </row>
    <row r="3741" spans="2:8" ht="15" hidden="1" customHeight="1" x14ac:dyDescent="0.25">
      <c r="B3741" s="441"/>
      <c r="C3741" s="2473" t="s">
        <v>2444</v>
      </c>
      <c r="D3741" s="4066">
        <v>1200000000</v>
      </c>
      <c r="E3741" s="2690">
        <v>1119976105</v>
      </c>
      <c r="F3741" s="3275">
        <f t="shared" si="285"/>
        <v>93.33134208333334</v>
      </c>
      <c r="G3741" s="2967">
        <v>100</v>
      </c>
      <c r="H3741" s="1463"/>
    </row>
    <row r="3742" spans="2:8" ht="15.75" hidden="1" customHeight="1" x14ac:dyDescent="0.25">
      <c r="B3742" s="441"/>
      <c r="C3742" s="2473" t="s">
        <v>2445</v>
      </c>
      <c r="D3742" s="4066">
        <v>880000000</v>
      </c>
      <c r="E3742" s="2690">
        <v>875000000</v>
      </c>
      <c r="F3742" s="3275">
        <f t="shared" si="285"/>
        <v>99.431818181818173</v>
      </c>
      <c r="G3742" s="2967">
        <v>100</v>
      </c>
      <c r="H3742" s="1463"/>
    </row>
    <row r="3743" spans="2:8" ht="17.25" hidden="1" customHeight="1" x14ac:dyDescent="0.25">
      <c r="B3743" s="441"/>
      <c r="C3743" s="2473" t="s">
        <v>2446</v>
      </c>
      <c r="D3743" s="4066">
        <v>600000000</v>
      </c>
      <c r="E3743" s="2967">
        <v>599940000</v>
      </c>
      <c r="F3743" s="3275">
        <f t="shared" si="285"/>
        <v>99.99</v>
      </c>
      <c r="G3743" s="2967">
        <v>100</v>
      </c>
      <c r="H3743" s="1463"/>
    </row>
    <row r="3744" spans="2:8" ht="17.25" hidden="1" customHeight="1" x14ac:dyDescent="0.25">
      <c r="B3744" s="441"/>
      <c r="C3744" s="2473" t="s">
        <v>2447</v>
      </c>
      <c r="D3744" s="4066">
        <v>1200000000</v>
      </c>
      <c r="E3744" s="2690">
        <v>1163900000</v>
      </c>
      <c r="F3744" s="3275">
        <f t="shared" si="285"/>
        <v>96.99166666666666</v>
      </c>
      <c r="G3744" s="2967">
        <v>100</v>
      </c>
      <c r="H3744" s="1463"/>
    </row>
    <row r="3745" spans="2:9" ht="10.5" hidden="1" customHeight="1" x14ac:dyDescent="0.25">
      <c r="B3745" s="441"/>
      <c r="C3745" s="2473"/>
      <c r="D3745" s="4066"/>
      <c r="E3745" s="2690"/>
      <c r="F3745" s="2702"/>
      <c r="G3745" s="2967"/>
      <c r="H3745" s="1463"/>
    </row>
    <row r="3746" spans="2:9" ht="15.75" customHeight="1" x14ac:dyDescent="0.25">
      <c r="B3746" s="441"/>
      <c r="C3746" s="2474" t="s">
        <v>2448</v>
      </c>
      <c r="D3746" s="4065">
        <f>SUM(D3747:D3750)</f>
        <v>2500000000</v>
      </c>
      <c r="E3746" s="2695">
        <f>SUM(E3747:E3750)</f>
        <v>2495943251</v>
      </c>
      <c r="F3746" s="3257">
        <f>E3746/D3746*100</f>
        <v>99.837730039999997</v>
      </c>
      <c r="G3746" s="2969">
        <f>SUM(G3747:G3750)/4</f>
        <v>100</v>
      </c>
      <c r="H3746" s="1463"/>
    </row>
    <row r="3747" spans="2:9" ht="15.75" hidden="1" customHeight="1" x14ac:dyDescent="0.25">
      <c r="B3747" s="441"/>
      <c r="C3747" s="2473" t="s">
        <v>2449</v>
      </c>
      <c r="D3747" s="4066">
        <v>500000000</v>
      </c>
      <c r="E3747" s="2690">
        <v>500000000</v>
      </c>
      <c r="F3747" s="3275">
        <f t="shared" ref="F3747:F3750" si="286">E3747/D3747*100</f>
        <v>100</v>
      </c>
      <c r="G3747" s="2967">
        <v>100</v>
      </c>
      <c r="H3747" s="1463"/>
    </row>
    <row r="3748" spans="2:9" ht="16.5" hidden="1" customHeight="1" x14ac:dyDescent="0.25">
      <c r="B3748" s="441"/>
      <c r="C3748" s="2473" t="s">
        <v>2450</v>
      </c>
      <c r="D3748" s="4066">
        <v>500000000</v>
      </c>
      <c r="E3748" s="2690">
        <v>496154000</v>
      </c>
      <c r="F3748" s="3275">
        <f t="shared" si="286"/>
        <v>99.230800000000002</v>
      </c>
      <c r="G3748" s="2967">
        <v>100</v>
      </c>
      <c r="H3748" s="1463"/>
    </row>
    <row r="3749" spans="2:9" ht="16.5" hidden="1" customHeight="1" x14ac:dyDescent="0.25">
      <c r="B3749" s="441"/>
      <c r="C3749" s="2473" t="s">
        <v>2451</v>
      </c>
      <c r="D3749" s="4066">
        <v>1000000000</v>
      </c>
      <c r="E3749" s="2690">
        <v>999789251</v>
      </c>
      <c r="F3749" s="3275">
        <f t="shared" si="286"/>
        <v>99.978925099999998</v>
      </c>
      <c r="G3749" s="2967">
        <v>100</v>
      </c>
      <c r="H3749" s="1463"/>
    </row>
    <row r="3750" spans="2:9" ht="18" hidden="1" customHeight="1" x14ac:dyDescent="0.25">
      <c r="B3750" s="441"/>
      <c r="C3750" s="2473" t="s">
        <v>2452</v>
      </c>
      <c r="D3750" s="4066">
        <v>500000000</v>
      </c>
      <c r="E3750" s="2690">
        <v>500000000</v>
      </c>
      <c r="F3750" s="3275">
        <f t="shared" si="286"/>
        <v>100</v>
      </c>
      <c r="G3750" s="2967">
        <v>100</v>
      </c>
      <c r="H3750" s="1463"/>
    </row>
    <row r="3751" spans="2:9" ht="10.5" hidden="1" customHeight="1" x14ac:dyDescent="0.25">
      <c r="B3751" s="441"/>
      <c r="C3751" s="2473"/>
      <c r="D3751" s="4066"/>
      <c r="E3751" s="2690"/>
      <c r="F3751" s="2702"/>
      <c r="G3751" s="2967"/>
      <c r="H3751" s="1463"/>
    </row>
    <row r="3752" spans="2:9" ht="16.5" customHeight="1" x14ac:dyDescent="0.25">
      <c r="B3752" s="441"/>
      <c r="C3752" s="2525" t="s">
        <v>2453</v>
      </c>
      <c r="D3752" s="4065">
        <f>D3753</f>
        <v>500000000</v>
      </c>
      <c r="E3752" s="2695">
        <f>E3753</f>
        <v>495000000</v>
      </c>
      <c r="F3752" s="3257">
        <f>SUM(E3752/D3752)*100</f>
        <v>99</v>
      </c>
      <c r="G3752" s="2969">
        <f>G3753</f>
        <v>100</v>
      </c>
      <c r="H3752" s="1463"/>
      <c r="I3752">
        <v>495000000</v>
      </c>
    </row>
    <row r="3753" spans="2:9" ht="19.5" hidden="1" customHeight="1" x14ac:dyDescent="0.25">
      <c r="B3753" s="441"/>
      <c r="C3753" s="2473" t="s">
        <v>2454</v>
      </c>
      <c r="D3753" s="4066">
        <v>500000000</v>
      </c>
      <c r="E3753" s="2967">
        <v>495000000</v>
      </c>
      <c r="F3753" s="3275">
        <f>SUM(E3753/D3753)*100</f>
        <v>99</v>
      </c>
      <c r="G3753" s="2967">
        <v>100</v>
      </c>
      <c r="H3753" s="1463"/>
    </row>
    <row r="3754" spans="2:9" ht="11.25" hidden="1" customHeight="1" x14ac:dyDescent="0.25">
      <c r="B3754" s="441"/>
      <c r="C3754" s="2473"/>
      <c r="D3754" s="4066"/>
      <c r="E3754" s="3986"/>
      <c r="F3754" s="3409"/>
      <c r="G3754" s="2985"/>
      <c r="H3754" s="1463"/>
    </row>
    <row r="3755" spans="2:9" ht="18" customHeight="1" x14ac:dyDescent="0.25">
      <c r="B3755" s="441"/>
      <c r="C3755" s="2474" t="s">
        <v>2455</v>
      </c>
      <c r="D3755" s="4065">
        <f>SUM(D3756:D3763)</f>
        <v>7120000000</v>
      </c>
      <c r="E3755" s="2695">
        <f>SUM(E3756:E3763)</f>
        <v>7084177000</v>
      </c>
      <c r="F3755" s="3257">
        <f>E3755/D3755*100</f>
        <v>99.496867977528098</v>
      </c>
      <c r="G3755" s="2976">
        <f>SUM(G3756:G3763)/8</f>
        <v>100</v>
      </c>
      <c r="H3755" s="1463"/>
    </row>
    <row r="3756" spans="2:9" ht="15" hidden="1" customHeight="1" x14ac:dyDescent="0.25">
      <c r="B3756" s="441"/>
      <c r="C3756" s="2473" t="s">
        <v>2456</v>
      </c>
      <c r="D3756" s="4066">
        <v>900000000</v>
      </c>
      <c r="E3756" s="3986">
        <v>893613000</v>
      </c>
      <c r="F3756" s="3275">
        <f t="shared" ref="F3756:F3763" si="287">E3756/D3756*100</f>
        <v>99.290333333333336</v>
      </c>
      <c r="G3756" s="2985">
        <v>100</v>
      </c>
      <c r="H3756" s="1463"/>
    </row>
    <row r="3757" spans="2:9" ht="15" hidden="1" customHeight="1" x14ac:dyDescent="0.25">
      <c r="B3757" s="441"/>
      <c r="C3757" s="2473" t="s">
        <v>2457</v>
      </c>
      <c r="D3757" s="4066">
        <v>820000000</v>
      </c>
      <c r="E3757" s="3986">
        <v>818532000</v>
      </c>
      <c r="F3757" s="3275">
        <f t="shared" si="287"/>
        <v>99.820975609756104</v>
      </c>
      <c r="G3757" s="2985">
        <v>100</v>
      </c>
      <c r="H3757" s="1463"/>
    </row>
    <row r="3758" spans="2:9" ht="13.5" hidden="1" customHeight="1" x14ac:dyDescent="0.25">
      <c r="B3758" s="441"/>
      <c r="C3758" s="2473" t="s">
        <v>2458</v>
      </c>
      <c r="D3758" s="4066">
        <v>800000000</v>
      </c>
      <c r="E3758" s="3986">
        <v>796620000</v>
      </c>
      <c r="F3758" s="3275">
        <f t="shared" si="287"/>
        <v>99.577500000000001</v>
      </c>
      <c r="G3758" s="2985">
        <v>100</v>
      </c>
      <c r="H3758" s="1463"/>
    </row>
    <row r="3759" spans="2:9" ht="15" hidden="1" customHeight="1" x14ac:dyDescent="0.25">
      <c r="B3759" s="441"/>
      <c r="C3759" s="2473" t="s">
        <v>2459</v>
      </c>
      <c r="D3759" s="4066">
        <v>800000000</v>
      </c>
      <c r="E3759" s="3986">
        <v>791000000</v>
      </c>
      <c r="F3759" s="3275">
        <f t="shared" si="287"/>
        <v>98.875</v>
      </c>
      <c r="G3759" s="2985">
        <v>100</v>
      </c>
      <c r="H3759" s="1463"/>
    </row>
    <row r="3760" spans="2:9" ht="15" hidden="1" customHeight="1" x14ac:dyDescent="0.25">
      <c r="B3760" s="441"/>
      <c r="C3760" s="2473" t="s">
        <v>2460</v>
      </c>
      <c r="D3760" s="4066">
        <v>900000000</v>
      </c>
      <c r="E3760" s="3986">
        <v>897534000</v>
      </c>
      <c r="F3760" s="3275">
        <f t="shared" si="287"/>
        <v>99.725999999999999</v>
      </c>
      <c r="G3760" s="2985">
        <v>100</v>
      </c>
      <c r="H3760" s="1463"/>
    </row>
    <row r="3761" spans="2:8" ht="15.75" hidden="1" customHeight="1" x14ac:dyDescent="0.25">
      <c r="B3761" s="441"/>
      <c r="C3761" s="2473" t="s">
        <v>2461</v>
      </c>
      <c r="D3761" s="4066">
        <v>900000000</v>
      </c>
      <c r="E3761" s="3986">
        <v>895276000</v>
      </c>
      <c r="F3761" s="3275">
        <f t="shared" si="287"/>
        <v>99.475111111111119</v>
      </c>
      <c r="G3761" s="2985">
        <v>100</v>
      </c>
      <c r="H3761" s="1463"/>
    </row>
    <row r="3762" spans="2:8" ht="14.25" hidden="1" customHeight="1" x14ac:dyDescent="0.25">
      <c r="B3762" s="441"/>
      <c r="C3762" s="2473" t="s">
        <v>2462</v>
      </c>
      <c r="D3762" s="4066">
        <v>1000000000</v>
      </c>
      <c r="E3762" s="3986">
        <v>994923000</v>
      </c>
      <c r="F3762" s="3275">
        <f t="shared" si="287"/>
        <v>99.4923</v>
      </c>
      <c r="G3762" s="2985">
        <v>100</v>
      </c>
      <c r="H3762" s="1463"/>
    </row>
    <row r="3763" spans="2:8" ht="15.75" hidden="1" customHeight="1" x14ac:dyDescent="0.25">
      <c r="B3763" s="441"/>
      <c r="C3763" s="2473" t="s">
        <v>2463</v>
      </c>
      <c r="D3763" s="4066">
        <v>1000000000</v>
      </c>
      <c r="E3763" s="2967">
        <v>996679000</v>
      </c>
      <c r="F3763" s="3275">
        <f t="shared" si="287"/>
        <v>99.667900000000003</v>
      </c>
      <c r="G3763" s="2985">
        <v>100</v>
      </c>
      <c r="H3763" s="1463"/>
    </row>
    <row r="3764" spans="2:8" ht="12" hidden="1" customHeight="1" x14ac:dyDescent="0.25">
      <c r="B3764" s="441"/>
      <c r="C3764" s="2475"/>
      <c r="D3764" s="4301"/>
      <c r="E3764" s="2752"/>
      <c r="F3764" s="2710"/>
      <c r="G3764" s="2985"/>
      <c r="H3764" s="1463"/>
    </row>
    <row r="3765" spans="2:8" ht="15.75" customHeight="1" x14ac:dyDescent="0.25">
      <c r="B3765" s="441"/>
      <c r="C3765" s="2474" t="s">
        <v>3978</v>
      </c>
      <c r="D3765" s="4065">
        <f>SUM(D3766:D3767)</f>
        <v>1500000000</v>
      </c>
      <c r="E3765" s="3991">
        <f>SUM(E3766:E3767)</f>
        <v>1496900000</v>
      </c>
      <c r="F3765" s="3257">
        <f>SUM(E3765/D3765)*100</f>
        <v>99.793333333333337</v>
      </c>
      <c r="G3765" s="2969">
        <f>SUM(G3766:G3767)/2</f>
        <v>100</v>
      </c>
      <c r="H3765" s="1463"/>
    </row>
    <row r="3766" spans="2:8" ht="16.5" hidden="1" customHeight="1" x14ac:dyDescent="0.25">
      <c r="B3766" s="441"/>
      <c r="C3766" s="2473" t="s">
        <v>3979</v>
      </c>
      <c r="D3766" s="4066">
        <v>1000000000</v>
      </c>
      <c r="E3766" s="2967">
        <v>998900000</v>
      </c>
      <c r="F3766" s="3275">
        <f>SUM(E3766/D3766)*100</f>
        <v>99.89</v>
      </c>
      <c r="G3766" s="2967">
        <v>100</v>
      </c>
      <c r="H3766" s="1463"/>
    </row>
    <row r="3767" spans="2:8" ht="12" hidden="1" customHeight="1" x14ac:dyDescent="0.25">
      <c r="B3767" s="441"/>
      <c r="C3767" s="2473" t="s">
        <v>3980</v>
      </c>
      <c r="D3767" s="4066">
        <v>500000000</v>
      </c>
      <c r="E3767" s="2967">
        <v>498000000</v>
      </c>
      <c r="F3767" s="3275">
        <f>SUM(E3767/D3767)*100</f>
        <v>99.6</v>
      </c>
      <c r="G3767" s="2967">
        <v>100</v>
      </c>
      <c r="H3767" s="1463"/>
    </row>
    <row r="3768" spans="2:8" ht="12" hidden="1" customHeight="1" x14ac:dyDescent="0.25">
      <c r="B3768" s="441"/>
      <c r="C3768" s="2475"/>
      <c r="D3768" s="4301"/>
      <c r="E3768" s="2752"/>
      <c r="F3768" s="2752"/>
      <c r="G3768" s="2993"/>
      <c r="H3768" s="1463"/>
    </row>
    <row r="3769" spans="2:8" ht="22.5" customHeight="1" x14ac:dyDescent="0.25">
      <c r="B3769" s="440"/>
      <c r="C3769" s="2471" t="s">
        <v>2464</v>
      </c>
      <c r="D3769" s="4106">
        <f>SUM(D3770)</f>
        <v>5500000000</v>
      </c>
      <c r="E3769" s="2672">
        <f>SUM(E3770)</f>
        <v>5306755000</v>
      </c>
      <c r="F3769" s="3254">
        <f>E3769/D3769*100</f>
        <v>96.486454545454549</v>
      </c>
      <c r="G3769" s="2670">
        <f>G3770</f>
        <v>100</v>
      </c>
      <c r="H3769" s="1463"/>
    </row>
    <row r="3770" spans="2:8" ht="18.75" customHeight="1" x14ac:dyDescent="0.25">
      <c r="B3770" s="441"/>
      <c r="C3770" s="2521" t="s">
        <v>2465</v>
      </c>
      <c r="D3770" s="4305">
        <f>SUM(D3771:D3776)</f>
        <v>5500000000</v>
      </c>
      <c r="E3770" s="2785">
        <f>SUM(E3771:E3776)</f>
        <v>5306755000</v>
      </c>
      <c r="F3770" s="3257">
        <f>E3770/D3770*100</f>
        <v>96.486454545454549</v>
      </c>
      <c r="G3770" s="2677">
        <f>SUM(G3771:G3776)/6</f>
        <v>100</v>
      </c>
      <c r="H3770" s="1463"/>
    </row>
    <row r="3771" spans="2:8" ht="16.5" hidden="1" customHeight="1" x14ac:dyDescent="0.25">
      <c r="B3771" s="441"/>
      <c r="C3771" s="2473" t="s">
        <v>2466</v>
      </c>
      <c r="D3771" s="4066">
        <v>3000000000</v>
      </c>
      <c r="E3771" s="2971">
        <v>2921690000</v>
      </c>
      <c r="F3771" s="3275">
        <f>E3771/D3771*100</f>
        <v>97.38966666666667</v>
      </c>
      <c r="G3771" s="2967">
        <v>100</v>
      </c>
      <c r="H3771" s="1463"/>
    </row>
    <row r="3772" spans="2:8" ht="17.25" hidden="1" customHeight="1" x14ac:dyDescent="0.25">
      <c r="B3772" s="441"/>
      <c r="C3772" s="2476" t="s">
        <v>2467</v>
      </c>
      <c r="D3772" s="4066">
        <v>500000000</v>
      </c>
      <c r="E3772" s="2971">
        <v>390065000</v>
      </c>
      <c r="F3772" s="3275">
        <f t="shared" ref="F3772:F3776" si="288">E3772/D3772*100</f>
        <v>78.013000000000005</v>
      </c>
      <c r="G3772" s="2967">
        <v>100</v>
      </c>
      <c r="H3772" s="1463"/>
    </row>
    <row r="3773" spans="2:8" ht="16.5" hidden="1" customHeight="1" x14ac:dyDescent="0.25">
      <c r="B3773" s="441"/>
      <c r="C3773" s="2476" t="s">
        <v>2468</v>
      </c>
      <c r="D3773" s="4066">
        <v>700000000</v>
      </c>
      <c r="E3773" s="2971">
        <v>700000000</v>
      </c>
      <c r="F3773" s="3275">
        <f t="shared" si="288"/>
        <v>100</v>
      </c>
      <c r="G3773" s="2967">
        <v>100</v>
      </c>
      <c r="H3773" s="1463"/>
    </row>
    <row r="3774" spans="2:8" ht="18.75" hidden="1" customHeight="1" x14ac:dyDescent="0.25">
      <c r="B3774" s="441"/>
      <c r="C3774" s="2476" t="s">
        <v>2469</v>
      </c>
      <c r="D3774" s="4066">
        <v>500000000</v>
      </c>
      <c r="E3774" s="2971">
        <v>497000000</v>
      </c>
      <c r="F3774" s="3275">
        <f t="shared" si="288"/>
        <v>99.4</v>
      </c>
      <c r="G3774" s="2967">
        <v>100</v>
      </c>
      <c r="H3774" s="1463"/>
    </row>
    <row r="3775" spans="2:8" ht="14.25" hidden="1" customHeight="1" x14ac:dyDescent="0.25">
      <c r="B3775" s="441"/>
      <c r="C3775" s="2476" t="s">
        <v>2470</v>
      </c>
      <c r="D3775" s="4066">
        <v>300000000</v>
      </c>
      <c r="E3775" s="2967">
        <v>298000000</v>
      </c>
      <c r="F3775" s="3275">
        <f t="shared" si="288"/>
        <v>99.333333333333329</v>
      </c>
      <c r="G3775" s="2967">
        <v>100</v>
      </c>
      <c r="H3775" s="1463"/>
    </row>
    <row r="3776" spans="2:8" ht="18" hidden="1" customHeight="1" x14ac:dyDescent="0.25">
      <c r="B3776" s="441"/>
      <c r="C3776" s="2476" t="s">
        <v>2471</v>
      </c>
      <c r="D3776" s="4066">
        <v>500000000</v>
      </c>
      <c r="E3776" s="2971">
        <v>500000000</v>
      </c>
      <c r="F3776" s="3275">
        <f t="shared" si="288"/>
        <v>100</v>
      </c>
      <c r="G3776" s="2967">
        <v>100</v>
      </c>
      <c r="H3776" s="1463"/>
    </row>
    <row r="3777" spans="2:8" ht="12" hidden="1" customHeight="1" x14ac:dyDescent="0.25">
      <c r="B3777" s="441"/>
      <c r="C3777" s="2473"/>
      <c r="D3777" s="4066"/>
      <c r="E3777" s="2690"/>
      <c r="F3777" s="2702"/>
      <c r="G3777" s="2967"/>
      <c r="H3777" s="1463"/>
    </row>
    <row r="3778" spans="2:8" ht="16.5" customHeight="1" x14ac:dyDescent="0.25">
      <c r="B3778" s="440"/>
      <c r="C3778" s="2532" t="s">
        <v>2472</v>
      </c>
      <c r="D3778" s="4106">
        <f>SUM(D3779+D3782+D3785)</f>
        <v>12503382000</v>
      </c>
      <c r="E3778" s="2672">
        <f>SUM(E3779+E3782+E3785)</f>
        <v>3027000000</v>
      </c>
      <c r="F3778" s="2670">
        <f>E3778/D3778*100</f>
        <v>24.209449891237426</v>
      </c>
      <c r="G3778" s="2670">
        <f>SUM(G3779+G3782+G3785)/3</f>
        <v>51</v>
      </c>
      <c r="H3778" s="1463"/>
    </row>
    <row r="3779" spans="2:8" ht="19.5" customHeight="1" x14ac:dyDescent="0.25">
      <c r="B3779" s="441"/>
      <c r="C3779" s="2521" t="s">
        <v>2473</v>
      </c>
      <c r="D3779" s="4305">
        <f>D3780</f>
        <v>300000000</v>
      </c>
      <c r="E3779" s="3775">
        <f>E3780</f>
        <v>121500000</v>
      </c>
      <c r="F3779" s="3257">
        <f>E3779/D3779*100</f>
        <v>40.5</v>
      </c>
      <c r="G3779" s="3002">
        <f>G3780</f>
        <v>100</v>
      </c>
      <c r="H3779" s="1463"/>
    </row>
    <row r="3780" spans="2:8" ht="15.75" hidden="1" customHeight="1" x14ac:dyDescent="0.25">
      <c r="B3780" s="441"/>
      <c r="C3780" s="2524" t="s">
        <v>2474</v>
      </c>
      <c r="D3780" s="4066">
        <v>300000000</v>
      </c>
      <c r="E3780" s="2967">
        <v>121500000</v>
      </c>
      <c r="F3780" s="3275">
        <f>E3780/D3780*100</f>
        <v>40.5</v>
      </c>
      <c r="G3780" s="2967">
        <v>100</v>
      </c>
      <c r="H3780" s="1463"/>
    </row>
    <row r="3781" spans="2:8" ht="10.5" hidden="1" customHeight="1" x14ac:dyDescent="0.25">
      <c r="B3781" s="441"/>
      <c r="C3781" s="2527"/>
      <c r="D3781" s="4065"/>
      <c r="E3781" s="2683"/>
      <c r="F3781" s="2683"/>
      <c r="G3781" s="2683"/>
      <c r="H3781" s="1463"/>
    </row>
    <row r="3782" spans="2:8" ht="17.25" customHeight="1" x14ac:dyDescent="0.25">
      <c r="B3782" s="441"/>
      <c r="C3782" s="2525" t="s">
        <v>2475</v>
      </c>
      <c r="D3782" s="4065">
        <f>D3783</f>
        <v>3000000000</v>
      </c>
      <c r="E3782" s="3991">
        <f>E3783</f>
        <v>500000000</v>
      </c>
      <c r="F3782" s="2677">
        <f>E3782/D3782*100</f>
        <v>16.666666666666664</v>
      </c>
      <c r="G3782" s="2677">
        <f>G3783</f>
        <v>17</v>
      </c>
      <c r="H3782" s="1463"/>
    </row>
    <row r="3783" spans="2:8" ht="15" hidden="1" customHeight="1" x14ac:dyDescent="0.25">
      <c r="B3783" s="441"/>
      <c r="C3783" s="2524" t="s">
        <v>2476</v>
      </c>
      <c r="D3783" s="4066">
        <v>3000000000</v>
      </c>
      <c r="E3783" s="2683">
        <v>500000000</v>
      </c>
      <c r="F3783" s="2683">
        <f>E3783/D3783*100</f>
        <v>16.666666666666664</v>
      </c>
      <c r="G3783" s="2683">
        <v>17</v>
      </c>
      <c r="H3783" s="1463"/>
    </row>
    <row r="3784" spans="2:8" ht="11.25" hidden="1" customHeight="1" x14ac:dyDescent="0.25">
      <c r="B3784" s="441"/>
      <c r="C3784" s="2527"/>
      <c r="D3784" s="4065"/>
      <c r="E3784" s="2683"/>
      <c r="F3784" s="2683"/>
      <c r="G3784" s="2683"/>
      <c r="H3784" s="1463"/>
    </row>
    <row r="3785" spans="2:8" ht="18" customHeight="1" x14ac:dyDescent="0.25">
      <c r="B3785" s="441"/>
      <c r="C3785" s="2525" t="s">
        <v>2477</v>
      </c>
      <c r="D3785" s="4065">
        <f>SUM(D3786:D3788)</f>
        <v>9203382000</v>
      </c>
      <c r="E3785" s="2695">
        <f>SUM(E3786:E3788)</f>
        <v>2405500000</v>
      </c>
      <c r="F3785" s="2677">
        <f>E3785/D3785*100</f>
        <v>26.137130893838805</v>
      </c>
      <c r="G3785" s="3002">
        <f>SUM(G3786:G3788)/3</f>
        <v>36</v>
      </c>
      <c r="H3785" s="1463"/>
    </row>
    <row r="3786" spans="2:8" ht="15" hidden="1" customHeight="1" x14ac:dyDescent="0.25">
      <c r="B3786" s="441"/>
      <c r="C3786" s="2524" t="s">
        <v>2478</v>
      </c>
      <c r="D3786" s="4066">
        <v>2000000000</v>
      </c>
      <c r="E3786" s="2967">
        <v>0</v>
      </c>
      <c r="F3786" s="2683">
        <f>E3786/D3786*100</f>
        <v>0</v>
      </c>
      <c r="G3786" s="2967">
        <v>0</v>
      </c>
      <c r="H3786" s="1463"/>
    </row>
    <row r="3787" spans="2:8" ht="17.25" hidden="1" customHeight="1" x14ac:dyDescent="0.25">
      <c r="B3787" s="441"/>
      <c r="C3787" s="2524" t="s">
        <v>2479</v>
      </c>
      <c r="D3787" s="4066">
        <v>5000000000</v>
      </c>
      <c r="E3787" s="2967">
        <v>405500000</v>
      </c>
      <c r="F3787" s="2683">
        <f t="shared" ref="F3787:F3788" si="289">E3787/D3787*100</f>
        <v>8.1100000000000012</v>
      </c>
      <c r="G3787" s="2967">
        <v>8</v>
      </c>
      <c r="H3787" s="1463"/>
    </row>
    <row r="3788" spans="2:8" ht="14.25" hidden="1" customHeight="1" x14ac:dyDescent="0.25">
      <c r="B3788" s="441"/>
      <c r="C3788" s="2524" t="s">
        <v>2480</v>
      </c>
      <c r="D3788" s="4066">
        <f>2378382000-175000000</f>
        <v>2203382000</v>
      </c>
      <c r="E3788" s="2967">
        <v>2000000000</v>
      </c>
      <c r="F3788" s="2683">
        <f t="shared" si="289"/>
        <v>90.769553350258832</v>
      </c>
      <c r="G3788" s="2967">
        <v>100</v>
      </c>
      <c r="H3788" s="1463"/>
    </row>
    <row r="3789" spans="2:8" ht="12" hidden="1" customHeight="1" x14ac:dyDescent="0.25">
      <c r="B3789" s="441"/>
      <c r="C3789" s="2475"/>
      <c r="D3789" s="4299"/>
      <c r="E3789" s="2784"/>
      <c r="F3789" s="2784"/>
      <c r="G3789" s="2784"/>
      <c r="H3789" s="1463"/>
    </row>
    <row r="3790" spans="2:8" ht="16.5" customHeight="1" x14ac:dyDescent="0.25">
      <c r="B3790" s="440"/>
      <c r="C3790" s="2471" t="s">
        <v>3981</v>
      </c>
      <c r="D3790" s="4106">
        <f>D3791</f>
        <v>300000000</v>
      </c>
      <c r="E3790" s="2670">
        <v>0</v>
      </c>
      <c r="F3790" s="2670">
        <v>0</v>
      </c>
      <c r="G3790" s="2670">
        <v>0</v>
      </c>
      <c r="H3790" s="1463"/>
    </row>
    <row r="3791" spans="2:8" ht="18.75" customHeight="1" x14ac:dyDescent="0.25">
      <c r="B3791" s="441"/>
      <c r="C3791" s="2472" t="s">
        <v>3982</v>
      </c>
      <c r="D3791" s="4072">
        <f>D3792</f>
        <v>300000000</v>
      </c>
      <c r="E3791" s="2683">
        <v>0</v>
      </c>
      <c r="F3791" s="2683">
        <v>0</v>
      </c>
      <c r="G3791" s="2683">
        <v>0</v>
      </c>
      <c r="H3791" s="1463"/>
    </row>
    <row r="3792" spans="2:8" ht="15.75" hidden="1" customHeight="1" x14ac:dyDescent="0.25">
      <c r="B3792" s="441"/>
      <c r="C3792" s="2473" t="s">
        <v>3983</v>
      </c>
      <c r="D3792" s="4066">
        <v>300000000</v>
      </c>
      <c r="E3792" s="2967">
        <v>0</v>
      </c>
      <c r="F3792" s="2967">
        <v>0</v>
      </c>
      <c r="G3792" s="2967">
        <v>0</v>
      </c>
      <c r="H3792" s="1463"/>
    </row>
    <row r="3793" spans="2:11" ht="12" hidden="1" customHeight="1" x14ac:dyDescent="0.25">
      <c r="B3793" s="441"/>
      <c r="C3793" s="2476"/>
      <c r="D3793" s="4285"/>
      <c r="E3793" s="2778"/>
      <c r="F3793" s="2778"/>
      <c r="G3793" s="2778"/>
      <c r="H3793" s="1463"/>
    </row>
    <row r="3794" spans="2:11" ht="16.5" customHeight="1" x14ac:dyDescent="0.25">
      <c r="B3794" s="440"/>
      <c r="C3794" s="2471" t="s">
        <v>3984</v>
      </c>
      <c r="D3794" s="4106">
        <f>D3795</f>
        <v>350000000</v>
      </c>
      <c r="E3794" s="2672">
        <f>E3795</f>
        <v>350000000</v>
      </c>
      <c r="F3794" s="2670">
        <f>E3794/D3794*100</f>
        <v>100</v>
      </c>
      <c r="G3794" s="2670">
        <f>G3795</f>
        <v>100</v>
      </c>
      <c r="H3794" s="1462"/>
    </row>
    <row r="3795" spans="2:11" ht="16.5" customHeight="1" x14ac:dyDescent="0.25">
      <c r="B3795" s="441"/>
      <c r="C3795" s="2472" t="s">
        <v>3985</v>
      </c>
      <c r="D3795" s="4072">
        <f>D3796</f>
        <v>350000000</v>
      </c>
      <c r="E3795" s="2734">
        <f>E3796</f>
        <v>350000000</v>
      </c>
      <c r="F3795" s="3257">
        <f>E3795/D3795*100</f>
        <v>100</v>
      </c>
      <c r="G3795" s="2677">
        <f>G3796</f>
        <v>100</v>
      </c>
      <c r="H3795" s="1463"/>
    </row>
    <row r="3796" spans="2:11" ht="18" hidden="1" customHeight="1" x14ac:dyDescent="0.25">
      <c r="B3796" s="441"/>
      <c r="C3796" s="2473" t="s">
        <v>3986</v>
      </c>
      <c r="D3796" s="4066">
        <v>350000000</v>
      </c>
      <c r="E3796" s="2967">
        <v>350000000</v>
      </c>
      <c r="F3796" s="3275">
        <f>E3796/D3796*100</f>
        <v>100</v>
      </c>
      <c r="G3796" s="2967">
        <v>100</v>
      </c>
      <c r="H3796" s="1463"/>
    </row>
    <row r="3797" spans="2:11" ht="12" hidden="1" customHeight="1" x14ac:dyDescent="0.25">
      <c r="B3797" s="441"/>
      <c r="C3797" s="2518"/>
      <c r="D3797" s="4322"/>
      <c r="E3797" s="3060"/>
      <c r="F3797" s="3060"/>
      <c r="G3797" s="3060"/>
      <c r="H3797" s="1463"/>
    </row>
    <row r="3798" spans="2:11" ht="16.5" customHeight="1" x14ac:dyDescent="0.25">
      <c r="B3798" s="447"/>
      <c r="C3798" s="3598" t="s">
        <v>2481</v>
      </c>
      <c r="D3798" s="4294">
        <f>SUM(D3799+D3884+D3974+D3993+D4000+D4027+D4042+D4048+D4085+D4054+D4077+D4112+D4123+D4127+D4134)</f>
        <v>137286690000</v>
      </c>
      <c r="E3798" s="3699">
        <f>SUM(E3799+E3884+E3974+E3993+E4000+E4027+E4042+E4048+E4085+E4054+E4077+E4112+E4123+E4127+E4134)</f>
        <v>132240735178</v>
      </c>
      <c r="F3798" s="3749">
        <f>E3798/D3798*100</f>
        <v>96.324512724430903</v>
      </c>
      <c r="G3798" s="3749">
        <f>SUM(G3799+G3884+G3974+G3993+G4000+G4027+G4042+G4048+G4054+G4077+G4085+G4112+G4123+G4127+G4134)/15</f>
        <v>98.933523266856596</v>
      </c>
      <c r="H3798" s="3723"/>
    </row>
    <row r="3799" spans="2:11" ht="18" customHeight="1" x14ac:dyDescent="0.25">
      <c r="B3799" s="440"/>
      <c r="C3799" s="2575" t="s">
        <v>2482</v>
      </c>
      <c r="D3799" s="4303">
        <f>SUM(D3800+D3804+D3811+D3829+D3832+D3850+D3853+D3866+D3869+D3881)</f>
        <v>45705100000</v>
      </c>
      <c r="E3799" s="2955">
        <f>SUM(E3800+E3804+E3811+E3829+E3832+E3850+E3853+E3866+E3869+E3881)</f>
        <v>43845479800</v>
      </c>
      <c r="F3799" s="3430">
        <f>E3799/D3799*100</f>
        <v>95.931263250709435</v>
      </c>
      <c r="G3799" s="3095">
        <f>SUM(G3800+G3804+G3811+G3829+G3832+G3850+G3853+G3866+G3869)/9</f>
        <v>95.886752136752136</v>
      </c>
      <c r="H3799" s="1463"/>
      <c r="J3799" s="536">
        <v>45705100000</v>
      </c>
      <c r="K3799" s="536">
        <v>43845479800</v>
      </c>
    </row>
    <row r="3800" spans="2:11" ht="14.25" customHeight="1" x14ac:dyDescent="0.25">
      <c r="B3800" s="441"/>
      <c r="C3800" s="2525" t="s">
        <v>36</v>
      </c>
      <c r="D3800" s="4311">
        <f>SUM(D3801:D3802)</f>
        <v>800000000</v>
      </c>
      <c r="E3800" s="2824">
        <f>SUM(E3801:E3802)</f>
        <v>800000000</v>
      </c>
      <c r="F3800" s="3431">
        <f>E3800/D3800*100</f>
        <v>100</v>
      </c>
      <c r="G3800" s="2679">
        <f>SUM(G3801:G3802)/2</f>
        <v>100</v>
      </c>
      <c r="H3800" s="1463"/>
      <c r="J3800" s="536">
        <v>800000000</v>
      </c>
      <c r="K3800" s="536">
        <v>800000000</v>
      </c>
    </row>
    <row r="3801" spans="2:11" ht="14.25" hidden="1" customHeight="1" x14ac:dyDescent="0.25">
      <c r="B3801" s="441"/>
      <c r="C3801" s="2524" t="s">
        <v>2483</v>
      </c>
      <c r="D3801" s="4066">
        <v>300000000</v>
      </c>
      <c r="E3801" s="2685">
        <v>300000000</v>
      </c>
      <c r="F3801" s="3434">
        <f>E3801/D3801*100</f>
        <v>100</v>
      </c>
      <c r="G3801" s="2685">
        <v>100</v>
      </c>
      <c r="H3801" s="1463"/>
    </row>
    <row r="3802" spans="2:11" ht="14.25" hidden="1" customHeight="1" x14ac:dyDescent="0.25">
      <c r="B3802" s="441"/>
      <c r="C3802" s="2524" t="s">
        <v>2484</v>
      </c>
      <c r="D3802" s="4066">
        <v>500000000</v>
      </c>
      <c r="E3802" s="2855">
        <v>500000000</v>
      </c>
      <c r="F3802" s="3434">
        <f>E3802/D3802*100</f>
        <v>100</v>
      </c>
      <c r="G3802" s="2685">
        <v>100</v>
      </c>
      <c r="H3802" s="1463"/>
    </row>
    <row r="3803" spans="2:11" ht="9.75" hidden="1" customHeight="1" x14ac:dyDescent="0.25">
      <c r="B3803" s="441"/>
      <c r="C3803" s="2506"/>
      <c r="D3803" s="4290"/>
      <c r="E3803" s="2685"/>
      <c r="F3803" s="2685"/>
      <c r="G3803" s="2685"/>
      <c r="H3803" s="1463"/>
    </row>
    <row r="3804" spans="2:11" ht="17.25" customHeight="1" x14ac:dyDescent="0.25">
      <c r="B3804" s="441"/>
      <c r="C3804" s="2525" t="s">
        <v>2485</v>
      </c>
      <c r="D3804" s="4065">
        <f>SUM(D3805:D3809)</f>
        <v>4209368500</v>
      </c>
      <c r="E3804" s="2695">
        <f>SUM(E3805:E3809)</f>
        <v>4209368500</v>
      </c>
      <c r="F3804" s="3431">
        <f>E3804/D3804*100</f>
        <v>100</v>
      </c>
      <c r="G3804" s="2679">
        <f>SUM(G3805:G3809)/5</f>
        <v>100</v>
      </c>
      <c r="H3804" s="1463"/>
      <c r="J3804" s="536">
        <v>4209368500</v>
      </c>
      <c r="K3804" s="536">
        <v>4209368500</v>
      </c>
    </row>
    <row r="3805" spans="2:11" ht="14.25" hidden="1" customHeight="1" x14ac:dyDescent="0.25">
      <c r="B3805" s="441"/>
      <c r="C3805" s="2524" t="s">
        <v>2486</v>
      </c>
      <c r="D3805" s="4066">
        <v>893000000</v>
      </c>
      <c r="E3805" s="2685">
        <v>893000000</v>
      </c>
      <c r="F3805" s="3434">
        <f>E3805/D3805*100</f>
        <v>100</v>
      </c>
      <c r="G3805" s="2685">
        <v>100</v>
      </c>
      <c r="H3805" s="1463"/>
    </row>
    <row r="3806" spans="2:11" ht="14.25" hidden="1" customHeight="1" x14ac:dyDescent="0.25">
      <c r="B3806" s="441"/>
      <c r="C3806" s="2524" t="s">
        <v>2487</v>
      </c>
      <c r="D3806" s="4066">
        <v>592810000</v>
      </c>
      <c r="E3806" s="2685">
        <v>592810000</v>
      </c>
      <c r="F3806" s="3434">
        <f>E3806/D3806*100</f>
        <v>100</v>
      </c>
      <c r="G3806" s="2685">
        <v>100</v>
      </c>
      <c r="H3806" s="1463"/>
    </row>
    <row r="3807" spans="2:11" ht="14.25" hidden="1" customHeight="1" x14ac:dyDescent="0.25">
      <c r="B3807" s="441"/>
      <c r="C3807" s="2524" t="s">
        <v>2488</v>
      </c>
      <c r="D3807" s="4066">
        <v>282443000</v>
      </c>
      <c r="E3807" s="2685">
        <v>282443000</v>
      </c>
      <c r="F3807" s="3434">
        <f t="shared" ref="F3807:F3809" si="290">E3807/D3807*100</f>
        <v>100</v>
      </c>
      <c r="G3807" s="2685">
        <v>100</v>
      </c>
      <c r="H3807" s="1463"/>
    </row>
    <row r="3808" spans="2:11" ht="14.25" hidden="1" customHeight="1" x14ac:dyDescent="0.25">
      <c r="B3808" s="441"/>
      <c r="C3808" s="2524" t="s">
        <v>2489</v>
      </c>
      <c r="D3808" s="4066">
        <v>1679700000</v>
      </c>
      <c r="E3808" s="2685">
        <v>1679700000</v>
      </c>
      <c r="F3808" s="3434">
        <f t="shared" si="290"/>
        <v>100</v>
      </c>
      <c r="G3808" s="2685">
        <v>100</v>
      </c>
      <c r="H3808" s="1463"/>
    </row>
    <row r="3809" spans="2:11" ht="14.25" hidden="1" customHeight="1" x14ac:dyDescent="0.25">
      <c r="B3809" s="441"/>
      <c r="C3809" s="2524" t="s">
        <v>2490</v>
      </c>
      <c r="D3809" s="4066">
        <v>761415500</v>
      </c>
      <c r="E3809" s="2685">
        <v>761415500</v>
      </c>
      <c r="F3809" s="3434">
        <f t="shared" si="290"/>
        <v>100</v>
      </c>
      <c r="G3809" s="2685">
        <v>100</v>
      </c>
      <c r="H3809" s="1463"/>
    </row>
    <row r="3810" spans="2:11" ht="12" hidden="1" customHeight="1" x14ac:dyDescent="0.25">
      <c r="B3810" s="441"/>
      <c r="C3810" s="2585"/>
      <c r="D3810" s="4301"/>
      <c r="E3810" s="2685"/>
      <c r="F3810" s="2685"/>
      <c r="G3810" s="2685"/>
      <c r="H3810" s="1463"/>
    </row>
    <row r="3811" spans="2:11" ht="16.5" customHeight="1" x14ac:dyDescent="0.25">
      <c r="B3811" s="441"/>
      <c r="C3811" s="2525" t="s">
        <v>248</v>
      </c>
      <c r="D3811" s="4065">
        <f>SUM(D3812:D3827)</f>
        <v>17514060000</v>
      </c>
      <c r="E3811" s="2695">
        <f>SUM(E3812:E3827)</f>
        <v>16369625400</v>
      </c>
      <c r="F3811" s="3431">
        <f>E3811/D3811*100</f>
        <v>93.465623618966703</v>
      </c>
      <c r="G3811" s="2679">
        <f>SUM(G3812:G3827)/16</f>
        <v>93.75</v>
      </c>
      <c r="H3811" s="1463"/>
      <c r="J3811" s="536">
        <v>17514060000</v>
      </c>
      <c r="K3811" s="536">
        <v>16369625400</v>
      </c>
    </row>
    <row r="3812" spans="2:11" ht="15" hidden="1" customHeight="1" x14ac:dyDescent="0.25">
      <c r="B3812" s="441"/>
      <c r="C3812" s="2524" t="s">
        <v>3315</v>
      </c>
      <c r="D3812" s="4066">
        <v>10946860000</v>
      </c>
      <c r="E3812" s="3434">
        <v>10946860000</v>
      </c>
      <c r="F3812" s="3434">
        <f>E3812/D3812*100</f>
        <v>100</v>
      </c>
      <c r="G3812" s="2685">
        <v>100</v>
      </c>
      <c r="H3812" s="1463"/>
    </row>
    <row r="3813" spans="2:11" ht="14.25" hidden="1" customHeight="1" x14ac:dyDescent="0.25">
      <c r="B3813" s="441"/>
      <c r="C3813" s="2524" t="s">
        <v>2491</v>
      </c>
      <c r="D3813" s="4066">
        <v>100000000</v>
      </c>
      <c r="E3813" s="4114">
        <v>100000000</v>
      </c>
      <c r="F3813" s="3434">
        <f t="shared" ref="F3813:F3827" si="291">E3813/D3813*100</f>
        <v>100</v>
      </c>
      <c r="G3813" s="2685">
        <v>100</v>
      </c>
      <c r="H3813" s="1463"/>
    </row>
    <row r="3814" spans="2:11" ht="14.25" hidden="1" customHeight="1" x14ac:dyDescent="0.25">
      <c r="B3814" s="441"/>
      <c r="C3814" s="2524" t="s">
        <v>2492</v>
      </c>
      <c r="D3814" s="4066">
        <v>200000000</v>
      </c>
      <c r="E3814" s="2855">
        <v>200000000</v>
      </c>
      <c r="F3814" s="3434">
        <f t="shared" si="291"/>
        <v>100</v>
      </c>
      <c r="G3814" s="2685">
        <v>100</v>
      </c>
      <c r="H3814" s="1463"/>
    </row>
    <row r="3815" spans="2:11" ht="16.5" hidden="1" customHeight="1" x14ac:dyDescent="0.25">
      <c r="B3815" s="441"/>
      <c r="C3815" s="2524" t="s">
        <v>2493</v>
      </c>
      <c r="D3815" s="4066">
        <v>398550000</v>
      </c>
      <c r="E3815" s="3434">
        <v>398550000</v>
      </c>
      <c r="F3815" s="3434">
        <f t="shared" si="291"/>
        <v>100</v>
      </c>
      <c r="G3815" s="2685">
        <v>100</v>
      </c>
      <c r="H3815" s="1463"/>
    </row>
    <row r="3816" spans="2:11" ht="18.75" hidden="1" customHeight="1" x14ac:dyDescent="0.25">
      <c r="B3816" s="441"/>
      <c r="C3816" s="2524" t="s">
        <v>2494</v>
      </c>
      <c r="D3816" s="4321" t="s">
        <v>3317</v>
      </c>
      <c r="E3816" s="3652" t="s">
        <v>3317</v>
      </c>
      <c r="F3816" s="3652" t="s">
        <v>3317</v>
      </c>
      <c r="G3816" s="3652" t="s">
        <v>3317</v>
      </c>
      <c r="H3816" s="1463"/>
    </row>
    <row r="3817" spans="2:11" ht="19.5" hidden="1" customHeight="1" x14ac:dyDescent="0.25">
      <c r="B3817" s="441"/>
      <c r="C3817" s="2524" t="s">
        <v>2495</v>
      </c>
      <c r="D3817" s="4066">
        <v>200000000</v>
      </c>
      <c r="E3817" s="3434">
        <v>200000000</v>
      </c>
      <c r="F3817" s="3434">
        <f t="shared" si="291"/>
        <v>100</v>
      </c>
      <c r="G3817" s="2685">
        <v>100</v>
      </c>
      <c r="H3817" s="1463"/>
    </row>
    <row r="3818" spans="2:11" ht="17.25" hidden="1" customHeight="1" x14ac:dyDescent="0.25">
      <c r="B3818" s="441"/>
      <c r="C3818" s="2524" t="s">
        <v>2496</v>
      </c>
      <c r="D3818" s="4066">
        <v>200000000</v>
      </c>
      <c r="E3818" s="3434">
        <v>200000000</v>
      </c>
      <c r="F3818" s="3434">
        <f t="shared" si="291"/>
        <v>100</v>
      </c>
      <c r="G3818" s="2685">
        <v>100</v>
      </c>
      <c r="H3818" s="1463"/>
    </row>
    <row r="3819" spans="2:11" ht="16.5" hidden="1" customHeight="1" x14ac:dyDescent="0.25">
      <c r="B3819" s="441"/>
      <c r="C3819" s="2524" t="s">
        <v>2497</v>
      </c>
      <c r="D3819" s="4066">
        <v>200000000</v>
      </c>
      <c r="E3819" s="3434">
        <v>200000000</v>
      </c>
      <c r="F3819" s="3434">
        <f t="shared" si="291"/>
        <v>100</v>
      </c>
      <c r="G3819" s="2804">
        <v>100</v>
      </c>
      <c r="H3819" s="1463"/>
    </row>
    <row r="3820" spans="2:11" ht="16.5" hidden="1" customHeight="1" x14ac:dyDescent="0.25">
      <c r="B3820" s="441"/>
      <c r="C3820" s="2524" t="s">
        <v>2498</v>
      </c>
      <c r="D3820" s="4066">
        <v>650000000</v>
      </c>
      <c r="E3820" s="3434">
        <v>650000000</v>
      </c>
      <c r="F3820" s="3434">
        <f t="shared" si="291"/>
        <v>100</v>
      </c>
      <c r="G3820" s="2685">
        <v>100</v>
      </c>
      <c r="H3820" s="1463"/>
    </row>
    <row r="3821" spans="2:11" ht="19.5" hidden="1" customHeight="1" x14ac:dyDescent="0.25">
      <c r="B3821" s="441"/>
      <c r="C3821" s="2524" t="s">
        <v>2499</v>
      </c>
      <c r="D3821" s="4066">
        <v>200000000</v>
      </c>
      <c r="E3821" s="3434">
        <v>200000000</v>
      </c>
      <c r="F3821" s="3434">
        <f t="shared" si="291"/>
        <v>100</v>
      </c>
      <c r="G3821" s="2685">
        <v>100</v>
      </c>
      <c r="H3821" s="1463"/>
    </row>
    <row r="3822" spans="2:11" ht="16.5" hidden="1" customHeight="1" x14ac:dyDescent="0.25">
      <c r="B3822" s="441"/>
      <c r="C3822" s="2524" t="s">
        <v>2500</v>
      </c>
      <c r="D3822" s="4066">
        <v>1200000000</v>
      </c>
      <c r="E3822" s="3434">
        <v>1200000000</v>
      </c>
      <c r="F3822" s="3434">
        <f t="shared" si="291"/>
        <v>100</v>
      </c>
      <c r="G3822" s="2685">
        <v>100</v>
      </c>
      <c r="H3822" s="1463"/>
    </row>
    <row r="3823" spans="2:11" ht="17.25" hidden="1" customHeight="1" x14ac:dyDescent="0.25">
      <c r="B3823" s="441"/>
      <c r="C3823" s="2524" t="s">
        <v>2501</v>
      </c>
      <c r="D3823" s="4066">
        <v>150000000</v>
      </c>
      <c r="E3823" s="2804">
        <v>150000000</v>
      </c>
      <c r="F3823" s="3434">
        <f t="shared" si="291"/>
        <v>100</v>
      </c>
      <c r="G3823" s="2804">
        <v>100</v>
      </c>
      <c r="H3823" s="1463"/>
    </row>
    <row r="3824" spans="2:11" ht="21" hidden="1" customHeight="1" x14ac:dyDescent="0.25">
      <c r="B3824" s="441"/>
      <c r="C3824" s="2524" t="s">
        <v>2502</v>
      </c>
      <c r="D3824" s="4066">
        <v>500000000</v>
      </c>
      <c r="E3824" s="2804">
        <v>500000000</v>
      </c>
      <c r="F3824" s="3434">
        <f t="shared" si="291"/>
        <v>100</v>
      </c>
      <c r="G3824" s="2804">
        <v>100</v>
      </c>
      <c r="H3824" s="1463"/>
    </row>
    <row r="3825" spans="2:11" ht="19.5" hidden="1" customHeight="1" x14ac:dyDescent="0.25">
      <c r="B3825" s="441"/>
      <c r="C3825" s="2524" t="s">
        <v>2503</v>
      </c>
      <c r="D3825" s="4066">
        <v>600000000</v>
      </c>
      <c r="E3825" s="2804">
        <v>600000000</v>
      </c>
      <c r="F3825" s="3434">
        <f t="shared" si="291"/>
        <v>100</v>
      </c>
      <c r="G3825" s="2804">
        <v>100</v>
      </c>
      <c r="H3825" s="1463"/>
    </row>
    <row r="3826" spans="2:11" ht="16.5" hidden="1" customHeight="1" x14ac:dyDescent="0.25">
      <c r="B3826" s="441"/>
      <c r="C3826" s="2524" t="s">
        <v>2504</v>
      </c>
      <c r="D3826" s="4066">
        <v>268650000</v>
      </c>
      <c r="E3826" s="3434">
        <v>268650000</v>
      </c>
      <c r="F3826" s="3434">
        <f t="shared" si="291"/>
        <v>100</v>
      </c>
      <c r="G3826" s="2685">
        <v>100</v>
      </c>
      <c r="H3826" s="1463"/>
    </row>
    <row r="3827" spans="2:11" ht="18" hidden="1" customHeight="1" x14ac:dyDescent="0.25">
      <c r="B3827" s="441"/>
      <c r="C3827" s="2526" t="s">
        <v>3988</v>
      </c>
      <c r="D3827" s="4301">
        <v>1700000000</v>
      </c>
      <c r="E3827" s="3446">
        <v>555565400</v>
      </c>
      <c r="F3827" s="3446">
        <f t="shared" si="291"/>
        <v>32.680317647058821</v>
      </c>
      <c r="G3827" s="2685">
        <v>100</v>
      </c>
      <c r="H3827" s="1463"/>
    </row>
    <row r="3828" spans="2:11" ht="12" hidden="1" customHeight="1" x14ac:dyDescent="0.25">
      <c r="B3828" s="441"/>
      <c r="C3828" s="2577"/>
      <c r="D3828" s="4066"/>
      <c r="E3828" s="4115"/>
      <c r="F3828" s="2685"/>
      <c r="G3828" s="2685"/>
      <c r="H3828" s="1463"/>
    </row>
    <row r="3829" spans="2:11" ht="16.5" customHeight="1" x14ac:dyDescent="0.25">
      <c r="B3829" s="441"/>
      <c r="C3829" s="2525" t="s">
        <v>2505</v>
      </c>
      <c r="D3829" s="4065">
        <f>D3830</f>
        <v>200000000</v>
      </c>
      <c r="E3829" s="3250">
        <f>E3830</f>
        <v>200000000</v>
      </c>
      <c r="F3829" s="3431">
        <f>E3829/D3829*100</f>
        <v>100</v>
      </c>
      <c r="G3829" s="2679">
        <v>100</v>
      </c>
      <c r="H3829" s="1463"/>
      <c r="J3829" s="536">
        <v>200000000</v>
      </c>
      <c r="K3829" s="536">
        <v>200000000</v>
      </c>
    </row>
    <row r="3830" spans="2:11" ht="18" hidden="1" customHeight="1" x14ac:dyDescent="0.25">
      <c r="B3830" s="441"/>
      <c r="C3830" s="2524" t="s">
        <v>2506</v>
      </c>
      <c r="D3830" s="4066">
        <v>200000000</v>
      </c>
      <c r="E3830" s="2855">
        <v>200000000</v>
      </c>
      <c r="F3830" s="3434">
        <f>E3830/D3830*100</f>
        <v>100</v>
      </c>
      <c r="G3830" s="2685">
        <v>100</v>
      </c>
      <c r="H3830" s="1463"/>
    </row>
    <row r="3831" spans="2:11" ht="11.25" hidden="1" customHeight="1" x14ac:dyDescent="0.25">
      <c r="B3831" s="441"/>
      <c r="C3831" s="2585"/>
      <c r="D3831" s="4301"/>
      <c r="E3831" s="2685"/>
      <c r="F3831" s="2685"/>
      <c r="G3831" s="2685"/>
      <c r="H3831" s="1463"/>
    </row>
    <row r="3832" spans="2:11" ht="14.25" customHeight="1" x14ac:dyDescent="0.25">
      <c r="B3832" s="441"/>
      <c r="C3832" s="2525" t="s">
        <v>663</v>
      </c>
      <c r="D3832" s="4065">
        <f>SUM(D3833:D3848)</f>
        <v>3048884000</v>
      </c>
      <c r="E3832" s="2695">
        <f>SUM(E3833:E3848)</f>
        <v>2368169600</v>
      </c>
      <c r="F3832" s="3431">
        <f>E3832/D3832*100</f>
        <v>77.673325715245312</v>
      </c>
      <c r="G3832" s="2679">
        <f>SUM(G3833:G3848)/13</f>
        <v>69.230769230769226</v>
      </c>
      <c r="H3832" s="1463"/>
    </row>
    <row r="3833" spans="2:11" ht="15.75" hidden="1" customHeight="1" x14ac:dyDescent="0.25">
      <c r="B3833" s="441"/>
      <c r="C3833" s="2524" t="s">
        <v>2507</v>
      </c>
      <c r="D3833" s="4066">
        <v>200000000</v>
      </c>
      <c r="E3833" s="2804">
        <v>0</v>
      </c>
      <c r="F3833" s="2804">
        <v>0</v>
      </c>
      <c r="G3833" s="2804">
        <v>0</v>
      </c>
      <c r="H3833" s="1463"/>
      <c r="J3833" s="536">
        <v>3048884000</v>
      </c>
      <c r="K3833" s="536">
        <v>2368169600</v>
      </c>
    </row>
    <row r="3834" spans="2:11" ht="14.25" hidden="1" customHeight="1" x14ac:dyDescent="0.25">
      <c r="B3834" s="441"/>
      <c r="C3834" s="2524" t="s">
        <v>2508</v>
      </c>
      <c r="D3834" s="4066">
        <v>250000000</v>
      </c>
      <c r="E3834" s="2804">
        <v>0</v>
      </c>
      <c r="F3834" s="2804">
        <v>0</v>
      </c>
      <c r="G3834" s="2804">
        <v>0</v>
      </c>
      <c r="H3834" s="1463"/>
    </row>
    <row r="3835" spans="2:11" ht="14.25" hidden="1" customHeight="1" x14ac:dyDescent="0.25">
      <c r="B3835" s="441"/>
      <c r="C3835" s="2524" t="s">
        <v>2509</v>
      </c>
      <c r="D3835" s="4066">
        <v>300000000</v>
      </c>
      <c r="E3835" s="2804">
        <v>300000000</v>
      </c>
      <c r="F3835" s="3434">
        <f t="shared" ref="F3835:F3848" si="292">E3835/D3835*100</f>
        <v>100</v>
      </c>
      <c r="G3835" s="2685">
        <v>100</v>
      </c>
      <c r="H3835" s="1463"/>
    </row>
    <row r="3836" spans="2:11" ht="14.25" hidden="1" customHeight="1" x14ac:dyDescent="0.25">
      <c r="B3836" s="441"/>
      <c r="C3836" s="2524" t="s">
        <v>2510</v>
      </c>
      <c r="D3836" s="4066">
        <v>210000000</v>
      </c>
      <c r="E3836" s="2804">
        <v>210000000</v>
      </c>
      <c r="F3836" s="3434">
        <f t="shared" si="292"/>
        <v>100</v>
      </c>
      <c r="G3836" s="2685">
        <v>100</v>
      </c>
      <c r="H3836" s="1463"/>
    </row>
    <row r="3837" spans="2:11" ht="14.25" hidden="1" customHeight="1" x14ac:dyDescent="0.25">
      <c r="B3837" s="441"/>
      <c r="C3837" s="2524" t="s">
        <v>2511</v>
      </c>
      <c r="D3837" s="4066">
        <v>200000000</v>
      </c>
      <c r="E3837" s="2804">
        <v>0</v>
      </c>
      <c r="F3837" s="2804">
        <v>0</v>
      </c>
      <c r="G3837" s="2804">
        <v>0</v>
      </c>
      <c r="H3837" s="1463"/>
    </row>
    <row r="3838" spans="2:11" ht="14.25" hidden="1" customHeight="1" x14ac:dyDescent="0.25">
      <c r="B3838" s="441"/>
      <c r="C3838" s="2524" t="s">
        <v>2512</v>
      </c>
      <c r="D3838" s="4066">
        <v>0</v>
      </c>
      <c r="E3838" s="4114">
        <v>0</v>
      </c>
      <c r="F3838" s="4114">
        <v>0</v>
      </c>
      <c r="G3838" s="4114">
        <v>0</v>
      </c>
      <c r="H3838" s="1463"/>
    </row>
    <row r="3839" spans="2:11" ht="14.25" hidden="1" customHeight="1" x14ac:dyDescent="0.25">
      <c r="B3839" s="441"/>
      <c r="C3839" s="2524" t="s">
        <v>2513</v>
      </c>
      <c r="D3839" s="4066">
        <v>0</v>
      </c>
      <c r="E3839" s="4114">
        <v>0</v>
      </c>
      <c r="F3839" s="4114">
        <v>0</v>
      </c>
      <c r="G3839" s="4114">
        <v>0</v>
      </c>
      <c r="H3839" s="1463"/>
    </row>
    <row r="3840" spans="2:11" ht="14.25" hidden="1" customHeight="1" x14ac:dyDescent="0.25">
      <c r="B3840" s="441"/>
      <c r="C3840" s="2524" t="s">
        <v>2514</v>
      </c>
      <c r="D3840" s="4066">
        <v>200000000</v>
      </c>
      <c r="E3840" s="2804">
        <v>180450000</v>
      </c>
      <c r="F3840" s="3434">
        <f t="shared" si="292"/>
        <v>90.224999999999994</v>
      </c>
      <c r="G3840" s="2804">
        <v>100</v>
      </c>
      <c r="H3840" s="1463"/>
    </row>
    <row r="3841" spans="2:8" ht="14.25" hidden="1" customHeight="1" x14ac:dyDescent="0.25">
      <c r="B3841" s="441"/>
      <c r="C3841" s="2581" t="s">
        <v>2515</v>
      </c>
      <c r="D3841" s="4154">
        <v>300000000</v>
      </c>
      <c r="E3841" s="4114">
        <v>300000000</v>
      </c>
      <c r="F3841" s="3434">
        <f t="shared" si="292"/>
        <v>100</v>
      </c>
      <c r="G3841" s="2685">
        <v>100</v>
      </c>
      <c r="H3841" s="1463"/>
    </row>
    <row r="3842" spans="2:8" ht="14.25" hidden="1" customHeight="1" x14ac:dyDescent="0.25">
      <c r="B3842" s="441"/>
      <c r="C3842" s="2585" t="s">
        <v>2516</v>
      </c>
      <c r="D3842" s="4295" t="s">
        <v>3317</v>
      </c>
      <c r="E3842" s="3666" t="s">
        <v>3317</v>
      </c>
      <c r="F3842" s="3689" t="s">
        <v>3317</v>
      </c>
      <c r="G3842" s="3689" t="s">
        <v>3317</v>
      </c>
      <c r="H3842" s="1463"/>
    </row>
    <row r="3843" spans="2:8" ht="21" hidden="1" customHeight="1" x14ac:dyDescent="0.25">
      <c r="B3843" s="441"/>
      <c r="C3843" s="2577" t="s">
        <v>2517</v>
      </c>
      <c r="D3843" s="4066">
        <v>338884000</v>
      </c>
      <c r="E3843" s="4114">
        <v>338884000</v>
      </c>
      <c r="F3843" s="3434">
        <f t="shared" si="292"/>
        <v>100</v>
      </c>
      <c r="G3843" s="2804">
        <v>100</v>
      </c>
      <c r="H3843" s="1463"/>
    </row>
    <row r="3844" spans="2:8" ht="19.5" hidden="1" customHeight="1" x14ac:dyDescent="0.25">
      <c r="B3844" s="441"/>
      <c r="C3844" s="2577" t="s">
        <v>2518</v>
      </c>
      <c r="D3844" s="4295" t="s">
        <v>3317</v>
      </c>
      <c r="E3844" s="3666" t="s">
        <v>3317</v>
      </c>
      <c r="F3844" s="3689" t="s">
        <v>3317</v>
      </c>
      <c r="G3844" s="3689" t="s">
        <v>3317</v>
      </c>
      <c r="H3844" s="1463"/>
    </row>
    <row r="3845" spans="2:8" ht="16.5" hidden="1" customHeight="1" x14ac:dyDescent="0.25">
      <c r="B3845" s="441"/>
      <c r="C3845" s="2577" t="s">
        <v>2519</v>
      </c>
      <c r="D3845" s="4066">
        <v>300000000</v>
      </c>
      <c r="E3845" s="4116">
        <v>300000000</v>
      </c>
      <c r="F3845" s="3434">
        <f t="shared" si="292"/>
        <v>100</v>
      </c>
      <c r="G3845" s="2804">
        <v>100</v>
      </c>
      <c r="H3845" s="1463"/>
    </row>
    <row r="3846" spans="2:8" ht="16.5" hidden="1" customHeight="1" x14ac:dyDescent="0.25">
      <c r="B3846" s="441"/>
      <c r="C3846" s="2577" t="s">
        <v>3989</v>
      </c>
      <c r="D3846" s="4066">
        <v>300000000</v>
      </c>
      <c r="E3846" s="4114">
        <v>294450000</v>
      </c>
      <c r="F3846" s="3434">
        <f t="shared" si="292"/>
        <v>98.15</v>
      </c>
      <c r="G3846" s="2804">
        <v>100</v>
      </c>
      <c r="H3846" s="1463"/>
    </row>
    <row r="3847" spans="2:8" ht="16.5" hidden="1" customHeight="1" x14ac:dyDescent="0.25">
      <c r="B3847" s="441"/>
      <c r="C3847" s="2577" t="s">
        <v>3990</v>
      </c>
      <c r="D3847" s="4066">
        <v>250000000</v>
      </c>
      <c r="E3847" s="4114">
        <v>250000000</v>
      </c>
      <c r="F3847" s="3434">
        <f t="shared" si="292"/>
        <v>100</v>
      </c>
      <c r="G3847" s="2804">
        <v>100</v>
      </c>
      <c r="H3847" s="1463"/>
    </row>
    <row r="3848" spans="2:8" ht="16.5" hidden="1" customHeight="1" x14ac:dyDescent="0.25">
      <c r="B3848" s="441"/>
      <c r="C3848" s="2577" t="s">
        <v>3991</v>
      </c>
      <c r="D3848" s="4066">
        <v>200000000</v>
      </c>
      <c r="E3848" s="4114">
        <v>194385600</v>
      </c>
      <c r="F3848" s="3434">
        <f t="shared" si="292"/>
        <v>97.192800000000005</v>
      </c>
      <c r="G3848" s="2804">
        <v>100</v>
      </c>
      <c r="H3848" s="1463"/>
    </row>
    <row r="3849" spans="2:8" ht="9" hidden="1" customHeight="1" x14ac:dyDescent="0.25">
      <c r="B3849" s="441"/>
      <c r="C3849" s="2585"/>
      <c r="D3849" s="4066"/>
      <c r="E3849" s="4116"/>
      <c r="F3849" s="2804"/>
      <c r="G3849" s="2804"/>
      <c r="H3849" s="1463"/>
    </row>
    <row r="3850" spans="2:8" ht="17.25" customHeight="1" x14ac:dyDescent="0.25">
      <c r="B3850" s="441"/>
      <c r="C3850" s="2576" t="s">
        <v>2520</v>
      </c>
      <c r="D3850" s="4065">
        <f>D3851</f>
        <v>300000000</v>
      </c>
      <c r="E3850" s="2693">
        <f>E3851</f>
        <v>300000000</v>
      </c>
      <c r="F3850" s="3435">
        <f t="shared" ref="F3850:F3851" si="293">E3850/D3850*100</f>
        <v>100</v>
      </c>
      <c r="G3850" s="2725">
        <f>G3851</f>
        <v>100</v>
      </c>
      <c r="H3850" s="1462"/>
    </row>
    <row r="3851" spans="2:8" ht="16.5" hidden="1" customHeight="1" x14ac:dyDescent="0.25">
      <c r="B3851" s="441"/>
      <c r="C3851" s="2577" t="s">
        <v>3316</v>
      </c>
      <c r="D3851" s="4066">
        <v>300000000</v>
      </c>
      <c r="E3851" s="4116">
        <v>300000000</v>
      </c>
      <c r="F3851" s="3434">
        <f t="shared" si="293"/>
        <v>100</v>
      </c>
      <c r="G3851" s="2804">
        <v>100</v>
      </c>
      <c r="H3851" s="1463"/>
    </row>
    <row r="3852" spans="2:8" ht="8.25" hidden="1" customHeight="1" x14ac:dyDescent="0.25">
      <c r="B3852" s="441"/>
      <c r="C3852" s="2585"/>
      <c r="D3852" s="4066"/>
      <c r="E3852" s="4116"/>
      <c r="F3852" s="2804"/>
      <c r="G3852" s="2804"/>
      <c r="H3852" s="1463"/>
    </row>
    <row r="3853" spans="2:8" ht="16.5" customHeight="1" x14ac:dyDescent="0.25">
      <c r="B3853" s="439"/>
      <c r="C3853" s="2619" t="s">
        <v>2521</v>
      </c>
      <c r="D3853" s="4159">
        <f>SUM(D3854:D3864)</f>
        <v>15294000000</v>
      </c>
      <c r="E3853" s="2813">
        <f>SUM(E3854:E3864)</f>
        <v>15259600000</v>
      </c>
      <c r="F3853" s="3435">
        <f>E3853/D3853*100</f>
        <v>99.775075192886092</v>
      </c>
      <c r="G3853" s="2725">
        <f>SUM(G3854:G3864)/10</f>
        <v>100</v>
      </c>
      <c r="H3853" s="1463"/>
    </row>
    <row r="3854" spans="2:8" ht="14.25" hidden="1" customHeight="1" x14ac:dyDescent="0.25">
      <c r="B3854" s="439"/>
      <c r="C3854" s="2620" t="s">
        <v>2522</v>
      </c>
      <c r="D3854" s="3704">
        <v>500000000</v>
      </c>
      <c r="E3854" s="2804">
        <v>500000000</v>
      </c>
      <c r="F3854" s="3434">
        <f t="shared" ref="F3854:F3867" si="294">E3854/D3854*100</f>
        <v>100</v>
      </c>
      <c r="G3854" s="2804">
        <v>100</v>
      </c>
      <c r="H3854" s="1463"/>
    </row>
    <row r="3855" spans="2:8" ht="14.25" hidden="1" customHeight="1" x14ac:dyDescent="0.25">
      <c r="B3855" s="439"/>
      <c r="C3855" s="2620" t="s">
        <v>2523</v>
      </c>
      <c r="D3855" s="3704">
        <v>700000000</v>
      </c>
      <c r="E3855" s="2804">
        <v>700000000</v>
      </c>
      <c r="F3855" s="3434">
        <f t="shared" si="294"/>
        <v>100</v>
      </c>
      <c r="G3855" s="2804">
        <v>100</v>
      </c>
      <c r="H3855" s="1463"/>
    </row>
    <row r="3856" spans="2:8" ht="14.25" hidden="1" customHeight="1" x14ac:dyDescent="0.25">
      <c r="B3856" s="562"/>
      <c r="C3856" s="2621" t="s">
        <v>2524</v>
      </c>
      <c r="D3856" s="4290">
        <v>4740000000</v>
      </c>
      <c r="E3856" s="2830">
        <v>4739900000</v>
      </c>
      <c r="F3856" s="3434">
        <f t="shared" si="294"/>
        <v>99.997890295358644</v>
      </c>
      <c r="G3856" s="2830">
        <v>100</v>
      </c>
      <c r="H3856" s="1463"/>
    </row>
    <row r="3857" spans="2:8" ht="14.25" hidden="1" customHeight="1" x14ac:dyDescent="0.25">
      <c r="B3857" s="439"/>
      <c r="C3857" s="2621" t="s">
        <v>2525</v>
      </c>
      <c r="D3857" s="4286">
        <v>6354000000</v>
      </c>
      <c r="E3857" s="2708">
        <v>6319700000</v>
      </c>
      <c r="F3857" s="3434">
        <f t="shared" si="294"/>
        <v>99.460182562165571</v>
      </c>
      <c r="G3857" s="2708">
        <v>100</v>
      </c>
      <c r="H3857" s="1463"/>
    </row>
    <row r="3858" spans="2:8" ht="14.25" hidden="1" customHeight="1" x14ac:dyDescent="0.25">
      <c r="B3858" s="439"/>
      <c r="C3858" s="2621" t="s">
        <v>2526</v>
      </c>
      <c r="D3858" s="3704">
        <v>200000000</v>
      </c>
      <c r="E3858" s="2685">
        <v>200000000</v>
      </c>
      <c r="F3858" s="3434">
        <f t="shared" si="294"/>
        <v>100</v>
      </c>
      <c r="G3858" s="2685">
        <v>100</v>
      </c>
      <c r="H3858" s="1463"/>
    </row>
    <row r="3859" spans="2:8" ht="14.25" hidden="1" customHeight="1" x14ac:dyDescent="0.25">
      <c r="B3859" s="439"/>
      <c r="C3859" s="2621" t="s">
        <v>2527</v>
      </c>
      <c r="D3859" s="3704">
        <v>500000000</v>
      </c>
      <c r="E3859" s="2685">
        <v>500000000</v>
      </c>
      <c r="F3859" s="3434">
        <f t="shared" si="294"/>
        <v>100</v>
      </c>
      <c r="G3859" s="2685">
        <v>100</v>
      </c>
      <c r="H3859" s="1463"/>
    </row>
    <row r="3860" spans="2:8" ht="14.25" hidden="1" customHeight="1" x14ac:dyDescent="0.25">
      <c r="B3860" s="439"/>
      <c r="C3860" s="2621" t="s">
        <v>2528</v>
      </c>
      <c r="D3860" s="4283" t="s">
        <v>3317</v>
      </c>
      <c r="E3860" s="3589" t="s">
        <v>3317</v>
      </c>
      <c r="F3860" s="3589" t="s">
        <v>3317</v>
      </c>
      <c r="G3860" s="3589" t="s">
        <v>3317</v>
      </c>
      <c r="H3860" s="1463"/>
    </row>
    <row r="3861" spans="2:8" ht="14.25" hidden="1" customHeight="1" x14ac:dyDescent="0.25">
      <c r="B3861" s="439"/>
      <c r="C3861" s="2621" t="s">
        <v>2529</v>
      </c>
      <c r="D3861" s="3704">
        <v>700000000</v>
      </c>
      <c r="E3861" s="2685">
        <v>700000000</v>
      </c>
      <c r="F3861" s="3434">
        <f t="shared" si="294"/>
        <v>100</v>
      </c>
      <c r="G3861" s="2685">
        <v>100</v>
      </c>
      <c r="H3861" s="1463"/>
    </row>
    <row r="3862" spans="2:8" ht="14.25" hidden="1" customHeight="1" x14ac:dyDescent="0.25">
      <c r="B3862" s="439"/>
      <c r="C3862" s="2621" t="s">
        <v>2530</v>
      </c>
      <c r="D3862" s="3704">
        <v>500000000</v>
      </c>
      <c r="E3862" s="2685">
        <v>500000000</v>
      </c>
      <c r="F3862" s="3434">
        <f t="shared" si="294"/>
        <v>100</v>
      </c>
      <c r="G3862" s="2685">
        <v>100</v>
      </c>
      <c r="H3862" s="1463"/>
    </row>
    <row r="3863" spans="2:8" ht="14.25" hidden="1" customHeight="1" x14ac:dyDescent="0.25">
      <c r="B3863" s="439"/>
      <c r="C3863" s="2621" t="s">
        <v>2531</v>
      </c>
      <c r="D3863" s="3704">
        <v>600000000</v>
      </c>
      <c r="E3863" s="2685">
        <v>600000000</v>
      </c>
      <c r="F3863" s="3434">
        <f t="shared" si="294"/>
        <v>100</v>
      </c>
      <c r="G3863" s="2685">
        <v>100</v>
      </c>
      <c r="H3863" s="1463"/>
    </row>
    <row r="3864" spans="2:8" ht="17.25" hidden="1" customHeight="1" x14ac:dyDescent="0.25">
      <c r="B3864" s="439"/>
      <c r="C3864" s="2621" t="s">
        <v>3992</v>
      </c>
      <c r="D3864" s="3704">
        <v>500000000</v>
      </c>
      <c r="E3864" s="2685">
        <v>500000000</v>
      </c>
      <c r="F3864" s="3434">
        <f t="shared" si="294"/>
        <v>100</v>
      </c>
      <c r="G3864" s="2685">
        <v>100</v>
      </c>
      <c r="H3864" s="1463"/>
    </row>
    <row r="3865" spans="2:8" ht="11.25" hidden="1" customHeight="1" x14ac:dyDescent="0.25">
      <c r="B3865" s="439"/>
      <c r="C3865" s="2621"/>
      <c r="D3865" s="3704"/>
      <c r="E3865" s="2685"/>
      <c r="F3865" s="2685"/>
      <c r="G3865" s="2685"/>
      <c r="H3865" s="1463"/>
    </row>
    <row r="3866" spans="2:8" ht="20.25" customHeight="1" x14ac:dyDescent="0.25">
      <c r="B3866" s="439"/>
      <c r="C3866" s="2622" t="s">
        <v>2532</v>
      </c>
      <c r="D3866" s="4159">
        <f>D3867</f>
        <v>200000000</v>
      </c>
      <c r="E3866" s="2679">
        <f>E3867</f>
        <v>200000000</v>
      </c>
      <c r="F3866" s="3435">
        <f t="shared" si="294"/>
        <v>100</v>
      </c>
      <c r="G3866" s="2679">
        <f>G3867</f>
        <v>100</v>
      </c>
      <c r="H3866" s="1462"/>
    </row>
    <row r="3867" spans="2:8" ht="17.25" hidden="1" customHeight="1" x14ac:dyDescent="0.25">
      <c r="B3867" s="439"/>
      <c r="C3867" s="2621" t="s">
        <v>2533</v>
      </c>
      <c r="D3867" s="3704">
        <v>200000000</v>
      </c>
      <c r="E3867" s="2685">
        <v>200000000</v>
      </c>
      <c r="F3867" s="3434">
        <f t="shared" si="294"/>
        <v>100</v>
      </c>
      <c r="G3867" s="2685">
        <v>100</v>
      </c>
      <c r="H3867" s="1463"/>
    </row>
    <row r="3868" spans="2:8" ht="10.5" hidden="1" customHeight="1" x14ac:dyDescent="0.25">
      <c r="B3868" s="439"/>
      <c r="C3868" s="2621"/>
      <c r="D3868" s="3704"/>
      <c r="E3868" s="2685"/>
      <c r="F3868" s="2685"/>
      <c r="G3868" s="2685"/>
      <c r="H3868" s="1463"/>
    </row>
    <row r="3869" spans="2:8" ht="18" customHeight="1" x14ac:dyDescent="0.25">
      <c r="B3869" s="439"/>
      <c r="C3869" s="2622" t="s">
        <v>2534</v>
      </c>
      <c r="D3869" s="4291">
        <f>SUM(D3870:D3879)</f>
        <v>4138787500</v>
      </c>
      <c r="E3869" s="2873">
        <f>SUM(E3870:E3879)</f>
        <v>4138716300</v>
      </c>
      <c r="F3869" s="3435">
        <f t="shared" ref="F3869:F3879" si="295">E3869/D3869*100</f>
        <v>99.998279689401798</v>
      </c>
      <c r="G3869" s="2679">
        <f>SUM(G3870:G3879)/8</f>
        <v>100</v>
      </c>
      <c r="H3869" s="1462"/>
    </row>
    <row r="3870" spans="2:8" ht="14.25" hidden="1" customHeight="1" x14ac:dyDescent="0.25">
      <c r="B3870" s="439"/>
      <c r="C3870" s="2621" t="s">
        <v>2535</v>
      </c>
      <c r="D3870" s="3704">
        <v>400000000</v>
      </c>
      <c r="E3870" s="2685">
        <v>400000000</v>
      </c>
      <c r="F3870" s="3434">
        <f t="shared" si="295"/>
        <v>100</v>
      </c>
      <c r="G3870" s="2685">
        <v>100</v>
      </c>
      <c r="H3870" s="1463"/>
    </row>
    <row r="3871" spans="2:8" ht="14.25" hidden="1" customHeight="1" x14ac:dyDescent="0.25">
      <c r="B3871" s="439"/>
      <c r="C3871" s="2621" t="s">
        <v>2536</v>
      </c>
      <c r="D3871" s="3704">
        <v>800000000</v>
      </c>
      <c r="E3871" s="2685">
        <v>800000000</v>
      </c>
      <c r="F3871" s="3434">
        <f t="shared" si="295"/>
        <v>100</v>
      </c>
      <c r="G3871" s="2685">
        <v>100</v>
      </c>
      <c r="H3871" s="1463"/>
    </row>
    <row r="3872" spans="2:8" ht="14.25" hidden="1" customHeight="1" x14ac:dyDescent="0.25">
      <c r="B3872" s="439"/>
      <c r="C3872" s="2621" t="s">
        <v>2537</v>
      </c>
      <c r="D3872" s="3704">
        <v>360000000</v>
      </c>
      <c r="E3872" s="2685">
        <v>360000000</v>
      </c>
      <c r="F3872" s="3434">
        <f t="shared" si="295"/>
        <v>100</v>
      </c>
      <c r="G3872" s="2685">
        <v>100</v>
      </c>
      <c r="H3872" s="1463"/>
    </row>
    <row r="3873" spans="2:8" ht="14.25" hidden="1" customHeight="1" x14ac:dyDescent="0.25">
      <c r="B3873" s="439"/>
      <c r="C3873" s="2621" t="s">
        <v>2538</v>
      </c>
      <c r="D3873" s="3704">
        <v>728787500</v>
      </c>
      <c r="E3873" s="2685">
        <v>728787500</v>
      </c>
      <c r="F3873" s="3434">
        <f t="shared" si="295"/>
        <v>100</v>
      </c>
      <c r="G3873" s="2685">
        <v>100</v>
      </c>
      <c r="H3873" s="1463"/>
    </row>
    <row r="3874" spans="2:8" ht="14.25" hidden="1" customHeight="1" x14ac:dyDescent="0.25">
      <c r="B3874" s="439"/>
      <c r="C3874" s="2621" t="s">
        <v>2539</v>
      </c>
      <c r="D3874" s="3704">
        <v>150000000</v>
      </c>
      <c r="E3874" s="2685">
        <v>150000000</v>
      </c>
      <c r="F3874" s="3434">
        <f t="shared" si="295"/>
        <v>100</v>
      </c>
      <c r="G3874" s="2685">
        <v>100</v>
      </c>
      <c r="H3874" s="1463"/>
    </row>
    <row r="3875" spans="2:8" ht="14.25" hidden="1" customHeight="1" x14ac:dyDescent="0.25">
      <c r="B3875" s="439"/>
      <c r="C3875" s="2621" t="s">
        <v>2540</v>
      </c>
      <c r="D3875" s="4283" t="s">
        <v>3317</v>
      </c>
      <c r="E3875" s="3589" t="s">
        <v>3317</v>
      </c>
      <c r="F3875" s="3589" t="s">
        <v>3317</v>
      </c>
      <c r="G3875" s="3589" t="s">
        <v>3317</v>
      </c>
      <c r="H3875" s="1463"/>
    </row>
    <row r="3876" spans="2:8" ht="14.25" hidden="1" customHeight="1" x14ac:dyDescent="0.25">
      <c r="B3876" s="439"/>
      <c r="C3876" s="2621" t="s">
        <v>2541</v>
      </c>
      <c r="D3876" s="3704">
        <v>700000000</v>
      </c>
      <c r="E3876" s="2685">
        <v>699928800</v>
      </c>
      <c r="F3876" s="3434">
        <f t="shared" si="295"/>
        <v>99.989828571428575</v>
      </c>
      <c r="G3876" s="2685">
        <v>100</v>
      </c>
      <c r="H3876" s="1463"/>
    </row>
    <row r="3877" spans="2:8" ht="14.25" hidden="1" customHeight="1" x14ac:dyDescent="0.25">
      <c r="B3877" s="439"/>
      <c r="C3877" s="2621" t="s">
        <v>2542</v>
      </c>
      <c r="D3877" s="4283" t="s">
        <v>3317</v>
      </c>
      <c r="E3877" s="3589" t="s">
        <v>3317</v>
      </c>
      <c r="F3877" s="3589" t="s">
        <v>3317</v>
      </c>
      <c r="G3877" s="3589" t="s">
        <v>3317</v>
      </c>
      <c r="H3877" s="1463"/>
    </row>
    <row r="3878" spans="2:8" ht="14.25" hidden="1" customHeight="1" x14ac:dyDescent="0.25">
      <c r="B3878" s="439"/>
      <c r="C3878" s="2621" t="s">
        <v>2543</v>
      </c>
      <c r="D3878" s="3704">
        <v>600000000</v>
      </c>
      <c r="E3878" s="2685">
        <v>600000000</v>
      </c>
      <c r="F3878" s="3434">
        <f t="shared" si="295"/>
        <v>100</v>
      </c>
      <c r="G3878" s="2685">
        <v>100</v>
      </c>
      <c r="H3878" s="1463"/>
    </row>
    <row r="3879" spans="2:8" ht="14.25" hidden="1" customHeight="1" x14ac:dyDescent="0.25">
      <c r="B3879" s="439"/>
      <c r="C3879" s="2621" t="s">
        <v>2544</v>
      </c>
      <c r="D3879" s="3704">
        <v>400000000</v>
      </c>
      <c r="E3879" s="2685">
        <v>400000000</v>
      </c>
      <c r="F3879" s="3434">
        <f t="shared" si="295"/>
        <v>100</v>
      </c>
      <c r="G3879" s="2685">
        <v>100</v>
      </c>
      <c r="H3879" s="1463"/>
    </row>
    <row r="3880" spans="2:8" ht="9.75" hidden="1" customHeight="1" x14ac:dyDescent="0.25">
      <c r="B3880" s="439"/>
      <c r="C3880" s="2621"/>
      <c r="D3880" s="3704"/>
      <c r="E3880" s="2685"/>
      <c r="F3880" s="2685"/>
      <c r="G3880" s="2685"/>
      <c r="H3880" s="1463"/>
    </row>
    <row r="3881" spans="2:8" ht="17.25" customHeight="1" x14ac:dyDescent="0.25">
      <c r="B3881" s="439"/>
      <c r="C3881" s="2622" t="s">
        <v>2545</v>
      </c>
      <c r="D3881" s="4291">
        <v>0</v>
      </c>
      <c r="E3881" s="2873">
        <v>0</v>
      </c>
      <c r="F3881" s="2873">
        <v>0</v>
      </c>
      <c r="G3881" s="2873">
        <v>0</v>
      </c>
      <c r="H3881" s="1462"/>
    </row>
    <row r="3882" spans="2:8" ht="15.75" hidden="1" customHeight="1" x14ac:dyDescent="0.25">
      <c r="B3882" s="439"/>
      <c r="C3882" s="2621" t="s">
        <v>2546</v>
      </c>
      <c r="D3882" s="4286">
        <v>0</v>
      </c>
      <c r="E3882" s="2818">
        <v>0</v>
      </c>
      <c r="F3882" s="2818">
        <v>0</v>
      </c>
      <c r="G3882" s="2818">
        <v>0</v>
      </c>
      <c r="H3882" s="1463"/>
    </row>
    <row r="3883" spans="2:8" ht="14.25" hidden="1" customHeight="1" x14ac:dyDescent="0.25">
      <c r="B3883" s="441"/>
      <c r="C3883" s="2583"/>
      <c r="D3883" s="4312"/>
      <c r="E3883" s="4117"/>
      <c r="F3883" s="2911"/>
      <c r="G3883" s="2911"/>
      <c r="H3883" s="1463"/>
    </row>
    <row r="3884" spans="2:8" ht="20.25" customHeight="1" x14ac:dyDescent="0.25">
      <c r="B3884" s="440"/>
      <c r="C3884" s="2624" t="s">
        <v>398</v>
      </c>
      <c r="D3884" s="4080">
        <f>SUM(D3885+D3891+D3907+D3926+D3934+D3954+D3962+D3966+D3970)</f>
        <v>22693954250</v>
      </c>
      <c r="E3884" s="2786">
        <f>SUM(E3885+E3891+E3907+E3926+E3934+E3954+E3962+E3966+E3970)</f>
        <v>21158757280</v>
      </c>
      <c r="F3884" s="2719">
        <f>E3884/D3884*100</f>
        <v>93.235216070817629</v>
      </c>
      <c r="G3884" s="2719">
        <f>SUM(G3885+G3891+G3907+G3926+G3934+G3954+G3962+G3966+G3970)/9</f>
        <v>94.366096866096868</v>
      </c>
      <c r="H3884" s="1463"/>
    </row>
    <row r="3885" spans="2:8" ht="20.25" customHeight="1" x14ac:dyDescent="0.25">
      <c r="B3885" s="441"/>
      <c r="C3885" s="2538" t="s">
        <v>91</v>
      </c>
      <c r="D3885" s="4311">
        <f>SUM(D3886:D3889)</f>
        <v>315892150</v>
      </c>
      <c r="E3885" s="2824">
        <f>SUM(E3886:E3889)</f>
        <v>315892150</v>
      </c>
      <c r="F3885" s="3435">
        <f>E3885/D3885*100</f>
        <v>100</v>
      </c>
      <c r="G3885" s="2900">
        <f>SUM(G3886:G3889)/3</f>
        <v>100</v>
      </c>
      <c r="H3885" s="1463"/>
    </row>
    <row r="3886" spans="2:8" ht="14.25" hidden="1" customHeight="1" x14ac:dyDescent="0.25">
      <c r="B3886" s="441"/>
      <c r="C3886" s="2524" t="s">
        <v>2547</v>
      </c>
      <c r="D3886" s="4066">
        <v>109038700</v>
      </c>
      <c r="E3886" s="3434">
        <v>109038700</v>
      </c>
      <c r="F3886" s="3434">
        <f>E3886/D3886*100</f>
        <v>100</v>
      </c>
      <c r="G3886" s="2685">
        <v>100</v>
      </c>
      <c r="H3886" s="1463"/>
    </row>
    <row r="3887" spans="2:8" ht="14.25" hidden="1" customHeight="1" x14ac:dyDescent="0.25">
      <c r="B3887" s="441"/>
      <c r="C3887" s="2585" t="s">
        <v>2548</v>
      </c>
      <c r="D3887" s="4301">
        <v>100814750</v>
      </c>
      <c r="E3887" s="2804">
        <v>100814750</v>
      </c>
      <c r="F3887" s="3434">
        <f t="shared" ref="F3887:F3889" si="296">E3887/D3887*100</f>
        <v>100</v>
      </c>
      <c r="G3887" s="2804">
        <v>100</v>
      </c>
      <c r="H3887" s="1463"/>
    </row>
    <row r="3888" spans="2:8" ht="14.25" hidden="1" customHeight="1" x14ac:dyDescent="0.25">
      <c r="B3888" s="441"/>
      <c r="C3888" s="2577" t="s">
        <v>2549</v>
      </c>
      <c r="D3888" s="4066" t="s">
        <v>3317</v>
      </c>
      <c r="E3888" s="2688" t="s">
        <v>3317</v>
      </c>
      <c r="F3888" s="2688" t="s">
        <v>3317</v>
      </c>
      <c r="G3888" s="2688" t="s">
        <v>3317</v>
      </c>
      <c r="H3888" s="1463"/>
    </row>
    <row r="3889" spans="2:8" ht="14.25" hidden="1" customHeight="1" x14ac:dyDescent="0.25">
      <c r="B3889" s="441"/>
      <c r="C3889" s="2577" t="s">
        <v>2550</v>
      </c>
      <c r="D3889" s="4066">
        <v>106038700</v>
      </c>
      <c r="E3889" s="2688">
        <v>106038700</v>
      </c>
      <c r="F3889" s="3434">
        <f t="shared" si="296"/>
        <v>100</v>
      </c>
      <c r="G3889" s="2685">
        <v>100</v>
      </c>
      <c r="H3889" s="1463"/>
    </row>
    <row r="3890" spans="2:8" ht="9" hidden="1" customHeight="1" x14ac:dyDescent="0.25">
      <c r="B3890" s="441"/>
      <c r="C3890" s="2585"/>
      <c r="D3890" s="4301"/>
      <c r="E3890" s="4118"/>
      <c r="F3890" s="2830"/>
      <c r="G3890" s="2830"/>
      <c r="H3890" s="1463"/>
    </row>
    <row r="3891" spans="2:8" ht="18" customHeight="1" x14ac:dyDescent="0.25">
      <c r="B3891" s="441"/>
      <c r="C3891" s="2525" t="s">
        <v>93</v>
      </c>
      <c r="D3891" s="4065">
        <f>SUM(D3892:D3905)</f>
        <v>6136792100</v>
      </c>
      <c r="E3891" s="2695">
        <f>SUM(E3892:E3905)</f>
        <v>5358892050</v>
      </c>
      <c r="F3891" s="3435">
        <f>E3891/D3891*100</f>
        <v>87.323995381886903</v>
      </c>
      <c r="G3891" s="2679">
        <f>SUM(G3892:G3905)/13</f>
        <v>83.461538461538467</v>
      </c>
      <c r="H3891" s="1463"/>
    </row>
    <row r="3892" spans="2:8" ht="14.25" hidden="1" customHeight="1" x14ac:dyDescent="0.25">
      <c r="B3892" s="441"/>
      <c r="C3892" s="2524" t="s">
        <v>2551</v>
      </c>
      <c r="D3892" s="4066">
        <v>225000000</v>
      </c>
      <c r="E3892" s="2804">
        <v>225000000</v>
      </c>
      <c r="F3892" s="3434">
        <f>E3892/D3892*100</f>
        <v>100</v>
      </c>
      <c r="G3892" s="2804">
        <v>100</v>
      </c>
      <c r="H3892" s="1463"/>
    </row>
    <row r="3893" spans="2:8" ht="14.25" hidden="1" customHeight="1" x14ac:dyDescent="0.25">
      <c r="B3893" s="441"/>
      <c r="C3893" s="2524" t="s">
        <v>2552</v>
      </c>
      <c r="D3893" s="4357">
        <v>0</v>
      </c>
      <c r="E3893" s="3434">
        <v>0</v>
      </c>
      <c r="F3893" s="3434">
        <v>0</v>
      </c>
      <c r="G3893" s="3434">
        <v>0</v>
      </c>
      <c r="H3893" s="1463"/>
    </row>
    <row r="3894" spans="2:8" ht="14.25" hidden="1" customHeight="1" x14ac:dyDescent="0.25">
      <c r="B3894" s="441"/>
      <c r="C3894" s="2524" t="s">
        <v>2553</v>
      </c>
      <c r="D3894" s="4066">
        <v>125000000</v>
      </c>
      <c r="E3894" s="2804">
        <v>125000000</v>
      </c>
      <c r="F3894" s="3434">
        <f>E3894/D3894*100</f>
        <v>100</v>
      </c>
      <c r="G3894" s="2804">
        <v>100</v>
      </c>
      <c r="H3894" s="1463"/>
    </row>
    <row r="3895" spans="2:8" ht="14.25" hidden="1" customHeight="1" x14ac:dyDescent="0.25">
      <c r="B3895" s="441"/>
      <c r="C3895" s="2524" t="s">
        <v>2554</v>
      </c>
      <c r="D3895" s="4066">
        <v>100000000</v>
      </c>
      <c r="E3895" s="3434">
        <v>99999950</v>
      </c>
      <c r="F3895" s="3434">
        <f>E3895/D3895*100</f>
        <v>99.999949999999998</v>
      </c>
      <c r="G3895" s="2685">
        <v>100</v>
      </c>
      <c r="H3895" s="1463"/>
    </row>
    <row r="3896" spans="2:8" ht="14.25" hidden="1" customHeight="1" x14ac:dyDescent="0.25">
      <c r="B3896" s="441"/>
      <c r="C3896" s="2524" t="s">
        <v>2555</v>
      </c>
      <c r="D3896" s="4066">
        <v>1150000000</v>
      </c>
      <c r="E3896" s="3434">
        <v>1150000000</v>
      </c>
      <c r="F3896" s="3434">
        <f t="shared" ref="F3896:F3903" si="297">E3896/D3896*100</f>
        <v>100</v>
      </c>
      <c r="G3896" s="2685">
        <v>100</v>
      </c>
      <c r="H3896" s="1463"/>
    </row>
    <row r="3897" spans="2:8" ht="14.25" hidden="1" customHeight="1" x14ac:dyDescent="0.25">
      <c r="B3897" s="441"/>
      <c r="C3897" s="2524" t="s">
        <v>2556</v>
      </c>
      <c r="D3897" s="4066">
        <v>300000000</v>
      </c>
      <c r="E3897" s="3434">
        <v>97650000</v>
      </c>
      <c r="F3897" s="3434">
        <f>E3897/D3897*100</f>
        <v>32.550000000000004</v>
      </c>
      <c r="G3897" s="2685">
        <v>25</v>
      </c>
      <c r="H3897" s="1463"/>
    </row>
    <row r="3898" spans="2:8" ht="14.25" hidden="1" customHeight="1" x14ac:dyDescent="0.25">
      <c r="B3898" s="441"/>
      <c r="C3898" s="2524" t="s">
        <v>2557</v>
      </c>
      <c r="D3898" s="4066">
        <v>1302230000</v>
      </c>
      <c r="E3898" s="3434">
        <v>1302230000</v>
      </c>
      <c r="F3898" s="3434">
        <f t="shared" si="297"/>
        <v>100</v>
      </c>
      <c r="G3898" s="2685">
        <v>100</v>
      </c>
      <c r="H3898" s="1463"/>
    </row>
    <row r="3899" spans="2:8" ht="14.25" hidden="1" customHeight="1" x14ac:dyDescent="0.25">
      <c r="B3899" s="441"/>
      <c r="C3899" s="2524" t="s">
        <v>2558</v>
      </c>
      <c r="D3899" s="4066">
        <v>200000000</v>
      </c>
      <c r="E3899" s="3434">
        <v>200000000</v>
      </c>
      <c r="F3899" s="3434">
        <f t="shared" si="297"/>
        <v>100</v>
      </c>
      <c r="G3899" s="2685">
        <v>100</v>
      </c>
      <c r="H3899" s="1463"/>
    </row>
    <row r="3900" spans="2:8" ht="14.25" hidden="1" customHeight="1" x14ac:dyDescent="0.25">
      <c r="B3900" s="441"/>
      <c r="C3900" s="2524" t="s">
        <v>2559</v>
      </c>
      <c r="D3900" s="4066">
        <v>180300000</v>
      </c>
      <c r="E3900" s="2855">
        <v>180300000</v>
      </c>
      <c r="F3900" s="3434">
        <f t="shared" si="297"/>
        <v>100</v>
      </c>
      <c r="G3900" s="2855">
        <v>100</v>
      </c>
      <c r="H3900" s="1463"/>
    </row>
    <row r="3901" spans="2:8" ht="14.25" hidden="1" customHeight="1" x14ac:dyDescent="0.25">
      <c r="B3901" s="441"/>
      <c r="C3901" s="2524" t="s">
        <v>2560</v>
      </c>
      <c r="D3901" s="4066">
        <v>140820000</v>
      </c>
      <c r="E3901" s="2855">
        <v>140820000</v>
      </c>
      <c r="F3901" s="3434">
        <f t="shared" si="297"/>
        <v>100</v>
      </c>
      <c r="G3901" s="2855">
        <v>100</v>
      </c>
      <c r="H3901" s="1463"/>
    </row>
    <row r="3902" spans="2:8" ht="14.25" hidden="1" customHeight="1" x14ac:dyDescent="0.25">
      <c r="B3902" s="441"/>
      <c r="C3902" s="2524" t="s">
        <v>2561</v>
      </c>
      <c r="D3902" s="4066">
        <v>355742100</v>
      </c>
      <c r="E3902" s="2855">
        <v>123742100</v>
      </c>
      <c r="F3902" s="3434">
        <f t="shared" si="297"/>
        <v>34.784215868743111</v>
      </c>
      <c r="G3902" s="2855">
        <v>30</v>
      </c>
      <c r="H3902" s="1463"/>
    </row>
    <row r="3903" spans="2:8" ht="14.25" hidden="1" customHeight="1" x14ac:dyDescent="0.25">
      <c r="B3903" s="441"/>
      <c r="C3903" s="2524" t="s">
        <v>2562</v>
      </c>
      <c r="D3903" s="4066">
        <v>500000000</v>
      </c>
      <c r="E3903" s="2855">
        <v>156450000</v>
      </c>
      <c r="F3903" s="3434">
        <f t="shared" si="297"/>
        <v>31.290000000000003</v>
      </c>
      <c r="G3903" s="2855">
        <v>30</v>
      </c>
      <c r="H3903" s="1463"/>
    </row>
    <row r="3904" spans="2:8" ht="14.25" hidden="1" customHeight="1" x14ac:dyDescent="0.25">
      <c r="B3904" s="441"/>
      <c r="C3904" s="2577" t="s">
        <v>2563</v>
      </c>
      <c r="D3904" s="4301">
        <v>143600000</v>
      </c>
      <c r="E3904" s="4114">
        <v>143600000</v>
      </c>
      <c r="F3904" s="3434">
        <f>E3904/D3904*100</f>
        <v>100</v>
      </c>
      <c r="G3904" s="2685">
        <v>100</v>
      </c>
      <c r="H3904" s="1463"/>
    </row>
    <row r="3905" spans="2:8" ht="14.25" hidden="1" customHeight="1" x14ac:dyDescent="0.25">
      <c r="B3905" s="441"/>
      <c r="C3905" s="2577" t="s">
        <v>2564</v>
      </c>
      <c r="D3905" s="4066">
        <v>1414100000</v>
      </c>
      <c r="E3905" s="2855">
        <v>1414100000</v>
      </c>
      <c r="F3905" s="3434">
        <f>E3905/D3905*100</f>
        <v>100</v>
      </c>
      <c r="G3905" s="2855">
        <v>100</v>
      </c>
      <c r="H3905" s="1463"/>
    </row>
    <row r="3906" spans="2:8" ht="9.75" hidden="1" customHeight="1" x14ac:dyDescent="0.25">
      <c r="B3906" s="444"/>
      <c r="C3906" s="2585"/>
      <c r="D3906" s="4301"/>
      <c r="E3906" s="4119"/>
      <c r="F3906" s="2685"/>
      <c r="G3906" s="2685"/>
      <c r="H3906" s="1463"/>
    </row>
    <row r="3907" spans="2:8" ht="14.25" customHeight="1" x14ac:dyDescent="0.25">
      <c r="B3907" s="441"/>
      <c r="C3907" s="2525" t="s">
        <v>2565</v>
      </c>
      <c r="D3907" s="4065">
        <f>SUM(D3908:D3924)</f>
        <v>3079120000</v>
      </c>
      <c r="E3907" s="2695">
        <f>SUM(E3908:E3924)</f>
        <v>3079086700</v>
      </c>
      <c r="F3907" s="3435">
        <f>E3907/D3907*100</f>
        <v>99.99891852217516</v>
      </c>
      <c r="G3907" s="2679">
        <f>SUM(G3908:G3924)/14</f>
        <v>100</v>
      </c>
      <c r="H3907" s="1463"/>
    </row>
    <row r="3908" spans="2:8" ht="14.25" hidden="1" customHeight="1" x14ac:dyDescent="0.25">
      <c r="B3908" s="441"/>
      <c r="C3908" s="2524" t="s">
        <v>2566</v>
      </c>
      <c r="D3908" s="4066">
        <v>550000000</v>
      </c>
      <c r="E3908" s="2685">
        <v>549966700</v>
      </c>
      <c r="F3908" s="3434">
        <f>E3908/D3908*100</f>
        <v>99.993945454545454</v>
      </c>
      <c r="G3908" s="2685">
        <v>100</v>
      </c>
      <c r="H3908" s="1463"/>
    </row>
    <row r="3909" spans="2:8" ht="14.25" hidden="1" customHeight="1" x14ac:dyDescent="0.25">
      <c r="B3909" s="441"/>
      <c r="C3909" s="2524" t="s">
        <v>2567</v>
      </c>
      <c r="D3909" s="4066">
        <v>50000000</v>
      </c>
      <c r="E3909" s="2685">
        <v>50000000</v>
      </c>
      <c r="F3909" s="3434">
        <f t="shared" ref="F3909:F3910" si="298">E3909/D3909*100</f>
        <v>100</v>
      </c>
      <c r="G3909" s="2685">
        <v>100</v>
      </c>
      <c r="H3909" s="1463"/>
    </row>
    <row r="3910" spans="2:8" ht="14.25" hidden="1" customHeight="1" x14ac:dyDescent="0.25">
      <c r="B3910" s="441"/>
      <c r="C3910" s="2524" t="s">
        <v>2568</v>
      </c>
      <c r="D3910" s="4066">
        <v>100000000</v>
      </c>
      <c r="E3910" s="2685">
        <v>100000000</v>
      </c>
      <c r="F3910" s="3434">
        <f t="shared" si="298"/>
        <v>100</v>
      </c>
      <c r="G3910" s="2685">
        <v>100</v>
      </c>
      <c r="H3910" s="1463"/>
    </row>
    <row r="3911" spans="2:8" ht="14.25" hidden="1" customHeight="1" x14ac:dyDescent="0.25">
      <c r="B3911" s="441"/>
      <c r="C3911" s="2524" t="s">
        <v>2569</v>
      </c>
      <c r="D3911" s="4066">
        <v>0</v>
      </c>
      <c r="E3911" s="2690">
        <v>0</v>
      </c>
      <c r="F3911" s="2690">
        <v>0</v>
      </c>
      <c r="G3911" s="2690">
        <v>0</v>
      </c>
      <c r="H3911" s="1463"/>
    </row>
    <row r="3912" spans="2:8" ht="14.25" hidden="1" customHeight="1" x14ac:dyDescent="0.25">
      <c r="B3912" s="441"/>
      <c r="C3912" s="2524" t="s">
        <v>3410</v>
      </c>
      <c r="D3912" s="4066">
        <v>0</v>
      </c>
      <c r="E3912" s="2690">
        <v>0</v>
      </c>
      <c r="F3912" s="2690">
        <v>0</v>
      </c>
      <c r="G3912" s="2690">
        <v>0</v>
      </c>
      <c r="H3912" s="1463"/>
    </row>
    <row r="3913" spans="2:8" ht="14.25" hidden="1" customHeight="1" x14ac:dyDescent="0.25">
      <c r="B3913" s="441"/>
      <c r="C3913" s="2524" t="s">
        <v>2570</v>
      </c>
      <c r="D3913" s="4066">
        <v>100000000</v>
      </c>
      <c r="E3913" s="2685">
        <v>100000000</v>
      </c>
      <c r="F3913" s="3434">
        <f t="shared" ref="F3913:F3924" si="299">E3913/D3913*100</f>
        <v>100</v>
      </c>
      <c r="G3913" s="2685">
        <v>100</v>
      </c>
      <c r="H3913" s="1463"/>
    </row>
    <row r="3914" spans="2:8" ht="14.25" hidden="1" customHeight="1" x14ac:dyDescent="0.25">
      <c r="B3914" s="441"/>
      <c r="C3914" s="2524" t="s">
        <v>2571</v>
      </c>
      <c r="D3914" s="4066">
        <v>100000000</v>
      </c>
      <c r="E3914" s="2685">
        <v>100000000</v>
      </c>
      <c r="F3914" s="3434">
        <f t="shared" si="299"/>
        <v>100</v>
      </c>
      <c r="G3914" s="2685">
        <v>100</v>
      </c>
      <c r="H3914" s="1463"/>
    </row>
    <row r="3915" spans="2:8" ht="14.25" hidden="1" customHeight="1" x14ac:dyDescent="0.25">
      <c r="B3915" s="441"/>
      <c r="C3915" s="2524" t="s">
        <v>2572</v>
      </c>
      <c r="D3915" s="4066">
        <v>100000000</v>
      </c>
      <c r="E3915" s="2685">
        <v>100000000</v>
      </c>
      <c r="F3915" s="3434">
        <f t="shared" si="299"/>
        <v>100</v>
      </c>
      <c r="G3915" s="2685">
        <v>100</v>
      </c>
      <c r="H3915" s="1463"/>
    </row>
    <row r="3916" spans="2:8" ht="14.25" hidden="1" customHeight="1" x14ac:dyDescent="0.25">
      <c r="B3916" s="441"/>
      <c r="C3916" s="2524" t="s">
        <v>2573</v>
      </c>
      <c r="D3916" s="4066">
        <v>250000000</v>
      </c>
      <c r="E3916" s="2685">
        <v>250000000</v>
      </c>
      <c r="F3916" s="3434">
        <f t="shared" si="299"/>
        <v>100</v>
      </c>
      <c r="G3916" s="2685">
        <v>100</v>
      </c>
      <c r="H3916" s="1463"/>
    </row>
    <row r="3917" spans="2:8" ht="14.25" hidden="1" customHeight="1" x14ac:dyDescent="0.25">
      <c r="B3917" s="441"/>
      <c r="C3917" s="2524" t="s">
        <v>2574</v>
      </c>
      <c r="D3917" s="4066">
        <v>959120000</v>
      </c>
      <c r="E3917" s="2685">
        <v>959120000</v>
      </c>
      <c r="F3917" s="3434">
        <f t="shared" si="299"/>
        <v>100</v>
      </c>
      <c r="G3917" s="2685">
        <v>100</v>
      </c>
      <c r="H3917" s="1463"/>
    </row>
    <row r="3918" spans="2:8" ht="14.25" hidden="1" customHeight="1" x14ac:dyDescent="0.25">
      <c r="B3918" s="441"/>
      <c r="C3918" s="2524" t="s">
        <v>2575</v>
      </c>
      <c r="D3918" s="4066">
        <v>150000000</v>
      </c>
      <c r="E3918" s="2685">
        <v>150000000</v>
      </c>
      <c r="F3918" s="3434">
        <f t="shared" si="299"/>
        <v>100</v>
      </c>
      <c r="G3918" s="2685">
        <v>100</v>
      </c>
      <c r="H3918" s="1463"/>
    </row>
    <row r="3919" spans="2:8" ht="14.25" hidden="1" customHeight="1" x14ac:dyDescent="0.25">
      <c r="B3919" s="441"/>
      <c r="C3919" s="2524" t="s">
        <v>2576</v>
      </c>
      <c r="D3919" s="4066">
        <v>250000000</v>
      </c>
      <c r="E3919" s="2685">
        <v>250000000</v>
      </c>
      <c r="F3919" s="3434">
        <f t="shared" si="299"/>
        <v>100</v>
      </c>
      <c r="G3919" s="2685">
        <v>100</v>
      </c>
      <c r="H3919" s="1463"/>
    </row>
    <row r="3920" spans="2:8" ht="14.25" hidden="1" customHeight="1" x14ac:dyDescent="0.25">
      <c r="B3920" s="441"/>
      <c r="C3920" s="2524" t="s">
        <v>3993</v>
      </c>
      <c r="D3920" s="4066">
        <v>0</v>
      </c>
      <c r="E3920" s="2690">
        <v>0</v>
      </c>
      <c r="F3920" s="2690">
        <v>0</v>
      </c>
      <c r="G3920" s="2690">
        <v>0</v>
      </c>
      <c r="H3920" s="1463"/>
    </row>
    <row r="3921" spans="2:8" ht="18" hidden="1" customHeight="1" x14ac:dyDescent="0.25">
      <c r="B3921" s="441"/>
      <c r="C3921" s="2524" t="s">
        <v>3994</v>
      </c>
      <c r="D3921" s="4066">
        <v>55500000</v>
      </c>
      <c r="E3921" s="2685">
        <v>55500000</v>
      </c>
      <c r="F3921" s="3434">
        <f t="shared" si="299"/>
        <v>100</v>
      </c>
      <c r="G3921" s="2685">
        <v>100</v>
      </c>
      <c r="H3921" s="1463"/>
    </row>
    <row r="3922" spans="2:8" ht="13.5" hidden="1" customHeight="1" x14ac:dyDescent="0.25">
      <c r="B3922" s="441"/>
      <c r="C3922" s="2524" t="s">
        <v>3995</v>
      </c>
      <c r="D3922" s="4066">
        <v>150000000</v>
      </c>
      <c r="E3922" s="2685">
        <v>150000000</v>
      </c>
      <c r="F3922" s="3434">
        <f t="shared" si="299"/>
        <v>100</v>
      </c>
      <c r="G3922" s="2685">
        <v>100</v>
      </c>
      <c r="H3922" s="1463"/>
    </row>
    <row r="3923" spans="2:8" ht="14.25" hidden="1" customHeight="1" x14ac:dyDescent="0.25">
      <c r="B3923" s="441"/>
      <c r="C3923" s="2524" t="s">
        <v>3996</v>
      </c>
      <c r="D3923" s="4066">
        <v>150000000</v>
      </c>
      <c r="E3923" s="2685">
        <v>150000000</v>
      </c>
      <c r="F3923" s="3434">
        <f t="shared" si="299"/>
        <v>100</v>
      </c>
      <c r="G3923" s="2685">
        <v>100</v>
      </c>
      <c r="H3923" s="1463"/>
    </row>
    <row r="3924" spans="2:8" ht="14.25" hidden="1" customHeight="1" x14ac:dyDescent="0.25">
      <c r="B3924" s="441"/>
      <c r="C3924" s="2524" t="s">
        <v>3997</v>
      </c>
      <c r="D3924" s="4066">
        <v>114500000</v>
      </c>
      <c r="E3924" s="2685">
        <v>114500000</v>
      </c>
      <c r="F3924" s="3434">
        <f t="shared" si="299"/>
        <v>100</v>
      </c>
      <c r="G3924" s="2685">
        <v>100</v>
      </c>
      <c r="H3924" s="1463"/>
    </row>
    <row r="3925" spans="2:8" ht="9" hidden="1" customHeight="1" x14ac:dyDescent="0.25">
      <c r="B3925" s="441"/>
      <c r="C3925" s="2524"/>
      <c r="D3925" s="4066"/>
      <c r="E3925" s="2685"/>
      <c r="F3925" s="2685"/>
      <c r="G3925" s="2685"/>
      <c r="H3925" s="1463"/>
    </row>
    <row r="3926" spans="2:8" ht="14.25" customHeight="1" x14ac:dyDescent="0.25">
      <c r="B3926" s="441"/>
      <c r="C3926" s="2525" t="s">
        <v>1296</v>
      </c>
      <c r="D3926" s="4065">
        <f>SUM(D3927:D3932)</f>
        <v>830000000</v>
      </c>
      <c r="E3926" s="2695">
        <f>SUM(E3927:E3932)</f>
        <v>830000000</v>
      </c>
      <c r="F3926" s="2679">
        <f>E3926/D3926*100</f>
        <v>100</v>
      </c>
      <c r="G3926" s="2679">
        <f>SUM(G3927:G3932)/6</f>
        <v>100</v>
      </c>
      <c r="H3926" s="1463"/>
    </row>
    <row r="3927" spans="2:8" ht="15.75" hidden="1" customHeight="1" x14ac:dyDescent="0.25">
      <c r="B3927" s="441"/>
      <c r="C3927" s="2524" t="s">
        <v>2577</v>
      </c>
      <c r="D3927" s="3704">
        <v>80000000</v>
      </c>
      <c r="E3927" s="2855">
        <v>80000000</v>
      </c>
      <c r="F3927" s="3434">
        <f t="shared" ref="F3927:F3928" si="300">E3927/D3927*100</f>
        <v>100</v>
      </c>
      <c r="G3927" s="2804">
        <v>100</v>
      </c>
      <c r="H3927" s="1463"/>
    </row>
    <row r="3928" spans="2:8" ht="15" hidden="1" customHeight="1" x14ac:dyDescent="0.25">
      <c r="B3928" s="441"/>
      <c r="C3928" s="2524" t="s">
        <v>2578</v>
      </c>
      <c r="D3928" s="3704">
        <v>70000000</v>
      </c>
      <c r="E3928" s="2855">
        <v>70000000</v>
      </c>
      <c r="F3928" s="3434">
        <f t="shared" si="300"/>
        <v>100</v>
      </c>
      <c r="G3928" s="2804">
        <v>100</v>
      </c>
      <c r="H3928" s="1463"/>
    </row>
    <row r="3929" spans="2:8" ht="16.5" hidden="1" customHeight="1" x14ac:dyDescent="0.25">
      <c r="B3929" s="441"/>
      <c r="C3929" s="2524" t="s">
        <v>2579</v>
      </c>
      <c r="D3929" s="3704">
        <v>300000000</v>
      </c>
      <c r="E3929" s="3216">
        <v>300000000</v>
      </c>
      <c r="F3929" s="2685">
        <f>E3929/D3929*100</f>
        <v>100</v>
      </c>
      <c r="G3929" s="2685">
        <v>100</v>
      </c>
      <c r="H3929" s="1463"/>
    </row>
    <row r="3930" spans="2:8" ht="15.75" hidden="1" customHeight="1" x14ac:dyDescent="0.25">
      <c r="B3930" s="441"/>
      <c r="C3930" s="2524" t="s">
        <v>2580</v>
      </c>
      <c r="D3930" s="3704">
        <v>150000000</v>
      </c>
      <c r="E3930" s="2855">
        <v>150000000</v>
      </c>
      <c r="F3930" s="2685">
        <f t="shared" ref="F3930:F3932" si="301">E3930/D3930*100</f>
        <v>100</v>
      </c>
      <c r="G3930" s="2685">
        <v>100</v>
      </c>
      <c r="H3930" s="1463"/>
    </row>
    <row r="3931" spans="2:8" ht="14.25" hidden="1" customHeight="1" x14ac:dyDescent="0.25">
      <c r="B3931" s="442"/>
      <c r="C3931" s="2581" t="s">
        <v>2581</v>
      </c>
      <c r="D3931" s="3704">
        <v>130000000</v>
      </c>
      <c r="E3931" s="3216">
        <v>130000000</v>
      </c>
      <c r="F3931" s="2685">
        <f t="shared" si="301"/>
        <v>100</v>
      </c>
      <c r="G3931" s="2685">
        <v>100</v>
      </c>
      <c r="H3931" s="3715"/>
    </row>
    <row r="3932" spans="2:8" ht="14.25" hidden="1" customHeight="1" x14ac:dyDescent="0.25">
      <c r="B3932" s="442"/>
      <c r="C3932" s="2581" t="s">
        <v>2582</v>
      </c>
      <c r="D3932" s="3704">
        <v>100000000</v>
      </c>
      <c r="E3932" s="2855">
        <v>100000000</v>
      </c>
      <c r="F3932" s="2685">
        <f t="shared" si="301"/>
        <v>100</v>
      </c>
      <c r="G3932" s="2685">
        <v>100</v>
      </c>
      <c r="H3932" s="3715"/>
    </row>
    <row r="3933" spans="2:8" ht="9" hidden="1" customHeight="1" x14ac:dyDescent="0.25">
      <c r="B3933" s="441"/>
      <c r="C3933" s="2592"/>
      <c r="D3933" s="4072"/>
      <c r="E3933" s="2722"/>
      <c r="F3933" s="2722"/>
      <c r="G3933" s="2722"/>
      <c r="H3933" s="1463"/>
    </row>
    <row r="3934" spans="2:8" ht="14.25" customHeight="1" x14ac:dyDescent="0.25">
      <c r="B3934" s="441"/>
      <c r="C3934" s="2525" t="s">
        <v>2583</v>
      </c>
      <c r="D3934" s="4065">
        <f>SUM(D3935:D3952)</f>
        <v>2350000000</v>
      </c>
      <c r="E3934" s="2695">
        <f>SUM(E3935:E3952)</f>
        <v>2349898900</v>
      </c>
      <c r="F3934" s="2679">
        <f>E3934/D3934*100</f>
        <v>99.995697872340429</v>
      </c>
      <c r="G3934" s="2679">
        <f>SUM(G3935:G3952)/18</f>
        <v>100</v>
      </c>
      <c r="H3934" s="1463"/>
    </row>
    <row r="3935" spans="2:8" ht="14.25" hidden="1" customHeight="1" x14ac:dyDescent="0.25">
      <c r="B3935" s="441"/>
      <c r="C3935" s="2524" t="s">
        <v>2584</v>
      </c>
      <c r="D3935" s="4066">
        <v>50000000</v>
      </c>
      <c r="E3935" s="2685">
        <v>50000000</v>
      </c>
      <c r="F3935" s="2685">
        <f>E3935/D3935*100</f>
        <v>100</v>
      </c>
      <c r="G3935" s="2685">
        <v>100</v>
      </c>
      <c r="H3935" s="1463"/>
    </row>
    <row r="3936" spans="2:8" ht="14.25" hidden="1" customHeight="1" x14ac:dyDescent="0.25">
      <c r="B3936" s="441"/>
      <c r="C3936" s="2524" t="s">
        <v>2585</v>
      </c>
      <c r="D3936" s="4066">
        <v>150000000</v>
      </c>
      <c r="E3936" s="2685">
        <v>150000000</v>
      </c>
      <c r="F3936" s="2685">
        <f>E3936/D3936*100</f>
        <v>100</v>
      </c>
      <c r="G3936" s="2685">
        <v>100</v>
      </c>
      <c r="H3936" s="1463"/>
    </row>
    <row r="3937" spans="2:8" ht="14.25" hidden="1" customHeight="1" x14ac:dyDescent="0.25">
      <c r="B3937" s="441"/>
      <c r="C3937" s="2524" t="s">
        <v>2586</v>
      </c>
      <c r="D3937" s="4066">
        <v>50000000</v>
      </c>
      <c r="E3937" s="2685">
        <v>50000000</v>
      </c>
      <c r="F3937" s="2685">
        <f>E3937/D3937*100</f>
        <v>100</v>
      </c>
      <c r="G3937" s="2685">
        <v>100</v>
      </c>
      <c r="H3937" s="1463"/>
    </row>
    <row r="3938" spans="2:8" ht="14.25" hidden="1" customHeight="1" x14ac:dyDescent="0.25">
      <c r="B3938" s="441"/>
      <c r="C3938" s="2524" t="s">
        <v>2587</v>
      </c>
      <c r="D3938" s="4066">
        <v>150000000</v>
      </c>
      <c r="E3938" s="2685">
        <v>150000000</v>
      </c>
      <c r="F3938" s="2685">
        <f>E3938/D3938*100</f>
        <v>100</v>
      </c>
      <c r="G3938" s="2685">
        <v>100</v>
      </c>
      <c r="H3938" s="1463"/>
    </row>
    <row r="3939" spans="2:8" ht="14.25" hidden="1" customHeight="1" x14ac:dyDescent="0.25">
      <c r="B3939" s="441"/>
      <c r="C3939" s="2524" t="s">
        <v>2588</v>
      </c>
      <c r="D3939" s="4066">
        <v>150000000</v>
      </c>
      <c r="E3939" s="2685">
        <v>150000000</v>
      </c>
      <c r="F3939" s="2685">
        <f t="shared" ref="F3939:F3941" si="302">E3939/D3939*100</f>
        <v>100</v>
      </c>
      <c r="G3939" s="2685">
        <v>100</v>
      </c>
      <c r="H3939" s="1463"/>
    </row>
    <row r="3940" spans="2:8" ht="14.25" hidden="1" customHeight="1" x14ac:dyDescent="0.25">
      <c r="B3940" s="441"/>
      <c r="C3940" s="2524" t="s">
        <v>2589</v>
      </c>
      <c r="D3940" s="4066">
        <v>120000000</v>
      </c>
      <c r="E3940" s="2685">
        <v>120000000</v>
      </c>
      <c r="F3940" s="2685">
        <f t="shared" si="302"/>
        <v>100</v>
      </c>
      <c r="G3940" s="2685">
        <v>100</v>
      </c>
      <c r="H3940" s="1463"/>
    </row>
    <row r="3941" spans="2:8" ht="14.25" hidden="1" customHeight="1" x14ac:dyDescent="0.25">
      <c r="B3941" s="441"/>
      <c r="C3941" s="2524" t="s">
        <v>2590</v>
      </c>
      <c r="D3941" s="4066">
        <v>80000000</v>
      </c>
      <c r="E3941" s="2685">
        <v>80000000</v>
      </c>
      <c r="F3941" s="2685">
        <f t="shared" si="302"/>
        <v>100</v>
      </c>
      <c r="G3941" s="2685">
        <v>100</v>
      </c>
      <c r="H3941" s="1463"/>
    </row>
    <row r="3942" spans="2:8" ht="14.25" hidden="1" customHeight="1" x14ac:dyDescent="0.25">
      <c r="B3942" s="441"/>
      <c r="C3942" s="2524" t="s">
        <v>2591</v>
      </c>
      <c r="D3942" s="4066">
        <v>100000000</v>
      </c>
      <c r="E3942" s="2685">
        <v>100000000</v>
      </c>
      <c r="F3942" s="2685">
        <f>E3942/D3942*100</f>
        <v>100</v>
      </c>
      <c r="G3942" s="2685">
        <v>100</v>
      </c>
      <c r="H3942" s="1463"/>
    </row>
    <row r="3943" spans="2:8" ht="14.25" hidden="1" customHeight="1" x14ac:dyDescent="0.25">
      <c r="B3943" s="441"/>
      <c r="C3943" s="2585" t="s">
        <v>2592</v>
      </c>
      <c r="D3943" s="4301">
        <v>80000000</v>
      </c>
      <c r="E3943" s="4114">
        <v>80000000</v>
      </c>
      <c r="F3943" s="2685">
        <f>E3943/D3943*100</f>
        <v>100</v>
      </c>
      <c r="G3943" s="2685">
        <v>100</v>
      </c>
      <c r="H3943" s="1463"/>
    </row>
    <row r="3944" spans="2:8" ht="14.25" hidden="1" customHeight="1" x14ac:dyDescent="0.25">
      <c r="B3944" s="441"/>
      <c r="C3944" s="2577" t="s">
        <v>2593</v>
      </c>
      <c r="D3944" s="4066">
        <v>80000000</v>
      </c>
      <c r="E3944" s="2685">
        <v>80000000</v>
      </c>
      <c r="F3944" s="2685">
        <f t="shared" ref="F3944:F3952" si="303">E3944/D3944*100</f>
        <v>100</v>
      </c>
      <c r="G3944" s="2685">
        <v>100</v>
      </c>
      <c r="H3944" s="1463"/>
    </row>
    <row r="3945" spans="2:8" ht="14.25" hidden="1" customHeight="1" x14ac:dyDescent="0.25">
      <c r="B3945" s="441"/>
      <c r="C3945" s="2577" t="s">
        <v>2594</v>
      </c>
      <c r="D3945" s="4066">
        <v>100000000</v>
      </c>
      <c r="E3945" s="2685">
        <v>100000000</v>
      </c>
      <c r="F3945" s="2685">
        <f t="shared" si="303"/>
        <v>100</v>
      </c>
      <c r="G3945" s="2685">
        <v>100</v>
      </c>
      <c r="H3945" s="1463"/>
    </row>
    <row r="3946" spans="2:8" ht="14.25" hidden="1" customHeight="1" x14ac:dyDescent="0.25">
      <c r="B3946" s="441"/>
      <c r="C3946" s="2577" t="s">
        <v>2595</v>
      </c>
      <c r="D3946" s="4066">
        <v>160000000</v>
      </c>
      <c r="E3946" s="2685">
        <v>160000000</v>
      </c>
      <c r="F3946" s="2685">
        <f t="shared" si="303"/>
        <v>100</v>
      </c>
      <c r="G3946" s="2685">
        <v>100</v>
      </c>
      <c r="H3946" s="1463"/>
    </row>
    <row r="3947" spans="2:8" ht="14.25" hidden="1" customHeight="1" x14ac:dyDescent="0.25">
      <c r="B3947" s="441"/>
      <c r="C3947" s="2577" t="s">
        <v>2596</v>
      </c>
      <c r="D3947" s="4066">
        <v>100000000</v>
      </c>
      <c r="E3947" s="2685">
        <v>99898900</v>
      </c>
      <c r="F3947" s="2685">
        <f t="shared" si="303"/>
        <v>99.898899999999998</v>
      </c>
      <c r="G3947" s="2685">
        <v>100</v>
      </c>
      <c r="H3947" s="1463"/>
    </row>
    <row r="3948" spans="2:8" ht="14.25" hidden="1" customHeight="1" x14ac:dyDescent="0.25">
      <c r="B3948" s="441"/>
      <c r="C3948" s="2577" t="s">
        <v>2597</v>
      </c>
      <c r="D3948" s="4066">
        <v>250000000</v>
      </c>
      <c r="E3948" s="2685">
        <v>250000000</v>
      </c>
      <c r="F3948" s="2685">
        <f t="shared" si="303"/>
        <v>100</v>
      </c>
      <c r="G3948" s="2685">
        <v>100</v>
      </c>
      <c r="H3948" s="1463"/>
    </row>
    <row r="3949" spans="2:8" ht="14.25" hidden="1" customHeight="1" x14ac:dyDescent="0.25">
      <c r="B3949" s="441"/>
      <c r="C3949" s="2577" t="s">
        <v>2598</v>
      </c>
      <c r="D3949" s="4066">
        <v>150000000</v>
      </c>
      <c r="E3949" s="2685">
        <v>150000000</v>
      </c>
      <c r="F3949" s="2685">
        <f t="shared" si="303"/>
        <v>100</v>
      </c>
      <c r="G3949" s="2685">
        <v>100</v>
      </c>
      <c r="H3949" s="1463"/>
    </row>
    <row r="3950" spans="2:8" ht="14.25" hidden="1" customHeight="1" x14ac:dyDescent="0.25">
      <c r="B3950" s="441"/>
      <c r="C3950" s="2577" t="s">
        <v>2599</v>
      </c>
      <c r="D3950" s="4066">
        <v>80000000</v>
      </c>
      <c r="E3950" s="2685">
        <v>80000000</v>
      </c>
      <c r="F3950" s="2685">
        <f t="shared" si="303"/>
        <v>100</v>
      </c>
      <c r="G3950" s="2685">
        <v>100</v>
      </c>
      <c r="H3950" s="1463"/>
    </row>
    <row r="3951" spans="2:8" ht="14.25" hidden="1" customHeight="1" x14ac:dyDescent="0.25">
      <c r="B3951" s="441"/>
      <c r="C3951" s="2577" t="s">
        <v>2600</v>
      </c>
      <c r="D3951" s="4066">
        <v>250000000</v>
      </c>
      <c r="E3951" s="2685">
        <v>250000000</v>
      </c>
      <c r="F3951" s="2685">
        <f t="shared" si="303"/>
        <v>100</v>
      </c>
      <c r="G3951" s="2685">
        <v>100</v>
      </c>
      <c r="H3951" s="1463"/>
    </row>
    <row r="3952" spans="2:8" ht="14.25" hidden="1" customHeight="1" x14ac:dyDescent="0.25">
      <c r="B3952" s="441"/>
      <c r="C3952" s="2577" t="s">
        <v>2601</v>
      </c>
      <c r="D3952" s="4066">
        <v>250000000</v>
      </c>
      <c r="E3952" s="2685">
        <v>250000000</v>
      </c>
      <c r="F3952" s="2685">
        <f t="shared" si="303"/>
        <v>100</v>
      </c>
      <c r="G3952" s="2685">
        <v>100</v>
      </c>
      <c r="H3952" s="1463"/>
    </row>
    <row r="3953" spans="2:11" ht="9.75" hidden="1" customHeight="1" x14ac:dyDescent="0.25">
      <c r="B3953" s="441"/>
      <c r="C3953" s="2577"/>
      <c r="D3953" s="4301"/>
      <c r="E3953" s="4114"/>
      <c r="F3953" s="2685"/>
      <c r="G3953" s="2685"/>
      <c r="H3953" s="1463"/>
    </row>
    <row r="3954" spans="2:11" ht="31.5" customHeight="1" x14ac:dyDescent="0.25">
      <c r="B3954" s="441"/>
      <c r="C3954" s="2538" t="s">
        <v>2602</v>
      </c>
      <c r="D3954" s="4065">
        <f>SUM(D3955:D3960)</f>
        <v>3566550000</v>
      </c>
      <c r="E3954" s="2695">
        <f>SUM(E3955:E3960)</f>
        <v>2809387480</v>
      </c>
      <c r="F3954" s="2679">
        <f>E3954/D3954*100</f>
        <v>78.770449874528609</v>
      </c>
      <c r="G3954" s="2679">
        <f>SUM(G3955:G3960)/6</f>
        <v>65.833333333333329</v>
      </c>
      <c r="H3954" s="1463"/>
      <c r="J3954" s="536">
        <v>3566550000</v>
      </c>
      <c r="K3954" s="536">
        <v>2809387480</v>
      </c>
    </row>
    <row r="3955" spans="2:11" ht="17.25" hidden="1" customHeight="1" x14ac:dyDescent="0.25">
      <c r="B3955" s="441"/>
      <c r="C3955" s="2524" t="s">
        <v>2603</v>
      </c>
      <c r="D3955" s="4066">
        <v>500000000</v>
      </c>
      <c r="E3955" s="2685">
        <v>469168500</v>
      </c>
      <c r="F3955" s="2685">
        <f>E3955/D3955*100</f>
        <v>93.833699999999993</v>
      </c>
      <c r="G3955" s="2685">
        <v>100</v>
      </c>
      <c r="H3955" s="1463"/>
    </row>
    <row r="3956" spans="2:11" ht="14.25" hidden="1" customHeight="1" x14ac:dyDescent="0.25">
      <c r="B3956" s="444"/>
      <c r="C3956" s="2524" t="s">
        <v>2604</v>
      </c>
      <c r="D3956" s="4066">
        <v>167950000</v>
      </c>
      <c r="E3956" s="2685">
        <v>0</v>
      </c>
      <c r="F3956" s="2685">
        <v>0</v>
      </c>
      <c r="G3956" s="2685">
        <v>0</v>
      </c>
      <c r="H3956" s="1463"/>
    </row>
    <row r="3957" spans="2:11" ht="14.25" hidden="1" customHeight="1" x14ac:dyDescent="0.25">
      <c r="B3957" s="441"/>
      <c r="C3957" s="2524" t="s">
        <v>2605</v>
      </c>
      <c r="D3957" s="4321">
        <v>167950000</v>
      </c>
      <c r="E3957" s="3652">
        <v>44513700</v>
      </c>
      <c r="F3957" s="2685">
        <f>E3957/D3957*100</f>
        <v>26.504138136350104</v>
      </c>
      <c r="G3957" s="3652">
        <v>25</v>
      </c>
      <c r="H3957" s="1463"/>
    </row>
    <row r="3958" spans="2:11" ht="14.25" hidden="1" customHeight="1" x14ac:dyDescent="0.25">
      <c r="B3958" s="441"/>
      <c r="C3958" s="2524" t="s">
        <v>2606</v>
      </c>
      <c r="D3958" s="4066">
        <v>337950000</v>
      </c>
      <c r="E3958" s="2685">
        <v>299990000</v>
      </c>
      <c r="F3958" s="2685">
        <f>E3958/D3958*100</f>
        <v>88.767569167036541</v>
      </c>
      <c r="G3958" s="2685">
        <v>90</v>
      </c>
      <c r="H3958" s="1463"/>
    </row>
    <row r="3959" spans="2:11" ht="14.25" hidden="1" customHeight="1" x14ac:dyDescent="0.25">
      <c r="B3959" s="441"/>
      <c r="C3959" s="2524" t="s">
        <v>2607</v>
      </c>
      <c r="D3959" s="4066">
        <v>1272700000</v>
      </c>
      <c r="E3959" s="2685">
        <v>900656880</v>
      </c>
      <c r="F3959" s="2685">
        <f t="shared" ref="F3959:F3960" si="304">E3959/D3959*100</f>
        <v>70.767414158874828</v>
      </c>
      <c r="G3959" s="2685">
        <v>80</v>
      </c>
      <c r="H3959" s="1463"/>
    </row>
    <row r="3960" spans="2:11" ht="14.25" hidden="1" customHeight="1" x14ac:dyDescent="0.25">
      <c r="B3960" s="441"/>
      <c r="C3960" s="2524" t="s">
        <v>2608</v>
      </c>
      <c r="D3960" s="4066">
        <v>1120000000</v>
      </c>
      <c r="E3960" s="4114">
        <v>1095058400</v>
      </c>
      <c r="F3960" s="2685">
        <f t="shared" si="304"/>
        <v>97.773071428571427</v>
      </c>
      <c r="G3960" s="2685">
        <v>100</v>
      </c>
      <c r="H3960" s="1463"/>
    </row>
    <row r="3961" spans="2:11" ht="12.75" hidden="1" customHeight="1" x14ac:dyDescent="0.25">
      <c r="B3961" s="441"/>
      <c r="C3961" s="2585"/>
      <c r="D3961" s="4066"/>
      <c r="E3961" s="4114"/>
      <c r="F3961" s="2685"/>
      <c r="G3961" s="2685"/>
      <c r="H3961" s="1463"/>
    </row>
    <row r="3962" spans="2:11" ht="20.25" customHeight="1" x14ac:dyDescent="0.25">
      <c r="B3962" s="441"/>
      <c r="C3962" s="2525" t="s">
        <v>2609</v>
      </c>
      <c r="D3962" s="4065">
        <f>SUM(D3963:D3964)</f>
        <v>5660600000</v>
      </c>
      <c r="E3962" s="2695">
        <f>SUM(E3963:E3964)</f>
        <v>5660600000</v>
      </c>
      <c r="F3962" s="2679">
        <f>E3962/D3962*100</f>
        <v>100</v>
      </c>
      <c r="G3962" s="2679">
        <f>SUM(G3963:G3964)/2</f>
        <v>100</v>
      </c>
      <c r="H3962" s="1463"/>
    </row>
    <row r="3963" spans="2:11" ht="14.25" hidden="1" customHeight="1" x14ac:dyDescent="0.25">
      <c r="B3963" s="441"/>
      <c r="C3963" s="2524" t="s">
        <v>2610</v>
      </c>
      <c r="D3963" s="4066">
        <v>4575250000</v>
      </c>
      <c r="E3963" s="2685">
        <v>4575250000</v>
      </c>
      <c r="F3963" s="2685">
        <f>E3963/D3963*100</f>
        <v>100</v>
      </c>
      <c r="G3963" s="2685">
        <v>100</v>
      </c>
      <c r="H3963" s="1463"/>
    </row>
    <row r="3964" spans="2:11" ht="14.25" hidden="1" customHeight="1" x14ac:dyDescent="0.25">
      <c r="B3964" s="441"/>
      <c r="C3964" s="2524" t="s">
        <v>2611</v>
      </c>
      <c r="D3964" s="4066">
        <v>1085350000</v>
      </c>
      <c r="E3964" s="2685">
        <v>1085350000</v>
      </c>
      <c r="F3964" s="2685">
        <f>E3964/D3964*100</f>
        <v>100</v>
      </c>
      <c r="G3964" s="2685">
        <v>100</v>
      </c>
      <c r="H3964" s="1463"/>
    </row>
    <row r="3965" spans="2:11" ht="9" hidden="1" customHeight="1" x14ac:dyDescent="0.25">
      <c r="B3965" s="441"/>
      <c r="C3965" s="2524"/>
      <c r="D3965" s="4276"/>
      <c r="E3965" s="4115"/>
      <c r="F3965" s="3145"/>
      <c r="G3965" s="3145"/>
      <c r="H3965" s="1463"/>
    </row>
    <row r="3966" spans="2:11" ht="18.75" customHeight="1" x14ac:dyDescent="0.25">
      <c r="B3966" s="441"/>
      <c r="C3966" s="2525" t="s">
        <v>2612</v>
      </c>
      <c r="D3966" s="4065">
        <f>SUM(D3967:D3968)</f>
        <v>405000000</v>
      </c>
      <c r="E3966" s="2695">
        <f>SUM(E3967:E3968)</f>
        <v>405000000</v>
      </c>
      <c r="F3966" s="2679">
        <f>E3966/D3966*100</f>
        <v>100</v>
      </c>
      <c r="G3966" s="2679">
        <v>100</v>
      </c>
      <c r="H3966" s="1463"/>
    </row>
    <row r="3967" spans="2:11" ht="15.75" hidden="1" customHeight="1" x14ac:dyDescent="0.25">
      <c r="B3967" s="441"/>
      <c r="C3967" s="2524" t="s">
        <v>2613</v>
      </c>
      <c r="D3967" s="4066">
        <v>180000000</v>
      </c>
      <c r="E3967" s="2685">
        <v>180000000</v>
      </c>
      <c r="F3967" s="2685">
        <f>E3967/D3967*100</f>
        <v>100</v>
      </c>
      <c r="G3967" s="2685">
        <v>100</v>
      </c>
      <c r="H3967" s="1463"/>
    </row>
    <row r="3968" spans="2:11" ht="17.25" hidden="1" customHeight="1" x14ac:dyDescent="0.25">
      <c r="B3968" s="441"/>
      <c r="C3968" s="2524" t="s">
        <v>2614</v>
      </c>
      <c r="D3968" s="4066">
        <v>225000000</v>
      </c>
      <c r="E3968" s="2685">
        <v>225000000</v>
      </c>
      <c r="F3968" s="2685">
        <f>E3968/D3968*100</f>
        <v>100</v>
      </c>
      <c r="G3968" s="2685">
        <v>100</v>
      </c>
      <c r="H3968" s="1463"/>
    </row>
    <row r="3969" spans="2:8" ht="9" hidden="1" customHeight="1" x14ac:dyDescent="0.25">
      <c r="B3969" s="441"/>
      <c r="C3969" s="2528"/>
      <c r="D3969" s="4286"/>
      <c r="E3969" s="2708"/>
      <c r="F3969" s="2830"/>
      <c r="G3969" s="2830"/>
      <c r="H3969" s="1463"/>
    </row>
    <row r="3970" spans="2:8" ht="14.25" customHeight="1" x14ac:dyDescent="0.25">
      <c r="B3970" s="441"/>
      <c r="C3970" s="2525" t="s">
        <v>2615</v>
      </c>
      <c r="D3970" s="4065">
        <f>SUM(D3971:D3972)</f>
        <v>350000000</v>
      </c>
      <c r="E3970" s="2695">
        <f>SUM(E3971:E3972)</f>
        <v>350000000</v>
      </c>
      <c r="F3970" s="2679">
        <f>E3970/D3970*100</f>
        <v>100</v>
      </c>
      <c r="G3970" s="2679">
        <f>SUM(G3971:G3972)/2</f>
        <v>100</v>
      </c>
      <c r="H3970" s="1462"/>
    </row>
    <row r="3971" spans="2:8" ht="14.25" hidden="1" customHeight="1" x14ac:dyDescent="0.25">
      <c r="B3971" s="448"/>
      <c r="C3971" s="2524" t="s">
        <v>2616</v>
      </c>
      <c r="D3971" s="3704">
        <v>150000000</v>
      </c>
      <c r="E3971" s="2685">
        <v>150000000</v>
      </c>
      <c r="F3971" s="2685">
        <f>E3971/D3971*100</f>
        <v>100</v>
      </c>
      <c r="G3971" s="2685">
        <v>100</v>
      </c>
      <c r="H3971" s="3715"/>
    </row>
    <row r="3972" spans="2:8" ht="14.25" hidden="1" customHeight="1" x14ac:dyDescent="0.25">
      <c r="B3972" s="448"/>
      <c r="C3972" s="2524" t="s">
        <v>2617</v>
      </c>
      <c r="D3972" s="3704">
        <v>200000000</v>
      </c>
      <c r="E3972" s="2685">
        <v>200000000</v>
      </c>
      <c r="F3972" s="2685">
        <f>E3972/D3972*100</f>
        <v>100</v>
      </c>
      <c r="G3972" s="2685">
        <v>100</v>
      </c>
      <c r="H3972" s="3715"/>
    </row>
    <row r="3973" spans="2:8" ht="14.25" hidden="1" customHeight="1" x14ac:dyDescent="0.25">
      <c r="B3973" s="441"/>
      <c r="C3973" s="2528"/>
      <c r="D3973" s="4290"/>
      <c r="E3973" s="2830"/>
      <c r="F3973" s="2830"/>
      <c r="G3973" s="2830"/>
      <c r="H3973" s="1463"/>
    </row>
    <row r="3974" spans="2:8" ht="19.5" customHeight="1" x14ac:dyDescent="0.25">
      <c r="B3974" s="440"/>
      <c r="C3974" s="2532" t="s">
        <v>2618</v>
      </c>
      <c r="D3974" s="4106">
        <f>SUM(D3975+D3983+D3986+D3989)</f>
        <v>26966010000</v>
      </c>
      <c r="E3974" s="2672">
        <f>SUM(E3975+E3983+E3986+E3989)</f>
        <v>25942985420</v>
      </c>
      <c r="F3974" s="2719">
        <f>E3974/D3974*100</f>
        <v>96.206244156996163</v>
      </c>
      <c r="G3974" s="2672">
        <f>SUM(G3975+G3983+G3986+G3989)/4</f>
        <v>93.75</v>
      </c>
      <c r="H3974" s="1463"/>
    </row>
    <row r="3975" spans="2:8" ht="18" customHeight="1" x14ac:dyDescent="0.25">
      <c r="B3975" s="441"/>
      <c r="C3975" s="2521" t="s">
        <v>2619</v>
      </c>
      <c r="D3975" s="4072">
        <f>SUM(D3976:D3981)</f>
        <v>17619870000</v>
      </c>
      <c r="E3975" s="2734">
        <f>SUM(E3976:E3981)</f>
        <v>16846969000</v>
      </c>
      <c r="F3975" s="3435">
        <f>E3975/D3975*100</f>
        <v>95.613469338877081</v>
      </c>
      <c r="G3975" s="2734">
        <f>SUM(G3977:G3981)/4</f>
        <v>75</v>
      </c>
      <c r="H3975" s="1462"/>
    </row>
    <row r="3976" spans="2:8" ht="14.25" hidden="1" customHeight="1" x14ac:dyDescent="0.25">
      <c r="B3976" s="441"/>
      <c r="C3976" s="2533" t="s">
        <v>2620</v>
      </c>
      <c r="D3976" s="4066">
        <v>0</v>
      </c>
      <c r="E3976" s="2690">
        <v>0</v>
      </c>
      <c r="F3976" s="2690">
        <v>0</v>
      </c>
      <c r="G3976" s="2690">
        <v>0</v>
      </c>
      <c r="H3976" s="1463"/>
    </row>
    <row r="3977" spans="2:8" ht="14.25" hidden="1" customHeight="1" x14ac:dyDescent="0.25">
      <c r="B3977" s="441"/>
      <c r="C3977" s="2524" t="s">
        <v>2621</v>
      </c>
      <c r="D3977" s="4066">
        <v>2035250000</v>
      </c>
      <c r="E3977" s="2685">
        <v>1839340000</v>
      </c>
      <c r="F3977" s="2685">
        <f>E3977/D3977*100</f>
        <v>90.374155509151208</v>
      </c>
      <c r="G3977" s="2685">
        <v>100</v>
      </c>
      <c r="H3977" s="1463"/>
    </row>
    <row r="3978" spans="2:8" ht="14.25" hidden="1" customHeight="1" x14ac:dyDescent="0.25">
      <c r="B3978" s="441"/>
      <c r="C3978" s="2524" t="s">
        <v>2622</v>
      </c>
      <c r="D3978" s="4066">
        <v>4463190000</v>
      </c>
      <c r="E3978" s="2685">
        <v>4442245000</v>
      </c>
      <c r="F3978" s="2685">
        <f t="shared" ref="F3978:F3979" si="305">E3978/D3978*100</f>
        <v>99.530716819136089</v>
      </c>
      <c r="G3978" s="2685">
        <v>100</v>
      </c>
      <c r="H3978" s="1463"/>
    </row>
    <row r="3979" spans="2:8" ht="14.25" hidden="1" customHeight="1" x14ac:dyDescent="0.25">
      <c r="B3979" s="441"/>
      <c r="C3979" s="2524" t="s">
        <v>2623</v>
      </c>
      <c r="D3979" s="4066">
        <v>10621430000</v>
      </c>
      <c r="E3979" s="2685">
        <v>10565384000</v>
      </c>
      <c r="F3979" s="2685">
        <f t="shared" si="305"/>
        <v>99.472330938489449</v>
      </c>
      <c r="G3979" s="2685">
        <v>100</v>
      </c>
      <c r="H3979" s="1463"/>
    </row>
    <row r="3980" spans="2:8" ht="14.25" hidden="1" customHeight="1" x14ac:dyDescent="0.25">
      <c r="B3980" s="441"/>
      <c r="C3980" s="2524" t="s">
        <v>2624</v>
      </c>
      <c r="D3980" s="4321" t="s">
        <v>3317</v>
      </c>
      <c r="E3980" s="3652" t="s">
        <v>3317</v>
      </c>
      <c r="F3980" s="3652" t="s">
        <v>3317</v>
      </c>
      <c r="G3980" s="3652" t="s">
        <v>3317</v>
      </c>
      <c r="H3980" s="1463"/>
    </row>
    <row r="3981" spans="2:8" ht="14.25" hidden="1" customHeight="1" x14ac:dyDescent="0.25">
      <c r="B3981" s="441"/>
      <c r="C3981" s="2524" t="s">
        <v>3998</v>
      </c>
      <c r="D3981" s="4066">
        <v>500000000</v>
      </c>
      <c r="E3981" s="2685">
        <v>0</v>
      </c>
      <c r="F3981" s="2685">
        <v>0</v>
      </c>
      <c r="G3981" s="2685">
        <v>0</v>
      </c>
      <c r="H3981" s="1463"/>
    </row>
    <row r="3982" spans="2:8" ht="12" hidden="1" customHeight="1" x14ac:dyDescent="0.25">
      <c r="B3982" s="441"/>
      <c r="C3982" s="2585"/>
      <c r="D3982" s="4301"/>
      <c r="E3982" s="4114"/>
      <c r="F3982" s="2685"/>
      <c r="G3982" s="3035"/>
      <c r="H3982" s="1463"/>
    </row>
    <row r="3983" spans="2:8" ht="18.75" customHeight="1" x14ac:dyDescent="0.25">
      <c r="B3983" s="441"/>
      <c r="C3983" s="2525" t="s">
        <v>2625</v>
      </c>
      <c r="D3983" s="4065">
        <f>D3984</f>
        <v>500000000</v>
      </c>
      <c r="E3983" s="3250">
        <f>E3984</f>
        <v>484986420</v>
      </c>
      <c r="F3983" s="2679">
        <f>E3983/D3983*100</f>
        <v>96.997283999999993</v>
      </c>
      <c r="G3983" s="2695">
        <f>G3984</f>
        <v>100</v>
      </c>
      <c r="H3983" s="1463"/>
    </row>
    <row r="3984" spans="2:8" ht="14.25" hidden="1" customHeight="1" x14ac:dyDescent="0.25">
      <c r="B3984" s="441"/>
      <c r="C3984" s="2524" t="s">
        <v>2626</v>
      </c>
      <c r="D3984" s="4066">
        <v>500000000</v>
      </c>
      <c r="E3984" s="2685">
        <v>484986420</v>
      </c>
      <c r="F3984" s="2685">
        <f t="shared" ref="F3984" si="306">E3984/D3984*100</f>
        <v>96.997283999999993</v>
      </c>
      <c r="G3984" s="2685">
        <v>100</v>
      </c>
      <c r="H3984" s="1463"/>
    </row>
    <row r="3985" spans="1:11" ht="9.75" hidden="1" customHeight="1" x14ac:dyDescent="0.25">
      <c r="B3985" s="441"/>
      <c r="C3985" s="2585"/>
      <c r="D3985" s="4301"/>
      <c r="E3985" s="2685"/>
      <c r="F3985" s="2685"/>
      <c r="G3985" s="2830"/>
      <c r="H3985" s="1463"/>
    </row>
    <row r="3986" spans="1:11" ht="29.25" customHeight="1" x14ac:dyDescent="0.25">
      <c r="B3986" s="441"/>
      <c r="C3986" s="2525" t="s">
        <v>2627</v>
      </c>
      <c r="D3986" s="4065">
        <f>D3987</f>
        <v>3227900000</v>
      </c>
      <c r="E3986" s="3250">
        <f>E3987</f>
        <v>3007390000</v>
      </c>
      <c r="F3986" s="2679">
        <f>E3986/D3986*100</f>
        <v>93.16862356330742</v>
      </c>
      <c r="G3986" s="2695">
        <f>G3987</f>
        <v>100</v>
      </c>
      <c r="H3986" s="1463"/>
    </row>
    <row r="3987" spans="1:11" ht="17.25" hidden="1" customHeight="1" x14ac:dyDescent="0.25">
      <c r="B3987" s="441"/>
      <c r="C3987" s="2524" t="s">
        <v>2628</v>
      </c>
      <c r="D3987" s="4066">
        <v>3227900000</v>
      </c>
      <c r="E3987" s="4114">
        <v>3007390000</v>
      </c>
      <c r="F3987" s="2685">
        <f t="shared" ref="F3987" si="307">E3987/D3987*100</f>
        <v>93.16862356330742</v>
      </c>
      <c r="G3987" s="2690">
        <v>100</v>
      </c>
      <c r="H3987" s="1463"/>
    </row>
    <row r="3988" spans="1:11" ht="9" hidden="1" customHeight="1" x14ac:dyDescent="0.25">
      <c r="B3988" s="441"/>
      <c r="C3988" s="2524"/>
      <c r="D3988" s="4066"/>
      <c r="E3988" s="4114"/>
      <c r="F3988" s="3434"/>
      <c r="G3988" s="2690"/>
      <c r="H3988" s="1463"/>
    </row>
    <row r="3989" spans="1:11" ht="21.75" customHeight="1" x14ac:dyDescent="0.25">
      <c r="B3989" s="441"/>
      <c r="C3989" s="2525" t="s">
        <v>2629</v>
      </c>
      <c r="D3989" s="4065">
        <f>SUM(D3990:D3991)</f>
        <v>5618240000</v>
      </c>
      <c r="E3989" s="2695">
        <f>SUM(E3990:E3991)</f>
        <v>5603640000</v>
      </c>
      <c r="F3989" s="2679">
        <f>E3989/D3989*100</f>
        <v>99.740132141026379</v>
      </c>
      <c r="G3989" s="2695">
        <f>SUM(G3990:G3991)/2</f>
        <v>100</v>
      </c>
      <c r="H3989" s="1462"/>
    </row>
    <row r="3990" spans="1:11" ht="17.25" hidden="1" customHeight="1" x14ac:dyDescent="0.25">
      <c r="B3990" s="441"/>
      <c r="C3990" s="2524" t="s">
        <v>2630</v>
      </c>
      <c r="D3990" s="4066">
        <v>701200000</v>
      </c>
      <c r="E3990" s="4114">
        <v>686600000</v>
      </c>
      <c r="F3990" s="2685">
        <f t="shared" ref="F3990:F3991" si="308">E3990/D3990*100</f>
        <v>97.917855105533363</v>
      </c>
      <c r="G3990" s="2690">
        <v>100</v>
      </c>
      <c r="H3990" s="1463"/>
    </row>
    <row r="3991" spans="1:11" ht="14.25" hidden="1" customHeight="1" x14ac:dyDescent="0.25">
      <c r="B3991" s="441"/>
      <c r="C3991" s="2524" t="s">
        <v>2631</v>
      </c>
      <c r="D3991" s="4066">
        <v>4917040000</v>
      </c>
      <c r="E3991" s="4114">
        <v>4917040000</v>
      </c>
      <c r="F3991" s="2685">
        <f t="shared" si="308"/>
        <v>100</v>
      </c>
      <c r="G3991" s="2690">
        <v>100</v>
      </c>
      <c r="H3991" s="1463"/>
    </row>
    <row r="3992" spans="1:11" ht="14.25" hidden="1" customHeight="1" x14ac:dyDescent="0.25">
      <c r="B3992" s="441"/>
      <c r="C3992" s="2495"/>
      <c r="D3992" s="4290"/>
      <c r="E3992" s="2818"/>
      <c r="F3992" s="2830"/>
      <c r="G3992" s="2778"/>
      <c r="H3992" s="1463"/>
    </row>
    <row r="3993" spans="1:11" ht="17.25" customHeight="1" x14ac:dyDescent="0.25">
      <c r="B3993" s="440"/>
      <c r="C3993" s="2624" t="s">
        <v>289</v>
      </c>
      <c r="D3993" s="4080">
        <f>D3994</f>
        <v>10734500000</v>
      </c>
      <c r="E3993" s="2719">
        <f>E3994</f>
        <v>10436462500</v>
      </c>
      <c r="F3993" s="2719">
        <f>E3993/D3993*100</f>
        <v>97.223554893101678</v>
      </c>
      <c r="G3993" s="2719">
        <f>G3994</f>
        <v>100</v>
      </c>
      <c r="H3993" s="1463"/>
    </row>
    <row r="3994" spans="1:11" ht="17.25" customHeight="1" x14ac:dyDescent="0.25">
      <c r="B3994" s="441"/>
      <c r="C3994" s="2538" t="s">
        <v>290</v>
      </c>
      <c r="D3994" s="4072">
        <f>SUM(D3995:D3998)</f>
        <v>10734500000</v>
      </c>
      <c r="E3994" s="2734">
        <f>SUM(E3995:E3998)</f>
        <v>10436462500</v>
      </c>
      <c r="F3994" s="3435">
        <f>E3994/D3994*100</f>
        <v>97.223554893101678</v>
      </c>
      <c r="G3994" s="2725">
        <f>SUM(G3995:G3998)/4</f>
        <v>100</v>
      </c>
      <c r="H3994" s="1463"/>
    </row>
    <row r="3995" spans="1:11" ht="15.75" hidden="1" customHeight="1" x14ac:dyDescent="0.25">
      <c r="B3995" s="448"/>
      <c r="C3995" s="2524" t="s">
        <v>2632</v>
      </c>
      <c r="D3995" s="4066">
        <v>1904025000</v>
      </c>
      <c r="E3995" s="2804">
        <v>1860387500</v>
      </c>
      <c r="F3995" s="2685">
        <f t="shared" ref="F3995:F3998" si="309">E3995/D3995*100</f>
        <v>97.708144588437648</v>
      </c>
      <c r="G3995" s="2804">
        <v>100</v>
      </c>
      <c r="H3995" s="3715"/>
    </row>
    <row r="3996" spans="1:11" ht="16.5" hidden="1" customHeight="1" x14ac:dyDescent="0.25">
      <c r="B3996" s="448"/>
      <c r="C3996" s="2526" t="s">
        <v>2633</v>
      </c>
      <c r="D3996" s="3704">
        <v>2350425000</v>
      </c>
      <c r="E3996" s="2818">
        <v>2282825000</v>
      </c>
      <c r="F3996" s="2685">
        <f t="shared" si="309"/>
        <v>97.123924396651674</v>
      </c>
      <c r="G3996" s="2710">
        <v>100</v>
      </c>
      <c r="H3996" s="3715"/>
    </row>
    <row r="3997" spans="1:11" ht="15" hidden="1" customHeight="1" x14ac:dyDescent="0.25">
      <c r="B3997" s="462"/>
      <c r="C3997" s="2524" t="s">
        <v>2634</v>
      </c>
      <c r="D3997" s="3704">
        <v>4242025000</v>
      </c>
      <c r="E3997" s="2810">
        <v>4117075000</v>
      </c>
      <c r="F3997" s="2685">
        <f t="shared" si="309"/>
        <v>97.054472804851457</v>
      </c>
      <c r="G3997" s="2690">
        <v>100</v>
      </c>
      <c r="H3997" s="3715"/>
    </row>
    <row r="3998" spans="1:11" ht="16.5" hidden="1" customHeight="1" x14ac:dyDescent="0.25">
      <c r="B3998" s="462"/>
      <c r="C3998" s="2524" t="s">
        <v>2635</v>
      </c>
      <c r="D3998" s="3704">
        <v>2238025000</v>
      </c>
      <c r="E3998" s="2810">
        <v>2176175000</v>
      </c>
      <c r="F3998" s="2685">
        <f t="shared" si="309"/>
        <v>97.236402631784728</v>
      </c>
      <c r="G3998" s="2690">
        <v>100</v>
      </c>
      <c r="H3998" s="3715"/>
    </row>
    <row r="3999" spans="1:11" ht="14.25" hidden="1" customHeight="1" x14ac:dyDescent="0.25">
      <c r="B3999" s="445"/>
      <c r="C3999" s="2535"/>
      <c r="D3999" s="4286"/>
      <c r="E3999" s="2818"/>
      <c r="F3999" s="2708"/>
      <c r="G3999" s="2778"/>
      <c r="H3999" s="1463"/>
    </row>
    <row r="4000" spans="1:11" s="210" customFormat="1" ht="19.5" customHeight="1" x14ac:dyDescent="0.25">
      <c r="A4000" s="1466"/>
      <c r="B4000" s="440"/>
      <c r="C4000" s="3690" t="s">
        <v>3088</v>
      </c>
      <c r="D4000" s="4106">
        <f>SUM(D4001+D4010+D4014+D4022)</f>
        <v>6134000000</v>
      </c>
      <c r="E4000" s="3411">
        <f>SUM(E4001+E4010+E4014+E4022)</f>
        <v>6107909342</v>
      </c>
      <c r="F4000" s="2719">
        <f>E4000/D4000*100</f>
        <v>99.574655070101088</v>
      </c>
      <c r="G4000" s="2672">
        <f>SUM(G4001+G4010+G4014+G4022)/4</f>
        <v>100</v>
      </c>
      <c r="H4000" s="1463"/>
      <c r="I4000" s="421"/>
      <c r="J4000" s="1216"/>
      <c r="K4000" s="1216"/>
    </row>
    <row r="4001" spans="1:11" s="210" customFormat="1" ht="19.5" customHeight="1" x14ac:dyDescent="0.25">
      <c r="A4001" s="1466"/>
      <c r="B4001" s="444"/>
      <c r="C4001" s="2538" t="s">
        <v>3318</v>
      </c>
      <c r="D4001" s="4072">
        <f>SUM(D4002:D4008)</f>
        <v>2623723000</v>
      </c>
      <c r="E4001" s="4042">
        <f>SUM(E4002:E4008)</f>
        <v>2612342600</v>
      </c>
      <c r="F4001" s="2725">
        <f>E4001/D4001*100</f>
        <v>99.566249943305749</v>
      </c>
      <c r="G4001" s="2734">
        <f>SUM(G4002:G4008)/7</f>
        <v>100</v>
      </c>
      <c r="H4001" s="1463"/>
      <c r="I4001" s="421"/>
      <c r="J4001" s="1216"/>
      <c r="K4001" s="1216"/>
    </row>
    <row r="4002" spans="1:11" s="210" customFormat="1" ht="15.75" hidden="1" customHeight="1" x14ac:dyDescent="0.25">
      <c r="A4002" s="1466"/>
      <c r="B4002" s="449"/>
      <c r="C4002" s="2524" t="s">
        <v>3322</v>
      </c>
      <c r="D4002" s="3704">
        <v>470665000</v>
      </c>
      <c r="E4002" s="2810">
        <v>470665000</v>
      </c>
      <c r="F4002" s="2685">
        <f t="shared" ref="F4002:F4008" si="310">E4002/D4002*100</f>
        <v>100</v>
      </c>
      <c r="G4002" s="2690">
        <v>100</v>
      </c>
      <c r="H4002" s="1463"/>
      <c r="I4002" s="421"/>
      <c r="J4002" s="1216"/>
      <c r="K4002" s="1216"/>
    </row>
    <row r="4003" spans="1:11" s="210" customFormat="1" ht="15.75" hidden="1" customHeight="1" x14ac:dyDescent="0.25">
      <c r="A4003" s="1466"/>
      <c r="B4003" s="449"/>
      <c r="C4003" s="2524" t="s">
        <v>3323</v>
      </c>
      <c r="D4003" s="3704">
        <v>217926000</v>
      </c>
      <c r="E4003" s="2685">
        <v>206895600</v>
      </c>
      <c r="F4003" s="2685">
        <f t="shared" si="310"/>
        <v>94.938465350623602</v>
      </c>
      <c r="G4003" s="2685">
        <v>100</v>
      </c>
      <c r="H4003" s="1463"/>
      <c r="I4003" s="421"/>
      <c r="J4003" s="1216"/>
      <c r="K4003" s="1216"/>
    </row>
    <row r="4004" spans="1:11" s="210" customFormat="1" ht="15" hidden="1" customHeight="1" x14ac:dyDescent="0.25">
      <c r="A4004" s="1466"/>
      <c r="B4004" s="449"/>
      <c r="C4004" s="2524" t="s">
        <v>3324</v>
      </c>
      <c r="D4004" s="3704">
        <v>300000000</v>
      </c>
      <c r="E4004" s="2685">
        <v>300000000</v>
      </c>
      <c r="F4004" s="2685">
        <f t="shared" si="310"/>
        <v>100</v>
      </c>
      <c r="G4004" s="2685">
        <v>100</v>
      </c>
      <c r="H4004" s="1463"/>
      <c r="I4004" s="421"/>
      <c r="J4004" s="1216"/>
      <c r="K4004" s="1216"/>
    </row>
    <row r="4005" spans="1:11" s="210" customFormat="1" ht="15.75" hidden="1" customHeight="1" x14ac:dyDescent="0.25">
      <c r="A4005" s="1466"/>
      <c r="B4005" s="449"/>
      <c r="C4005" s="2524" t="s">
        <v>3325</v>
      </c>
      <c r="D4005" s="3704">
        <v>490693500</v>
      </c>
      <c r="E4005" s="2810">
        <v>490343500</v>
      </c>
      <c r="F4005" s="2685">
        <f t="shared" si="310"/>
        <v>99.928672378990143</v>
      </c>
      <c r="G4005" s="2690">
        <v>100</v>
      </c>
      <c r="H4005" s="1463"/>
      <c r="I4005" s="421"/>
      <c r="J4005" s="1216"/>
      <c r="K4005" s="1216"/>
    </row>
    <row r="4006" spans="1:11" s="210" customFormat="1" ht="14.25" hidden="1" customHeight="1" x14ac:dyDescent="0.25">
      <c r="A4006" s="1466"/>
      <c r="B4006" s="449"/>
      <c r="C4006" s="2524" t="s">
        <v>3326</v>
      </c>
      <c r="D4006" s="3704">
        <v>458653000</v>
      </c>
      <c r="E4006" s="2685">
        <v>458653000</v>
      </c>
      <c r="F4006" s="2685">
        <f t="shared" si="310"/>
        <v>100</v>
      </c>
      <c r="G4006" s="2685">
        <v>100</v>
      </c>
      <c r="H4006" s="1463"/>
      <c r="I4006" s="421"/>
      <c r="J4006" s="1216"/>
      <c r="K4006" s="1216"/>
    </row>
    <row r="4007" spans="1:11" s="210" customFormat="1" ht="17.25" hidden="1" customHeight="1" x14ac:dyDescent="0.25">
      <c r="A4007" s="1466"/>
      <c r="B4007" s="449"/>
      <c r="C4007" s="2524" t="s">
        <v>3327</v>
      </c>
      <c r="D4007" s="3704">
        <v>513645500</v>
      </c>
      <c r="E4007" s="2685">
        <v>513645500</v>
      </c>
      <c r="F4007" s="2685">
        <f t="shared" si="310"/>
        <v>100</v>
      </c>
      <c r="G4007" s="2685">
        <v>100</v>
      </c>
      <c r="H4007" s="1463"/>
      <c r="I4007" s="421"/>
      <c r="J4007" s="1216"/>
      <c r="K4007" s="1216"/>
    </row>
    <row r="4008" spans="1:11" s="210" customFormat="1" ht="17.25" hidden="1" customHeight="1" x14ac:dyDescent="0.25">
      <c r="A4008" s="1466"/>
      <c r="B4008" s="449"/>
      <c r="C4008" s="2524" t="s">
        <v>3328</v>
      </c>
      <c r="D4008" s="3704">
        <v>172140000</v>
      </c>
      <c r="E4008" s="2810">
        <v>172140000</v>
      </c>
      <c r="F4008" s="2685">
        <f t="shared" si="310"/>
        <v>100</v>
      </c>
      <c r="G4008" s="2690">
        <v>100</v>
      </c>
      <c r="H4008" s="1463"/>
      <c r="I4008" s="421"/>
      <c r="J4008" s="1216"/>
      <c r="K4008" s="1216"/>
    </row>
    <row r="4009" spans="1:11" s="210" customFormat="1" ht="9" hidden="1" customHeight="1" x14ac:dyDescent="0.25">
      <c r="A4009" s="1466"/>
      <c r="B4009" s="449"/>
      <c r="C4009" s="2524"/>
      <c r="D4009" s="3704"/>
      <c r="E4009" s="2810"/>
      <c r="F4009" s="2685"/>
      <c r="G4009" s="3035"/>
      <c r="H4009" s="1463"/>
      <c r="I4009" s="421"/>
      <c r="J4009" s="1216"/>
      <c r="K4009" s="1216"/>
    </row>
    <row r="4010" spans="1:11" s="210" customFormat="1" ht="16.5" customHeight="1" x14ac:dyDescent="0.25">
      <c r="A4010" s="1466"/>
      <c r="B4010" s="449"/>
      <c r="C4010" s="2525" t="s">
        <v>3319</v>
      </c>
      <c r="D4010" s="4065">
        <f>SUM(D4011:D4012)</f>
        <v>443277000</v>
      </c>
      <c r="E4010" s="3116">
        <f>SUM(E4011:E4012)</f>
        <v>441587000</v>
      </c>
      <c r="F4010" s="2725">
        <f>E4010/D4010*100</f>
        <v>99.618748547747799</v>
      </c>
      <c r="G4010" s="2679">
        <f>SUM(G4011:G4012)/2</f>
        <v>100</v>
      </c>
      <c r="H4010" s="1463"/>
      <c r="I4010" s="421"/>
      <c r="J4010" s="1216"/>
      <c r="K4010" s="1216"/>
    </row>
    <row r="4011" spans="1:11" s="210" customFormat="1" ht="16.5" hidden="1" customHeight="1" x14ac:dyDescent="0.25">
      <c r="A4011" s="1466"/>
      <c r="B4011" s="449"/>
      <c r="C4011" s="2524" t="s">
        <v>3320</v>
      </c>
      <c r="D4011" s="4066">
        <v>129627000</v>
      </c>
      <c r="E4011" s="2685">
        <v>129627000</v>
      </c>
      <c r="F4011" s="2685">
        <f t="shared" ref="F4011:F4012" si="311">E4011/D4011*100</f>
        <v>100</v>
      </c>
      <c r="G4011" s="2685">
        <v>100</v>
      </c>
      <c r="H4011" s="1463"/>
      <c r="I4011" s="421"/>
      <c r="J4011" s="1216"/>
      <c r="K4011" s="1216"/>
    </row>
    <row r="4012" spans="1:11" s="210" customFormat="1" ht="14.25" hidden="1" customHeight="1" x14ac:dyDescent="0.25">
      <c r="A4012" s="1466"/>
      <c r="B4012" s="449"/>
      <c r="C4012" s="2524" t="s">
        <v>3321</v>
      </c>
      <c r="D4012" s="4066">
        <v>313650000</v>
      </c>
      <c r="E4012" s="2685">
        <v>311960000</v>
      </c>
      <c r="F4012" s="2685">
        <f t="shared" si="311"/>
        <v>99.461182847122586</v>
      </c>
      <c r="G4012" s="2685">
        <v>100</v>
      </c>
      <c r="H4012" s="1463"/>
      <c r="I4012" s="421"/>
      <c r="J4012" s="1216"/>
      <c r="K4012" s="1216"/>
    </row>
    <row r="4013" spans="1:11" s="210" customFormat="1" ht="9" hidden="1" customHeight="1" x14ac:dyDescent="0.25">
      <c r="A4013" s="1466"/>
      <c r="B4013" s="449"/>
      <c r="C4013" s="2524"/>
      <c r="D4013" s="3704"/>
      <c r="E4013" s="2810"/>
      <c r="F4013" s="2685"/>
      <c r="G4013" s="3035"/>
      <c r="H4013" s="1463"/>
      <c r="I4013" s="421"/>
      <c r="J4013" s="1216"/>
      <c r="K4013" s="1216"/>
    </row>
    <row r="4014" spans="1:11" s="210" customFormat="1" ht="18" customHeight="1" x14ac:dyDescent="0.25">
      <c r="A4014" s="1466"/>
      <c r="B4014" s="449"/>
      <c r="C4014" s="2525" t="s">
        <v>3329</v>
      </c>
      <c r="D4014" s="4065">
        <f>SUM(D4015:D4020)</f>
        <v>1640200000</v>
      </c>
      <c r="E4014" s="3116">
        <f>SUM(E4015:E4020)</f>
        <v>1631868842</v>
      </c>
      <c r="F4014" s="2679">
        <f t="shared" ref="F4014:F4020" si="312">E4014/D4014*100</f>
        <v>99.492064504328738</v>
      </c>
      <c r="G4014" s="2695">
        <f>SUM(G4015:G4020)/6</f>
        <v>100</v>
      </c>
      <c r="H4014" s="1462"/>
      <c r="I4014" s="421"/>
      <c r="J4014" s="1216"/>
      <c r="K4014" s="1216"/>
    </row>
    <row r="4015" spans="1:11" s="210" customFormat="1" ht="16.5" hidden="1" customHeight="1" x14ac:dyDescent="0.25">
      <c r="A4015" s="1466"/>
      <c r="B4015" s="449"/>
      <c r="C4015" s="2524" t="s">
        <v>3330</v>
      </c>
      <c r="D4015" s="3704">
        <v>250000000</v>
      </c>
      <c r="E4015" s="2810">
        <v>249539342</v>
      </c>
      <c r="F4015" s="2685">
        <f t="shared" si="312"/>
        <v>99.815736799999996</v>
      </c>
      <c r="G4015" s="2690">
        <v>100</v>
      </c>
      <c r="H4015" s="1463"/>
      <c r="I4015" s="421"/>
      <c r="J4015" s="1216"/>
      <c r="K4015" s="1216"/>
    </row>
    <row r="4016" spans="1:11" s="210" customFormat="1" ht="14.25" hidden="1" customHeight="1" x14ac:dyDescent="0.25">
      <c r="A4016" s="1466"/>
      <c r="B4016" s="449"/>
      <c r="C4016" s="2524" t="s">
        <v>3424</v>
      </c>
      <c r="D4016" s="3704">
        <v>250000000</v>
      </c>
      <c r="E4016" s="2685">
        <v>247695200</v>
      </c>
      <c r="F4016" s="2685">
        <f t="shared" si="312"/>
        <v>99.07808</v>
      </c>
      <c r="G4016" s="2685">
        <v>100</v>
      </c>
      <c r="H4016" s="1463"/>
      <c r="I4016" s="421"/>
      <c r="J4016" s="1216"/>
      <c r="K4016" s="1216"/>
    </row>
    <row r="4017" spans="1:11" s="210" customFormat="1" ht="14.25" hidden="1" customHeight="1" x14ac:dyDescent="0.25">
      <c r="A4017" s="1466"/>
      <c r="B4017" s="449"/>
      <c r="C4017" s="2524" t="s">
        <v>3331</v>
      </c>
      <c r="D4017" s="3704">
        <v>326800000</v>
      </c>
      <c r="E4017" s="2685">
        <v>326800000</v>
      </c>
      <c r="F4017" s="2685">
        <f t="shared" si="312"/>
        <v>100</v>
      </c>
      <c r="G4017" s="2685">
        <v>100</v>
      </c>
      <c r="H4017" s="1463"/>
      <c r="I4017" s="421"/>
      <c r="J4017" s="1216"/>
      <c r="K4017" s="1216"/>
    </row>
    <row r="4018" spans="1:11" s="210" customFormat="1" ht="15.75" hidden="1" customHeight="1" x14ac:dyDescent="0.25">
      <c r="A4018" s="1466"/>
      <c r="B4018" s="449"/>
      <c r="C4018" s="2524" t="s">
        <v>3332</v>
      </c>
      <c r="D4018" s="3704">
        <v>313400000</v>
      </c>
      <c r="E4018" s="2685">
        <v>310131400</v>
      </c>
      <c r="F4018" s="2685">
        <f t="shared" si="312"/>
        <v>98.95705169112955</v>
      </c>
      <c r="G4018" s="2685">
        <v>100</v>
      </c>
      <c r="H4018" s="1463"/>
      <c r="I4018" s="421"/>
      <c r="J4018" s="1216"/>
      <c r="K4018" s="1216"/>
    </row>
    <row r="4019" spans="1:11" s="210" customFormat="1" ht="18" hidden="1" customHeight="1" x14ac:dyDescent="0.25">
      <c r="A4019" s="1466"/>
      <c r="B4019" s="449"/>
      <c r="C4019" s="2524" t="s">
        <v>3333</v>
      </c>
      <c r="D4019" s="3704">
        <v>250000000</v>
      </c>
      <c r="E4019" s="2685">
        <v>249432700</v>
      </c>
      <c r="F4019" s="2685">
        <f t="shared" si="312"/>
        <v>99.773080000000007</v>
      </c>
      <c r="G4019" s="2685">
        <v>100</v>
      </c>
      <c r="H4019" s="1463"/>
      <c r="I4019" s="421"/>
      <c r="J4019" s="1216"/>
      <c r="K4019" s="1216"/>
    </row>
    <row r="4020" spans="1:11" s="210" customFormat="1" ht="16.5" hidden="1" customHeight="1" x14ac:dyDescent="0.25">
      <c r="A4020" s="1466"/>
      <c r="B4020" s="449"/>
      <c r="C4020" s="2524" t="s">
        <v>3334</v>
      </c>
      <c r="D4020" s="3704">
        <v>250000000</v>
      </c>
      <c r="E4020" s="2685">
        <v>248270200</v>
      </c>
      <c r="F4020" s="2685">
        <f t="shared" si="312"/>
        <v>99.308080000000004</v>
      </c>
      <c r="G4020" s="2685">
        <v>100</v>
      </c>
      <c r="H4020" s="1463"/>
      <c r="I4020" s="421"/>
      <c r="J4020" s="1216"/>
      <c r="K4020" s="1216"/>
    </row>
    <row r="4021" spans="1:11" s="210" customFormat="1" ht="11.25" hidden="1" customHeight="1" x14ac:dyDescent="0.25">
      <c r="A4021" s="1466"/>
      <c r="B4021" s="449"/>
      <c r="C4021" s="2525"/>
      <c r="D4021" s="3704"/>
      <c r="E4021" s="2810"/>
      <c r="F4021" s="2685"/>
      <c r="G4021" s="3035"/>
      <c r="H4021" s="1463"/>
      <c r="I4021" s="421"/>
      <c r="J4021" s="1216"/>
      <c r="K4021" s="1216"/>
    </row>
    <row r="4022" spans="1:11" s="210" customFormat="1" ht="19.5" customHeight="1" x14ac:dyDescent="0.25">
      <c r="A4022" s="1466"/>
      <c r="B4022" s="449"/>
      <c r="C4022" s="2525" t="s">
        <v>3335</v>
      </c>
      <c r="D4022" s="4065">
        <f>SUM(D4023:D4025)</f>
        <v>1426800000</v>
      </c>
      <c r="E4022" s="3116">
        <f>SUM(E4023:E4025)</f>
        <v>1422110900</v>
      </c>
      <c r="F4022" s="2679">
        <f t="shared" ref="F4022:F4025" si="313">E4022/D4022*100</f>
        <v>99.67135548079618</v>
      </c>
      <c r="G4022" s="2695">
        <f>SUM(G4023:G4025)/3</f>
        <v>100</v>
      </c>
      <c r="H4022" s="1463"/>
      <c r="I4022" s="421"/>
      <c r="J4022" s="1216"/>
      <c r="K4022" s="1216"/>
    </row>
    <row r="4023" spans="1:11" s="210" customFormat="1" ht="17.25" hidden="1" customHeight="1" x14ac:dyDescent="0.25">
      <c r="A4023" s="1466"/>
      <c r="B4023" s="449"/>
      <c r="C4023" s="2524" t="s">
        <v>3336</v>
      </c>
      <c r="D4023" s="3704">
        <v>450000000</v>
      </c>
      <c r="E4023" s="2685">
        <v>447630450</v>
      </c>
      <c r="F4023" s="2685">
        <f t="shared" si="313"/>
        <v>99.473433333333332</v>
      </c>
      <c r="G4023" s="2685">
        <v>100</v>
      </c>
      <c r="H4023" s="1463"/>
      <c r="I4023" s="421"/>
      <c r="J4023" s="1216"/>
      <c r="K4023" s="1216"/>
    </row>
    <row r="4024" spans="1:11" s="210" customFormat="1" ht="15.75" hidden="1" customHeight="1" x14ac:dyDescent="0.25">
      <c r="A4024" s="1466"/>
      <c r="B4024" s="449"/>
      <c r="C4024" s="2524" t="s">
        <v>3337</v>
      </c>
      <c r="D4024" s="3704">
        <v>526800000</v>
      </c>
      <c r="E4024" s="2685">
        <v>526020450</v>
      </c>
      <c r="F4024" s="2685">
        <f t="shared" si="313"/>
        <v>99.85202164009111</v>
      </c>
      <c r="G4024" s="2685">
        <v>100</v>
      </c>
      <c r="H4024" s="1463"/>
      <c r="I4024" s="421"/>
      <c r="J4024" s="1216"/>
      <c r="K4024" s="1216"/>
    </row>
    <row r="4025" spans="1:11" s="210" customFormat="1" ht="14.25" hidden="1" customHeight="1" x14ac:dyDescent="0.25">
      <c r="A4025" s="1466"/>
      <c r="B4025" s="449"/>
      <c r="C4025" s="2524" t="s">
        <v>3338</v>
      </c>
      <c r="D4025" s="3704">
        <v>450000000</v>
      </c>
      <c r="E4025" s="2810">
        <v>448460000</v>
      </c>
      <c r="F4025" s="2685">
        <f t="shared" si="313"/>
        <v>99.657777777777781</v>
      </c>
      <c r="G4025" s="2690">
        <v>100</v>
      </c>
      <c r="H4025" s="1463"/>
      <c r="I4025" s="421"/>
      <c r="J4025" s="1216"/>
      <c r="K4025" s="1216"/>
    </row>
    <row r="4026" spans="1:11" s="210" customFormat="1" ht="14.25" hidden="1" customHeight="1" x14ac:dyDescent="0.25">
      <c r="A4026" s="1466"/>
      <c r="B4026" s="445"/>
      <c r="C4026" s="2535"/>
      <c r="D4026" s="4286"/>
      <c r="E4026" s="2818"/>
      <c r="F4026" s="2708"/>
      <c r="G4026" s="2778"/>
      <c r="H4026" s="1463"/>
      <c r="I4026" s="421"/>
      <c r="J4026" s="1216"/>
      <c r="K4026" s="1216"/>
    </row>
    <row r="4027" spans="1:11" s="210" customFormat="1" ht="18" customHeight="1" x14ac:dyDescent="0.25">
      <c r="A4027" s="1466"/>
      <c r="B4027" s="458"/>
      <c r="C4027" s="3691" t="s">
        <v>3089</v>
      </c>
      <c r="D4027" s="4106">
        <f>D4028</f>
        <v>1840200000</v>
      </c>
      <c r="E4027" s="3345">
        <f>E4028</f>
        <v>1840200000</v>
      </c>
      <c r="F4027" s="2719">
        <f>E4027/D4027*100</f>
        <v>100</v>
      </c>
      <c r="G4027" s="2719">
        <f>G4028</f>
        <v>100</v>
      </c>
      <c r="H4027" s="1463"/>
      <c r="I4027" s="421"/>
      <c r="J4027" s="1216"/>
      <c r="K4027" s="1216"/>
    </row>
    <row r="4028" spans="1:11" s="210" customFormat="1" ht="17.25" customHeight="1" x14ac:dyDescent="0.25">
      <c r="A4028" s="1466"/>
      <c r="B4028" s="441"/>
      <c r="C4028" s="2521" t="s">
        <v>3339</v>
      </c>
      <c r="D4028" s="4305">
        <f>SUM(D4029:D4040)</f>
        <v>1840200000</v>
      </c>
      <c r="E4028" s="3373">
        <f>SUM(E4029:E4040)</f>
        <v>1840200000</v>
      </c>
      <c r="F4028" s="2725">
        <f>E4028/D4028*100</f>
        <v>100</v>
      </c>
      <c r="G4028" s="2725">
        <f>SUM(G4029:G4040)/12</f>
        <v>100</v>
      </c>
      <c r="H4028" s="1463"/>
      <c r="I4028" s="421"/>
      <c r="J4028" s="1216"/>
      <c r="K4028" s="1216"/>
    </row>
    <row r="4029" spans="1:11" s="210" customFormat="1" ht="16.5" hidden="1" customHeight="1" x14ac:dyDescent="0.25">
      <c r="A4029" s="1466"/>
      <c r="B4029" s="441"/>
      <c r="C4029" s="2533" t="s">
        <v>3340</v>
      </c>
      <c r="D4029" s="3704">
        <v>145400000</v>
      </c>
      <c r="E4029" s="2685">
        <v>145400000</v>
      </c>
      <c r="F4029" s="2685">
        <f t="shared" ref="F4029:F4040" si="314">E4029/D4029*100</f>
        <v>100</v>
      </c>
      <c r="G4029" s="2685">
        <v>100</v>
      </c>
      <c r="H4029" s="1463"/>
      <c r="I4029" s="421"/>
      <c r="J4029" s="1216"/>
      <c r="K4029" s="1216"/>
    </row>
    <row r="4030" spans="1:11" s="210" customFormat="1" ht="18" hidden="1" customHeight="1" x14ac:dyDescent="0.25">
      <c r="A4030" s="1466"/>
      <c r="B4030" s="441"/>
      <c r="C4030" s="2533" t="s">
        <v>3341</v>
      </c>
      <c r="D4030" s="3704">
        <v>145400000</v>
      </c>
      <c r="E4030" s="2685">
        <v>145400000</v>
      </c>
      <c r="F4030" s="2685">
        <f t="shared" si="314"/>
        <v>100</v>
      </c>
      <c r="G4030" s="2685">
        <v>100</v>
      </c>
      <c r="H4030" s="1463"/>
      <c r="I4030" s="421"/>
      <c r="J4030" s="1216"/>
      <c r="K4030" s="1216"/>
    </row>
    <row r="4031" spans="1:11" s="210" customFormat="1" ht="15.75" hidden="1" customHeight="1" x14ac:dyDescent="0.25">
      <c r="A4031" s="1466"/>
      <c r="B4031" s="441"/>
      <c r="C4031" s="2533" t="s">
        <v>3342</v>
      </c>
      <c r="D4031" s="3704">
        <v>133400000</v>
      </c>
      <c r="E4031" s="2685">
        <v>133400000</v>
      </c>
      <c r="F4031" s="2685">
        <f t="shared" si="314"/>
        <v>100</v>
      </c>
      <c r="G4031" s="2685">
        <v>100</v>
      </c>
      <c r="H4031" s="1463"/>
      <c r="I4031" s="421"/>
      <c r="J4031" s="1216"/>
      <c r="K4031" s="1216"/>
    </row>
    <row r="4032" spans="1:11" s="210" customFormat="1" ht="17.25" hidden="1" customHeight="1" x14ac:dyDescent="0.25">
      <c r="A4032" s="1466"/>
      <c r="B4032" s="441"/>
      <c r="C4032" s="2533" t="s">
        <v>3343</v>
      </c>
      <c r="D4032" s="3704">
        <v>133400000</v>
      </c>
      <c r="E4032" s="2685">
        <v>133400000</v>
      </c>
      <c r="F4032" s="2685">
        <f t="shared" si="314"/>
        <v>100</v>
      </c>
      <c r="G4032" s="2685">
        <v>100</v>
      </c>
      <c r="H4032" s="1463"/>
      <c r="I4032" s="421"/>
      <c r="J4032" s="1216"/>
      <c r="K4032" s="1216"/>
    </row>
    <row r="4033" spans="1:11" s="210" customFormat="1" ht="16.5" hidden="1" customHeight="1" x14ac:dyDescent="0.25">
      <c r="A4033" s="1466"/>
      <c r="B4033" s="441"/>
      <c r="C4033" s="2533" t="s">
        <v>3344</v>
      </c>
      <c r="D4033" s="3704">
        <v>133400000</v>
      </c>
      <c r="E4033" s="2685">
        <v>133400000</v>
      </c>
      <c r="F4033" s="2685">
        <f t="shared" si="314"/>
        <v>100</v>
      </c>
      <c r="G4033" s="2685">
        <v>100</v>
      </c>
      <c r="H4033" s="1463"/>
      <c r="I4033" s="421"/>
      <c r="J4033" s="1216"/>
      <c r="K4033" s="1216"/>
    </row>
    <row r="4034" spans="1:11" s="210" customFormat="1" ht="16.5" hidden="1" customHeight="1" x14ac:dyDescent="0.25">
      <c r="A4034" s="1466"/>
      <c r="B4034" s="444"/>
      <c r="C4034" s="2533" t="s">
        <v>3345</v>
      </c>
      <c r="D4034" s="3704">
        <v>165000000</v>
      </c>
      <c r="E4034" s="2685">
        <v>165000000</v>
      </c>
      <c r="F4034" s="2685">
        <f t="shared" si="314"/>
        <v>100</v>
      </c>
      <c r="G4034" s="2685">
        <v>100</v>
      </c>
      <c r="H4034" s="1463"/>
      <c r="I4034" s="421"/>
      <c r="J4034" s="1216"/>
      <c r="K4034" s="1216"/>
    </row>
    <row r="4035" spans="1:11" s="210" customFormat="1" ht="17.25" hidden="1" customHeight="1" x14ac:dyDescent="0.25">
      <c r="A4035" s="1466"/>
      <c r="B4035" s="445"/>
      <c r="C4035" s="2533" t="s">
        <v>3346</v>
      </c>
      <c r="D4035" s="3704">
        <v>165000000</v>
      </c>
      <c r="E4035" s="2685">
        <v>165000000</v>
      </c>
      <c r="F4035" s="2685">
        <f t="shared" si="314"/>
        <v>100</v>
      </c>
      <c r="G4035" s="2685">
        <v>100</v>
      </c>
      <c r="H4035" s="1463"/>
      <c r="I4035" s="421"/>
      <c r="J4035" s="1216"/>
      <c r="K4035" s="1216"/>
    </row>
    <row r="4036" spans="1:11" s="210" customFormat="1" ht="16.5" hidden="1" customHeight="1" x14ac:dyDescent="0.25">
      <c r="A4036" s="1466"/>
      <c r="B4036" s="441"/>
      <c r="C4036" s="2533" t="s">
        <v>3347</v>
      </c>
      <c r="D4036" s="3704">
        <v>165000000</v>
      </c>
      <c r="E4036" s="2685">
        <v>165000000</v>
      </c>
      <c r="F4036" s="2685">
        <f t="shared" si="314"/>
        <v>100</v>
      </c>
      <c r="G4036" s="2685">
        <v>100</v>
      </c>
      <c r="H4036" s="1463"/>
      <c r="I4036" s="421"/>
      <c r="J4036" s="1216"/>
      <c r="K4036" s="1216"/>
    </row>
    <row r="4037" spans="1:11" s="210" customFormat="1" ht="18" hidden="1" customHeight="1" x14ac:dyDescent="0.25">
      <c r="A4037" s="1466"/>
      <c r="B4037" s="441"/>
      <c r="C4037" s="2533" t="s">
        <v>3348</v>
      </c>
      <c r="D4037" s="3704">
        <v>165000000</v>
      </c>
      <c r="E4037" s="2685">
        <v>165000000</v>
      </c>
      <c r="F4037" s="2685">
        <f t="shared" si="314"/>
        <v>100</v>
      </c>
      <c r="G4037" s="2685">
        <v>100</v>
      </c>
      <c r="H4037" s="1463"/>
      <c r="I4037" s="421"/>
      <c r="J4037" s="1216"/>
      <c r="K4037" s="1216"/>
    </row>
    <row r="4038" spans="1:11" s="210" customFormat="1" ht="18.75" hidden="1" customHeight="1" x14ac:dyDescent="0.25">
      <c r="A4038" s="1466"/>
      <c r="B4038" s="441"/>
      <c r="C4038" s="2533" t="s">
        <v>3349</v>
      </c>
      <c r="D4038" s="3704">
        <v>159200000</v>
      </c>
      <c r="E4038" s="2685">
        <v>159200000</v>
      </c>
      <c r="F4038" s="2685">
        <f t="shared" si="314"/>
        <v>100</v>
      </c>
      <c r="G4038" s="2685">
        <v>100</v>
      </c>
      <c r="H4038" s="1463"/>
      <c r="I4038" s="421"/>
      <c r="J4038" s="1216"/>
      <c r="K4038" s="1216"/>
    </row>
    <row r="4039" spans="1:11" s="210" customFormat="1" ht="18" hidden="1" customHeight="1" x14ac:dyDescent="0.25">
      <c r="A4039" s="1466"/>
      <c r="B4039" s="441"/>
      <c r="C4039" s="2533" t="s">
        <v>3350</v>
      </c>
      <c r="D4039" s="3704">
        <v>165000000</v>
      </c>
      <c r="E4039" s="2685">
        <v>165000000</v>
      </c>
      <c r="F4039" s="2685">
        <f t="shared" si="314"/>
        <v>100</v>
      </c>
      <c r="G4039" s="2685">
        <v>100</v>
      </c>
      <c r="H4039" s="1463"/>
      <c r="I4039" s="421"/>
      <c r="J4039" s="1216"/>
      <c r="K4039" s="1216"/>
    </row>
    <row r="4040" spans="1:11" s="210" customFormat="1" ht="17.25" hidden="1" customHeight="1" x14ac:dyDescent="0.25">
      <c r="A4040" s="1466"/>
      <c r="B4040" s="441"/>
      <c r="C4040" s="2533" t="s">
        <v>3351</v>
      </c>
      <c r="D4040" s="3704">
        <v>165000000</v>
      </c>
      <c r="E4040" s="2685">
        <v>165000000</v>
      </c>
      <c r="F4040" s="2685">
        <f t="shared" si="314"/>
        <v>100</v>
      </c>
      <c r="G4040" s="2685">
        <v>100</v>
      </c>
      <c r="H4040" s="1463"/>
      <c r="I4040" s="421"/>
      <c r="J4040" s="1216"/>
      <c r="K4040" s="1216"/>
    </row>
    <row r="4041" spans="1:11" s="210" customFormat="1" ht="14.25" hidden="1" customHeight="1" x14ac:dyDescent="0.25">
      <c r="A4041" s="1466"/>
      <c r="B4041" s="441"/>
      <c r="C4041" s="2535"/>
      <c r="D4041" s="4286"/>
      <c r="E4041" s="2818"/>
      <c r="F4041" s="2685"/>
      <c r="G4041" s="2778"/>
      <c r="H4041" s="1463"/>
      <c r="I4041" s="421"/>
      <c r="J4041" s="1216"/>
      <c r="K4041" s="1216"/>
    </row>
    <row r="4042" spans="1:11" s="210" customFormat="1" ht="17.25" customHeight="1" x14ac:dyDescent="0.25">
      <c r="A4042" s="1466"/>
      <c r="B4042" s="458"/>
      <c r="C4042" s="3691" t="s">
        <v>3352</v>
      </c>
      <c r="D4042" s="4080">
        <f>D4043</f>
        <v>920100000</v>
      </c>
      <c r="E4042" s="3550">
        <f>E4043</f>
        <v>920100000</v>
      </c>
      <c r="F4042" s="2719">
        <f>E4042/D4042*100</f>
        <v>100</v>
      </c>
      <c r="G4042" s="2672">
        <f>G4043</f>
        <v>100</v>
      </c>
      <c r="H4042" s="1463"/>
      <c r="I4042" s="421"/>
      <c r="J4042" s="1216"/>
      <c r="K4042" s="1216"/>
    </row>
    <row r="4043" spans="1:11" s="210" customFormat="1" ht="17.25" customHeight="1" x14ac:dyDescent="0.25">
      <c r="A4043" s="1466"/>
      <c r="B4043" s="441"/>
      <c r="C4043" s="2521" t="s">
        <v>3353</v>
      </c>
      <c r="D4043" s="4305">
        <f>SUM(D4044:D4046)</f>
        <v>920100000</v>
      </c>
      <c r="E4043" s="4120">
        <f>SUM(E4044:E4046)</f>
        <v>920100000</v>
      </c>
      <c r="F4043" s="2725">
        <f>E4043/D4043*100</f>
        <v>100</v>
      </c>
      <c r="G4043" s="2785">
        <f>SUM(G4044:G4046)/3</f>
        <v>100</v>
      </c>
      <c r="H4043" s="1463"/>
      <c r="I4043" s="421"/>
      <c r="J4043" s="1216"/>
      <c r="K4043" s="1216"/>
    </row>
    <row r="4044" spans="1:11" s="210" customFormat="1" ht="15.75" hidden="1" customHeight="1" x14ac:dyDescent="0.25">
      <c r="A4044" s="1466"/>
      <c r="B4044" s="441"/>
      <c r="C4044" s="2533" t="s">
        <v>3354</v>
      </c>
      <c r="D4044" s="4286">
        <v>157158000</v>
      </c>
      <c r="E4044" s="2818">
        <v>157158000</v>
      </c>
      <c r="F4044" s="2685">
        <f t="shared" ref="F4044:F4046" si="315">E4044/D4044*100</f>
        <v>100</v>
      </c>
      <c r="G4044" s="2710">
        <v>100</v>
      </c>
      <c r="H4044" s="1463"/>
      <c r="I4044" s="421"/>
      <c r="J4044" s="1216"/>
      <c r="K4044" s="1216"/>
    </row>
    <row r="4045" spans="1:11" s="210" customFormat="1" ht="15.75" hidden="1" customHeight="1" x14ac:dyDescent="0.25">
      <c r="A4045" s="1466"/>
      <c r="B4045" s="441"/>
      <c r="C4045" s="2533" t="s">
        <v>3355</v>
      </c>
      <c r="D4045" s="4286">
        <v>568298000</v>
      </c>
      <c r="E4045" s="2818">
        <v>568298000</v>
      </c>
      <c r="F4045" s="2685">
        <f t="shared" si="315"/>
        <v>100</v>
      </c>
      <c r="G4045" s="2710">
        <v>100</v>
      </c>
      <c r="H4045" s="1463"/>
      <c r="I4045" s="421"/>
      <c r="J4045" s="1216"/>
      <c r="K4045" s="1216"/>
    </row>
    <row r="4046" spans="1:11" s="210" customFormat="1" ht="16.5" hidden="1" customHeight="1" x14ac:dyDescent="0.25">
      <c r="A4046" s="1466"/>
      <c r="B4046" s="441"/>
      <c r="C4046" s="2533" t="s">
        <v>3356</v>
      </c>
      <c r="D4046" s="4286">
        <v>194644000</v>
      </c>
      <c r="E4046" s="2818">
        <v>194644000</v>
      </c>
      <c r="F4046" s="2685">
        <f t="shared" si="315"/>
        <v>100</v>
      </c>
      <c r="G4046" s="2710">
        <v>100</v>
      </c>
      <c r="H4046" s="1463"/>
      <c r="I4046" s="421"/>
      <c r="J4046" s="1216"/>
      <c r="K4046" s="1216"/>
    </row>
    <row r="4047" spans="1:11" s="210" customFormat="1" ht="14.25" hidden="1" customHeight="1" x14ac:dyDescent="0.25">
      <c r="A4047" s="1466"/>
      <c r="B4047" s="441"/>
      <c r="C4047" s="2535"/>
      <c r="D4047" s="4286"/>
      <c r="E4047" s="2818"/>
      <c r="F4047" s="2708"/>
      <c r="G4047" s="2778"/>
      <c r="H4047" s="1463"/>
      <c r="I4047" s="421"/>
      <c r="J4047" s="1216"/>
      <c r="K4047" s="1216"/>
    </row>
    <row r="4048" spans="1:11" s="210" customFormat="1" ht="18" customHeight="1" x14ac:dyDescent="0.25">
      <c r="A4048" s="1466"/>
      <c r="B4048" s="440"/>
      <c r="C4048" s="3691" t="s">
        <v>3357</v>
      </c>
      <c r="D4048" s="4080">
        <f>D4049</f>
        <v>1840200000</v>
      </c>
      <c r="E4048" s="3550">
        <f>E4049</f>
        <v>1794755500</v>
      </c>
      <c r="F4048" s="2719">
        <f>E4048/D4048*100</f>
        <v>97.530458645799371</v>
      </c>
      <c r="G4048" s="2672">
        <f>G4049</f>
        <v>100</v>
      </c>
      <c r="H4048" s="1463"/>
      <c r="I4048" s="421"/>
      <c r="J4048" s="1216"/>
      <c r="K4048" s="1216"/>
    </row>
    <row r="4049" spans="1:11" s="210" customFormat="1" ht="16.5" customHeight="1" x14ac:dyDescent="0.25">
      <c r="A4049" s="1466"/>
      <c r="B4049" s="441"/>
      <c r="C4049" s="2521" t="s">
        <v>3358</v>
      </c>
      <c r="D4049" s="4366">
        <f>SUM(D4050:D4052)</f>
        <v>1840200000</v>
      </c>
      <c r="E4049" s="4121">
        <f>SUM(E4050:E4052)</f>
        <v>1794755500</v>
      </c>
      <c r="F4049" s="2725">
        <f>E4049/D4049*100</f>
        <v>97.530458645799371</v>
      </c>
      <c r="G4049" s="2785">
        <f>SUM(G4050:G4052)/3</f>
        <v>100</v>
      </c>
      <c r="H4049" s="1463"/>
      <c r="I4049" s="421"/>
      <c r="J4049" s="1216"/>
      <c r="K4049" s="1216"/>
    </row>
    <row r="4050" spans="1:11" s="210" customFormat="1" ht="16.5" hidden="1" customHeight="1" x14ac:dyDescent="0.25">
      <c r="A4050" s="1466"/>
      <c r="B4050" s="441"/>
      <c r="C4050" s="2533" t="s">
        <v>3359</v>
      </c>
      <c r="D4050" s="4286">
        <v>250000000</v>
      </c>
      <c r="E4050" s="2818">
        <v>248550000</v>
      </c>
      <c r="F4050" s="2685">
        <f t="shared" ref="F4050:F4052" si="316">E4050/D4050*100</f>
        <v>99.42</v>
      </c>
      <c r="G4050" s="2710">
        <v>100</v>
      </c>
      <c r="H4050" s="1463"/>
      <c r="I4050" s="421"/>
      <c r="J4050" s="1216"/>
      <c r="K4050" s="1216"/>
    </row>
    <row r="4051" spans="1:11" s="210" customFormat="1" ht="16.5" hidden="1" customHeight="1" x14ac:dyDescent="0.25">
      <c r="A4051" s="1466"/>
      <c r="B4051" s="441"/>
      <c r="C4051" s="2533" t="s">
        <v>3360</v>
      </c>
      <c r="D4051" s="4286">
        <v>1340325000</v>
      </c>
      <c r="E4051" s="2818">
        <v>1297455500</v>
      </c>
      <c r="F4051" s="2685">
        <f t="shared" si="316"/>
        <v>96.801559323298463</v>
      </c>
      <c r="G4051" s="2710">
        <v>100</v>
      </c>
      <c r="H4051" s="1463"/>
      <c r="I4051" s="421"/>
      <c r="J4051" s="1216"/>
      <c r="K4051" s="1216"/>
    </row>
    <row r="4052" spans="1:11" s="210" customFormat="1" ht="17.25" hidden="1" customHeight="1" x14ac:dyDescent="0.25">
      <c r="A4052" s="1466"/>
      <c r="B4052" s="441"/>
      <c r="C4052" s="2533" t="s">
        <v>3361</v>
      </c>
      <c r="D4052" s="4286">
        <v>249875000</v>
      </c>
      <c r="E4052" s="2818">
        <v>248750000</v>
      </c>
      <c r="F4052" s="2685">
        <f t="shared" si="316"/>
        <v>99.549774887443718</v>
      </c>
      <c r="G4052" s="2710">
        <v>100</v>
      </c>
      <c r="H4052" s="1463"/>
      <c r="I4052" s="421"/>
      <c r="J4052" s="1216"/>
      <c r="K4052" s="1216"/>
    </row>
    <row r="4053" spans="1:11" s="210" customFormat="1" ht="14.25" hidden="1" customHeight="1" x14ac:dyDescent="0.25">
      <c r="A4053" s="1466"/>
      <c r="B4053" s="441"/>
      <c r="C4053" s="2535"/>
      <c r="D4053" s="4286"/>
      <c r="E4053" s="2818"/>
      <c r="F4053" s="2708"/>
      <c r="G4053" s="2778"/>
      <c r="H4053" s="1463"/>
      <c r="I4053" s="421"/>
      <c r="J4053" s="1216"/>
      <c r="K4053" s="1216"/>
    </row>
    <row r="4054" spans="1:11" ht="16.5" customHeight="1" x14ac:dyDescent="0.25">
      <c r="B4054" s="440"/>
      <c r="C4054" s="3692" t="s">
        <v>339</v>
      </c>
      <c r="D4054" s="4367">
        <f>D4055+D4065+D4068+D4071+D4074</f>
        <v>3680400000</v>
      </c>
      <c r="E4054" s="4122">
        <f>E4055+E4065+E4068+E4071+E4074</f>
        <v>3679930300</v>
      </c>
      <c r="F4054" s="3750">
        <f>E4054/D4054*100</f>
        <v>99.9872378002391</v>
      </c>
      <c r="G4054" s="2672">
        <f>G4055</f>
        <v>100</v>
      </c>
      <c r="H4054" s="1462"/>
    </row>
    <row r="4055" spans="1:11" ht="18.75" customHeight="1" x14ac:dyDescent="0.25">
      <c r="B4055" s="441"/>
      <c r="C4055" s="3693" t="s">
        <v>3362</v>
      </c>
      <c r="D4055" s="4368">
        <f>SUM(D4056:D4063)</f>
        <v>2637301800</v>
      </c>
      <c r="E4055" s="4123">
        <f>SUM(E4056:E4063)</f>
        <v>2637301800</v>
      </c>
      <c r="F4055" s="3694">
        <f>E4055/D4055*100</f>
        <v>100</v>
      </c>
      <c r="G4055" s="2734">
        <f>SUM(G4056:G4063)/7</f>
        <v>100</v>
      </c>
      <c r="H4055" s="1462"/>
    </row>
    <row r="4056" spans="1:11" ht="14.25" hidden="1" customHeight="1" x14ac:dyDescent="0.25">
      <c r="B4056" s="441"/>
      <c r="C4056" s="3619" t="s">
        <v>3363</v>
      </c>
      <c r="D4056" s="4287">
        <v>537301800</v>
      </c>
      <c r="E4056" s="2879">
        <v>537301800</v>
      </c>
      <c r="F4056" s="2685">
        <f t="shared" ref="F4056:F4063" si="317">E4056/D4056*100</f>
        <v>100</v>
      </c>
      <c r="G4056" s="2760">
        <v>100</v>
      </c>
      <c r="H4056" s="1462"/>
    </row>
    <row r="4057" spans="1:11" ht="14.25" hidden="1" customHeight="1" x14ac:dyDescent="0.25">
      <c r="B4057" s="441"/>
      <c r="C4057" s="3619" t="s">
        <v>3364</v>
      </c>
      <c r="D4057" s="4287">
        <v>450000000</v>
      </c>
      <c r="E4057" s="2879">
        <v>450000000</v>
      </c>
      <c r="F4057" s="2685">
        <f t="shared" si="317"/>
        <v>100</v>
      </c>
      <c r="G4057" s="2760">
        <v>100</v>
      </c>
      <c r="H4057" s="1462"/>
    </row>
    <row r="4058" spans="1:11" ht="14.25" hidden="1" customHeight="1" x14ac:dyDescent="0.25">
      <c r="B4058" s="441"/>
      <c r="C4058" s="2494" t="s">
        <v>3365</v>
      </c>
      <c r="D4058" s="3704">
        <v>400000000</v>
      </c>
      <c r="E4058" s="2968">
        <v>400000000</v>
      </c>
      <c r="F4058" s="2685">
        <f t="shared" si="317"/>
        <v>100</v>
      </c>
      <c r="G4058" s="2968">
        <v>100</v>
      </c>
      <c r="H4058" s="1463"/>
    </row>
    <row r="4059" spans="1:11" ht="14.25" hidden="1" customHeight="1" x14ac:dyDescent="0.25">
      <c r="B4059" s="441"/>
      <c r="C4059" s="2494" t="s">
        <v>3366</v>
      </c>
      <c r="D4059" s="3704">
        <v>500000000</v>
      </c>
      <c r="E4059" s="3216">
        <v>500000000</v>
      </c>
      <c r="F4059" s="2685">
        <f t="shared" si="317"/>
        <v>100</v>
      </c>
      <c r="G4059" s="2690">
        <v>100</v>
      </c>
      <c r="H4059" s="1463"/>
    </row>
    <row r="4060" spans="1:11" ht="14.25" hidden="1" customHeight="1" x14ac:dyDescent="0.25">
      <c r="B4060" s="441"/>
      <c r="C4060" s="2494" t="s">
        <v>3367</v>
      </c>
      <c r="D4060" s="3704">
        <v>150000000</v>
      </c>
      <c r="E4060" s="2968">
        <v>150000000</v>
      </c>
      <c r="F4060" s="2685">
        <f t="shared" si="317"/>
        <v>100</v>
      </c>
      <c r="G4060" s="2968">
        <v>100</v>
      </c>
      <c r="H4060" s="1463"/>
    </row>
    <row r="4061" spans="1:11" ht="14.25" hidden="1" customHeight="1" x14ac:dyDescent="0.25">
      <c r="B4061" s="441"/>
      <c r="C4061" s="2494" t="s">
        <v>3368</v>
      </c>
      <c r="D4061" s="4283" t="s">
        <v>3317</v>
      </c>
      <c r="E4061" s="3660" t="s">
        <v>3317</v>
      </c>
      <c r="F4061" s="3660" t="s">
        <v>3317</v>
      </c>
      <c r="G4061" s="4170" t="s">
        <v>3317</v>
      </c>
      <c r="H4061" s="1463"/>
    </row>
    <row r="4062" spans="1:11" ht="16.5" hidden="1" customHeight="1" x14ac:dyDescent="0.25">
      <c r="B4062" s="441"/>
      <c r="C4062" s="2494" t="s">
        <v>3369</v>
      </c>
      <c r="D4062" s="3704">
        <v>400000000</v>
      </c>
      <c r="E4062" s="3216">
        <v>400000000</v>
      </c>
      <c r="F4062" s="2685">
        <f t="shared" si="317"/>
        <v>100</v>
      </c>
      <c r="G4062" s="2855">
        <v>100</v>
      </c>
      <c r="H4062" s="1463"/>
    </row>
    <row r="4063" spans="1:11" ht="17.25" hidden="1" customHeight="1" x14ac:dyDescent="0.25">
      <c r="B4063" s="441"/>
      <c r="C4063" s="2473" t="s">
        <v>3370</v>
      </c>
      <c r="D4063" s="4066">
        <v>200000000</v>
      </c>
      <c r="E4063" s="2968">
        <v>200000000</v>
      </c>
      <c r="F4063" s="3695">
        <f t="shared" si="317"/>
        <v>100</v>
      </c>
      <c r="G4063" s="2968">
        <v>100</v>
      </c>
      <c r="H4063" s="1463"/>
    </row>
    <row r="4064" spans="1:11" ht="10.5" hidden="1" customHeight="1" x14ac:dyDescent="0.25">
      <c r="B4064" s="441"/>
      <c r="C4064" s="2473"/>
      <c r="D4064" s="4066"/>
      <c r="E4064" s="2690"/>
      <c r="F4064" s="2685"/>
      <c r="G4064" s="3035"/>
      <c r="H4064" s="1463"/>
    </row>
    <row r="4065" spans="2:8" ht="18.75" customHeight="1" x14ac:dyDescent="0.25">
      <c r="B4065" s="441"/>
      <c r="C4065" s="2474" t="s">
        <v>3371</v>
      </c>
      <c r="D4065" s="4065">
        <f>D4066</f>
        <v>300000000</v>
      </c>
      <c r="E4065" s="3250">
        <f>E4066</f>
        <v>299530300</v>
      </c>
      <c r="F4065" s="2679">
        <f t="shared" ref="F4065:F4066" si="318">E4065/D4065*100</f>
        <v>99.843433333333337</v>
      </c>
      <c r="G4065" s="2695">
        <f>G4066</f>
        <v>100</v>
      </c>
      <c r="H4065" s="1462"/>
    </row>
    <row r="4066" spans="2:8" ht="17.25" hidden="1" customHeight="1" x14ac:dyDescent="0.25">
      <c r="B4066" s="441"/>
      <c r="C4066" s="2473" t="s">
        <v>2636</v>
      </c>
      <c r="D4066" s="4066">
        <v>300000000</v>
      </c>
      <c r="E4066" s="2690">
        <v>299530300</v>
      </c>
      <c r="F4066" s="2685">
        <f t="shared" si="318"/>
        <v>99.843433333333337</v>
      </c>
      <c r="G4066" s="2690">
        <v>100</v>
      </c>
      <c r="H4066" s="1463"/>
    </row>
    <row r="4067" spans="2:8" ht="11.25" hidden="1" customHeight="1" x14ac:dyDescent="0.25">
      <c r="B4067" s="441"/>
      <c r="C4067" s="2473"/>
      <c r="D4067" s="4066"/>
      <c r="E4067" s="2690"/>
      <c r="F4067" s="2685"/>
      <c r="G4067" s="3035"/>
      <c r="H4067" s="1463"/>
    </row>
    <row r="4068" spans="2:8" ht="17.25" customHeight="1" x14ac:dyDescent="0.25">
      <c r="B4068" s="441"/>
      <c r="C4068" s="2474" t="s">
        <v>3372</v>
      </c>
      <c r="D4068" s="4065">
        <f>D4069</f>
        <v>143098200</v>
      </c>
      <c r="E4068" s="3250">
        <f>E4069</f>
        <v>143098200</v>
      </c>
      <c r="F4068" s="2725">
        <f>E4068/D4068*100</f>
        <v>100</v>
      </c>
      <c r="G4068" s="2695">
        <f>G4069</f>
        <v>100</v>
      </c>
      <c r="H4068" s="1462"/>
    </row>
    <row r="4069" spans="2:8" ht="17.25" hidden="1" customHeight="1" x14ac:dyDescent="0.25">
      <c r="B4069" s="441"/>
      <c r="C4069" s="2473" t="s">
        <v>3373</v>
      </c>
      <c r="D4069" s="4066">
        <v>143098200</v>
      </c>
      <c r="E4069" s="2690">
        <v>143098200</v>
      </c>
      <c r="F4069" s="2685">
        <f t="shared" ref="F4069" si="319">E4069/D4069*100</f>
        <v>100</v>
      </c>
      <c r="G4069" s="2690">
        <v>100</v>
      </c>
      <c r="H4069" s="1463"/>
    </row>
    <row r="4070" spans="2:8" ht="10.5" hidden="1" customHeight="1" x14ac:dyDescent="0.25">
      <c r="B4070" s="441"/>
      <c r="C4070" s="2473"/>
      <c r="D4070" s="4066"/>
      <c r="E4070" s="2690"/>
      <c r="F4070" s="2685"/>
      <c r="G4070" s="3035"/>
      <c r="H4070" s="1463"/>
    </row>
    <row r="4071" spans="2:8" ht="18" customHeight="1" x14ac:dyDescent="0.25">
      <c r="B4071" s="441"/>
      <c r="C4071" s="2474" t="s">
        <v>3374</v>
      </c>
      <c r="D4071" s="4065">
        <f>D4072</f>
        <v>200000000</v>
      </c>
      <c r="E4071" s="2695">
        <f>E4072</f>
        <v>200000000</v>
      </c>
      <c r="F4071" s="2725">
        <f>E4071/D4071*100</f>
        <v>100</v>
      </c>
      <c r="G4071" s="2966">
        <f>G4072</f>
        <v>100</v>
      </c>
      <c r="H4071" s="1462"/>
    </row>
    <row r="4072" spans="2:8" ht="18" hidden="1" customHeight="1" x14ac:dyDescent="0.25">
      <c r="B4072" s="441"/>
      <c r="C4072" s="2473" t="s">
        <v>3375</v>
      </c>
      <c r="D4072" s="4066">
        <v>200000000</v>
      </c>
      <c r="E4072" s="2968">
        <v>200000000</v>
      </c>
      <c r="F4072" s="2685">
        <f t="shared" ref="F4072" si="320">E4072/D4072*100</f>
        <v>100</v>
      </c>
      <c r="G4072" s="2968">
        <v>100</v>
      </c>
      <c r="H4072" s="1463"/>
    </row>
    <row r="4073" spans="2:8" ht="9.75" hidden="1" customHeight="1" x14ac:dyDescent="0.25">
      <c r="B4073" s="441"/>
      <c r="C4073" s="2476"/>
      <c r="D4073" s="4071"/>
      <c r="E4073" s="2710"/>
      <c r="F4073" s="2708"/>
      <c r="G4073" s="2778"/>
      <c r="H4073" s="1463"/>
    </row>
    <row r="4074" spans="2:8" ht="16.5" customHeight="1" x14ac:dyDescent="0.25">
      <c r="B4074" s="441"/>
      <c r="C4074" s="2474" t="s">
        <v>3999</v>
      </c>
      <c r="D4074" s="4065">
        <f>D4075</f>
        <v>400000000</v>
      </c>
      <c r="E4074" s="2695">
        <f>E4075</f>
        <v>400000000</v>
      </c>
      <c r="F4074" s="2725">
        <f>E4074/D4074*100</f>
        <v>100</v>
      </c>
      <c r="G4074" s="2966">
        <f>G4075</f>
        <v>100</v>
      </c>
      <c r="H4074" s="1463"/>
    </row>
    <row r="4075" spans="2:8" ht="20.25" hidden="1" customHeight="1" x14ac:dyDescent="0.25">
      <c r="B4075" s="441"/>
      <c r="C4075" s="2473" t="s">
        <v>4000</v>
      </c>
      <c r="D4075" s="4066">
        <v>400000000</v>
      </c>
      <c r="E4075" s="2690">
        <v>400000000</v>
      </c>
      <c r="F4075" s="2685">
        <f t="shared" ref="F4075" si="321">E4075/D4075*100</f>
        <v>100</v>
      </c>
      <c r="G4075" s="2968">
        <v>100</v>
      </c>
      <c r="H4075" s="1463"/>
    </row>
    <row r="4076" spans="2:8" ht="14.25" hidden="1" customHeight="1" x14ac:dyDescent="0.25">
      <c r="B4076" s="441"/>
      <c r="C4076" s="2475"/>
      <c r="D4076" s="4301"/>
      <c r="E4076" s="2752"/>
      <c r="F4076" s="2830"/>
      <c r="G4076" s="2784"/>
      <c r="H4076" s="1463"/>
    </row>
    <row r="4077" spans="2:8" ht="16.5" customHeight="1" x14ac:dyDescent="0.25">
      <c r="B4077" s="440"/>
      <c r="C4077" s="2471" t="s">
        <v>3376</v>
      </c>
      <c r="D4077" s="4106">
        <f>SUM(D4078+D4082)</f>
        <v>1840200000</v>
      </c>
      <c r="E4077" s="2672">
        <f>SUM(E4078+E4082)</f>
        <v>1837597250</v>
      </c>
      <c r="F4077" s="2719">
        <f>E4077/D4077*100</f>
        <v>99.858561569394638</v>
      </c>
      <c r="G4077" s="2672">
        <f>SUM(G4078+G4082)/2</f>
        <v>100</v>
      </c>
      <c r="H4077" s="1462"/>
    </row>
    <row r="4078" spans="2:8" ht="15.75" customHeight="1" x14ac:dyDescent="0.25">
      <c r="B4078" s="441"/>
      <c r="C4078" s="2472" t="s">
        <v>3377</v>
      </c>
      <c r="D4078" s="4072">
        <f>SUM(D4079:D4080)</f>
        <v>1323475000</v>
      </c>
      <c r="E4078" s="2734">
        <f>SUM(E4079:E4080)</f>
        <v>1323475000</v>
      </c>
      <c r="F4078" s="2725">
        <f>E4078/D4078*100</f>
        <v>100</v>
      </c>
      <c r="G4078" s="2734">
        <f>SUM(G4079:G4080)/2</f>
        <v>100</v>
      </c>
      <c r="H4078" s="1462"/>
    </row>
    <row r="4079" spans="2:8" ht="14.25" hidden="1" customHeight="1" x14ac:dyDescent="0.25">
      <c r="B4079" s="441"/>
      <c r="C4079" s="2473" t="s">
        <v>3378</v>
      </c>
      <c r="D4079" s="4066">
        <v>448825000</v>
      </c>
      <c r="E4079" s="2690">
        <v>448825000</v>
      </c>
      <c r="F4079" s="2685">
        <f t="shared" ref="F4079:F4080" si="322">E4079/D4079*100</f>
        <v>100</v>
      </c>
      <c r="G4079" s="2690">
        <v>100</v>
      </c>
      <c r="H4079" s="1463"/>
    </row>
    <row r="4080" spans="2:8" ht="14.25" hidden="1" customHeight="1" x14ac:dyDescent="0.25">
      <c r="B4080" s="441"/>
      <c r="C4080" s="2473" t="s">
        <v>3379</v>
      </c>
      <c r="D4080" s="4066">
        <v>874650000</v>
      </c>
      <c r="E4080" s="2690">
        <v>874650000</v>
      </c>
      <c r="F4080" s="2685">
        <f t="shared" si="322"/>
        <v>100</v>
      </c>
      <c r="G4080" s="2690">
        <v>100</v>
      </c>
      <c r="H4080" s="1463"/>
    </row>
    <row r="4081" spans="2:8" ht="10.5" hidden="1" customHeight="1" x14ac:dyDescent="0.25">
      <c r="B4081" s="441"/>
      <c r="C4081" s="2473"/>
      <c r="D4081" s="4066"/>
      <c r="E4081" s="2690"/>
      <c r="F4081" s="2685"/>
      <c r="G4081" s="3035"/>
      <c r="H4081" s="1463"/>
    </row>
    <row r="4082" spans="2:8" ht="18" customHeight="1" x14ac:dyDescent="0.25">
      <c r="B4082" s="441"/>
      <c r="C4082" s="2474" t="s">
        <v>3380</v>
      </c>
      <c r="D4082" s="4065">
        <f>D4083</f>
        <v>516725000</v>
      </c>
      <c r="E4082" s="3250">
        <f>E4083</f>
        <v>514122250</v>
      </c>
      <c r="F4082" s="2725">
        <f>E4082/D4082*100</f>
        <v>99.496298804973634</v>
      </c>
      <c r="G4082" s="2695">
        <f>G4083</f>
        <v>100</v>
      </c>
      <c r="H4082" s="1462"/>
    </row>
    <row r="4083" spans="2:8" ht="14.25" hidden="1" customHeight="1" x14ac:dyDescent="0.25">
      <c r="B4083" s="441"/>
      <c r="C4083" s="2473" t="s">
        <v>3381</v>
      </c>
      <c r="D4083" s="4066">
        <v>516725000</v>
      </c>
      <c r="E4083" s="2690">
        <v>514122250</v>
      </c>
      <c r="F4083" s="2685">
        <f t="shared" ref="F4083" si="323">E4083/D4083*100</f>
        <v>99.496298804973634</v>
      </c>
      <c r="G4083" s="3035">
        <v>100</v>
      </c>
      <c r="H4083" s="1463"/>
    </row>
    <row r="4084" spans="2:8" ht="14.25" hidden="1" customHeight="1" x14ac:dyDescent="0.25">
      <c r="B4084" s="441"/>
      <c r="C4084" s="2476"/>
      <c r="D4084" s="4071"/>
      <c r="E4084" s="2710"/>
      <c r="F4084" s="2708"/>
      <c r="G4084" s="2778"/>
      <c r="H4084" s="1463"/>
    </row>
    <row r="4085" spans="2:8" ht="18" customHeight="1" x14ac:dyDescent="0.25">
      <c r="B4085" s="440"/>
      <c r="C4085" s="3696" t="s">
        <v>3382</v>
      </c>
      <c r="D4085" s="4106">
        <f>SUM(D4086+D4090+D4095+D4101)</f>
        <v>5715735200</v>
      </c>
      <c r="E4085" s="3345">
        <f>SUM(E4086+E4090+E4095+E4101)</f>
        <v>5615782936</v>
      </c>
      <c r="F4085" s="2719">
        <f>E4085/D4085*100</f>
        <v>98.251278960578858</v>
      </c>
      <c r="G4085" s="2672">
        <f>SUM(G4086+G4090+G4095+G4101)/4</f>
        <v>100</v>
      </c>
      <c r="H4085" s="1463"/>
    </row>
    <row r="4086" spans="2:8" ht="29.25" customHeight="1" x14ac:dyDescent="0.25">
      <c r="B4086" s="441"/>
      <c r="C4086" s="3697" t="s">
        <v>3383</v>
      </c>
      <c r="D4086" s="4305">
        <f>SUM(D4087:D4088)</f>
        <v>275705000</v>
      </c>
      <c r="E4086" s="3373">
        <f>SUM(E4087:E4088)</f>
        <v>274895000</v>
      </c>
      <c r="F4086" s="2725">
        <f>E4086/D4086*100</f>
        <v>99.706207722021716</v>
      </c>
      <c r="G4086" s="3021">
        <f>SUM(G4087:G4088)/2</f>
        <v>100</v>
      </c>
      <c r="H4086" s="1463"/>
    </row>
    <row r="4087" spans="2:8" ht="16.5" hidden="1" customHeight="1" x14ac:dyDescent="0.25">
      <c r="B4087" s="441"/>
      <c r="C4087" s="2611" t="s">
        <v>3384</v>
      </c>
      <c r="D4087" s="4066">
        <v>146102500</v>
      </c>
      <c r="E4087" s="2968">
        <v>146102500</v>
      </c>
      <c r="F4087" s="2685">
        <f t="shared" ref="F4087:F4088" si="324">E4087/D4087*100</f>
        <v>100</v>
      </c>
      <c r="G4087" s="2968">
        <v>100</v>
      </c>
      <c r="H4087" s="1463"/>
    </row>
    <row r="4088" spans="2:8" ht="14.25" hidden="1" customHeight="1" x14ac:dyDescent="0.25">
      <c r="B4088" s="441"/>
      <c r="C4088" s="2611" t="s">
        <v>3425</v>
      </c>
      <c r="D4088" s="4066">
        <v>129602500</v>
      </c>
      <c r="E4088" s="2968">
        <v>128792500</v>
      </c>
      <c r="F4088" s="2685">
        <f t="shared" si="324"/>
        <v>99.37501205609459</v>
      </c>
      <c r="G4088" s="2968">
        <v>100</v>
      </c>
      <c r="H4088" s="1463"/>
    </row>
    <row r="4089" spans="2:8" ht="12" hidden="1" customHeight="1" x14ac:dyDescent="0.25">
      <c r="B4089" s="441"/>
      <c r="C4089" s="2612"/>
      <c r="D4089" s="4066"/>
      <c r="E4089" s="2690"/>
      <c r="F4089" s="2685"/>
      <c r="G4089" s="3035"/>
      <c r="H4089" s="1463"/>
    </row>
    <row r="4090" spans="2:8" ht="18.75" customHeight="1" x14ac:dyDescent="0.25">
      <c r="B4090" s="441"/>
      <c r="C4090" s="2613" t="s">
        <v>3385</v>
      </c>
      <c r="D4090" s="4300">
        <f>SUM(D4091:D4093)</f>
        <v>1717832900</v>
      </c>
      <c r="E4090" s="4057">
        <f>SUM(E4091:E4093)</f>
        <v>1626500000</v>
      </c>
      <c r="F4090" s="2679">
        <f>E4090/D4090*100</f>
        <v>94.683248877117208</v>
      </c>
      <c r="G4090" s="2695">
        <f>SUM(G4091:G4093)/3</f>
        <v>100</v>
      </c>
      <c r="H4090" s="1463"/>
    </row>
    <row r="4091" spans="2:8" ht="17.25" hidden="1" customHeight="1" x14ac:dyDescent="0.25">
      <c r="B4091" s="441"/>
      <c r="C4091" s="2611" t="s">
        <v>3386</v>
      </c>
      <c r="D4091" s="4066">
        <v>132602500</v>
      </c>
      <c r="E4091" s="2690">
        <v>131852500</v>
      </c>
      <c r="F4091" s="2685">
        <f t="shared" ref="F4091:F4093" si="325">E4091/D4091*100</f>
        <v>99.43439980392526</v>
      </c>
      <c r="G4091" s="2690">
        <v>100</v>
      </c>
      <c r="H4091" s="1463"/>
    </row>
    <row r="4092" spans="2:8" ht="18" hidden="1" customHeight="1" x14ac:dyDescent="0.25">
      <c r="B4092" s="441"/>
      <c r="C4092" s="2611" t="s">
        <v>3387</v>
      </c>
      <c r="D4092" s="4066">
        <v>215477500</v>
      </c>
      <c r="E4092" s="2968">
        <v>214277500</v>
      </c>
      <c r="F4092" s="2685">
        <f t="shared" si="325"/>
        <v>99.443097307143432</v>
      </c>
      <c r="G4092" s="2968">
        <v>100</v>
      </c>
      <c r="H4092" s="1463"/>
    </row>
    <row r="4093" spans="2:8" ht="18.75" hidden="1" customHeight="1" x14ac:dyDescent="0.25">
      <c r="B4093" s="441"/>
      <c r="C4093" s="2611" t="s">
        <v>3388</v>
      </c>
      <c r="D4093" s="4066">
        <v>1369752900</v>
      </c>
      <c r="E4093" s="2690">
        <v>1280370000</v>
      </c>
      <c r="F4093" s="2685">
        <f t="shared" si="325"/>
        <v>93.474523762643614</v>
      </c>
      <c r="G4093" s="2690">
        <v>100</v>
      </c>
      <c r="H4093" s="1463"/>
    </row>
    <row r="4094" spans="2:8" ht="12.75" hidden="1" customHeight="1" x14ac:dyDescent="0.25">
      <c r="B4094" s="441"/>
      <c r="C4094" s="2612"/>
      <c r="D4094" s="4066"/>
      <c r="E4094" s="2690"/>
      <c r="F4094" s="2685"/>
      <c r="G4094" s="3035"/>
      <c r="H4094" s="1463"/>
    </row>
    <row r="4095" spans="2:8" ht="18.75" customHeight="1" x14ac:dyDescent="0.25">
      <c r="B4095" s="441"/>
      <c r="C4095" s="2613" t="s">
        <v>3389</v>
      </c>
      <c r="D4095" s="4300">
        <f>SUM(D4096:D4099)</f>
        <v>1790508700</v>
      </c>
      <c r="E4095" s="4057">
        <f>SUM(E4096:E4099)</f>
        <v>1786149428</v>
      </c>
      <c r="F4095" s="4057">
        <f>E4095/D4095*100</f>
        <v>99.756534441860012</v>
      </c>
      <c r="G4095" s="4057">
        <f>SUM(G4096:G4098)/3</f>
        <v>100</v>
      </c>
      <c r="H4095" s="1463"/>
    </row>
    <row r="4096" spans="2:8" ht="15.75" hidden="1" customHeight="1" x14ac:dyDescent="0.25">
      <c r="B4096" s="441"/>
      <c r="C4096" s="2611" t="s">
        <v>3390</v>
      </c>
      <c r="D4096" s="4066">
        <v>1044522900</v>
      </c>
      <c r="E4096" s="2968">
        <v>1042865445</v>
      </c>
      <c r="F4096" s="2923">
        <f t="shared" ref="F4096:F4098" si="326">E4096/D4096*100</f>
        <v>99.841319419612532</v>
      </c>
      <c r="G4096" s="2968">
        <v>100</v>
      </c>
      <c r="H4096" s="1463"/>
    </row>
    <row r="4097" spans="2:8" ht="18.75" hidden="1" customHeight="1" x14ac:dyDescent="0.25">
      <c r="B4097" s="441"/>
      <c r="C4097" s="2611" t="s">
        <v>3391</v>
      </c>
      <c r="D4097" s="4066">
        <v>422992900</v>
      </c>
      <c r="E4097" s="2968">
        <v>420579264</v>
      </c>
      <c r="F4097" s="2923">
        <f t="shared" si="326"/>
        <v>99.429390895213615</v>
      </c>
      <c r="G4097" s="2968">
        <v>100</v>
      </c>
      <c r="H4097" s="1463"/>
    </row>
    <row r="4098" spans="2:8" ht="16.5" hidden="1" customHeight="1" x14ac:dyDescent="0.25">
      <c r="B4098" s="441"/>
      <c r="C4098" s="2611" t="s">
        <v>3392</v>
      </c>
      <c r="D4098" s="4066">
        <v>322992900</v>
      </c>
      <c r="E4098" s="2690">
        <v>322704719</v>
      </c>
      <c r="F4098" s="2923">
        <f t="shared" si="326"/>
        <v>99.910777914932495</v>
      </c>
      <c r="G4098" s="2968">
        <v>100</v>
      </c>
      <c r="H4098" s="1463"/>
    </row>
    <row r="4099" spans="2:8" ht="16.5" hidden="1" customHeight="1" x14ac:dyDescent="0.25">
      <c r="B4099" s="441"/>
      <c r="C4099" s="2611" t="s">
        <v>3393</v>
      </c>
      <c r="D4099" s="4066">
        <v>0</v>
      </c>
      <c r="E4099" s="2690">
        <v>0</v>
      </c>
      <c r="F4099" s="2690">
        <v>0</v>
      </c>
      <c r="G4099" s="2690">
        <v>0</v>
      </c>
      <c r="H4099" s="1463"/>
    </row>
    <row r="4100" spans="2:8" ht="10.5" hidden="1" customHeight="1" x14ac:dyDescent="0.25">
      <c r="B4100" s="441"/>
      <c r="C4100" s="2611"/>
      <c r="D4100" s="4066"/>
      <c r="E4100" s="2690"/>
      <c r="F4100" s="2685"/>
      <c r="G4100" s="3035"/>
      <c r="H4100" s="1463"/>
    </row>
    <row r="4101" spans="2:8" ht="20.25" customHeight="1" x14ac:dyDescent="0.25">
      <c r="B4101" s="441"/>
      <c r="C4101" s="2613" t="s">
        <v>3394</v>
      </c>
      <c r="D4101" s="4300">
        <f>SUM(D4102:D4110)</f>
        <v>1931688600</v>
      </c>
      <c r="E4101" s="4057">
        <f>SUM(E4102:E4110)</f>
        <v>1928238508</v>
      </c>
      <c r="F4101" s="4057">
        <f>E4101/D4101*100</f>
        <v>99.821395021951261</v>
      </c>
      <c r="G4101" s="4057">
        <f>SUM(G4102:G4110)/8</f>
        <v>100</v>
      </c>
      <c r="H4101" s="1463"/>
    </row>
    <row r="4102" spans="2:8" ht="31.5" hidden="1" customHeight="1" x14ac:dyDescent="0.25">
      <c r="B4102" s="441"/>
      <c r="C4102" s="2611" t="s">
        <v>3395</v>
      </c>
      <c r="D4102" s="4066">
        <v>241511900</v>
      </c>
      <c r="E4102" s="2690">
        <v>240744627</v>
      </c>
      <c r="F4102" s="2923">
        <f t="shared" ref="F4102:F4110" si="327">E4102/D4102*100</f>
        <v>99.682304267408767</v>
      </c>
      <c r="G4102" s="2968">
        <v>100</v>
      </c>
      <c r="H4102" s="1463"/>
    </row>
    <row r="4103" spans="2:8" ht="17.25" hidden="1" customHeight="1" x14ac:dyDescent="0.25">
      <c r="B4103" s="441"/>
      <c r="C4103" s="2611" t="s">
        <v>3396</v>
      </c>
      <c r="D4103" s="4066">
        <v>281511900</v>
      </c>
      <c r="E4103" s="2968">
        <v>281506445</v>
      </c>
      <c r="F4103" s="2923">
        <f t="shared" si="327"/>
        <v>99.998062248878298</v>
      </c>
      <c r="G4103" s="2968">
        <v>100</v>
      </c>
      <c r="H4103" s="1463"/>
    </row>
    <row r="4104" spans="2:8" ht="18.75" hidden="1" customHeight="1" x14ac:dyDescent="0.25">
      <c r="B4104" s="441"/>
      <c r="C4104" s="2611" t="s">
        <v>3397</v>
      </c>
      <c r="D4104" s="4066">
        <v>217511900</v>
      </c>
      <c r="E4104" s="2968">
        <v>217511900</v>
      </c>
      <c r="F4104" s="2923">
        <f t="shared" si="327"/>
        <v>100</v>
      </c>
      <c r="G4104" s="2968">
        <v>100</v>
      </c>
      <c r="H4104" s="1463"/>
    </row>
    <row r="4105" spans="2:8" ht="28.5" hidden="1" customHeight="1" x14ac:dyDescent="0.25">
      <c r="B4105" s="441"/>
      <c r="C4105" s="2611" t="s">
        <v>3398</v>
      </c>
      <c r="D4105" s="4066">
        <v>215111900</v>
      </c>
      <c r="E4105" s="2968">
        <v>214981900</v>
      </c>
      <c r="F4105" s="2923">
        <f t="shared" si="327"/>
        <v>99.939566337334199</v>
      </c>
      <c r="G4105" s="2968">
        <v>100</v>
      </c>
      <c r="H4105" s="1463"/>
    </row>
    <row r="4106" spans="2:8" ht="30.75" hidden="1" customHeight="1" x14ac:dyDescent="0.25">
      <c r="B4106" s="441"/>
      <c r="C4106" s="2611" t="s">
        <v>3399</v>
      </c>
      <c r="D4106" s="4066">
        <v>222311900</v>
      </c>
      <c r="E4106" s="2968">
        <v>221683627</v>
      </c>
      <c r="F4106" s="2923">
        <f t="shared" si="327"/>
        <v>99.717391196782529</v>
      </c>
      <c r="G4106" s="2968">
        <v>100</v>
      </c>
      <c r="H4106" s="1463"/>
    </row>
    <row r="4107" spans="2:8" ht="28.5" hidden="1" customHeight="1" x14ac:dyDescent="0.25">
      <c r="B4107" s="441"/>
      <c r="C4107" s="2611" t="s">
        <v>3400</v>
      </c>
      <c r="D4107" s="4066">
        <v>301511900</v>
      </c>
      <c r="E4107" s="2968">
        <v>301184627</v>
      </c>
      <c r="F4107" s="2923">
        <f t="shared" si="327"/>
        <v>99.89145602545041</v>
      </c>
      <c r="G4107" s="2968">
        <v>100</v>
      </c>
      <c r="H4107" s="1463"/>
    </row>
    <row r="4108" spans="2:8" ht="18" hidden="1" customHeight="1" x14ac:dyDescent="0.25">
      <c r="B4108" s="441"/>
      <c r="C4108" s="2611" t="s">
        <v>3401</v>
      </c>
      <c r="D4108" s="4066">
        <v>220705300</v>
      </c>
      <c r="E4108" s="2968">
        <v>219886209</v>
      </c>
      <c r="F4108" s="2923">
        <f t="shared" si="327"/>
        <v>99.628875699858582</v>
      </c>
      <c r="G4108" s="2968">
        <v>100</v>
      </c>
      <c r="H4108" s="1463"/>
    </row>
    <row r="4109" spans="2:8" ht="17.25" hidden="1" customHeight="1" x14ac:dyDescent="0.25">
      <c r="B4109" s="441"/>
      <c r="C4109" s="2611" t="s">
        <v>3402</v>
      </c>
      <c r="D4109" s="4066">
        <v>0</v>
      </c>
      <c r="E4109" s="2690">
        <v>0</v>
      </c>
      <c r="F4109" s="2690">
        <v>0</v>
      </c>
      <c r="G4109" s="2690">
        <v>0</v>
      </c>
      <c r="H4109" s="1463"/>
    </row>
    <row r="4110" spans="2:8" ht="17.25" hidden="1" customHeight="1" x14ac:dyDescent="0.25">
      <c r="B4110" s="441"/>
      <c r="C4110" s="2611" t="s">
        <v>3403</v>
      </c>
      <c r="D4110" s="4066">
        <v>231511900</v>
      </c>
      <c r="E4110" s="2690">
        <v>230739173</v>
      </c>
      <c r="F4110" s="2923">
        <f t="shared" si="327"/>
        <v>99.666225796600514</v>
      </c>
      <c r="G4110" s="2968">
        <v>100</v>
      </c>
      <c r="H4110" s="1463"/>
    </row>
    <row r="4111" spans="2:8" ht="14.25" hidden="1" customHeight="1" x14ac:dyDescent="0.25">
      <c r="B4111" s="441"/>
      <c r="C4111" s="2475"/>
      <c r="D4111" s="4301"/>
      <c r="E4111" s="2752"/>
      <c r="F4111" s="2830"/>
      <c r="G4111" s="2784"/>
      <c r="H4111" s="1463"/>
    </row>
    <row r="4112" spans="2:8" ht="20.25" customHeight="1" x14ac:dyDescent="0.25">
      <c r="B4112" s="440"/>
      <c r="C4112" s="2471" t="s">
        <v>3404</v>
      </c>
      <c r="D4112" s="4106">
        <f>SUM(D4113+D4120)</f>
        <v>921900000</v>
      </c>
      <c r="E4112" s="2672">
        <f>SUM(E4113+E4120)</f>
        <v>921900000</v>
      </c>
      <c r="F4112" s="2719">
        <f>E4112/D4112*100</f>
        <v>100</v>
      </c>
      <c r="G4112" s="2719">
        <f>SUM(G4113)/1</f>
        <v>100</v>
      </c>
      <c r="H4112" s="1462"/>
    </row>
    <row r="4113" spans="2:8" ht="30" customHeight="1" x14ac:dyDescent="0.25">
      <c r="B4113" s="441"/>
      <c r="C4113" s="2472" t="s">
        <v>3405</v>
      </c>
      <c r="D4113" s="4072">
        <f>SUM(D4114:D4118)</f>
        <v>921900000</v>
      </c>
      <c r="E4113" s="2734">
        <f>SUM(E4114:E4118)</f>
        <v>921900000</v>
      </c>
      <c r="F4113" s="2725">
        <f>E4113/D4113*100</f>
        <v>100</v>
      </c>
      <c r="G4113" s="2725">
        <f>SUM(G4118)/1</f>
        <v>100</v>
      </c>
      <c r="H4113" s="1462"/>
    </row>
    <row r="4114" spans="2:8" ht="14.25" hidden="1" customHeight="1" x14ac:dyDescent="0.25">
      <c r="B4114" s="441"/>
      <c r="C4114" s="2473" t="s">
        <v>3406</v>
      </c>
      <c r="D4114" s="4066">
        <v>0</v>
      </c>
      <c r="E4114" s="2690">
        <v>0</v>
      </c>
      <c r="F4114" s="2690">
        <v>0</v>
      </c>
      <c r="G4114" s="2690">
        <v>0</v>
      </c>
      <c r="H4114" s="1463"/>
    </row>
    <row r="4115" spans="2:8" ht="14.25" hidden="1" customHeight="1" x14ac:dyDescent="0.25">
      <c r="B4115" s="441"/>
      <c r="C4115" s="2473" t="s">
        <v>3407</v>
      </c>
      <c r="D4115" s="4066">
        <v>0</v>
      </c>
      <c r="E4115" s="2690">
        <v>0</v>
      </c>
      <c r="F4115" s="2690">
        <v>0</v>
      </c>
      <c r="G4115" s="2690">
        <v>0</v>
      </c>
      <c r="H4115" s="1463"/>
    </row>
    <row r="4116" spans="2:8" ht="16.5" hidden="1" customHeight="1" x14ac:dyDescent="0.25">
      <c r="B4116" s="441"/>
      <c r="C4116" s="2473" t="s">
        <v>3408</v>
      </c>
      <c r="D4116" s="4066">
        <v>0</v>
      </c>
      <c r="E4116" s="2690">
        <v>0</v>
      </c>
      <c r="F4116" s="2690">
        <v>0</v>
      </c>
      <c r="G4116" s="2690">
        <v>0</v>
      </c>
      <c r="H4116" s="1463"/>
    </row>
    <row r="4117" spans="2:8" ht="14.25" hidden="1" customHeight="1" x14ac:dyDescent="0.25">
      <c r="B4117" s="441"/>
      <c r="C4117" s="2473" t="s">
        <v>3409</v>
      </c>
      <c r="D4117" s="4066">
        <v>0</v>
      </c>
      <c r="E4117" s="2690">
        <v>0</v>
      </c>
      <c r="F4117" s="2690">
        <v>0</v>
      </c>
      <c r="G4117" s="2690">
        <v>0</v>
      </c>
      <c r="H4117" s="1463"/>
    </row>
    <row r="4118" spans="2:8" ht="21" hidden="1" customHeight="1" x14ac:dyDescent="0.25">
      <c r="B4118" s="441"/>
      <c r="C4118" s="2473" t="s">
        <v>4001</v>
      </c>
      <c r="D4118" s="4066">
        <v>921900000</v>
      </c>
      <c r="E4118" s="2968">
        <v>921900000</v>
      </c>
      <c r="F4118" s="2968">
        <f>E4118/D4118*100</f>
        <v>100</v>
      </c>
      <c r="G4118" s="2968">
        <v>100</v>
      </c>
      <c r="H4118" s="1463"/>
    </row>
    <row r="4119" spans="2:8" ht="9.75" hidden="1" customHeight="1" x14ac:dyDescent="0.25">
      <c r="B4119" s="441"/>
      <c r="C4119" s="2473"/>
      <c r="D4119" s="4066"/>
      <c r="E4119" s="2690"/>
      <c r="F4119" s="2685"/>
      <c r="G4119" s="3035"/>
      <c r="H4119" s="1463"/>
    </row>
    <row r="4120" spans="2:8" ht="14.25" customHeight="1" x14ac:dyDescent="0.25">
      <c r="B4120" s="441"/>
      <c r="C4120" s="2474" t="s">
        <v>2637</v>
      </c>
      <c r="D4120" s="4065">
        <v>0</v>
      </c>
      <c r="E4120" s="2695">
        <v>0</v>
      </c>
      <c r="F4120" s="2695">
        <v>0</v>
      </c>
      <c r="G4120" s="2695">
        <v>0</v>
      </c>
      <c r="H4120" s="1462"/>
    </row>
    <row r="4121" spans="2:8" ht="16.5" hidden="1" customHeight="1" x14ac:dyDescent="0.25">
      <c r="B4121" s="441"/>
      <c r="C4121" s="2473" t="s">
        <v>2638</v>
      </c>
      <c r="D4121" s="4066">
        <v>0</v>
      </c>
      <c r="E4121" s="2690">
        <v>0</v>
      </c>
      <c r="F4121" s="2690">
        <v>0</v>
      </c>
      <c r="G4121" s="2690">
        <v>0</v>
      </c>
      <c r="H4121" s="1463"/>
    </row>
    <row r="4122" spans="2:8" ht="14.25" hidden="1" customHeight="1" x14ac:dyDescent="0.25">
      <c r="B4122" s="441"/>
      <c r="C4122" s="2475"/>
      <c r="D4122" s="4301"/>
      <c r="E4122" s="2752"/>
      <c r="F4122" s="2830"/>
      <c r="G4122" s="2784"/>
      <c r="H4122" s="1463"/>
    </row>
    <row r="4123" spans="2:8" ht="17.25" customHeight="1" x14ac:dyDescent="0.25">
      <c r="B4123" s="440"/>
      <c r="C4123" s="2471" t="s">
        <v>3411</v>
      </c>
      <c r="D4123" s="4106">
        <f>D4124</f>
        <v>760300000</v>
      </c>
      <c r="E4123" s="2672">
        <f>E4124</f>
        <v>646920850</v>
      </c>
      <c r="F4123" s="2719">
        <f>E4123/D4123*100</f>
        <v>85.087577272129423</v>
      </c>
      <c r="G4123" s="2719">
        <f>G4124</f>
        <v>100</v>
      </c>
      <c r="H4123" s="1462"/>
    </row>
    <row r="4124" spans="2:8" ht="18.75" customHeight="1" x14ac:dyDescent="0.25">
      <c r="B4124" s="441"/>
      <c r="C4124" s="2478" t="s">
        <v>3412</v>
      </c>
      <c r="D4124" s="4305">
        <f>D4125</f>
        <v>760300000</v>
      </c>
      <c r="E4124" s="2785">
        <f>E4125</f>
        <v>646920850</v>
      </c>
      <c r="F4124" s="2725">
        <f>E4124/D4124*100</f>
        <v>85.087577272129423</v>
      </c>
      <c r="G4124" s="2725">
        <f>G4125</f>
        <v>100</v>
      </c>
      <c r="H4124" s="1462"/>
    </row>
    <row r="4125" spans="2:8" ht="16.5" hidden="1" customHeight="1" x14ac:dyDescent="0.25">
      <c r="B4125" s="441"/>
      <c r="C4125" s="2476" t="s">
        <v>3413</v>
      </c>
      <c r="D4125" s="4071">
        <v>760300000</v>
      </c>
      <c r="E4125" s="2968">
        <v>646920850</v>
      </c>
      <c r="F4125" s="2804">
        <f>E4125/D4125*100</f>
        <v>85.087577272129423</v>
      </c>
      <c r="G4125" s="2968">
        <v>100</v>
      </c>
      <c r="H4125" s="1463"/>
    </row>
    <row r="4126" spans="2:8" ht="14.25" hidden="1" customHeight="1" x14ac:dyDescent="0.25">
      <c r="B4126" s="441"/>
      <c r="C4126" s="2518"/>
      <c r="D4126" s="4312"/>
      <c r="E4126" s="3054"/>
      <c r="F4126" s="2911"/>
      <c r="G4126" s="3060"/>
      <c r="H4126" s="1463"/>
    </row>
    <row r="4127" spans="2:8" ht="16.5" customHeight="1" x14ac:dyDescent="0.25">
      <c r="B4127" s="440"/>
      <c r="C4127" s="2471" t="s">
        <v>3414</v>
      </c>
      <c r="D4127" s="4106">
        <f>SUM(D4128+D4131)</f>
        <v>1000000000</v>
      </c>
      <c r="E4127" s="2672">
        <f>SUM(E4128+E4131)</f>
        <v>1000000000</v>
      </c>
      <c r="F4127" s="2719">
        <f>E4127/D4127*100</f>
        <v>100</v>
      </c>
      <c r="G4127" s="2672">
        <f>SUM(G4128+G4131)/2</f>
        <v>100</v>
      </c>
      <c r="H4127" s="1462"/>
    </row>
    <row r="4128" spans="2:8" ht="17.25" customHeight="1" x14ac:dyDescent="0.25">
      <c r="B4128" s="441"/>
      <c r="C4128" s="2478" t="s">
        <v>3415</v>
      </c>
      <c r="D4128" s="4305">
        <f>D4129</f>
        <v>450000000</v>
      </c>
      <c r="E4128" s="3373">
        <f>E4129</f>
        <v>450000000</v>
      </c>
      <c r="F4128" s="2725">
        <f>E4128/D4128*100</f>
        <v>100</v>
      </c>
      <c r="G4128" s="2785">
        <f>G4129</f>
        <v>100</v>
      </c>
      <c r="H4128" s="1462"/>
    </row>
    <row r="4129" spans="1:13" ht="18" hidden="1" customHeight="1" x14ac:dyDescent="0.25">
      <c r="B4129" s="441"/>
      <c r="C4129" s="2473" t="s">
        <v>3416</v>
      </c>
      <c r="D4129" s="4066">
        <v>450000000</v>
      </c>
      <c r="E4129" s="2690">
        <v>450000000</v>
      </c>
      <c r="F4129" s="2685">
        <f>E4129/D4129*100</f>
        <v>100</v>
      </c>
      <c r="G4129" s="2690">
        <v>100</v>
      </c>
      <c r="H4129" s="1463"/>
    </row>
    <row r="4130" spans="1:13" ht="9" hidden="1" customHeight="1" x14ac:dyDescent="0.25">
      <c r="B4130" s="441"/>
      <c r="C4130" s="2473"/>
      <c r="D4130" s="4066"/>
      <c r="E4130" s="2690"/>
      <c r="F4130" s="2685"/>
      <c r="G4130" s="3035"/>
      <c r="H4130" s="1463"/>
    </row>
    <row r="4131" spans="1:13" ht="18.75" customHeight="1" x14ac:dyDescent="0.25">
      <c r="B4131" s="441"/>
      <c r="C4131" s="2474" t="s">
        <v>3417</v>
      </c>
      <c r="D4131" s="4065">
        <f>D4132</f>
        <v>550000000</v>
      </c>
      <c r="E4131" s="3250">
        <f>E4132</f>
        <v>550000000</v>
      </c>
      <c r="F4131" s="2679">
        <f>E4131/D4131*100</f>
        <v>100</v>
      </c>
      <c r="G4131" s="2695">
        <f>G4132</f>
        <v>100</v>
      </c>
      <c r="H4131" s="1462"/>
    </row>
    <row r="4132" spans="1:13" ht="18.75" hidden="1" customHeight="1" x14ac:dyDescent="0.25">
      <c r="B4132" s="441"/>
      <c r="C4132" s="2473" t="s">
        <v>3418</v>
      </c>
      <c r="D4132" s="4066">
        <v>550000000</v>
      </c>
      <c r="E4132" s="2690">
        <v>550000000</v>
      </c>
      <c r="F4132" s="2685">
        <f>E4132/D4132*100</f>
        <v>100</v>
      </c>
      <c r="G4132" s="2690">
        <v>100</v>
      </c>
      <c r="H4132" s="1463"/>
    </row>
    <row r="4133" spans="1:13" ht="11.25" hidden="1" customHeight="1" x14ac:dyDescent="0.25">
      <c r="B4133" s="441"/>
      <c r="C4133" s="2475"/>
      <c r="D4133" s="4301"/>
      <c r="E4133" s="2752"/>
      <c r="F4133" s="2830"/>
      <c r="G4133" s="2784"/>
      <c r="H4133" s="1463"/>
    </row>
    <row r="4134" spans="1:13" ht="20.25" customHeight="1" x14ac:dyDescent="0.25">
      <c r="B4134" s="440"/>
      <c r="C4134" s="2624" t="s">
        <v>3419</v>
      </c>
      <c r="D4134" s="4106">
        <f>SUM(D4135+D4138)</f>
        <v>6534090550</v>
      </c>
      <c r="E4134" s="2670">
        <f>SUM(E4135+E4138)</f>
        <v>6491954000</v>
      </c>
      <c r="F4134" s="2719">
        <f>E4134/D4134*100</f>
        <v>99.355127547168749</v>
      </c>
      <c r="G4134" s="2672">
        <f>SUM(G4135+G4138)/2</f>
        <v>100</v>
      </c>
      <c r="H4134" s="1463"/>
    </row>
    <row r="4135" spans="1:13" ht="20.25" customHeight="1" x14ac:dyDescent="0.25">
      <c r="B4135" s="441"/>
      <c r="C4135" s="2586" t="s">
        <v>3420</v>
      </c>
      <c r="D4135" s="4305">
        <f>D4136</f>
        <v>3067136045</v>
      </c>
      <c r="E4135" s="3002">
        <f>E4136</f>
        <v>3025000000</v>
      </c>
      <c r="F4135" s="2725">
        <f>E4135/D4135*100</f>
        <v>98.626208802550849</v>
      </c>
      <c r="G4135" s="2734">
        <f>G4136</f>
        <v>100</v>
      </c>
      <c r="H4135" s="1463"/>
    </row>
    <row r="4136" spans="1:13" ht="20.25" hidden="1" customHeight="1" x14ac:dyDescent="0.25">
      <c r="B4136" s="441"/>
      <c r="C4136" s="2611" t="s">
        <v>3421</v>
      </c>
      <c r="D4136" s="4071">
        <v>3067136045</v>
      </c>
      <c r="E4136" s="4124">
        <v>3025000000</v>
      </c>
      <c r="F4136" s="2685">
        <f>E4136/D4136*100</f>
        <v>98.626208802550849</v>
      </c>
      <c r="G4136" s="2690">
        <v>100</v>
      </c>
      <c r="H4136" s="1463"/>
    </row>
    <row r="4137" spans="1:13" ht="9.75" hidden="1" customHeight="1" x14ac:dyDescent="0.25">
      <c r="B4137" s="441"/>
      <c r="C4137" s="2586"/>
      <c r="D4137" s="4300"/>
      <c r="E4137" s="4124"/>
      <c r="F4137" s="2685"/>
      <c r="G4137" s="3035"/>
      <c r="H4137" s="1463"/>
    </row>
    <row r="4138" spans="1:13" ht="18" customHeight="1" x14ac:dyDescent="0.25">
      <c r="B4138" s="441"/>
      <c r="C4138" s="2587" t="s">
        <v>3422</v>
      </c>
      <c r="D4138" s="4300">
        <f>D4139</f>
        <v>3466954505</v>
      </c>
      <c r="E4138" s="2976">
        <f>E4139</f>
        <v>3466954000</v>
      </c>
      <c r="F4138" s="2679">
        <f>E4138/D4138*100</f>
        <v>99.999985433901742</v>
      </c>
      <c r="G4138" s="2934">
        <f>G4139</f>
        <v>100</v>
      </c>
      <c r="H4138" s="1463"/>
    </row>
    <row r="4139" spans="1:13" ht="15.75" hidden="1" customHeight="1" x14ac:dyDescent="0.25">
      <c r="B4139" s="441"/>
      <c r="C4139" s="2524" t="s">
        <v>3423</v>
      </c>
      <c r="D4139" s="4066">
        <v>3466954505</v>
      </c>
      <c r="E4139" s="2685">
        <v>3466954000</v>
      </c>
      <c r="F4139" s="2685">
        <f>E4139/D4139*100</f>
        <v>99.999985433901742</v>
      </c>
      <c r="G4139" s="2685">
        <v>100</v>
      </c>
      <c r="H4139" s="1463"/>
    </row>
    <row r="4140" spans="1:13" ht="14.25" hidden="1" customHeight="1" x14ac:dyDescent="0.25">
      <c r="B4140" s="441"/>
      <c r="C4140" s="2563"/>
      <c r="D4140" s="4299"/>
      <c r="E4140" s="2784"/>
      <c r="F4140" s="2784"/>
      <c r="G4140" s="2784"/>
      <c r="H4140" s="1463"/>
    </row>
    <row r="4141" spans="1:13" s="231" customFormat="1" ht="16.5" customHeight="1" x14ac:dyDescent="0.25">
      <c r="A4141" s="325"/>
      <c r="B4141" s="447"/>
      <c r="C4141" s="3598" t="s">
        <v>2639</v>
      </c>
      <c r="D4141" s="4294">
        <f>SUM(D4143+D4176+D4208+D4225+D4232+D4236+D4240+D4245+D4249+D4259+D4281+D4285+D4298+D4306+D4316+D4325+D4332+D4345+D4353+D4368)</f>
        <v>128915048140</v>
      </c>
      <c r="E4141" s="3699">
        <f>SUM(E4143+E4176+E4208+E4225+E4232+E4236+E4240+E4245+E4249+E4259+E4281+E4285+E4298+E4306+E4316+E4325+E4332+E4345+E4353+E4368)</f>
        <v>125370983089</v>
      </c>
      <c r="F4141" s="3699">
        <f>E4141/D4141*100</f>
        <v>97.250852323189463</v>
      </c>
      <c r="G4141" s="3699">
        <f>SUM(G4143+G4176+G4208+G4225+G4232+G4236+G4240+G4245+G4249+G4259+G4285+G4298+G4306+G4316+G4325+G4332+G4345+G4353)/16</f>
        <v>99.816176470588232</v>
      </c>
      <c r="H4141" s="3723"/>
      <c r="J4141" s="962" t="s">
        <v>4111</v>
      </c>
      <c r="K4141" s="961"/>
      <c r="L4141" s="961"/>
    </row>
    <row r="4142" spans="1:13" ht="8.25" customHeight="1" x14ac:dyDescent="0.25">
      <c r="B4142" s="441"/>
      <c r="C4142" s="2478"/>
      <c r="D4142" s="4305"/>
      <c r="E4142" s="2938"/>
      <c r="F4142" s="2785"/>
      <c r="G4142" s="2785"/>
      <c r="H4142" s="1463"/>
    </row>
    <row r="4143" spans="1:13" ht="17.25" customHeight="1" x14ac:dyDescent="0.25">
      <c r="B4143" s="440"/>
      <c r="C4143" s="2471" t="s">
        <v>2640</v>
      </c>
      <c r="D4143" s="4106">
        <f>SUM(D4144+D4147+D4152+D4173)</f>
        <v>27690235300</v>
      </c>
      <c r="E4143" s="2672">
        <f>SUM(E4144+E4147+E4152+E4173)</f>
        <v>25945913300</v>
      </c>
      <c r="F4143" s="2719">
        <f>E4143/D4143*100</f>
        <v>93.700588019199685</v>
      </c>
      <c r="G4143" s="2672">
        <f>SUM(G4144+G4147+G4152+G4173)/4</f>
        <v>97.058823529411768</v>
      </c>
      <c r="H4143" s="1463"/>
      <c r="L4143" s="536"/>
      <c r="M4143" s="536"/>
    </row>
    <row r="4144" spans="1:13" ht="16.5" customHeight="1" x14ac:dyDescent="0.25">
      <c r="B4144" s="441"/>
      <c r="C4144" s="2472" t="s">
        <v>1454</v>
      </c>
      <c r="D4144" s="4311">
        <f>D4145</f>
        <v>15737400000</v>
      </c>
      <c r="E4144" s="4125">
        <f>E4145</f>
        <v>15737400000</v>
      </c>
      <c r="F4144" s="2725">
        <f>E4144/D4144*100</f>
        <v>100</v>
      </c>
      <c r="G4144" s="2969">
        <f>G4145</f>
        <v>100</v>
      </c>
      <c r="H4144" s="1463"/>
    </row>
    <row r="4145" spans="2:8" ht="16.5" hidden="1" customHeight="1" x14ac:dyDescent="0.25">
      <c r="B4145" s="441"/>
      <c r="C4145" s="2473" t="s">
        <v>2641</v>
      </c>
      <c r="D4145" s="4066">
        <v>15737400000</v>
      </c>
      <c r="E4145" s="2688">
        <v>15737400000</v>
      </c>
      <c r="F4145" s="2685">
        <f>E4145/D4145*100</f>
        <v>100</v>
      </c>
      <c r="G4145" s="2967">
        <v>100</v>
      </c>
      <c r="H4145" s="1463"/>
    </row>
    <row r="4146" spans="2:8" ht="9" hidden="1" customHeight="1" x14ac:dyDescent="0.25">
      <c r="B4146" s="441"/>
      <c r="C4146" s="2474"/>
      <c r="D4146" s="4302"/>
      <c r="E4146" s="3185"/>
      <c r="F4146" s="3035"/>
      <c r="G4146" s="3035"/>
      <c r="H4146" s="1463"/>
    </row>
    <row r="4147" spans="2:8" ht="13.5" customHeight="1" x14ac:dyDescent="0.25">
      <c r="B4147" s="441"/>
      <c r="C4147" s="2521" t="s">
        <v>2485</v>
      </c>
      <c r="D4147" s="4300">
        <f>SUM(D4148:D4150)</f>
        <v>1880016000</v>
      </c>
      <c r="E4147" s="2821">
        <f>SUM(E4148:E4150)</f>
        <v>1744701500</v>
      </c>
      <c r="F4147" s="2725">
        <f>E4147/D4147*100</f>
        <v>92.802481468242831</v>
      </c>
      <c r="G4147" s="2695">
        <f>SUM(G4148:G4150)/3</f>
        <v>100</v>
      </c>
      <c r="H4147" s="1463"/>
    </row>
    <row r="4148" spans="2:8" ht="17.25" hidden="1" customHeight="1" x14ac:dyDescent="0.25">
      <c r="B4148" s="441"/>
      <c r="C4148" s="2473" t="s">
        <v>2642</v>
      </c>
      <c r="D4148" s="4066">
        <v>792000000</v>
      </c>
      <c r="E4148" s="4126">
        <v>792000000</v>
      </c>
      <c r="F4148" s="2685">
        <f>E4148/D4148*100</f>
        <v>100</v>
      </c>
      <c r="G4148" s="2685">
        <v>100</v>
      </c>
      <c r="H4148" s="1463"/>
    </row>
    <row r="4149" spans="2:8" ht="17.25" hidden="1" customHeight="1" x14ac:dyDescent="0.25">
      <c r="B4149" s="441"/>
      <c r="C4149" s="2473" t="s">
        <v>2643</v>
      </c>
      <c r="D4149" s="4066">
        <v>265000000</v>
      </c>
      <c r="E4149" s="4126">
        <v>265000000</v>
      </c>
      <c r="F4149" s="2685">
        <f t="shared" ref="F4149:F4150" si="328">E4149/D4149*100</f>
        <v>100</v>
      </c>
      <c r="G4149" s="2685">
        <v>100</v>
      </c>
      <c r="H4149" s="1463"/>
    </row>
    <row r="4150" spans="2:8" ht="15.75" hidden="1" customHeight="1" x14ac:dyDescent="0.25">
      <c r="B4150" s="441"/>
      <c r="C4150" s="2473" t="s">
        <v>2644</v>
      </c>
      <c r="D4150" s="4066">
        <v>823016000</v>
      </c>
      <c r="E4150" s="4126">
        <v>687701500</v>
      </c>
      <c r="F4150" s="2685">
        <f t="shared" si="328"/>
        <v>83.558703597499928</v>
      </c>
      <c r="G4150" s="2685">
        <v>100</v>
      </c>
      <c r="H4150" s="1463"/>
    </row>
    <row r="4151" spans="2:8" ht="9.75" hidden="1" customHeight="1" x14ac:dyDescent="0.25">
      <c r="B4151" s="441"/>
      <c r="C4151" s="2476"/>
      <c r="D4151" s="4154"/>
      <c r="E4151" s="3185"/>
      <c r="F4151" s="3035"/>
      <c r="G4151" s="3035"/>
      <c r="H4151" s="1463"/>
    </row>
    <row r="4152" spans="2:8" ht="16.5" customHeight="1" x14ac:dyDescent="0.25">
      <c r="B4152" s="441"/>
      <c r="C4152" s="2628" t="s">
        <v>2645</v>
      </c>
      <c r="D4152" s="4159">
        <f>SUM(D4153:D4171)</f>
        <v>9956969300</v>
      </c>
      <c r="E4152" s="2813">
        <f>SUM(E4153:E4171)</f>
        <v>8347961800</v>
      </c>
      <c r="F4152" s="2725">
        <f>E4152/D4152*100</f>
        <v>83.840389062965173</v>
      </c>
      <c r="G4152" s="2679">
        <f>SUM(G4153:G4171)/17</f>
        <v>88.235294117647058</v>
      </c>
      <c r="H4152" s="1463"/>
    </row>
    <row r="4153" spans="2:8" ht="15.75" hidden="1" customHeight="1" x14ac:dyDescent="0.25">
      <c r="B4153" s="441"/>
      <c r="C4153" s="2629" t="s">
        <v>2646</v>
      </c>
      <c r="D4153" s="4066">
        <v>258000000</v>
      </c>
      <c r="E4153" s="4127">
        <v>258000000</v>
      </c>
      <c r="F4153" s="2685">
        <f>E4153/D4153*100</f>
        <v>100</v>
      </c>
      <c r="G4153" s="2685">
        <v>100</v>
      </c>
      <c r="H4153" s="1463"/>
    </row>
    <row r="4154" spans="2:8" ht="14.25" hidden="1" customHeight="1" x14ac:dyDescent="0.25">
      <c r="B4154" s="441"/>
      <c r="C4154" s="2629" t="s">
        <v>2647</v>
      </c>
      <c r="D4154" s="4066">
        <v>103200300</v>
      </c>
      <c r="E4154" s="4127">
        <v>103200000</v>
      </c>
      <c r="F4154" s="2685">
        <f t="shared" ref="F4154:F4171" si="329">E4154/D4154*100</f>
        <v>99.999709303170619</v>
      </c>
      <c r="G4154" s="2685">
        <v>100</v>
      </c>
      <c r="H4154" s="1463"/>
    </row>
    <row r="4155" spans="2:8" ht="15" hidden="1" customHeight="1" x14ac:dyDescent="0.25">
      <c r="B4155" s="441"/>
      <c r="C4155" s="2630" t="s">
        <v>2648</v>
      </c>
      <c r="D4155" s="4066">
        <v>900000000</v>
      </c>
      <c r="E4155" s="2967">
        <v>0</v>
      </c>
      <c r="F4155" s="2685">
        <f t="shared" si="329"/>
        <v>0</v>
      </c>
      <c r="G4155" s="2967">
        <v>0</v>
      </c>
      <c r="H4155" s="1463"/>
    </row>
    <row r="4156" spans="2:8" ht="15" hidden="1" customHeight="1" x14ac:dyDescent="0.25">
      <c r="B4156" s="441"/>
      <c r="C4156" s="2629" t="s">
        <v>2649</v>
      </c>
      <c r="D4156" s="4066">
        <v>675000000</v>
      </c>
      <c r="E4156" s="2967">
        <v>0</v>
      </c>
      <c r="F4156" s="2685">
        <f t="shared" si="329"/>
        <v>0</v>
      </c>
      <c r="G4156" s="2967">
        <v>0</v>
      </c>
      <c r="H4156" s="1463"/>
    </row>
    <row r="4157" spans="2:8" ht="15" hidden="1" customHeight="1" x14ac:dyDescent="0.25">
      <c r="B4157" s="441"/>
      <c r="C4157" s="2629" t="s">
        <v>2650</v>
      </c>
      <c r="D4157" s="4066">
        <v>71750200</v>
      </c>
      <c r="E4157" s="2967">
        <v>71750200</v>
      </c>
      <c r="F4157" s="2685">
        <f t="shared" si="329"/>
        <v>100</v>
      </c>
      <c r="G4157" s="2967">
        <v>100</v>
      </c>
      <c r="H4157" s="1463"/>
    </row>
    <row r="4158" spans="2:8" ht="16.5" hidden="1" customHeight="1" x14ac:dyDescent="0.25">
      <c r="B4158" s="441"/>
      <c r="C4158" s="2629" t="s">
        <v>2651</v>
      </c>
      <c r="D4158" s="4066">
        <v>0</v>
      </c>
      <c r="E4158" s="4127">
        <v>0</v>
      </c>
      <c r="F4158" s="4127">
        <v>0</v>
      </c>
      <c r="G4158" s="4127">
        <v>0</v>
      </c>
      <c r="H4158" s="1463"/>
    </row>
    <row r="4159" spans="2:8" ht="13.5" hidden="1" customHeight="1" x14ac:dyDescent="0.25">
      <c r="B4159" s="441"/>
      <c r="C4159" s="2629" t="s">
        <v>2652</v>
      </c>
      <c r="D4159" s="4066">
        <v>425025500</v>
      </c>
      <c r="E4159" s="4127">
        <v>425025500</v>
      </c>
      <c r="F4159" s="2685">
        <f t="shared" si="329"/>
        <v>100</v>
      </c>
      <c r="G4159" s="2685">
        <v>100</v>
      </c>
      <c r="H4159" s="1463"/>
    </row>
    <row r="4160" spans="2:8" hidden="1" x14ac:dyDescent="0.25">
      <c r="B4160" s="441"/>
      <c r="C4160" s="2629" t="s">
        <v>2653</v>
      </c>
      <c r="D4160" s="4066">
        <v>0</v>
      </c>
      <c r="E4160" s="4127">
        <v>0</v>
      </c>
      <c r="F4160" s="4127">
        <v>0</v>
      </c>
      <c r="G4160" s="4127">
        <v>0</v>
      </c>
      <c r="H4160" s="1463"/>
    </row>
    <row r="4161" spans="2:8" ht="16.5" hidden="1" customHeight="1" x14ac:dyDescent="0.25">
      <c r="B4161" s="441"/>
      <c r="C4161" s="2629" t="s">
        <v>2654</v>
      </c>
      <c r="D4161" s="4066">
        <v>246000000</v>
      </c>
      <c r="E4161" s="2967">
        <v>246000000</v>
      </c>
      <c r="F4161" s="2685">
        <f t="shared" si="329"/>
        <v>100</v>
      </c>
      <c r="G4161" s="2967">
        <v>100</v>
      </c>
      <c r="H4161" s="1463"/>
    </row>
    <row r="4162" spans="2:8" ht="14.25" hidden="1" customHeight="1" x14ac:dyDescent="0.25">
      <c r="B4162" s="441"/>
      <c r="C4162" s="2629" t="s">
        <v>2655</v>
      </c>
      <c r="D4162" s="4066">
        <v>205000000</v>
      </c>
      <c r="E4162" s="4127">
        <v>205000000</v>
      </c>
      <c r="F4162" s="2685">
        <f t="shared" si="329"/>
        <v>100</v>
      </c>
      <c r="G4162" s="2685">
        <v>100</v>
      </c>
      <c r="H4162" s="1463"/>
    </row>
    <row r="4163" spans="2:8" hidden="1" x14ac:dyDescent="0.25">
      <c r="B4163" s="441"/>
      <c r="C4163" s="2629" t="s">
        <v>2656</v>
      </c>
      <c r="D4163" s="4066">
        <v>687150000</v>
      </c>
      <c r="E4163" s="4127">
        <v>687150000</v>
      </c>
      <c r="F4163" s="2685">
        <f t="shared" si="329"/>
        <v>100</v>
      </c>
      <c r="G4163" s="2685">
        <v>100</v>
      </c>
      <c r="H4163" s="1463"/>
    </row>
    <row r="4164" spans="2:8" ht="14.25" hidden="1" customHeight="1" x14ac:dyDescent="0.25">
      <c r="B4164" s="441"/>
      <c r="C4164" s="2629" t="s">
        <v>2657</v>
      </c>
      <c r="D4164" s="4066">
        <v>52400000</v>
      </c>
      <c r="E4164" s="4127">
        <v>52400000</v>
      </c>
      <c r="F4164" s="2685">
        <f t="shared" si="329"/>
        <v>100</v>
      </c>
      <c r="G4164" s="2685">
        <v>100</v>
      </c>
      <c r="H4164" s="1463"/>
    </row>
    <row r="4165" spans="2:8" ht="14.25" hidden="1" customHeight="1" x14ac:dyDescent="0.25">
      <c r="B4165" s="441"/>
      <c r="C4165" s="2629" t="s">
        <v>2658</v>
      </c>
      <c r="D4165" s="4066">
        <v>121900000</v>
      </c>
      <c r="E4165" s="4127">
        <v>121900000</v>
      </c>
      <c r="F4165" s="2685">
        <f t="shared" si="329"/>
        <v>100</v>
      </c>
      <c r="G4165" s="2685">
        <v>100</v>
      </c>
      <c r="H4165" s="1463"/>
    </row>
    <row r="4166" spans="2:8" ht="14.25" hidden="1" customHeight="1" x14ac:dyDescent="0.25">
      <c r="B4166" s="441"/>
      <c r="C4166" s="2629" t="s">
        <v>2659</v>
      </c>
      <c r="D4166" s="4066">
        <v>90200000</v>
      </c>
      <c r="E4166" s="2967">
        <v>90200000</v>
      </c>
      <c r="F4166" s="2685">
        <f t="shared" si="329"/>
        <v>100</v>
      </c>
      <c r="G4166" s="2685">
        <v>100</v>
      </c>
      <c r="H4166" s="1463"/>
    </row>
    <row r="4167" spans="2:8" ht="14.25" hidden="1" customHeight="1" x14ac:dyDescent="0.25">
      <c r="B4167" s="441"/>
      <c r="C4167" s="2629" t="s">
        <v>2660</v>
      </c>
      <c r="D4167" s="4066">
        <v>38500000</v>
      </c>
      <c r="E4167" s="2967">
        <v>38500000</v>
      </c>
      <c r="F4167" s="2685">
        <f t="shared" si="329"/>
        <v>100</v>
      </c>
      <c r="G4167" s="2685">
        <v>100</v>
      </c>
      <c r="H4167" s="1463"/>
    </row>
    <row r="4168" spans="2:8" ht="14.25" hidden="1" customHeight="1" x14ac:dyDescent="0.25">
      <c r="B4168" s="441"/>
      <c r="C4168" s="2629" t="s">
        <v>2661</v>
      </c>
      <c r="D4168" s="4066">
        <v>223307000</v>
      </c>
      <c r="E4168" s="4127">
        <v>223307000</v>
      </c>
      <c r="F4168" s="2685">
        <f t="shared" si="329"/>
        <v>100</v>
      </c>
      <c r="G4168" s="2685">
        <v>100</v>
      </c>
      <c r="H4168" s="1463"/>
    </row>
    <row r="4169" spans="2:8" ht="15.75" hidden="1" customHeight="1" x14ac:dyDescent="0.25">
      <c r="B4169" s="441"/>
      <c r="C4169" s="2629" t="s">
        <v>2662</v>
      </c>
      <c r="D4169" s="4066">
        <v>179460100</v>
      </c>
      <c r="E4169" s="4127">
        <v>179460100</v>
      </c>
      <c r="F4169" s="2685">
        <f t="shared" si="329"/>
        <v>100</v>
      </c>
      <c r="G4169" s="2685">
        <v>100</v>
      </c>
      <c r="H4169" s="1463"/>
    </row>
    <row r="4170" spans="2:8" ht="16.5" hidden="1" customHeight="1" x14ac:dyDescent="0.25">
      <c r="B4170" s="441"/>
      <c r="C4170" s="2629" t="s">
        <v>2663</v>
      </c>
      <c r="D4170" s="4154">
        <v>4998076200</v>
      </c>
      <c r="E4170" s="3556">
        <v>4964069000</v>
      </c>
      <c r="F4170" s="2685">
        <f t="shared" si="329"/>
        <v>99.319594207067112</v>
      </c>
      <c r="G4170" s="2685">
        <v>100</v>
      </c>
      <c r="H4170" s="1463"/>
    </row>
    <row r="4171" spans="2:8" ht="16.5" hidden="1" customHeight="1" x14ac:dyDescent="0.25">
      <c r="B4171" s="441"/>
      <c r="C4171" s="2629" t="s">
        <v>4002</v>
      </c>
      <c r="D4171" s="4301">
        <v>682000000</v>
      </c>
      <c r="E4171" s="3542">
        <v>682000000</v>
      </c>
      <c r="F4171" s="2685">
        <f t="shared" si="329"/>
        <v>100</v>
      </c>
      <c r="G4171" s="2685">
        <v>100</v>
      </c>
      <c r="H4171" s="1463"/>
    </row>
    <row r="4172" spans="2:8" ht="9" hidden="1" customHeight="1" x14ac:dyDescent="0.25">
      <c r="B4172" s="441"/>
      <c r="C4172" s="2473"/>
      <c r="D4172" s="4066"/>
      <c r="E4172" s="3216"/>
      <c r="F4172" s="2685"/>
      <c r="G4172" s="2685"/>
      <c r="H4172" s="1463"/>
    </row>
    <row r="4173" spans="2:8" ht="15.75" customHeight="1" x14ac:dyDescent="0.25">
      <c r="B4173" s="441"/>
      <c r="C4173" s="2474" t="s">
        <v>7963</v>
      </c>
      <c r="D4173" s="4291">
        <f>D4174</f>
        <v>115850000</v>
      </c>
      <c r="E4173" s="2934">
        <f>E4174</f>
        <v>115850000</v>
      </c>
      <c r="F4173" s="2679">
        <f t="shared" ref="F4173:F4174" si="330">E4173/D4173*100</f>
        <v>100</v>
      </c>
      <c r="G4173" s="2679">
        <f>G4174</f>
        <v>100</v>
      </c>
      <c r="H4173" s="1463"/>
    </row>
    <row r="4174" spans="2:8" ht="15.75" hidden="1" customHeight="1" x14ac:dyDescent="0.25">
      <c r="B4174" s="441"/>
      <c r="C4174" s="2473" t="s">
        <v>2664</v>
      </c>
      <c r="D4174" s="4066">
        <v>115850000</v>
      </c>
      <c r="E4174" s="4128">
        <v>115850000</v>
      </c>
      <c r="F4174" s="2685">
        <f t="shared" si="330"/>
        <v>100</v>
      </c>
      <c r="G4174" s="2685">
        <v>100</v>
      </c>
      <c r="H4174" s="1463"/>
    </row>
    <row r="4175" spans="2:8" ht="12" hidden="1" customHeight="1" x14ac:dyDescent="0.25">
      <c r="B4175" s="441"/>
      <c r="C4175" s="2476"/>
      <c r="D4175" s="4301"/>
      <c r="E4175" s="2784"/>
      <c r="F4175" s="2778"/>
      <c r="G4175" s="2778"/>
      <c r="H4175" s="1463"/>
    </row>
    <row r="4176" spans="2:8" ht="16.5" customHeight="1" x14ac:dyDescent="0.25">
      <c r="B4176" s="440"/>
      <c r="C4176" s="2471" t="s">
        <v>398</v>
      </c>
      <c r="D4176" s="4106">
        <f>SUM(D4177+D4180+D4183+D4188+D4191+D4195+D4198+D4202+D4205)</f>
        <v>14356438139</v>
      </c>
      <c r="E4176" s="2672">
        <f>SUM(E4177+E4180+E4183+E4188+E4191+E4195+E4198+E4202+E4205)</f>
        <v>14356438139</v>
      </c>
      <c r="F4176" s="2719">
        <f>E4176/D4176*100</f>
        <v>100</v>
      </c>
      <c r="G4176" s="2672">
        <f>SUM(G4177+G4180+G4183+G4188+G4191+G4195+G4198+G4202+G4205)/9</f>
        <v>100</v>
      </c>
      <c r="H4176" s="1463"/>
    </row>
    <row r="4177" spans="2:8" ht="18" customHeight="1" x14ac:dyDescent="0.25">
      <c r="B4177" s="441"/>
      <c r="C4177" s="2521" t="s">
        <v>2665</v>
      </c>
      <c r="D4177" s="4369">
        <f>D4178</f>
        <v>10795950000</v>
      </c>
      <c r="E4177" s="2939">
        <f>E4178</f>
        <v>10795950000</v>
      </c>
      <c r="F4177" s="2725">
        <f>E4177/D4177*100</f>
        <v>100</v>
      </c>
      <c r="G4177" s="2734">
        <f>G4178</f>
        <v>100</v>
      </c>
      <c r="H4177" s="1463"/>
    </row>
    <row r="4178" spans="2:8" ht="15.75" hidden="1" customHeight="1" x14ac:dyDescent="0.25">
      <c r="B4178" s="441"/>
      <c r="C4178" s="2473" t="s">
        <v>2666</v>
      </c>
      <c r="D4178" s="4066">
        <v>10795950000</v>
      </c>
      <c r="E4178" s="4129">
        <v>10795950000</v>
      </c>
      <c r="F4178" s="2685">
        <f>E4178/D4178*100</f>
        <v>100</v>
      </c>
      <c r="G4178" s="2690">
        <v>100</v>
      </c>
      <c r="H4178" s="1463"/>
    </row>
    <row r="4179" spans="2:8" ht="12" hidden="1" customHeight="1" x14ac:dyDescent="0.25">
      <c r="B4179" s="441"/>
      <c r="C4179" s="2473"/>
      <c r="D4179" s="4154"/>
      <c r="E4179" s="3185"/>
      <c r="F4179" s="3035"/>
      <c r="G4179" s="3035"/>
      <c r="H4179" s="1463"/>
    </row>
    <row r="4180" spans="2:8" ht="16.5" customHeight="1" x14ac:dyDescent="0.25">
      <c r="B4180" s="441"/>
      <c r="C4180" s="2474" t="s">
        <v>2667</v>
      </c>
      <c r="D4180" s="4300">
        <f>D4181</f>
        <v>899992139</v>
      </c>
      <c r="E4180" s="3993">
        <f>E4181</f>
        <v>899992139</v>
      </c>
      <c r="F4180" s="2725">
        <f>E4180/D4180*100</f>
        <v>100</v>
      </c>
      <c r="G4180" s="2695">
        <f>G4181</f>
        <v>100</v>
      </c>
      <c r="H4180" s="1463"/>
    </row>
    <row r="4181" spans="2:8" ht="15" hidden="1" customHeight="1" x14ac:dyDescent="0.25">
      <c r="B4181" s="441"/>
      <c r="C4181" s="2473" t="s">
        <v>2668</v>
      </c>
      <c r="D4181" s="4066">
        <v>899992139</v>
      </c>
      <c r="E4181" s="4130">
        <v>899992139</v>
      </c>
      <c r="F4181" s="2685">
        <f>E4181/D4181*100</f>
        <v>100</v>
      </c>
      <c r="G4181" s="2830">
        <v>100</v>
      </c>
      <c r="H4181" s="1463"/>
    </row>
    <row r="4182" spans="2:8" ht="10.5" hidden="1" customHeight="1" x14ac:dyDescent="0.25">
      <c r="B4182" s="441"/>
      <c r="C4182" s="2473"/>
      <c r="D4182" s="4154"/>
      <c r="E4182" s="3185"/>
      <c r="F4182" s="3035"/>
      <c r="G4182" s="3035"/>
      <c r="H4182" s="1463"/>
    </row>
    <row r="4183" spans="2:8" ht="18.75" customHeight="1" x14ac:dyDescent="0.25">
      <c r="B4183" s="441"/>
      <c r="C4183" s="2491" t="s">
        <v>2669</v>
      </c>
      <c r="D4183" s="4159">
        <f>SUM(D4184:D4186)</f>
        <v>576550000</v>
      </c>
      <c r="E4183" s="2813">
        <f>SUM(E4184:E4186)</f>
        <v>576550000</v>
      </c>
      <c r="F4183" s="2725">
        <f>E4183/D4183*100</f>
        <v>100</v>
      </c>
      <c r="G4183" s="2695">
        <f>SUM(G4184:G4186)/3</f>
        <v>100</v>
      </c>
      <c r="H4183" s="1463"/>
    </row>
    <row r="4184" spans="2:8" ht="15.75" hidden="1" customHeight="1" x14ac:dyDescent="0.25">
      <c r="B4184" s="441"/>
      <c r="C4184" s="2473" t="s">
        <v>2670</v>
      </c>
      <c r="D4184" s="4066">
        <v>166000000</v>
      </c>
      <c r="E4184" s="4131">
        <v>166000000</v>
      </c>
      <c r="F4184" s="2685">
        <f>E4184/D4184*100</f>
        <v>100</v>
      </c>
      <c r="G4184" s="2690">
        <v>100</v>
      </c>
      <c r="H4184" s="1463"/>
    </row>
    <row r="4185" spans="2:8" ht="15.75" hidden="1" customHeight="1" x14ac:dyDescent="0.25">
      <c r="B4185" s="441"/>
      <c r="C4185" s="2526" t="s">
        <v>2671</v>
      </c>
      <c r="D4185" s="4066">
        <v>73050000</v>
      </c>
      <c r="E4185" s="4131">
        <v>73050000</v>
      </c>
      <c r="F4185" s="2685">
        <f t="shared" ref="F4185:F4186" si="331">E4185/D4185*100</f>
        <v>100</v>
      </c>
      <c r="G4185" s="2690">
        <v>100</v>
      </c>
      <c r="H4185" s="1463"/>
    </row>
    <row r="4186" spans="2:8" ht="17.25" hidden="1" customHeight="1" x14ac:dyDescent="0.25">
      <c r="B4186" s="441"/>
      <c r="C4186" s="2473" t="s">
        <v>2672</v>
      </c>
      <c r="D4186" s="4154">
        <v>337500000</v>
      </c>
      <c r="E4186" s="3185">
        <v>337500000</v>
      </c>
      <c r="F4186" s="2685">
        <f t="shared" si="331"/>
        <v>100</v>
      </c>
      <c r="G4186" s="2690">
        <v>100</v>
      </c>
      <c r="H4186" s="1463"/>
    </row>
    <row r="4187" spans="2:8" ht="9.75" hidden="1" customHeight="1" x14ac:dyDescent="0.25">
      <c r="B4187" s="441"/>
      <c r="C4187" s="2473"/>
      <c r="D4187" s="4154"/>
      <c r="E4187" s="3185"/>
      <c r="F4187" s="3035"/>
      <c r="G4187" s="3035"/>
      <c r="H4187" s="1463"/>
    </row>
    <row r="4188" spans="2:8" ht="15.75" customHeight="1" x14ac:dyDescent="0.25">
      <c r="B4188" s="441"/>
      <c r="C4188" s="2474" t="s">
        <v>2673</v>
      </c>
      <c r="D4188" s="4065">
        <f>D4189</f>
        <v>366400000</v>
      </c>
      <c r="E4188" s="3998">
        <f>E4189</f>
        <v>366400000</v>
      </c>
      <c r="F4188" s="2725">
        <f>E4188/D4188*100</f>
        <v>100</v>
      </c>
      <c r="G4188" s="2695">
        <f>G4189</f>
        <v>100</v>
      </c>
      <c r="H4188" s="1463"/>
    </row>
    <row r="4189" spans="2:8" ht="16.5" hidden="1" customHeight="1" x14ac:dyDescent="0.25">
      <c r="B4189" s="441"/>
      <c r="C4189" s="2473" t="s">
        <v>2674</v>
      </c>
      <c r="D4189" s="4066">
        <v>366400000</v>
      </c>
      <c r="E4189" s="4132">
        <v>366400000</v>
      </c>
      <c r="F4189" s="2685">
        <f>E4189/D4189*100</f>
        <v>100</v>
      </c>
      <c r="G4189" s="2685">
        <v>100</v>
      </c>
      <c r="H4189" s="1463"/>
    </row>
    <row r="4190" spans="2:8" ht="8.25" hidden="1" customHeight="1" x14ac:dyDescent="0.25">
      <c r="B4190" s="441"/>
      <c r="C4190" s="2474"/>
      <c r="D4190" s="4302"/>
      <c r="E4190" s="3185"/>
      <c r="F4190" s="2690"/>
      <c r="G4190" s="2690"/>
      <c r="H4190" s="1463"/>
    </row>
    <row r="4191" spans="2:8" ht="17.25" customHeight="1" x14ac:dyDescent="0.25">
      <c r="B4191" s="441"/>
      <c r="C4191" s="2491" t="s">
        <v>2675</v>
      </c>
      <c r="D4191" s="4159">
        <f>SUM(D4192:D4193)</f>
        <v>465215000</v>
      </c>
      <c r="E4191" s="2813">
        <f>SUM(E4192:E4193)</f>
        <v>465215000</v>
      </c>
      <c r="F4191" s="2725">
        <f>E4191/D4191*100</f>
        <v>100</v>
      </c>
      <c r="G4191" s="2695">
        <f>SUM(G4192:G4193)/2</f>
        <v>100</v>
      </c>
      <c r="H4191" s="1463"/>
    </row>
    <row r="4192" spans="2:8" ht="18" hidden="1" customHeight="1" x14ac:dyDescent="0.25">
      <c r="B4192" s="441"/>
      <c r="C4192" s="2473" t="s">
        <v>2676</v>
      </c>
      <c r="D4192" s="4066">
        <v>92550000</v>
      </c>
      <c r="E4192" s="4133">
        <v>92550000</v>
      </c>
      <c r="F4192" s="2685">
        <f>E4192/D4192*100</f>
        <v>100</v>
      </c>
      <c r="G4192" s="2685">
        <v>100</v>
      </c>
      <c r="H4192" s="1463"/>
    </row>
    <row r="4193" spans="2:8" ht="18" hidden="1" customHeight="1" x14ac:dyDescent="0.25">
      <c r="B4193" s="441"/>
      <c r="C4193" s="2473" t="s">
        <v>2677</v>
      </c>
      <c r="D4193" s="4066">
        <v>372665000</v>
      </c>
      <c r="E4193" s="4133">
        <v>372665000</v>
      </c>
      <c r="F4193" s="2685">
        <f>E4193/D4193*100</f>
        <v>100</v>
      </c>
      <c r="G4193" s="2685">
        <v>100</v>
      </c>
      <c r="H4193" s="1463"/>
    </row>
    <row r="4194" spans="2:8" ht="10.5" hidden="1" customHeight="1" x14ac:dyDescent="0.25">
      <c r="B4194" s="441"/>
      <c r="C4194" s="2473"/>
      <c r="D4194" s="4154"/>
      <c r="E4194" s="2760"/>
      <c r="F4194" s="2690"/>
      <c r="G4194" s="2690"/>
      <c r="H4194" s="1463"/>
    </row>
    <row r="4195" spans="2:8" ht="18" customHeight="1" x14ac:dyDescent="0.25">
      <c r="B4195" s="441"/>
      <c r="C4195" s="2491" t="s">
        <v>2678</v>
      </c>
      <c r="D4195" s="4065">
        <f>D4196</f>
        <v>238200000</v>
      </c>
      <c r="E4195" s="2969">
        <f>E4196</f>
        <v>238200000</v>
      </c>
      <c r="F4195" s="2725">
        <f>E4195/D4195*100</f>
        <v>100</v>
      </c>
      <c r="G4195" s="2969">
        <f>G4196</f>
        <v>100</v>
      </c>
      <c r="H4195" s="1463"/>
    </row>
    <row r="4196" spans="2:8" ht="13.5" hidden="1" customHeight="1" x14ac:dyDescent="0.25">
      <c r="B4196" s="441"/>
      <c r="C4196" s="2494" t="s">
        <v>2679</v>
      </c>
      <c r="D4196" s="4066">
        <v>238200000</v>
      </c>
      <c r="E4196" s="2967">
        <v>238200000</v>
      </c>
      <c r="F4196" s="2685">
        <f>E4196/D4196*100</f>
        <v>100</v>
      </c>
      <c r="G4196" s="2967">
        <v>100</v>
      </c>
      <c r="H4196" s="1463"/>
    </row>
    <row r="4197" spans="2:8" ht="10.5" hidden="1" customHeight="1" x14ac:dyDescent="0.25">
      <c r="B4197" s="441"/>
      <c r="C4197" s="2473"/>
      <c r="D4197" s="4065"/>
      <c r="E4197" s="3217"/>
      <c r="F4197" s="2685"/>
      <c r="G4197" s="2722"/>
      <c r="H4197" s="1463"/>
    </row>
    <row r="4198" spans="2:8" ht="16.5" customHeight="1" x14ac:dyDescent="0.25">
      <c r="B4198" s="441"/>
      <c r="C4198" s="2491" t="s">
        <v>2680</v>
      </c>
      <c r="D4198" s="4159">
        <f>SUM(D4199:D4200)</f>
        <v>642756000</v>
      </c>
      <c r="E4198" s="2813">
        <f>SUM(E4199:E4200)</f>
        <v>642756000</v>
      </c>
      <c r="F4198" s="2725">
        <f>E4198/D4198*100</f>
        <v>100</v>
      </c>
      <c r="G4198" s="2679">
        <f>SUM(G4199:G4200)/2</f>
        <v>100</v>
      </c>
      <c r="H4198" s="1463"/>
    </row>
    <row r="4199" spans="2:8" ht="14.25" hidden="1" customHeight="1" x14ac:dyDescent="0.25">
      <c r="B4199" s="441"/>
      <c r="C4199" s="2473" t="s">
        <v>2681</v>
      </c>
      <c r="D4199" s="4066">
        <v>241385000</v>
      </c>
      <c r="E4199" s="4134">
        <v>241385000</v>
      </c>
      <c r="F4199" s="2685">
        <f>E4199/D4199*100</f>
        <v>100</v>
      </c>
      <c r="G4199" s="2830">
        <v>100</v>
      </c>
      <c r="H4199" s="1463"/>
    </row>
    <row r="4200" spans="2:8" ht="15.75" hidden="1" customHeight="1" x14ac:dyDescent="0.25">
      <c r="B4200" s="441"/>
      <c r="C4200" s="2473" t="s">
        <v>2682</v>
      </c>
      <c r="D4200" s="4066">
        <v>401371000</v>
      </c>
      <c r="E4200" s="2967">
        <v>401371000</v>
      </c>
      <c r="F4200" s="2685">
        <f>E4200/D4200*100</f>
        <v>100</v>
      </c>
      <c r="G4200" s="2967">
        <v>100</v>
      </c>
      <c r="H4200" s="1463"/>
    </row>
    <row r="4201" spans="2:8" ht="14.25" hidden="1" customHeight="1" x14ac:dyDescent="0.25">
      <c r="B4201" s="444"/>
      <c r="C4201" s="2478"/>
      <c r="D4201" s="4285"/>
      <c r="E4201" s="2778"/>
      <c r="F4201" s="2778"/>
      <c r="G4201" s="2778"/>
      <c r="H4201" s="1463"/>
    </row>
    <row r="4202" spans="2:8" ht="19.5" customHeight="1" x14ac:dyDescent="0.25">
      <c r="B4202" s="441"/>
      <c r="C4202" s="2474" t="s">
        <v>2683</v>
      </c>
      <c r="D4202" s="4065">
        <f>D4203</f>
        <v>239615000</v>
      </c>
      <c r="E4202" s="2695">
        <f>E4203</f>
        <v>239615000</v>
      </c>
      <c r="F4202" s="2725">
        <f>E4202/D4202*100</f>
        <v>100</v>
      </c>
      <c r="G4202" s="2695">
        <f>G4203</f>
        <v>100</v>
      </c>
      <c r="H4202" s="1463"/>
    </row>
    <row r="4203" spans="2:8" ht="17.25" hidden="1" customHeight="1" x14ac:dyDescent="0.25">
      <c r="B4203" s="441"/>
      <c r="C4203" s="2473" t="s">
        <v>2684</v>
      </c>
      <c r="D4203" s="4066">
        <v>239615000</v>
      </c>
      <c r="E4203" s="2690">
        <v>239615000</v>
      </c>
      <c r="F4203" s="2685">
        <f>E4203/D4203*100</f>
        <v>100</v>
      </c>
      <c r="G4203" s="2690">
        <v>100</v>
      </c>
      <c r="H4203" s="1463"/>
    </row>
    <row r="4204" spans="2:8" ht="9.75" hidden="1" customHeight="1" x14ac:dyDescent="0.25">
      <c r="B4204" s="441"/>
      <c r="C4204" s="2474"/>
      <c r="D4204" s="4276"/>
      <c r="E4204" s="3035"/>
      <c r="F4204" s="3035"/>
      <c r="G4204" s="3035"/>
      <c r="H4204" s="1463"/>
    </row>
    <row r="4205" spans="2:8" ht="17.25" customHeight="1" x14ac:dyDescent="0.25">
      <c r="B4205" s="441"/>
      <c r="C4205" s="2474" t="s">
        <v>2685</v>
      </c>
      <c r="D4205" s="4065">
        <f>D4206</f>
        <v>131760000</v>
      </c>
      <c r="E4205" s="2695">
        <f>E4206</f>
        <v>131760000</v>
      </c>
      <c r="F4205" s="2725">
        <f>E4205/D4205*100</f>
        <v>100</v>
      </c>
      <c r="G4205" s="2695">
        <f>G4206</f>
        <v>100</v>
      </c>
      <c r="H4205" s="1463"/>
    </row>
    <row r="4206" spans="2:8" ht="28.5" hidden="1" customHeight="1" x14ac:dyDescent="0.25">
      <c r="B4206" s="441"/>
      <c r="C4206" s="2473" t="s">
        <v>2686</v>
      </c>
      <c r="D4206" s="4066">
        <v>131760000</v>
      </c>
      <c r="E4206" s="2690">
        <v>131760000</v>
      </c>
      <c r="F4206" s="2685">
        <f>E4206/D4206*100</f>
        <v>100</v>
      </c>
      <c r="G4206" s="2690">
        <v>100</v>
      </c>
      <c r="H4206" s="1463"/>
    </row>
    <row r="4207" spans="2:8" ht="12" hidden="1" customHeight="1" x14ac:dyDescent="0.25">
      <c r="B4207" s="441"/>
      <c r="C4207" s="2478"/>
      <c r="D4207" s="4299"/>
      <c r="E4207" s="2784"/>
      <c r="F4207" s="2784"/>
      <c r="G4207" s="2784"/>
      <c r="H4207" s="1463"/>
    </row>
    <row r="4208" spans="2:8" ht="18" customHeight="1" x14ac:dyDescent="0.25">
      <c r="B4208" s="440"/>
      <c r="C4208" s="2532" t="s">
        <v>2618</v>
      </c>
      <c r="D4208" s="4106">
        <f>SUM(D4209+D4212+D4215+D4218+D4222)</f>
        <v>6150480710</v>
      </c>
      <c r="E4208" s="2672">
        <f>SUM(E4209+E4212+E4215+E4218+E4222)</f>
        <v>6090830000</v>
      </c>
      <c r="F4208" s="2672">
        <f>E4208/D4208*100</f>
        <v>99.030145564020472</v>
      </c>
      <c r="G4208" s="2719">
        <f>SUM(G4212+G4215+G4218+G4222)/4</f>
        <v>100</v>
      </c>
      <c r="H4208" s="1463"/>
    </row>
    <row r="4209" spans="2:8" ht="19.5" customHeight="1" x14ac:dyDescent="0.25">
      <c r="B4209" s="441"/>
      <c r="C4209" s="2521" t="s">
        <v>2687</v>
      </c>
      <c r="D4209" s="4370"/>
      <c r="E4209" s="3698"/>
      <c r="F4209" s="3698"/>
      <c r="G4209" s="3698"/>
      <c r="H4209" s="1463"/>
    </row>
    <row r="4210" spans="2:8" ht="21" hidden="1" customHeight="1" x14ac:dyDescent="0.25">
      <c r="B4210" s="441"/>
      <c r="C4210" s="2524" t="s">
        <v>2688</v>
      </c>
      <c r="D4210" s="4283" t="s">
        <v>3317</v>
      </c>
      <c r="E4210" s="3589" t="s">
        <v>3317</v>
      </c>
      <c r="F4210" s="3589" t="s">
        <v>3317</v>
      </c>
      <c r="G4210" s="3589" t="s">
        <v>3317</v>
      </c>
      <c r="H4210" s="1463"/>
    </row>
    <row r="4211" spans="2:8" ht="9" hidden="1" customHeight="1" x14ac:dyDescent="0.25">
      <c r="B4211" s="441"/>
      <c r="C4211" s="2527"/>
      <c r="D4211" s="4154"/>
      <c r="E4211" s="3556"/>
      <c r="F4211" s="3145"/>
      <c r="G4211" s="2830"/>
      <c r="H4211" s="1463"/>
    </row>
    <row r="4212" spans="2:8" ht="15.75" customHeight="1" x14ac:dyDescent="0.25">
      <c r="B4212" s="441"/>
      <c r="C4212" s="2521" t="s">
        <v>2689</v>
      </c>
      <c r="D4212" s="4159">
        <f>D4213</f>
        <v>1030660710</v>
      </c>
      <c r="E4212" s="2679">
        <f>E4213</f>
        <v>985675000</v>
      </c>
      <c r="F4212" s="2725">
        <f>E4212/D4212*100</f>
        <v>95.635255175294304</v>
      </c>
      <c r="G4212" s="2695">
        <f>G4213</f>
        <v>100</v>
      </c>
      <c r="H4212" s="1463"/>
    </row>
    <row r="4213" spans="2:8" ht="21" hidden="1" customHeight="1" x14ac:dyDescent="0.25">
      <c r="B4213" s="441"/>
      <c r="C4213" s="2524" t="s">
        <v>2690</v>
      </c>
      <c r="D4213" s="4066">
        <v>1030660710</v>
      </c>
      <c r="E4213" s="4135">
        <v>985675000</v>
      </c>
      <c r="F4213" s="2685">
        <f>E4213/D4213*100</f>
        <v>95.635255175294304</v>
      </c>
      <c r="G4213" s="2830">
        <v>100</v>
      </c>
      <c r="H4213" s="1463"/>
    </row>
    <row r="4214" spans="2:8" ht="9" hidden="1" customHeight="1" x14ac:dyDescent="0.25">
      <c r="B4214" s="441"/>
      <c r="C4214" s="2527"/>
      <c r="D4214" s="4287"/>
      <c r="E4214" s="3556"/>
      <c r="F4214" s="2685"/>
      <c r="G4214" s="2830"/>
      <c r="H4214" s="1463"/>
    </row>
    <row r="4215" spans="2:8" ht="16.5" customHeight="1" x14ac:dyDescent="0.25">
      <c r="B4215" s="441"/>
      <c r="C4215" s="2521" t="s">
        <v>2691</v>
      </c>
      <c r="D4215" s="4159">
        <f>D4216</f>
        <v>3003480000</v>
      </c>
      <c r="E4215" s="2679">
        <f>E4216</f>
        <v>2991415000</v>
      </c>
      <c r="F4215" s="2725">
        <f>E4215/D4215*100</f>
        <v>99.598299306138216</v>
      </c>
      <c r="G4215" s="2695">
        <f>G4216</f>
        <v>100</v>
      </c>
      <c r="H4215" s="1463"/>
    </row>
    <row r="4216" spans="2:8" ht="15" hidden="1" customHeight="1" x14ac:dyDescent="0.25">
      <c r="B4216" s="441"/>
      <c r="C4216" s="2524" t="s">
        <v>2692</v>
      </c>
      <c r="D4216" s="4066">
        <v>3003480000</v>
      </c>
      <c r="E4216" s="4136">
        <v>2991415000</v>
      </c>
      <c r="F4216" s="2685">
        <f>E4216/D4216*100</f>
        <v>99.598299306138216</v>
      </c>
      <c r="G4216" s="2830">
        <v>100</v>
      </c>
      <c r="H4216" s="1463"/>
    </row>
    <row r="4217" spans="2:8" ht="10.5" hidden="1" customHeight="1" x14ac:dyDescent="0.25">
      <c r="B4217" s="441"/>
      <c r="C4217" s="2527"/>
      <c r="D4217" s="4072"/>
      <c r="E4217" s="3522"/>
      <c r="F4217" s="2679"/>
      <c r="G4217" s="2722"/>
      <c r="H4217" s="1463"/>
    </row>
    <row r="4218" spans="2:8" ht="15.75" customHeight="1" x14ac:dyDescent="0.25">
      <c r="B4218" s="441"/>
      <c r="C4218" s="2521" t="s">
        <v>2693</v>
      </c>
      <c r="D4218" s="4159">
        <f>D4220</f>
        <v>1291340000</v>
      </c>
      <c r="E4218" s="2679">
        <f>E4220</f>
        <v>1290190000</v>
      </c>
      <c r="F4218" s="2725">
        <f>E4218/D4218*100</f>
        <v>99.91094521969427</v>
      </c>
      <c r="G4218" s="2722">
        <f>G4220</f>
        <v>100</v>
      </c>
      <c r="H4218" s="1463"/>
    </row>
    <row r="4219" spans="2:8" ht="16.5" hidden="1" customHeight="1" x14ac:dyDescent="0.25">
      <c r="B4219" s="441"/>
      <c r="C4219" s="2533" t="s">
        <v>2694</v>
      </c>
      <c r="D4219" s="4071">
        <v>0</v>
      </c>
      <c r="E4219" s="4137">
        <v>0</v>
      </c>
      <c r="F4219" s="4137">
        <v>0</v>
      </c>
      <c r="G4219" s="4137">
        <v>0</v>
      </c>
      <c r="H4219" s="1463"/>
    </row>
    <row r="4220" spans="2:8" ht="15" hidden="1" customHeight="1" x14ac:dyDescent="0.25">
      <c r="B4220" s="441"/>
      <c r="C4220" s="2533" t="s">
        <v>2695</v>
      </c>
      <c r="D4220" s="4066">
        <v>1291340000</v>
      </c>
      <c r="E4220" s="2690">
        <v>1290190000</v>
      </c>
      <c r="F4220" s="2685">
        <f>E4220/D4220*100</f>
        <v>99.91094521969427</v>
      </c>
      <c r="G4220" s="2690">
        <v>100</v>
      </c>
      <c r="H4220" s="1463"/>
    </row>
    <row r="4221" spans="2:8" ht="10.5" hidden="1" customHeight="1" x14ac:dyDescent="0.25">
      <c r="B4221" s="441"/>
      <c r="C4221" s="2527"/>
      <c r="D4221" s="4299"/>
      <c r="E4221" s="2784"/>
      <c r="F4221" s="2784"/>
      <c r="G4221" s="2784"/>
      <c r="H4221" s="1463"/>
    </row>
    <row r="4222" spans="2:8" ht="16.5" customHeight="1" x14ac:dyDescent="0.25">
      <c r="B4222" s="441"/>
      <c r="C4222" s="2491" t="s">
        <v>2696</v>
      </c>
      <c r="D4222" s="4300">
        <f>D4223</f>
        <v>825000000</v>
      </c>
      <c r="E4222" s="2821">
        <f>E4223</f>
        <v>823550000</v>
      </c>
      <c r="F4222" s="2725">
        <f>E4222/D4222*100</f>
        <v>99.824242424242428</v>
      </c>
      <c r="G4222" s="2969">
        <f>G4223</f>
        <v>100</v>
      </c>
      <c r="H4222" s="1463"/>
    </row>
    <row r="4223" spans="2:8" ht="18" hidden="1" customHeight="1" x14ac:dyDescent="0.25">
      <c r="B4223" s="441"/>
      <c r="C4223" s="2473" t="s">
        <v>2697</v>
      </c>
      <c r="D4223" s="4066">
        <v>825000000</v>
      </c>
      <c r="E4223" s="2967">
        <v>823550000</v>
      </c>
      <c r="F4223" s="2685">
        <f>E4223/D4223*100</f>
        <v>99.824242424242428</v>
      </c>
      <c r="G4223" s="2967">
        <v>100</v>
      </c>
      <c r="H4223" s="1463"/>
    </row>
    <row r="4224" spans="2:8" ht="12" hidden="1" customHeight="1" x14ac:dyDescent="0.25">
      <c r="B4224" s="441"/>
      <c r="C4224" s="2528"/>
      <c r="D4224" s="4299"/>
      <c r="E4224" s="2784"/>
      <c r="F4224" s="2784"/>
      <c r="G4224" s="2784"/>
      <c r="H4224" s="1463"/>
    </row>
    <row r="4225" spans="1:11" s="20" customFormat="1" ht="18.75" customHeight="1" x14ac:dyDescent="0.25">
      <c r="A4225" s="963"/>
      <c r="B4225" s="440"/>
      <c r="C4225" s="2532" t="s">
        <v>2698</v>
      </c>
      <c r="D4225" s="4106">
        <f>SUM(D4226+D4230)</f>
        <v>12664749840</v>
      </c>
      <c r="E4225" s="2672">
        <f>SUM(E4226+E4230)</f>
        <v>12656849840</v>
      </c>
      <c r="F4225" s="2672">
        <f>E4225/D4225*100</f>
        <v>99.937622139404212</v>
      </c>
      <c r="G4225" s="2672">
        <f>SUM(G4226+G4229)/2</f>
        <v>100</v>
      </c>
      <c r="H4225" s="1463"/>
      <c r="J4225" s="536"/>
      <c r="K4225" s="536"/>
    </row>
    <row r="4226" spans="1:11" s="20" customFormat="1" ht="30" customHeight="1" x14ac:dyDescent="0.25">
      <c r="A4226" s="963"/>
      <c r="B4226" s="441"/>
      <c r="C4226" s="2521" t="s">
        <v>2699</v>
      </c>
      <c r="D4226" s="4305">
        <f>D4227</f>
        <v>12484800000</v>
      </c>
      <c r="E4226" s="2785">
        <f>E4227</f>
        <v>12476900000</v>
      </c>
      <c r="F4226" s="2725">
        <f>E4226/D4226*100</f>
        <v>99.936723055235163</v>
      </c>
      <c r="G4226" s="2969">
        <f>G4227</f>
        <v>100</v>
      </c>
      <c r="H4226" s="1463"/>
      <c r="J4226" s="536"/>
      <c r="K4226" s="536"/>
    </row>
    <row r="4227" spans="1:11" s="20" customFormat="1" ht="18.75" hidden="1" customHeight="1" x14ac:dyDescent="0.25">
      <c r="A4227" s="963"/>
      <c r="B4227" s="441"/>
      <c r="C4227" s="2524" t="s">
        <v>2700</v>
      </c>
      <c r="D4227" s="4066">
        <v>12484800000</v>
      </c>
      <c r="E4227" s="2967">
        <v>12476900000</v>
      </c>
      <c r="F4227" s="2685">
        <f>E4227/D4227*100</f>
        <v>99.936723055235163</v>
      </c>
      <c r="G4227" s="2967">
        <v>100</v>
      </c>
      <c r="H4227" s="1463"/>
      <c r="J4227" s="536"/>
      <c r="K4227" s="536"/>
    </row>
    <row r="4228" spans="1:11" s="20" customFormat="1" ht="11.25" hidden="1" customHeight="1" x14ac:dyDescent="0.25">
      <c r="A4228" s="963"/>
      <c r="B4228" s="441"/>
      <c r="C4228" s="2526"/>
      <c r="D4228" s="4154"/>
      <c r="E4228" s="2683"/>
      <c r="F4228" s="2993"/>
      <c r="G4228" s="2993"/>
      <c r="H4228" s="1463"/>
      <c r="J4228" s="536"/>
      <c r="K4228" s="536"/>
    </row>
    <row r="4229" spans="1:11" s="20" customFormat="1" ht="18" customHeight="1" x14ac:dyDescent="0.25">
      <c r="A4229" s="963"/>
      <c r="B4229" s="441"/>
      <c r="C4229" s="2525" t="s">
        <v>2701</v>
      </c>
      <c r="D4229" s="4072">
        <f>D4230</f>
        <v>179949840</v>
      </c>
      <c r="E4229" s="2942">
        <f>E4230</f>
        <v>179949840</v>
      </c>
      <c r="F4229" s="2725">
        <f>E4229/D4229*100</f>
        <v>100</v>
      </c>
      <c r="G4229" s="2969">
        <f>G4230</f>
        <v>100</v>
      </c>
      <c r="H4229" s="1463"/>
      <c r="J4229" s="536"/>
      <c r="K4229" s="536"/>
    </row>
    <row r="4230" spans="1:11" s="20" customFormat="1" ht="18.75" hidden="1" customHeight="1" x14ac:dyDescent="0.25">
      <c r="A4230" s="963"/>
      <c r="B4230" s="441"/>
      <c r="C4230" s="2524" t="s">
        <v>2702</v>
      </c>
      <c r="D4230" s="4066">
        <v>179949840</v>
      </c>
      <c r="E4230" s="2967">
        <v>179949840</v>
      </c>
      <c r="F4230" s="2685">
        <f>E4230/D4230*100</f>
        <v>100</v>
      </c>
      <c r="G4230" s="2967">
        <v>100</v>
      </c>
      <c r="H4230" s="1463"/>
      <c r="J4230" s="536"/>
      <c r="K4230" s="536"/>
    </row>
    <row r="4231" spans="1:11" s="27" customFormat="1" ht="12" hidden="1" customHeight="1" x14ac:dyDescent="0.25">
      <c r="A4231" s="6"/>
      <c r="B4231" s="441"/>
      <c r="C4231" s="2528"/>
      <c r="D4231" s="4299"/>
      <c r="E4231" s="2784"/>
      <c r="F4231" s="2784"/>
      <c r="G4231" s="2784"/>
      <c r="H4231" s="1463"/>
      <c r="J4231" s="995"/>
      <c r="K4231" s="995"/>
    </row>
    <row r="4232" spans="1:11" s="20" customFormat="1" ht="17.25" customHeight="1" x14ac:dyDescent="0.25">
      <c r="A4232" s="963"/>
      <c r="B4232" s="458"/>
      <c r="C4232" s="2532" t="s">
        <v>2703</v>
      </c>
      <c r="D4232" s="4106">
        <f>SUM(D4233)</f>
        <v>0</v>
      </c>
      <c r="E4232" s="2672">
        <v>0</v>
      </c>
      <c r="F4232" s="2672">
        <v>0</v>
      </c>
      <c r="G4232" s="2672">
        <v>0</v>
      </c>
      <c r="H4232" s="1463"/>
      <c r="J4232" s="536"/>
      <c r="K4232" s="536"/>
    </row>
    <row r="4233" spans="1:11" s="20" customFormat="1" ht="18" customHeight="1" x14ac:dyDescent="0.25">
      <c r="A4233" s="963"/>
      <c r="B4233" s="441"/>
      <c r="C4233" s="2521" t="s">
        <v>2704</v>
      </c>
      <c r="D4233" s="4072">
        <f>D4234</f>
        <v>0</v>
      </c>
      <c r="E4233" s="2734">
        <v>0</v>
      </c>
      <c r="F4233" s="2734">
        <v>0</v>
      </c>
      <c r="G4233" s="2734">
        <v>0</v>
      </c>
      <c r="H4233" s="1463"/>
      <c r="J4233" s="536"/>
      <c r="K4233" s="536"/>
    </row>
    <row r="4234" spans="1:11" s="20" customFormat="1" ht="17.25" hidden="1" customHeight="1" x14ac:dyDescent="0.25">
      <c r="A4234" s="963"/>
      <c r="B4234" s="441"/>
      <c r="C4234" s="2524" t="s">
        <v>2705</v>
      </c>
      <c r="D4234" s="3704">
        <v>0</v>
      </c>
      <c r="E4234" s="2810">
        <v>0</v>
      </c>
      <c r="F4234" s="2810">
        <v>0</v>
      </c>
      <c r="G4234" s="2810">
        <v>0</v>
      </c>
      <c r="H4234" s="1463"/>
      <c r="J4234" s="536"/>
      <c r="K4234" s="536"/>
    </row>
    <row r="4235" spans="1:11" ht="12" hidden="1" customHeight="1" x14ac:dyDescent="0.25">
      <c r="B4235" s="441"/>
      <c r="C4235" s="2528"/>
      <c r="D4235" s="4290"/>
      <c r="E4235" s="2778"/>
      <c r="F4235" s="2778"/>
      <c r="G4235" s="2778"/>
      <c r="H4235" s="1463"/>
    </row>
    <row r="4236" spans="1:11" ht="16.5" customHeight="1" x14ac:dyDescent="0.25">
      <c r="B4236" s="440"/>
      <c r="C4236" s="2497" t="s">
        <v>2706</v>
      </c>
      <c r="D4236" s="4080">
        <f>SUM(D4237)</f>
        <v>0</v>
      </c>
      <c r="E4236" s="2786">
        <f t="shared" ref="E4236:G4238" si="332">SUM(E4237)</f>
        <v>0</v>
      </c>
      <c r="F4236" s="2786">
        <f t="shared" si="332"/>
        <v>0</v>
      </c>
      <c r="G4236" s="2786">
        <f t="shared" si="332"/>
        <v>0</v>
      </c>
      <c r="H4236" s="1463"/>
    </row>
    <row r="4237" spans="1:11" ht="18.75" customHeight="1" x14ac:dyDescent="0.25">
      <c r="B4237" s="441"/>
      <c r="C4237" s="2521" t="s">
        <v>2707</v>
      </c>
      <c r="D4237" s="4339">
        <f>SUM(D4238)</f>
        <v>0</v>
      </c>
      <c r="E4237" s="3003">
        <f t="shared" si="332"/>
        <v>0</v>
      </c>
      <c r="F4237" s="3003">
        <f t="shared" si="332"/>
        <v>0</v>
      </c>
      <c r="G4237" s="3003">
        <f t="shared" si="332"/>
        <v>0</v>
      </c>
      <c r="H4237" s="1463"/>
    </row>
    <row r="4238" spans="1:11" ht="18.75" hidden="1" customHeight="1" x14ac:dyDescent="0.25">
      <c r="B4238" s="441"/>
      <c r="C4238" s="2494" t="s">
        <v>2708</v>
      </c>
      <c r="D4238" s="4065">
        <f>SUM(D4239)</f>
        <v>0</v>
      </c>
      <c r="E4238" s="2695">
        <f t="shared" si="332"/>
        <v>0</v>
      </c>
      <c r="F4238" s="2695">
        <f t="shared" si="332"/>
        <v>0</v>
      </c>
      <c r="G4238" s="2695">
        <f t="shared" si="332"/>
        <v>0</v>
      </c>
      <c r="H4238" s="1463"/>
    </row>
    <row r="4239" spans="1:11" ht="12" hidden="1" customHeight="1" x14ac:dyDescent="0.25">
      <c r="B4239" s="441"/>
      <c r="C4239" s="2528"/>
      <c r="D4239" s="4371"/>
      <c r="E4239" s="2784"/>
      <c r="F4239" s="2784"/>
      <c r="G4239" s="2784"/>
      <c r="H4239" s="1463"/>
    </row>
    <row r="4240" spans="1:11" s="20" customFormat="1" ht="18" customHeight="1" x14ac:dyDescent="0.25">
      <c r="A4240" s="963"/>
      <c r="B4240" s="440"/>
      <c r="C4240" s="2471" t="s">
        <v>2709</v>
      </c>
      <c r="D4240" s="4106">
        <f>D4241</f>
        <v>1754175000</v>
      </c>
      <c r="E4240" s="3192">
        <f>E4241</f>
        <v>1737188600</v>
      </c>
      <c r="F4240" s="2672">
        <f>E4240/D4240*100</f>
        <v>99.031658756965527</v>
      </c>
      <c r="G4240" s="2672">
        <f>G4241</f>
        <v>100</v>
      </c>
      <c r="H4240" s="1463"/>
      <c r="J4240" s="536"/>
      <c r="K4240" s="536"/>
    </row>
    <row r="4241" spans="1:11" s="20" customFormat="1" ht="17.25" customHeight="1" x14ac:dyDescent="0.25">
      <c r="A4241" s="963"/>
      <c r="B4241" s="441"/>
      <c r="C4241" s="2521" t="s">
        <v>2710</v>
      </c>
      <c r="D4241" s="4348">
        <f>SUM(D4242:D4243)</f>
        <v>1754175000</v>
      </c>
      <c r="E4241" s="4138">
        <f>SUM(E4242:E4243)</f>
        <v>1737188600</v>
      </c>
      <c r="F4241" s="2725">
        <f>E4241/D4241*100</f>
        <v>99.031658756965527</v>
      </c>
      <c r="G4241" s="2734">
        <f>G4242</f>
        <v>100</v>
      </c>
      <c r="H4241" s="1463"/>
      <c r="J4241" s="536"/>
      <c r="K4241" s="536"/>
    </row>
    <row r="4242" spans="1:11" s="20" customFormat="1" ht="17.25" hidden="1" customHeight="1" x14ac:dyDescent="0.25">
      <c r="A4242" s="963"/>
      <c r="B4242" s="441"/>
      <c r="C4242" s="2494" t="s">
        <v>4273</v>
      </c>
      <c r="D4242" s="4066">
        <v>1754175000</v>
      </c>
      <c r="E4242" s="4139">
        <v>1737188600</v>
      </c>
      <c r="F4242" s="2685">
        <f>E4242/D4242*100</f>
        <v>99.031658756965527</v>
      </c>
      <c r="G4242" s="2760">
        <v>100</v>
      </c>
      <c r="H4242" s="1463"/>
      <c r="J4242" s="536"/>
      <c r="K4242" s="536"/>
    </row>
    <row r="4243" spans="1:11" s="20" customFormat="1" ht="18" hidden="1" customHeight="1" x14ac:dyDescent="0.25">
      <c r="A4243" s="963"/>
      <c r="B4243" s="441"/>
      <c r="C4243" s="2494" t="s">
        <v>2711</v>
      </c>
      <c r="D4243" s="4154">
        <v>0</v>
      </c>
      <c r="E4243" s="2940">
        <v>0</v>
      </c>
      <c r="F4243" s="2940">
        <v>0</v>
      </c>
      <c r="G4243" s="2940">
        <v>0</v>
      </c>
      <c r="H4243" s="3715"/>
      <c r="J4243" s="536"/>
      <c r="K4243" s="536"/>
    </row>
    <row r="4244" spans="1:11" s="27" customFormat="1" ht="12" hidden="1" customHeight="1" x14ac:dyDescent="0.25">
      <c r="A4244" s="6"/>
      <c r="B4244" s="441"/>
      <c r="C4244" s="2528"/>
      <c r="D4244" s="4299"/>
      <c r="E4244" s="2784"/>
      <c r="F4244" s="2778"/>
      <c r="G4244" s="2778"/>
      <c r="H4244" s="1463"/>
      <c r="J4244" s="995"/>
      <c r="K4244" s="995"/>
    </row>
    <row r="4245" spans="1:11" s="20" customFormat="1" ht="15.75" customHeight="1" x14ac:dyDescent="0.25">
      <c r="A4245" s="963"/>
      <c r="B4245" s="440"/>
      <c r="C4245" s="2497" t="s">
        <v>2712</v>
      </c>
      <c r="D4245" s="4106">
        <f>D4246</f>
        <v>364625200</v>
      </c>
      <c r="E4245" s="3192">
        <f>E4246</f>
        <v>364625200</v>
      </c>
      <c r="F4245" s="2672">
        <f>E4245/D4245*100</f>
        <v>100</v>
      </c>
      <c r="G4245" s="2672">
        <f>G4246</f>
        <v>100</v>
      </c>
      <c r="H4245" s="1463"/>
      <c r="J4245" s="536"/>
      <c r="K4245" s="536"/>
    </row>
    <row r="4246" spans="1:11" s="20" customFormat="1" ht="16.5" customHeight="1" x14ac:dyDescent="0.25">
      <c r="A4246" s="963"/>
      <c r="B4246" s="441"/>
      <c r="C4246" s="2482" t="s">
        <v>2713</v>
      </c>
      <c r="D4246" s="4305">
        <f>D4247</f>
        <v>364625200</v>
      </c>
      <c r="E4246" s="2938">
        <f>E4247</f>
        <v>364625200</v>
      </c>
      <c r="F4246" s="2725">
        <f>E4246/D4246*100</f>
        <v>100</v>
      </c>
      <c r="G4246" s="2734">
        <f>G4247</f>
        <v>100</v>
      </c>
      <c r="H4246" s="1463"/>
      <c r="J4246" s="536"/>
      <c r="K4246" s="536"/>
    </row>
    <row r="4247" spans="1:11" s="20" customFormat="1" ht="15.75" hidden="1" customHeight="1" x14ac:dyDescent="0.25">
      <c r="A4247" s="963"/>
      <c r="B4247" s="441"/>
      <c r="C4247" s="2473" t="s">
        <v>2714</v>
      </c>
      <c r="D4247" s="4066">
        <v>364625200</v>
      </c>
      <c r="E4247" s="4140">
        <v>364625200</v>
      </c>
      <c r="F4247" s="2685">
        <f>E4247/D4247*100</f>
        <v>100</v>
      </c>
      <c r="G4247" s="2690">
        <v>100</v>
      </c>
      <c r="H4247" s="1463"/>
      <c r="J4247" s="536"/>
      <c r="K4247" s="536"/>
    </row>
    <row r="4248" spans="1:11" ht="12" hidden="1" customHeight="1" x14ac:dyDescent="0.25">
      <c r="B4248" s="441"/>
      <c r="C4248" s="2528"/>
      <c r="D4248" s="4299"/>
      <c r="E4248" s="2784"/>
      <c r="F4248" s="2778"/>
      <c r="G4248" s="2778"/>
      <c r="H4248" s="1463"/>
    </row>
    <row r="4249" spans="1:11" s="27" customFormat="1" ht="16.5" customHeight="1" x14ac:dyDescent="0.25">
      <c r="A4249" s="6"/>
      <c r="B4249" s="440"/>
      <c r="C4249" s="2497" t="s">
        <v>2715</v>
      </c>
      <c r="D4249" s="4080">
        <f>SUM(D4250+D4255)</f>
        <v>1086730000</v>
      </c>
      <c r="E4249" s="2786">
        <f>SUM(E4250+E4255)</f>
        <v>1076955000</v>
      </c>
      <c r="F4249" s="2670">
        <f>E4249/D4249*100</f>
        <v>99.100512546814755</v>
      </c>
      <c r="G4249" s="2670">
        <f>SUM(G4250+G4255)/2</f>
        <v>100</v>
      </c>
      <c r="H4249" s="1463"/>
      <c r="J4249" s="995"/>
      <c r="K4249" s="995"/>
    </row>
    <row r="4250" spans="1:11" s="27" customFormat="1" ht="20.25" customHeight="1" x14ac:dyDescent="0.25">
      <c r="A4250" s="6"/>
      <c r="B4250" s="441"/>
      <c r="C4250" s="2521" t="s">
        <v>2716</v>
      </c>
      <c r="D4250" s="4348">
        <f>SUM(D4251:D4253)</f>
        <v>716700000</v>
      </c>
      <c r="E4250" s="4138">
        <f>SUM(E4251:E4253)</f>
        <v>706925000</v>
      </c>
      <c r="F4250" s="2677">
        <f>E4250/D4250*100</f>
        <v>98.636109948374497</v>
      </c>
      <c r="G4250" s="2677">
        <f>G4251</f>
        <v>100</v>
      </c>
      <c r="H4250" s="1463"/>
      <c r="J4250" s="995"/>
      <c r="K4250" s="995"/>
    </row>
    <row r="4251" spans="1:11" s="27" customFormat="1" ht="14.25" hidden="1" customHeight="1" x14ac:dyDescent="0.25">
      <c r="A4251" s="6"/>
      <c r="B4251" s="441"/>
      <c r="C4251" s="2494" t="s">
        <v>2717</v>
      </c>
      <c r="D4251" s="4066">
        <v>716700000</v>
      </c>
      <c r="E4251" s="2967">
        <v>706925000</v>
      </c>
      <c r="F4251" s="2685">
        <f>E4251/D4251*100</f>
        <v>98.636109948374497</v>
      </c>
      <c r="G4251" s="2967">
        <v>100</v>
      </c>
      <c r="H4251" s="1463"/>
      <c r="J4251" s="995"/>
      <c r="K4251" s="995"/>
    </row>
    <row r="4252" spans="1:11" s="27" customFormat="1" ht="16.5" hidden="1" customHeight="1" x14ac:dyDescent="0.25">
      <c r="A4252" s="6"/>
      <c r="B4252" s="441"/>
      <c r="C4252" s="2506" t="s">
        <v>2718</v>
      </c>
      <c r="D4252" s="4154">
        <v>0</v>
      </c>
      <c r="E4252" s="2940">
        <v>0</v>
      </c>
      <c r="F4252" s="2940">
        <v>0</v>
      </c>
      <c r="G4252" s="2940">
        <v>0</v>
      </c>
      <c r="H4252" s="1463"/>
      <c r="J4252" s="995"/>
      <c r="K4252" s="995"/>
    </row>
    <row r="4253" spans="1:11" s="27" customFormat="1" ht="15" hidden="1" customHeight="1" x14ac:dyDescent="0.25">
      <c r="A4253" s="6"/>
      <c r="B4253" s="441"/>
      <c r="C4253" s="2494" t="s">
        <v>2719</v>
      </c>
      <c r="D4253" s="4154">
        <v>0</v>
      </c>
      <c r="E4253" s="2940">
        <v>0</v>
      </c>
      <c r="F4253" s="2940">
        <v>0</v>
      </c>
      <c r="G4253" s="2940">
        <v>0</v>
      </c>
      <c r="H4253" s="1463"/>
      <c r="J4253" s="995"/>
      <c r="K4253" s="995"/>
    </row>
    <row r="4254" spans="1:11" s="27" customFormat="1" ht="11.25" hidden="1" customHeight="1" x14ac:dyDescent="0.25">
      <c r="A4254" s="6"/>
      <c r="B4254" s="441"/>
      <c r="C4254" s="2494"/>
      <c r="D4254" s="4066"/>
      <c r="E4254" s="2967"/>
      <c r="F4254" s="2967"/>
      <c r="G4254" s="2967"/>
      <c r="H4254" s="1463"/>
      <c r="J4254" s="995"/>
      <c r="K4254" s="995"/>
    </row>
    <row r="4255" spans="1:11" s="27" customFormat="1" ht="16.5" customHeight="1" x14ac:dyDescent="0.25">
      <c r="A4255" s="6"/>
      <c r="B4255" s="441"/>
      <c r="C4255" s="2491" t="s">
        <v>2720</v>
      </c>
      <c r="D4255" s="4159">
        <f>SUM(D4256:D4257)</f>
        <v>370030000</v>
      </c>
      <c r="E4255" s="2813">
        <f>SUM(E4256:E4257)</f>
        <v>370030000</v>
      </c>
      <c r="F4255" s="2677">
        <f>E4255/D4255*100</f>
        <v>100</v>
      </c>
      <c r="G4255" s="2969">
        <f>G4257</f>
        <v>100</v>
      </c>
      <c r="H4255" s="1463"/>
      <c r="J4255" s="995"/>
      <c r="K4255" s="995"/>
    </row>
    <row r="4256" spans="1:11" s="27" customFormat="1" ht="15.75" hidden="1" customHeight="1" x14ac:dyDescent="0.25">
      <c r="A4256" s="6"/>
      <c r="B4256" s="441"/>
      <c r="C4256" s="2494" t="s">
        <v>2721</v>
      </c>
      <c r="D4256" s="4154">
        <v>0</v>
      </c>
      <c r="E4256" s="2940">
        <v>0</v>
      </c>
      <c r="F4256" s="2685"/>
      <c r="G4256" s="2940">
        <v>0</v>
      </c>
      <c r="H4256" s="1463"/>
      <c r="J4256" s="995"/>
      <c r="K4256" s="995"/>
    </row>
    <row r="4257" spans="1:11" s="27" customFormat="1" ht="19.5" hidden="1" customHeight="1" x14ac:dyDescent="0.25">
      <c r="A4257" s="6"/>
      <c r="B4257" s="441"/>
      <c r="C4257" s="2494" t="s">
        <v>2722</v>
      </c>
      <c r="D4257" s="4066">
        <v>370030000</v>
      </c>
      <c r="E4257" s="2967">
        <v>370030000</v>
      </c>
      <c r="F4257" s="2683">
        <f>E4257/D4257*100</f>
        <v>100</v>
      </c>
      <c r="G4257" s="2967">
        <v>100</v>
      </c>
      <c r="H4257" s="1463"/>
      <c r="J4257" s="995"/>
      <c r="K4257" s="995"/>
    </row>
    <row r="4258" spans="1:11" ht="12" hidden="1" customHeight="1" x14ac:dyDescent="0.25">
      <c r="B4258" s="441"/>
      <c r="C4258" s="2478"/>
      <c r="D4258" s="4299"/>
      <c r="E4258" s="2784"/>
      <c r="F4258" s="2784"/>
      <c r="G4258" s="2784"/>
      <c r="H4258" s="1463"/>
    </row>
    <row r="4259" spans="1:11" ht="18.75" customHeight="1" x14ac:dyDescent="0.25">
      <c r="B4259" s="440"/>
      <c r="C4259" s="2471" t="s">
        <v>2723</v>
      </c>
      <c r="D4259" s="4106">
        <f>SUM(D4260+D4264+D4271+D4274+D4278)</f>
        <v>936510000</v>
      </c>
      <c r="E4259" s="2672">
        <f>SUM(E4260+E4264+E4271+E4274+E4278)</f>
        <v>936499800</v>
      </c>
      <c r="F4259" s="2672">
        <f>E4259/D4259*100</f>
        <v>99.998910849857452</v>
      </c>
      <c r="G4259" s="2719">
        <f>SUM(G4264+G4274)/2</f>
        <v>100</v>
      </c>
      <c r="H4259" s="1463"/>
    </row>
    <row r="4260" spans="1:11" ht="21.75" customHeight="1" x14ac:dyDescent="0.25">
      <c r="B4260" s="441"/>
      <c r="C4260" s="2521" t="s">
        <v>2724</v>
      </c>
      <c r="D4260" s="4072">
        <v>0</v>
      </c>
      <c r="E4260" s="2942">
        <v>0</v>
      </c>
      <c r="F4260" s="2942">
        <v>0</v>
      </c>
      <c r="G4260" s="2942">
        <v>0</v>
      </c>
      <c r="H4260" s="1463"/>
    </row>
    <row r="4261" spans="1:11" ht="20.25" hidden="1" customHeight="1" x14ac:dyDescent="0.25">
      <c r="B4261" s="441"/>
      <c r="C4261" s="2494" t="s">
        <v>2725</v>
      </c>
      <c r="D4261" s="4154">
        <v>0</v>
      </c>
      <c r="E4261" s="2940">
        <v>0</v>
      </c>
      <c r="F4261" s="2940">
        <v>0</v>
      </c>
      <c r="G4261" s="2940">
        <v>0</v>
      </c>
      <c r="H4261" s="1463"/>
    </row>
    <row r="4262" spans="1:11" ht="20.25" hidden="1" customHeight="1" x14ac:dyDescent="0.25">
      <c r="B4262" s="441"/>
      <c r="C4262" s="2494" t="s">
        <v>2726</v>
      </c>
      <c r="D4262" s="4154">
        <v>0</v>
      </c>
      <c r="E4262" s="2940">
        <v>0</v>
      </c>
      <c r="F4262" s="2940">
        <v>0</v>
      </c>
      <c r="G4262" s="2940">
        <v>0</v>
      </c>
      <c r="H4262" s="1463"/>
    </row>
    <row r="4263" spans="1:11" ht="11.25" hidden="1" customHeight="1" x14ac:dyDescent="0.25">
      <c r="B4263" s="441"/>
      <c r="C4263" s="2494"/>
      <c r="D4263" s="4301"/>
      <c r="E4263" s="4141"/>
      <c r="F4263" s="2830"/>
      <c r="G4263" s="2752"/>
      <c r="H4263" s="1463"/>
    </row>
    <row r="4264" spans="1:11" ht="15.75" customHeight="1" x14ac:dyDescent="0.25">
      <c r="B4264" s="441"/>
      <c r="C4264" s="2491" t="s">
        <v>2727</v>
      </c>
      <c r="D4264" s="4159">
        <f>SUM(D4265:D4269)</f>
        <v>452010000</v>
      </c>
      <c r="E4264" s="2813">
        <f>SUM(E4265:E4269)</f>
        <v>451999800</v>
      </c>
      <c r="F4264" s="2695">
        <f>E4264/D4264*100</f>
        <v>99.997743412756364</v>
      </c>
      <c r="G4264" s="2695">
        <f>G4268</f>
        <v>100</v>
      </c>
      <c r="H4264" s="1463"/>
    </row>
    <row r="4265" spans="1:11" ht="17.25" hidden="1" customHeight="1" x14ac:dyDescent="0.25">
      <c r="B4265" s="441"/>
      <c r="C4265" s="2494" t="s">
        <v>2728</v>
      </c>
      <c r="D4265" s="4154">
        <v>0</v>
      </c>
      <c r="E4265" s="2940">
        <v>0</v>
      </c>
      <c r="F4265" s="2940">
        <v>0</v>
      </c>
      <c r="G4265" s="2940">
        <v>0</v>
      </c>
      <c r="H4265" s="1463"/>
    </row>
    <row r="4266" spans="1:11" ht="20.25" hidden="1" customHeight="1" x14ac:dyDescent="0.25">
      <c r="B4266" s="441"/>
      <c r="C4266" s="2494" t="s">
        <v>2729</v>
      </c>
      <c r="D4266" s="4154">
        <v>0</v>
      </c>
      <c r="E4266" s="2940">
        <v>0</v>
      </c>
      <c r="F4266" s="2940">
        <v>0</v>
      </c>
      <c r="G4266" s="2940">
        <v>0</v>
      </c>
      <c r="H4266" s="1463"/>
    </row>
    <row r="4267" spans="1:11" ht="18" hidden="1" customHeight="1" x14ac:dyDescent="0.25">
      <c r="B4267" s="441"/>
      <c r="C4267" s="2526" t="s">
        <v>2730</v>
      </c>
      <c r="D4267" s="4154">
        <v>0</v>
      </c>
      <c r="E4267" s="2940">
        <v>0</v>
      </c>
      <c r="F4267" s="2940">
        <v>0</v>
      </c>
      <c r="G4267" s="2940">
        <v>0</v>
      </c>
      <c r="H4267" s="1463"/>
    </row>
    <row r="4268" spans="1:11" ht="16.5" hidden="1" customHeight="1" x14ac:dyDescent="0.25">
      <c r="B4268" s="441"/>
      <c r="C4268" s="2524" t="s">
        <v>2731</v>
      </c>
      <c r="D4268" s="4066">
        <v>452010000</v>
      </c>
      <c r="E4268" s="2690">
        <v>451999800</v>
      </c>
      <c r="F4268" s="2752">
        <f>E4268/D4268*100</f>
        <v>99.997743412756364</v>
      </c>
      <c r="G4268" s="2752">
        <v>100</v>
      </c>
      <c r="H4268" s="1463"/>
    </row>
    <row r="4269" spans="1:11" ht="16.5" hidden="1" customHeight="1" x14ac:dyDescent="0.25">
      <c r="B4269" s="441"/>
      <c r="C4269" s="2524" t="s">
        <v>2732</v>
      </c>
      <c r="D4269" s="4154">
        <v>0</v>
      </c>
      <c r="E4269" s="2940">
        <v>0</v>
      </c>
      <c r="F4269" s="2940">
        <v>0</v>
      </c>
      <c r="G4269" s="2940">
        <v>0</v>
      </c>
      <c r="H4269" s="1463"/>
    </row>
    <row r="4270" spans="1:11" ht="12" hidden="1" customHeight="1" x14ac:dyDescent="0.25">
      <c r="B4270" s="441"/>
      <c r="C4270" s="2527"/>
      <c r="D4270" s="4276"/>
      <c r="E4270" s="3035"/>
      <c r="F4270" s="2784"/>
      <c r="G4270" s="2784"/>
      <c r="H4270" s="1463"/>
    </row>
    <row r="4271" spans="1:11" ht="18" customHeight="1" x14ac:dyDescent="0.25">
      <c r="B4271" s="441"/>
      <c r="C4271" s="2525" t="s">
        <v>2733</v>
      </c>
      <c r="D4271" s="4072">
        <v>0</v>
      </c>
      <c r="E4271" s="2942">
        <v>0</v>
      </c>
      <c r="F4271" s="2942">
        <v>0</v>
      </c>
      <c r="G4271" s="2942">
        <v>0</v>
      </c>
      <c r="H4271" s="1463"/>
    </row>
    <row r="4272" spans="1:11" ht="18.75" hidden="1" customHeight="1" x14ac:dyDescent="0.25">
      <c r="B4272" s="441"/>
      <c r="C4272" s="2524" t="s">
        <v>2734</v>
      </c>
      <c r="D4272" s="4154">
        <v>0</v>
      </c>
      <c r="E4272" s="2940">
        <v>0</v>
      </c>
      <c r="F4272" s="2940">
        <v>0</v>
      </c>
      <c r="G4272" s="2940">
        <v>0</v>
      </c>
      <c r="H4272" s="1463"/>
    </row>
    <row r="4273" spans="1:11" ht="12" hidden="1" customHeight="1" x14ac:dyDescent="0.25">
      <c r="B4273" s="441"/>
      <c r="C4273" s="2527"/>
      <c r="D4273" s="4276"/>
      <c r="E4273" s="3035"/>
      <c r="F4273" s="2784"/>
      <c r="G4273" s="2784"/>
      <c r="H4273" s="1463"/>
    </row>
    <row r="4274" spans="1:11" ht="15.75" customHeight="1" x14ac:dyDescent="0.25">
      <c r="B4274" s="441"/>
      <c r="C4274" s="2525" t="s">
        <v>2735</v>
      </c>
      <c r="D4274" s="4065">
        <f>SUM(D4275:D4276)</f>
        <v>484500000</v>
      </c>
      <c r="E4274" s="2695">
        <f>SUM(E4275:E4276)</f>
        <v>484500000</v>
      </c>
      <c r="F4274" s="2695">
        <f>E4274/D4274*100</f>
        <v>100</v>
      </c>
      <c r="G4274" s="2695">
        <f>G4276</f>
        <v>100</v>
      </c>
      <c r="H4274" s="1463"/>
    </row>
    <row r="4275" spans="1:11" ht="14.25" hidden="1" customHeight="1" x14ac:dyDescent="0.25">
      <c r="B4275" s="441"/>
      <c r="C4275" s="2524" t="s">
        <v>2736</v>
      </c>
      <c r="D4275" s="4066">
        <v>0</v>
      </c>
      <c r="E4275" s="2690">
        <v>0</v>
      </c>
      <c r="F4275" s="3035"/>
      <c r="G4275" s="3035"/>
      <c r="H4275" s="1463"/>
    </row>
    <row r="4276" spans="1:11" ht="15.75" hidden="1" customHeight="1" x14ac:dyDescent="0.25">
      <c r="B4276" s="441"/>
      <c r="C4276" s="2524" t="s">
        <v>2737</v>
      </c>
      <c r="D4276" s="4066">
        <v>484500000</v>
      </c>
      <c r="E4276" s="2690">
        <v>484500000</v>
      </c>
      <c r="F4276" s="2690">
        <f>E4276/D4276*100</f>
        <v>100</v>
      </c>
      <c r="G4276" s="2690">
        <v>100</v>
      </c>
      <c r="H4276" s="1463"/>
    </row>
    <row r="4277" spans="1:11" ht="12" hidden="1" customHeight="1" x14ac:dyDescent="0.25">
      <c r="B4277" s="441"/>
      <c r="C4277" s="2527"/>
      <c r="D4277" s="4276"/>
      <c r="E4277" s="3035"/>
      <c r="F4277" s="3035"/>
      <c r="G4277" s="3035"/>
      <c r="H4277" s="1463"/>
    </row>
    <row r="4278" spans="1:11" ht="21" customHeight="1" x14ac:dyDescent="0.25">
      <c r="B4278" s="441"/>
      <c r="C4278" s="2525" t="s">
        <v>2738</v>
      </c>
      <c r="D4278" s="4072">
        <v>0</v>
      </c>
      <c r="E4278" s="2942">
        <v>0</v>
      </c>
      <c r="F4278" s="2942">
        <v>0</v>
      </c>
      <c r="G4278" s="2942">
        <v>0</v>
      </c>
      <c r="H4278" s="1463"/>
    </row>
    <row r="4279" spans="1:11" ht="17.25" hidden="1" customHeight="1" x14ac:dyDescent="0.25">
      <c r="B4279" s="441"/>
      <c r="C4279" s="2524" t="s">
        <v>2739</v>
      </c>
      <c r="D4279" s="4154">
        <v>0</v>
      </c>
      <c r="E4279" s="2940">
        <v>0</v>
      </c>
      <c r="F4279" s="2940">
        <v>0</v>
      </c>
      <c r="G4279" s="2940">
        <v>0</v>
      </c>
      <c r="H4279" s="1463"/>
    </row>
    <row r="4280" spans="1:11" ht="12" hidden="1" customHeight="1" x14ac:dyDescent="0.25">
      <c r="B4280" s="441"/>
      <c r="C4280" s="2526"/>
      <c r="D4280" s="4299"/>
      <c r="E4280" s="2784"/>
      <c r="F4280" s="2784"/>
      <c r="G4280" s="2784"/>
      <c r="H4280" s="1463"/>
    </row>
    <row r="4281" spans="1:11" ht="20.25" customHeight="1" x14ac:dyDescent="0.25">
      <c r="B4281" s="440"/>
      <c r="C4281" s="2497" t="s">
        <v>2740</v>
      </c>
      <c r="D4281" s="4106">
        <v>0</v>
      </c>
      <c r="E4281" s="3192">
        <v>0</v>
      </c>
      <c r="F4281" s="3192">
        <v>0</v>
      </c>
      <c r="G4281" s="3192">
        <v>0</v>
      </c>
      <c r="H4281" s="1463"/>
    </row>
    <row r="4282" spans="1:11" ht="18" customHeight="1" x14ac:dyDescent="0.25">
      <c r="B4282" s="441"/>
      <c r="C4282" s="2609" t="s">
        <v>2741</v>
      </c>
      <c r="D4282" s="4154">
        <v>0</v>
      </c>
      <c r="E4282" s="2940">
        <v>0</v>
      </c>
      <c r="F4282" s="2940">
        <v>0</v>
      </c>
      <c r="G4282" s="2940">
        <v>0</v>
      </c>
      <c r="H4282" s="1463"/>
    </row>
    <row r="4283" spans="1:11" ht="16.5" hidden="1" customHeight="1" x14ac:dyDescent="0.25">
      <c r="B4283" s="441"/>
      <c r="C4283" s="2494" t="s">
        <v>2742</v>
      </c>
      <c r="D4283" s="4154">
        <v>0</v>
      </c>
      <c r="E4283" s="2940">
        <v>0</v>
      </c>
      <c r="F4283" s="2940">
        <v>0</v>
      </c>
      <c r="G4283" s="2940">
        <v>0</v>
      </c>
      <c r="H4283" s="1463"/>
    </row>
    <row r="4284" spans="1:11" ht="12" hidden="1" customHeight="1" x14ac:dyDescent="0.25">
      <c r="B4284" s="441"/>
      <c r="C4284" s="2528"/>
      <c r="D4284" s="4299"/>
      <c r="E4284" s="2784"/>
      <c r="F4284" s="2784"/>
      <c r="G4284" s="2784"/>
      <c r="H4284" s="1463"/>
    </row>
    <row r="4285" spans="1:11" s="20" customFormat="1" ht="16.5" customHeight="1" x14ac:dyDescent="0.25">
      <c r="A4285" s="963"/>
      <c r="B4285" s="440"/>
      <c r="C4285" s="2471" t="s">
        <v>2743</v>
      </c>
      <c r="D4285" s="4106">
        <f>SUM(D4286+D4289+D4292+D4295)</f>
        <v>160000000</v>
      </c>
      <c r="E4285" s="2672">
        <f>SUM(E4286+E4289+E4292+E4295)</f>
        <v>160000000</v>
      </c>
      <c r="F4285" s="2672">
        <f>E4285/D4285*100</f>
        <v>100</v>
      </c>
      <c r="G4285" s="2672">
        <f>SUM(G4286+G4289+G4292+G4295)/4</f>
        <v>100</v>
      </c>
      <c r="H4285" s="1463"/>
      <c r="J4285" s="536"/>
      <c r="K4285" s="536"/>
    </row>
    <row r="4286" spans="1:11" s="20" customFormat="1" ht="19.5" customHeight="1" x14ac:dyDescent="0.25">
      <c r="A4286" s="963"/>
      <c r="B4286" s="441"/>
      <c r="C4286" s="2521" t="s">
        <v>2744</v>
      </c>
      <c r="D4286" s="4311">
        <f>D4287</f>
        <v>100000000</v>
      </c>
      <c r="E4286" s="2824">
        <f>E4287</f>
        <v>100000000</v>
      </c>
      <c r="F4286" s="2695">
        <f>E4286/D4286*100</f>
        <v>100</v>
      </c>
      <c r="G4286" s="2734">
        <f>G4287</f>
        <v>100</v>
      </c>
      <c r="H4286" s="1463"/>
      <c r="J4286" s="536"/>
      <c r="K4286" s="536"/>
    </row>
    <row r="4287" spans="1:11" s="20" customFormat="1" ht="15.75" hidden="1" customHeight="1" x14ac:dyDescent="0.25">
      <c r="A4287" s="963"/>
      <c r="B4287" s="441"/>
      <c r="C4287" s="2494" t="s">
        <v>2745</v>
      </c>
      <c r="D4287" s="4066">
        <v>100000000</v>
      </c>
      <c r="E4287" s="2967">
        <v>100000000</v>
      </c>
      <c r="F4287" s="2967">
        <f>E4287/D4287*100</f>
        <v>100</v>
      </c>
      <c r="G4287" s="2967">
        <v>100</v>
      </c>
      <c r="H4287" s="1463"/>
      <c r="J4287" s="536"/>
      <c r="K4287" s="536"/>
    </row>
    <row r="4288" spans="1:11" s="20" customFormat="1" ht="11.25" hidden="1" customHeight="1" x14ac:dyDescent="0.25">
      <c r="A4288" s="963"/>
      <c r="B4288" s="441"/>
      <c r="C4288" s="2494"/>
      <c r="D4288" s="4066"/>
      <c r="E4288" s="2967"/>
      <c r="F4288" s="2967"/>
      <c r="G4288" s="2993"/>
      <c r="H4288" s="1463"/>
      <c r="J4288" s="536"/>
      <c r="K4288" s="536"/>
    </row>
    <row r="4289" spans="1:11" s="20" customFormat="1" ht="18.75" customHeight="1" x14ac:dyDescent="0.25">
      <c r="A4289" s="963"/>
      <c r="B4289" s="441"/>
      <c r="C4289" s="2491" t="s">
        <v>2746</v>
      </c>
      <c r="D4289" s="4065">
        <f>D4290</f>
        <v>25000000</v>
      </c>
      <c r="E4289" s="4142">
        <f>E4290</f>
        <v>25000000</v>
      </c>
      <c r="F4289" s="2969">
        <f t="shared" ref="F4289:F4296" si="333">E4289/D4289*100</f>
        <v>100</v>
      </c>
      <c r="G4289" s="2722">
        <f>G4290</f>
        <v>100</v>
      </c>
      <c r="H4289" s="1463"/>
      <c r="J4289" s="536"/>
      <c r="K4289" s="536"/>
    </row>
    <row r="4290" spans="1:11" s="20" customFormat="1" ht="15.75" hidden="1" customHeight="1" x14ac:dyDescent="0.25">
      <c r="A4290" s="963"/>
      <c r="B4290" s="441"/>
      <c r="C4290" s="2494" t="s">
        <v>2747</v>
      </c>
      <c r="D4290" s="4066">
        <v>25000000</v>
      </c>
      <c r="E4290" s="4143">
        <v>25000000</v>
      </c>
      <c r="F4290" s="2967">
        <f t="shared" si="333"/>
        <v>100</v>
      </c>
      <c r="G4290" s="2685">
        <v>100</v>
      </c>
      <c r="H4290" s="1463"/>
      <c r="J4290" s="536"/>
      <c r="K4290" s="536"/>
    </row>
    <row r="4291" spans="1:11" s="20" customFormat="1" ht="10.5" hidden="1" customHeight="1" x14ac:dyDescent="0.25">
      <c r="A4291" s="963"/>
      <c r="B4291" s="441"/>
      <c r="C4291" s="2495"/>
      <c r="D4291" s="4066"/>
      <c r="E4291" s="4143"/>
      <c r="F4291" s="2967"/>
      <c r="G4291" s="2685"/>
      <c r="H4291" s="1463"/>
      <c r="J4291" s="536"/>
      <c r="K4291" s="536"/>
    </row>
    <row r="4292" spans="1:11" s="20" customFormat="1" ht="18" customHeight="1" x14ac:dyDescent="0.25">
      <c r="A4292" s="963"/>
      <c r="B4292" s="441"/>
      <c r="C4292" s="2496" t="s">
        <v>2748</v>
      </c>
      <c r="D4292" s="4065">
        <f>D4293</f>
        <v>15000000</v>
      </c>
      <c r="E4292" s="4142">
        <f>E4293</f>
        <v>15000000</v>
      </c>
      <c r="F4292" s="2969">
        <f t="shared" si="333"/>
        <v>100</v>
      </c>
      <c r="G4292" s="2679">
        <f>G4293</f>
        <v>100</v>
      </c>
      <c r="H4292" s="1463"/>
      <c r="J4292" s="536"/>
      <c r="K4292" s="536"/>
    </row>
    <row r="4293" spans="1:11" s="20" customFormat="1" ht="14.25" hidden="1" customHeight="1" x14ac:dyDescent="0.25">
      <c r="A4293" s="963"/>
      <c r="B4293" s="441"/>
      <c r="C4293" s="2473" t="s">
        <v>2749</v>
      </c>
      <c r="D4293" s="4066">
        <v>15000000</v>
      </c>
      <c r="E4293" s="4143">
        <v>15000000</v>
      </c>
      <c r="F4293" s="2967">
        <f t="shared" si="333"/>
        <v>100</v>
      </c>
      <c r="G4293" s="2685">
        <v>100</v>
      </c>
      <c r="H4293" s="1463"/>
      <c r="J4293" s="536"/>
      <c r="K4293" s="536"/>
    </row>
    <row r="4294" spans="1:11" s="20" customFormat="1" ht="8.25" hidden="1" customHeight="1" x14ac:dyDescent="0.25">
      <c r="A4294" s="963"/>
      <c r="B4294" s="441"/>
      <c r="C4294" s="2473"/>
      <c r="D4294" s="4066"/>
      <c r="E4294" s="4143"/>
      <c r="F4294" s="2967"/>
      <c r="G4294" s="2685"/>
      <c r="H4294" s="1463"/>
      <c r="J4294" s="536"/>
      <c r="K4294" s="536"/>
    </row>
    <row r="4295" spans="1:11" s="20" customFormat="1" ht="16.5" customHeight="1" x14ac:dyDescent="0.25">
      <c r="A4295" s="963"/>
      <c r="B4295" s="441"/>
      <c r="C4295" s="2474" t="s">
        <v>2750</v>
      </c>
      <c r="D4295" s="4065">
        <f>D4296</f>
        <v>20000000</v>
      </c>
      <c r="E4295" s="4142">
        <f>E4296</f>
        <v>20000000</v>
      </c>
      <c r="F4295" s="2969">
        <f t="shared" si="333"/>
        <v>100</v>
      </c>
      <c r="G4295" s="2725">
        <v>100</v>
      </c>
      <c r="H4295" s="1463"/>
      <c r="J4295" s="536"/>
      <c r="K4295" s="536"/>
    </row>
    <row r="4296" spans="1:11" s="20" customFormat="1" ht="15" hidden="1" customHeight="1" x14ac:dyDescent="0.25">
      <c r="A4296" s="963"/>
      <c r="B4296" s="441"/>
      <c r="C4296" s="2494" t="s">
        <v>2751</v>
      </c>
      <c r="D4296" s="4290">
        <v>20000000</v>
      </c>
      <c r="E4296" s="2804">
        <v>20000000</v>
      </c>
      <c r="F4296" s="2967">
        <f t="shared" si="333"/>
        <v>100</v>
      </c>
      <c r="G4296" s="2804">
        <v>100</v>
      </c>
      <c r="H4296" s="1463"/>
      <c r="J4296" s="536"/>
      <c r="K4296" s="536"/>
    </row>
    <row r="4297" spans="1:11" ht="12" hidden="1" customHeight="1" x14ac:dyDescent="0.25">
      <c r="B4297" s="441"/>
      <c r="C4297" s="2506"/>
      <c r="D4297" s="4290"/>
      <c r="E4297" s="2830"/>
      <c r="F4297" s="2830"/>
      <c r="G4297" s="2830"/>
      <c r="H4297" s="1463"/>
    </row>
    <row r="4298" spans="1:11" ht="17.25" customHeight="1" x14ac:dyDescent="0.25">
      <c r="B4298" s="440"/>
      <c r="C4298" s="2497" t="s">
        <v>2752</v>
      </c>
      <c r="D4298" s="4080">
        <f>SUM(D4299+D4303)</f>
        <v>350000000</v>
      </c>
      <c r="E4298" s="2786">
        <f>SUM(E4299+E4303)</f>
        <v>350000000</v>
      </c>
      <c r="F4298" s="2672">
        <f>E4298/D4298*100</f>
        <v>100</v>
      </c>
      <c r="G4298" s="2719">
        <f>SUM(G4299+G4303)/2</f>
        <v>100</v>
      </c>
      <c r="H4298" s="1463"/>
    </row>
    <row r="4299" spans="1:11" ht="18.75" customHeight="1" x14ac:dyDescent="0.25">
      <c r="B4299" s="441"/>
      <c r="C4299" s="2521" t="s">
        <v>2753</v>
      </c>
      <c r="D4299" s="4348">
        <f>SUM(D4300:D4301)</f>
        <v>170000000</v>
      </c>
      <c r="E4299" s="2900">
        <f>SUM(E4300:E4301)</f>
        <v>170000000</v>
      </c>
      <c r="F4299" s="2695">
        <f>E4299/D4299*100</f>
        <v>100</v>
      </c>
      <c r="G4299" s="2785">
        <f>SUM(G4300:G4301)/2</f>
        <v>100</v>
      </c>
      <c r="H4299" s="1463"/>
    </row>
    <row r="4300" spans="1:11" ht="15.75" hidden="1" customHeight="1" x14ac:dyDescent="0.25">
      <c r="B4300" s="441"/>
      <c r="C4300" s="2494" t="s">
        <v>2754</v>
      </c>
      <c r="D4300" s="4066">
        <v>145000000</v>
      </c>
      <c r="E4300" s="4144">
        <v>145000000</v>
      </c>
      <c r="F4300" s="2967">
        <f>E4300/D4300*100</f>
        <v>100</v>
      </c>
      <c r="G4300" s="2685">
        <v>100</v>
      </c>
      <c r="H4300" s="1463"/>
    </row>
    <row r="4301" spans="1:11" ht="14.25" hidden="1" customHeight="1" x14ac:dyDescent="0.25">
      <c r="B4301" s="441"/>
      <c r="C4301" s="2494" t="s">
        <v>4003</v>
      </c>
      <c r="D4301" s="4066">
        <v>25000000</v>
      </c>
      <c r="E4301" s="4144">
        <v>25000000</v>
      </c>
      <c r="F4301" s="2967">
        <f>E4301/D4301*100</f>
        <v>100</v>
      </c>
      <c r="G4301" s="2685">
        <v>100</v>
      </c>
      <c r="H4301" s="1463"/>
    </row>
    <row r="4302" spans="1:11" ht="12.75" hidden="1" customHeight="1" x14ac:dyDescent="0.25">
      <c r="B4302" s="441"/>
      <c r="C4302" s="2494"/>
      <c r="D4302" s="4066"/>
      <c r="E4302" s="4144"/>
      <c r="F4302" s="2685"/>
      <c r="G4302" s="2685"/>
      <c r="H4302" s="1463"/>
    </row>
    <row r="4303" spans="1:11" ht="19.5" customHeight="1" x14ac:dyDescent="0.25">
      <c r="B4303" s="441"/>
      <c r="C4303" s="2491" t="s">
        <v>2755</v>
      </c>
      <c r="D4303" s="4065">
        <f>D4304</f>
        <v>180000000</v>
      </c>
      <c r="E4303" s="4145">
        <f>E4304</f>
        <v>180000000</v>
      </c>
      <c r="F4303" s="2695">
        <f>E4303/D4303*100</f>
        <v>100</v>
      </c>
      <c r="G4303" s="2679">
        <f>G4304</f>
        <v>100</v>
      </c>
      <c r="H4303" s="1463"/>
    </row>
    <row r="4304" spans="1:11" ht="14.25" hidden="1" customHeight="1" x14ac:dyDescent="0.25">
      <c r="B4304" s="441"/>
      <c r="C4304" s="2524" t="s">
        <v>2756</v>
      </c>
      <c r="D4304" s="4066">
        <v>180000000</v>
      </c>
      <c r="E4304" s="2690">
        <v>180000000</v>
      </c>
      <c r="F4304" s="2967">
        <f>E4304/D4304*100</f>
        <v>100</v>
      </c>
      <c r="G4304" s="3035">
        <v>100</v>
      </c>
      <c r="H4304" s="1463"/>
    </row>
    <row r="4305" spans="1:11" ht="12" hidden="1" customHeight="1" x14ac:dyDescent="0.25">
      <c r="B4305" s="441"/>
      <c r="C4305" s="2528"/>
      <c r="D4305" s="4299"/>
      <c r="E4305" s="2784"/>
      <c r="F4305" s="2784"/>
      <c r="G4305" s="2784"/>
      <c r="H4305" s="1463"/>
    </row>
    <row r="4306" spans="1:11" ht="16.5" customHeight="1" x14ac:dyDescent="0.25">
      <c r="B4306" s="458"/>
      <c r="C4306" s="2532" t="s">
        <v>2757</v>
      </c>
      <c r="D4306" s="4106">
        <f>SUM(D4307+D4310+D4313)</f>
        <v>233881451</v>
      </c>
      <c r="E4306" s="3192">
        <f>SUM(E4307+E4310+E4313)</f>
        <v>232999451</v>
      </c>
      <c r="F4306" s="2672">
        <f>E4306/D4306*100</f>
        <v>99.622885869645131</v>
      </c>
      <c r="G4306" s="2672">
        <f>SUM(G4307+G4310+G4313)/3</f>
        <v>100</v>
      </c>
      <c r="H4306" s="1463"/>
    </row>
    <row r="4307" spans="1:11" s="20" customFormat="1" ht="18.75" customHeight="1" x14ac:dyDescent="0.25">
      <c r="A4307" s="963"/>
      <c r="B4307" s="441"/>
      <c r="C4307" s="2521" t="s">
        <v>2758</v>
      </c>
      <c r="D4307" s="4159">
        <f>D4308</f>
        <v>130000000</v>
      </c>
      <c r="E4307" s="2679">
        <f>E4308</f>
        <v>129118000</v>
      </c>
      <c r="F4307" s="2695">
        <f>E4307/D4307*100</f>
        <v>99.321538461538466</v>
      </c>
      <c r="G4307" s="2679">
        <f>G4308</f>
        <v>100</v>
      </c>
      <c r="H4307" s="1463"/>
      <c r="J4307" s="536"/>
      <c r="K4307" s="536"/>
    </row>
    <row r="4308" spans="1:11" s="20" customFormat="1" ht="18" hidden="1" customHeight="1" x14ac:dyDescent="0.25">
      <c r="A4308" s="963"/>
      <c r="B4308" s="441"/>
      <c r="C4308" s="2524" t="s">
        <v>2759</v>
      </c>
      <c r="D4308" s="4066">
        <v>130000000</v>
      </c>
      <c r="E4308" s="4146">
        <v>129118000</v>
      </c>
      <c r="F4308" s="2967">
        <f>E4308/D4308*100</f>
        <v>99.321538461538466</v>
      </c>
      <c r="G4308" s="2685">
        <v>100</v>
      </c>
      <c r="H4308" s="1463"/>
      <c r="J4308" s="536"/>
      <c r="K4308" s="536"/>
    </row>
    <row r="4309" spans="1:11" s="20" customFormat="1" ht="9.75" hidden="1" customHeight="1" x14ac:dyDescent="0.25">
      <c r="A4309" s="963"/>
      <c r="B4309" s="441"/>
      <c r="C4309" s="2526"/>
      <c r="D4309" s="4301"/>
      <c r="E4309" s="4147"/>
      <c r="F4309" s="2830"/>
      <c r="G4309" s="2830"/>
      <c r="H4309" s="1463"/>
      <c r="J4309" s="536"/>
      <c r="K4309" s="536"/>
    </row>
    <row r="4310" spans="1:11" ht="20.25" customHeight="1" x14ac:dyDescent="0.25">
      <c r="B4310" s="441"/>
      <c r="C4310" s="2525" t="s">
        <v>2760</v>
      </c>
      <c r="D4310" s="4065">
        <f>D4311</f>
        <v>50000000</v>
      </c>
      <c r="E4310" s="2695">
        <f>E4311</f>
        <v>50000000</v>
      </c>
      <c r="F4310" s="2695">
        <f>E4310/D4310*100</f>
        <v>100</v>
      </c>
      <c r="G4310" s="2695">
        <f>G4311</f>
        <v>100</v>
      </c>
      <c r="H4310" s="1463"/>
    </row>
    <row r="4311" spans="1:11" ht="17.25" hidden="1" customHeight="1" x14ac:dyDescent="0.25">
      <c r="B4311" s="441"/>
      <c r="C4311" s="2494" t="s">
        <v>2761</v>
      </c>
      <c r="D4311" s="4066">
        <v>50000000</v>
      </c>
      <c r="E4311" s="2690">
        <v>50000000</v>
      </c>
      <c r="F4311" s="2967">
        <f>E4311/D4311*100</f>
        <v>100</v>
      </c>
      <c r="G4311" s="2690">
        <v>100</v>
      </c>
      <c r="H4311" s="1463"/>
    </row>
    <row r="4312" spans="1:11" ht="6.75" hidden="1" customHeight="1" x14ac:dyDescent="0.25">
      <c r="B4312" s="441"/>
      <c r="C4312" s="2491"/>
      <c r="D4312" s="4065"/>
      <c r="E4312" s="2695"/>
      <c r="F4312" s="2695"/>
      <c r="G4312" s="2695"/>
      <c r="H4312" s="1463"/>
    </row>
    <row r="4313" spans="1:11" ht="18" customHeight="1" x14ac:dyDescent="0.25">
      <c r="B4313" s="441"/>
      <c r="C4313" s="2491" t="s">
        <v>2762</v>
      </c>
      <c r="D4313" s="4065">
        <f>D4314</f>
        <v>53881451</v>
      </c>
      <c r="E4313" s="2695">
        <f>E4314</f>
        <v>53881451</v>
      </c>
      <c r="F4313" s="2695">
        <f>E4313/D4313*100</f>
        <v>100</v>
      </c>
      <c r="G4313" s="3002">
        <v>100</v>
      </c>
      <c r="H4313" s="1463"/>
    </row>
    <row r="4314" spans="1:11" ht="15.75" hidden="1" customHeight="1" x14ac:dyDescent="0.25">
      <c r="B4314" s="441"/>
      <c r="C4314" s="2524" t="s">
        <v>2763</v>
      </c>
      <c r="D4314" s="4066">
        <v>53881451</v>
      </c>
      <c r="E4314" s="2967">
        <v>53881451</v>
      </c>
      <c r="F4314" s="2967">
        <f>E4314/D4314*100</f>
        <v>100</v>
      </c>
      <c r="G4314" s="2967">
        <v>100</v>
      </c>
      <c r="H4314" s="1463"/>
    </row>
    <row r="4315" spans="1:11" ht="12" hidden="1" customHeight="1" x14ac:dyDescent="0.25">
      <c r="B4315" s="441"/>
      <c r="C4315" s="2528"/>
      <c r="D4315" s="4299"/>
      <c r="E4315" s="2784"/>
      <c r="F4315" s="2784"/>
      <c r="G4315" s="2784"/>
      <c r="H4315" s="1463"/>
    </row>
    <row r="4316" spans="1:11" ht="17.25" customHeight="1" x14ac:dyDescent="0.25">
      <c r="B4316" s="458"/>
      <c r="C4316" s="2532" t="s">
        <v>2764</v>
      </c>
      <c r="D4316" s="4106">
        <f>SUM(D4317+D4320)</f>
        <v>284470000</v>
      </c>
      <c r="E4316" s="2672">
        <f>SUM(E4317+E4320)</f>
        <v>284470000</v>
      </c>
      <c r="F4316" s="2672">
        <f>E4316/D4316*100</f>
        <v>100</v>
      </c>
      <c r="G4316" s="2672">
        <f>SUM(G4317+G4320)/2</f>
        <v>100</v>
      </c>
      <c r="H4316" s="1463"/>
    </row>
    <row r="4317" spans="1:11" s="32" customFormat="1" ht="16.5" customHeight="1" x14ac:dyDescent="0.25">
      <c r="A4317" s="1"/>
      <c r="B4317" s="441"/>
      <c r="C4317" s="2521" t="s">
        <v>2765</v>
      </c>
      <c r="D4317" s="4365">
        <f>D4318</f>
        <v>34500000</v>
      </c>
      <c r="E4317" s="3084">
        <f>E4318</f>
        <v>34500000</v>
      </c>
      <c r="F4317" s="2695">
        <f>E4317/D4317*100</f>
        <v>100</v>
      </c>
      <c r="G4317" s="2969">
        <f>G4318</f>
        <v>100</v>
      </c>
      <c r="H4317" s="1462"/>
      <c r="J4317" s="1208"/>
      <c r="K4317" s="1208"/>
    </row>
    <row r="4318" spans="1:11" ht="15.75" hidden="1" customHeight="1" x14ac:dyDescent="0.25">
      <c r="B4318" s="441"/>
      <c r="C4318" s="2524" t="s">
        <v>2766</v>
      </c>
      <c r="D4318" s="4066">
        <v>34500000</v>
      </c>
      <c r="E4318" s="2967">
        <v>34500000</v>
      </c>
      <c r="F4318" s="2967">
        <f>E4318/D4318*100</f>
        <v>100</v>
      </c>
      <c r="G4318" s="2967">
        <v>100</v>
      </c>
      <c r="H4318" s="1463"/>
    </row>
    <row r="4319" spans="1:11" ht="9.75" hidden="1" customHeight="1" x14ac:dyDescent="0.25">
      <c r="B4319" s="441"/>
      <c r="C4319" s="2527"/>
      <c r="D4319" s="4276"/>
      <c r="E4319" s="3035"/>
      <c r="F4319" s="3035"/>
      <c r="G4319" s="3035"/>
      <c r="H4319" s="1463"/>
    </row>
    <row r="4320" spans="1:11" ht="15" customHeight="1" x14ac:dyDescent="0.25">
      <c r="B4320" s="441"/>
      <c r="C4320" s="2525" t="s">
        <v>2767</v>
      </c>
      <c r="D4320" s="4065">
        <f>SUM(D4321:D4323)</f>
        <v>249970000</v>
      </c>
      <c r="E4320" s="2695">
        <f>SUM(E4321:E4323)</f>
        <v>249970000</v>
      </c>
      <c r="F4320" s="2695">
        <f>E4320/D4320*100</f>
        <v>100</v>
      </c>
      <c r="G4320" s="2695">
        <f>SUM(G4321:G4323)/3</f>
        <v>100</v>
      </c>
      <c r="H4320" s="1463"/>
    </row>
    <row r="4321" spans="1:11" ht="15.75" hidden="1" customHeight="1" x14ac:dyDescent="0.25">
      <c r="B4321" s="441"/>
      <c r="C4321" s="2524" t="s">
        <v>2768</v>
      </c>
      <c r="D4321" s="4066">
        <v>14400000</v>
      </c>
      <c r="E4321" s="2967">
        <v>14400000</v>
      </c>
      <c r="F4321" s="2690">
        <f t="shared" ref="F4321:F4322" si="334">E4321/D4321*100</f>
        <v>100</v>
      </c>
      <c r="G4321" s="2967">
        <v>100</v>
      </c>
      <c r="H4321" s="1463"/>
    </row>
    <row r="4322" spans="1:11" ht="16.5" hidden="1" customHeight="1" x14ac:dyDescent="0.25">
      <c r="B4322" s="441"/>
      <c r="C4322" s="2524" t="s">
        <v>2769</v>
      </c>
      <c r="D4322" s="4066">
        <v>200570000</v>
      </c>
      <c r="E4322" s="2967">
        <v>200570000</v>
      </c>
      <c r="F4322" s="2690">
        <f t="shared" si="334"/>
        <v>100</v>
      </c>
      <c r="G4322" s="2967">
        <v>100</v>
      </c>
      <c r="H4322" s="1463"/>
    </row>
    <row r="4323" spans="1:11" ht="15" hidden="1" customHeight="1" x14ac:dyDescent="0.25">
      <c r="B4323" s="441"/>
      <c r="C4323" s="2524" t="s">
        <v>2770</v>
      </c>
      <c r="D4323" s="4066">
        <v>35000000</v>
      </c>
      <c r="E4323" s="2690">
        <v>35000000</v>
      </c>
      <c r="F4323" s="2967">
        <f>E4323/D4323*100</f>
        <v>100</v>
      </c>
      <c r="G4323" s="2690">
        <v>100</v>
      </c>
      <c r="H4323" s="1463"/>
    </row>
    <row r="4324" spans="1:11" ht="12" hidden="1" customHeight="1" x14ac:dyDescent="0.25">
      <c r="B4324" s="441"/>
      <c r="C4324" s="2528"/>
      <c r="D4324" s="4299"/>
      <c r="E4324" s="2784"/>
      <c r="F4324" s="2784"/>
      <c r="G4324" s="2784"/>
      <c r="H4324" s="1463"/>
    </row>
    <row r="4325" spans="1:11" ht="17.25" customHeight="1" x14ac:dyDescent="0.25">
      <c r="B4325" s="440"/>
      <c r="C4325" s="2471" t="s">
        <v>2771</v>
      </c>
      <c r="D4325" s="4106">
        <f>SUM(D4326+D4329)</f>
        <v>300000000</v>
      </c>
      <c r="E4325" s="2672">
        <f>SUM(E4326+E4329)</f>
        <v>300000000</v>
      </c>
      <c r="F4325" s="2672">
        <f>E4325/D4325*100</f>
        <v>100</v>
      </c>
      <c r="G4325" s="2670">
        <v>100</v>
      </c>
      <c r="H4325" s="1463"/>
    </row>
    <row r="4326" spans="1:11" ht="18.75" customHeight="1" x14ac:dyDescent="0.25">
      <c r="B4326" s="441"/>
      <c r="C4326" s="2521" t="s">
        <v>2772</v>
      </c>
      <c r="D4326" s="4339">
        <f>SUM(D4327)</f>
        <v>180000000</v>
      </c>
      <c r="E4326" s="3003">
        <f>SUM(E4327)</f>
        <v>180000000</v>
      </c>
      <c r="F4326" s="2695">
        <f>E4326/D4326*100</f>
        <v>100</v>
      </c>
      <c r="G4326" s="2677">
        <v>100</v>
      </c>
      <c r="H4326" s="1463"/>
    </row>
    <row r="4327" spans="1:11" ht="16.5" hidden="1" customHeight="1" x14ac:dyDescent="0.25">
      <c r="B4327" s="441"/>
      <c r="C4327" s="2494" t="s">
        <v>2773</v>
      </c>
      <c r="D4327" s="3704">
        <v>180000000</v>
      </c>
      <c r="E4327" s="2810">
        <v>180000000</v>
      </c>
      <c r="F4327" s="2690">
        <f>E4327/D4327*100</f>
        <v>100</v>
      </c>
      <c r="G4327" s="2967">
        <v>100</v>
      </c>
      <c r="H4327" s="1463"/>
    </row>
    <row r="4328" spans="1:11" ht="9" hidden="1" customHeight="1" x14ac:dyDescent="0.25">
      <c r="B4328" s="441"/>
      <c r="C4328" s="2494"/>
      <c r="D4328" s="3704"/>
      <c r="E4328" s="2810"/>
      <c r="F4328" s="2695"/>
      <c r="G4328" s="2967"/>
      <c r="H4328" s="1463"/>
    </row>
    <row r="4329" spans="1:11" s="32" customFormat="1" ht="20.25" customHeight="1" x14ac:dyDescent="0.25">
      <c r="A4329" s="1"/>
      <c r="B4329" s="441"/>
      <c r="C4329" s="2491" t="s">
        <v>2774</v>
      </c>
      <c r="D4329" s="4159">
        <f>D4330</f>
        <v>120000000</v>
      </c>
      <c r="E4329" s="2813">
        <f>E4330</f>
        <v>120000000</v>
      </c>
      <c r="F4329" s="2695">
        <f t="shared" ref="F4329:F4330" si="335">E4329/D4329*100</f>
        <v>100</v>
      </c>
      <c r="G4329" s="2969">
        <v>100</v>
      </c>
      <c r="H4329" s="1462"/>
      <c r="J4329" s="1208"/>
      <c r="K4329" s="1208"/>
    </row>
    <row r="4330" spans="1:11" s="196" customFormat="1" ht="18" hidden="1" customHeight="1" x14ac:dyDescent="0.25">
      <c r="A4330" s="12"/>
      <c r="B4330" s="442"/>
      <c r="C4330" s="2494" t="s">
        <v>2775</v>
      </c>
      <c r="D4330" s="3704">
        <v>120000000</v>
      </c>
      <c r="E4330" s="2810">
        <v>120000000</v>
      </c>
      <c r="F4330" s="2690">
        <f t="shared" si="335"/>
        <v>100</v>
      </c>
      <c r="G4330" s="4148">
        <v>100</v>
      </c>
      <c r="H4330" s="3715"/>
      <c r="J4330" s="1212"/>
      <c r="K4330" s="1212"/>
    </row>
    <row r="4331" spans="1:11" ht="7.5" hidden="1" customHeight="1" x14ac:dyDescent="0.25">
      <c r="B4331" s="441"/>
      <c r="C4331" s="2528"/>
      <c r="D4331" s="4299"/>
      <c r="E4331" s="2784"/>
      <c r="F4331" s="2784"/>
      <c r="G4331" s="2784"/>
      <c r="H4331" s="1463"/>
    </row>
    <row r="4332" spans="1:11" ht="18.75" customHeight="1" x14ac:dyDescent="0.25">
      <c r="B4332" s="440"/>
      <c r="C4332" s="2471" t="s">
        <v>2776</v>
      </c>
      <c r="D4332" s="4106">
        <f>SUM(D4333+D4336+D4339+D4342)</f>
        <v>223880000</v>
      </c>
      <c r="E4332" s="2672">
        <f>SUM(E4333+E4336+E4339+E4342)</f>
        <v>223780000</v>
      </c>
      <c r="F4332" s="2672">
        <f>E4332/D4332*100</f>
        <v>99.955333214221909</v>
      </c>
      <c r="G4332" s="2672">
        <f>SUM(G4333+G4339+G4342)/3</f>
        <v>100</v>
      </c>
      <c r="H4332" s="1463"/>
    </row>
    <row r="4333" spans="1:11" ht="30.75" customHeight="1" x14ac:dyDescent="0.25">
      <c r="B4333" s="441"/>
      <c r="C4333" s="2521" t="s">
        <v>2777</v>
      </c>
      <c r="D4333" s="4065">
        <f>D4334</f>
        <v>15080000</v>
      </c>
      <c r="E4333" s="2695">
        <f>E4334</f>
        <v>15080000</v>
      </c>
      <c r="F4333" s="2695">
        <f>E4333/D4333*100</f>
        <v>100</v>
      </c>
      <c r="G4333" s="2734">
        <f>G4334</f>
        <v>100</v>
      </c>
      <c r="H4333" s="1463"/>
    </row>
    <row r="4334" spans="1:11" ht="18" hidden="1" customHeight="1" x14ac:dyDescent="0.25">
      <c r="B4334" s="441"/>
      <c r="C4334" s="2494" t="s">
        <v>2778</v>
      </c>
      <c r="D4334" s="4066">
        <v>15080000</v>
      </c>
      <c r="E4334" s="4149">
        <v>15080000</v>
      </c>
      <c r="F4334" s="2690">
        <f>E4334/D4334*100</f>
        <v>100</v>
      </c>
      <c r="G4334" s="2690">
        <v>100</v>
      </c>
      <c r="H4334" s="1463"/>
    </row>
    <row r="4335" spans="1:11" ht="9.75" hidden="1" customHeight="1" x14ac:dyDescent="0.25">
      <c r="B4335" s="441"/>
      <c r="C4335" s="2494"/>
      <c r="D4335" s="4276"/>
      <c r="E4335" s="4150"/>
      <c r="F4335" s="2830"/>
      <c r="G4335" s="2690"/>
      <c r="H4335" s="1463"/>
    </row>
    <row r="4336" spans="1:11" ht="17.25" customHeight="1" x14ac:dyDescent="0.25">
      <c r="B4336" s="441"/>
      <c r="C4336" s="2491" t="s">
        <v>2779</v>
      </c>
      <c r="D4336" s="4065">
        <v>0</v>
      </c>
      <c r="E4336" s="3998">
        <v>0</v>
      </c>
      <c r="F4336" s="3998">
        <v>0</v>
      </c>
      <c r="G4336" s="3998">
        <v>0</v>
      </c>
      <c r="H4336" s="1463"/>
    </row>
    <row r="4337" spans="1:11" ht="16.5" hidden="1" customHeight="1" x14ac:dyDescent="0.25">
      <c r="B4337" s="441"/>
      <c r="C4337" s="2494" t="s">
        <v>2780</v>
      </c>
      <c r="D4337" s="4066">
        <v>0</v>
      </c>
      <c r="E4337" s="3140">
        <v>0</v>
      </c>
      <c r="F4337" s="3140">
        <v>0</v>
      </c>
      <c r="G4337" s="3140">
        <v>0</v>
      </c>
      <c r="H4337" s="1463"/>
    </row>
    <row r="4338" spans="1:11" ht="10.5" hidden="1" customHeight="1" x14ac:dyDescent="0.25">
      <c r="B4338" s="441"/>
      <c r="C4338" s="2491"/>
      <c r="D4338" s="4159"/>
      <c r="E4338" s="2679"/>
      <c r="F4338" s="2695"/>
      <c r="G4338" s="2695"/>
      <c r="H4338" s="1463"/>
    </row>
    <row r="4339" spans="1:11" s="32" customFormat="1" ht="16.5" customHeight="1" x14ac:dyDescent="0.25">
      <c r="A4339" s="1"/>
      <c r="B4339" s="441"/>
      <c r="C4339" s="2491" t="s">
        <v>2781</v>
      </c>
      <c r="D4339" s="4065">
        <f>D4340</f>
        <v>151200000</v>
      </c>
      <c r="E4339" s="4151">
        <f>E4340</f>
        <v>151200000</v>
      </c>
      <c r="F4339" s="2695">
        <f t="shared" ref="F4339:F4343" si="336">E4339/D4339*100</f>
        <v>100</v>
      </c>
      <c r="G4339" s="2695">
        <f>G4340</f>
        <v>100</v>
      </c>
      <c r="H4339" s="1462"/>
      <c r="J4339" s="1208"/>
      <c r="K4339" s="1208"/>
    </row>
    <row r="4340" spans="1:11" ht="15.75" hidden="1" customHeight="1" x14ac:dyDescent="0.25">
      <c r="B4340" s="441"/>
      <c r="C4340" s="2494" t="s">
        <v>2782</v>
      </c>
      <c r="D4340" s="4066">
        <v>151200000</v>
      </c>
      <c r="E4340" s="3140">
        <v>151200000</v>
      </c>
      <c r="F4340" s="2690">
        <f t="shared" si="336"/>
        <v>100</v>
      </c>
      <c r="G4340" s="2690">
        <v>100</v>
      </c>
      <c r="H4340" s="1463"/>
    </row>
    <row r="4341" spans="1:11" ht="8.25" hidden="1" customHeight="1" x14ac:dyDescent="0.25">
      <c r="B4341" s="441"/>
      <c r="C4341" s="2494"/>
      <c r="D4341" s="4065"/>
      <c r="E4341" s="3521"/>
      <c r="F4341" s="3521"/>
      <c r="G4341" s="2695"/>
      <c r="H4341" s="1463"/>
    </row>
    <row r="4342" spans="1:11" ht="15.75" customHeight="1" x14ac:dyDescent="0.25">
      <c r="B4342" s="441"/>
      <c r="C4342" s="2491" t="s">
        <v>2783</v>
      </c>
      <c r="D4342" s="4159">
        <f>SUM(D4343)</f>
        <v>57600000</v>
      </c>
      <c r="E4342" s="2813">
        <f>SUM(E4343)</f>
        <v>57500000</v>
      </c>
      <c r="F4342" s="2695">
        <f t="shared" si="336"/>
        <v>99.826388888888886</v>
      </c>
      <c r="G4342" s="2969">
        <f>G4343</f>
        <v>100</v>
      </c>
      <c r="H4342" s="1463"/>
    </row>
    <row r="4343" spans="1:11" ht="15.75" hidden="1" customHeight="1" x14ac:dyDescent="0.25">
      <c r="B4343" s="441"/>
      <c r="C4343" s="2494" t="s">
        <v>2784</v>
      </c>
      <c r="D4343" s="3704">
        <v>57600000</v>
      </c>
      <c r="E4343" s="2967">
        <v>57500000</v>
      </c>
      <c r="F4343" s="2690">
        <f t="shared" si="336"/>
        <v>99.826388888888886</v>
      </c>
      <c r="G4343" s="2967">
        <v>100</v>
      </c>
      <c r="H4343" s="1463"/>
    </row>
    <row r="4344" spans="1:11" ht="12" hidden="1" customHeight="1" x14ac:dyDescent="0.25">
      <c r="B4344" s="441"/>
      <c r="C4344" s="2528"/>
      <c r="D4344" s="4299"/>
      <c r="E4344" s="2784"/>
      <c r="F4344" s="2778"/>
      <c r="G4344" s="2778"/>
      <c r="H4344" s="1463"/>
    </row>
    <row r="4345" spans="1:11" ht="15.75" customHeight="1" x14ac:dyDescent="0.25">
      <c r="B4345" s="440"/>
      <c r="C4345" s="2471" t="s">
        <v>2785</v>
      </c>
      <c r="D4345" s="4106">
        <f>SUM(D4346+D4350)</f>
        <v>864539500</v>
      </c>
      <c r="E4345" s="2672">
        <f>SUM(E4346+E4350)</f>
        <v>857960759</v>
      </c>
      <c r="F4345" s="2672">
        <f>E4345/D4345*100</f>
        <v>99.239046798902763</v>
      </c>
      <c r="G4345" s="2672">
        <f>SUM(G4346+G4350)/2</f>
        <v>100</v>
      </c>
      <c r="H4345" s="1463"/>
      <c r="J4345" s="536">
        <v>864539500</v>
      </c>
    </row>
    <row r="4346" spans="1:11" ht="20.25" customHeight="1" x14ac:dyDescent="0.25">
      <c r="B4346" s="463"/>
      <c r="C4346" s="2521" t="s">
        <v>2786</v>
      </c>
      <c r="D4346" s="4072">
        <f>SUM(D4347+D4348)</f>
        <v>685300000</v>
      </c>
      <c r="E4346" s="2734">
        <f>SUM(E4347+E4348)</f>
        <v>683060759</v>
      </c>
      <c r="F4346" s="2695">
        <f>E4346/D4346*100</f>
        <v>99.673246607325268</v>
      </c>
      <c r="G4346" s="2939">
        <f>SUM(G4347:G4348)/2</f>
        <v>100</v>
      </c>
      <c r="H4346" s="1463"/>
    </row>
    <row r="4347" spans="1:11" ht="21" hidden="1" customHeight="1" x14ac:dyDescent="0.25">
      <c r="B4347" s="441"/>
      <c r="C4347" s="2494" t="s">
        <v>2787</v>
      </c>
      <c r="D4347" s="4066">
        <v>112300000</v>
      </c>
      <c r="E4347" s="4152">
        <v>112300000</v>
      </c>
      <c r="F4347" s="2690">
        <f>E4347/D4347*100</f>
        <v>100</v>
      </c>
      <c r="G4347" s="2685">
        <v>100</v>
      </c>
      <c r="H4347" s="1463"/>
    </row>
    <row r="4348" spans="1:11" ht="15" hidden="1" customHeight="1" x14ac:dyDescent="0.25">
      <c r="B4348" s="441"/>
      <c r="C4348" s="2494" t="s">
        <v>2788</v>
      </c>
      <c r="D4348" s="4066">
        <v>573000000</v>
      </c>
      <c r="E4348" s="3216">
        <v>570760759</v>
      </c>
      <c r="F4348" s="2690">
        <f>E4348/D4348*100</f>
        <v>99.609207504363013</v>
      </c>
      <c r="G4348" s="2804">
        <v>100</v>
      </c>
      <c r="H4348" s="1463"/>
    </row>
    <row r="4349" spans="1:11" ht="10.5" hidden="1" customHeight="1" x14ac:dyDescent="0.25">
      <c r="B4349" s="441"/>
      <c r="C4349" s="2494"/>
      <c r="D4349" s="4066"/>
      <c r="E4349" s="3216"/>
      <c r="F4349" s="2804"/>
      <c r="G4349" s="2804"/>
      <c r="H4349" s="1463"/>
    </row>
    <row r="4350" spans="1:11" ht="20.25" customHeight="1" x14ac:dyDescent="0.25">
      <c r="B4350" s="441"/>
      <c r="C4350" s="2491" t="s">
        <v>2789</v>
      </c>
      <c r="D4350" s="4159">
        <f>D4351</f>
        <v>179239500</v>
      </c>
      <c r="E4350" s="2679">
        <f>E4351</f>
        <v>174900000</v>
      </c>
      <c r="F4350" s="2695">
        <f t="shared" ref="F4350:F4351" si="337">E4350/D4350*100</f>
        <v>97.578937678357718</v>
      </c>
      <c r="G4350" s="2695">
        <f>G4351</f>
        <v>100</v>
      </c>
      <c r="H4350" s="1463"/>
    </row>
    <row r="4351" spans="1:11" ht="14.25" hidden="1" customHeight="1" x14ac:dyDescent="0.25">
      <c r="B4351" s="441"/>
      <c r="C4351" s="2494" t="s">
        <v>2790</v>
      </c>
      <c r="D4351" s="4066">
        <v>179239500</v>
      </c>
      <c r="E4351" s="4153">
        <v>174900000</v>
      </c>
      <c r="F4351" s="2690">
        <f t="shared" si="337"/>
        <v>97.578937678357718</v>
      </c>
      <c r="G4351" s="2690">
        <v>100</v>
      </c>
      <c r="H4351" s="1463"/>
    </row>
    <row r="4352" spans="1:11" ht="12" hidden="1" customHeight="1" x14ac:dyDescent="0.25">
      <c r="B4352" s="441"/>
      <c r="C4352" s="2528"/>
      <c r="D4352" s="4299"/>
      <c r="E4352" s="2784"/>
      <c r="F4352" s="2778"/>
      <c r="G4352" s="2778"/>
      <c r="H4352" s="1463"/>
    </row>
    <row r="4353" spans="1:11" ht="20.25" customHeight="1" x14ac:dyDescent="0.25">
      <c r="B4353" s="440"/>
      <c r="C4353" s="2471" t="s">
        <v>2791</v>
      </c>
      <c r="D4353" s="4106">
        <f>SUM(D4354+D4361)</f>
        <v>61471533000</v>
      </c>
      <c r="E4353" s="2672">
        <f>SUM(E4354+E4361)</f>
        <v>59773673000</v>
      </c>
      <c r="F4353" s="2672">
        <f>E4353/D4353*100</f>
        <v>97.237973551106975</v>
      </c>
      <c r="G4353" s="2670">
        <f>SUM(G4354+G4361)/2</f>
        <v>100</v>
      </c>
      <c r="H4353" s="1463"/>
    </row>
    <row r="4354" spans="1:11" ht="18.75" customHeight="1" x14ac:dyDescent="0.25">
      <c r="B4354" s="441"/>
      <c r="C4354" s="2521" t="s">
        <v>2792</v>
      </c>
      <c r="D4354" s="4311">
        <f>SUM(D4355)</f>
        <v>41742006000</v>
      </c>
      <c r="E4354" s="2824">
        <f>SUM(E4355)</f>
        <v>40425606000</v>
      </c>
      <c r="F4354" s="2695">
        <f>E4354/D4354*100</f>
        <v>96.846342267307421</v>
      </c>
      <c r="G4354" s="2677">
        <f>G4355</f>
        <v>100</v>
      </c>
      <c r="H4354" s="1463"/>
    </row>
    <row r="4355" spans="1:11" ht="18" customHeight="1" x14ac:dyDescent="0.25">
      <c r="B4355" s="441"/>
      <c r="C4355" s="2491" t="s">
        <v>2793</v>
      </c>
      <c r="D4355" s="4159">
        <f>SUM(D4356:D4359)</f>
        <v>41742006000</v>
      </c>
      <c r="E4355" s="2813">
        <f>SUM(E4356:E4359)</f>
        <v>40425606000</v>
      </c>
      <c r="F4355" s="2695">
        <f>E4355/D4355*100</f>
        <v>96.846342267307421</v>
      </c>
      <c r="G4355" s="2969">
        <f>SUM(G4356:G4359)/4</f>
        <v>100</v>
      </c>
      <c r="H4355" s="1463"/>
    </row>
    <row r="4356" spans="1:11" ht="15" hidden="1" customHeight="1" x14ac:dyDescent="0.25">
      <c r="B4356" s="441"/>
      <c r="C4356" s="2494" t="s">
        <v>2794</v>
      </c>
      <c r="D4356" s="4066">
        <v>340000000</v>
      </c>
      <c r="E4356" s="4154">
        <v>340000000</v>
      </c>
      <c r="F4356" s="2690">
        <f>E4356/D4356*100</f>
        <v>100</v>
      </c>
      <c r="G4356" s="2683">
        <v>100</v>
      </c>
      <c r="H4356" s="1463"/>
    </row>
    <row r="4357" spans="1:11" ht="15" hidden="1" customHeight="1" x14ac:dyDescent="0.25">
      <c r="B4357" s="441"/>
      <c r="C4357" s="2494" t="s">
        <v>2795</v>
      </c>
      <c r="D4357" s="4066">
        <v>11500000000</v>
      </c>
      <c r="E4357" s="4154">
        <v>11500000000</v>
      </c>
      <c r="F4357" s="2690">
        <f t="shared" ref="F4357:F4365" si="338">E4357/D4357*100</f>
        <v>100</v>
      </c>
      <c r="G4357" s="2683">
        <v>100</v>
      </c>
      <c r="H4357" s="1463"/>
    </row>
    <row r="4358" spans="1:11" ht="15.75" hidden="1" customHeight="1" x14ac:dyDescent="0.25">
      <c r="B4358" s="441"/>
      <c r="C4358" s="2494" t="s">
        <v>2796</v>
      </c>
      <c r="D4358" s="4066">
        <v>7660000000</v>
      </c>
      <c r="E4358" s="4066">
        <v>7340000000</v>
      </c>
      <c r="F4358" s="2690">
        <f t="shared" si="338"/>
        <v>95.822454308093995</v>
      </c>
      <c r="G4358" s="2967">
        <v>100</v>
      </c>
      <c r="H4358" s="1463"/>
    </row>
    <row r="4359" spans="1:11" ht="16.5" hidden="1" customHeight="1" x14ac:dyDescent="0.25">
      <c r="B4359" s="441"/>
      <c r="C4359" s="2494" t="s">
        <v>2797</v>
      </c>
      <c r="D4359" s="4066">
        <v>22242006000</v>
      </c>
      <c r="E4359" s="3704">
        <v>21245606000</v>
      </c>
      <c r="F4359" s="2690">
        <f t="shared" si="338"/>
        <v>95.520188242013788</v>
      </c>
      <c r="G4359" s="3216">
        <v>100</v>
      </c>
      <c r="H4359" s="1463"/>
    </row>
    <row r="4360" spans="1:11" ht="11.25" hidden="1" customHeight="1" x14ac:dyDescent="0.25">
      <c r="B4360" s="441"/>
      <c r="C4360" s="2528"/>
      <c r="D4360" s="4299"/>
      <c r="E4360" s="2784"/>
      <c r="F4360" s="2690"/>
      <c r="G4360" s="2784"/>
      <c r="H4360" s="1463"/>
    </row>
    <row r="4361" spans="1:11" s="32" customFormat="1" ht="18" customHeight="1" x14ac:dyDescent="0.25">
      <c r="A4361" s="1"/>
      <c r="B4361" s="441"/>
      <c r="C4361" s="2491" t="s">
        <v>2798</v>
      </c>
      <c r="D4361" s="4159">
        <f>D4362</f>
        <v>19729527000</v>
      </c>
      <c r="E4361" s="2679">
        <f>E4362</f>
        <v>19348067000</v>
      </c>
      <c r="F4361" s="2695">
        <f t="shared" si="338"/>
        <v>98.066552735906953</v>
      </c>
      <c r="G4361" s="2695">
        <f>G4362</f>
        <v>100</v>
      </c>
      <c r="H4361" s="1462"/>
      <c r="J4361" s="1208"/>
      <c r="K4361" s="1208"/>
    </row>
    <row r="4362" spans="1:11" ht="15.75" customHeight="1" x14ac:dyDescent="0.25">
      <c r="B4362" s="441"/>
      <c r="C4362" s="2491" t="s">
        <v>2799</v>
      </c>
      <c r="D4362" s="4159">
        <f>SUM(D4363:D4365)</f>
        <v>19729527000</v>
      </c>
      <c r="E4362" s="2813">
        <f>SUM(E4363:E4365)</f>
        <v>19348067000</v>
      </c>
      <c r="F4362" s="2695">
        <f t="shared" si="338"/>
        <v>98.066552735906953</v>
      </c>
      <c r="G4362" s="2821">
        <f>SUM(G4363:G4365)/3</f>
        <v>100</v>
      </c>
      <c r="H4362" s="1463"/>
    </row>
    <row r="4363" spans="1:11" ht="15" hidden="1" customHeight="1" x14ac:dyDescent="0.25">
      <c r="B4363" s="441"/>
      <c r="C4363" s="2495" t="s">
        <v>2800</v>
      </c>
      <c r="D4363" s="4066">
        <v>1000000000</v>
      </c>
      <c r="E4363" s="4155">
        <v>995250000</v>
      </c>
      <c r="F4363" s="2690">
        <f t="shared" si="338"/>
        <v>99.524999999999991</v>
      </c>
      <c r="G4363" s="2710">
        <v>100</v>
      </c>
      <c r="H4363" s="1463"/>
    </row>
    <row r="4364" spans="1:11" ht="17.25" hidden="1" customHeight="1" x14ac:dyDescent="0.25">
      <c r="B4364" s="441"/>
      <c r="C4364" s="2473" t="s">
        <v>2801</v>
      </c>
      <c r="D4364" s="4066">
        <v>9495527000</v>
      </c>
      <c r="E4364" s="2967">
        <v>9118817000</v>
      </c>
      <c r="F4364" s="2690">
        <f t="shared" si="338"/>
        <v>96.03276363702615</v>
      </c>
      <c r="G4364" s="2967">
        <v>100</v>
      </c>
      <c r="H4364" s="1463"/>
    </row>
    <row r="4365" spans="1:11" ht="16.5" hidden="1" customHeight="1" x14ac:dyDescent="0.25">
      <c r="B4365" s="441"/>
      <c r="C4365" s="2476" t="s">
        <v>2802</v>
      </c>
      <c r="D4365" s="4301">
        <v>9234000000</v>
      </c>
      <c r="E4365" s="2752">
        <v>9234000000</v>
      </c>
      <c r="F4365" s="2690">
        <f t="shared" si="338"/>
        <v>100</v>
      </c>
      <c r="G4365" s="2710">
        <v>100</v>
      </c>
      <c r="H4365" s="1463"/>
    </row>
    <row r="4366" spans="1:11" ht="10.5" hidden="1" customHeight="1" x14ac:dyDescent="0.25">
      <c r="B4366" s="441"/>
      <c r="C4366" s="2476"/>
      <c r="D4366" s="4285"/>
      <c r="E4366" s="2778"/>
      <c r="F4366" s="2778"/>
      <c r="G4366" s="2778"/>
      <c r="H4366" s="1463"/>
    </row>
    <row r="4367" spans="1:11" ht="18" customHeight="1" x14ac:dyDescent="0.25">
      <c r="B4367" s="440"/>
      <c r="C4367" s="2471" t="s">
        <v>4004</v>
      </c>
      <c r="D4367" s="4106">
        <f>D4368</f>
        <v>22800000</v>
      </c>
      <c r="E4367" s="2672">
        <f>E4368</f>
        <v>22800000</v>
      </c>
      <c r="F4367" s="2672">
        <f>E4367/D4367*100</f>
        <v>100</v>
      </c>
      <c r="G4367" s="2670">
        <f>G4368</f>
        <v>100</v>
      </c>
      <c r="H4367" s="1463"/>
    </row>
    <row r="4368" spans="1:11" ht="19.5" customHeight="1" x14ac:dyDescent="0.25">
      <c r="B4368" s="441"/>
      <c r="C4368" s="2472" t="s">
        <v>4005</v>
      </c>
      <c r="D4368" s="4072">
        <f>D4369</f>
        <v>22800000</v>
      </c>
      <c r="E4368" s="2734">
        <f>E4369</f>
        <v>22800000</v>
      </c>
      <c r="F4368" s="2695">
        <f>E4368/D4368*100</f>
        <v>100</v>
      </c>
      <c r="G4368" s="2677">
        <f>G4369</f>
        <v>100</v>
      </c>
      <c r="H4368" s="1463"/>
    </row>
    <row r="4369" spans="2:11" ht="15" hidden="1" customHeight="1" x14ac:dyDescent="0.25">
      <c r="B4369" s="441"/>
      <c r="C4369" s="2473" t="s">
        <v>2803</v>
      </c>
      <c r="D4369" s="4066">
        <v>22800000</v>
      </c>
      <c r="E4369" s="2967">
        <v>22800000</v>
      </c>
      <c r="F4369" s="2690">
        <f>E4369/D4369*100</f>
        <v>100</v>
      </c>
      <c r="G4369" s="2967">
        <v>100</v>
      </c>
      <c r="H4369" s="1463"/>
    </row>
    <row r="4370" spans="2:11" ht="14.25" hidden="1" customHeight="1" x14ac:dyDescent="0.25">
      <c r="B4370" s="441"/>
      <c r="C4370" s="2563"/>
      <c r="D4370" s="4299"/>
      <c r="E4370" s="3060"/>
      <c r="F4370" s="2784"/>
      <c r="G4370" s="2784"/>
      <c r="H4370" s="1463"/>
    </row>
    <row r="4371" spans="2:11" s="1" customFormat="1" ht="18" customHeight="1" x14ac:dyDescent="0.25">
      <c r="B4371" s="447"/>
      <c r="C4371" s="3598" t="s">
        <v>2804</v>
      </c>
      <c r="D4371" s="4294">
        <f>SUM(D4373+D4435+D4499+D4503+D4507+D4511+D4515+D4519+D4523+D4527+D4531+D4535+D4539+D4543+D4547+D4551+D4560+D4578+D4582+D4603+D4626+D4632+D4650+D4664+D4689+D4693+D4718+D4723+D4767+D4790+D4797+D4814)</f>
        <v>127769792000</v>
      </c>
      <c r="E4371" s="3699">
        <f>SUM(E4373+E4435+E4499+E4503+E4507+E4511+E4515+E4519+E4523+E4527+E4531+E4535+E4539+E4543+E4547+E4551+E4560+E4578+E4582+E4603+E4626+E4632+E4650+E4664+E4689+E4693+E4718+E4723+E4767+E4790+E4797+E4814)</f>
        <v>113117431340</v>
      </c>
      <c r="F4371" s="3699">
        <f>SUM(E4371/D4371)*100</f>
        <v>88.532218429219952</v>
      </c>
      <c r="G4371" s="3699">
        <f>SUM(G4373+G4435+G4499+G4503+G4507+G4511+G4515+G4519+G4523+G4527+G4531+G4535+G4539+G4543+G4547+G4551+G4578+G4582+G4626+G4632+G4650+G4664+G4689+G4693+G4723+G4767+G4790+G4797+G4814)/29</f>
        <v>97.633865427811372</v>
      </c>
      <c r="H4371" s="1462"/>
      <c r="J4371" s="535"/>
      <c r="K4371" s="535"/>
    </row>
    <row r="4372" spans="2:11" ht="11.25" customHeight="1" x14ac:dyDescent="0.25">
      <c r="B4372" s="441"/>
      <c r="C4372" s="2631"/>
      <c r="D4372" s="4290"/>
      <c r="E4372" s="3184"/>
      <c r="F4372" s="2784"/>
      <c r="G4372" s="2784"/>
      <c r="H4372" s="1463"/>
    </row>
    <row r="4373" spans="2:11" ht="15.75" customHeight="1" x14ac:dyDescent="0.25">
      <c r="B4373" s="440"/>
      <c r="C4373" s="2606" t="s">
        <v>2805</v>
      </c>
      <c r="D4373" s="4106">
        <f>SUM(D4374+D4383+D4396+D4403+D4407+D4411+D4415+D4420)</f>
        <v>24049225000</v>
      </c>
      <c r="E4373" s="2672">
        <f>SUM(E4374+E4383+E4396+E4403+E4407+E4411+E4415+E4420)</f>
        <v>18957379784</v>
      </c>
      <c r="F4373" s="2672">
        <f>SUM(E4373/D4373*100)</f>
        <v>78.827404142960944</v>
      </c>
      <c r="G4373" s="2672">
        <f>SUM(G4383+G4396+G4403+G4407+G4411+G4415+G4420)/7</f>
        <v>78.847374847374837</v>
      </c>
      <c r="H4373" s="1463"/>
    </row>
    <row r="4374" spans="2:11" ht="17.25" customHeight="1" x14ac:dyDescent="0.25">
      <c r="B4374" s="441"/>
      <c r="C4374" s="2491" t="s">
        <v>243</v>
      </c>
      <c r="D4374" s="4372">
        <v>0</v>
      </c>
      <c r="E4374" s="4372">
        <v>0</v>
      </c>
      <c r="F4374" s="4372">
        <v>0</v>
      </c>
      <c r="G4374" s="4372">
        <v>0</v>
      </c>
      <c r="H4374" s="1463"/>
    </row>
    <row r="4375" spans="2:11" ht="14.25" hidden="1" customHeight="1" x14ac:dyDescent="0.25">
      <c r="B4375" s="441"/>
      <c r="C4375" s="2494" t="s">
        <v>356</v>
      </c>
      <c r="D4375" s="4283" t="s">
        <v>3317</v>
      </c>
      <c r="E4375" s="3660" t="s">
        <v>3317</v>
      </c>
      <c r="F4375" s="3660" t="s">
        <v>3317</v>
      </c>
      <c r="G4375" s="3660" t="s">
        <v>3317</v>
      </c>
      <c r="H4375" s="1463"/>
    </row>
    <row r="4376" spans="2:11" ht="15.75" hidden="1" customHeight="1" x14ac:dyDescent="0.25">
      <c r="B4376" s="441"/>
      <c r="C4376" s="2494" t="s">
        <v>2806</v>
      </c>
      <c r="D4376" s="4283" t="s">
        <v>3317</v>
      </c>
      <c r="E4376" s="3660" t="s">
        <v>3317</v>
      </c>
      <c r="F4376" s="3660" t="s">
        <v>3317</v>
      </c>
      <c r="G4376" s="3660" t="s">
        <v>3317</v>
      </c>
      <c r="H4376" s="1463"/>
    </row>
    <row r="4377" spans="2:11" ht="15.75" hidden="1" customHeight="1" x14ac:dyDescent="0.25">
      <c r="B4377" s="441"/>
      <c r="C4377" s="2494" t="s">
        <v>2807</v>
      </c>
      <c r="D4377" s="4283" t="s">
        <v>3317</v>
      </c>
      <c r="E4377" s="3660" t="s">
        <v>3317</v>
      </c>
      <c r="F4377" s="3660" t="s">
        <v>3317</v>
      </c>
      <c r="G4377" s="3660" t="s">
        <v>3317</v>
      </c>
      <c r="H4377" s="1463"/>
    </row>
    <row r="4378" spans="2:11" ht="15.75" hidden="1" customHeight="1" x14ac:dyDescent="0.25">
      <c r="B4378" s="441"/>
      <c r="C4378" s="2494" t="s">
        <v>2808</v>
      </c>
      <c r="D4378" s="4283" t="s">
        <v>3317</v>
      </c>
      <c r="E4378" s="3660" t="s">
        <v>3317</v>
      </c>
      <c r="F4378" s="3660" t="s">
        <v>3317</v>
      </c>
      <c r="G4378" s="3660" t="s">
        <v>3317</v>
      </c>
      <c r="H4378" s="1463"/>
    </row>
    <row r="4379" spans="2:11" ht="16.5" hidden="1" customHeight="1" x14ac:dyDescent="0.25">
      <c r="B4379" s="441"/>
      <c r="C4379" s="2494" t="s">
        <v>2809</v>
      </c>
      <c r="D4379" s="4283" t="s">
        <v>3317</v>
      </c>
      <c r="E4379" s="3660" t="s">
        <v>3317</v>
      </c>
      <c r="F4379" s="3660" t="s">
        <v>3317</v>
      </c>
      <c r="G4379" s="3660" t="s">
        <v>3317</v>
      </c>
      <c r="H4379" s="1463"/>
    </row>
    <row r="4380" spans="2:11" ht="15.75" hidden="1" customHeight="1" x14ac:dyDescent="0.25">
      <c r="B4380" s="441"/>
      <c r="C4380" s="2494" t="s">
        <v>2810</v>
      </c>
      <c r="D4380" s="4283" t="s">
        <v>3317</v>
      </c>
      <c r="E4380" s="3660" t="s">
        <v>3317</v>
      </c>
      <c r="F4380" s="3660" t="s">
        <v>3317</v>
      </c>
      <c r="G4380" s="3660" t="s">
        <v>3317</v>
      </c>
      <c r="H4380" s="1463"/>
    </row>
    <row r="4381" spans="2:11" ht="16.5" hidden="1" customHeight="1" x14ac:dyDescent="0.25">
      <c r="B4381" s="441"/>
      <c r="C4381" s="2494" t="s">
        <v>2811</v>
      </c>
      <c r="D4381" s="4283" t="s">
        <v>3317</v>
      </c>
      <c r="E4381" s="3660" t="s">
        <v>3317</v>
      </c>
      <c r="F4381" s="3660" t="s">
        <v>3317</v>
      </c>
      <c r="G4381" s="3660" t="s">
        <v>3317</v>
      </c>
      <c r="H4381" s="1463"/>
    </row>
    <row r="4382" spans="2:11" ht="10.5" hidden="1" customHeight="1" x14ac:dyDescent="0.25">
      <c r="B4382" s="441"/>
      <c r="C4382" s="2506"/>
      <c r="D4382" s="4373"/>
      <c r="E4382" s="4156"/>
      <c r="F4382" s="3035"/>
      <c r="G4382" s="3035"/>
      <c r="H4382" s="1463"/>
    </row>
    <row r="4383" spans="2:11" ht="17.25" customHeight="1" x14ac:dyDescent="0.25">
      <c r="B4383" s="441"/>
      <c r="C4383" s="2491" t="s">
        <v>1247</v>
      </c>
      <c r="D4383" s="4159">
        <f>SUM(D4384:D4394)</f>
        <v>8198600000</v>
      </c>
      <c r="E4383" s="2813">
        <f>SUM(E4384:E4394)</f>
        <v>7949910000</v>
      </c>
      <c r="F4383" s="2695">
        <f>SUM(E4383/D4383*100)</f>
        <v>96.966677237577144</v>
      </c>
      <c r="G4383" s="2695">
        <f>SUM(G4384:G4394)/9</f>
        <v>98.111111111111114</v>
      </c>
      <c r="H4383" s="1463"/>
    </row>
    <row r="4384" spans="2:11" ht="15.75" hidden="1" customHeight="1" x14ac:dyDescent="0.25">
      <c r="B4384" s="441"/>
      <c r="C4384" s="2494" t="s">
        <v>363</v>
      </c>
      <c r="D4384" s="4066">
        <v>587000000</v>
      </c>
      <c r="E4384" s="4066">
        <v>586200000</v>
      </c>
      <c r="F4384" s="2690">
        <f>SUM(E4384/D4384*100)</f>
        <v>99.863713798977855</v>
      </c>
      <c r="G4384" s="4066">
        <v>100</v>
      </c>
      <c r="H4384" s="1463"/>
    </row>
    <row r="4385" spans="1:16374" ht="15.75" hidden="1" customHeight="1" x14ac:dyDescent="0.25">
      <c r="B4385" s="441"/>
      <c r="C4385" s="2494" t="s">
        <v>2812</v>
      </c>
      <c r="D4385" s="4066">
        <v>420000000</v>
      </c>
      <c r="E4385" s="4066">
        <v>417690000</v>
      </c>
      <c r="F4385" s="2690">
        <f t="shared" ref="F4385:F4391" si="339">SUM(E4385/D4385*100)</f>
        <v>99.45</v>
      </c>
      <c r="G4385" s="4066">
        <v>100</v>
      </c>
      <c r="H4385" s="1463"/>
    </row>
    <row r="4386" spans="1:16374" ht="15.75" hidden="1" customHeight="1" x14ac:dyDescent="0.25">
      <c r="B4386" s="441"/>
      <c r="C4386" s="2494" t="s">
        <v>2813</v>
      </c>
      <c r="D4386" s="4283" t="s">
        <v>3317</v>
      </c>
      <c r="E4386" s="3660" t="s">
        <v>3317</v>
      </c>
      <c r="F4386" s="3660" t="s">
        <v>3317</v>
      </c>
      <c r="G4386" s="3660" t="s">
        <v>3317</v>
      </c>
      <c r="H4386" s="1463"/>
    </row>
    <row r="4387" spans="1:16374" ht="15" hidden="1" customHeight="1" x14ac:dyDescent="0.25">
      <c r="B4387" s="441"/>
      <c r="C4387" s="2494" t="s">
        <v>2814</v>
      </c>
      <c r="D4387" s="4066">
        <v>3654000000</v>
      </c>
      <c r="E4387" s="4066">
        <v>3566100000</v>
      </c>
      <c r="F4387" s="2690">
        <f t="shared" si="339"/>
        <v>97.594417077175706</v>
      </c>
      <c r="G4387" s="4066">
        <v>100</v>
      </c>
      <c r="H4387" s="1463"/>
    </row>
    <row r="4388" spans="1:16374" s="513" customFormat="1" ht="15.75" hidden="1" customHeight="1" x14ac:dyDescent="0.25">
      <c r="A4388" s="566" t="s">
        <v>3783</v>
      </c>
      <c r="B4388" s="3672"/>
      <c r="C4388" s="3672" t="s">
        <v>3784</v>
      </c>
      <c r="D4388" s="4066">
        <v>46000000</v>
      </c>
      <c r="E4388" s="3216">
        <v>45800000</v>
      </c>
      <c r="F4388" s="2690">
        <f t="shared" si="339"/>
        <v>99.565217391304344</v>
      </c>
      <c r="G4388" s="3216">
        <v>99</v>
      </c>
      <c r="H4388" s="3700"/>
      <c r="I4388" s="514"/>
      <c r="J4388" s="1217" t="s">
        <v>3783</v>
      </c>
      <c r="K4388" s="1218" t="s">
        <v>3783</v>
      </c>
      <c r="L4388" s="379" t="s">
        <v>3783</v>
      </c>
      <c r="M4388" s="379" t="s">
        <v>3783</v>
      </c>
      <c r="N4388" s="379" t="s">
        <v>3783</v>
      </c>
      <c r="O4388" s="379" t="s">
        <v>3783</v>
      </c>
      <c r="P4388" s="379" t="s">
        <v>3783</v>
      </c>
      <c r="Q4388" s="379" t="s">
        <v>3783</v>
      </c>
      <c r="R4388" s="379" t="s">
        <v>3783</v>
      </c>
      <c r="S4388" s="379" t="s">
        <v>3783</v>
      </c>
      <c r="T4388" s="379" t="s">
        <v>3783</v>
      </c>
      <c r="U4388" s="379" t="s">
        <v>3783</v>
      </c>
      <c r="V4388" s="379" t="s">
        <v>3783</v>
      </c>
      <c r="W4388" s="379" t="s">
        <v>3783</v>
      </c>
      <c r="X4388" s="379" t="s">
        <v>3783</v>
      </c>
      <c r="Y4388" s="379" t="s">
        <v>3783</v>
      </c>
      <c r="Z4388" s="379" t="s">
        <v>3783</v>
      </c>
      <c r="AA4388" s="379" t="s">
        <v>3783</v>
      </c>
      <c r="AB4388" s="379" t="s">
        <v>3783</v>
      </c>
      <c r="AC4388" s="379" t="s">
        <v>3783</v>
      </c>
      <c r="AD4388" s="379" t="s">
        <v>3783</v>
      </c>
      <c r="AE4388" s="379" t="s">
        <v>3783</v>
      </c>
      <c r="AF4388" s="379" t="s">
        <v>3783</v>
      </c>
      <c r="AG4388" s="379" t="s">
        <v>3783</v>
      </c>
      <c r="AH4388" s="379" t="s">
        <v>3783</v>
      </c>
      <c r="AI4388" s="379" t="s">
        <v>3783</v>
      </c>
      <c r="AJ4388" s="379" t="s">
        <v>3783</v>
      </c>
      <c r="AK4388" s="379" t="s">
        <v>3783</v>
      </c>
      <c r="AL4388" s="379" t="s">
        <v>3783</v>
      </c>
      <c r="AM4388" s="379" t="s">
        <v>3783</v>
      </c>
      <c r="AN4388" s="379" t="s">
        <v>3783</v>
      </c>
      <c r="AO4388" s="379" t="s">
        <v>3783</v>
      </c>
      <c r="AP4388" s="379" t="s">
        <v>3783</v>
      </c>
      <c r="AQ4388" s="379" t="s">
        <v>3783</v>
      </c>
      <c r="AR4388" s="379" t="s">
        <v>3783</v>
      </c>
      <c r="AS4388" s="379" t="s">
        <v>3783</v>
      </c>
      <c r="AT4388" s="379" t="s">
        <v>3783</v>
      </c>
      <c r="AU4388" s="379" t="s">
        <v>3783</v>
      </c>
      <c r="AV4388" s="379" t="s">
        <v>3783</v>
      </c>
      <c r="AW4388" s="379" t="s">
        <v>3783</v>
      </c>
      <c r="AX4388" s="379" t="s">
        <v>3783</v>
      </c>
      <c r="AY4388" s="379" t="s">
        <v>3783</v>
      </c>
      <c r="AZ4388" s="379" t="s">
        <v>3783</v>
      </c>
      <c r="BA4388" s="379" t="s">
        <v>3783</v>
      </c>
      <c r="BB4388" s="379" t="s">
        <v>3783</v>
      </c>
      <c r="BC4388" s="379" t="s">
        <v>3783</v>
      </c>
      <c r="BD4388" s="379" t="s">
        <v>3783</v>
      </c>
      <c r="BE4388" s="379" t="s">
        <v>3783</v>
      </c>
      <c r="BF4388" s="379" t="s">
        <v>3783</v>
      </c>
      <c r="BG4388" s="379" t="s">
        <v>3783</v>
      </c>
      <c r="BH4388" s="379" t="s">
        <v>3783</v>
      </c>
      <c r="BI4388" s="379" t="s">
        <v>3783</v>
      </c>
      <c r="BJ4388" s="379" t="s">
        <v>3783</v>
      </c>
      <c r="BK4388" s="379" t="s">
        <v>3783</v>
      </c>
      <c r="BL4388" s="379" t="s">
        <v>3783</v>
      </c>
      <c r="BM4388" s="379" t="s">
        <v>3783</v>
      </c>
      <c r="BN4388" s="379" t="s">
        <v>3783</v>
      </c>
      <c r="BO4388" s="379" t="s">
        <v>3783</v>
      </c>
      <c r="BP4388" s="379" t="s">
        <v>3783</v>
      </c>
      <c r="BQ4388" s="379" t="s">
        <v>3783</v>
      </c>
      <c r="BR4388" s="379" t="s">
        <v>3783</v>
      </c>
      <c r="BS4388" s="379" t="s">
        <v>3783</v>
      </c>
      <c r="BT4388" s="379" t="s">
        <v>3783</v>
      </c>
      <c r="BU4388" s="379" t="s">
        <v>3783</v>
      </c>
      <c r="BV4388" s="379" t="s">
        <v>3783</v>
      </c>
      <c r="BW4388" s="379" t="s">
        <v>3783</v>
      </c>
      <c r="BX4388" s="379" t="s">
        <v>3783</v>
      </c>
      <c r="BY4388" s="379" t="s">
        <v>3783</v>
      </c>
      <c r="BZ4388" s="379" t="s">
        <v>3783</v>
      </c>
      <c r="CA4388" s="379" t="s">
        <v>3783</v>
      </c>
      <c r="CB4388" s="379" t="s">
        <v>3783</v>
      </c>
      <c r="CC4388" s="379" t="s">
        <v>3783</v>
      </c>
      <c r="CD4388" s="379" t="s">
        <v>3783</v>
      </c>
      <c r="CE4388" s="379" t="s">
        <v>3783</v>
      </c>
      <c r="CF4388" s="379" t="s">
        <v>3783</v>
      </c>
      <c r="CG4388" s="379" t="s">
        <v>3783</v>
      </c>
      <c r="CH4388" s="379" t="s">
        <v>3783</v>
      </c>
      <c r="CI4388" s="379" t="s">
        <v>3783</v>
      </c>
      <c r="CJ4388" s="379" t="s">
        <v>3783</v>
      </c>
      <c r="CK4388" s="379" t="s">
        <v>3783</v>
      </c>
      <c r="CL4388" s="379" t="s">
        <v>3783</v>
      </c>
      <c r="CM4388" s="379" t="s">
        <v>3783</v>
      </c>
      <c r="CN4388" s="379" t="s">
        <v>3783</v>
      </c>
      <c r="CO4388" s="379" t="s">
        <v>3783</v>
      </c>
      <c r="CP4388" s="379" t="s">
        <v>3783</v>
      </c>
      <c r="CQ4388" s="379" t="s">
        <v>3783</v>
      </c>
      <c r="CR4388" s="379" t="s">
        <v>3783</v>
      </c>
      <c r="CS4388" s="379" t="s">
        <v>3783</v>
      </c>
      <c r="CT4388" s="379" t="s">
        <v>3783</v>
      </c>
      <c r="CU4388" s="379" t="s">
        <v>3783</v>
      </c>
      <c r="CV4388" s="379" t="s">
        <v>3783</v>
      </c>
      <c r="CW4388" s="379" t="s">
        <v>3783</v>
      </c>
      <c r="CX4388" s="379" t="s">
        <v>3783</v>
      </c>
      <c r="CY4388" s="379" t="s">
        <v>3783</v>
      </c>
      <c r="CZ4388" s="379" t="s">
        <v>3783</v>
      </c>
      <c r="DA4388" s="379" t="s">
        <v>3783</v>
      </c>
      <c r="DB4388" s="379" t="s">
        <v>3783</v>
      </c>
      <c r="DC4388" s="379" t="s">
        <v>3783</v>
      </c>
      <c r="DD4388" s="379" t="s">
        <v>3783</v>
      </c>
      <c r="DE4388" s="379" t="s">
        <v>3783</v>
      </c>
      <c r="DF4388" s="379" t="s">
        <v>3783</v>
      </c>
      <c r="DG4388" s="379" t="s">
        <v>3783</v>
      </c>
      <c r="DH4388" s="379" t="s">
        <v>3783</v>
      </c>
      <c r="DI4388" s="379" t="s">
        <v>3783</v>
      </c>
      <c r="DJ4388" s="379" t="s">
        <v>3783</v>
      </c>
      <c r="DK4388" s="379" t="s">
        <v>3783</v>
      </c>
      <c r="DL4388" s="379" t="s">
        <v>3783</v>
      </c>
      <c r="DM4388" s="379" t="s">
        <v>3783</v>
      </c>
      <c r="DN4388" s="379" t="s">
        <v>3783</v>
      </c>
      <c r="DO4388" s="379" t="s">
        <v>3783</v>
      </c>
      <c r="DP4388" s="379" t="s">
        <v>3783</v>
      </c>
      <c r="DQ4388" s="379" t="s">
        <v>3783</v>
      </c>
      <c r="DR4388" s="379" t="s">
        <v>3783</v>
      </c>
      <c r="DS4388" s="379" t="s">
        <v>3783</v>
      </c>
      <c r="DT4388" s="379" t="s">
        <v>3783</v>
      </c>
      <c r="DU4388" s="379" t="s">
        <v>3783</v>
      </c>
      <c r="DV4388" s="379" t="s">
        <v>3783</v>
      </c>
      <c r="DW4388" s="379" t="s">
        <v>3783</v>
      </c>
      <c r="DX4388" s="379" t="s">
        <v>3783</v>
      </c>
      <c r="DY4388" s="379" t="s">
        <v>3783</v>
      </c>
      <c r="DZ4388" s="379" t="s">
        <v>3783</v>
      </c>
      <c r="EA4388" s="379" t="s">
        <v>3783</v>
      </c>
      <c r="EB4388" s="379" t="s">
        <v>3783</v>
      </c>
      <c r="EC4388" s="379" t="s">
        <v>3783</v>
      </c>
      <c r="ED4388" s="379" t="s">
        <v>3783</v>
      </c>
      <c r="EE4388" s="379" t="s">
        <v>3783</v>
      </c>
      <c r="EF4388" s="379" t="s">
        <v>3783</v>
      </c>
      <c r="EG4388" s="379" t="s">
        <v>3783</v>
      </c>
      <c r="EH4388" s="379" t="s">
        <v>3783</v>
      </c>
      <c r="EI4388" s="379" t="s">
        <v>3783</v>
      </c>
      <c r="EJ4388" s="379" t="s">
        <v>3783</v>
      </c>
      <c r="EK4388" s="379" t="s">
        <v>3783</v>
      </c>
      <c r="EL4388" s="379" t="s">
        <v>3783</v>
      </c>
      <c r="EM4388" s="379" t="s">
        <v>3783</v>
      </c>
      <c r="EN4388" s="379" t="s">
        <v>3783</v>
      </c>
      <c r="EO4388" s="379" t="s">
        <v>3783</v>
      </c>
      <c r="EP4388" s="379" t="s">
        <v>3783</v>
      </c>
      <c r="EQ4388" s="379" t="s">
        <v>3783</v>
      </c>
      <c r="ER4388" s="379" t="s">
        <v>3783</v>
      </c>
      <c r="ES4388" s="379" t="s">
        <v>3783</v>
      </c>
      <c r="ET4388" s="379" t="s">
        <v>3783</v>
      </c>
      <c r="EU4388" s="379" t="s">
        <v>3783</v>
      </c>
      <c r="EV4388" s="379" t="s">
        <v>3783</v>
      </c>
      <c r="EW4388" s="379" t="s">
        <v>3783</v>
      </c>
      <c r="EX4388" s="379" t="s">
        <v>3783</v>
      </c>
      <c r="EY4388" s="379" t="s">
        <v>3783</v>
      </c>
      <c r="EZ4388" s="379" t="s">
        <v>3783</v>
      </c>
      <c r="FA4388" s="379" t="s">
        <v>3783</v>
      </c>
      <c r="FB4388" s="379" t="s">
        <v>3783</v>
      </c>
      <c r="FC4388" s="379" t="s">
        <v>3783</v>
      </c>
      <c r="FD4388" s="379" t="s">
        <v>3783</v>
      </c>
      <c r="FE4388" s="379" t="s">
        <v>3783</v>
      </c>
      <c r="FF4388" s="379" t="s">
        <v>3783</v>
      </c>
      <c r="FG4388" s="379" t="s">
        <v>3783</v>
      </c>
      <c r="FH4388" s="379" t="s">
        <v>3783</v>
      </c>
      <c r="FI4388" s="379" t="s">
        <v>3783</v>
      </c>
      <c r="FJ4388" s="379" t="s">
        <v>3783</v>
      </c>
      <c r="FK4388" s="379" t="s">
        <v>3783</v>
      </c>
      <c r="FL4388" s="379" t="s">
        <v>3783</v>
      </c>
      <c r="FM4388" s="379" t="s">
        <v>3783</v>
      </c>
      <c r="FN4388" s="379" t="s">
        <v>3783</v>
      </c>
      <c r="FO4388" s="379" t="s">
        <v>3783</v>
      </c>
      <c r="FP4388" s="379" t="s">
        <v>3783</v>
      </c>
      <c r="FQ4388" s="379" t="s">
        <v>3783</v>
      </c>
      <c r="FR4388" s="379" t="s">
        <v>3783</v>
      </c>
      <c r="FS4388" s="379" t="s">
        <v>3783</v>
      </c>
      <c r="FT4388" s="379" t="s">
        <v>3783</v>
      </c>
      <c r="FU4388" s="379" t="s">
        <v>3783</v>
      </c>
      <c r="FV4388" s="379" t="s">
        <v>3783</v>
      </c>
      <c r="FW4388" s="379" t="s">
        <v>3783</v>
      </c>
      <c r="FX4388" s="379" t="s">
        <v>3783</v>
      </c>
      <c r="FY4388" s="379" t="s">
        <v>3783</v>
      </c>
      <c r="FZ4388" s="379" t="s">
        <v>3783</v>
      </c>
      <c r="GA4388" s="379" t="s">
        <v>3783</v>
      </c>
      <c r="GB4388" s="379" t="s">
        <v>3783</v>
      </c>
      <c r="GC4388" s="379" t="s">
        <v>3783</v>
      </c>
      <c r="GD4388" s="379" t="s">
        <v>3783</v>
      </c>
      <c r="GE4388" s="379" t="s">
        <v>3783</v>
      </c>
      <c r="GF4388" s="379" t="s">
        <v>3783</v>
      </c>
      <c r="GG4388" s="379" t="s">
        <v>3783</v>
      </c>
      <c r="GH4388" s="379" t="s">
        <v>3783</v>
      </c>
      <c r="GI4388" s="379" t="s">
        <v>3783</v>
      </c>
      <c r="GJ4388" s="379" t="s">
        <v>3783</v>
      </c>
      <c r="GK4388" s="379" t="s">
        <v>3783</v>
      </c>
      <c r="GL4388" s="379" t="s">
        <v>3783</v>
      </c>
      <c r="GM4388" s="379" t="s">
        <v>3783</v>
      </c>
      <c r="GN4388" s="379" t="s">
        <v>3783</v>
      </c>
      <c r="GO4388" s="379" t="s">
        <v>3783</v>
      </c>
      <c r="GP4388" s="379" t="s">
        <v>3783</v>
      </c>
      <c r="GQ4388" s="379" t="s">
        <v>3783</v>
      </c>
      <c r="GR4388" s="379" t="s">
        <v>3783</v>
      </c>
      <c r="GS4388" s="379" t="s">
        <v>3783</v>
      </c>
      <c r="GT4388" s="379" t="s">
        <v>3783</v>
      </c>
      <c r="GU4388" s="379" t="s">
        <v>3783</v>
      </c>
      <c r="GV4388" s="379" t="s">
        <v>3783</v>
      </c>
      <c r="GW4388" s="379" t="s">
        <v>3783</v>
      </c>
      <c r="GX4388" s="379" t="s">
        <v>3783</v>
      </c>
      <c r="GY4388" s="379" t="s">
        <v>3783</v>
      </c>
      <c r="GZ4388" s="379" t="s">
        <v>3783</v>
      </c>
      <c r="HA4388" s="379" t="s">
        <v>3783</v>
      </c>
      <c r="HB4388" s="379" t="s">
        <v>3783</v>
      </c>
      <c r="HC4388" s="379" t="s">
        <v>3783</v>
      </c>
      <c r="HD4388" s="379" t="s">
        <v>3783</v>
      </c>
      <c r="HE4388" s="379" t="s">
        <v>3783</v>
      </c>
      <c r="HF4388" s="379" t="s">
        <v>3783</v>
      </c>
      <c r="HG4388" s="379" t="s">
        <v>3783</v>
      </c>
      <c r="HH4388" s="379" t="s">
        <v>3783</v>
      </c>
      <c r="HI4388" s="379" t="s">
        <v>3783</v>
      </c>
      <c r="HJ4388" s="379" t="s">
        <v>3783</v>
      </c>
      <c r="HK4388" s="379" t="s">
        <v>3783</v>
      </c>
      <c r="HL4388" s="379" t="s">
        <v>3783</v>
      </c>
      <c r="HM4388" s="379" t="s">
        <v>3783</v>
      </c>
      <c r="HN4388" s="379" t="s">
        <v>3783</v>
      </c>
      <c r="HO4388" s="379" t="s">
        <v>3783</v>
      </c>
      <c r="HP4388" s="379" t="s">
        <v>3783</v>
      </c>
      <c r="HQ4388" s="379" t="s">
        <v>3783</v>
      </c>
      <c r="HR4388" s="379" t="s">
        <v>3783</v>
      </c>
      <c r="HS4388" s="379" t="s">
        <v>3783</v>
      </c>
      <c r="HT4388" s="379" t="s">
        <v>3783</v>
      </c>
      <c r="HU4388" s="379" t="s">
        <v>3783</v>
      </c>
      <c r="HV4388" s="379" t="s">
        <v>3783</v>
      </c>
      <c r="HW4388" s="379" t="s">
        <v>3783</v>
      </c>
      <c r="HX4388" s="379" t="s">
        <v>3783</v>
      </c>
      <c r="HY4388" s="379" t="s">
        <v>3783</v>
      </c>
      <c r="HZ4388" s="379" t="s">
        <v>3783</v>
      </c>
      <c r="IA4388" s="379" t="s">
        <v>3783</v>
      </c>
      <c r="IB4388" s="379" t="s">
        <v>3783</v>
      </c>
      <c r="IC4388" s="379" t="s">
        <v>3783</v>
      </c>
      <c r="ID4388" s="379" t="s">
        <v>3783</v>
      </c>
      <c r="IE4388" s="379" t="s">
        <v>3783</v>
      </c>
      <c r="IF4388" s="379" t="s">
        <v>3783</v>
      </c>
      <c r="IG4388" s="379" t="s">
        <v>3783</v>
      </c>
      <c r="IH4388" s="379" t="s">
        <v>3783</v>
      </c>
      <c r="II4388" s="379" t="s">
        <v>3783</v>
      </c>
      <c r="IJ4388" s="379" t="s">
        <v>3783</v>
      </c>
      <c r="IK4388" s="379" t="s">
        <v>3783</v>
      </c>
      <c r="IL4388" s="379" t="s">
        <v>3783</v>
      </c>
      <c r="IM4388" s="379" t="s">
        <v>3783</v>
      </c>
      <c r="IN4388" s="379" t="s">
        <v>3783</v>
      </c>
      <c r="IO4388" s="379" t="s">
        <v>3783</v>
      </c>
      <c r="IP4388" s="379" t="s">
        <v>3783</v>
      </c>
      <c r="IQ4388" s="379" t="s">
        <v>3783</v>
      </c>
      <c r="IR4388" s="379" t="s">
        <v>3783</v>
      </c>
      <c r="IS4388" s="379" t="s">
        <v>3783</v>
      </c>
      <c r="IT4388" s="379" t="s">
        <v>3783</v>
      </c>
      <c r="IU4388" s="379" t="s">
        <v>3783</v>
      </c>
      <c r="IV4388" s="379" t="s">
        <v>3783</v>
      </c>
      <c r="IW4388" s="379" t="s">
        <v>3783</v>
      </c>
      <c r="IX4388" s="379" t="s">
        <v>3783</v>
      </c>
      <c r="IY4388" s="379" t="s">
        <v>3783</v>
      </c>
      <c r="IZ4388" s="379" t="s">
        <v>3783</v>
      </c>
      <c r="JA4388" s="379" t="s">
        <v>3783</v>
      </c>
      <c r="JB4388" s="379" t="s">
        <v>3783</v>
      </c>
      <c r="JC4388" s="379" t="s">
        <v>3783</v>
      </c>
      <c r="JD4388" s="379" t="s">
        <v>3783</v>
      </c>
      <c r="JE4388" s="379" t="s">
        <v>3783</v>
      </c>
      <c r="JF4388" s="379" t="s">
        <v>3783</v>
      </c>
      <c r="JG4388" s="379" t="s">
        <v>3783</v>
      </c>
      <c r="JH4388" s="379" t="s">
        <v>3783</v>
      </c>
      <c r="JI4388" s="379" t="s">
        <v>3783</v>
      </c>
      <c r="JJ4388" s="379" t="s">
        <v>3783</v>
      </c>
      <c r="JK4388" s="379" t="s">
        <v>3783</v>
      </c>
      <c r="JL4388" s="379" t="s">
        <v>3783</v>
      </c>
      <c r="JM4388" s="379" t="s">
        <v>3783</v>
      </c>
      <c r="JN4388" s="379" t="s">
        <v>3783</v>
      </c>
      <c r="JO4388" s="379" t="s">
        <v>3783</v>
      </c>
      <c r="JP4388" s="379" t="s">
        <v>3783</v>
      </c>
      <c r="JQ4388" s="379" t="s">
        <v>3783</v>
      </c>
      <c r="JR4388" s="379" t="s">
        <v>3783</v>
      </c>
      <c r="JS4388" s="379" t="s">
        <v>3783</v>
      </c>
      <c r="JT4388" s="379" t="s">
        <v>3783</v>
      </c>
      <c r="JU4388" s="379" t="s">
        <v>3783</v>
      </c>
      <c r="JV4388" s="379" t="s">
        <v>3783</v>
      </c>
      <c r="JW4388" s="379" t="s">
        <v>3783</v>
      </c>
      <c r="JX4388" s="379" t="s">
        <v>3783</v>
      </c>
      <c r="JY4388" s="379" t="s">
        <v>3783</v>
      </c>
      <c r="JZ4388" s="379" t="s">
        <v>3783</v>
      </c>
      <c r="KA4388" s="379" t="s">
        <v>3783</v>
      </c>
      <c r="KB4388" s="379" t="s">
        <v>3783</v>
      </c>
      <c r="KC4388" s="379" t="s">
        <v>3783</v>
      </c>
      <c r="KD4388" s="379" t="s">
        <v>3783</v>
      </c>
      <c r="KE4388" s="379" t="s">
        <v>3783</v>
      </c>
      <c r="KF4388" s="379" t="s">
        <v>3783</v>
      </c>
      <c r="KG4388" s="379" t="s">
        <v>3783</v>
      </c>
      <c r="KH4388" s="379" t="s">
        <v>3783</v>
      </c>
      <c r="KI4388" s="379" t="s">
        <v>3783</v>
      </c>
      <c r="KJ4388" s="379" t="s">
        <v>3783</v>
      </c>
      <c r="KK4388" s="379" t="s">
        <v>3783</v>
      </c>
      <c r="KL4388" s="379" t="s">
        <v>3783</v>
      </c>
      <c r="KM4388" s="379" t="s">
        <v>3783</v>
      </c>
      <c r="KN4388" s="379" t="s">
        <v>3783</v>
      </c>
      <c r="KO4388" s="379" t="s">
        <v>3783</v>
      </c>
      <c r="KP4388" s="379" t="s">
        <v>3783</v>
      </c>
      <c r="KQ4388" s="379" t="s">
        <v>3783</v>
      </c>
      <c r="KR4388" s="379" t="s">
        <v>3783</v>
      </c>
      <c r="KS4388" s="379" t="s">
        <v>3783</v>
      </c>
      <c r="KT4388" s="379" t="s">
        <v>3783</v>
      </c>
      <c r="KU4388" s="379" t="s">
        <v>3783</v>
      </c>
      <c r="KV4388" s="379" t="s">
        <v>3783</v>
      </c>
      <c r="KW4388" s="379" t="s">
        <v>3783</v>
      </c>
      <c r="KX4388" s="379" t="s">
        <v>3783</v>
      </c>
      <c r="KY4388" s="379" t="s">
        <v>3783</v>
      </c>
      <c r="KZ4388" s="379" t="s">
        <v>3783</v>
      </c>
      <c r="LA4388" s="379" t="s">
        <v>3783</v>
      </c>
      <c r="LB4388" s="379" t="s">
        <v>3783</v>
      </c>
      <c r="LC4388" s="379" t="s">
        <v>3783</v>
      </c>
      <c r="LD4388" s="379" t="s">
        <v>3783</v>
      </c>
      <c r="LE4388" s="379" t="s">
        <v>3783</v>
      </c>
      <c r="LF4388" s="379" t="s">
        <v>3783</v>
      </c>
      <c r="LG4388" s="379" t="s">
        <v>3783</v>
      </c>
      <c r="LH4388" s="379" t="s">
        <v>3783</v>
      </c>
      <c r="LI4388" s="379" t="s">
        <v>3783</v>
      </c>
      <c r="LJ4388" s="379" t="s">
        <v>3783</v>
      </c>
      <c r="LK4388" s="379" t="s">
        <v>3783</v>
      </c>
      <c r="LL4388" s="379" t="s">
        <v>3783</v>
      </c>
      <c r="LM4388" s="379" t="s">
        <v>3783</v>
      </c>
      <c r="LN4388" s="379" t="s">
        <v>3783</v>
      </c>
      <c r="LO4388" s="379" t="s">
        <v>3783</v>
      </c>
      <c r="LP4388" s="379" t="s">
        <v>3783</v>
      </c>
      <c r="LQ4388" s="379" t="s">
        <v>3783</v>
      </c>
      <c r="LR4388" s="379" t="s">
        <v>3783</v>
      </c>
      <c r="LS4388" s="379" t="s">
        <v>3783</v>
      </c>
      <c r="LT4388" s="379" t="s">
        <v>3783</v>
      </c>
      <c r="LU4388" s="379" t="s">
        <v>3783</v>
      </c>
      <c r="LV4388" s="379" t="s">
        <v>3783</v>
      </c>
      <c r="LW4388" s="379" t="s">
        <v>3783</v>
      </c>
      <c r="LX4388" s="379" t="s">
        <v>3783</v>
      </c>
      <c r="LY4388" s="379" t="s">
        <v>3783</v>
      </c>
      <c r="LZ4388" s="379" t="s">
        <v>3783</v>
      </c>
      <c r="MA4388" s="379" t="s">
        <v>3783</v>
      </c>
      <c r="MB4388" s="379" t="s">
        <v>3783</v>
      </c>
      <c r="MC4388" s="379" t="s">
        <v>3783</v>
      </c>
      <c r="MD4388" s="379" t="s">
        <v>3783</v>
      </c>
      <c r="ME4388" s="379" t="s">
        <v>3783</v>
      </c>
      <c r="MF4388" s="379" t="s">
        <v>3783</v>
      </c>
      <c r="MG4388" s="379" t="s">
        <v>3783</v>
      </c>
      <c r="MH4388" s="379" t="s">
        <v>3783</v>
      </c>
      <c r="MI4388" s="379" t="s">
        <v>3783</v>
      </c>
      <c r="MJ4388" s="379" t="s">
        <v>3783</v>
      </c>
      <c r="MK4388" s="379" t="s">
        <v>3783</v>
      </c>
      <c r="ML4388" s="379" t="s">
        <v>3783</v>
      </c>
      <c r="MM4388" s="379" t="s">
        <v>3783</v>
      </c>
      <c r="MN4388" s="379" t="s">
        <v>3783</v>
      </c>
      <c r="MO4388" s="379" t="s">
        <v>3783</v>
      </c>
      <c r="MP4388" s="379" t="s">
        <v>3783</v>
      </c>
      <c r="MQ4388" s="379" t="s">
        <v>3783</v>
      </c>
      <c r="MR4388" s="379" t="s">
        <v>3783</v>
      </c>
      <c r="MS4388" s="379" t="s">
        <v>3783</v>
      </c>
      <c r="MT4388" s="379" t="s">
        <v>3783</v>
      </c>
      <c r="MU4388" s="379" t="s">
        <v>3783</v>
      </c>
      <c r="MV4388" s="379" t="s">
        <v>3783</v>
      </c>
      <c r="MW4388" s="379" t="s">
        <v>3783</v>
      </c>
      <c r="MX4388" s="379" t="s">
        <v>3783</v>
      </c>
      <c r="MY4388" s="379" t="s">
        <v>3783</v>
      </c>
      <c r="MZ4388" s="379" t="s">
        <v>3783</v>
      </c>
      <c r="NA4388" s="379" t="s">
        <v>3783</v>
      </c>
      <c r="NB4388" s="379" t="s">
        <v>3783</v>
      </c>
      <c r="NC4388" s="379" t="s">
        <v>3783</v>
      </c>
      <c r="ND4388" s="379" t="s">
        <v>3783</v>
      </c>
      <c r="NE4388" s="379" t="s">
        <v>3783</v>
      </c>
      <c r="NF4388" s="379" t="s">
        <v>3783</v>
      </c>
      <c r="NG4388" s="379" t="s">
        <v>3783</v>
      </c>
      <c r="NH4388" s="379" t="s">
        <v>3783</v>
      </c>
      <c r="NI4388" s="379" t="s">
        <v>3783</v>
      </c>
      <c r="NJ4388" s="379" t="s">
        <v>3783</v>
      </c>
      <c r="NK4388" s="379" t="s">
        <v>3783</v>
      </c>
      <c r="NL4388" s="379" t="s">
        <v>3783</v>
      </c>
      <c r="NM4388" s="379" t="s">
        <v>3783</v>
      </c>
      <c r="NN4388" s="379" t="s">
        <v>3783</v>
      </c>
      <c r="NO4388" s="379" t="s">
        <v>3783</v>
      </c>
      <c r="NP4388" s="379" t="s">
        <v>3783</v>
      </c>
      <c r="NQ4388" s="379" t="s">
        <v>3783</v>
      </c>
      <c r="NR4388" s="379" t="s">
        <v>3783</v>
      </c>
      <c r="NS4388" s="379" t="s">
        <v>3783</v>
      </c>
      <c r="NT4388" s="379" t="s">
        <v>3783</v>
      </c>
      <c r="NU4388" s="379" t="s">
        <v>3783</v>
      </c>
      <c r="NV4388" s="379" t="s">
        <v>3783</v>
      </c>
      <c r="NW4388" s="379" t="s">
        <v>3783</v>
      </c>
      <c r="NX4388" s="379" t="s">
        <v>3783</v>
      </c>
      <c r="NY4388" s="379" t="s">
        <v>3783</v>
      </c>
      <c r="NZ4388" s="379" t="s">
        <v>3783</v>
      </c>
      <c r="OA4388" s="379" t="s">
        <v>3783</v>
      </c>
      <c r="OB4388" s="379" t="s">
        <v>3783</v>
      </c>
      <c r="OC4388" s="379" t="s">
        <v>3783</v>
      </c>
      <c r="OD4388" s="379" t="s">
        <v>3783</v>
      </c>
      <c r="OE4388" s="379" t="s">
        <v>3783</v>
      </c>
      <c r="OF4388" s="379" t="s">
        <v>3783</v>
      </c>
      <c r="OG4388" s="379" t="s">
        <v>3783</v>
      </c>
      <c r="OH4388" s="379" t="s">
        <v>3783</v>
      </c>
      <c r="OI4388" s="379" t="s">
        <v>3783</v>
      </c>
      <c r="OJ4388" s="379" t="s">
        <v>3783</v>
      </c>
      <c r="OK4388" s="379" t="s">
        <v>3783</v>
      </c>
      <c r="OL4388" s="379" t="s">
        <v>3783</v>
      </c>
      <c r="OM4388" s="379" t="s">
        <v>3783</v>
      </c>
      <c r="ON4388" s="379" t="s">
        <v>3783</v>
      </c>
      <c r="OO4388" s="379" t="s">
        <v>3783</v>
      </c>
      <c r="OP4388" s="379" t="s">
        <v>3783</v>
      </c>
      <c r="OQ4388" s="379" t="s">
        <v>3783</v>
      </c>
      <c r="OR4388" s="379" t="s">
        <v>3783</v>
      </c>
      <c r="OS4388" s="379" t="s">
        <v>3783</v>
      </c>
      <c r="OT4388" s="379" t="s">
        <v>3783</v>
      </c>
      <c r="OU4388" s="379" t="s">
        <v>3783</v>
      </c>
      <c r="OV4388" s="379" t="s">
        <v>3783</v>
      </c>
      <c r="OW4388" s="379" t="s">
        <v>3783</v>
      </c>
      <c r="OX4388" s="379" t="s">
        <v>3783</v>
      </c>
      <c r="OY4388" s="379" t="s">
        <v>3783</v>
      </c>
      <c r="OZ4388" s="379" t="s">
        <v>3783</v>
      </c>
      <c r="PA4388" s="379" t="s">
        <v>3783</v>
      </c>
      <c r="PB4388" s="379" t="s">
        <v>3783</v>
      </c>
      <c r="PC4388" s="379" t="s">
        <v>3783</v>
      </c>
      <c r="PD4388" s="379" t="s">
        <v>3783</v>
      </c>
      <c r="PE4388" s="379" t="s">
        <v>3783</v>
      </c>
      <c r="PF4388" s="379" t="s">
        <v>3783</v>
      </c>
      <c r="PG4388" s="379" t="s">
        <v>3783</v>
      </c>
      <c r="PH4388" s="379" t="s">
        <v>3783</v>
      </c>
      <c r="PI4388" s="379" t="s">
        <v>3783</v>
      </c>
      <c r="PJ4388" s="379" t="s">
        <v>3783</v>
      </c>
      <c r="PK4388" s="379" t="s">
        <v>3783</v>
      </c>
      <c r="PL4388" s="379" t="s">
        <v>3783</v>
      </c>
      <c r="PM4388" s="379" t="s">
        <v>3783</v>
      </c>
      <c r="PN4388" s="379" t="s">
        <v>3783</v>
      </c>
      <c r="PO4388" s="379" t="s">
        <v>3783</v>
      </c>
      <c r="PP4388" s="379" t="s">
        <v>3783</v>
      </c>
      <c r="PQ4388" s="379" t="s">
        <v>3783</v>
      </c>
      <c r="PR4388" s="379" t="s">
        <v>3783</v>
      </c>
      <c r="PS4388" s="379" t="s">
        <v>3783</v>
      </c>
      <c r="PT4388" s="379" t="s">
        <v>3783</v>
      </c>
      <c r="PU4388" s="379" t="s">
        <v>3783</v>
      </c>
      <c r="PV4388" s="379" t="s">
        <v>3783</v>
      </c>
      <c r="PW4388" s="379" t="s">
        <v>3783</v>
      </c>
      <c r="PX4388" s="379" t="s">
        <v>3783</v>
      </c>
      <c r="PY4388" s="379" t="s">
        <v>3783</v>
      </c>
      <c r="PZ4388" s="379" t="s">
        <v>3783</v>
      </c>
      <c r="QA4388" s="379" t="s">
        <v>3783</v>
      </c>
      <c r="QB4388" s="379" t="s">
        <v>3783</v>
      </c>
      <c r="QC4388" s="379" t="s">
        <v>3783</v>
      </c>
      <c r="QD4388" s="379" t="s">
        <v>3783</v>
      </c>
      <c r="QE4388" s="379" t="s">
        <v>3783</v>
      </c>
      <c r="QF4388" s="379" t="s">
        <v>3783</v>
      </c>
      <c r="QG4388" s="379" t="s">
        <v>3783</v>
      </c>
      <c r="QH4388" s="379" t="s">
        <v>3783</v>
      </c>
      <c r="QI4388" s="379" t="s">
        <v>3783</v>
      </c>
      <c r="QJ4388" s="379" t="s">
        <v>3783</v>
      </c>
      <c r="QK4388" s="379" t="s">
        <v>3783</v>
      </c>
      <c r="QL4388" s="379" t="s">
        <v>3783</v>
      </c>
      <c r="QM4388" s="379" t="s">
        <v>3783</v>
      </c>
      <c r="QN4388" s="379" t="s">
        <v>3783</v>
      </c>
      <c r="QO4388" s="379" t="s">
        <v>3783</v>
      </c>
      <c r="QP4388" s="379" t="s">
        <v>3783</v>
      </c>
      <c r="QQ4388" s="379" t="s">
        <v>3783</v>
      </c>
      <c r="QR4388" s="379" t="s">
        <v>3783</v>
      </c>
      <c r="QS4388" s="379" t="s">
        <v>3783</v>
      </c>
      <c r="QT4388" s="379" t="s">
        <v>3783</v>
      </c>
      <c r="QU4388" s="379" t="s">
        <v>3783</v>
      </c>
      <c r="QV4388" s="379" t="s">
        <v>3783</v>
      </c>
      <c r="QW4388" s="379" t="s">
        <v>3783</v>
      </c>
      <c r="QX4388" s="379" t="s">
        <v>3783</v>
      </c>
      <c r="QY4388" s="379" t="s">
        <v>3783</v>
      </c>
      <c r="QZ4388" s="379" t="s">
        <v>3783</v>
      </c>
      <c r="RA4388" s="379" t="s">
        <v>3783</v>
      </c>
      <c r="RB4388" s="379" t="s">
        <v>3783</v>
      </c>
      <c r="RC4388" s="379" t="s">
        <v>3783</v>
      </c>
      <c r="RD4388" s="379" t="s">
        <v>3783</v>
      </c>
      <c r="RE4388" s="379" t="s">
        <v>3783</v>
      </c>
      <c r="RF4388" s="379" t="s">
        <v>3783</v>
      </c>
      <c r="RG4388" s="379" t="s">
        <v>3783</v>
      </c>
      <c r="RH4388" s="379" t="s">
        <v>3783</v>
      </c>
      <c r="RI4388" s="379" t="s">
        <v>3783</v>
      </c>
      <c r="RJ4388" s="379" t="s">
        <v>3783</v>
      </c>
      <c r="RK4388" s="379" t="s">
        <v>3783</v>
      </c>
      <c r="RL4388" s="379" t="s">
        <v>3783</v>
      </c>
      <c r="RM4388" s="379" t="s">
        <v>3783</v>
      </c>
      <c r="RN4388" s="379" t="s">
        <v>3783</v>
      </c>
      <c r="RO4388" s="379" t="s">
        <v>3783</v>
      </c>
      <c r="RP4388" s="379" t="s">
        <v>3783</v>
      </c>
      <c r="RQ4388" s="379" t="s">
        <v>3783</v>
      </c>
      <c r="RR4388" s="379" t="s">
        <v>3783</v>
      </c>
      <c r="RS4388" s="379" t="s">
        <v>3783</v>
      </c>
      <c r="RT4388" s="379" t="s">
        <v>3783</v>
      </c>
      <c r="RU4388" s="379" t="s">
        <v>3783</v>
      </c>
      <c r="RV4388" s="379" t="s">
        <v>3783</v>
      </c>
      <c r="RW4388" s="379" t="s">
        <v>3783</v>
      </c>
      <c r="RX4388" s="379" t="s">
        <v>3783</v>
      </c>
      <c r="RY4388" s="379" t="s">
        <v>3783</v>
      </c>
      <c r="RZ4388" s="379" t="s">
        <v>3783</v>
      </c>
      <c r="SA4388" s="379" t="s">
        <v>3783</v>
      </c>
      <c r="SB4388" s="379" t="s">
        <v>3783</v>
      </c>
      <c r="SC4388" s="379" t="s">
        <v>3783</v>
      </c>
      <c r="SD4388" s="379" t="s">
        <v>3783</v>
      </c>
      <c r="SE4388" s="379" t="s">
        <v>3783</v>
      </c>
      <c r="SF4388" s="379" t="s">
        <v>3783</v>
      </c>
      <c r="SG4388" s="379" t="s">
        <v>3783</v>
      </c>
      <c r="SH4388" s="379" t="s">
        <v>3783</v>
      </c>
      <c r="SI4388" s="379" t="s">
        <v>3783</v>
      </c>
      <c r="SJ4388" s="379" t="s">
        <v>3783</v>
      </c>
      <c r="SK4388" s="379" t="s">
        <v>3783</v>
      </c>
      <c r="SL4388" s="379" t="s">
        <v>3783</v>
      </c>
      <c r="SM4388" s="379" t="s">
        <v>3783</v>
      </c>
      <c r="SN4388" s="379" t="s">
        <v>3783</v>
      </c>
      <c r="SO4388" s="379" t="s">
        <v>3783</v>
      </c>
      <c r="SP4388" s="379" t="s">
        <v>3783</v>
      </c>
      <c r="SQ4388" s="379" t="s">
        <v>3783</v>
      </c>
      <c r="SR4388" s="379" t="s">
        <v>3783</v>
      </c>
      <c r="SS4388" s="379" t="s">
        <v>3783</v>
      </c>
      <c r="ST4388" s="379" t="s">
        <v>3783</v>
      </c>
      <c r="SU4388" s="379" t="s">
        <v>3783</v>
      </c>
      <c r="SV4388" s="379" t="s">
        <v>3783</v>
      </c>
      <c r="SW4388" s="379" t="s">
        <v>3783</v>
      </c>
      <c r="SX4388" s="379" t="s">
        <v>3783</v>
      </c>
      <c r="SY4388" s="379" t="s">
        <v>3783</v>
      </c>
      <c r="SZ4388" s="379" t="s">
        <v>3783</v>
      </c>
      <c r="TA4388" s="379" t="s">
        <v>3783</v>
      </c>
      <c r="TB4388" s="379" t="s">
        <v>3783</v>
      </c>
      <c r="TC4388" s="379" t="s">
        <v>3783</v>
      </c>
      <c r="TD4388" s="379" t="s">
        <v>3783</v>
      </c>
      <c r="TE4388" s="379" t="s">
        <v>3783</v>
      </c>
      <c r="TF4388" s="379" t="s">
        <v>3783</v>
      </c>
      <c r="TG4388" s="379" t="s">
        <v>3783</v>
      </c>
      <c r="TH4388" s="379" t="s">
        <v>3783</v>
      </c>
      <c r="TI4388" s="379" t="s">
        <v>3783</v>
      </c>
      <c r="TJ4388" s="379" t="s">
        <v>3783</v>
      </c>
      <c r="TK4388" s="379" t="s">
        <v>3783</v>
      </c>
      <c r="TL4388" s="379" t="s">
        <v>3783</v>
      </c>
      <c r="TM4388" s="379" t="s">
        <v>3783</v>
      </c>
      <c r="TN4388" s="379" t="s">
        <v>3783</v>
      </c>
      <c r="TO4388" s="379" t="s">
        <v>3783</v>
      </c>
      <c r="TP4388" s="379" t="s">
        <v>3783</v>
      </c>
      <c r="TQ4388" s="379" t="s">
        <v>3783</v>
      </c>
      <c r="TR4388" s="379" t="s">
        <v>3783</v>
      </c>
      <c r="TS4388" s="379" t="s">
        <v>3783</v>
      </c>
      <c r="TT4388" s="379" t="s">
        <v>3783</v>
      </c>
      <c r="TU4388" s="379" t="s">
        <v>3783</v>
      </c>
      <c r="TV4388" s="379" t="s">
        <v>3783</v>
      </c>
      <c r="TW4388" s="379" t="s">
        <v>3783</v>
      </c>
      <c r="TX4388" s="379" t="s">
        <v>3783</v>
      </c>
      <c r="TY4388" s="379" t="s">
        <v>3783</v>
      </c>
      <c r="TZ4388" s="379" t="s">
        <v>3783</v>
      </c>
      <c r="UA4388" s="379" t="s">
        <v>3783</v>
      </c>
      <c r="UB4388" s="379" t="s">
        <v>3783</v>
      </c>
      <c r="UC4388" s="379" t="s">
        <v>3783</v>
      </c>
      <c r="UD4388" s="379" t="s">
        <v>3783</v>
      </c>
      <c r="UE4388" s="379" t="s">
        <v>3783</v>
      </c>
      <c r="UF4388" s="379" t="s">
        <v>3783</v>
      </c>
      <c r="UG4388" s="379" t="s">
        <v>3783</v>
      </c>
      <c r="UH4388" s="379" t="s">
        <v>3783</v>
      </c>
      <c r="UI4388" s="379" t="s">
        <v>3783</v>
      </c>
      <c r="UJ4388" s="379" t="s">
        <v>3783</v>
      </c>
      <c r="UK4388" s="379" t="s">
        <v>3783</v>
      </c>
      <c r="UL4388" s="379" t="s">
        <v>3783</v>
      </c>
      <c r="UM4388" s="379" t="s">
        <v>3783</v>
      </c>
      <c r="UN4388" s="379" t="s">
        <v>3783</v>
      </c>
      <c r="UO4388" s="379" t="s">
        <v>3783</v>
      </c>
      <c r="UP4388" s="379" t="s">
        <v>3783</v>
      </c>
      <c r="UQ4388" s="379" t="s">
        <v>3783</v>
      </c>
      <c r="UR4388" s="379" t="s">
        <v>3783</v>
      </c>
      <c r="US4388" s="379" t="s">
        <v>3783</v>
      </c>
      <c r="UT4388" s="379" t="s">
        <v>3783</v>
      </c>
      <c r="UU4388" s="379" t="s">
        <v>3783</v>
      </c>
      <c r="UV4388" s="379" t="s">
        <v>3783</v>
      </c>
      <c r="UW4388" s="379" t="s">
        <v>3783</v>
      </c>
      <c r="UX4388" s="379" t="s">
        <v>3783</v>
      </c>
      <c r="UY4388" s="379" t="s">
        <v>3783</v>
      </c>
      <c r="UZ4388" s="379" t="s">
        <v>3783</v>
      </c>
      <c r="VA4388" s="379" t="s">
        <v>3783</v>
      </c>
      <c r="VB4388" s="379" t="s">
        <v>3783</v>
      </c>
      <c r="VC4388" s="379" t="s">
        <v>3783</v>
      </c>
      <c r="VD4388" s="379" t="s">
        <v>3783</v>
      </c>
      <c r="VE4388" s="379" t="s">
        <v>3783</v>
      </c>
      <c r="VF4388" s="379" t="s">
        <v>3783</v>
      </c>
      <c r="VG4388" s="379" t="s">
        <v>3783</v>
      </c>
      <c r="VH4388" s="379" t="s">
        <v>3783</v>
      </c>
      <c r="VI4388" s="379" t="s">
        <v>3783</v>
      </c>
      <c r="VJ4388" s="379" t="s">
        <v>3783</v>
      </c>
      <c r="VK4388" s="379" t="s">
        <v>3783</v>
      </c>
      <c r="VL4388" s="379" t="s">
        <v>3783</v>
      </c>
      <c r="VM4388" s="379" t="s">
        <v>3783</v>
      </c>
      <c r="VN4388" s="379" t="s">
        <v>3783</v>
      </c>
      <c r="VO4388" s="379" t="s">
        <v>3783</v>
      </c>
      <c r="VP4388" s="379" t="s">
        <v>3783</v>
      </c>
      <c r="VQ4388" s="379" t="s">
        <v>3783</v>
      </c>
      <c r="VR4388" s="379" t="s">
        <v>3783</v>
      </c>
      <c r="VS4388" s="379" t="s">
        <v>3783</v>
      </c>
      <c r="VT4388" s="379" t="s">
        <v>3783</v>
      </c>
      <c r="VU4388" s="379" t="s">
        <v>3783</v>
      </c>
      <c r="VV4388" s="379" t="s">
        <v>3783</v>
      </c>
      <c r="VW4388" s="379" t="s">
        <v>3783</v>
      </c>
      <c r="VX4388" s="379" t="s">
        <v>3783</v>
      </c>
      <c r="VY4388" s="379" t="s">
        <v>3783</v>
      </c>
      <c r="VZ4388" s="379" t="s">
        <v>3783</v>
      </c>
      <c r="WA4388" s="379" t="s">
        <v>3783</v>
      </c>
      <c r="WB4388" s="379" t="s">
        <v>3783</v>
      </c>
      <c r="WC4388" s="379" t="s">
        <v>3783</v>
      </c>
      <c r="WD4388" s="379" t="s">
        <v>3783</v>
      </c>
      <c r="WE4388" s="379" t="s">
        <v>3783</v>
      </c>
      <c r="WF4388" s="379" t="s">
        <v>3783</v>
      </c>
      <c r="WG4388" s="379" t="s">
        <v>3783</v>
      </c>
      <c r="WH4388" s="379" t="s">
        <v>3783</v>
      </c>
      <c r="WI4388" s="379" t="s">
        <v>3783</v>
      </c>
      <c r="WJ4388" s="379" t="s">
        <v>3783</v>
      </c>
      <c r="WK4388" s="379" t="s">
        <v>3783</v>
      </c>
      <c r="WL4388" s="379" t="s">
        <v>3783</v>
      </c>
      <c r="WM4388" s="379" t="s">
        <v>3783</v>
      </c>
      <c r="WN4388" s="379" t="s">
        <v>3783</v>
      </c>
      <c r="WO4388" s="379" t="s">
        <v>3783</v>
      </c>
      <c r="WP4388" s="379" t="s">
        <v>3783</v>
      </c>
      <c r="WQ4388" s="379" t="s">
        <v>3783</v>
      </c>
      <c r="WR4388" s="379" t="s">
        <v>3783</v>
      </c>
      <c r="WS4388" s="379" t="s">
        <v>3783</v>
      </c>
      <c r="WT4388" s="379" t="s">
        <v>3783</v>
      </c>
      <c r="WU4388" s="379" t="s">
        <v>3783</v>
      </c>
      <c r="WV4388" s="379" t="s">
        <v>3783</v>
      </c>
      <c r="WW4388" s="379" t="s">
        <v>3783</v>
      </c>
      <c r="WX4388" s="379" t="s">
        <v>3783</v>
      </c>
      <c r="WY4388" s="379" t="s">
        <v>3783</v>
      </c>
      <c r="WZ4388" s="379" t="s">
        <v>3783</v>
      </c>
      <c r="XA4388" s="379" t="s">
        <v>3783</v>
      </c>
      <c r="XB4388" s="379" t="s">
        <v>3783</v>
      </c>
      <c r="XC4388" s="379" t="s">
        <v>3783</v>
      </c>
      <c r="XD4388" s="379" t="s">
        <v>3783</v>
      </c>
      <c r="XE4388" s="379" t="s">
        <v>3783</v>
      </c>
      <c r="XF4388" s="379" t="s">
        <v>3783</v>
      </c>
      <c r="XG4388" s="379" t="s">
        <v>3783</v>
      </c>
      <c r="XH4388" s="379" t="s">
        <v>3783</v>
      </c>
      <c r="XI4388" s="379" t="s">
        <v>3783</v>
      </c>
      <c r="XJ4388" s="379" t="s">
        <v>3783</v>
      </c>
      <c r="XK4388" s="379" t="s">
        <v>3783</v>
      </c>
      <c r="XL4388" s="379" t="s">
        <v>3783</v>
      </c>
      <c r="XM4388" s="379" t="s">
        <v>3783</v>
      </c>
      <c r="XN4388" s="379" t="s">
        <v>3783</v>
      </c>
      <c r="XO4388" s="379" t="s">
        <v>3783</v>
      </c>
      <c r="XP4388" s="379" t="s">
        <v>3783</v>
      </c>
      <c r="XQ4388" s="379" t="s">
        <v>3783</v>
      </c>
      <c r="XR4388" s="379" t="s">
        <v>3783</v>
      </c>
      <c r="XS4388" s="379" t="s">
        <v>3783</v>
      </c>
      <c r="XT4388" s="379" t="s">
        <v>3783</v>
      </c>
      <c r="XU4388" s="379" t="s">
        <v>3783</v>
      </c>
      <c r="XV4388" s="379" t="s">
        <v>3783</v>
      </c>
      <c r="XW4388" s="379" t="s">
        <v>3783</v>
      </c>
      <c r="XX4388" s="379" t="s">
        <v>3783</v>
      </c>
      <c r="XY4388" s="379" t="s">
        <v>3783</v>
      </c>
      <c r="XZ4388" s="379" t="s">
        <v>3783</v>
      </c>
      <c r="YA4388" s="379" t="s">
        <v>3783</v>
      </c>
      <c r="YB4388" s="379" t="s">
        <v>3783</v>
      </c>
      <c r="YC4388" s="379" t="s">
        <v>3783</v>
      </c>
      <c r="YD4388" s="379" t="s">
        <v>3783</v>
      </c>
      <c r="YE4388" s="379" t="s">
        <v>3783</v>
      </c>
      <c r="YF4388" s="379" t="s">
        <v>3783</v>
      </c>
      <c r="YG4388" s="379" t="s">
        <v>3783</v>
      </c>
      <c r="YH4388" s="379" t="s">
        <v>3783</v>
      </c>
      <c r="YI4388" s="379" t="s">
        <v>3783</v>
      </c>
      <c r="YJ4388" s="379" t="s">
        <v>3783</v>
      </c>
      <c r="YK4388" s="379" t="s">
        <v>3783</v>
      </c>
      <c r="YL4388" s="379" t="s">
        <v>3783</v>
      </c>
      <c r="YM4388" s="379" t="s">
        <v>3783</v>
      </c>
      <c r="YN4388" s="379" t="s">
        <v>3783</v>
      </c>
      <c r="YO4388" s="379" t="s">
        <v>3783</v>
      </c>
      <c r="YP4388" s="379" t="s">
        <v>3783</v>
      </c>
      <c r="YQ4388" s="379" t="s">
        <v>3783</v>
      </c>
      <c r="YR4388" s="379" t="s">
        <v>3783</v>
      </c>
      <c r="YS4388" s="379" t="s">
        <v>3783</v>
      </c>
      <c r="YT4388" s="379" t="s">
        <v>3783</v>
      </c>
      <c r="YU4388" s="379" t="s">
        <v>3783</v>
      </c>
      <c r="YV4388" s="379" t="s">
        <v>3783</v>
      </c>
      <c r="YW4388" s="379" t="s">
        <v>3783</v>
      </c>
      <c r="YX4388" s="379" t="s">
        <v>3783</v>
      </c>
      <c r="YY4388" s="379" t="s">
        <v>3783</v>
      </c>
      <c r="YZ4388" s="379" t="s">
        <v>3783</v>
      </c>
      <c r="ZA4388" s="379" t="s">
        <v>3783</v>
      </c>
      <c r="ZB4388" s="379" t="s">
        <v>3783</v>
      </c>
      <c r="ZC4388" s="379" t="s">
        <v>3783</v>
      </c>
      <c r="ZD4388" s="379" t="s">
        <v>3783</v>
      </c>
      <c r="ZE4388" s="379" t="s">
        <v>3783</v>
      </c>
      <c r="ZF4388" s="379" t="s">
        <v>3783</v>
      </c>
      <c r="ZG4388" s="379" t="s">
        <v>3783</v>
      </c>
      <c r="ZH4388" s="379" t="s">
        <v>3783</v>
      </c>
      <c r="ZI4388" s="379" t="s">
        <v>3783</v>
      </c>
      <c r="ZJ4388" s="379" t="s">
        <v>3783</v>
      </c>
      <c r="ZK4388" s="379" t="s">
        <v>3783</v>
      </c>
      <c r="ZL4388" s="379" t="s">
        <v>3783</v>
      </c>
      <c r="ZM4388" s="379" t="s">
        <v>3783</v>
      </c>
      <c r="ZN4388" s="379" t="s">
        <v>3783</v>
      </c>
      <c r="ZO4388" s="379" t="s">
        <v>3783</v>
      </c>
      <c r="ZP4388" s="379" t="s">
        <v>3783</v>
      </c>
      <c r="ZQ4388" s="379" t="s">
        <v>3783</v>
      </c>
      <c r="ZR4388" s="379" t="s">
        <v>3783</v>
      </c>
      <c r="ZS4388" s="379" t="s">
        <v>3783</v>
      </c>
      <c r="ZT4388" s="379" t="s">
        <v>3783</v>
      </c>
      <c r="ZU4388" s="379" t="s">
        <v>3783</v>
      </c>
      <c r="ZV4388" s="379" t="s">
        <v>3783</v>
      </c>
      <c r="ZW4388" s="379" t="s">
        <v>3783</v>
      </c>
      <c r="ZX4388" s="379" t="s">
        <v>3783</v>
      </c>
      <c r="ZY4388" s="379" t="s">
        <v>3783</v>
      </c>
      <c r="ZZ4388" s="379" t="s">
        <v>3783</v>
      </c>
      <c r="AAA4388" s="379" t="s">
        <v>3783</v>
      </c>
      <c r="AAB4388" s="379" t="s">
        <v>3783</v>
      </c>
      <c r="AAC4388" s="379" t="s">
        <v>3783</v>
      </c>
      <c r="AAD4388" s="379" t="s">
        <v>3783</v>
      </c>
      <c r="AAE4388" s="379" t="s">
        <v>3783</v>
      </c>
      <c r="AAF4388" s="379" t="s">
        <v>3783</v>
      </c>
      <c r="AAG4388" s="379" t="s">
        <v>3783</v>
      </c>
      <c r="AAH4388" s="379" t="s">
        <v>3783</v>
      </c>
      <c r="AAI4388" s="379" t="s">
        <v>3783</v>
      </c>
      <c r="AAJ4388" s="379" t="s">
        <v>3783</v>
      </c>
      <c r="AAK4388" s="379" t="s">
        <v>3783</v>
      </c>
      <c r="AAL4388" s="379" t="s">
        <v>3783</v>
      </c>
      <c r="AAM4388" s="379" t="s">
        <v>3783</v>
      </c>
      <c r="AAN4388" s="379" t="s">
        <v>3783</v>
      </c>
      <c r="AAO4388" s="379" t="s">
        <v>3783</v>
      </c>
      <c r="AAP4388" s="379" t="s">
        <v>3783</v>
      </c>
      <c r="AAQ4388" s="379" t="s">
        <v>3783</v>
      </c>
      <c r="AAR4388" s="379" t="s">
        <v>3783</v>
      </c>
      <c r="AAS4388" s="379" t="s">
        <v>3783</v>
      </c>
      <c r="AAT4388" s="379" t="s">
        <v>3783</v>
      </c>
      <c r="AAU4388" s="379" t="s">
        <v>3783</v>
      </c>
      <c r="AAV4388" s="379" t="s">
        <v>3783</v>
      </c>
      <c r="AAW4388" s="379" t="s">
        <v>3783</v>
      </c>
      <c r="AAX4388" s="379" t="s">
        <v>3783</v>
      </c>
      <c r="AAY4388" s="379" t="s">
        <v>3783</v>
      </c>
      <c r="AAZ4388" s="379" t="s">
        <v>3783</v>
      </c>
      <c r="ABA4388" s="379" t="s">
        <v>3783</v>
      </c>
      <c r="ABB4388" s="379" t="s">
        <v>3783</v>
      </c>
      <c r="ABC4388" s="379" t="s">
        <v>3783</v>
      </c>
      <c r="ABD4388" s="379" t="s">
        <v>3783</v>
      </c>
      <c r="ABE4388" s="379" t="s">
        <v>3783</v>
      </c>
      <c r="ABF4388" s="379" t="s">
        <v>3783</v>
      </c>
      <c r="ABG4388" s="379" t="s">
        <v>3783</v>
      </c>
      <c r="ABH4388" s="379" t="s">
        <v>3783</v>
      </c>
      <c r="ABI4388" s="379" t="s">
        <v>3783</v>
      </c>
      <c r="ABJ4388" s="379" t="s">
        <v>3783</v>
      </c>
      <c r="ABK4388" s="379" t="s">
        <v>3783</v>
      </c>
      <c r="ABL4388" s="379" t="s">
        <v>3783</v>
      </c>
      <c r="ABM4388" s="379" t="s">
        <v>3783</v>
      </c>
      <c r="ABN4388" s="379" t="s">
        <v>3783</v>
      </c>
      <c r="ABO4388" s="379" t="s">
        <v>3783</v>
      </c>
      <c r="ABP4388" s="379" t="s">
        <v>3783</v>
      </c>
      <c r="ABQ4388" s="379" t="s">
        <v>3783</v>
      </c>
      <c r="ABR4388" s="379" t="s">
        <v>3783</v>
      </c>
      <c r="ABS4388" s="379" t="s">
        <v>3783</v>
      </c>
      <c r="ABT4388" s="379" t="s">
        <v>3783</v>
      </c>
      <c r="ABU4388" s="379" t="s">
        <v>3783</v>
      </c>
      <c r="ABV4388" s="379" t="s">
        <v>3783</v>
      </c>
      <c r="ABW4388" s="379" t="s">
        <v>3783</v>
      </c>
      <c r="ABX4388" s="379" t="s">
        <v>3783</v>
      </c>
      <c r="ABY4388" s="379" t="s">
        <v>3783</v>
      </c>
      <c r="ABZ4388" s="379" t="s">
        <v>3783</v>
      </c>
      <c r="ACA4388" s="379" t="s">
        <v>3783</v>
      </c>
      <c r="ACB4388" s="379" t="s">
        <v>3783</v>
      </c>
      <c r="ACC4388" s="379" t="s">
        <v>3783</v>
      </c>
      <c r="ACD4388" s="379" t="s">
        <v>3783</v>
      </c>
      <c r="ACE4388" s="379" t="s">
        <v>3783</v>
      </c>
      <c r="ACF4388" s="379" t="s">
        <v>3783</v>
      </c>
      <c r="ACG4388" s="379" t="s">
        <v>3783</v>
      </c>
      <c r="ACH4388" s="379" t="s">
        <v>3783</v>
      </c>
      <c r="ACI4388" s="379" t="s">
        <v>3783</v>
      </c>
      <c r="ACJ4388" s="379" t="s">
        <v>3783</v>
      </c>
      <c r="ACK4388" s="379" t="s">
        <v>3783</v>
      </c>
      <c r="ACL4388" s="379" t="s">
        <v>3783</v>
      </c>
      <c r="ACM4388" s="379" t="s">
        <v>3783</v>
      </c>
      <c r="ACN4388" s="379" t="s">
        <v>3783</v>
      </c>
      <c r="ACO4388" s="379" t="s">
        <v>3783</v>
      </c>
      <c r="ACP4388" s="379" t="s">
        <v>3783</v>
      </c>
      <c r="ACQ4388" s="379" t="s">
        <v>3783</v>
      </c>
      <c r="ACR4388" s="379" t="s">
        <v>3783</v>
      </c>
      <c r="ACS4388" s="379" t="s">
        <v>3783</v>
      </c>
      <c r="ACT4388" s="379" t="s">
        <v>3783</v>
      </c>
      <c r="ACU4388" s="379" t="s">
        <v>3783</v>
      </c>
      <c r="ACV4388" s="379" t="s">
        <v>3783</v>
      </c>
      <c r="ACW4388" s="379" t="s">
        <v>3783</v>
      </c>
      <c r="ACX4388" s="379" t="s">
        <v>3783</v>
      </c>
      <c r="ACY4388" s="379" t="s">
        <v>3783</v>
      </c>
      <c r="ACZ4388" s="379" t="s">
        <v>3783</v>
      </c>
      <c r="ADA4388" s="379" t="s">
        <v>3783</v>
      </c>
      <c r="ADB4388" s="379" t="s">
        <v>3783</v>
      </c>
      <c r="ADC4388" s="379" t="s">
        <v>3783</v>
      </c>
      <c r="ADD4388" s="379" t="s">
        <v>3783</v>
      </c>
      <c r="ADE4388" s="379" t="s">
        <v>3783</v>
      </c>
      <c r="ADF4388" s="379" t="s">
        <v>3783</v>
      </c>
      <c r="ADG4388" s="379" t="s">
        <v>3783</v>
      </c>
      <c r="ADH4388" s="379" t="s">
        <v>3783</v>
      </c>
      <c r="ADI4388" s="379" t="s">
        <v>3783</v>
      </c>
      <c r="ADJ4388" s="379" t="s">
        <v>3783</v>
      </c>
      <c r="ADK4388" s="379" t="s">
        <v>3783</v>
      </c>
      <c r="ADL4388" s="379" t="s">
        <v>3783</v>
      </c>
      <c r="ADM4388" s="379" t="s">
        <v>3783</v>
      </c>
      <c r="ADN4388" s="379" t="s">
        <v>3783</v>
      </c>
      <c r="ADO4388" s="379" t="s">
        <v>3783</v>
      </c>
      <c r="ADP4388" s="379" t="s">
        <v>3783</v>
      </c>
      <c r="ADQ4388" s="379" t="s">
        <v>3783</v>
      </c>
      <c r="ADR4388" s="379" t="s">
        <v>3783</v>
      </c>
      <c r="ADS4388" s="379" t="s">
        <v>3783</v>
      </c>
      <c r="ADT4388" s="379" t="s">
        <v>3783</v>
      </c>
      <c r="ADU4388" s="379" t="s">
        <v>3783</v>
      </c>
      <c r="ADV4388" s="379" t="s">
        <v>3783</v>
      </c>
      <c r="ADW4388" s="379" t="s">
        <v>3783</v>
      </c>
      <c r="ADX4388" s="379" t="s">
        <v>3783</v>
      </c>
      <c r="ADY4388" s="379" t="s">
        <v>3783</v>
      </c>
      <c r="ADZ4388" s="379" t="s">
        <v>3783</v>
      </c>
      <c r="AEA4388" s="379" t="s">
        <v>3783</v>
      </c>
      <c r="AEB4388" s="379" t="s">
        <v>3783</v>
      </c>
      <c r="AEC4388" s="379" t="s">
        <v>3783</v>
      </c>
      <c r="AED4388" s="379" t="s">
        <v>3783</v>
      </c>
      <c r="AEE4388" s="379" t="s">
        <v>3783</v>
      </c>
      <c r="AEF4388" s="379" t="s">
        <v>3783</v>
      </c>
      <c r="AEG4388" s="379" t="s">
        <v>3783</v>
      </c>
      <c r="AEH4388" s="379" t="s">
        <v>3783</v>
      </c>
      <c r="AEI4388" s="379" t="s">
        <v>3783</v>
      </c>
      <c r="AEJ4388" s="379" t="s">
        <v>3783</v>
      </c>
      <c r="AEK4388" s="379" t="s">
        <v>3783</v>
      </c>
      <c r="AEL4388" s="379" t="s">
        <v>3783</v>
      </c>
      <c r="AEM4388" s="379" t="s">
        <v>3783</v>
      </c>
      <c r="AEN4388" s="379" t="s">
        <v>3783</v>
      </c>
      <c r="AEO4388" s="379" t="s">
        <v>3783</v>
      </c>
      <c r="AEP4388" s="379" t="s">
        <v>3783</v>
      </c>
      <c r="AEQ4388" s="379" t="s">
        <v>3783</v>
      </c>
      <c r="AER4388" s="379" t="s">
        <v>3783</v>
      </c>
      <c r="AES4388" s="379" t="s">
        <v>3783</v>
      </c>
      <c r="AET4388" s="379" t="s">
        <v>3783</v>
      </c>
      <c r="AEU4388" s="379" t="s">
        <v>3783</v>
      </c>
      <c r="AEV4388" s="379" t="s">
        <v>3783</v>
      </c>
      <c r="AEW4388" s="379" t="s">
        <v>3783</v>
      </c>
      <c r="AEX4388" s="379" t="s">
        <v>3783</v>
      </c>
      <c r="AEY4388" s="379" t="s">
        <v>3783</v>
      </c>
      <c r="AEZ4388" s="379" t="s">
        <v>3783</v>
      </c>
      <c r="AFA4388" s="379" t="s">
        <v>3783</v>
      </c>
      <c r="AFB4388" s="379" t="s">
        <v>3783</v>
      </c>
      <c r="AFC4388" s="379" t="s">
        <v>3783</v>
      </c>
      <c r="AFD4388" s="379" t="s">
        <v>3783</v>
      </c>
      <c r="AFE4388" s="379" t="s">
        <v>3783</v>
      </c>
      <c r="AFF4388" s="379" t="s">
        <v>3783</v>
      </c>
      <c r="AFG4388" s="379" t="s">
        <v>3783</v>
      </c>
      <c r="AFH4388" s="379" t="s">
        <v>3783</v>
      </c>
      <c r="AFI4388" s="379" t="s">
        <v>3783</v>
      </c>
      <c r="AFJ4388" s="379" t="s">
        <v>3783</v>
      </c>
      <c r="AFK4388" s="379" t="s">
        <v>3783</v>
      </c>
      <c r="AFL4388" s="379" t="s">
        <v>3783</v>
      </c>
      <c r="AFM4388" s="379" t="s">
        <v>3783</v>
      </c>
      <c r="AFN4388" s="379" t="s">
        <v>3783</v>
      </c>
      <c r="AFO4388" s="379" t="s">
        <v>3783</v>
      </c>
      <c r="AFP4388" s="379" t="s">
        <v>3783</v>
      </c>
      <c r="AFQ4388" s="379" t="s">
        <v>3783</v>
      </c>
      <c r="AFR4388" s="379" t="s">
        <v>3783</v>
      </c>
      <c r="AFS4388" s="379" t="s">
        <v>3783</v>
      </c>
      <c r="AFT4388" s="379" t="s">
        <v>3783</v>
      </c>
      <c r="AFU4388" s="379" t="s">
        <v>3783</v>
      </c>
      <c r="AFV4388" s="379" t="s">
        <v>3783</v>
      </c>
      <c r="AFW4388" s="379" t="s">
        <v>3783</v>
      </c>
      <c r="AFX4388" s="379" t="s">
        <v>3783</v>
      </c>
      <c r="AFY4388" s="379" t="s">
        <v>3783</v>
      </c>
      <c r="AFZ4388" s="379" t="s">
        <v>3783</v>
      </c>
      <c r="AGA4388" s="379" t="s">
        <v>3783</v>
      </c>
      <c r="AGB4388" s="379" t="s">
        <v>3783</v>
      </c>
      <c r="AGC4388" s="379" t="s">
        <v>3783</v>
      </c>
      <c r="AGD4388" s="379" t="s">
        <v>3783</v>
      </c>
      <c r="AGE4388" s="379" t="s">
        <v>3783</v>
      </c>
      <c r="AGF4388" s="379" t="s">
        <v>3783</v>
      </c>
      <c r="AGG4388" s="379" t="s">
        <v>3783</v>
      </c>
      <c r="AGH4388" s="379" t="s">
        <v>3783</v>
      </c>
      <c r="AGI4388" s="379" t="s">
        <v>3783</v>
      </c>
      <c r="AGJ4388" s="379" t="s">
        <v>3783</v>
      </c>
      <c r="AGK4388" s="379" t="s">
        <v>3783</v>
      </c>
      <c r="AGL4388" s="379" t="s">
        <v>3783</v>
      </c>
      <c r="AGM4388" s="379" t="s">
        <v>3783</v>
      </c>
      <c r="AGN4388" s="379" t="s">
        <v>3783</v>
      </c>
      <c r="AGO4388" s="379" t="s">
        <v>3783</v>
      </c>
      <c r="AGP4388" s="379" t="s">
        <v>3783</v>
      </c>
      <c r="AGQ4388" s="379" t="s">
        <v>3783</v>
      </c>
      <c r="AGR4388" s="379" t="s">
        <v>3783</v>
      </c>
      <c r="AGS4388" s="379" t="s">
        <v>3783</v>
      </c>
      <c r="AGT4388" s="379" t="s">
        <v>3783</v>
      </c>
      <c r="AGU4388" s="379" t="s">
        <v>3783</v>
      </c>
      <c r="AGV4388" s="379" t="s">
        <v>3783</v>
      </c>
      <c r="AGW4388" s="379" t="s">
        <v>3783</v>
      </c>
      <c r="AGX4388" s="379" t="s">
        <v>3783</v>
      </c>
      <c r="AGY4388" s="379" t="s">
        <v>3783</v>
      </c>
      <c r="AGZ4388" s="379" t="s">
        <v>3783</v>
      </c>
      <c r="AHA4388" s="379" t="s">
        <v>3783</v>
      </c>
      <c r="AHB4388" s="379" t="s">
        <v>3783</v>
      </c>
      <c r="AHC4388" s="379" t="s">
        <v>3783</v>
      </c>
      <c r="AHD4388" s="379" t="s">
        <v>3783</v>
      </c>
      <c r="AHE4388" s="379" t="s">
        <v>3783</v>
      </c>
      <c r="AHF4388" s="379" t="s">
        <v>3783</v>
      </c>
      <c r="AHG4388" s="379" t="s">
        <v>3783</v>
      </c>
      <c r="AHH4388" s="379" t="s">
        <v>3783</v>
      </c>
      <c r="AHI4388" s="379" t="s">
        <v>3783</v>
      </c>
      <c r="AHJ4388" s="379" t="s">
        <v>3783</v>
      </c>
      <c r="AHK4388" s="379" t="s">
        <v>3783</v>
      </c>
      <c r="AHL4388" s="379" t="s">
        <v>3783</v>
      </c>
      <c r="AHM4388" s="379" t="s">
        <v>3783</v>
      </c>
      <c r="AHN4388" s="379" t="s">
        <v>3783</v>
      </c>
      <c r="AHO4388" s="379" t="s">
        <v>3783</v>
      </c>
      <c r="AHP4388" s="379" t="s">
        <v>3783</v>
      </c>
      <c r="AHQ4388" s="379" t="s">
        <v>3783</v>
      </c>
      <c r="AHR4388" s="379" t="s">
        <v>3783</v>
      </c>
      <c r="AHS4388" s="379" t="s">
        <v>3783</v>
      </c>
      <c r="AHT4388" s="379" t="s">
        <v>3783</v>
      </c>
      <c r="AHU4388" s="379" t="s">
        <v>3783</v>
      </c>
      <c r="AHV4388" s="379" t="s">
        <v>3783</v>
      </c>
      <c r="AHW4388" s="379" t="s">
        <v>3783</v>
      </c>
      <c r="AHX4388" s="379" t="s">
        <v>3783</v>
      </c>
      <c r="AHY4388" s="379" t="s">
        <v>3783</v>
      </c>
      <c r="AHZ4388" s="379" t="s">
        <v>3783</v>
      </c>
      <c r="AIA4388" s="379" t="s">
        <v>3783</v>
      </c>
      <c r="AIB4388" s="379" t="s">
        <v>3783</v>
      </c>
      <c r="AIC4388" s="379" t="s">
        <v>3783</v>
      </c>
      <c r="AID4388" s="379" t="s">
        <v>3783</v>
      </c>
      <c r="AIE4388" s="379" t="s">
        <v>3783</v>
      </c>
      <c r="AIF4388" s="379" t="s">
        <v>3783</v>
      </c>
      <c r="AIG4388" s="379" t="s">
        <v>3783</v>
      </c>
      <c r="AIH4388" s="379" t="s">
        <v>3783</v>
      </c>
      <c r="AII4388" s="379" t="s">
        <v>3783</v>
      </c>
      <c r="AIJ4388" s="379" t="s">
        <v>3783</v>
      </c>
      <c r="AIK4388" s="379" t="s">
        <v>3783</v>
      </c>
      <c r="AIL4388" s="379" t="s">
        <v>3783</v>
      </c>
      <c r="AIM4388" s="379" t="s">
        <v>3783</v>
      </c>
      <c r="AIN4388" s="379" t="s">
        <v>3783</v>
      </c>
      <c r="AIO4388" s="379" t="s">
        <v>3783</v>
      </c>
      <c r="AIP4388" s="379" t="s">
        <v>3783</v>
      </c>
      <c r="AIQ4388" s="379" t="s">
        <v>3783</v>
      </c>
      <c r="AIR4388" s="379" t="s">
        <v>3783</v>
      </c>
      <c r="AIS4388" s="379" t="s">
        <v>3783</v>
      </c>
      <c r="AIT4388" s="379" t="s">
        <v>3783</v>
      </c>
      <c r="AIU4388" s="379" t="s">
        <v>3783</v>
      </c>
      <c r="AIV4388" s="379" t="s">
        <v>3783</v>
      </c>
      <c r="AIW4388" s="379" t="s">
        <v>3783</v>
      </c>
      <c r="AIX4388" s="379" t="s">
        <v>3783</v>
      </c>
      <c r="AIY4388" s="379" t="s">
        <v>3783</v>
      </c>
      <c r="AIZ4388" s="379" t="s">
        <v>3783</v>
      </c>
      <c r="AJA4388" s="379" t="s">
        <v>3783</v>
      </c>
      <c r="AJB4388" s="379" t="s">
        <v>3783</v>
      </c>
      <c r="AJC4388" s="379" t="s">
        <v>3783</v>
      </c>
      <c r="AJD4388" s="379" t="s">
        <v>3783</v>
      </c>
      <c r="AJE4388" s="379" t="s">
        <v>3783</v>
      </c>
      <c r="AJF4388" s="379" t="s">
        <v>3783</v>
      </c>
      <c r="AJG4388" s="379" t="s">
        <v>3783</v>
      </c>
      <c r="AJH4388" s="379" t="s">
        <v>3783</v>
      </c>
      <c r="AJI4388" s="379" t="s">
        <v>3783</v>
      </c>
      <c r="AJJ4388" s="379" t="s">
        <v>3783</v>
      </c>
      <c r="AJK4388" s="379" t="s">
        <v>3783</v>
      </c>
      <c r="AJL4388" s="379" t="s">
        <v>3783</v>
      </c>
      <c r="AJM4388" s="379" t="s">
        <v>3783</v>
      </c>
      <c r="AJN4388" s="379" t="s">
        <v>3783</v>
      </c>
      <c r="AJO4388" s="379" t="s">
        <v>3783</v>
      </c>
      <c r="AJP4388" s="379" t="s">
        <v>3783</v>
      </c>
      <c r="AJQ4388" s="379" t="s">
        <v>3783</v>
      </c>
      <c r="AJR4388" s="379" t="s">
        <v>3783</v>
      </c>
      <c r="AJS4388" s="379" t="s">
        <v>3783</v>
      </c>
      <c r="AJT4388" s="379" t="s">
        <v>3783</v>
      </c>
      <c r="AJU4388" s="379" t="s">
        <v>3783</v>
      </c>
      <c r="AJV4388" s="379" t="s">
        <v>3783</v>
      </c>
      <c r="AJW4388" s="379" t="s">
        <v>3783</v>
      </c>
      <c r="AJX4388" s="379" t="s">
        <v>3783</v>
      </c>
      <c r="AJY4388" s="379" t="s">
        <v>3783</v>
      </c>
      <c r="AJZ4388" s="379" t="s">
        <v>3783</v>
      </c>
      <c r="AKA4388" s="379" t="s">
        <v>3783</v>
      </c>
      <c r="AKB4388" s="379" t="s">
        <v>3783</v>
      </c>
      <c r="AKC4388" s="379" t="s">
        <v>3783</v>
      </c>
      <c r="AKD4388" s="379" t="s">
        <v>3783</v>
      </c>
      <c r="AKE4388" s="379" t="s">
        <v>3783</v>
      </c>
      <c r="AKF4388" s="379" t="s">
        <v>3783</v>
      </c>
      <c r="AKG4388" s="379" t="s">
        <v>3783</v>
      </c>
      <c r="AKH4388" s="379" t="s">
        <v>3783</v>
      </c>
      <c r="AKI4388" s="379" t="s">
        <v>3783</v>
      </c>
      <c r="AKJ4388" s="379" t="s">
        <v>3783</v>
      </c>
      <c r="AKK4388" s="379" t="s">
        <v>3783</v>
      </c>
      <c r="AKL4388" s="379" t="s">
        <v>3783</v>
      </c>
      <c r="AKM4388" s="379" t="s">
        <v>3783</v>
      </c>
      <c r="AKN4388" s="379" t="s">
        <v>3783</v>
      </c>
      <c r="AKO4388" s="379" t="s">
        <v>3783</v>
      </c>
      <c r="AKP4388" s="379" t="s">
        <v>3783</v>
      </c>
      <c r="AKQ4388" s="379" t="s">
        <v>3783</v>
      </c>
      <c r="AKR4388" s="379" t="s">
        <v>3783</v>
      </c>
      <c r="AKS4388" s="379" t="s">
        <v>3783</v>
      </c>
      <c r="AKT4388" s="379" t="s">
        <v>3783</v>
      </c>
      <c r="AKU4388" s="379" t="s">
        <v>3783</v>
      </c>
      <c r="AKV4388" s="379" t="s">
        <v>3783</v>
      </c>
      <c r="AKW4388" s="379" t="s">
        <v>3783</v>
      </c>
      <c r="AKX4388" s="379" t="s">
        <v>3783</v>
      </c>
      <c r="AKY4388" s="379" t="s">
        <v>3783</v>
      </c>
      <c r="AKZ4388" s="379" t="s">
        <v>3783</v>
      </c>
      <c r="ALA4388" s="379" t="s">
        <v>3783</v>
      </c>
      <c r="ALB4388" s="379" t="s">
        <v>3783</v>
      </c>
      <c r="ALC4388" s="379" t="s">
        <v>3783</v>
      </c>
      <c r="ALD4388" s="379" t="s">
        <v>3783</v>
      </c>
      <c r="ALE4388" s="379" t="s">
        <v>3783</v>
      </c>
      <c r="ALF4388" s="379" t="s">
        <v>3783</v>
      </c>
      <c r="ALG4388" s="379" t="s">
        <v>3783</v>
      </c>
      <c r="ALH4388" s="379" t="s">
        <v>3783</v>
      </c>
      <c r="ALI4388" s="379" t="s">
        <v>3783</v>
      </c>
      <c r="ALJ4388" s="379" t="s">
        <v>3783</v>
      </c>
      <c r="ALK4388" s="379" t="s">
        <v>3783</v>
      </c>
      <c r="ALL4388" s="379" t="s">
        <v>3783</v>
      </c>
      <c r="ALM4388" s="379" t="s">
        <v>3783</v>
      </c>
      <c r="ALN4388" s="379" t="s">
        <v>3783</v>
      </c>
      <c r="ALO4388" s="379" t="s">
        <v>3783</v>
      </c>
      <c r="ALP4388" s="379" t="s">
        <v>3783</v>
      </c>
      <c r="ALQ4388" s="379" t="s">
        <v>3783</v>
      </c>
      <c r="ALR4388" s="379" t="s">
        <v>3783</v>
      </c>
      <c r="ALS4388" s="379" t="s">
        <v>3783</v>
      </c>
      <c r="ALT4388" s="379" t="s">
        <v>3783</v>
      </c>
      <c r="ALU4388" s="379" t="s">
        <v>3783</v>
      </c>
      <c r="ALV4388" s="379" t="s">
        <v>3783</v>
      </c>
      <c r="ALW4388" s="379" t="s">
        <v>3783</v>
      </c>
      <c r="ALX4388" s="379" t="s">
        <v>3783</v>
      </c>
      <c r="ALY4388" s="379" t="s">
        <v>3783</v>
      </c>
      <c r="ALZ4388" s="379" t="s">
        <v>3783</v>
      </c>
      <c r="AMA4388" s="379" t="s">
        <v>3783</v>
      </c>
      <c r="AMB4388" s="379" t="s">
        <v>3783</v>
      </c>
      <c r="AMC4388" s="379" t="s">
        <v>3783</v>
      </c>
      <c r="AMD4388" s="379" t="s">
        <v>3783</v>
      </c>
      <c r="AME4388" s="379" t="s">
        <v>3783</v>
      </c>
      <c r="AMF4388" s="379" t="s">
        <v>3783</v>
      </c>
      <c r="AMG4388" s="379" t="s">
        <v>3783</v>
      </c>
      <c r="AMH4388" s="379" t="s">
        <v>3783</v>
      </c>
      <c r="AMI4388" s="379" t="s">
        <v>3783</v>
      </c>
      <c r="AMJ4388" s="379" t="s">
        <v>3783</v>
      </c>
      <c r="AMK4388" s="379" t="s">
        <v>3783</v>
      </c>
      <c r="AML4388" s="379" t="s">
        <v>3783</v>
      </c>
      <c r="AMM4388" s="379" t="s">
        <v>3783</v>
      </c>
      <c r="AMN4388" s="379" t="s">
        <v>3783</v>
      </c>
      <c r="AMO4388" s="379" t="s">
        <v>3783</v>
      </c>
      <c r="AMP4388" s="379" t="s">
        <v>3783</v>
      </c>
      <c r="AMQ4388" s="379" t="s">
        <v>3783</v>
      </c>
      <c r="AMR4388" s="379" t="s">
        <v>3783</v>
      </c>
      <c r="AMS4388" s="379" t="s">
        <v>3783</v>
      </c>
      <c r="AMT4388" s="379" t="s">
        <v>3783</v>
      </c>
      <c r="AMU4388" s="379" t="s">
        <v>3783</v>
      </c>
      <c r="AMV4388" s="379" t="s">
        <v>3783</v>
      </c>
      <c r="AMW4388" s="379" t="s">
        <v>3783</v>
      </c>
      <c r="AMX4388" s="379" t="s">
        <v>3783</v>
      </c>
      <c r="AMY4388" s="379" t="s">
        <v>3783</v>
      </c>
      <c r="AMZ4388" s="379" t="s">
        <v>3783</v>
      </c>
      <c r="ANA4388" s="379" t="s">
        <v>3783</v>
      </c>
      <c r="ANB4388" s="379" t="s">
        <v>3783</v>
      </c>
      <c r="ANC4388" s="379" t="s">
        <v>3783</v>
      </c>
      <c r="AND4388" s="379" t="s">
        <v>3783</v>
      </c>
      <c r="ANE4388" s="379" t="s">
        <v>3783</v>
      </c>
      <c r="ANF4388" s="379" t="s">
        <v>3783</v>
      </c>
      <c r="ANG4388" s="379" t="s">
        <v>3783</v>
      </c>
      <c r="ANH4388" s="379" t="s">
        <v>3783</v>
      </c>
      <c r="ANI4388" s="379" t="s">
        <v>3783</v>
      </c>
      <c r="ANJ4388" s="379" t="s">
        <v>3783</v>
      </c>
      <c r="ANK4388" s="379" t="s">
        <v>3783</v>
      </c>
      <c r="ANL4388" s="379" t="s">
        <v>3783</v>
      </c>
      <c r="ANM4388" s="379" t="s">
        <v>3783</v>
      </c>
      <c r="ANN4388" s="379" t="s">
        <v>3783</v>
      </c>
      <c r="ANO4388" s="379" t="s">
        <v>3783</v>
      </c>
      <c r="ANP4388" s="379" t="s">
        <v>3783</v>
      </c>
      <c r="ANQ4388" s="379" t="s">
        <v>3783</v>
      </c>
      <c r="ANR4388" s="379" t="s">
        <v>3783</v>
      </c>
      <c r="ANS4388" s="379" t="s">
        <v>3783</v>
      </c>
      <c r="ANT4388" s="379" t="s">
        <v>3783</v>
      </c>
      <c r="ANU4388" s="379" t="s">
        <v>3783</v>
      </c>
      <c r="ANV4388" s="379" t="s">
        <v>3783</v>
      </c>
      <c r="ANW4388" s="379" t="s">
        <v>3783</v>
      </c>
      <c r="ANX4388" s="379" t="s">
        <v>3783</v>
      </c>
      <c r="ANY4388" s="379" t="s">
        <v>3783</v>
      </c>
      <c r="ANZ4388" s="379" t="s">
        <v>3783</v>
      </c>
      <c r="AOA4388" s="379" t="s">
        <v>3783</v>
      </c>
      <c r="AOB4388" s="379" t="s">
        <v>3783</v>
      </c>
      <c r="AOC4388" s="379" t="s">
        <v>3783</v>
      </c>
      <c r="AOD4388" s="379" t="s">
        <v>3783</v>
      </c>
      <c r="AOE4388" s="379" t="s">
        <v>3783</v>
      </c>
      <c r="AOF4388" s="379" t="s">
        <v>3783</v>
      </c>
      <c r="AOG4388" s="379" t="s">
        <v>3783</v>
      </c>
      <c r="AOH4388" s="379" t="s">
        <v>3783</v>
      </c>
      <c r="AOI4388" s="379" t="s">
        <v>3783</v>
      </c>
      <c r="AOJ4388" s="379" t="s">
        <v>3783</v>
      </c>
      <c r="AOK4388" s="379" t="s">
        <v>3783</v>
      </c>
      <c r="AOL4388" s="379" t="s">
        <v>3783</v>
      </c>
      <c r="AOM4388" s="379" t="s">
        <v>3783</v>
      </c>
      <c r="AON4388" s="379" t="s">
        <v>3783</v>
      </c>
      <c r="AOO4388" s="379" t="s">
        <v>3783</v>
      </c>
      <c r="AOP4388" s="379" t="s">
        <v>3783</v>
      </c>
      <c r="AOQ4388" s="379" t="s">
        <v>3783</v>
      </c>
      <c r="AOR4388" s="379" t="s">
        <v>3783</v>
      </c>
      <c r="AOS4388" s="379" t="s">
        <v>3783</v>
      </c>
      <c r="AOT4388" s="379" t="s">
        <v>3783</v>
      </c>
      <c r="AOU4388" s="379" t="s">
        <v>3783</v>
      </c>
      <c r="AOV4388" s="379" t="s">
        <v>3783</v>
      </c>
      <c r="AOW4388" s="379" t="s">
        <v>3783</v>
      </c>
      <c r="AOX4388" s="379" t="s">
        <v>3783</v>
      </c>
      <c r="AOY4388" s="379" t="s">
        <v>3783</v>
      </c>
      <c r="AOZ4388" s="379" t="s">
        <v>3783</v>
      </c>
      <c r="APA4388" s="379" t="s">
        <v>3783</v>
      </c>
      <c r="APB4388" s="379" t="s">
        <v>3783</v>
      </c>
      <c r="APC4388" s="379" t="s">
        <v>3783</v>
      </c>
      <c r="APD4388" s="379" t="s">
        <v>3783</v>
      </c>
      <c r="APE4388" s="379" t="s">
        <v>3783</v>
      </c>
      <c r="APF4388" s="379" t="s">
        <v>3783</v>
      </c>
      <c r="APG4388" s="379" t="s">
        <v>3783</v>
      </c>
      <c r="APH4388" s="379" t="s">
        <v>3783</v>
      </c>
      <c r="API4388" s="379" t="s">
        <v>3783</v>
      </c>
      <c r="APJ4388" s="379" t="s">
        <v>3783</v>
      </c>
      <c r="APK4388" s="379" t="s">
        <v>3783</v>
      </c>
      <c r="APL4388" s="379" t="s">
        <v>3783</v>
      </c>
      <c r="APM4388" s="379" t="s">
        <v>3783</v>
      </c>
      <c r="APN4388" s="379" t="s">
        <v>3783</v>
      </c>
      <c r="APO4388" s="379" t="s">
        <v>3783</v>
      </c>
      <c r="APP4388" s="379" t="s">
        <v>3783</v>
      </c>
      <c r="APQ4388" s="379" t="s">
        <v>3783</v>
      </c>
      <c r="APR4388" s="379" t="s">
        <v>3783</v>
      </c>
      <c r="APS4388" s="379" t="s">
        <v>3783</v>
      </c>
      <c r="APT4388" s="379" t="s">
        <v>3783</v>
      </c>
      <c r="APU4388" s="379" t="s">
        <v>3783</v>
      </c>
      <c r="APV4388" s="379" t="s">
        <v>3783</v>
      </c>
      <c r="APW4388" s="379" t="s">
        <v>3783</v>
      </c>
      <c r="APX4388" s="379" t="s">
        <v>3783</v>
      </c>
      <c r="APY4388" s="379" t="s">
        <v>3783</v>
      </c>
      <c r="APZ4388" s="379" t="s">
        <v>3783</v>
      </c>
      <c r="AQA4388" s="379" t="s">
        <v>3783</v>
      </c>
      <c r="AQB4388" s="379" t="s">
        <v>3783</v>
      </c>
      <c r="AQC4388" s="379" t="s">
        <v>3783</v>
      </c>
      <c r="AQD4388" s="379" t="s">
        <v>3783</v>
      </c>
      <c r="AQE4388" s="379" t="s">
        <v>3783</v>
      </c>
      <c r="AQF4388" s="379" t="s">
        <v>3783</v>
      </c>
      <c r="AQG4388" s="379" t="s">
        <v>3783</v>
      </c>
      <c r="AQH4388" s="379" t="s">
        <v>3783</v>
      </c>
      <c r="AQI4388" s="379" t="s">
        <v>3783</v>
      </c>
      <c r="AQJ4388" s="379" t="s">
        <v>3783</v>
      </c>
      <c r="AQK4388" s="379" t="s">
        <v>3783</v>
      </c>
      <c r="AQL4388" s="379" t="s">
        <v>3783</v>
      </c>
      <c r="AQM4388" s="379" t="s">
        <v>3783</v>
      </c>
      <c r="AQN4388" s="379" t="s">
        <v>3783</v>
      </c>
      <c r="AQO4388" s="379" t="s">
        <v>3783</v>
      </c>
      <c r="AQP4388" s="379" t="s">
        <v>3783</v>
      </c>
      <c r="AQQ4388" s="379" t="s">
        <v>3783</v>
      </c>
      <c r="AQR4388" s="379" t="s">
        <v>3783</v>
      </c>
      <c r="AQS4388" s="379" t="s">
        <v>3783</v>
      </c>
      <c r="AQT4388" s="379" t="s">
        <v>3783</v>
      </c>
      <c r="AQU4388" s="379" t="s">
        <v>3783</v>
      </c>
      <c r="AQV4388" s="379" t="s">
        <v>3783</v>
      </c>
      <c r="AQW4388" s="379" t="s">
        <v>3783</v>
      </c>
      <c r="AQX4388" s="379" t="s">
        <v>3783</v>
      </c>
      <c r="AQY4388" s="379" t="s">
        <v>3783</v>
      </c>
      <c r="AQZ4388" s="379" t="s">
        <v>3783</v>
      </c>
      <c r="ARA4388" s="379" t="s">
        <v>3783</v>
      </c>
      <c r="ARB4388" s="379" t="s">
        <v>3783</v>
      </c>
      <c r="ARC4388" s="379" t="s">
        <v>3783</v>
      </c>
      <c r="ARD4388" s="379" t="s">
        <v>3783</v>
      </c>
      <c r="ARE4388" s="379" t="s">
        <v>3783</v>
      </c>
      <c r="ARF4388" s="379" t="s">
        <v>3783</v>
      </c>
      <c r="ARG4388" s="379" t="s">
        <v>3783</v>
      </c>
      <c r="ARH4388" s="379" t="s">
        <v>3783</v>
      </c>
      <c r="ARI4388" s="379" t="s">
        <v>3783</v>
      </c>
      <c r="ARJ4388" s="379" t="s">
        <v>3783</v>
      </c>
      <c r="ARK4388" s="379" t="s">
        <v>3783</v>
      </c>
      <c r="ARL4388" s="379" t="s">
        <v>3783</v>
      </c>
      <c r="ARM4388" s="379" t="s">
        <v>3783</v>
      </c>
      <c r="ARN4388" s="379" t="s">
        <v>3783</v>
      </c>
      <c r="ARO4388" s="379" t="s">
        <v>3783</v>
      </c>
      <c r="ARP4388" s="379" t="s">
        <v>3783</v>
      </c>
      <c r="ARQ4388" s="379" t="s">
        <v>3783</v>
      </c>
      <c r="ARR4388" s="379" t="s">
        <v>3783</v>
      </c>
      <c r="ARS4388" s="379" t="s">
        <v>3783</v>
      </c>
      <c r="ART4388" s="379" t="s">
        <v>3783</v>
      </c>
      <c r="ARU4388" s="379" t="s">
        <v>3783</v>
      </c>
      <c r="ARV4388" s="379" t="s">
        <v>3783</v>
      </c>
      <c r="ARW4388" s="379" t="s">
        <v>3783</v>
      </c>
      <c r="ARX4388" s="379" t="s">
        <v>3783</v>
      </c>
      <c r="ARY4388" s="379" t="s">
        <v>3783</v>
      </c>
      <c r="ARZ4388" s="379" t="s">
        <v>3783</v>
      </c>
      <c r="ASA4388" s="379" t="s">
        <v>3783</v>
      </c>
      <c r="ASB4388" s="379" t="s">
        <v>3783</v>
      </c>
      <c r="ASC4388" s="379" t="s">
        <v>3783</v>
      </c>
      <c r="ASD4388" s="379" t="s">
        <v>3783</v>
      </c>
      <c r="ASE4388" s="379" t="s">
        <v>3783</v>
      </c>
      <c r="ASF4388" s="379" t="s">
        <v>3783</v>
      </c>
      <c r="ASG4388" s="379" t="s">
        <v>3783</v>
      </c>
      <c r="ASH4388" s="379" t="s">
        <v>3783</v>
      </c>
      <c r="ASI4388" s="379" t="s">
        <v>3783</v>
      </c>
      <c r="ASJ4388" s="379" t="s">
        <v>3783</v>
      </c>
      <c r="ASK4388" s="379" t="s">
        <v>3783</v>
      </c>
      <c r="ASL4388" s="379" t="s">
        <v>3783</v>
      </c>
      <c r="ASM4388" s="379" t="s">
        <v>3783</v>
      </c>
      <c r="ASN4388" s="379" t="s">
        <v>3783</v>
      </c>
      <c r="ASO4388" s="379" t="s">
        <v>3783</v>
      </c>
      <c r="ASP4388" s="379" t="s">
        <v>3783</v>
      </c>
      <c r="ASQ4388" s="379" t="s">
        <v>3783</v>
      </c>
      <c r="ASR4388" s="379" t="s">
        <v>3783</v>
      </c>
      <c r="ASS4388" s="379" t="s">
        <v>3783</v>
      </c>
      <c r="AST4388" s="379" t="s">
        <v>3783</v>
      </c>
      <c r="ASU4388" s="379" t="s">
        <v>3783</v>
      </c>
      <c r="ASV4388" s="379" t="s">
        <v>3783</v>
      </c>
      <c r="ASW4388" s="379" t="s">
        <v>3783</v>
      </c>
      <c r="ASX4388" s="379" t="s">
        <v>3783</v>
      </c>
      <c r="ASY4388" s="379" t="s">
        <v>3783</v>
      </c>
      <c r="ASZ4388" s="379" t="s">
        <v>3783</v>
      </c>
      <c r="ATA4388" s="379" t="s">
        <v>3783</v>
      </c>
      <c r="ATB4388" s="379" t="s">
        <v>3783</v>
      </c>
      <c r="ATC4388" s="379" t="s">
        <v>3783</v>
      </c>
      <c r="ATD4388" s="379" t="s">
        <v>3783</v>
      </c>
      <c r="ATE4388" s="379" t="s">
        <v>3783</v>
      </c>
      <c r="ATF4388" s="379" t="s">
        <v>3783</v>
      </c>
      <c r="ATG4388" s="379" t="s">
        <v>3783</v>
      </c>
      <c r="ATH4388" s="379" t="s">
        <v>3783</v>
      </c>
      <c r="ATI4388" s="379" t="s">
        <v>3783</v>
      </c>
      <c r="ATJ4388" s="379" t="s">
        <v>3783</v>
      </c>
      <c r="ATK4388" s="379" t="s">
        <v>3783</v>
      </c>
      <c r="ATL4388" s="379" t="s">
        <v>3783</v>
      </c>
      <c r="ATM4388" s="379" t="s">
        <v>3783</v>
      </c>
      <c r="ATN4388" s="379" t="s">
        <v>3783</v>
      </c>
      <c r="ATO4388" s="379" t="s">
        <v>3783</v>
      </c>
      <c r="ATP4388" s="379" t="s">
        <v>3783</v>
      </c>
      <c r="ATQ4388" s="379" t="s">
        <v>3783</v>
      </c>
      <c r="ATR4388" s="379" t="s">
        <v>3783</v>
      </c>
      <c r="ATS4388" s="379" t="s">
        <v>3783</v>
      </c>
      <c r="ATT4388" s="379" t="s">
        <v>3783</v>
      </c>
      <c r="ATU4388" s="379" t="s">
        <v>3783</v>
      </c>
      <c r="ATV4388" s="379" t="s">
        <v>3783</v>
      </c>
      <c r="ATW4388" s="379" t="s">
        <v>3783</v>
      </c>
      <c r="ATX4388" s="379" t="s">
        <v>3783</v>
      </c>
      <c r="ATY4388" s="379" t="s">
        <v>3783</v>
      </c>
      <c r="ATZ4388" s="379" t="s">
        <v>3783</v>
      </c>
      <c r="AUA4388" s="379" t="s">
        <v>3783</v>
      </c>
      <c r="AUB4388" s="379" t="s">
        <v>3783</v>
      </c>
      <c r="AUC4388" s="379" t="s">
        <v>3783</v>
      </c>
      <c r="AUD4388" s="379" t="s">
        <v>3783</v>
      </c>
      <c r="AUE4388" s="379" t="s">
        <v>3783</v>
      </c>
      <c r="AUF4388" s="379" t="s">
        <v>3783</v>
      </c>
      <c r="AUG4388" s="379" t="s">
        <v>3783</v>
      </c>
      <c r="AUH4388" s="379" t="s">
        <v>3783</v>
      </c>
      <c r="AUI4388" s="379" t="s">
        <v>3783</v>
      </c>
      <c r="AUJ4388" s="379" t="s">
        <v>3783</v>
      </c>
      <c r="AUK4388" s="379" t="s">
        <v>3783</v>
      </c>
      <c r="AUL4388" s="379" t="s">
        <v>3783</v>
      </c>
      <c r="AUM4388" s="379" t="s">
        <v>3783</v>
      </c>
      <c r="AUN4388" s="379" t="s">
        <v>3783</v>
      </c>
      <c r="AUO4388" s="379" t="s">
        <v>3783</v>
      </c>
      <c r="AUP4388" s="379" t="s">
        <v>3783</v>
      </c>
      <c r="AUQ4388" s="379" t="s">
        <v>3783</v>
      </c>
      <c r="AUR4388" s="379" t="s">
        <v>3783</v>
      </c>
      <c r="AUS4388" s="379" t="s">
        <v>3783</v>
      </c>
      <c r="AUT4388" s="379" t="s">
        <v>3783</v>
      </c>
      <c r="AUU4388" s="379" t="s">
        <v>3783</v>
      </c>
      <c r="AUV4388" s="379" t="s">
        <v>3783</v>
      </c>
      <c r="AUW4388" s="379" t="s">
        <v>3783</v>
      </c>
      <c r="AUX4388" s="379" t="s">
        <v>3783</v>
      </c>
      <c r="AUY4388" s="379" t="s">
        <v>3783</v>
      </c>
      <c r="AUZ4388" s="379" t="s">
        <v>3783</v>
      </c>
      <c r="AVA4388" s="379" t="s">
        <v>3783</v>
      </c>
      <c r="AVB4388" s="379" t="s">
        <v>3783</v>
      </c>
      <c r="AVC4388" s="379" t="s">
        <v>3783</v>
      </c>
      <c r="AVD4388" s="379" t="s">
        <v>3783</v>
      </c>
      <c r="AVE4388" s="379" t="s">
        <v>3783</v>
      </c>
      <c r="AVF4388" s="379" t="s">
        <v>3783</v>
      </c>
      <c r="AVG4388" s="379" t="s">
        <v>3783</v>
      </c>
      <c r="AVH4388" s="379" t="s">
        <v>3783</v>
      </c>
      <c r="AVI4388" s="379" t="s">
        <v>3783</v>
      </c>
      <c r="AVJ4388" s="379" t="s">
        <v>3783</v>
      </c>
      <c r="AVK4388" s="379" t="s">
        <v>3783</v>
      </c>
      <c r="AVL4388" s="379" t="s">
        <v>3783</v>
      </c>
      <c r="AVM4388" s="379" t="s">
        <v>3783</v>
      </c>
      <c r="AVN4388" s="379" t="s">
        <v>3783</v>
      </c>
      <c r="AVO4388" s="379" t="s">
        <v>3783</v>
      </c>
      <c r="AVP4388" s="379" t="s">
        <v>3783</v>
      </c>
      <c r="AVQ4388" s="379" t="s">
        <v>3783</v>
      </c>
      <c r="AVR4388" s="379" t="s">
        <v>3783</v>
      </c>
      <c r="AVS4388" s="379" t="s">
        <v>3783</v>
      </c>
      <c r="AVT4388" s="379" t="s">
        <v>3783</v>
      </c>
      <c r="AVU4388" s="379" t="s">
        <v>3783</v>
      </c>
      <c r="AVV4388" s="379" t="s">
        <v>3783</v>
      </c>
      <c r="AVW4388" s="379" t="s">
        <v>3783</v>
      </c>
      <c r="AVX4388" s="379" t="s">
        <v>3783</v>
      </c>
      <c r="AVY4388" s="379" t="s">
        <v>3783</v>
      </c>
      <c r="AVZ4388" s="379" t="s">
        <v>3783</v>
      </c>
      <c r="AWA4388" s="379" t="s">
        <v>3783</v>
      </c>
      <c r="AWB4388" s="379" t="s">
        <v>3783</v>
      </c>
      <c r="AWC4388" s="379" t="s">
        <v>3783</v>
      </c>
      <c r="AWD4388" s="379" t="s">
        <v>3783</v>
      </c>
      <c r="AWE4388" s="379" t="s">
        <v>3783</v>
      </c>
      <c r="AWF4388" s="379" t="s">
        <v>3783</v>
      </c>
      <c r="AWG4388" s="379" t="s">
        <v>3783</v>
      </c>
      <c r="AWH4388" s="379" t="s">
        <v>3783</v>
      </c>
      <c r="AWI4388" s="379" t="s">
        <v>3783</v>
      </c>
      <c r="AWJ4388" s="379" t="s">
        <v>3783</v>
      </c>
      <c r="AWK4388" s="379" t="s">
        <v>3783</v>
      </c>
      <c r="AWL4388" s="379" t="s">
        <v>3783</v>
      </c>
      <c r="AWM4388" s="379" t="s">
        <v>3783</v>
      </c>
      <c r="AWN4388" s="379" t="s">
        <v>3783</v>
      </c>
      <c r="AWO4388" s="379" t="s">
        <v>3783</v>
      </c>
      <c r="AWP4388" s="379" t="s">
        <v>3783</v>
      </c>
      <c r="AWQ4388" s="379" t="s">
        <v>3783</v>
      </c>
      <c r="AWR4388" s="379" t="s">
        <v>3783</v>
      </c>
      <c r="AWS4388" s="379" t="s">
        <v>3783</v>
      </c>
      <c r="AWT4388" s="379" t="s">
        <v>3783</v>
      </c>
      <c r="AWU4388" s="379" t="s">
        <v>3783</v>
      </c>
      <c r="AWV4388" s="379" t="s">
        <v>3783</v>
      </c>
      <c r="AWW4388" s="379" t="s">
        <v>3783</v>
      </c>
      <c r="AWX4388" s="379" t="s">
        <v>3783</v>
      </c>
      <c r="AWY4388" s="379" t="s">
        <v>3783</v>
      </c>
      <c r="AWZ4388" s="379" t="s">
        <v>3783</v>
      </c>
      <c r="AXA4388" s="379" t="s">
        <v>3783</v>
      </c>
      <c r="AXB4388" s="379" t="s">
        <v>3783</v>
      </c>
      <c r="AXC4388" s="379" t="s">
        <v>3783</v>
      </c>
      <c r="AXD4388" s="379" t="s">
        <v>3783</v>
      </c>
      <c r="AXE4388" s="379" t="s">
        <v>3783</v>
      </c>
      <c r="AXF4388" s="379" t="s">
        <v>3783</v>
      </c>
      <c r="AXG4388" s="379" t="s">
        <v>3783</v>
      </c>
      <c r="AXH4388" s="379" t="s">
        <v>3783</v>
      </c>
      <c r="AXI4388" s="379" t="s">
        <v>3783</v>
      </c>
      <c r="AXJ4388" s="379" t="s">
        <v>3783</v>
      </c>
      <c r="AXK4388" s="379" t="s">
        <v>3783</v>
      </c>
      <c r="AXL4388" s="379" t="s">
        <v>3783</v>
      </c>
      <c r="AXM4388" s="379" t="s">
        <v>3783</v>
      </c>
      <c r="AXN4388" s="379" t="s">
        <v>3783</v>
      </c>
      <c r="AXO4388" s="379" t="s">
        <v>3783</v>
      </c>
      <c r="AXP4388" s="379" t="s">
        <v>3783</v>
      </c>
      <c r="AXQ4388" s="379" t="s">
        <v>3783</v>
      </c>
      <c r="AXR4388" s="379" t="s">
        <v>3783</v>
      </c>
      <c r="AXS4388" s="379" t="s">
        <v>3783</v>
      </c>
      <c r="AXT4388" s="379" t="s">
        <v>3783</v>
      </c>
      <c r="AXU4388" s="379" t="s">
        <v>3783</v>
      </c>
      <c r="AXV4388" s="379" t="s">
        <v>3783</v>
      </c>
      <c r="AXW4388" s="379" t="s">
        <v>3783</v>
      </c>
      <c r="AXX4388" s="379" t="s">
        <v>3783</v>
      </c>
      <c r="AXY4388" s="379" t="s">
        <v>3783</v>
      </c>
      <c r="AXZ4388" s="379" t="s">
        <v>3783</v>
      </c>
      <c r="AYA4388" s="379" t="s">
        <v>3783</v>
      </c>
      <c r="AYB4388" s="379" t="s">
        <v>3783</v>
      </c>
      <c r="AYC4388" s="379" t="s">
        <v>3783</v>
      </c>
      <c r="AYD4388" s="379" t="s">
        <v>3783</v>
      </c>
      <c r="AYE4388" s="379" t="s">
        <v>3783</v>
      </c>
      <c r="AYF4388" s="379" t="s">
        <v>3783</v>
      </c>
      <c r="AYG4388" s="379" t="s">
        <v>3783</v>
      </c>
      <c r="AYH4388" s="379" t="s">
        <v>3783</v>
      </c>
      <c r="AYI4388" s="379" t="s">
        <v>3783</v>
      </c>
      <c r="AYJ4388" s="379" t="s">
        <v>3783</v>
      </c>
      <c r="AYK4388" s="379" t="s">
        <v>3783</v>
      </c>
      <c r="AYL4388" s="379" t="s">
        <v>3783</v>
      </c>
      <c r="AYM4388" s="379" t="s">
        <v>3783</v>
      </c>
      <c r="AYN4388" s="379" t="s">
        <v>3783</v>
      </c>
      <c r="AYO4388" s="379" t="s">
        <v>3783</v>
      </c>
      <c r="AYP4388" s="379" t="s">
        <v>3783</v>
      </c>
      <c r="AYQ4388" s="379" t="s">
        <v>3783</v>
      </c>
      <c r="AYR4388" s="379" t="s">
        <v>3783</v>
      </c>
      <c r="AYS4388" s="379" t="s">
        <v>3783</v>
      </c>
      <c r="AYT4388" s="379" t="s">
        <v>3783</v>
      </c>
      <c r="AYU4388" s="379" t="s">
        <v>3783</v>
      </c>
      <c r="AYV4388" s="379" t="s">
        <v>3783</v>
      </c>
      <c r="AYW4388" s="379" t="s">
        <v>3783</v>
      </c>
      <c r="AYX4388" s="379" t="s">
        <v>3783</v>
      </c>
      <c r="AYY4388" s="379" t="s">
        <v>3783</v>
      </c>
      <c r="AYZ4388" s="379" t="s">
        <v>3783</v>
      </c>
      <c r="AZA4388" s="379" t="s">
        <v>3783</v>
      </c>
      <c r="AZB4388" s="379" t="s">
        <v>3783</v>
      </c>
      <c r="AZC4388" s="379" t="s">
        <v>3783</v>
      </c>
      <c r="AZD4388" s="379" t="s">
        <v>3783</v>
      </c>
      <c r="AZE4388" s="379" t="s">
        <v>3783</v>
      </c>
      <c r="AZF4388" s="379" t="s">
        <v>3783</v>
      </c>
      <c r="AZG4388" s="379" t="s">
        <v>3783</v>
      </c>
      <c r="AZH4388" s="379" t="s">
        <v>3783</v>
      </c>
      <c r="AZI4388" s="379" t="s">
        <v>3783</v>
      </c>
      <c r="AZJ4388" s="379" t="s">
        <v>3783</v>
      </c>
      <c r="AZK4388" s="379" t="s">
        <v>3783</v>
      </c>
      <c r="AZL4388" s="379" t="s">
        <v>3783</v>
      </c>
      <c r="AZM4388" s="379" t="s">
        <v>3783</v>
      </c>
      <c r="AZN4388" s="379" t="s">
        <v>3783</v>
      </c>
      <c r="AZO4388" s="379" t="s">
        <v>3783</v>
      </c>
      <c r="AZP4388" s="379" t="s">
        <v>3783</v>
      </c>
      <c r="AZQ4388" s="379" t="s">
        <v>3783</v>
      </c>
      <c r="AZR4388" s="379" t="s">
        <v>3783</v>
      </c>
      <c r="AZS4388" s="379" t="s">
        <v>3783</v>
      </c>
      <c r="AZT4388" s="379" t="s">
        <v>3783</v>
      </c>
      <c r="AZU4388" s="379" t="s">
        <v>3783</v>
      </c>
      <c r="AZV4388" s="379" t="s">
        <v>3783</v>
      </c>
      <c r="AZW4388" s="379" t="s">
        <v>3783</v>
      </c>
      <c r="AZX4388" s="379" t="s">
        <v>3783</v>
      </c>
      <c r="AZY4388" s="379" t="s">
        <v>3783</v>
      </c>
      <c r="AZZ4388" s="379" t="s">
        <v>3783</v>
      </c>
      <c r="BAA4388" s="379" t="s">
        <v>3783</v>
      </c>
      <c r="BAB4388" s="379" t="s">
        <v>3783</v>
      </c>
      <c r="BAC4388" s="379" t="s">
        <v>3783</v>
      </c>
      <c r="BAD4388" s="379" t="s">
        <v>3783</v>
      </c>
      <c r="BAE4388" s="379" t="s">
        <v>3783</v>
      </c>
      <c r="BAF4388" s="379" t="s">
        <v>3783</v>
      </c>
      <c r="BAG4388" s="379" t="s">
        <v>3783</v>
      </c>
      <c r="BAH4388" s="379" t="s">
        <v>3783</v>
      </c>
      <c r="BAI4388" s="379" t="s">
        <v>3783</v>
      </c>
      <c r="BAJ4388" s="379" t="s">
        <v>3783</v>
      </c>
      <c r="BAK4388" s="379" t="s">
        <v>3783</v>
      </c>
      <c r="BAL4388" s="379" t="s">
        <v>3783</v>
      </c>
      <c r="BAM4388" s="379" t="s">
        <v>3783</v>
      </c>
      <c r="BAN4388" s="379" t="s">
        <v>3783</v>
      </c>
      <c r="BAO4388" s="379" t="s">
        <v>3783</v>
      </c>
      <c r="BAP4388" s="379" t="s">
        <v>3783</v>
      </c>
      <c r="BAQ4388" s="379" t="s">
        <v>3783</v>
      </c>
      <c r="BAR4388" s="379" t="s">
        <v>3783</v>
      </c>
      <c r="BAS4388" s="379" t="s">
        <v>3783</v>
      </c>
      <c r="BAT4388" s="379" t="s">
        <v>3783</v>
      </c>
      <c r="BAU4388" s="379" t="s">
        <v>3783</v>
      </c>
      <c r="BAV4388" s="379" t="s">
        <v>3783</v>
      </c>
      <c r="BAW4388" s="379" t="s">
        <v>3783</v>
      </c>
      <c r="BAX4388" s="379" t="s">
        <v>3783</v>
      </c>
      <c r="BAY4388" s="379" t="s">
        <v>3783</v>
      </c>
      <c r="BAZ4388" s="379" t="s">
        <v>3783</v>
      </c>
      <c r="BBA4388" s="379" t="s">
        <v>3783</v>
      </c>
      <c r="BBB4388" s="379" t="s">
        <v>3783</v>
      </c>
      <c r="BBC4388" s="379" t="s">
        <v>3783</v>
      </c>
      <c r="BBD4388" s="379" t="s">
        <v>3783</v>
      </c>
      <c r="BBE4388" s="379" t="s">
        <v>3783</v>
      </c>
      <c r="BBF4388" s="379" t="s">
        <v>3783</v>
      </c>
      <c r="BBG4388" s="379" t="s">
        <v>3783</v>
      </c>
      <c r="BBH4388" s="379" t="s">
        <v>3783</v>
      </c>
      <c r="BBI4388" s="379" t="s">
        <v>3783</v>
      </c>
      <c r="BBJ4388" s="379" t="s">
        <v>3783</v>
      </c>
      <c r="BBK4388" s="379" t="s">
        <v>3783</v>
      </c>
      <c r="BBL4388" s="379" t="s">
        <v>3783</v>
      </c>
      <c r="BBM4388" s="379" t="s">
        <v>3783</v>
      </c>
      <c r="BBN4388" s="379" t="s">
        <v>3783</v>
      </c>
      <c r="BBO4388" s="379" t="s">
        <v>3783</v>
      </c>
      <c r="BBP4388" s="379" t="s">
        <v>3783</v>
      </c>
      <c r="BBQ4388" s="379" t="s">
        <v>3783</v>
      </c>
      <c r="BBR4388" s="379" t="s">
        <v>3783</v>
      </c>
      <c r="BBS4388" s="379" t="s">
        <v>3783</v>
      </c>
      <c r="BBT4388" s="379" t="s">
        <v>3783</v>
      </c>
      <c r="BBU4388" s="379" t="s">
        <v>3783</v>
      </c>
      <c r="BBV4388" s="379" t="s">
        <v>3783</v>
      </c>
      <c r="BBW4388" s="379" t="s">
        <v>3783</v>
      </c>
      <c r="BBX4388" s="379" t="s">
        <v>3783</v>
      </c>
      <c r="BBY4388" s="379" t="s">
        <v>3783</v>
      </c>
      <c r="BBZ4388" s="379" t="s">
        <v>3783</v>
      </c>
      <c r="BCA4388" s="379" t="s">
        <v>3783</v>
      </c>
      <c r="BCB4388" s="379" t="s">
        <v>3783</v>
      </c>
      <c r="BCC4388" s="379" t="s">
        <v>3783</v>
      </c>
      <c r="BCD4388" s="379" t="s">
        <v>3783</v>
      </c>
      <c r="BCE4388" s="379" t="s">
        <v>3783</v>
      </c>
      <c r="BCF4388" s="379" t="s">
        <v>3783</v>
      </c>
      <c r="BCG4388" s="379" t="s">
        <v>3783</v>
      </c>
      <c r="BCH4388" s="379" t="s">
        <v>3783</v>
      </c>
      <c r="BCI4388" s="379" t="s">
        <v>3783</v>
      </c>
      <c r="BCJ4388" s="379" t="s">
        <v>3783</v>
      </c>
      <c r="BCK4388" s="379" t="s">
        <v>3783</v>
      </c>
      <c r="BCL4388" s="379" t="s">
        <v>3783</v>
      </c>
      <c r="BCM4388" s="379" t="s">
        <v>3783</v>
      </c>
      <c r="BCN4388" s="379" t="s">
        <v>3783</v>
      </c>
      <c r="BCO4388" s="379" t="s">
        <v>3783</v>
      </c>
      <c r="BCP4388" s="379" t="s">
        <v>3783</v>
      </c>
      <c r="BCQ4388" s="379" t="s">
        <v>3783</v>
      </c>
      <c r="BCR4388" s="379" t="s">
        <v>3783</v>
      </c>
      <c r="BCS4388" s="379" t="s">
        <v>3783</v>
      </c>
      <c r="BCT4388" s="379" t="s">
        <v>3783</v>
      </c>
      <c r="BCU4388" s="379" t="s">
        <v>3783</v>
      </c>
      <c r="BCV4388" s="379" t="s">
        <v>3783</v>
      </c>
      <c r="BCW4388" s="379" t="s">
        <v>3783</v>
      </c>
      <c r="BCX4388" s="379" t="s">
        <v>3783</v>
      </c>
      <c r="BCY4388" s="379" t="s">
        <v>3783</v>
      </c>
      <c r="BCZ4388" s="379" t="s">
        <v>3783</v>
      </c>
      <c r="BDA4388" s="379" t="s">
        <v>3783</v>
      </c>
      <c r="BDB4388" s="379" t="s">
        <v>3783</v>
      </c>
      <c r="BDC4388" s="379" t="s">
        <v>3783</v>
      </c>
      <c r="BDD4388" s="379" t="s">
        <v>3783</v>
      </c>
      <c r="BDE4388" s="379" t="s">
        <v>3783</v>
      </c>
      <c r="BDF4388" s="379" t="s">
        <v>3783</v>
      </c>
      <c r="BDG4388" s="379" t="s">
        <v>3783</v>
      </c>
      <c r="BDH4388" s="379" t="s">
        <v>3783</v>
      </c>
      <c r="BDI4388" s="379" t="s">
        <v>3783</v>
      </c>
      <c r="BDJ4388" s="379" t="s">
        <v>3783</v>
      </c>
      <c r="BDK4388" s="379" t="s">
        <v>3783</v>
      </c>
      <c r="BDL4388" s="379" t="s">
        <v>3783</v>
      </c>
      <c r="BDM4388" s="379" t="s">
        <v>3783</v>
      </c>
      <c r="BDN4388" s="379" t="s">
        <v>3783</v>
      </c>
      <c r="BDO4388" s="379" t="s">
        <v>3783</v>
      </c>
      <c r="BDP4388" s="379" t="s">
        <v>3783</v>
      </c>
      <c r="BDQ4388" s="379" t="s">
        <v>3783</v>
      </c>
      <c r="BDR4388" s="379" t="s">
        <v>3783</v>
      </c>
      <c r="BDS4388" s="379" t="s">
        <v>3783</v>
      </c>
      <c r="BDT4388" s="379" t="s">
        <v>3783</v>
      </c>
      <c r="BDU4388" s="379" t="s">
        <v>3783</v>
      </c>
      <c r="BDV4388" s="379" t="s">
        <v>3783</v>
      </c>
      <c r="BDW4388" s="379" t="s">
        <v>3783</v>
      </c>
      <c r="BDX4388" s="379" t="s">
        <v>3783</v>
      </c>
      <c r="BDY4388" s="379" t="s">
        <v>3783</v>
      </c>
      <c r="BDZ4388" s="379" t="s">
        <v>3783</v>
      </c>
      <c r="BEA4388" s="379" t="s">
        <v>3783</v>
      </c>
      <c r="BEB4388" s="379" t="s">
        <v>3783</v>
      </c>
      <c r="BEC4388" s="379" t="s">
        <v>3783</v>
      </c>
      <c r="BED4388" s="379" t="s">
        <v>3783</v>
      </c>
      <c r="BEE4388" s="379" t="s">
        <v>3783</v>
      </c>
      <c r="BEF4388" s="379" t="s">
        <v>3783</v>
      </c>
      <c r="BEG4388" s="379" t="s">
        <v>3783</v>
      </c>
      <c r="BEH4388" s="379" t="s">
        <v>3783</v>
      </c>
      <c r="BEI4388" s="379" t="s">
        <v>3783</v>
      </c>
      <c r="BEJ4388" s="379" t="s">
        <v>3783</v>
      </c>
      <c r="BEK4388" s="379" t="s">
        <v>3783</v>
      </c>
      <c r="BEL4388" s="379" t="s">
        <v>3783</v>
      </c>
      <c r="BEM4388" s="379" t="s">
        <v>3783</v>
      </c>
      <c r="BEN4388" s="379" t="s">
        <v>3783</v>
      </c>
      <c r="BEO4388" s="379" t="s">
        <v>3783</v>
      </c>
      <c r="BEP4388" s="379" t="s">
        <v>3783</v>
      </c>
      <c r="BEQ4388" s="379" t="s">
        <v>3783</v>
      </c>
      <c r="BER4388" s="379" t="s">
        <v>3783</v>
      </c>
      <c r="BES4388" s="379" t="s">
        <v>3783</v>
      </c>
      <c r="BET4388" s="379" t="s">
        <v>3783</v>
      </c>
      <c r="BEU4388" s="379" t="s">
        <v>3783</v>
      </c>
      <c r="BEV4388" s="379" t="s">
        <v>3783</v>
      </c>
      <c r="BEW4388" s="379" t="s">
        <v>3783</v>
      </c>
      <c r="BEX4388" s="379" t="s">
        <v>3783</v>
      </c>
      <c r="BEY4388" s="379" t="s">
        <v>3783</v>
      </c>
      <c r="BEZ4388" s="379" t="s">
        <v>3783</v>
      </c>
      <c r="BFA4388" s="379" t="s">
        <v>3783</v>
      </c>
      <c r="BFB4388" s="379" t="s">
        <v>3783</v>
      </c>
      <c r="BFC4388" s="379" t="s">
        <v>3783</v>
      </c>
      <c r="BFD4388" s="379" t="s">
        <v>3783</v>
      </c>
      <c r="BFE4388" s="379" t="s">
        <v>3783</v>
      </c>
      <c r="BFF4388" s="379" t="s">
        <v>3783</v>
      </c>
      <c r="BFG4388" s="379" t="s">
        <v>3783</v>
      </c>
      <c r="BFH4388" s="379" t="s">
        <v>3783</v>
      </c>
      <c r="BFI4388" s="379" t="s">
        <v>3783</v>
      </c>
      <c r="BFJ4388" s="379" t="s">
        <v>3783</v>
      </c>
      <c r="BFK4388" s="379" t="s">
        <v>3783</v>
      </c>
      <c r="BFL4388" s="379" t="s">
        <v>3783</v>
      </c>
      <c r="BFM4388" s="379" t="s">
        <v>3783</v>
      </c>
      <c r="BFN4388" s="379" t="s">
        <v>3783</v>
      </c>
      <c r="BFO4388" s="379" t="s">
        <v>3783</v>
      </c>
      <c r="BFP4388" s="379" t="s">
        <v>3783</v>
      </c>
      <c r="BFQ4388" s="379" t="s">
        <v>3783</v>
      </c>
      <c r="BFR4388" s="379" t="s">
        <v>3783</v>
      </c>
      <c r="BFS4388" s="379" t="s">
        <v>3783</v>
      </c>
      <c r="BFT4388" s="379" t="s">
        <v>3783</v>
      </c>
      <c r="BFU4388" s="379" t="s">
        <v>3783</v>
      </c>
      <c r="BFV4388" s="379" t="s">
        <v>3783</v>
      </c>
      <c r="BFW4388" s="379" t="s">
        <v>3783</v>
      </c>
      <c r="BFX4388" s="379" t="s">
        <v>3783</v>
      </c>
      <c r="BFY4388" s="379" t="s">
        <v>3783</v>
      </c>
      <c r="BFZ4388" s="379" t="s">
        <v>3783</v>
      </c>
      <c r="BGA4388" s="379" t="s">
        <v>3783</v>
      </c>
      <c r="BGB4388" s="379" t="s">
        <v>3783</v>
      </c>
      <c r="BGC4388" s="379" t="s">
        <v>3783</v>
      </c>
      <c r="BGD4388" s="379" t="s">
        <v>3783</v>
      </c>
      <c r="BGE4388" s="379" t="s">
        <v>3783</v>
      </c>
      <c r="BGF4388" s="379" t="s">
        <v>3783</v>
      </c>
      <c r="BGG4388" s="379" t="s">
        <v>3783</v>
      </c>
      <c r="BGH4388" s="379" t="s">
        <v>3783</v>
      </c>
      <c r="BGI4388" s="379" t="s">
        <v>3783</v>
      </c>
      <c r="BGJ4388" s="379" t="s">
        <v>3783</v>
      </c>
      <c r="BGK4388" s="379" t="s">
        <v>3783</v>
      </c>
      <c r="BGL4388" s="379" t="s">
        <v>3783</v>
      </c>
      <c r="BGM4388" s="379" t="s">
        <v>3783</v>
      </c>
      <c r="BGN4388" s="379" t="s">
        <v>3783</v>
      </c>
      <c r="BGO4388" s="379" t="s">
        <v>3783</v>
      </c>
      <c r="BGP4388" s="379" t="s">
        <v>3783</v>
      </c>
      <c r="BGQ4388" s="379" t="s">
        <v>3783</v>
      </c>
      <c r="BGR4388" s="379" t="s">
        <v>3783</v>
      </c>
      <c r="BGS4388" s="379" t="s">
        <v>3783</v>
      </c>
      <c r="BGT4388" s="379" t="s">
        <v>3783</v>
      </c>
      <c r="BGU4388" s="379" t="s">
        <v>3783</v>
      </c>
      <c r="BGV4388" s="379" t="s">
        <v>3783</v>
      </c>
      <c r="BGW4388" s="379" t="s">
        <v>3783</v>
      </c>
      <c r="BGX4388" s="379" t="s">
        <v>3783</v>
      </c>
      <c r="BGY4388" s="379" t="s">
        <v>3783</v>
      </c>
      <c r="BGZ4388" s="379" t="s">
        <v>3783</v>
      </c>
      <c r="BHA4388" s="379" t="s">
        <v>3783</v>
      </c>
      <c r="BHB4388" s="379" t="s">
        <v>3783</v>
      </c>
      <c r="BHC4388" s="379" t="s">
        <v>3783</v>
      </c>
      <c r="BHD4388" s="379" t="s">
        <v>3783</v>
      </c>
      <c r="BHE4388" s="379" t="s">
        <v>3783</v>
      </c>
      <c r="BHF4388" s="379" t="s">
        <v>3783</v>
      </c>
      <c r="BHG4388" s="379" t="s">
        <v>3783</v>
      </c>
      <c r="BHH4388" s="379" t="s">
        <v>3783</v>
      </c>
      <c r="BHI4388" s="379" t="s">
        <v>3783</v>
      </c>
      <c r="BHJ4388" s="379" t="s">
        <v>3783</v>
      </c>
      <c r="BHK4388" s="379" t="s">
        <v>3783</v>
      </c>
      <c r="BHL4388" s="379" t="s">
        <v>3783</v>
      </c>
      <c r="BHM4388" s="379" t="s">
        <v>3783</v>
      </c>
      <c r="BHN4388" s="379" t="s">
        <v>3783</v>
      </c>
      <c r="BHO4388" s="379" t="s">
        <v>3783</v>
      </c>
      <c r="BHP4388" s="379" t="s">
        <v>3783</v>
      </c>
      <c r="BHQ4388" s="379" t="s">
        <v>3783</v>
      </c>
      <c r="BHR4388" s="379" t="s">
        <v>3783</v>
      </c>
      <c r="BHS4388" s="379" t="s">
        <v>3783</v>
      </c>
      <c r="BHT4388" s="379" t="s">
        <v>3783</v>
      </c>
      <c r="BHU4388" s="379" t="s">
        <v>3783</v>
      </c>
      <c r="BHV4388" s="379" t="s">
        <v>3783</v>
      </c>
      <c r="BHW4388" s="379" t="s">
        <v>3783</v>
      </c>
      <c r="BHX4388" s="379" t="s">
        <v>3783</v>
      </c>
      <c r="BHY4388" s="379" t="s">
        <v>3783</v>
      </c>
      <c r="BHZ4388" s="379" t="s">
        <v>3783</v>
      </c>
      <c r="BIA4388" s="379" t="s">
        <v>3783</v>
      </c>
      <c r="BIB4388" s="379" t="s">
        <v>3783</v>
      </c>
      <c r="BIC4388" s="379" t="s">
        <v>3783</v>
      </c>
      <c r="BID4388" s="379" t="s">
        <v>3783</v>
      </c>
      <c r="BIE4388" s="379" t="s">
        <v>3783</v>
      </c>
      <c r="BIF4388" s="379" t="s">
        <v>3783</v>
      </c>
      <c r="BIG4388" s="379" t="s">
        <v>3783</v>
      </c>
      <c r="BIH4388" s="379" t="s">
        <v>3783</v>
      </c>
      <c r="BII4388" s="379" t="s">
        <v>3783</v>
      </c>
      <c r="BIJ4388" s="379" t="s">
        <v>3783</v>
      </c>
      <c r="BIK4388" s="379" t="s">
        <v>3783</v>
      </c>
      <c r="BIL4388" s="379" t="s">
        <v>3783</v>
      </c>
      <c r="BIM4388" s="379" t="s">
        <v>3783</v>
      </c>
      <c r="BIN4388" s="379" t="s">
        <v>3783</v>
      </c>
      <c r="BIO4388" s="379" t="s">
        <v>3783</v>
      </c>
      <c r="BIP4388" s="379" t="s">
        <v>3783</v>
      </c>
      <c r="BIQ4388" s="379" t="s">
        <v>3783</v>
      </c>
      <c r="BIR4388" s="379" t="s">
        <v>3783</v>
      </c>
      <c r="BIS4388" s="379" t="s">
        <v>3783</v>
      </c>
      <c r="BIT4388" s="379" t="s">
        <v>3783</v>
      </c>
      <c r="BIU4388" s="379" t="s">
        <v>3783</v>
      </c>
      <c r="BIV4388" s="379" t="s">
        <v>3783</v>
      </c>
      <c r="BIW4388" s="379" t="s">
        <v>3783</v>
      </c>
      <c r="BIX4388" s="379" t="s">
        <v>3783</v>
      </c>
      <c r="BIY4388" s="379" t="s">
        <v>3783</v>
      </c>
      <c r="BIZ4388" s="379" t="s">
        <v>3783</v>
      </c>
      <c r="BJA4388" s="379" t="s">
        <v>3783</v>
      </c>
      <c r="BJB4388" s="379" t="s">
        <v>3783</v>
      </c>
      <c r="BJC4388" s="379" t="s">
        <v>3783</v>
      </c>
      <c r="BJD4388" s="379" t="s">
        <v>3783</v>
      </c>
      <c r="BJE4388" s="379" t="s">
        <v>3783</v>
      </c>
      <c r="BJF4388" s="379" t="s">
        <v>3783</v>
      </c>
      <c r="BJG4388" s="379" t="s">
        <v>3783</v>
      </c>
      <c r="BJH4388" s="379" t="s">
        <v>3783</v>
      </c>
      <c r="BJI4388" s="379" t="s">
        <v>3783</v>
      </c>
      <c r="BJJ4388" s="379" t="s">
        <v>3783</v>
      </c>
      <c r="BJK4388" s="379" t="s">
        <v>3783</v>
      </c>
      <c r="BJL4388" s="379" t="s">
        <v>3783</v>
      </c>
      <c r="BJM4388" s="379" t="s">
        <v>3783</v>
      </c>
      <c r="BJN4388" s="379" t="s">
        <v>3783</v>
      </c>
      <c r="BJO4388" s="379" t="s">
        <v>3783</v>
      </c>
      <c r="BJP4388" s="379" t="s">
        <v>3783</v>
      </c>
      <c r="BJQ4388" s="379" t="s">
        <v>3783</v>
      </c>
      <c r="BJR4388" s="379" t="s">
        <v>3783</v>
      </c>
      <c r="BJS4388" s="379" t="s">
        <v>3783</v>
      </c>
      <c r="BJT4388" s="379" t="s">
        <v>3783</v>
      </c>
      <c r="BJU4388" s="379" t="s">
        <v>3783</v>
      </c>
      <c r="BJV4388" s="379" t="s">
        <v>3783</v>
      </c>
      <c r="BJW4388" s="379" t="s">
        <v>3783</v>
      </c>
      <c r="BJX4388" s="379" t="s">
        <v>3783</v>
      </c>
      <c r="BJY4388" s="379" t="s">
        <v>3783</v>
      </c>
      <c r="BJZ4388" s="379" t="s">
        <v>3783</v>
      </c>
      <c r="BKA4388" s="379" t="s">
        <v>3783</v>
      </c>
      <c r="BKB4388" s="379" t="s">
        <v>3783</v>
      </c>
      <c r="BKC4388" s="379" t="s">
        <v>3783</v>
      </c>
      <c r="BKD4388" s="379" t="s">
        <v>3783</v>
      </c>
      <c r="BKE4388" s="379" t="s">
        <v>3783</v>
      </c>
      <c r="BKF4388" s="379" t="s">
        <v>3783</v>
      </c>
      <c r="BKG4388" s="379" t="s">
        <v>3783</v>
      </c>
      <c r="BKH4388" s="379" t="s">
        <v>3783</v>
      </c>
      <c r="BKI4388" s="379" t="s">
        <v>3783</v>
      </c>
      <c r="BKJ4388" s="379" t="s">
        <v>3783</v>
      </c>
      <c r="BKK4388" s="379" t="s">
        <v>3783</v>
      </c>
      <c r="BKL4388" s="379" t="s">
        <v>3783</v>
      </c>
      <c r="BKM4388" s="379" t="s">
        <v>3783</v>
      </c>
      <c r="BKN4388" s="379" t="s">
        <v>3783</v>
      </c>
      <c r="BKO4388" s="379" t="s">
        <v>3783</v>
      </c>
      <c r="BKP4388" s="379" t="s">
        <v>3783</v>
      </c>
      <c r="BKQ4388" s="379" t="s">
        <v>3783</v>
      </c>
      <c r="BKR4388" s="379" t="s">
        <v>3783</v>
      </c>
      <c r="BKS4388" s="379" t="s">
        <v>3783</v>
      </c>
      <c r="BKT4388" s="379" t="s">
        <v>3783</v>
      </c>
      <c r="BKU4388" s="379" t="s">
        <v>3783</v>
      </c>
      <c r="BKV4388" s="379" t="s">
        <v>3783</v>
      </c>
      <c r="BKW4388" s="379" t="s">
        <v>3783</v>
      </c>
      <c r="BKX4388" s="379" t="s">
        <v>3783</v>
      </c>
      <c r="BKY4388" s="379" t="s">
        <v>3783</v>
      </c>
      <c r="BKZ4388" s="379" t="s">
        <v>3783</v>
      </c>
      <c r="BLA4388" s="379" t="s">
        <v>3783</v>
      </c>
      <c r="BLB4388" s="379" t="s">
        <v>3783</v>
      </c>
      <c r="BLC4388" s="379" t="s">
        <v>3783</v>
      </c>
      <c r="BLD4388" s="379" t="s">
        <v>3783</v>
      </c>
      <c r="BLE4388" s="379" t="s">
        <v>3783</v>
      </c>
      <c r="BLF4388" s="379" t="s">
        <v>3783</v>
      </c>
      <c r="BLG4388" s="379" t="s">
        <v>3783</v>
      </c>
      <c r="BLH4388" s="379" t="s">
        <v>3783</v>
      </c>
      <c r="BLI4388" s="379" t="s">
        <v>3783</v>
      </c>
      <c r="BLJ4388" s="379" t="s">
        <v>3783</v>
      </c>
      <c r="BLK4388" s="379" t="s">
        <v>3783</v>
      </c>
      <c r="BLL4388" s="379" t="s">
        <v>3783</v>
      </c>
      <c r="BLM4388" s="379" t="s">
        <v>3783</v>
      </c>
      <c r="BLN4388" s="379" t="s">
        <v>3783</v>
      </c>
      <c r="BLO4388" s="379" t="s">
        <v>3783</v>
      </c>
      <c r="BLP4388" s="379" t="s">
        <v>3783</v>
      </c>
      <c r="BLQ4388" s="379" t="s">
        <v>3783</v>
      </c>
      <c r="BLR4388" s="379" t="s">
        <v>3783</v>
      </c>
      <c r="BLS4388" s="379" t="s">
        <v>3783</v>
      </c>
      <c r="BLT4388" s="379" t="s">
        <v>3783</v>
      </c>
      <c r="BLU4388" s="379" t="s">
        <v>3783</v>
      </c>
      <c r="BLV4388" s="379" t="s">
        <v>3783</v>
      </c>
      <c r="BLW4388" s="379" t="s">
        <v>3783</v>
      </c>
      <c r="BLX4388" s="379" t="s">
        <v>3783</v>
      </c>
      <c r="BLY4388" s="379" t="s">
        <v>3783</v>
      </c>
      <c r="BLZ4388" s="379" t="s">
        <v>3783</v>
      </c>
      <c r="BMA4388" s="379" t="s">
        <v>3783</v>
      </c>
      <c r="BMB4388" s="379" t="s">
        <v>3783</v>
      </c>
      <c r="BMC4388" s="379" t="s">
        <v>3783</v>
      </c>
      <c r="BMD4388" s="379" t="s">
        <v>3783</v>
      </c>
      <c r="BME4388" s="379" t="s">
        <v>3783</v>
      </c>
      <c r="BMF4388" s="379" t="s">
        <v>3783</v>
      </c>
      <c r="BMG4388" s="379" t="s">
        <v>3783</v>
      </c>
      <c r="BMH4388" s="379" t="s">
        <v>3783</v>
      </c>
      <c r="BMI4388" s="379" t="s">
        <v>3783</v>
      </c>
      <c r="BMJ4388" s="379" t="s">
        <v>3783</v>
      </c>
      <c r="BMK4388" s="379" t="s">
        <v>3783</v>
      </c>
      <c r="BML4388" s="379" t="s">
        <v>3783</v>
      </c>
      <c r="BMM4388" s="379" t="s">
        <v>3783</v>
      </c>
      <c r="BMN4388" s="379" t="s">
        <v>3783</v>
      </c>
      <c r="BMO4388" s="379" t="s">
        <v>3783</v>
      </c>
      <c r="BMP4388" s="379" t="s">
        <v>3783</v>
      </c>
      <c r="BMQ4388" s="379" t="s">
        <v>3783</v>
      </c>
      <c r="BMR4388" s="379" t="s">
        <v>3783</v>
      </c>
      <c r="BMS4388" s="379" t="s">
        <v>3783</v>
      </c>
      <c r="BMT4388" s="379" t="s">
        <v>3783</v>
      </c>
      <c r="BMU4388" s="379" t="s">
        <v>3783</v>
      </c>
      <c r="BMV4388" s="379" t="s">
        <v>3783</v>
      </c>
      <c r="BMW4388" s="379" t="s">
        <v>3783</v>
      </c>
      <c r="BMX4388" s="379" t="s">
        <v>3783</v>
      </c>
      <c r="BMY4388" s="379" t="s">
        <v>3783</v>
      </c>
      <c r="BMZ4388" s="379" t="s">
        <v>3783</v>
      </c>
      <c r="BNA4388" s="379" t="s">
        <v>3783</v>
      </c>
      <c r="BNB4388" s="379" t="s">
        <v>3783</v>
      </c>
      <c r="BNC4388" s="379" t="s">
        <v>3783</v>
      </c>
      <c r="BND4388" s="379" t="s">
        <v>3783</v>
      </c>
      <c r="BNE4388" s="379" t="s">
        <v>3783</v>
      </c>
      <c r="BNF4388" s="379" t="s">
        <v>3783</v>
      </c>
      <c r="BNG4388" s="379" t="s">
        <v>3783</v>
      </c>
      <c r="BNH4388" s="379" t="s">
        <v>3783</v>
      </c>
      <c r="BNI4388" s="379" t="s">
        <v>3783</v>
      </c>
      <c r="BNJ4388" s="379" t="s">
        <v>3783</v>
      </c>
      <c r="BNK4388" s="379" t="s">
        <v>3783</v>
      </c>
      <c r="BNL4388" s="379" t="s">
        <v>3783</v>
      </c>
      <c r="BNM4388" s="379" t="s">
        <v>3783</v>
      </c>
      <c r="BNN4388" s="379" t="s">
        <v>3783</v>
      </c>
      <c r="BNO4388" s="379" t="s">
        <v>3783</v>
      </c>
      <c r="BNP4388" s="379" t="s">
        <v>3783</v>
      </c>
      <c r="BNQ4388" s="379" t="s">
        <v>3783</v>
      </c>
      <c r="BNR4388" s="379" t="s">
        <v>3783</v>
      </c>
      <c r="BNS4388" s="379" t="s">
        <v>3783</v>
      </c>
      <c r="BNT4388" s="379" t="s">
        <v>3783</v>
      </c>
      <c r="BNU4388" s="379" t="s">
        <v>3783</v>
      </c>
      <c r="BNV4388" s="379" t="s">
        <v>3783</v>
      </c>
      <c r="BNW4388" s="379" t="s">
        <v>3783</v>
      </c>
      <c r="BNX4388" s="379" t="s">
        <v>3783</v>
      </c>
      <c r="BNY4388" s="379" t="s">
        <v>3783</v>
      </c>
      <c r="BNZ4388" s="379" t="s">
        <v>3783</v>
      </c>
      <c r="BOA4388" s="379" t="s">
        <v>3783</v>
      </c>
      <c r="BOB4388" s="379" t="s">
        <v>3783</v>
      </c>
      <c r="BOC4388" s="379" t="s">
        <v>3783</v>
      </c>
      <c r="BOD4388" s="379" t="s">
        <v>3783</v>
      </c>
      <c r="BOE4388" s="379" t="s">
        <v>3783</v>
      </c>
      <c r="BOF4388" s="379" t="s">
        <v>3783</v>
      </c>
      <c r="BOG4388" s="379" t="s">
        <v>3783</v>
      </c>
      <c r="BOH4388" s="379" t="s">
        <v>3783</v>
      </c>
      <c r="BOI4388" s="379" t="s">
        <v>3783</v>
      </c>
      <c r="BOJ4388" s="379" t="s">
        <v>3783</v>
      </c>
      <c r="BOK4388" s="379" t="s">
        <v>3783</v>
      </c>
      <c r="BOL4388" s="379" t="s">
        <v>3783</v>
      </c>
      <c r="BOM4388" s="379" t="s">
        <v>3783</v>
      </c>
      <c r="BON4388" s="379" t="s">
        <v>3783</v>
      </c>
      <c r="BOO4388" s="379" t="s">
        <v>3783</v>
      </c>
      <c r="BOP4388" s="379" t="s">
        <v>3783</v>
      </c>
      <c r="BOQ4388" s="379" t="s">
        <v>3783</v>
      </c>
      <c r="BOR4388" s="379" t="s">
        <v>3783</v>
      </c>
      <c r="BOS4388" s="379" t="s">
        <v>3783</v>
      </c>
      <c r="BOT4388" s="379" t="s">
        <v>3783</v>
      </c>
      <c r="BOU4388" s="379" t="s">
        <v>3783</v>
      </c>
      <c r="BOV4388" s="379" t="s">
        <v>3783</v>
      </c>
      <c r="BOW4388" s="379" t="s">
        <v>3783</v>
      </c>
      <c r="BOX4388" s="379" t="s">
        <v>3783</v>
      </c>
      <c r="BOY4388" s="379" t="s">
        <v>3783</v>
      </c>
      <c r="BOZ4388" s="379" t="s">
        <v>3783</v>
      </c>
      <c r="BPA4388" s="379" t="s">
        <v>3783</v>
      </c>
      <c r="BPB4388" s="379" t="s">
        <v>3783</v>
      </c>
      <c r="BPC4388" s="379" t="s">
        <v>3783</v>
      </c>
      <c r="BPD4388" s="379" t="s">
        <v>3783</v>
      </c>
      <c r="BPE4388" s="379" t="s">
        <v>3783</v>
      </c>
      <c r="BPF4388" s="379" t="s">
        <v>3783</v>
      </c>
      <c r="BPG4388" s="379" t="s">
        <v>3783</v>
      </c>
      <c r="BPH4388" s="379" t="s">
        <v>3783</v>
      </c>
      <c r="BPI4388" s="379" t="s">
        <v>3783</v>
      </c>
      <c r="BPJ4388" s="379" t="s">
        <v>3783</v>
      </c>
      <c r="BPK4388" s="379" t="s">
        <v>3783</v>
      </c>
      <c r="BPL4388" s="379" t="s">
        <v>3783</v>
      </c>
      <c r="BPM4388" s="379" t="s">
        <v>3783</v>
      </c>
      <c r="BPN4388" s="379" t="s">
        <v>3783</v>
      </c>
      <c r="BPO4388" s="379" t="s">
        <v>3783</v>
      </c>
      <c r="BPP4388" s="379" t="s">
        <v>3783</v>
      </c>
      <c r="BPQ4388" s="379" t="s">
        <v>3783</v>
      </c>
      <c r="BPR4388" s="379" t="s">
        <v>3783</v>
      </c>
      <c r="BPS4388" s="379" t="s">
        <v>3783</v>
      </c>
      <c r="BPT4388" s="379" t="s">
        <v>3783</v>
      </c>
      <c r="BPU4388" s="379" t="s">
        <v>3783</v>
      </c>
      <c r="BPV4388" s="379" t="s">
        <v>3783</v>
      </c>
      <c r="BPW4388" s="379" t="s">
        <v>3783</v>
      </c>
      <c r="BPX4388" s="379" t="s">
        <v>3783</v>
      </c>
      <c r="BPY4388" s="379" t="s">
        <v>3783</v>
      </c>
      <c r="BPZ4388" s="379" t="s">
        <v>3783</v>
      </c>
      <c r="BQA4388" s="379" t="s">
        <v>3783</v>
      </c>
      <c r="BQB4388" s="379" t="s">
        <v>3783</v>
      </c>
      <c r="BQC4388" s="379" t="s">
        <v>3783</v>
      </c>
      <c r="BQD4388" s="379" t="s">
        <v>3783</v>
      </c>
      <c r="BQE4388" s="379" t="s">
        <v>3783</v>
      </c>
      <c r="BQF4388" s="379" t="s">
        <v>3783</v>
      </c>
      <c r="BQG4388" s="379" t="s">
        <v>3783</v>
      </c>
      <c r="BQH4388" s="379" t="s">
        <v>3783</v>
      </c>
      <c r="BQI4388" s="379" t="s">
        <v>3783</v>
      </c>
      <c r="BQJ4388" s="379" t="s">
        <v>3783</v>
      </c>
      <c r="BQK4388" s="379" t="s">
        <v>3783</v>
      </c>
      <c r="BQL4388" s="379" t="s">
        <v>3783</v>
      </c>
      <c r="BQM4388" s="379" t="s">
        <v>3783</v>
      </c>
      <c r="BQN4388" s="379" t="s">
        <v>3783</v>
      </c>
      <c r="BQO4388" s="379" t="s">
        <v>3783</v>
      </c>
      <c r="BQP4388" s="379" t="s">
        <v>3783</v>
      </c>
      <c r="BQQ4388" s="379" t="s">
        <v>3783</v>
      </c>
      <c r="BQR4388" s="379" t="s">
        <v>3783</v>
      </c>
      <c r="BQS4388" s="379" t="s">
        <v>3783</v>
      </c>
      <c r="BQT4388" s="379" t="s">
        <v>3783</v>
      </c>
      <c r="BQU4388" s="379" t="s">
        <v>3783</v>
      </c>
      <c r="BQV4388" s="379" t="s">
        <v>3783</v>
      </c>
      <c r="BQW4388" s="379" t="s">
        <v>3783</v>
      </c>
      <c r="BQX4388" s="379" t="s">
        <v>3783</v>
      </c>
      <c r="BQY4388" s="379" t="s">
        <v>3783</v>
      </c>
      <c r="BQZ4388" s="379" t="s">
        <v>3783</v>
      </c>
      <c r="BRA4388" s="379" t="s">
        <v>3783</v>
      </c>
      <c r="BRB4388" s="379" t="s">
        <v>3783</v>
      </c>
      <c r="BRC4388" s="379" t="s">
        <v>3783</v>
      </c>
      <c r="BRD4388" s="379" t="s">
        <v>3783</v>
      </c>
      <c r="BRE4388" s="379" t="s">
        <v>3783</v>
      </c>
      <c r="BRF4388" s="379" t="s">
        <v>3783</v>
      </c>
      <c r="BRG4388" s="379" t="s">
        <v>3783</v>
      </c>
      <c r="BRH4388" s="379" t="s">
        <v>3783</v>
      </c>
      <c r="BRI4388" s="379" t="s">
        <v>3783</v>
      </c>
      <c r="BRJ4388" s="379" t="s">
        <v>3783</v>
      </c>
      <c r="BRK4388" s="379" t="s">
        <v>3783</v>
      </c>
      <c r="BRL4388" s="379" t="s">
        <v>3783</v>
      </c>
      <c r="BRM4388" s="379" t="s">
        <v>3783</v>
      </c>
      <c r="BRN4388" s="379" t="s">
        <v>3783</v>
      </c>
      <c r="BRO4388" s="379" t="s">
        <v>3783</v>
      </c>
      <c r="BRP4388" s="379" t="s">
        <v>3783</v>
      </c>
      <c r="BRQ4388" s="379" t="s">
        <v>3783</v>
      </c>
      <c r="BRR4388" s="379" t="s">
        <v>3783</v>
      </c>
      <c r="BRS4388" s="379" t="s">
        <v>3783</v>
      </c>
      <c r="BRT4388" s="379" t="s">
        <v>3783</v>
      </c>
      <c r="BRU4388" s="379" t="s">
        <v>3783</v>
      </c>
      <c r="BRV4388" s="379" t="s">
        <v>3783</v>
      </c>
      <c r="BRW4388" s="379" t="s">
        <v>3783</v>
      </c>
      <c r="BRX4388" s="379" t="s">
        <v>3783</v>
      </c>
      <c r="BRY4388" s="379" t="s">
        <v>3783</v>
      </c>
      <c r="BRZ4388" s="379" t="s">
        <v>3783</v>
      </c>
      <c r="BSA4388" s="379" t="s">
        <v>3783</v>
      </c>
      <c r="BSB4388" s="379" t="s">
        <v>3783</v>
      </c>
      <c r="BSC4388" s="379" t="s">
        <v>3783</v>
      </c>
      <c r="BSD4388" s="379" t="s">
        <v>3783</v>
      </c>
      <c r="BSE4388" s="379" t="s">
        <v>3783</v>
      </c>
      <c r="BSF4388" s="379" t="s">
        <v>3783</v>
      </c>
      <c r="BSG4388" s="379" t="s">
        <v>3783</v>
      </c>
      <c r="BSH4388" s="379" t="s">
        <v>3783</v>
      </c>
      <c r="BSI4388" s="379" t="s">
        <v>3783</v>
      </c>
      <c r="BSJ4388" s="379" t="s">
        <v>3783</v>
      </c>
      <c r="BSK4388" s="379" t="s">
        <v>3783</v>
      </c>
      <c r="BSL4388" s="379" t="s">
        <v>3783</v>
      </c>
      <c r="BSM4388" s="379" t="s">
        <v>3783</v>
      </c>
      <c r="BSN4388" s="379" t="s">
        <v>3783</v>
      </c>
      <c r="BSO4388" s="379" t="s">
        <v>3783</v>
      </c>
      <c r="BSP4388" s="379" t="s">
        <v>3783</v>
      </c>
      <c r="BSQ4388" s="379" t="s">
        <v>3783</v>
      </c>
      <c r="BSR4388" s="379" t="s">
        <v>3783</v>
      </c>
      <c r="BSS4388" s="379" t="s">
        <v>3783</v>
      </c>
      <c r="BST4388" s="379" t="s">
        <v>3783</v>
      </c>
      <c r="BSU4388" s="379" t="s">
        <v>3783</v>
      </c>
      <c r="BSV4388" s="379" t="s">
        <v>3783</v>
      </c>
      <c r="BSW4388" s="379" t="s">
        <v>3783</v>
      </c>
      <c r="BSX4388" s="379" t="s">
        <v>3783</v>
      </c>
      <c r="BSY4388" s="379" t="s">
        <v>3783</v>
      </c>
      <c r="BSZ4388" s="379" t="s">
        <v>3783</v>
      </c>
      <c r="BTA4388" s="379" t="s">
        <v>3783</v>
      </c>
      <c r="BTB4388" s="379" t="s">
        <v>3783</v>
      </c>
      <c r="BTC4388" s="379" t="s">
        <v>3783</v>
      </c>
      <c r="BTD4388" s="379" t="s">
        <v>3783</v>
      </c>
      <c r="BTE4388" s="379" t="s">
        <v>3783</v>
      </c>
      <c r="BTF4388" s="379" t="s">
        <v>3783</v>
      </c>
      <c r="BTG4388" s="379" t="s">
        <v>3783</v>
      </c>
      <c r="BTH4388" s="379" t="s">
        <v>3783</v>
      </c>
      <c r="BTI4388" s="379" t="s">
        <v>3783</v>
      </c>
      <c r="BTJ4388" s="379" t="s">
        <v>3783</v>
      </c>
      <c r="BTK4388" s="379" t="s">
        <v>3783</v>
      </c>
      <c r="BTL4388" s="379" t="s">
        <v>3783</v>
      </c>
      <c r="BTM4388" s="379" t="s">
        <v>3783</v>
      </c>
      <c r="BTN4388" s="379" t="s">
        <v>3783</v>
      </c>
      <c r="BTO4388" s="379" t="s">
        <v>3783</v>
      </c>
      <c r="BTP4388" s="379" t="s">
        <v>3783</v>
      </c>
      <c r="BTQ4388" s="379" t="s">
        <v>3783</v>
      </c>
      <c r="BTR4388" s="379" t="s">
        <v>3783</v>
      </c>
      <c r="BTS4388" s="379" t="s">
        <v>3783</v>
      </c>
      <c r="BTT4388" s="379" t="s">
        <v>3783</v>
      </c>
      <c r="BTU4388" s="379" t="s">
        <v>3783</v>
      </c>
      <c r="BTV4388" s="379" t="s">
        <v>3783</v>
      </c>
      <c r="BTW4388" s="379" t="s">
        <v>3783</v>
      </c>
      <c r="BTX4388" s="379" t="s">
        <v>3783</v>
      </c>
      <c r="BTY4388" s="379" t="s">
        <v>3783</v>
      </c>
      <c r="BTZ4388" s="379" t="s">
        <v>3783</v>
      </c>
      <c r="BUA4388" s="379" t="s">
        <v>3783</v>
      </c>
      <c r="BUB4388" s="379" t="s">
        <v>3783</v>
      </c>
      <c r="BUC4388" s="379" t="s">
        <v>3783</v>
      </c>
      <c r="BUD4388" s="379" t="s">
        <v>3783</v>
      </c>
      <c r="BUE4388" s="379" t="s">
        <v>3783</v>
      </c>
      <c r="BUF4388" s="379" t="s">
        <v>3783</v>
      </c>
      <c r="BUG4388" s="379" t="s">
        <v>3783</v>
      </c>
      <c r="BUH4388" s="379" t="s">
        <v>3783</v>
      </c>
      <c r="BUI4388" s="379" t="s">
        <v>3783</v>
      </c>
      <c r="BUJ4388" s="379" t="s">
        <v>3783</v>
      </c>
      <c r="BUK4388" s="379" t="s">
        <v>3783</v>
      </c>
      <c r="BUL4388" s="379" t="s">
        <v>3783</v>
      </c>
      <c r="BUM4388" s="379" t="s">
        <v>3783</v>
      </c>
      <c r="BUN4388" s="379" t="s">
        <v>3783</v>
      </c>
      <c r="BUO4388" s="379" t="s">
        <v>3783</v>
      </c>
      <c r="BUP4388" s="379" t="s">
        <v>3783</v>
      </c>
      <c r="BUQ4388" s="379" t="s">
        <v>3783</v>
      </c>
      <c r="BUR4388" s="379" t="s">
        <v>3783</v>
      </c>
      <c r="BUS4388" s="379" t="s">
        <v>3783</v>
      </c>
      <c r="BUT4388" s="379" t="s">
        <v>3783</v>
      </c>
      <c r="BUU4388" s="379" t="s">
        <v>3783</v>
      </c>
      <c r="BUV4388" s="379" t="s">
        <v>3783</v>
      </c>
      <c r="BUW4388" s="379" t="s">
        <v>3783</v>
      </c>
      <c r="BUX4388" s="379" t="s">
        <v>3783</v>
      </c>
      <c r="BUY4388" s="379" t="s">
        <v>3783</v>
      </c>
      <c r="BUZ4388" s="379" t="s">
        <v>3783</v>
      </c>
      <c r="BVA4388" s="379" t="s">
        <v>3783</v>
      </c>
      <c r="BVB4388" s="379" t="s">
        <v>3783</v>
      </c>
      <c r="BVC4388" s="379" t="s">
        <v>3783</v>
      </c>
      <c r="BVD4388" s="379" t="s">
        <v>3783</v>
      </c>
      <c r="BVE4388" s="379" t="s">
        <v>3783</v>
      </c>
      <c r="BVF4388" s="379" t="s">
        <v>3783</v>
      </c>
      <c r="BVG4388" s="379" t="s">
        <v>3783</v>
      </c>
      <c r="BVH4388" s="379" t="s">
        <v>3783</v>
      </c>
      <c r="BVI4388" s="379" t="s">
        <v>3783</v>
      </c>
      <c r="BVJ4388" s="379" t="s">
        <v>3783</v>
      </c>
      <c r="BVK4388" s="379" t="s">
        <v>3783</v>
      </c>
      <c r="BVL4388" s="379" t="s">
        <v>3783</v>
      </c>
      <c r="BVM4388" s="379" t="s">
        <v>3783</v>
      </c>
      <c r="BVN4388" s="379" t="s">
        <v>3783</v>
      </c>
      <c r="BVO4388" s="379" t="s">
        <v>3783</v>
      </c>
      <c r="BVP4388" s="379" t="s">
        <v>3783</v>
      </c>
      <c r="BVQ4388" s="379" t="s">
        <v>3783</v>
      </c>
      <c r="BVR4388" s="379" t="s">
        <v>3783</v>
      </c>
      <c r="BVS4388" s="379" t="s">
        <v>3783</v>
      </c>
      <c r="BVT4388" s="379" t="s">
        <v>3783</v>
      </c>
      <c r="BVU4388" s="379" t="s">
        <v>3783</v>
      </c>
      <c r="BVV4388" s="379" t="s">
        <v>3783</v>
      </c>
      <c r="BVW4388" s="379" t="s">
        <v>3783</v>
      </c>
      <c r="BVX4388" s="379" t="s">
        <v>3783</v>
      </c>
      <c r="BVY4388" s="379" t="s">
        <v>3783</v>
      </c>
      <c r="BVZ4388" s="379" t="s">
        <v>3783</v>
      </c>
      <c r="BWA4388" s="379" t="s">
        <v>3783</v>
      </c>
      <c r="BWB4388" s="379" t="s">
        <v>3783</v>
      </c>
      <c r="BWC4388" s="379" t="s">
        <v>3783</v>
      </c>
      <c r="BWD4388" s="379" t="s">
        <v>3783</v>
      </c>
      <c r="BWE4388" s="379" t="s">
        <v>3783</v>
      </c>
      <c r="BWF4388" s="379" t="s">
        <v>3783</v>
      </c>
      <c r="BWG4388" s="379" t="s">
        <v>3783</v>
      </c>
      <c r="BWH4388" s="379" t="s">
        <v>3783</v>
      </c>
      <c r="BWI4388" s="379" t="s">
        <v>3783</v>
      </c>
      <c r="BWJ4388" s="379" t="s">
        <v>3783</v>
      </c>
      <c r="BWK4388" s="379" t="s">
        <v>3783</v>
      </c>
      <c r="BWL4388" s="379" t="s">
        <v>3783</v>
      </c>
      <c r="BWM4388" s="379" t="s">
        <v>3783</v>
      </c>
      <c r="BWN4388" s="379" t="s">
        <v>3783</v>
      </c>
      <c r="BWO4388" s="379" t="s">
        <v>3783</v>
      </c>
      <c r="BWP4388" s="379" t="s">
        <v>3783</v>
      </c>
      <c r="BWQ4388" s="379" t="s">
        <v>3783</v>
      </c>
      <c r="BWR4388" s="379" t="s">
        <v>3783</v>
      </c>
      <c r="BWS4388" s="379" t="s">
        <v>3783</v>
      </c>
      <c r="BWT4388" s="379" t="s">
        <v>3783</v>
      </c>
      <c r="BWU4388" s="379" t="s">
        <v>3783</v>
      </c>
      <c r="BWV4388" s="379" t="s">
        <v>3783</v>
      </c>
      <c r="BWW4388" s="379" t="s">
        <v>3783</v>
      </c>
      <c r="BWX4388" s="379" t="s">
        <v>3783</v>
      </c>
      <c r="BWY4388" s="379" t="s">
        <v>3783</v>
      </c>
      <c r="BWZ4388" s="379" t="s">
        <v>3783</v>
      </c>
      <c r="BXA4388" s="379" t="s">
        <v>3783</v>
      </c>
      <c r="BXB4388" s="379" t="s">
        <v>3783</v>
      </c>
      <c r="BXC4388" s="379" t="s">
        <v>3783</v>
      </c>
      <c r="BXD4388" s="379" t="s">
        <v>3783</v>
      </c>
      <c r="BXE4388" s="379" t="s">
        <v>3783</v>
      </c>
      <c r="BXF4388" s="379" t="s">
        <v>3783</v>
      </c>
      <c r="BXG4388" s="379" t="s">
        <v>3783</v>
      </c>
      <c r="BXH4388" s="379" t="s">
        <v>3783</v>
      </c>
      <c r="BXI4388" s="379" t="s">
        <v>3783</v>
      </c>
      <c r="BXJ4388" s="379" t="s">
        <v>3783</v>
      </c>
      <c r="BXK4388" s="379" t="s">
        <v>3783</v>
      </c>
      <c r="BXL4388" s="379" t="s">
        <v>3783</v>
      </c>
      <c r="BXM4388" s="379" t="s">
        <v>3783</v>
      </c>
      <c r="BXN4388" s="379" t="s">
        <v>3783</v>
      </c>
      <c r="BXO4388" s="379" t="s">
        <v>3783</v>
      </c>
      <c r="BXP4388" s="379" t="s">
        <v>3783</v>
      </c>
      <c r="BXQ4388" s="379" t="s">
        <v>3783</v>
      </c>
      <c r="BXR4388" s="379" t="s">
        <v>3783</v>
      </c>
      <c r="BXS4388" s="379" t="s">
        <v>3783</v>
      </c>
      <c r="BXT4388" s="379" t="s">
        <v>3783</v>
      </c>
      <c r="BXU4388" s="379" t="s">
        <v>3783</v>
      </c>
      <c r="BXV4388" s="379" t="s">
        <v>3783</v>
      </c>
      <c r="BXW4388" s="379" t="s">
        <v>3783</v>
      </c>
      <c r="BXX4388" s="379" t="s">
        <v>3783</v>
      </c>
      <c r="BXY4388" s="379" t="s">
        <v>3783</v>
      </c>
      <c r="BXZ4388" s="379" t="s">
        <v>3783</v>
      </c>
      <c r="BYA4388" s="379" t="s">
        <v>3783</v>
      </c>
      <c r="BYB4388" s="379" t="s">
        <v>3783</v>
      </c>
      <c r="BYC4388" s="379" t="s">
        <v>3783</v>
      </c>
      <c r="BYD4388" s="379" t="s">
        <v>3783</v>
      </c>
      <c r="BYE4388" s="379" t="s">
        <v>3783</v>
      </c>
      <c r="BYF4388" s="379" t="s">
        <v>3783</v>
      </c>
      <c r="BYG4388" s="379" t="s">
        <v>3783</v>
      </c>
      <c r="BYH4388" s="379" t="s">
        <v>3783</v>
      </c>
      <c r="BYI4388" s="379" t="s">
        <v>3783</v>
      </c>
      <c r="BYJ4388" s="379" t="s">
        <v>3783</v>
      </c>
      <c r="BYK4388" s="379" t="s">
        <v>3783</v>
      </c>
      <c r="BYL4388" s="379" t="s">
        <v>3783</v>
      </c>
      <c r="BYM4388" s="379" t="s">
        <v>3783</v>
      </c>
      <c r="BYN4388" s="379" t="s">
        <v>3783</v>
      </c>
      <c r="BYO4388" s="379" t="s">
        <v>3783</v>
      </c>
      <c r="BYP4388" s="379" t="s">
        <v>3783</v>
      </c>
      <c r="BYQ4388" s="379" t="s">
        <v>3783</v>
      </c>
      <c r="BYR4388" s="379" t="s">
        <v>3783</v>
      </c>
      <c r="BYS4388" s="379" t="s">
        <v>3783</v>
      </c>
      <c r="BYT4388" s="379" t="s">
        <v>3783</v>
      </c>
      <c r="BYU4388" s="379" t="s">
        <v>3783</v>
      </c>
      <c r="BYV4388" s="379" t="s">
        <v>3783</v>
      </c>
      <c r="BYW4388" s="379" t="s">
        <v>3783</v>
      </c>
      <c r="BYX4388" s="379" t="s">
        <v>3783</v>
      </c>
      <c r="BYY4388" s="379" t="s">
        <v>3783</v>
      </c>
      <c r="BYZ4388" s="379" t="s">
        <v>3783</v>
      </c>
      <c r="BZA4388" s="379" t="s">
        <v>3783</v>
      </c>
      <c r="BZB4388" s="379" t="s">
        <v>3783</v>
      </c>
      <c r="BZC4388" s="379" t="s">
        <v>3783</v>
      </c>
      <c r="BZD4388" s="379" t="s">
        <v>3783</v>
      </c>
      <c r="BZE4388" s="379" t="s">
        <v>3783</v>
      </c>
      <c r="BZF4388" s="379" t="s">
        <v>3783</v>
      </c>
      <c r="BZG4388" s="379" t="s">
        <v>3783</v>
      </c>
      <c r="BZH4388" s="379" t="s">
        <v>3783</v>
      </c>
      <c r="BZI4388" s="379" t="s">
        <v>3783</v>
      </c>
      <c r="BZJ4388" s="379" t="s">
        <v>3783</v>
      </c>
      <c r="BZK4388" s="379" t="s">
        <v>3783</v>
      </c>
      <c r="BZL4388" s="379" t="s">
        <v>3783</v>
      </c>
      <c r="BZM4388" s="379" t="s">
        <v>3783</v>
      </c>
      <c r="BZN4388" s="379" t="s">
        <v>3783</v>
      </c>
      <c r="BZO4388" s="379" t="s">
        <v>3783</v>
      </c>
      <c r="BZP4388" s="379" t="s">
        <v>3783</v>
      </c>
      <c r="BZQ4388" s="379" t="s">
        <v>3783</v>
      </c>
      <c r="BZR4388" s="379" t="s">
        <v>3783</v>
      </c>
      <c r="BZS4388" s="379" t="s">
        <v>3783</v>
      </c>
      <c r="BZT4388" s="379" t="s">
        <v>3783</v>
      </c>
      <c r="BZU4388" s="379" t="s">
        <v>3783</v>
      </c>
      <c r="BZV4388" s="379" t="s">
        <v>3783</v>
      </c>
      <c r="BZW4388" s="379" t="s">
        <v>3783</v>
      </c>
      <c r="BZX4388" s="379" t="s">
        <v>3783</v>
      </c>
      <c r="BZY4388" s="379" t="s">
        <v>3783</v>
      </c>
      <c r="BZZ4388" s="379" t="s">
        <v>3783</v>
      </c>
      <c r="CAA4388" s="379" t="s">
        <v>3783</v>
      </c>
      <c r="CAB4388" s="379" t="s">
        <v>3783</v>
      </c>
      <c r="CAC4388" s="379" t="s">
        <v>3783</v>
      </c>
      <c r="CAD4388" s="379" t="s">
        <v>3783</v>
      </c>
      <c r="CAE4388" s="379" t="s">
        <v>3783</v>
      </c>
      <c r="CAF4388" s="379" t="s">
        <v>3783</v>
      </c>
      <c r="CAG4388" s="379" t="s">
        <v>3783</v>
      </c>
      <c r="CAH4388" s="379" t="s">
        <v>3783</v>
      </c>
      <c r="CAI4388" s="379" t="s">
        <v>3783</v>
      </c>
      <c r="CAJ4388" s="379" t="s">
        <v>3783</v>
      </c>
      <c r="CAK4388" s="379" t="s">
        <v>3783</v>
      </c>
      <c r="CAL4388" s="379" t="s">
        <v>3783</v>
      </c>
      <c r="CAM4388" s="379" t="s">
        <v>3783</v>
      </c>
      <c r="CAN4388" s="379" t="s">
        <v>3783</v>
      </c>
      <c r="CAO4388" s="379" t="s">
        <v>3783</v>
      </c>
      <c r="CAP4388" s="379" t="s">
        <v>3783</v>
      </c>
      <c r="CAQ4388" s="379" t="s">
        <v>3783</v>
      </c>
      <c r="CAR4388" s="379" t="s">
        <v>3783</v>
      </c>
      <c r="CAS4388" s="379" t="s">
        <v>3783</v>
      </c>
      <c r="CAT4388" s="379" t="s">
        <v>3783</v>
      </c>
      <c r="CAU4388" s="379" t="s">
        <v>3783</v>
      </c>
      <c r="CAV4388" s="379" t="s">
        <v>3783</v>
      </c>
      <c r="CAW4388" s="379" t="s">
        <v>3783</v>
      </c>
      <c r="CAX4388" s="379" t="s">
        <v>3783</v>
      </c>
      <c r="CAY4388" s="379" t="s">
        <v>3783</v>
      </c>
      <c r="CAZ4388" s="379" t="s">
        <v>3783</v>
      </c>
      <c r="CBA4388" s="379" t="s">
        <v>3783</v>
      </c>
      <c r="CBB4388" s="379" t="s">
        <v>3783</v>
      </c>
      <c r="CBC4388" s="379" t="s">
        <v>3783</v>
      </c>
      <c r="CBD4388" s="379" t="s">
        <v>3783</v>
      </c>
      <c r="CBE4388" s="379" t="s">
        <v>3783</v>
      </c>
      <c r="CBF4388" s="379" t="s">
        <v>3783</v>
      </c>
      <c r="CBG4388" s="379" t="s">
        <v>3783</v>
      </c>
      <c r="CBH4388" s="379" t="s">
        <v>3783</v>
      </c>
      <c r="CBI4388" s="379" t="s">
        <v>3783</v>
      </c>
      <c r="CBJ4388" s="379" t="s">
        <v>3783</v>
      </c>
      <c r="CBK4388" s="379" t="s">
        <v>3783</v>
      </c>
      <c r="CBL4388" s="379" t="s">
        <v>3783</v>
      </c>
      <c r="CBM4388" s="379" t="s">
        <v>3783</v>
      </c>
      <c r="CBN4388" s="379" t="s">
        <v>3783</v>
      </c>
      <c r="CBO4388" s="379" t="s">
        <v>3783</v>
      </c>
      <c r="CBP4388" s="379" t="s">
        <v>3783</v>
      </c>
      <c r="CBQ4388" s="379" t="s">
        <v>3783</v>
      </c>
      <c r="CBR4388" s="379" t="s">
        <v>3783</v>
      </c>
      <c r="CBS4388" s="379" t="s">
        <v>3783</v>
      </c>
      <c r="CBT4388" s="379" t="s">
        <v>3783</v>
      </c>
      <c r="CBU4388" s="379" t="s">
        <v>3783</v>
      </c>
      <c r="CBV4388" s="379" t="s">
        <v>3783</v>
      </c>
      <c r="CBW4388" s="379" t="s">
        <v>3783</v>
      </c>
      <c r="CBX4388" s="379" t="s">
        <v>3783</v>
      </c>
      <c r="CBY4388" s="379" t="s">
        <v>3783</v>
      </c>
      <c r="CBZ4388" s="379" t="s">
        <v>3783</v>
      </c>
      <c r="CCA4388" s="379" t="s">
        <v>3783</v>
      </c>
      <c r="CCB4388" s="379" t="s">
        <v>3783</v>
      </c>
      <c r="CCC4388" s="379" t="s">
        <v>3783</v>
      </c>
      <c r="CCD4388" s="379" t="s">
        <v>3783</v>
      </c>
      <c r="CCE4388" s="379" t="s">
        <v>3783</v>
      </c>
      <c r="CCF4388" s="379" t="s">
        <v>3783</v>
      </c>
      <c r="CCG4388" s="379" t="s">
        <v>3783</v>
      </c>
      <c r="CCH4388" s="379" t="s">
        <v>3783</v>
      </c>
      <c r="CCI4388" s="379" t="s">
        <v>3783</v>
      </c>
      <c r="CCJ4388" s="379" t="s">
        <v>3783</v>
      </c>
      <c r="CCK4388" s="379" t="s">
        <v>3783</v>
      </c>
      <c r="CCL4388" s="379" t="s">
        <v>3783</v>
      </c>
      <c r="CCM4388" s="379" t="s">
        <v>3783</v>
      </c>
      <c r="CCN4388" s="379" t="s">
        <v>3783</v>
      </c>
      <c r="CCO4388" s="379" t="s">
        <v>3783</v>
      </c>
      <c r="CCP4388" s="379" t="s">
        <v>3783</v>
      </c>
      <c r="CCQ4388" s="379" t="s">
        <v>3783</v>
      </c>
      <c r="CCR4388" s="379" t="s">
        <v>3783</v>
      </c>
      <c r="CCS4388" s="379" t="s">
        <v>3783</v>
      </c>
      <c r="CCT4388" s="379" t="s">
        <v>3783</v>
      </c>
      <c r="CCU4388" s="379" t="s">
        <v>3783</v>
      </c>
      <c r="CCV4388" s="379" t="s">
        <v>3783</v>
      </c>
      <c r="CCW4388" s="379" t="s">
        <v>3783</v>
      </c>
      <c r="CCX4388" s="379" t="s">
        <v>3783</v>
      </c>
      <c r="CCY4388" s="379" t="s">
        <v>3783</v>
      </c>
      <c r="CCZ4388" s="379" t="s">
        <v>3783</v>
      </c>
      <c r="CDA4388" s="379" t="s">
        <v>3783</v>
      </c>
      <c r="CDB4388" s="379" t="s">
        <v>3783</v>
      </c>
      <c r="CDC4388" s="379" t="s">
        <v>3783</v>
      </c>
      <c r="CDD4388" s="379" t="s">
        <v>3783</v>
      </c>
      <c r="CDE4388" s="379" t="s">
        <v>3783</v>
      </c>
      <c r="CDF4388" s="379" t="s">
        <v>3783</v>
      </c>
      <c r="CDG4388" s="379" t="s">
        <v>3783</v>
      </c>
      <c r="CDH4388" s="379" t="s">
        <v>3783</v>
      </c>
      <c r="CDI4388" s="379" t="s">
        <v>3783</v>
      </c>
      <c r="CDJ4388" s="379" t="s">
        <v>3783</v>
      </c>
      <c r="CDK4388" s="379" t="s">
        <v>3783</v>
      </c>
      <c r="CDL4388" s="379" t="s">
        <v>3783</v>
      </c>
      <c r="CDM4388" s="379" t="s">
        <v>3783</v>
      </c>
      <c r="CDN4388" s="379" t="s">
        <v>3783</v>
      </c>
      <c r="CDO4388" s="379" t="s">
        <v>3783</v>
      </c>
      <c r="CDP4388" s="379" t="s">
        <v>3783</v>
      </c>
      <c r="CDQ4388" s="379" t="s">
        <v>3783</v>
      </c>
      <c r="CDR4388" s="379" t="s">
        <v>3783</v>
      </c>
      <c r="CDS4388" s="379" t="s">
        <v>3783</v>
      </c>
      <c r="CDT4388" s="379" t="s">
        <v>3783</v>
      </c>
      <c r="CDU4388" s="379" t="s">
        <v>3783</v>
      </c>
      <c r="CDV4388" s="379" t="s">
        <v>3783</v>
      </c>
      <c r="CDW4388" s="379" t="s">
        <v>3783</v>
      </c>
      <c r="CDX4388" s="379" t="s">
        <v>3783</v>
      </c>
      <c r="CDY4388" s="379" t="s">
        <v>3783</v>
      </c>
      <c r="CDZ4388" s="379" t="s">
        <v>3783</v>
      </c>
      <c r="CEA4388" s="379" t="s">
        <v>3783</v>
      </c>
      <c r="CEB4388" s="379" t="s">
        <v>3783</v>
      </c>
      <c r="CEC4388" s="379" t="s">
        <v>3783</v>
      </c>
      <c r="CED4388" s="379" t="s">
        <v>3783</v>
      </c>
      <c r="CEE4388" s="379" t="s">
        <v>3783</v>
      </c>
      <c r="CEF4388" s="379" t="s">
        <v>3783</v>
      </c>
      <c r="CEG4388" s="379" t="s">
        <v>3783</v>
      </c>
      <c r="CEH4388" s="379" t="s">
        <v>3783</v>
      </c>
      <c r="CEI4388" s="379" t="s">
        <v>3783</v>
      </c>
      <c r="CEJ4388" s="379" t="s">
        <v>3783</v>
      </c>
      <c r="CEK4388" s="379" t="s">
        <v>3783</v>
      </c>
      <c r="CEL4388" s="379" t="s">
        <v>3783</v>
      </c>
      <c r="CEM4388" s="379" t="s">
        <v>3783</v>
      </c>
      <c r="CEN4388" s="379" t="s">
        <v>3783</v>
      </c>
      <c r="CEO4388" s="379" t="s">
        <v>3783</v>
      </c>
      <c r="CEP4388" s="379" t="s">
        <v>3783</v>
      </c>
      <c r="CEQ4388" s="379" t="s">
        <v>3783</v>
      </c>
      <c r="CER4388" s="379" t="s">
        <v>3783</v>
      </c>
      <c r="CES4388" s="379" t="s">
        <v>3783</v>
      </c>
      <c r="CET4388" s="379" t="s">
        <v>3783</v>
      </c>
      <c r="CEU4388" s="379" t="s">
        <v>3783</v>
      </c>
      <c r="CEV4388" s="379" t="s">
        <v>3783</v>
      </c>
      <c r="CEW4388" s="379" t="s">
        <v>3783</v>
      </c>
      <c r="CEX4388" s="379" t="s">
        <v>3783</v>
      </c>
      <c r="CEY4388" s="379" t="s">
        <v>3783</v>
      </c>
      <c r="CEZ4388" s="379" t="s">
        <v>3783</v>
      </c>
      <c r="CFA4388" s="379" t="s">
        <v>3783</v>
      </c>
      <c r="CFB4388" s="379" t="s">
        <v>3783</v>
      </c>
      <c r="CFC4388" s="379" t="s">
        <v>3783</v>
      </c>
      <c r="CFD4388" s="379" t="s">
        <v>3783</v>
      </c>
      <c r="CFE4388" s="379" t="s">
        <v>3783</v>
      </c>
      <c r="CFF4388" s="379" t="s">
        <v>3783</v>
      </c>
      <c r="CFG4388" s="379" t="s">
        <v>3783</v>
      </c>
      <c r="CFH4388" s="379" t="s">
        <v>3783</v>
      </c>
      <c r="CFI4388" s="379" t="s">
        <v>3783</v>
      </c>
      <c r="CFJ4388" s="379" t="s">
        <v>3783</v>
      </c>
      <c r="CFK4388" s="379" t="s">
        <v>3783</v>
      </c>
      <c r="CFL4388" s="379" t="s">
        <v>3783</v>
      </c>
      <c r="CFM4388" s="379" t="s">
        <v>3783</v>
      </c>
      <c r="CFN4388" s="379" t="s">
        <v>3783</v>
      </c>
      <c r="CFO4388" s="379" t="s">
        <v>3783</v>
      </c>
      <c r="CFP4388" s="379" t="s">
        <v>3783</v>
      </c>
      <c r="CFQ4388" s="379" t="s">
        <v>3783</v>
      </c>
      <c r="CFR4388" s="379" t="s">
        <v>3783</v>
      </c>
      <c r="CFS4388" s="379" t="s">
        <v>3783</v>
      </c>
      <c r="CFT4388" s="379" t="s">
        <v>3783</v>
      </c>
      <c r="CFU4388" s="379" t="s">
        <v>3783</v>
      </c>
      <c r="CFV4388" s="379" t="s">
        <v>3783</v>
      </c>
      <c r="CFW4388" s="379" t="s">
        <v>3783</v>
      </c>
      <c r="CFX4388" s="379" t="s">
        <v>3783</v>
      </c>
      <c r="CFY4388" s="379" t="s">
        <v>3783</v>
      </c>
      <c r="CFZ4388" s="379" t="s">
        <v>3783</v>
      </c>
      <c r="CGA4388" s="379" t="s">
        <v>3783</v>
      </c>
      <c r="CGB4388" s="379" t="s">
        <v>3783</v>
      </c>
      <c r="CGC4388" s="379" t="s">
        <v>3783</v>
      </c>
      <c r="CGD4388" s="379" t="s">
        <v>3783</v>
      </c>
      <c r="CGE4388" s="379" t="s">
        <v>3783</v>
      </c>
      <c r="CGF4388" s="379" t="s">
        <v>3783</v>
      </c>
      <c r="CGG4388" s="379" t="s">
        <v>3783</v>
      </c>
      <c r="CGH4388" s="379" t="s">
        <v>3783</v>
      </c>
      <c r="CGI4388" s="379" t="s">
        <v>3783</v>
      </c>
      <c r="CGJ4388" s="379" t="s">
        <v>3783</v>
      </c>
      <c r="CGK4388" s="379" t="s">
        <v>3783</v>
      </c>
      <c r="CGL4388" s="379" t="s">
        <v>3783</v>
      </c>
      <c r="CGM4388" s="379" t="s">
        <v>3783</v>
      </c>
      <c r="CGN4388" s="379" t="s">
        <v>3783</v>
      </c>
      <c r="CGO4388" s="379" t="s">
        <v>3783</v>
      </c>
      <c r="CGP4388" s="379" t="s">
        <v>3783</v>
      </c>
      <c r="CGQ4388" s="379" t="s">
        <v>3783</v>
      </c>
      <c r="CGR4388" s="379" t="s">
        <v>3783</v>
      </c>
      <c r="CGS4388" s="379" t="s">
        <v>3783</v>
      </c>
      <c r="CGT4388" s="379" t="s">
        <v>3783</v>
      </c>
      <c r="CGU4388" s="379" t="s">
        <v>3783</v>
      </c>
      <c r="CGV4388" s="379" t="s">
        <v>3783</v>
      </c>
      <c r="CGW4388" s="379" t="s">
        <v>3783</v>
      </c>
      <c r="CGX4388" s="379" t="s">
        <v>3783</v>
      </c>
      <c r="CGY4388" s="379" t="s">
        <v>3783</v>
      </c>
      <c r="CGZ4388" s="379" t="s">
        <v>3783</v>
      </c>
      <c r="CHA4388" s="379" t="s">
        <v>3783</v>
      </c>
      <c r="CHB4388" s="379" t="s">
        <v>3783</v>
      </c>
      <c r="CHC4388" s="379" t="s">
        <v>3783</v>
      </c>
      <c r="CHD4388" s="379" t="s">
        <v>3783</v>
      </c>
      <c r="CHE4388" s="379" t="s">
        <v>3783</v>
      </c>
      <c r="CHF4388" s="379" t="s">
        <v>3783</v>
      </c>
      <c r="CHG4388" s="379" t="s">
        <v>3783</v>
      </c>
      <c r="CHH4388" s="379" t="s">
        <v>3783</v>
      </c>
      <c r="CHI4388" s="379" t="s">
        <v>3783</v>
      </c>
      <c r="CHJ4388" s="379" t="s">
        <v>3783</v>
      </c>
      <c r="CHK4388" s="379" t="s">
        <v>3783</v>
      </c>
      <c r="CHL4388" s="379" t="s">
        <v>3783</v>
      </c>
      <c r="CHM4388" s="379" t="s">
        <v>3783</v>
      </c>
      <c r="CHN4388" s="379" t="s">
        <v>3783</v>
      </c>
      <c r="CHO4388" s="379" t="s">
        <v>3783</v>
      </c>
      <c r="CHP4388" s="379" t="s">
        <v>3783</v>
      </c>
      <c r="CHQ4388" s="379" t="s">
        <v>3783</v>
      </c>
      <c r="CHR4388" s="379" t="s">
        <v>3783</v>
      </c>
      <c r="CHS4388" s="379" t="s">
        <v>3783</v>
      </c>
      <c r="CHT4388" s="379" t="s">
        <v>3783</v>
      </c>
      <c r="CHU4388" s="379" t="s">
        <v>3783</v>
      </c>
      <c r="CHV4388" s="379" t="s">
        <v>3783</v>
      </c>
      <c r="CHW4388" s="379" t="s">
        <v>3783</v>
      </c>
      <c r="CHX4388" s="379" t="s">
        <v>3783</v>
      </c>
      <c r="CHY4388" s="379" t="s">
        <v>3783</v>
      </c>
      <c r="CHZ4388" s="379" t="s">
        <v>3783</v>
      </c>
      <c r="CIA4388" s="379" t="s">
        <v>3783</v>
      </c>
      <c r="CIB4388" s="379" t="s">
        <v>3783</v>
      </c>
      <c r="CIC4388" s="379" t="s">
        <v>3783</v>
      </c>
      <c r="CID4388" s="379" t="s">
        <v>3783</v>
      </c>
      <c r="CIE4388" s="379" t="s">
        <v>3783</v>
      </c>
      <c r="CIF4388" s="379" t="s">
        <v>3783</v>
      </c>
      <c r="CIG4388" s="379" t="s">
        <v>3783</v>
      </c>
      <c r="CIH4388" s="379" t="s">
        <v>3783</v>
      </c>
      <c r="CII4388" s="379" t="s">
        <v>3783</v>
      </c>
      <c r="CIJ4388" s="379" t="s">
        <v>3783</v>
      </c>
      <c r="CIK4388" s="379" t="s">
        <v>3783</v>
      </c>
      <c r="CIL4388" s="379" t="s">
        <v>3783</v>
      </c>
      <c r="CIM4388" s="379" t="s">
        <v>3783</v>
      </c>
      <c r="CIN4388" s="379" t="s">
        <v>3783</v>
      </c>
      <c r="CIO4388" s="379" t="s">
        <v>3783</v>
      </c>
      <c r="CIP4388" s="379" t="s">
        <v>3783</v>
      </c>
      <c r="CIQ4388" s="379" t="s">
        <v>3783</v>
      </c>
      <c r="CIR4388" s="379" t="s">
        <v>3783</v>
      </c>
      <c r="CIS4388" s="379" t="s">
        <v>3783</v>
      </c>
      <c r="CIT4388" s="379" t="s">
        <v>3783</v>
      </c>
      <c r="CIU4388" s="379" t="s">
        <v>3783</v>
      </c>
      <c r="CIV4388" s="379" t="s">
        <v>3783</v>
      </c>
      <c r="CIW4388" s="379" t="s">
        <v>3783</v>
      </c>
      <c r="CIX4388" s="379" t="s">
        <v>3783</v>
      </c>
      <c r="CIY4388" s="379" t="s">
        <v>3783</v>
      </c>
      <c r="CIZ4388" s="379" t="s">
        <v>3783</v>
      </c>
      <c r="CJA4388" s="379" t="s">
        <v>3783</v>
      </c>
      <c r="CJB4388" s="379" t="s">
        <v>3783</v>
      </c>
      <c r="CJC4388" s="379" t="s">
        <v>3783</v>
      </c>
      <c r="CJD4388" s="379" t="s">
        <v>3783</v>
      </c>
      <c r="CJE4388" s="379" t="s">
        <v>3783</v>
      </c>
      <c r="CJF4388" s="379" t="s">
        <v>3783</v>
      </c>
      <c r="CJG4388" s="379" t="s">
        <v>3783</v>
      </c>
      <c r="CJH4388" s="379" t="s">
        <v>3783</v>
      </c>
      <c r="CJI4388" s="379" t="s">
        <v>3783</v>
      </c>
      <c r="CJJ4388" s="379" t="s">
        <v>3783</v>
      </c>
      <c r="CJK4388" s="379" t="s">
        <v>3783</v>
      </c>
      <c r="CJL4388" s="379" t="s">
        <v>3783</v>
      </c>
      <c r="CJM4388" s="379" t="s">
        <v>3783</v>
      </c>
      <c r="CJN4388" s="379" t="s">
        <v>3783</v>
      </c>
      <c r="CJO4388" s="379" t="s">
        <v>3783</v>
      </c>
      <c r="CJP4388" s="379" t="s">
        <v>3783</v>
      </c>
      <c r="CJQ4388" s="379" t="s">
        <v>3783</v>
      </c>
      <c r="CJR4388" s="379" t="s">
        <v>3783</v>
      </c>
      <c r="CJS4388" s="379" t="s">
        <v>3783</v>
      </c>
      <c r="CJT4388" s="379" t="s">
        <v>3783</v>
      </c>
      <c r="CJU4388" s="379" t="s">
        <v>3783</v>
      </c>
      <c r="CJV4388" s="379" t="s">
        <v>3783</v>
      </c>
      <c r="CJW4388" s="379" t="s">
        <v>3783</v>
      </c>
      <c r="CJX4388" s="379" t="s">
        <v>3783</v>
      </c>
      <c r="CJY4388" s="379" t="s">
        <v>3783</v>
      </c>
      <c r="CJZ4388" s="379" t="s">
        <v>3783</v>
      </c>
      <c r="CKA4388" s="379" t="s">
        <v>3783</v>
      </c>
      <c r="CKB4388" s="379" t="s">
        <v>3783</v>
      </c>
      <c r="CKC4388" s="379" t="s">
        <v>3783</v>
      </c>
      <c r="CKD4388" s="379" t="s">
        <v>3783</v>
      </c>
      <c r="CKE4388" s="379" t="s">
        <v>3783</v>
      </c>
      <c r="CKF4388" s="379" t="s">
        <v>3783</v>
      </c>
      <c r="CKG4388" s="379" t="s">
        <v>3783</v>
      </c>
      <c r="CKH4388" s="379" t="s">
        <v>3783</v>
      </c>
      <c r="CKI4388" s="379" t="s">
        <v>3783</v>
      </c>
      <c r="CKJ4388" s="379" t="s">
        <v>3783</v>
      </c>
      <c r="CKK4388" s="379" t="s">
        <v>3783</v>
      </c>
      <c r="CKL4388" s="379" t="s">
        <v>3783</v>
      </c>
      <c r="CKM4388" s="379" t="s">
        <v>3783</v>
      </c>
      <c r="CKN4388" s="379" t="s">
        <v>3783</v>
      </c>
      <c r="CKO4388" s="379" t="s">
        <v>3783</v>
      </c>
      <c r="CKP4388" s="379" t="s">
        <v>3783</v>
      </c>
      <c r="CKQ4388" s="379" t="s">
        <v>3783</v>
      </c>
      <c r="CKR4388" s="379" t="s">
        <v>3783</v>
      </c>
      <c r="CKS4388" s="379" t="s">
        <v>3783</v>
      </c>
      <c r="CKT4388" s="379" t="s">
        <v>3783</v>
      </c>
      <c r="CKU4388" s="379" t="s">
        <v>3783</v>
      </c>
      <c r="CKV4388" s="379" t="s">
        <v>3783</v>
      </c>
      <c r="CKW4388" s="379" t="s">
        <v>3783</v>
      </c>
      <c r="CKX4388" s="379" t="s">
        <v>3783</v>
      </c>
      <c r="CKY4388" s="379" t="s">
        <v>3783</v>
      </c>
      <c r="CKZ4388" s="379" t="s">
        <v>3783</v>
      </c>
      <c r="CLA4388" s="379" t="s">
        <v>3783</v>
      </c>
      <c r="CLB4388" s="379" t="s">
        <v>3783</v>
      </c>
      <c r="CLC4388" s="379" t="s">
        <v>3783</v>
      </c>
      <c r="CLD4388" s="379" t="s">
        <v>3783</v>
      </c>
      <c r="CLE4388" s="379" t="s">
        <v>3783</v>
      </c>
      <c r="CLF4388" s="379" t="s">
        <v>3783</v>
      </c>
      <c r="CLG4388" s="379" t="s">
        <v>3783</v>
      </c>
      <c r="CLH4388" s="379" t="s">
        <v>3783</v>
      </c>
      <c r="CLI4388" s="379" t="s">
        <v>3783</v>
      </c>
      <c r="CLJ4388" s="379" t="s">
        <v>3783</v>
      </c>
      <c r="CLK4388" s="379" t="s">
        <v>3783</v>
      </c>
      <c r="CLL4388" s="379" t="s">
        <v>3783</v>
      </c>
      <c r="CLM4388" s="379" t="s">
        <v>3783</v>
      </c>
      <c r="CLN4388" s="379" t="s">
        <v>3783</v>
      </c>
      <c r="CLO4388" s="379" t="s">
        <v>3783</v>
      </c>
      <c r="CLP4388" s="379" t="s">
        <v>3783</v>
      </c>
      <c r="CLQ4388" s="379" t="s">
        <v>3783</v>
      </c>
      <c r="CLR4388" s="379" t="s">
        <v>3783</v>
      </c>
      <c r="CLS4388" s="379" t="s">
        <v>3783</v>
      </c>
      <c r="CLT4388" s="379" t="s">
        <v>3783</v>
      </c>
      <c r="CLU4388" s="379" t="s">
        <v>3783</v>
      </c>
      <c r="CLV4388" s="379" t="s">
        <v>3783</v>
      </c>
      <c r="CLW4388" s="379" t="s">
        <v>3783</v>
      </c>
      <c r="CLX4388" s="379" t="s">
        <v>3783</v>
      </c>
      <c r="CLY4388" s="379" t="s">
        <v>3783</v>
      </c>
      <c r="CLZ4388" s="379" t="s">
        <v>3783</v>
      </c>
      <c r="CMA4388" s="379" t="s">
        <v>3783</v>
      </c>
      <c r="CMB4388" s="379" t="s">
        <v>3783</v>
      </c>
      <c r="CMC4388" s="379" t="s">
        <v>3783</v>
      </c>
      <c r="CMD4388" s="379" t="s">
        <v>3783</v>
      </c>
      <c r="CME4388" s="379" t="s">
        <v>3783</v>
      </c>
      <c r="CMF4388" s="379" t="s">
        <v>3783</v>
      </c>
      <c r="CMG4388" s="379" t="s">
        <v>3783</v>
      </c>
      <c r="CMH4388" s="379" t="s">
        <v>3783</v>
      </c>
      <c r="CMI4388" s="379" t="s">
        <v>3783</v>
      </c>
      <c r="CMJ4388" s="379" t="s">
        <v>3783</v>
      </c>
      <c r="CMK4388" s="379" t="s">
        <v>3783</v>
      </c>
      <c r="CML4388" s="379" t="s">
        <v>3783</v>
      </c>
      <c r="CMM4388" s="379" t="s">
        <v>3783</v>
      </c>
      <c r="CMN4388" s="379" t="s">
        <v>3783</v>
      </c>
      <c r="CMO4388" s="379" t="s">
        <v>3783</v>
      </c>
      <c r="CMP4388" s="379" t="s">
        <v>3783</v>
      </c>
      <c r="CMQ4388" s="379" t="s">
        <v>3783</v>
      </c>
      <c r="CMR4388" s="379" t="s">
        <v>3783</v>
      </c>
      <c r="CMS4388" s="379" t="s">
        <v>3783</v>
      </c>
      <c r="CMT4388" s="379" t="s">
        <v>3783</v>
      </c>
      <c r="CMU4388" s="379" t="s">
        <v>3783</v>
      </c>
      <c r="CMV4388" s="379" t="s">
        <v>3783</v>
      </c>
      <c r="CMW4388" s="379" t="s">
        <v>3783</v>
      </c>
      <c r="CMX4388" s="379" t="s">
        <v>3783</v>
      </c>
      <c r="CMY4388" s="379" t="s">
        <v>3783</v>
      </c>
      <c r="CMZ4388" s="379" t="s">
        <v>3783</v>
      </c>
      <c r="CNA4388" s="379" t="s">
        <v>3783</v>
      </c>
      <c r="CNB4388" s="379" t="s">
        <v>3783</v>
      </c>
      <c r="CNC4388" s="379" t="s">
        <v>3783</v>
      </c>
      <c r="CND4388" s="379" t="s">
        <v>3783</v>
      </c>
      <c r="CNE4388" s="379" t="s">
        <v>3783</v>
      </c>
      <c r="CNF4388" s="379" t="s">
        <v>3783</v>
      </c>
      <c r="CNG4388" s="379" t="s">
        <v>3783</v>
      </c>
      <c r="CNH4388" s="379" t="s">
        <v>3783</v>
      </c>
      <c r="CNI4388" s="379" t="s">
        <v>3783</v>
      </c>
      <c r="CNJ4388" s="379" t="s">
        <v>3783</v>
      </c>
      <c r="CNK4388" s="379" t="s">
        <v>3783</v>
      </c>
      <c r="CNL4388" s="379" t="s">
        <v>3783</v>
      </c>
      <c r="CNM4388" s="379" t="s">
        <v>3783</v>
      </c>
      <c r="CNN4388" s="379" t="s">
        <v>3783</v>
      </c>
      <c r="CNO4388" s="379" t="s">
        <v>3783</v>
      </c>
      <c r="CNP4388" s="379" t="s">
        <v>3783</v>
      </c>
      <c r="CNQ4388" s="379" t="s">
        <v>3783</v>
      </c>
      <c r="CNR4388" s="379" t="s">
        <v>3783</v>
      </c>
      <c r="CNS4388" s="379" t="s">
        <v>3783</v>
      </c>
      <c r="CNT4388" s="379" t="s">
        <v>3783</v>
      </c>
      <c r="CNU4388" s="379" t="s">
        <v>3783</v>
      </c>
      <c r="CNV4388" s="379" t="s">
        <v>3783</v>
      </c>
      <c r="CNW4388" s="379" t="s">
        <v>3783</v>
      </c>
      <c r="CNX4388" s="379" t="s">
        <v>3783</v>
      </c>
      <c r="CNY4388" s="379" t="s">
        <v>3783</v>
      </c>
      <c r="CNZ4388" s="379" t="s">
        <v>3783</v>
      </c>
      <c r="COA4388" s="379" t="s">
        <v>3783</v>
      </c>
      <c r="COB4388" s="379" t="s">
        <v>3783</v>
      </c>
      <c r="COC4388" s="379" t="s">
        <v>3783</v>
      </c>
      <c r="COD4388" s="379" t="s">
        <v>3783</v>
      </c>
      <c r="COE4388" s="379" t="s">
        <v>3783</v>
      </c>
      <c r="COF4388" s="379" t="s">
        <v>3783</v>
      </c>
      <c r="COG4388" s="379" t="s">
        <v>3783</v>
      </c>
      <c r="COH4388" s="379" t="s">
        <v>3783</v>
      </c>
      <c r="COI4388" s="379" t="s">
        <v>3783</v>
      </c>
      <c r="COJ4388" s="379" t="s">
        <v>3783</v>
      </c>
      <c r="COK4388" s="379" t="s">
        <v>3783</v>
      </c>
      <c r="COL4388" s="379" t="s">
        <v>3783</v>
      </c>
      <c r="COM4388" s="379" t="s">
        <v>3783</v>
      </c>
      <c r="CON4388" s="379" t="s">
        <v>3783</v>
      </c>
      <c r="COO4388" s="379" t="s">
        <v>3783</v>
      </c>
      <c r="COP4388" s="379" t="s">
        <v>3783</v>
      </c>
      <c r="COQ4388" s="379" t="s">
        <v>3783</v>
      </c>
      <c r="COR4388" s="379" t="s">
        <v>3783</v>
      </c>
      <c r="COS4388" s="379" t="s">
        <v>3783</v>
      </c>
      <c r="COT4388" s="379" t="s">
        <v>3783</v>
      </c>
      <c r="COU4388" s="379" t="s">
        <v>3783</v>
      </c>
      <c r="COV4388" s="379" t="s">
        <v>3783</v>
      </c>
      <c r="COW4388" s="379" t="s">
        <v>3783</v>
      </c>
      <c r="COX4388" s="379" t="s">
        <v>3783</v>
      </c>
      <c r="COY4388" s="379" t="s">
        <v>3783</v>
      </c>
      <c r="COZ4388" s="379" t="s">
        <v>3783</v>
      </c>
      <c r="CPA4388" s="379" t="s">
        <v>3783</v>
      </c>
      <c r="CPB4388" s="379" t="s">
        <v>3783</v>
      </c>
      <c r="CPC4388" s="379" t="s">
        <v>3783</v>
      </c>
      <c r="CPD4388" s="379" t="s">
        <v>3783</v>
      </c>
      <c r="CPE4388" s="379" t="s">
        <v>3783</v>
      </c>
      <c r="CPF4388" s="379" t="s">
        <v>3783</v>
      </c>
      <c r="CPG4388" s="379" t="s">
        <v>3783</v>
      </c>
      <c r="CPH4388" s="379" t="s">
        <v>3783</v>
      </c>
      <c r="CPI4388" s="379" t="s">
        <v>3783</v>
      </c>
      <c r="CPJ4388" s="379" t="s">
        <v>3783</v>
      </c>
      <c r="CPK4388" s="379" t="s">
        <v>3783</v>
      </c>
      <c r="CPL4388" s="379" t="s">
        <v>3783</v>
      </c>
      <c r="CPM4388" s="379" t="s">
        <v>3783</v>
      </c>
      <c r="CPN4388" s="379" t="s">
        <v>3783</v>
      </c>
      <c r="CPO4388" s="379" t="s">
        <v>3783</v>
      </c>
      <c r="CPP4388" s="379" t="s">
        <v>3783</v>
      </c>
      <c r="CPQ4388" s="379" t="s">
        <v>3783</v>
      </c>
      <c r="CPR4388" s="379" t="s">
        <v>3783</v>
      </c>
      <c r="CPS4388" s="379" t="s">
        <v>3783</v>
      </c>
      <c r="CPT4388" s="379" t="s">
        <v>3783</v>
      </c>
      <c r="CPU4388" s="379" t="s">
        <v>3783</v>
      </c>
      <c r="CPV4388" s="379" t="s">
        <v>3783</v>
      </c>
      <c r="CPW4388" s="379" t="s">
        <v>3783</v>
      </c>
      <c r="CPX4388" s="379" t="s">
        <v>3783</v>
      </c>
      <c r="CPY4388" s="379" t="s">
        <v>3783</v>
      </c>
      <c r="CPZ4388" s="379" t="s">
        <v>3783</v>
      </c>
      <c r="CQA4388" s="379" t="s">
        <v>3783</v>
      </c>
      <c r="CQB4388" s="379" t="s">
        <v>3783</v>
      </c>
      <c r="CQC4388" s="379" t="s">
        <v>3783</v>
      </c>
      <c r="CQD4388" s="379" t="s">
        <v>3783</v>
      </c>
      <c r="CQE4388" s="379" t="s">
        <v>3783</v>
      </c>
      <c r="CQF4388" s="379" t="s">
        <v>3783</v>
      </c>
      <c r="CQG4388" s="379" t="s">
        <v>3783</v>
      </c>
      <c r="CQH4388" s="379" t="s">
        <v>3783</v>
      </c>
      <c r="CQI4388" s="379" t="s">
        <v>3783</v>
      </c>
      <c r="CQJ4388" s="379" t="s">
        <v>3783</v>
      </c>
      <c r="CQK4388" s="379" t="s">
        <v>3783</v>
      </c>
      <c r="CQL4388" s="379" t="s">
        <v>3783</v>
      </c>
      <c r="CQM4388" s="379" t="s">
        <v>3783</v>
      </c>
      <c r="CQN4388" s="379" t="s">
        <v>3783</v>
      </c>
      <c r="CQO4388" s="379" t="s">
        <v>3783</v>
      </c>
      <c r="CQP4388" s="379" t="s">
        <v>3783</v>
      </c>
      <c r="CQQ4388" s="379" t="s">
        <v>3783</v>
      </c>
      <c r="CQR4388" s="379" t="s">
        <v>3783</v>
      </c>
      <c r="CQS4388" s="379" t="s">
        <v>3783</v>
      </c>
      <c r="CQT4388" s="379" t="s">
        <v>3783</v>
      </c>
      <c r="CQU4388" s="379" t="s">
        <v>3783</v>
      </c>
      <c r="CQV4388" s="379" t="s">
        <v>3783</v>
      </c>
      <c r="CQW4388" s="379" t="s">
        <v>3783</v>
      </c>
      <c r="CQX4388" s="379" t="s">
        <v>3783</v>
      </c>
      <c r="CQY4388" s="379" t="s">
        <v>3783</v>
      </c>
      <c r="CQZ4388" s="379" t="s">
        <v>3783</v>
      </c>
      <c r="CRA4388" s="379" t="s">
        <v>3783</v>
      </c>
      <c r="CRB4388" s="379" t="s">
        <v>3783</v>
      </c>
      <c r="CRC4388" s="379" t="s">
        <v>3783</v>
      </c>
      <c r="CRD4388" s="379" t="s">
        <v>3783</v>
      </c>
      <c r="CRE4388" s="379" t="s">
        <v>3783</v>
      </c>
      <c r="CRF4388" s="379" t="s">
        <v>3783</v>
      </c>
      <c r="CRG4388" s="379" t="s">
        <v>3783</v>
      </c>
      <c r="CRH4388" s="379" t="s">
        <v>3783</v>
      </c>
      <c r="CRI4388" s="379" t="s">
        <v>3783</v>
      </c>
      <c r="CRJ4388" s="379" t="s">
        <v>3783</v>
      </c>
      <c r="CRK4388" s="379" t="s">
        <v>3783</v>
      </c>
      <c r="CRL4388" s="379" t="s">
        <v>3783</v>
      </c>
      <c r="CRM4388" s="379" t="s">
        <v>3783</v>
      </c>
      <c r="CRN4388" s="379" t="s">
        <v>3783</v>
      </c>
      <c r="CRO4388" s="379" t="s">
        <v>3783</v>
      </c>
      <c r="CRP4388" s="379" t="s">
        <v>3783</v>
      </c>
      <c r="CRQ4388" s="379" t="s">
        <v>3783</v>
      </c>
      <c r="CRR4388" s="379" t="s">
        <v>3783</v>
      </c>
      <c r="CRS4388" s="379" t="s">
        <v>3783</v>
      </c>
      <c r="CRT4388" s="379" t="s">
        <v>3783</v>
      </c>
      <c r="CRU4388" s="379" t="s">
        <v>3783</v>
      </c>
      <c r="CRV4388" s="379" t="s">
        <v>3783</v>
      </c>
      <c r="CRW4388" s="379" t="s">
        <v>3783</v>
      </c>
      <c r="CRX4388" s="379" t="s">
        <v>3783</v>
      </c>
      <c r="CRY4388" s="379" t="s">
        <v>3783</v>
      </c>
      <c r="CRZ4388" s="379" t="s">
        <v>3783</v>
      </c>
      <c r="CSA4388" s="379" t="s">
        <v>3783</v>
      </c>
      <c r="CSB4388" s="379" t="s">
        <v>3783</v>
      </c>
      <c r="CSC4388" s="379" t="s">
        <v>3783</v>
      </c>
      <c r="CSD4388" s="379" t="s">
        <v>3783</v>
      </c>
      <c r="CSE4388" s="379" t="s">
        <v>3783</v>
      </c>
      <c r="CSF4388" s="379" t="s">
        <v>3783</v>
      </c>
      <c r="CSG4388" s="379" t="s">
        <v>3783</v>
      </c>
      <c r="CSH4388" s="379" t="s">
        <v>3783</v>
      </c>
      <c r="CSI4388" s="379" t="s">
        <v>3783</v>
      </c>
      <c r="CSJ4388" s="379" t="s">
        <v>3783</v>
      </c>
      <c r="CSK4388" s="379" t="s">
        <v>3783</v>
      </c>
      <c r="CSL4388" s="379" t="s">
        <v>3783</v>
      </c>
      <c r="CSM4388" s="379" t="s">
        <v>3783</v>
      </c>
      <c r="CSN4388" s="379" t="s">
        <v>3783</v>
      </c>
      <c r="CSO4388" s="379" t="s">
        <v>3783</v>
      </c>
      <c r="CSP4388" s="379" t="s">
        <v>3783</v>
      </c>
      <c r="CSQ4388" s="379" t="s">
        <v>3783</v>
      </c>
      <c r="CSR4388" s="379" t="s">
        <v>3783</v>
      </c>
      <c r="CSS4388" s="379" t="s">
        <v>3783</v>
      </c>
      <c r="CST4388" s="379" t="s">
        <v>3783</v>
      </c>
      <c r="CSU4388" s="379" t="s">
        <v>3783</v>
      </c>
      <c r="CSV4388" s="379" t="s">
        <v>3783</v>
      </c>
      <c r="CSW4388" s="379" t="s">
        <v>3783</v>
      </c>
      <c r="CSX4388" s="379" t="s">
        <v>3783</v>
      </c>
      <c r="CSY4388" s="379" t="s">
        <v>3783</v>
      </c>
      <c r="CSZ4388" s="379" t="s">
        <v>3783</v>
      </c>
      <c r="CTA4388" s="379" t="s">
        <v>3783</v>
      </c>
      <c r="CTB4388" s="379" t="s">
        <v>3783</v>
      </c>
      <c r="CTC4388" s="379" t="s">
        <v>3783</v>
      </c>
      <c r="CTD4388" s="379" t="s">
        <v>3783</v>
      </c>
      <c r="CTE4388" s="379" t="s">
        <v>3783</v>
      </c>
      <c r="CTF4388" s="379" t="s">
        <v>3783</v>
      </c>
      <c r="CTG4388" s="379" t="s">
        <v>3783</v>
      </c>
      <c r="CTH4388" s="379" t="s">
        <v>3783</v>
      </c>
      <c r="CTI4388" s="379" t="s">
        <v>3783</v>
      </c>
      <c r="CTJ4388" s="379" t="s">
        <v>3783</v>
      </c>
      <c r="CTK4388" s="379" t="s">
        <v>3783</v>
      </c>
      <c r="CTL4388" s="379" t="s">
        <v>3783</v>
      </c>
      <c r="CTM4388" s="379" t="s">
        <v>3783</v>
      </c>
      <c r="CTN4388" s="379" t="s">
        <v>3783</v>
      </c>
      <c r="CTO4388" s="379" t="s">
        <v>3783</v>
      </c>
      <c r="CTP4388" s="379" t="s">
        <v>3783</v>
      </c>
      <c r="CTQ4388" s="379" t="s">
        <v>3783</v>
      </c>
      <c r="CTR4388" s="379" t="s">
        <v>3783</v>
      </c>
      <c r="CTS4388" s="379" t="s">
        <v>3783</v>
      </c>
      <c r="CTT4388" s="379" t="s">
        <v>3783</v>
      </c>
      <c r="CTU4388" s="379" t="s">
        <v>3783</v>
      </c>
      <c r="CTV4388" s="379" t="s">
        <v>3783</v>
      </c>
      <c r="CTW4388" s="379" t="s">
        <v>3783</v>
      </c>
      <c r="CTX4388" s="379" t="s">
        <v>3783</v>
      </c>
      <c r="CTY4388" s="379" t="s">
        <v>3783</v>
      </c>
      <c r="CTZ4388" s="379" t="s">
        <v>3783</v>
      </c>
      <c r="CUA4388" s="379" t="s">
        <v>3783</v>
      </c>
      <c r="CUB4388" s="379" t="s">
        <v>3783</v>
      </c>
      <c r="CUC4388" s="379" t="s">
        <v>3783</v>
      </c>
      <c r="CUD4388" s="379" t="s">
        <v>3783</v>
      </c>
      <c r="CUE4388" s="379" t="s">
        <v>3783</v>
      </c>
      <c r="CUF4388" s="379" t="s">
        <v>3783</v>
      </c>
      <c r="CUG4388" s="379" t="s">
        <v>3783</v>
      </c>
      <c r="CUH4388" s="379" t="s">
        <v>3783</v>
      </c>
      <c r="CUI4388" s="379" t="s">
        <v>3783</v>
      </c>
      <c r="CUJ4388" s="379" t="s">
        <v>3783</v>
      </c>
      <c r="CUK4388" s="379" t="s">
        <v>3783</v>
      </c>
      <c r="CUL4388" s="379" t="s">
        <v>3783</v>
      </c>
      <c r="CUM4388" s="379" t="s">
        <v>3783</v>
      </c>
      <c r="CUN4388" s="379" t="s">
        <v>3783</v>
      </c>
      <c r="CUO4388" s="379" t="s">
        <v>3783</v>
      </c>
      <c r="CUP4388" s="379" t="s">
        <v>3783</v>
      </c>
      <c r="CUQ4388" s="379" t="s">
        <v>3783</v>
      </c>
      <c r="CUR4388" s="379" t="s">
        <v>3783</v>
      </c>
      <c r="CUS4388" s="379" t="s">
        <v>3783</v>
      </c>
      <c r="CUT4388" s="379" t="s">
        <v>3783</v>
      </c>
      <c r="CUU4388" s="379" t="s">
        <v>3783</v>
      </c>
      <c r="CUV4388" s="379" t="s">
        <v>3783</v>
      </c>
      <c r="CUW4388" s="379" t="s">
        <v>3783</v>
      </c>
      <c r="CUX4388" s="379" t="s">
        <v>3783</v>
      </c>
      <c r="CUY4388" s="379" t="s">
        <v>3783</v>
      </c>
      <c r="CUZ4388" s="379" t="s">
        <v>3783</v>
      </c>
      <c r="CVA4388" s="379" t="s">
        <v>3783</v>
      </c>
      <c r="CVB4388" s="379" t="s">
        <v>3783</v>
      </c>
      <c r="CVC4388" s="379" t="s">
        <v>3783</v>
      </c>
      <c r="CVD4388" s="379" t="s">
        <v>3783</v>
      </c>
      <c r="CVE4388" s="379" t="s">
        <v>3783</v>
      </c>
      <c r="CVF4388" s="379" t="s">
        <v>3783</v>
      </c>
      <c r="CVG4388" s="379" t="s">
        <v>3783</v>
      </c>
      <c r="CVH4388" s="379" t="s">
        <v>3783</v>
      </c>
      <c r="CVI4388" s="379" t="s">
        <v>3783</v>
      </c>
      <c r="CVJ4388" s="379" t="s">
        <v>3783</v>
      </c>
      <c r="CVK4388" s="379" t="s">
        <v>3783</v>
      </c>
      <c r="CVL4388" s="379" t="s">
        <v>3783</v>
      </c>
      <c r="CVM4388" s="379" t="s">
        <v>3783</v>
      </c>
      <c r="CVN4388" s="379" t="s">
        <v>3783</v>
      </c>
      <c r="CVO4388" s="379" t="s">
        <v>3783</v>
      </c>
      <c r="CVP4388" s="379" t="s">
        <v>3783</v>
      </c>
      <c r="CVQ4388" s="379" t="s">
        <v>3783</v>
      </c>
      <c r="CVR4388" s="379" t="s">
        <v>3783</v>
      </c>
      <c r="CVS4388" s="379" t="s">
        <v>3783</v>
      </c>
      <c r="CVT4388" s="379" t="s">
        <v>3783</v>
      </c>
      <c r="CVU4388" s="379" t="s">
        <v>3783</v>
      </c>
      <c r="CVV4388" s="379" t="s">
        <v>3783</v>
      </c>
      <c r="CVW4388" s="379" t="s">
        <v>3783</v>
      </c>
      <c r="CVX4388" s="379" t="s">
        <v>3783</v>
      </c>
      <c r="CVY4388" s="379" t="s">
        <v>3783</v>
      </c>
      <c r="CVZ4388" s="379" t="s">
        <v>3783</v>
      </c>
      <c r="CWA4388" s="379" t="s">
        <v>3783</v>
      </c>
      <c r="CWB4388" s="379" t="s">
        <v>3783</v>
      </c>
      <c r="CWC4388" s="379" t="s">
        <v>3783</v>
      </c>
      <c r="CWD4388" s="379" t="s">
        <v>3783</v>
      </c>
      <c r="CWE4388" s="379" t="s">
        <v>3783</v>
      </c>
      <c r="CWF4388" s="379" t="s">
        <v>3783</v>
      </c>
      <c r="CWG4388" s="379" t="s">
        <v>3783</v>
      </c>
      <c r="CWH4388" s="379" t="s">
        <v>3783</v>
      </c>
      <c r="CWI4388" s="379" t="s">
        <v>3783</v>
      </c>
      <c r="CWJ4388" s="379" t="s">
        <v>3783</v>
      </c>
      <c r="CWK4388" s="379" t="s">
        <v>3783</v>
      </c>
      <c r="CWL4388" s="379" t="s">
        <v>3783</v>
      </c>
      <c r="CWM4388" s="379" t="s">
        <v>3783</v>
      </c>
      <c r="CWN4388" s="379" t="s">
        <v>3783</v>
      </c>
      <c r="CWO4388" s="379" t="s">
        <v>3783</v>
      </c>
      <c r="CWP4388" s="379" t="s">
        <v>3783</v>
      </c>
      <c r="CWQ4388" s="379" t="s">
        <v>3783</v>
      </c>
      <c r="CWR4388" s="379" t="s">
        <v>3783</v>
      </c>
      <c r="CWS4388" s="379" t="s">
        <v>3783</v>
      </c>
      <c r="CWT4388" s="379" t="s">
        <v>3783</v>
      </c>
      <c r="CWU4388" s="379" t="s">
        <v>3783</v>
      </c>
      <c r="CWV4388" s="379" t="s">
        <v>3783</v>
      </c>
      <c r="CWW4388" s="379" t="s">
        <v>3783</v>
      </c>
      <c r="CWX4388" s="379" t="s">
        <v>3783</v>
      </c>
      <c r="CWY4388" s="379" t="s">
        <v>3783</v>
      </c>
      <c r="CWZ4388" s="379" t="s">
        <v>3783</v>
      </c>
      <c r="CXA4388" s="379" t="s">
        <v>3783</v>
      </c>
      <c r="CXB4388" s="379" t="s">
        <v>3783</v>
      </c>
      <c r="CXC4388" s="379" t="s">
        <v>3783</v>
      </c>
      <c r="CXD4388" s="379" t="s">
        <v>3783</v>
      </c>
      <c r="CXE4388" s="379" t="s">
        <v>3783</v>
      </c>
      <c r="CXF4388" s="379" t="s">
        <v>3783</v>
      </c>
      <c r="CXG4388" s="379" t="s">
        <v>3783</v>
      </c>
      <c r="CXH4388" s="379" t="s">
        <v>3783</v>
      </c>
      <c r="CXI4388" s="379" t="s">
        <v>3783</v>
      </c>
      <c r="CXJ4388" s="379" t="s">
        <v>3783</v>
      </c>
      <c r="CXK4388" s="379" t="s">
        <v>3783</v>
      </c>
      <c r="CXL4388" s="379" t="s">
        <v>3783</v>
      </c>
      <c r="CXM4388" s="379" t="s">
        <v>3783</v>
      </c>
      <c r="CXN4388" s="379" t="s">
        <v>3783</v>
      </c>
      <c r="CXO4388" s="379" t="s">
        <v>3783</v>
      </c>
      <c r="CXP4388" s="379" t="s">
        <v>3783</v>
      </c>
      <c r="CXQ4388" s="379" t="s">
        <v>3783</v>
      </c>
      <c r="CXR4388" s="379" t="s">
        <v>3783</v>
      </c>
      <c r="CXS4388" s="379" t="s">
        <v>3783</v>
      </c>
      <c r="CXT4388" s="379" t="s">
        <v>3783</v>
      </c>
      <c r="CXU4388" s="379" t="s">
        <v>3783</v>
      </c>
      <c r="CXV4388" s="379" t="s">
        <v>3783</v>
      </c>
      <c r="CXW4388" s="379" t="s">
        <v>3783</v>
      </c>
      <c r="CXX4388" s="379" t="s">
        <v>3783</v>
      </c>
      <c r="CXY4388" s="379" t="s">
        <v>3783</v>
      </c>
      <c r="CXZ4388" s="379" t="s">
        <v>3783</v>
      </c>
      <c r="CYA4388" s="379" t="s">
        <v>3783</v>
      </c>
      <c r="CYB4388" s="379" t="s">
        <v>3783</v>
      </c>
      <c r="CYC4388" s="379" t="s">
        <v>3783</v>
      </c>
      <c r="CYD4388" s="379" t="s">
        <v>3783</v>
      </c>
      <c r="CYE4388" s="379" t="s">
        <v>3783</v>
      </c>
      <c r="CYF4388" s="379" t="s">
        <v>3783</v>
      </c>
      <c r="CYG4388" s="379" t="s">
        <v>3783</v>
      </c>
      <c r="CYH4388" s="379" t="s">
        <v>3783</v>
      </c>
      <c r="CYI4388" s="379" t="s">
        <v>3783</v>
      </c>
      <c r="CYJ4388" s="379" t="s">
        <v>3783</v>
      </c>
      <c r="CYK4388" s="379" t="s">
        <v>3783</v>
      </c>
      <c r="CYL4388" s="379" t="s">
        <v>3783</v>
      </c>
      <c r="CYM4388" s="379" t="s">
        <v>3783</v>
      </c>
      <c r="CYN4388" s="379" t="s">
        <v>3783</v>
      </c>
      <c r="CYO4388" s="379" t="s">
        <v>3783</v>
      </c>
      <c r="CYP4388" s="379" t="s">
        <v>3783</v>
      </c>
      <c r="CYQ4388" s="379" t="s">
        <v>3783</v>
      </c>
      <c r="CYR4388" s="379" t="s">
        <v>3783</v>
      </c>
      <c r="CYS4388" s="379" t="s">
        <v>3783</v>
      </c>
      <c r="CYT4388" s="379" t="s">
        <v>3783</v>
      </c>
      <c r="CYU4388" s="379" t="s">
        <v>3783</v>
      </c>
      <c r="CYV4388" s="379" t="s">
        <v>3783</v>
      </c>
      <c r="CYW4388" s="379" t="s">
        <v>3783</v>
      </c>
      <c r="CYX4388" s="379" t="s">
        <v>3783</v>
      </c>
      <c r="CYY4388" s="379" t="s">
        <v>3783</v>
      </c>
      <c r="CYZ4388" s="379" t="s">
        <v>3783</v>
      </c>
      <c r="CZA4388" s="379" t="s">
        <v>3783</v>
      </c>
      <c r="CZB4388" s="379" t="s">
        <v>3783</v>
      </c>
      <c r="CZC4388" s="379" t="s">
        <v>3783</v>
      </c>
      <c r="CZD4388" s="379" t="s">
        <v>3783</v>
      </c>
      <c r="CZE4388" s="379" t="s">
        <v>3783</v>
      </c>
      <c r="CZF4388" s="379" t="s">
        <v>3783</v>
      </c>
      <c r="CZG4388" s="379" t="s">
        <v>3783</v>
      </c>
      <c r="CZH4388" s="379" t="s">
        <v>3783</v>
      </c>
      <c r="CZI4388" s="379" t="s">
        <v>3783</v>
      </c>
      <c r="CZJ4388" s="379" t="s">
        <v>3783</v>
      </c>
      <c r="CZK4388" s="379" t="s">
        <v>3783</v>
      </c>
      <c r="CZL4388" s="379" t="s">
        <v>3783</v>
      </c>
      <c r="CZM4388" s="379" t="s">
        <v>3783</v>
      </c>
      <c r="CZN4388" s="379" t="s">
        <v>3783</v>
      </c>
      <c r="CZO4388" s="379" t="s">
        <v>3783</v>
      </c>
      <c r="CZP4388" s="379" t="s">
        <v>3783</v>
      </c>
      <c r="CZQ4388" s="379" t="s">
        <v>3783</v>
      </c>
      <c r="CZR4388" s="379" t="s">
        <v>3783</v>
      </c>
      <c r="CZS4388" s="379" t="s">
        <v>3783</v>
      </c>
      <c r="CZT4388" s="379" t="s">
        <v>3783</v>
      </c>
      <c r="CZU4388" s="379" t="s">
        <v>3783</v>
      </c>
      <c r="CZV4388" s="379" t="s">
        <v>3783</v>
      </c>
      <c r="CZW4388" s="379" t="s">
        <v>3783</v>
      </c>
      <c r="CZX4388" s="379" t="s">
        <v>3783</v>
      </c>
      <c r="CZY4388" s="379" t="s">
        <v>3783</v>
      </c>
      <c r="CZZ4388" s="379" t="s">
        <v>3783</v>
      </c>
      <c r="DAA4388" s="379" t="s">
        <v>3783</v>
      </c>
      <c r="DAB4388" s="379" t="s">
        <v>3783</v>
      </c>
      <c r="DAC4388" s="379" t="s">
        <v>3783</v>
      </c>
      <c r="DAD4388" s="379" t="s">
        <v>3783</v>
      </c>
      <c r="DAE4388" s="379" t="s">
        <v>3783</v>
      </c>
      <c r="DAF4388" s="379" t="s">
        <v>3783</v>
      </c>
      <c r="DAG4388" s="379" t="s">
        <v>3783</v>
      </c>
      <c r="DAH4388" s="379" t="s">
        <v>3783</v>
      </c>
      <c r="DAI4388" s="379" t="s">
        <v>3783</v>
      </c>
      <c r="DAJ4388" s="379" t="s">
        <v>3783</v>
      </c>
      <c r="DAK4388" s="379" t="s">
        <v>3783</v>
      </c>
      <c r="DAL4388" s="379" t="s">
        <v>3783</v>
      </c>
      <c r="DAM4388" s="379" t="s">
        <v>3783</v>
      </c>
      <c r="DAN4388" s="379" t="s">
        <v>3783</v>
      </c>
      <c r="DAO4388" s="379" t="s">
        <v>3783</v>
      </c>
      <c r="DAP4388" s="379" t="s">
        <v>3783</v>
      </c>
      <c r="DAQ4388" s="379" t="s">
        <v>3783</v>
      </c>
      <c r="DAR4388" s="379" t="s">
        <v>3783</v>
      </c>
      <c r="DAS4388" s="379" t="s">
        <v>3783</v>
      </c>
      <c r="DAT4388" s="379" t="s">
        <v>3783</v>
      </c>
      <c r="DAU4388" s="379" t="s">
        <v>3783</v>
      </c>
      <c r="DAV4388" s="379" t="s">
        <v>3783</v>
      </c>
      <c r="DAW4388" s="379" t="s">
        <v>3783</v>
      </c>
      <c r="DAX4388" s="379" t="s">
        <v>3783</v>
      </c>
      <c r="DAY4388" s="379" t="s">
        <v>3783</v>
      </c>
      <c r="DAZ4388" s="379" t="s">
        <v>3783</v>
      </c>
      <c r="DBA4388" s="379" t="s">
        <v>3783</v>
      </c>
      <c r="DBB4388" s="379" t="s">
        <v>3783</v>
      </c>
      <c r="DBC4388" s="379" t="s">
        <v>3783</v>
      </c>
      <c r="DBD4388" s="379" t="s">
        <v>3783</v>
      </c>
      <c r="DBE4388" s="379" t="s">
        <v>3783</v>
      </c>
      <c r="DBF4388" s="379" t="s">
        <v>3783</v>
      </c>
      <c r="DBG4388" s="379" t="s">
        <v>3783</v>
      </c>
      <c r="DBH4388" s="379" t="s">
        <v>3783</v>
      </c>
      <c r="DBI4388" s="379" t="s">
        <v>3783</v>
      </c>
      <c r="DBJ4388" s="379" t="s">
        <v>3783</v>
      </c>
      <c r="DBK4388" s="379" t="s">
        <v>3783</v>
      </c>
      <c r="DBL4388" s="379" t="s">
        <v>3783</v>
      </c>
      <c r="DBM4388" s="379" t="s">
        <v>3783</v>
      </c>
      <c r="DBN4388" s="379" t="s">
        <v>3783</v>
      </c>
      <c r="DBO4388" s="379" t="s">
        <v>3783</v>
      </c>
      <c r="DBP4388" s="379" t="s">
        <v>3783</v>
      </c>
      <c r="DBQ4388" s="379" t="s">
        <v>3783</v>
      </c>
      <c r="DBR4388" s="379" t="s">
        <v>3783</v>
      </c>
      <c r="DBS4388" s="379" t="s">
        <v>3783</v>
      </c>
      <c r="DBT4388" s="379" t="s">
        <v>3783</v>
      </c>
      <c r="DBU4388" s="379" t="s">
        <v>3783</v>
      </c>
      <c r="DBV4388" s="379" t="s">
        <v>3783</v>
      </c>
      <c r="DBW4388" s="379" t="s">
        <v>3783</v>
      </c>
      <c r="DBX4388" s="379" t="s">
        <v>3783</v>
      </c>
      <c r="DBY4388" s="379" t="s">
        <v>3783</v>
      </c>
      <c r="DBZ4388" s="379" t="s">
        <v>3783</v>
      </c>
      <c r="DCA4388" s="379" t="s">
        <v>3783</v>
      </c>
      <c r="DCB4388" s="379" t="s">
        <v>3783</v>
      </c>
      <c r="DCC4388" s="379" t="s">
        <v>3783</v>
      </c>
      <c r="DCD4388" s="379" t="s">
        <v>3783</v>
      </c>
      <c r="DCE4388" s="379" t="s">
        <v>3783</v>
      </c>
      <c r="DCF4388" s="379" t="s">
        <v>3783</v>
      </c>
      <c r="DCG4388" s="379" t="s">
        <v>3783</v>
      </c>
      <c r="DCH4388" s="379" t="s">
        <v>3783</v>
      </c>
      <c r="DCI4388" s="379" t="s">
        <v>3783</v>
      </c>
      <c r="DCJ4388" s="379" t="s">
        <v>3783</v>
      </c>
      <c r="DCK4388" s="379" t="s">
        <v>3783</v>
      </c>
      <c r="DCL4388" s="379" t="s">
        <v>3783</v>
      </c>
      <c r="DCM4388" s="379" t="s">
        <v>3783</v>
      </c>
      <c r="DCN4388" s="379" t="s">
        <v>3783</v>
      </c>
      <c r="DCO4388" s="379" t="s">
        <v>3783</v>
      </c>
      <c r="DCP4388" s="379" t="s">
        <v>3783</v>
      </c>
      <c r="DCQ4388" s="379" t="s">
        <v>3783</v>
      </c>
      <c r="DCR4388" s="379" t="s">
        <v>3783</v>
      </c>
      <c r="DCS4388" s="379" t="s">
        <v>3783</v>
      </c>
      <c r="DCT4388" s="379" t="s">
        <v>3783</v>
      </c>
      <c r="DCU4388" s="379" t="s">
        <v>3783</v>
      </c>
      <c r="DCV4388" s="379" t="s">
        <v>3783</v>
      </c>
      <c r="DCW4388" s="379" t="s">
        <v>3783</v>
      </c>
      <c r="DCX4388" s="379" t="s">
        <v>3783</v>
      </c>
      <c r="DCY4388" s="379" t="s">
        <v>3783</v>
      </c>
      <c r="DCZ4388" s="379" t="s">
        <v>3783</v>
      </c>
      <c r="DDA4388" s="379" t="s">
        <v>3783</v>
      </c>
      <c r="DDB4388" s="379" t="s">
        <v>3783</v>
      </c>
      <c r="DDC4388" s="379" t="s">
        <v>3783</v>
      </c>
      <c r="DDD4388" s="379" t="s">
        <v>3783</v>
      </c>
      <c r="DDE4388" s="379" t="s">
        <v>3783</v>
      </c>
      <c r="DDF4388" s="379" t="s">
        <v>3783</v>
      </c>
      <c r="DDG4388" s="379" t="s">
        <v>3783</v>
      </c>
      <c r="DDH4388" s="379" t="s">
        <v>3783</v>
      </c>
      <c r="DDI4388" s="379" t="s">
        <v>3783</v>
      </c>
      <c r="DDJ4388" s="379" t="s">
        <v>3783</v>
      </c>
      <c r="DDK4388" s="379" t="s">
        <v>3783</v>
      </c>
      <c r="DDL4388" s="379" t="s">
        <v>3783</v>
      </c>
      <c r="DDM4388" s="379" t="s">
        <v>3783</v>
      </c>
      <c r="DDN4388" s="379" t="s">
        <v>3783</v>
      </c>
      <c r="DDO4388" s="379" t="s">
        <v>3783</v>
      </c>
      <c r="DDP4388" s="379" t="s">
        <v>3783</v>
      </c>
      <c r="DDQ4388" s="379" t="s">
        <v>3783</v>
      </c>
      <c r="DDR4388" s="379" t="s">
        <v>3783</v>
      </c>
      <c r="DDS4388" s="379" t="s">
        <v>3783</v>
      </c>
      <c r="DDT4388" s="379" t="s">
        <v>3783</v>
      </c>
      <c r="DDU4388" s="379" t="s">
        <v>3783</v>
      </c>
      <c r="DDV4388" s="379" t="s">
        <v>3783</v>
      </c>
      <c r="DDW4388" s="379" t="s">
        <v>3783</v>
      </c>
      <c r="DDX4388" s="379" t="s">
        <v>3783</v>
      </c>
      <c r="DDY4388" s="379" t="s">
        <v>3783</v>
      </c>
      <c r="DDZ4388" s="379" t="s">
        <v>3783</v>
      </c>
      <c r="DEA4388" s="379" t="s">
        <v>3783</v>
      </c>
      <c r="DEB4388" s="379" t="s">
        <v>3783</v>
      </c>
      <c r="DEC4388" s="379" t="s">
        <v>3783</v>
      </c>
      <c r="DED4388" s="379" t="s">
        <v>3783</v>
      </c>
      <c r="DEE4388" s="379" t="s">
        <v>3783</v>
      </c>
      <c r="DEF4388" s="379" t="s">
        <v>3783</v>
      </c>
      <c r="DEG4388" s="379" t="s">
        <v>3783</v>
      </c>
      <c r="DEH4388" s="379" t="s">
        <v>3783</v>
      </c>
      <c r="DEI4388" s="379" t="s">
        <v>3783</v>
      </c>
      <c r="DEJ4388" s="379" t="s">
        <v>3783</v>
      </c>
      <c r="DEK4388" s="379" t="s">
        <v>3783</v>
      </c>
      <c r="DEL4388" s="379" t="s">
        <v>3783</v>
      </c>
      <c r="DEM4388" s="379" t="s">
        <v>3783</v>
      </c>
      <c r="DEN4388" s="379" t="s">
        <v>3783</v>
      </c>
      <c r="DEO4388" s="379" t="s">
        <v>3783</v>
      </c>
      <c r="DEP4388" s="379" t="s">
        <v>3783</v>
      </c>
      <c r="DEQ4388" s="379" t="s">
        <v>3783</v>
      </c>
      <c r="DER4388" s="379" t="s">
        <v>3783</v>
      </c>
      <c r="DES4388" s="379" t="s">
        <v>3783</v>
      </c>
      <c r="DET4388" s="379" t="s">
        <v>3783</v>
      </c>
      <c r="DEU4388" s="379" t="s">
        <v>3783</v>
      </c>
      <c r="DEV4388" s="379" t="s">
        <v>3783</v>
      </c>
      <c r="DEW4388" s="379" t="s">
        <v>3783</v>
      </c>
      <c r="DEX4388" s="379" t="s">
        <v>3783</v>
      </c>
      <c r="DEY4388" s="379" t="s">
        <v>3783</v>
      </c>
      <c r="DEZ4388" s="379" t="s">
        <v>3783</v>
      </c>
      <c r="DFA4388" s="379" t="s">
        <v>3783</v>
      </c>
      <c r="DFB4388" s="379" t="s">
        <v>3783</v>
      </c>
      <c r="DFC4388" s="379" t="s">
        <v>3783</v>
      </c>
      <c r="DFD4388" s="379" t="s">
        <v>3783</v>
      </c>
      <c r="DFE4388" s="379" t="s">
        <v>3783</v>
      </c>
      <c r="DFF4388" s="379" t="s">
        <v>3783</v>
      </c>
      <c r="DFG4388" s="379" t="s">
        <v>3783</v>
      </c>
      <c r="DFH4388" s="379" t="s">
        <v>3783</v>
      </c>
      <c r="DFI4388" s="379" t="s">
        <v>3783</v>
      </c>
      <c r="DFJ4388" s="379" t="s">
        <v>3783</v>
      </c>
      <c r="DFK4388" s="379" t="s">
        <v>3783</v>
      </c>
      <c r="DFL4388" s="379" t="s">
        <v>3783</v>
      </c>
      <c r="DFM4388" s="379" t="s">
        <v>3783</v>
      </c>
      <c r="DFN4388" s="379" t="s">
        <v>3783</v>
      </c>
      <c r="DFO4388" s="379" t="s">
        <v>3783</v>
      </c>
      <c r="DFP4388" s="379" t="s">
        <v>3783</v>
      </c>
      <c r="DFQ4388" s="379" t="s">
        <v>3783</v>
      </c>
      <c r="DFR4388" s="379" t="s">
        <v>3783</v>
      </c>
      <c r="DFS4388" s="379" t="s">
        <v>3783</v>
      </c>
      <c r="DFT4388" s="379" t="s">
        <v>3783</v>
      </c>
      <c r="DFU4388" s="379" t="s">
        <v>3783</v>
      </c>
      <c r="DFV4388" s="379" t="s">
        <v>3783</v>
      </c>
      <c r="DFW4388" s="379" t="s">
        <v>3783</v>
      </c>
      <c r="DFX4388" s="379" t="s">
        <v>3783</v>
      </c>
      <c r="DFY4388" s="379" t="s">
        <v>3783</v>
      </c>
      <c r="DFZ4388" s="379" t="s">
        <v>3783</v>
      </c>
      <c r="DGA4388" s="379" t="s">
        <v>3783</v>
      </c>
      <c r="DGB4388" s="379" t="s">
        <v>3783</v>
      </c>
      <c r="DGC4388" s="379" t="s">
        <v>3783</v>
      </c>
      <c r="DGD4388" s="379" t="s">
        <v>3783</v>
      </c>
      <c r="DGE4388" s="379" t="s">
        <v>3783</v>
      </c>
      <c r="DGF4388" s="379" t="s">
        <v>3783</v>
      </c>
      <c r="DGG4388" s="379" t="s">
        <v>3783</v>
      </c>
      <c r="DGH4388" s="379" t="s">
        <v>3783</v>
      </c>
      <c r="DGI4388" s="379" t="s">
        <v>3783</v>
      </c>
      <c r="DGJ4388" s="379" t="s">
        <v>3783</v>
      </c>
      <c r="DGK4388" s="379" t="s">
        <v>3783</v>
      </c>
      <c r="DGL4388" s="379" t="s">
        <v>3783</v>
      </c>
      <c r="DGM4388" s="379" t="s">
        <v>3783</v>
      </c>
      <c r="DGN4388" s="379" t="s">
        <v>3783</v>
      </c>
      <c r="DGO4388" s="379" t="s">
        <v>3783</v>
      </c>
      <c r="DGP4388" s="379" t="s">
        <v>3783</v>
      </c>
      <c r="DGQ4388" s="379" t="s">
        <v>3783</v>
      </c>
      <c r="DGR4388" s="379" t="s">
        <v>3783</v>
      </c>
      <c r="DGS4388" s="379" t="s">
        <v>3783</v>
      </c>
      <c r="DGT4388" s="379" t="s">
        <v>3783</v>
      </c>
      <c r="DGU4388" s="379" t="s">
        <v>3783</v>
      </c>
      <c r="DGV4388" s="379" t="s">
        <v>3783</v>
      </c>
      <c r="DGW4388" s="379" t="s">
        <v>3783</v>
      </c>
      <c r="DGX4388" s="379" t="s">
        <v>3783</v>
      </c>
      <c r="DGY4388" s="379" t="s">
        <v>3783</v>
      </c>
      <c r="DGZ4388" s="379" t="s">
        <v>3783</v>
      </c>
      <c r="DHA4388" s="379" t="s">
        <v>3783</v>
      </c>
      <c r="DHB4388" s="379" t="s">
        <v>3783</v>
      </c>
      <c r="DHC4388" s="379" t="s">
        <v>3783</v>
      </c>
      <c r="DHD4388" s="379" t="s">
        <v>3783</v>
      </c>
      <c r="DHE4388" s="379" t="s">
        <v>3783</v>
      </c>
      <c r="DHF4388" s="379" t="s">
        <v>3783</v>
      </c>
      <c r="DHG4388" s="379" t="s">
        <v>3783</v>
      </c>
      <c r="DHH4388" s="379" t="s">
        <v>3783</v>
      </c>
      <c r="DHI4388" s="379" t="s">
        <v>3783</v>
      </c>
      <c r="DHJ4388" s="379" t="s">
        <v>3783</v>
      </c>
      <c r="DHK4388" s="379" t="s">
        <v>3783</v>
      </c>
      <c r="DHL4388" s="379" t="s">
        <v>3783</v>
      </c>
      <c r="DHM4388" s="379" t="s">
        <v>3783</v>
      </c>
      <c r="DHN4388" s="379" t="s">
        <v>3783</v>
      </c>
      <c r="DHO4388" s="379" t="s">
        <v>3783</v>
      </c>
      <c r="DHP4388" s="379" t="s">
        <v>3783</v>
      </c>
      <c r="DHQ4388" s="379" t="s">
        <v>3783</v>
      </c>
      <c r="DHR4388" s="379" t="s">
        <v>3783</v>
      </c>
      <c r="DHS4388" s="379" t="s">
        <v>3783</v>
      </c>
      <c r="DHT4388" s="379" t="s">
        <v>3783</v>
      </c>
      <c r="DHU4388" s="379" t="s">
        <v>3783</v>
      </c>
      <c r="DHV4388" s="379" t="s">
        <v>3783</v>
      </c>
      <c r="DHW4388" s="379" t="s">
        <v>3783</v>
      </c>
      <c r="DHX4388" s="379" t="s">
        <v>3783</v>
      </c>
      <c r="DHY4388" s="379" t="s">
        <v>3783</v>
      </c>
      <c r="DHZ4388" s="379" t="s">
        <v>3783</v>
      </c>
      <c r="DIA4388" s="379" t="s">
        <v>3783</v>
      </c>
      <c r="DIB4388" s="379" t="s">
        <v>3783</v>
      </c>
      <c r="DIC4388" s="379" t="s">
        <v>3783</v>
      </c>
      <c r="DID4388" s="379" t="s">
        <v>3783</v>
      </c>
      <c r="DIE4388" s="379" t="s">
        <v>3783</v>
      </c>
      <c r="DIF4388" s="379" t="s">
        <v>3783</v>
      </c>
      <c r="DIG4388" s="379" t="s">
        <v>3783</v>
      </c>
      <c r="DIH4388" s="379" t="s">
        <v>3783</v>
      </c>
      <c r="DII4388" s="379" t="s">
        <v>3783</v>
      </c>
      <c r="DIJ4388" s="379" t="s">
        <v>3783</v>
      </c>
      <c r="DIK4388" s="379" t="s">
        <v>3783</v>
      </c>
      <c r="DIL4388" s="379" t="s">
        <v>3783</v>
      </c>
      <c r="DIM4388" s="379" t="s">
        <v>3783</v>
      </c>
      <c r="DIN4388" s="379" t="s">
        <v>3783</v>
      </c>
      <c r="DIO4388" s="379" t="s">
        <v>3783</v>
      </c>
      <c r="DIP4388" s="379" t="s">
        <v>3783</v>
      </c>
      <c r="DIQ4388" s="379" t="s">
        <v>3783</v>
      </c>
      <c r="DIR4388" s="379" t="s">
        <v>3783</v>
      </c>
      <c r="DIS4388" s="379" t="s">
        <v>3783</v>
      </c>
      <c r="DIT4388" s="379" t="s">
        <v>3783</v>
      </c>
      <c r="DIU4388" s="379" t="s">
        <v>3783</v>
      </c>
      <c r="DIV4388" s="379" t="s">
        <v>3783</v>
      </c>
      <c r="DIW4388" s="379" t="s">
        <v>3783</v>
      </c>
      <c r="DIX4388" s="379" t="s">
        <v>3783</v>
      </c>
      <c r="DIY4388" s="379" t="s">
        <v>3783</v>
      </c>
      <c r="DIZ4388" s="379" t="s">
        <v>3783</v>
      </c>
      <c r="DJA4388" s="379" t="s">
        <v>3783</v>
      </c>
      <c r="DJB4388" s="379" t="s">
        <v>3783</v>
      </c>
      <c r="DJC4388" s="379" t="s">
        <v>3783</v>
      </c>
      <c r="DJD4388" s="379" t="s">
        <v>3783</v>
      </c>
      <c r="DJE4388" s="379" t="s">
        <v>3783</v>
      </c>
      <c r="DJF4388" s="379" t="s">
        <v>3783</v>
      </c>
      <c r="DJG4388" s="379" t="s">
        <v>3783</v>
      </c>
      <c r="DJH4388" s="379" t="s">
        <v>3783</v>
      </c>
      <c r="DJI4388" s="379" t="s">
        <v>3783</v>
      </c>
      <c r="DJJ4388" s="379" t="s">
        <v>3783</v>
      </c>
      <c r="DJK4388" s="379" t="s">
        <v>3783</v>
      </c>
      <c r="DJL4388" s="379" t="s">
        <v>3783</v>
      </c>
      <c r="DJM4388" s="379" t="s">
        <v>3783</v>
      </c>
      <c r="DJN4388" s="379" t="s">
        <v>3783</v>
      </c>
      <c r="DJO4388" s="379" t="s">
        <v>3783</v>
      </c>
      <c r="DJP4388" s="379" t="s">
        <v>3783</v>
      </c>
      <c r="DJQ4388" s="379" t="s">
        <v>3783</v>
      </c>
      <c r="DJR4388" s="379" t="s">
        <v>3783</v>
      </c>
      <c r="DJS4388" s="379" t="s">
        <v>3783</v>
      </c>
      <c r="DJT4388" s="379" t="s">
        <v>3783</v>
      </c>
      <c r="DJU4388" s="379" t="s">
        <v>3783</v>
      </c>
      <c r="DJV4388" s="379" t="s">
        <v>3783</v>
      </c>
      <c r="DJW4388" s="379" t="s">
        <v>3783</v>
      </c>
      <c r="DJX4388" s="379" t="s">
        <v>3783</v>
      </c>
      <c r="DJY4388" s="379" t="s">
        <v>3783</v>
      </c>
      <c r="DJZ4388" s="379" t="s">
        <v>3783</v>
      </c>
      <c r="DKA4388" s="379" t="s">
        <v>3783</v>
      </c>
      <c r="DKB4388" s="379" t="s">
        <v>3783</v>
      </c>
      <c r="DKC4388" s="379" t="s">
        <v>3783</v>
      </c>
      <c r="DKD4388" s="379" t="s">
        <v>3783</v>
      </c>
      <c r="DKE4388" s="379" t="s">
        <v>3783</v>
      </c>
      <c r="DKF4388" s="379" t="s">
        <v>3783</v>
      </c>
      <c r="DKG4388" s="379" t="s">
        <v>3783</v>
      </c>
      <c r="DKH4388" s="379" t="s">
        <v>3783</v>
      </c>
      <c r="DKI4388" s="379" t="s">
        <v>3783</v>
      </c>
      <c r="DKJ4388" s="379" t="s">
        <v>3783</v>
      </c>
      <c r="DKK4388" s="379" t="s">
        <v>3783</v>
      </c>
      <c r="DKL4388" s="379" t="s">
        <v>3783</v>
      </c>
      <c r="DKM4388" s="379" t="s">
        <v>3783</v>
      </c>
      <c r="DKN4388" s="379" t="s">
        <v>3783</v>
      </c>
      <c r="DKO4388" s="379" t="s">
        <v>3783</v>
      </c>
      <c r="DKP4388" s="379" t="s">
        <v>3783</v>
      </c>
      <c r="DKQ4388" s="379" t="s">
        <v>3783</v>
      </c>
      <c r="DKR4388" s="379" t="s">
        <v>3783</v>
      </c>
      <c r="DKS4388" s="379" t="s">
        <v>3783</v>
      </c>
      <c r="DKT4388" s="379" t="s">
        <v>3783</v>
      </c>
      <c r="DKU4388" s="379" t="s">
        <v>3783</v>
      </c>
      <c r="DKV4388" s="379" t="s">
        <v>3783</v>
      </c>
      <c r="DKW4388" s="379" t="s">
        <v>3783</v>
      </c>
      <c r="DKX4388" s="379" t="s">
        <v>3783</v>
      </c>
      <c r="DKY4388" s="379" t="s">
        <v>3783</v>
      </c>
      <c r="DKZ4388" s="379" t="s">
        <v>3783</v>
      </c>
      <c r="DLA4388" s="379" t="s">
        <v>3783</v>
      </c>
      <c r="DLB4388" s="379" t="s">
        <v>3783</v>
      </c>
      <c r="DLC4388" s="379" t="s">
        <v>3783</v>
      </c>
      <c r="DLD4388" s="379" t="s">
        <v>3783</v>
      </c>
      <c r="DLE4388" s="379" t="s">
        <v>3783</v>
      </c>
      <c r="DLF4388" s="379" t="s">
        <v>3783</v>
      </c>
      <c r="DLG4388" s="379" t="s">
        <v>3783</v>
      </c>
      <c r="DLH4388" s="379" t="s">
        <v>3783</v>
      </c>
      <c r="DLI4388" s="379" t="s">
        <v>3783</v>
      </c>
      <c r="DLJ4388" s="379" t="s">
        <v>3783</v>
      </c>
      <c r="DLK4388" s="379" t="s">
        <v>3783</v>
      </c>
      <c r="DLL4388" s="379" t="s">
        <v>3783</v>
      </c>
      <c r="DLM4388" s="379" t="s">
        <v>3783</v>
      </c>
      <c r="DLN4388" s="379" t="s">
        <v>3783</v>
      </c>
      <c r="DLO4388" s="379" t="s">
        <v>3783</v>
      </c>
      <c r="DLP4388" s="379" t="s">
        <v>3783</v>
      </c>
      <c r="DLQ4388" s="379" t="s">
        <v>3783</v>
      </c>
      <c r="DLR4388" s="379" t="s">
        <v>3783</v>
      </c>
      <c r="DLS4388" s="379" t="s">
        <v>3783</v>
      </c>
      <c r="DLT4388" s="379" t="s">
        <v>3783</v>
      </c>
      <c r="DLU4388" s="379" t="s">
        <v>3783</v>
      </c>
      <c r="DLV4388" s="379" t="s">
        <v>3783</v>
      </c>
      <c r="DLW4388" s="379" t="s">
        <v>3783</v>
      </c>
      <c r="DLX4388" s="379" t="s">
        <v>3783</v>
      </c>
      <c r="DLY4388" s="379" t="s">
        <v>3783</v>
      </c>
      <c r="DLZ4388" s="379" t="s">
        <v>3783</v>
      </c>
      <c r="DMA4388" s="379" t="s">
        <v>3783</v>
      </c>
      <c r="DMB4388" s="379" t="s">
        <v>3783</v>
      </c>
      <c r="DMC4388" s="379" t="s">
        <v>3783</v>
      </c>
      <c r="DMD4388" s="379" t="s">
        <v>3783</v>
      </c>
      <c r="DME4388" s="379" t="s">
        <v>3783</v>
      </c>
      <c r="DMF4388" s="379" t="s">
        <v>3783</v>
      </c>
      <c r="DMG4388" s="379" t="s">
        <v>3783</v>
      </c>
      <c r="DMH4388" s="379" t="s">
        <v>3783</v>
      </c>
      <c r="DMI4388" s="379" t="s">
        <v>3783</v>
      </c>
      <c r="DMJ4388" s="379" t="s">
        <v>3783</v>
      </c>
      <c r="DMK4388" s="379" t="s">
        <v>3783</v>
      </c>
      <c r="DML4388" s="379" t="s">
        <v>3783</v>
      </c>
      <c r="DMM4388" s="379" t="s">
        <v>3783</v>
      </c>
      <c r="DMN4388" s="379" t="s">
        <v>3783</v>
      </c>
      <c r="DMO4388" s="379" t="s">
        <v>3783</v>
      </c>
      <c r="DMP4388" s="379" t="s">
        <v>3783</v>
      </c>
      <c r="DMQ4388" s="379" t="s">
        <v>3783</v>
      </c>
      <c r="DMR4388" s="379" t="s">
        <v>3783</v>
      </c>
      <c r="DMS4388" s="379" t="s">
        <v>3783</v>
      </c>
      <c r="DMT4388" s="379" t="s">
        <v>3783</v>
      </c>
      <c r="DMU4388" s="379" t="s">
        <v>3783</v>
      </c>
      <c r="DMV4388" s="379" t="s">
        <v>3783</v>
      </c>
      <c r="DMW4388" s="379" t="s">
        <v>3783</v>
      </c>
      <c r="DMX4388" s="379" t="s">
        <v>3783</v>
      </c>
      <c r="DMY4388" s="379" t="s">
        <v>3783</v>
      </c>
      <c r="DMZ4388" s="379" t="s">
        <v>3783</v>
      </c>
      <c r="DNA4388" s="379" t="s">
        <v>3783</v>
      </c>
      <c r="DNB4388" s="379" t="s">
        <v>3783</v>
      </c>
      <c r="DNC4388" s="379" t="s">
        <v>3783</v>
      </c>
      <c r="DND4388" s="379" t="s">
        <v>3783</v>
      </c>
      <c r="DNE4388" s="379" t="s">
        <v>3783</v>
      </c>
      <c r="DNF4388" s="379" t="s">
        <v>3783</v>
      </c>
      <c r="DNG4388" s="379" t="s">
        <v>3783</v>
      </c>
      <c r="DNH4388" s="379" t="s">
        <v>3783</v>
      </c>
      <c r="DNI4388" s="379" t="s">
        <v>3783</v>
      </c>
      <c r="DNJ4388" s="379" t="s">
        <v>3783</v>
      </c>
      <c r="DNK4388" s="379" t="s">
        <v>3783</v>
      </c>
      <c r="DNL4388" s="379" t="s">
        <v>3783</v>
      </c>
      <c r="DNM4388" s="379" t="s">
        <v>3783</v>
      </c>
      <c r="DNN4388" s="379" t="s">
        <v>3783</v>
      </c>
      <c r="DNO4388" s="379" t="s">
        <v>3783</v>
      </c>
      <c r="DNP4388" s="379" t="s">
        <v>3783</v>
      </c>
      <c r="DNQ4388" s="379" t="s">
        <v>3783</v>
      </c>
      <c r="DNR4388" s="379" t="s">
        <v>3783</v>
      </c>
      <c r="DNS4388" s="379" t="s">
        <v>3783</v>
      </c>
      <c r="DNT4388" s="379" t="s">
        <v>3783</v>
      </c>
      <c r="DNU4388" s="379" t="s">
        <v>3783</v>
      </c>
      <c r="DNV4388" s="379" t="s">
        <v>3783</v>
      </c>
      <c r="DNW4388" s="379" t="s">
        <v>3783</v>
      </c>
      <c r="DNX4388" s="379" t="s">
        <v>3783</v>
      </c>
      <c r="DNY4388" s="379" t="s">
        <v>3783</v>
      </c>
      <c r="DNZ4388" s="379" t="s">
        <v>3783</v>
      </c>
      <c r="DOA4388" s="379" t="s">
        <v>3783</v>
      </c>
      <c r="DOB4388" s="379" t="s">
        <v>3783</v>
      </c>
      <c r="DOC4388" s="379" t="s">
        <v>3783</v>
      </c>
      <c r="DOD4388" s="379" t="s">
        <v>3783</v>
      </c>
      <c r="DOE4388" s="379" t="s">
        <v>3783</v>
      </c>
      <c r="DOF4388" s="379" t="s">
        <v>3783</v>
      </c>
      <c r="DOG4388" s="379" t="s">
        <v>3783</v>
      </c>
      <c r="DOH4388" s="379" t="s">
        <v>3783</v>
      </c>
      <c r="DOI4388" s="379" t="s">
        <v>3783</v>
      </c>
      <c r="DOJ4388" s="379" t="s">
        <v>3783</v>
      </c>
      <c r="DOK4388" s="379" t="s">
        <v>3783</v>
      </c>
      <c r="DOL4388" s="379" t="s">
        <v>3783</v>
      </c>
      <c r="DOM4388" s="379" t="s">
        <v>3783</v>
      </c>
      <c r="DON4388" s="379" t="s">
        <v>3783</v>
      </c>
      <c r="DOO4388" s="379" t="s">
        <v>3783</v>
      </c>
      <c r="DOP4388" s="379" t="s">
        <v>3783</v>
      </c>
      <c r="DOQ4388" s="379" t="s">
        <v>3783</v>
      </c>
      <c r="DOR4388" s="379" t="s">
        <v>3783</v>
      </c>
      <c r="DOS4388" s="379" t="s">
        <v>3783</v>
      </c>
      <c r="DOT4388" s="379" t="s">
        <v>3783</v>
      </c>
      <c r="DOU4388" s="379" t="s">
        <v>3783</v>
      </c>
      <c r="DOV4388" s="379" t="s">
        <v>3783</v>
      </c>
      <c r="DOW4388" s="379" t="s">
        <v>3783</v>
      </c>
      <c r="DOX4388" s="379" t="s">
        <v>3783</v>
      </c>
      <c r="DOY4388" s="379" t="s">
        <v>3783</v>
      </c>
      <c r="DOZ4388" s="379" t="s">
        <v>3783</v>
      </c>
      <c r="DPA4388" s="379" t="s">
        <v>3783</v>
      </c>
      <c r="DPB4388" s="379" t="s">
        <v>3783</v>
      </c>
      <c r="DPC4388" s="379" t="s">
        <v>3783</v>
      </c>
      <c r="DPD4388" s="379" t="s">
        <v>3783</v>
      </c>
      <c r="DPE4388" s="379" t="s">
        <v>3783</v>
      </c>
      <c r="DPF4388" s="379" t="s">
        <v>3783</v>
      </c>
      <c r="DPG4388" s="379" t="s">
        <v>3783</v>
      </c>
      <c r="DPH4388" s="379" t="s">
        <v>3783</v>
      </c>
      <c r="DPI4388" s="379" t="s">
        <v>3783</v>
      </c>
      <c r="DPJ4388" s="379" t="s">
        <v>3783</v>
      </c>
      <c r="DPK4388" s="379" t="s">
        <v>3783</v>
      </c>
      <c r="DPL4388" s="379" t="s">
        <v>3783</v>
      </c>
      <c r="DPM4388" s="379" t="s">
        <v>3783</v>
      </c>
      <c r="DPN4388" s="379" t="s">
        <v>3783</v>
      </c>
      <c r="DPO4388" s="379" t="s">
        <v>3783</v>
      </c>
      <c r="DPP4388" s="379" t="s">
        <v>3783</v>
      </c>
      <c r="DPQ4388" s="379" t="s">
        <v>3783</v>
      </c>
      <c r="DPR4388" s="379" t="s">
        <v>3783</v>
      </c>
      <c r="DPS4388" s="379" t="s">
        <v>3783</v>
      </c>
      <c r="DPT4388" s="379" t="s">
        <v>3783</v>
      </c>
      <c r="DPU4388" s="379" t="s">
        <v>3783</v>
      </c>
      <c r="DPV4388" s="379" t="s">
        <v>3783</v>
      </c>
      <c r="DPW4388" s="379" t="s">
        <v>3783</v>
      </c>
      <c r="DPX4388" s="379" t="s">
        <v>3783</v>
      </c>
      <c r="DPY4388" s="379" t="s">
        <v>3783</v>
      </c>
      <c r="DPZ4388" s="379" t="s">
        <v>3783</v>
      </c>
      <c r="DQA4388" s="379" t="s">
        <v>3783</v>
      </c>
      <c r="DQB4388" s="379" t="s">
        <v>3783</v>
      </c>
      <c r="DQC4388" s="379" t="s">
        <v>3783</v>
      </c>
      <c r="DQD4388" s="379" t="s">
        <v>3783</v>
      </c>
      <c r="DQE4388" s="379" t="s">
        <v>3783</v>
      </c>
      <c r="DQF4388" s="379" t="s">
        <v>3783</v>
      </c>
      <c r="DQG4388" s="379" t="s">
        <v>3783</v>
      </c>
      <c r="DQH4388" s="379" t="s">
        <v>3783</v>
      </c>
      <c r="DQI4388" s="379" t="s">
        <v>3783</v>
      </c>
      <c r="DQJ4388" s="379" t="s">
        <v>3783</v>
      </c>
      <c r="DQK4388" s="379" t="s">
        <v>3783</v>
      </c>
      <c r="DQL4388" s="379" t="s">
        <v>3783</v>
      </c>
      <c r="DQM4388" s="379" t="s">
        <v>3783</v>
      </c>
      <c r="DQN4388" s="379" t="s">
        <v>3783</v>
      </c>
      <c r="DQO4388" s="379" t="s">
        <v>3783</v>
      </c>
      <c r="DQP4388" s="379" t="s">
        <v>3783</v>
      </c>
      <c r="DQQ4388" s="379" t="s">
        <v>3783</v>
      </c>
      <c r="DQR4388" s="379" t="s">
        <v>3783</v>
      </c>
      <c r="DQS4388" s="379" t="s">
        <v>3783</v>
      </c>
      <c r="DQT4388" s="379" t="s">
        <v>3783</v>
      </c>
      <c r="DQU4388" s="379" t="s">
        <v>3783</v>
      </c>
      <c r="DQV4388" s="379" t="s">
        <v>3783</v>
      </c>
      <c r="DQW4388" s="379" t="s">
        <v>3783</v>
      </c>
      <c r="DQX4388" s="379" t="s">
        <v>3783</v>
      </c>
      <c r="DQY4388" s="379" t="s">
        <v>3783</v>
      </c>
      <c r="DQZ4388" s="379" t="s">
        <v>3783</v>
      </c>
      <c r="DRA4388" s="379" t="s">
        <v>3783</v>
      </c>
      <c r="DRB4388" s="379" t="s">
        <v>3783</v>
      </c>
      <c r="DRC4388" s="379" t="s">
        <v>3783</v>
      </c>
      <c r="DRD4388" s="379" t="s">
        <v>3783</v>
      </c>
      <c r="DRE4388" s="379" t="s">
        <v>3783</v>
      </c>
      <c r="DRF4388" s="379" t="s">
        <v>3783</v>
      </c>
      <c r="DRG4388" s="379" t="s">
        <v>3783</v>
      </c>
      <c r="DRH4388" s="379" t="s">
        <v>3783</v>
      </c>
      <c r="DRI4388" s="379" t="s">
        <v>3783</v>
      </c>
      <c r="DRJ4388" s="379" t="s">
        <v>3783</v>
      </c>
      <c r="DRK4388" s="379" t="s">
        <v>3783</v>
      </c>
      <c r="DRL4388" s="379" t="s">
        <v>3783</v>
      </c>
      <c r="DRM4388" s="379" t="s">
        <v>3783</v>
      </c>
      <c r="DRN4388" s="379" t="s">
        <v>3783</v>
      </c>
      <c r="DRO4388" s="379" t="s">
        <v>3783</v>
      </c>
      <c r="DRP4388" s="379" t="s">
        <v>3783</v>
      </c>
      <c r="DRQ4388" s="379" t="s">
        <v>3783</v>
      </c>
      <c r="DRR4388" s="379" t="s">
        <v>3783</v>
      </c>
      <c r="DRS4388" s="379" t="s">
        <v>3783</v>
      </c>
      <c r="DRT4388" s="379" t="s">
        <v>3783</v>
      </c>
      <c r="DRU4388" s="379" t="s">
        <v>3783</v>
      </c>
      <c r="DRV4388" s="379" t="s">
        <v>3783</v>
      </c>
      <c r="DRW4388" s="379" t="s">
        <v>3783</v>
      </c>
      <c r="DRX4388" s="379" t="s">
        <v>3783</v>
      </c>
      <c r="DRY4388" s="379" t="s">
        <v>3783</v>
      </c>
      <c r="DRZ4388" s="379" t="s">
        <v>3783</v>
      </c>
      <c r="DSA4388" s="379" t="s">
        <v>3783</v>
      </c>
      <c r="DSB4388" s="379" t="s">
        <v>3783</v>
      </c>
      <c r="DSC4388" s="379" t="s">
        <v>3783</v>
      </c>
      <c r="DSD4388" s="379" t="s">
        <v>3783</v>
      </c>
      <c r="DSE4388" s="379" t="s">
        <v>3783</v>
      </c>
      <c r="DSF4388" s="379" t="s">
        <v>3783</v>
      </c>
      <c r="DSG4388" s="379" t="s">
        <v>3783</v>
      </c>
      <c r="DSH4388" s="379" t="s">
        <v>3783</v>
      </c>
      <c r="DSI4388" s="379" t="s">
        <v>3783</v>
      </c>
      <c r="DSJ4388" s="379" t="s">
        <v>3783</v>
      </c>
      <c r="DSK4388" s="379" t="s">
        <v>3783</v>
      </c>
      <c r="DSL4388" s="379" t="s">
        <v>3783</v>
      </c>
      <c r="DSM4388" s="379" t="s">
        <v>3783</v>
      </c>
      <c r="DSN4388" s="379" t="s">
        <v>3783</v>
      </c>
      <c r="DSO4388" s="379" t="s">
        <v>3783</v>
      </c>
      <c r="DSP4388" s="379" t="s">
        <v>3783</v>
      </c>
      <c r="DSQ4388" s="379" t="s">
        <v>3783</v>
      </c>
      <c r="DSR4388" s="379" t="s">
        <v>3783</v>
      </c>
      <c r="DSS4388" s="379" t="s">
        <v>3783</v>
      </c>
      <c r="DST4388" s="379" t="s">
        <v>3783</v>
      </c>
      <c r="DSU4388" s="379" t="s">
        <v>3783</v>
      </c>
      <c r="DSV4388" s="379" t="s">
        <v>3783</v>
      </c>
      <c r="DSW4388" s="379" t="s">
        <v>3783</v>
      </c>
      <c r="DSX4388" s="379" t="s">
        <v>3783</v>
      </c>
      <c r="DSY4388" s="379" t="s">
        <v>3783</v>
      </c>
      <c r="DSZ4388" s="379" t="s">
        <v>3783</v>
      </c>
      <c r="DTA4388" s="379" t="s">
        <v>3783</v>
      </c>
      <c r="DTB4388" s="379" t="s">
        <v>3783</v>
      </c>
      <c r="DTC4388" s="379" t="s">
        <v>3783</v>
      </c>
      <c r="DTD4388" s="379" t="s">
        <v>3783</v>
      </c>
      <c r="DTE4388" s="379" t="s">
        <v>3783</v>
      </c>
      <c r="DTF4388" s="379" t="s">
        <v>3783</v>
      </c>
      <c r="DTG4388" s="379" t="s">
        <v>3783</v>
      </c>
      <c r="DTH4388" s="379" t="s">
        <v>3783</v>
      </c>
      <c r="DTI4388" s="379" t="s">
        <v>3783</v>
      </c>
      <c r="DTJ4388" s="379" t="s">
        <v>3783</v>
      </c>
      <c r="DTK4388" s="379" t="s">
        <v>3783</v>
      </c>
      <c r="DTL4388" s="379" t="s">
        <v>3783</v>
      </c>
      <c r="DTM4388" s="379" t="s">
        <v>3783</v>
      </c>
      <c r="DTN4388" s="379" t="s">
        <v>3783</v>
      </c>
      <c r="DTO4388" s="379" t="s">
        <v>3783</v>
      </c>
      <c r="DTP4388" s="379" t="s">
        <v>3783</v>
      </c>
      <c r="DTQ4388" s="379" t="s">
        <v>3783</v>
      </c>
      <c r="DTR4388" s="379" t="s">
        <v>3783</v>
      </c>
      <c r="DTS4388" s="379" t="s">
        <v>3783</v>
      </c>
      <c r="DTT4388" s="379" t="s">
        <v>3783</v>
      </c>
      <c r="DTU4388" s="379" t="s">
        <v>3783</v>
      </c>
      <c r="DTV4388" s="379" t="s">
        <v>3783</v>
      </c>
      <c r="DTW4388" s="379" t="s">
        <v>3783</v>
      </c>
      <c r="DTX4388" s="379" t="s">
        <v>3783</v>
      </c>
      <c r="DTY4388" s="379" t="s">
        <v>3783</v>
      </c>
      <c r="DTZ4388" s="379" t="s">
        <v>3783</v>
      </c>
      <c r="DUA4388" s="379" t="s">
        <v>3783</v>
      </c>
      <c r="DUB4388" s="379" t="s">
        <v>3783</v>
      </c>
      <c r="DUC4388" s="379" t="s">
        <v>3783</v>
      </c>
      <c r="DUD4388" s="379" t="s">
        <v>3783</v>
      </c>
      <c r="DUE4388" s="379" t="s">
        <v>3783</v>
      </c>
      <c r="DUF4388" s="379" t="s">
        <v>3783</v>
      </c>
      <c r="DUG4388" s="379" t="s">
        <v>3783</v>
      </c>
      <c r="DUH4388" s="379" t="s">
        <v>3783</v>
      </c>
      <c r="DUI4388" s="379" t="s">
        <v>3783</v>
      </c>
      <c r="DUJ4388" s="379" t="s">
        <v>3783</v>
      </c>
      <c r="DUK4388" s="379" t="s">
        <v>3783</v>
      </c>
      <c r="DUL4388" s="379" t="s">
        <v>3783</v>
      </c>
      <c r="DUM4388" s="379" t="s">
        <v>3783</v>
      </c>
      <c r="DUN4388" s="379" t="s">
        <v>3783</v>
      </c>
      <c r="DUO4388" s="379" t="s">
        <v>3783</v>
      </c>
      <c r="DUP4388" s="379" t="s">
        <v>3783</v>
      </c>
      <c r="DUQ4388" s="379" t="s">
        <v>3783</v>
      </c>
      <c r="DUR4388" s="379" t="s">
        <v>3783</v>
      </c>
      <c r="DUS4388" s="379" t="s">
        <v>3783</v>
      </c>
      <c r="DUT4388" s="379" t="s">
        <v>3783</v>
      </c>
      <c r="DUU4388" s="379" t="s">
        <v>3783</v>
      </c>
      <c r="DUV4388" s="379" t="s">
        <v>3783</v>
      </c>
      <c r="DUW4388" s="379" t="s">
        <v>3783</v>
      </c>
      <c r="DUX4388" s="379" t="s">
        <v>3783</v>
      </c>
      <c r="DUY4388" s="379" t="s">
        <v>3783</v>
      </c>
      <c r="DUZ4388" s="379" t="s">
        <v>3783</v>
      </c>
      <c r="DVA4388" s="379" t="s">
        <v>3783</v>
      </c>
      <c r="DVB4388" s="379" t="s">
        <v>3783</v>
      </c>
      <c r="DVC4388" s="379" t="s">
        <v>3783</v>
      </c>
      <c r="DVD4388" s="379" t="s">
        <v>3783</v>
      </c>
      <c r="DVE4388" s="379" t="s">
        <v>3783</v>
      </c>
      <c r="DVF4388" s="379" t="s">
        <v>3783</v>
      </c>
      <c r="DVG4388" s="379" t="s">
        <v>3783</v>
      </c>
      <c r="DVH4388" s="379" t="s">
        <v>3783</v>
      </c>
      <c r="DVI4388" s="379" t="s">
        <v>3783</v>
      </c>
      <c r="DVJ4388" s="379" t="s">
        <v>3783</v>
      </c>
      <c r="DVK4388" s="379" t="s">
        <v>3783</v>
      </c>
      <c r="DVL4388" s="379" t="s">
        <v>3783</v>
      </c>
      <c r="DVM4388" s="379" t="s">
        <v>3783</v>
      </c>
      <c r="DVN4388" s="379" t="s">
        <v>3783</v>
      </c>
      <c r="DVO4388" s="379" t="s">
        <v>3783</v>
      </c>
      <c r="DVP4388" s="379" t="s">
        <v>3783</v>
      </c>
      <c r="DVQ4388" s="379" t="s">
        <v>3783</v>
      </c>
      <c r="DVR4388" s="379" t="s">
        <v>3783</v>
      </c>
      <c r="DVS4388" s="379" t="s">
        <v>3783</v>
      </c>
      <c r="DVT4388" s="379" t="s">
        <v>3783</v>
      </c>
      <c r="DVU4388" s="379" t="s">
        <v>3783</v>
      </c>
      <c r="DVV4388" s="379" t="s">
        <v>3783</v>
      </c>
      <c r="DVW4388" s="379" t="s">
        <v>3783</v>
      </c>
      <c r="DVX4388" s="379" t="s">
        <v>3783</v>
      </c>
      <c r="DVY4388" s="379" t="s">
        <v>3783</v>
      </c>
      <c r="DVZ4388" s="379" t="s">
        <v>3783</v>
      </c>
      <c r="DWA4388" s="379" t="s">
        <v>3783</v>
      </c>
      <c r="DWB4388" s="379" t="s">
        <v>3783</v>
      </c>
      <c r="DWC4388" s="379" t="s">
        <v>3783</v>
      </c>
      <c r="DWD4388" s="379" t="s">
        <v>3783</v>
      </c>
      <c r="DWE4388" s="379" t="s">
        <v>3783</v>
      </c>
      <c r="DWF4388" s="379" t="s">
        <v>3783</v>
      </c>
      <c r="DWG4388" s="379" t="s">
        <v>3783</v>
      </c>
      <c r="DWH4388" s="379" t="s">
        <v>3783</v>
      </c>
      <c r="DWI4388" s="379" t="s">
        <v>3783</v>
      </c>
      <c r="DWJ4388" s="379" t="s">
        <v>3783</v>
      </c>
      <c r="DWK4388" s="379" t="s">
        <v>3783</v>
      </c>
      <c r="DWL4388" s="379" t="s">
        <v>3783</v>
      </c>
      <c r="DWM4388" s="379" t="s">
        <v>3783</v>
      </c>
      <c r="DWN4388" s="379" t="s">
        <v>3783</v>
      </c>
      <c r="DWO4388" s="379" t="s">
        <v>3783</v>
      </c>
      <c r="DWP4388" s="379" t="s">
        <v>3783</v>
      </c>
      <c r="DWQ4388" s="379" t="s">
        <v>3783</v>
      </c>
      <c r="DWR4388" s="379" t="s">
        <v>3783</v>
      </c>
      <c r="DWS4388" s="379" t="s">
        <v>3783</v>
      </c>
      <c r="DWT4388" s="379" t="s">
        <v>3783</v>
      </c>
      <c r="DWU4388" s="379" t="s">
        <v>3783</v>
      </c>
      <c r="DWV4388" s="379" t="s">
        <v>3783</v>
      </c>
      <c r="DWW4388" s="379" t="s">
        <v>3783</v>
      </c>
      <c r="DWX4388" s="379" t="s">
        <v>3783</v>
      </c>
      <c r="DWY4388" s="379" t="s">
        <v>3783</v>
      </c>
      <c r="DWZ4388" s="379" t="s">
        <v>3783</v>
      </c>
      <c r="DXA4388" s="379" t="s">
        <v>3783</v>
      </c>
      <c r="DXB4388" s="379" t="s">
        <v>3783</v>
      </c>
      <c r="DXC4388" s="379" t="s">
        <v>3783</v>
      </c>
      <c r="DXD4388" s="379" t="s">
        <v>3783</v>
      </c>
      <c r="DXE4388" s="379" t="s">
        <v>3783</v>
      </c>
      <c r="DXF4388" s="379" t="s">
        <v>3783</v>
      </c>
      <c r="DXG4388" s="379" t="s">
        <v>3783</v>
      </c>
      <c r="DXH4388" s="379" t="s">
        <v>3783</v>
      </c>
      <c r="DXI4388" s="379" t="s">
        <v>3783</v>
      </c>
      <c r="DXJ4388" s="379" t="s">
        <v>3783</v>
      </c>
      <c r="DXK4388" s="379" t="s">
        <v>3783</v>
      </c>
      <c r="DXL4388" s="379" t="s">
        <v>3783</v>
      </c>
      <c r="DXM4388" s="379" t="s">
        <v>3783</v>
      </c>
      <c r="DXN4388" s="379" t="s">
        <v>3783</v>
      </c>
      <c r="DXO4388" s="379" t="s">
        <v>3783</v>
      </c>
      <c r="DXP4388" s="379" t="s">
        <v>3783</v>
      </c>
      <c r="DXQ4388" s="379" t="s">
        <v>3783</v>
      </c>
      <c r="DXR4388" s="379" t="s">
        <v>3783</v>
      </c>
      <c r="DXS4388" s="379" t="s">
        <v>3783</v>
      </c>
      <c r="DXT4388" s="379" t="s">
        <v>3783</v>
      </c>
      <c r="DXU4388" s="379" t="s">
        <v>3783</v>
      </c>
      <c r="DXV4388" s="379" t="s">
        <v>3783</v>
      </c>
      <c r="DXW4388" s="379" t="s">
        <v>3783</v>
      </c>
      <c r="DXX4388" s="379" t="s">
        <v>3783</v>
      </c>
      <c r="DXY4388" s="379" t="s">
        <v>3783</v>
      </c>
      <c r="DXZ4388" s="379" t="s">
        <v>3783</v>
      </c>
      <c r="DYA4388" s="379" t="s">
        <v>3783</v>
      </c>
      <c r="DYB4388" s="379" t="s">
        <v>3783</v>
      </c>
      <c r="DYC4388" s="379" t="s">
        <v>3783</v>
      </c>
      <c r="DYD4388" s="379" t="s">
        <v>3783</v>
      </c>
      <c r="DYE4388" s="379" t="s">
        <v>3783</v>
      </c>
      <c r="DYF4388" s="379" t="s">
        <v>3783</v>
      </c>
      <c r="DYG4388" s="379" t="s">
        <v>3783</v>
      </c>
      <c r="DYH4388" s="379" t="s">
        <v>3783</v>
      </c>
      <c r="DYI4388" s="379" t="s">
        <v>3783</v>
      </c>
      <c r="DYJ4388" s="379" t="s">
        <v>3783</v>
      </c>
      <c r="DYK4388" s="379" t="s">
        <v>3783</v>
      </c>
      <c r="DYL4388" s="379" t="s">
        <v>3783</v>
      </c>
      <c r="DYM4388" s="379" t="s">
        <v>3783</v>
      </c>
      <c r="DYN4388" s="379" t="s">
        <v>3783</v>
      </c>
      <c r="DYO4388" s="379" t="s">
        <v>3783</v>
      </c>
      <c r="DYP4388" s="379" t="s">
        <v>3783</v>
      </c>
      <c r="DYQ4388" s="379" t="s">
        <v>3783</v>
      </c>
      <c r="DYR4388" s="379" t="s">
        <v>3783</v>
      </c>
      <c r="DYS4388" s="379" t="s">
        <v>3783</v>
      </c>
      <c r="DYT4388" s="379" t="s">
        <v>3783</v>
      </c>
      <c r="DYU4388" s="379" t="s">
        <v>3783</v>
      </c>
      <c r="DYV4388" s="379" t="s">
        <v>3783</v>
      </c>
      <c r="DYW4388" s="379" t="s">
        <v>3783</v>
      </c>
      <c r="DYX4388" s="379" t="s">
        <v>3783</v>
      </c>
      <c r="DYY4388" s="379" t="s">
        <v>3783</v>
      </c>
      <c r="DYZ4388" s="379" t="s">
        <v>3783</v>
      </c>
      <c r="DZA4388" s="379" t="s">
        <v>3783</v>
      </c>
      <c r="DZB4388" s="379" t="s">
        <v>3783</v>
      </c>
      <c r="DZC4388" s="379" t="s">
        <v>3783</v>
      </c>
      <c r="DZD4388" s="379" t="s">
        <v>3783</v>
      </c>
      <c r="DZE4388" s="379" t="s">
        <v>3783</v>
      </c>
      <c r="DZF4388" s="379" t="s">
        <v>3783</v>
      </c>
      <c r="DZG4388" s="379" t="s">
        <v>3783</v>
      </c>
      <c r="DZH4388" s="379" t="s">
        <v>3783</v>
      </c>
      <c r="DZI4388" s="379" t="s">
        <v>3783</v>
      </c>
      <c r="DZJ4388" s="379" t="s">
        <v>3783</v>
      </c>
      <c r="DZK4388" s="379" t="s">
        <v>3783</v>
      </c>
      <c r="DZL4388" s="379" t="s">
        <v>3783</v>
      </c>
      <c r="DZM4388" s="379" t="s">
        <v>3783</v>
      </c>
      <c r="DZN4388" s="379" t="s">
        <v>3783</v>
      </c>
      <c r="DZO4388" s="379" t="s">
        <v>3783</v>
      </c>
      <c r="DZP4388" s="379" t="s">
        <v>3783</v>
      </c>
      <c r="DZQ4388" s="379" t="s">
        <v>3783</v>
      </c>
      <c r="DZR4388" s="379" t="s">
        <v>3783</v>
      </c>
      <c r="DZS4388" s="379" t="s">
        <v>3783</v>
      </c>
      <c r="DZT4388" s="379" t="s">
        <v>3783</v>
      </c>
      <c r="DZU4388" s="379" t="s">
        <v>3783</v>
      </c>
      <c r="DZV4388" s="379" t="s">
        <v>3783</v>
      </c>
      <c r="DZW4388" s="379" t="s">
        <v>3783</v>
      </c>
      <c r="DZX4388" s="379" t="s">
        <v>3783</v>
      </c>
      <c r="DZY4388" s="379" t="s">
        <v>3783</v>
      </c>
      <c r="DZZ4388" s="379" t="s">
        <v>3783</v>
      </c>
      <c r="EAA4388" s="379" t="s">
        <v>3783</v>
      </c>
      <c r="EAB4388" s="379" t="s">
        <v>3783</v>
      </c>
      <c r="EAC4388" s="379" t="s">
        <v>3783</v>
      </c>
      <c r="EAD4388" s="379" t="s">
        <v>3783</v>
      </c>
      <c r="EAE4388" s="379" t="s">
        <v>3783</v>
      </c>
      <c r="EAF4388" s="379" t="s">
        <v>3783</v>
      </c>
      <c r="EAG4388" s="379" t="s">
        <v>3783</v>
      </c>
      <c r="EAH4388" s="379" t="s">
        <v>3783</v>
      </c>
      <c r="EAI4388" s="379" t="s">
        <v>3783</v>
      </c>
      <c r="EAJ4388" s="379" t="s">
        <v>3783</v>
      </c>
      <c r="EAK4388" s="379" t="s">
        <v>3783</v>
      </c>
      <c r="EAL4388" s="379" t="s">
        <v>3783</v>
      </c>
      <c r="EAM4388" s="379" t="s">
        <v>3783</v>
      </c>
      <c r="EAN4388" s="379" t="s">
        <v>3783</v>
      </c>
      <c r="EAO4388" s="379" t="s">
        <v>3783</v>
      </c>
      <c r="EAP4388" s="379" t="s">
        <v>3783</v>
      </c>
      <c r="EAQ4388" s="379" t="s">
        <v>3783</v>
      </c>
      <c r="EAR4388" s="379" t="s">
        <v>3783</v>
      </c>
      <c r="EAS4388" s="379" t="s">
        <v>3783</v>
      </c>
      <c r="EAT4388" s="379" t="s">
        <v>3783</v>
      </c>
      <c r="EAU4388" s="379" t="s">
        <v>3783</v>
      </c>
      <c r="EAV4388" s="379" t="s">
        <v>3783</v>
      </c>
      <c r="EAW4388" s="379" t="s">
        <v>3783</v>
      </c>
      <c r="EAX4388" s="379" t="s">
        <v>3783</v>
      </c>
      <c r="EAY4388" s="379" t="s">
        <v>3783</v>
      </c>
      <c r="EAZ4388" s="379" t="s">
        <v>3783</v>
      </c>
      <c r="EBA4388" s="379" t="s">
        <v>3783</v>
      </c>
      <c r="EBB4388" s="379" t="s">
        <v>3783</v>
      </c>
      <c r="EBC4388" s="379" t="s">
        <v>3783</v>
      </c>
      <c r="EBD4388" s="379" t="s">
        <v>3783</v>
      </c>
      <c r="EBE4388" s="379" t="s">
        <v>3783</v>
      </c>
      <c r="EBF4388" s="379" t="s">
        <v>3783</v>
      </c>
      <c r="EBG4388" s="379" t="s">
        <v>3783</v>
      </c>
      <c r="EBH4388" s="379" t="s">
        <v>3783</v>
      </c>
      <c r="EBI4388" s="379" t="s">
        <v>3783</v>
      </c>
      <c r="EBJ4388" s="379" t="s">
        <v>3783</v>
      </c>
      <c r="EBK4388" s="379" t="s">
        <v>3783</v>
      </c>
      <c r="EBL4388" s="379" t="s">
        <v>3783</v>
      </c>
      <c r="EBM4388" s="379" t="s">
        <v>3783</v>
      </c>
      <c r="EBN4388" s="379" t="s">
        <v>3783</v>
      </c>
      <c r="EBO4388" s="379" t="s">
        <v>3783</v>
      </c>
      <c r="EBP4388" s="379" t="s">
        <v>3783</v>
      </c>
      <c r="EBQ4388" s="379" t="s">
        <v>3783</v>
      </c>
      <c r="EBR4388" s="379" t="s">
        <v>3783</v>
      </c>
      <c r="EBS4388" s="379" t="s">
        <v>3783</v>
      </c>
      <c r="EBT4388" s="379" t="s">
        <v>3783</v>
      </c>
      <c r="EBU4388" s="379" t="s">
        <v>3783</v>
      </c>
      <c r="EBV4388" s="379" t="s">
        <v>3783</v>
      </c>
      <c r="EBW4388" s="379" t="s">
        <v>3783</v>
      </c>
      <c r="EBX4388" s="379" t="s">
        <v>3783</v>
      </c>
      <c r="EBY4388" s="379" t="s">
        <v>3783</v>
      </c>
      <c r="EBZ4388" s="379" t="s">
        <v>3783</v>
      </c>
      <c r="ECA4388" s="379" t="s">
        <v>3783</v>
      </c>
      <c r="ECB4388" s="379" t="s">
        <v>3783</v>
      </c>
      <c r="ECC4388" s="379" t="s">
        <v>3783</v>
      </c>
      <c r="ECD4388" s="379" t="s">
        <v>3783</v>
      </c>
      <c r="ECE4388" s="379" t="s">
        <v>3783</v>
      </c>
      <c r="ECF4388" s="379" t="s">
        <v>3783</v>
      </c>
      <c r="ECG4388" s="379" t="s">
        <v>3783</v>
      </c>
      <c r="ECH4388" s="379" t="s">
        <v>3783</v>
      </c>
      <c r="ECI4388" s="379" t="s">
        <v>3783</v>
      </c>
      <c r="ECJ4388" s="379" t="s">
        <v>3783</v>
      </c>
      <c r="ECK4388" s="379" t="s">
        <v>3783</v>
      </c>
      <c r="ECL4388" s="379" t="s">
        <v>3783</v>
      </c>
      <c r="ECM4388" s="379" t="s">
        <v>3783</v>
      </c>
      <c r="ECN4388" s="379" t="s">
        <v>3783</v>
      </c>
      <c r="ECO4388" s="379" t="s">
        <v>3783</v>
      </c>
      <c r="ECP4388" s="379" t="s">
        <v>3783</v>
      </c>
      <c r="ECQ4388" s="379" t="s">
        <v>3783</v>
      </c>
      <c r="ECR4388" s="379" t="s">
        <v>3783</v>
      </c>
      <c r="ECS4388" s="379" t="s">
        <v>3783</v>
      </c>
      <c r="ECT4388" s="379" t="s">
        <v>3783</v>
      </c>
      <c r="ECU4388" s="379" t="s">
        <v>3783</v>
      </c>
      <c r="ECV4388" s="379" t="s">
        <v>3783</v>
      </c>
      <c r="ECW4388" s="379" t="s">
        <v>3783</v>
      </c>
      <c r="ECX4388" s="379" t="s">
        <v>3783</v>
      </c>
      <c r="ECY4388" s="379" t="s">
        <v>3783</v>
      </c>
      <c r="ECZ4388" s="379" t="s">
        <v>3783</v>
      </c>
      <c r="EDA4388" s="379" t="s">
        <v>3783</v>
      </c>
      <c r="EDB4388" s="379" t="s">
        <v>3783</v>
      </c>
      <c r="EDC4388" s="379" t="s">
        <v>3783</v>
      </c>
      <c r="EDD4388" s="379" t="s">
        <v>3783</v>
      </c>
      <c r="EDE4388" s="379" t="s">
        <v>3783</v>
      </c>
      <c r="EDF4388" s="379" t="s">
        <v>3783</v>
      </c>
      <c r="EDG4388" s="379" t="s">
        <v>3783</v>
      </c>
      <c r="EDH4388" s="379" t="s">
        <v>3783</v>
      </c>
      <c r="EDI4388" s="379" t="s">
        <v>3783</v>
      </c>
      <c r="EDJ4388" s="379" t="s">
        <v>3783</v>
      </c>
      <c r="EDK4388" s="379" t="s">
        <v>3783</v>
      </c>
      <c r="EDL4388" s="379" t="s">
        <v>3783</v>
      </c>
      <c r="EDM4388" s="379" t="s">
        <v>3783</v>
      </c>
      <c r="EDN4388" s="379" t="s">
        <v>3783</v>
      </c>
      <c r="EDO4388" s="379" t="s">
        <v>3783</v>
      </c>
      <c r="EDP4388" s="379" t="s">
        <v>3783</v>
      </c>
      <c r="EDQ4388" s="379" t="s">
        <v>3783</v>
      </c>
      <c r="EDR4388" s="379" t="s">
        <v>3783</v>
      </c>
      <c r="EDS4388" s="379" t="s">
        <v>3783</v>
      </c>
      <c r="EDT4388" s="379" t="s">
        <v>3783</v>
      </c>
      <c r="EDU4388" s="379" t="s">
        <v>3783</v>
      </c>
      <c r="EDV4388" s="379" t="s">
        <v>3783</v>
      </c>
      <c r="EDW4388" s="379" t="s">
        <v>3783</v>
      </c>
      <c r="EDX4388" s="379" t="s">
        <v>3783</v>
      </c>
      <c r="EDY4388" s="379" t="s">
        <v>3783</v>
      </c>
      <c r="EDZ4388" s="379" t="s">
        <v>3783</v>
      </c>
      <c r="EEA4388" s="379" t="s">
        <v>3783</v>
      </c>
      <c r="EEB4388" s="379" t="s">
        <v>3783</v>
      </c>
      <c r="EEC4388" s="379" t="s">
        <v>3783</v>
      </c>
      <c r="EED4388" s="379" t="s">
        <v>3783</v>
      </c>
      <c r="EEE4388" s="379" t="s">
        <v>3783</v>
      </c>
      <c r="EEF4388" s="379" t="s">
        <v>3783</v>
      </c>
      <c r="EEG4388" s="379" t="s">
        <v>3783</v>
      </c>
      <c r="EEH4388" s="379" t="s">
        <v>3783</v>
      </c>
      <c r="EEI4388" s="379" t="s">
        <v>3783</v>
      </c>
      <c r="EEJ4388" s="379" t="s">
        <v>3783</v>
      </c>
      <c r="EEK4388" s="379" t="s">
        <v>3783</v>
      </c>
      <c r="EEL4388" s="379" t="s">
        <v>3783</v>
      </c>
      <c r="EEM4388" s="379" t="s">
        <v>3783</v>
      </c>
      <c r="EEN4388" s="379" t="s">
        <v>3783</v>
      </c>
      <c r="EEO4388" s="379" t="s">
        <v>3783</v>
      </c>
      <c r="EEP4388" s="379" t="s">
        <v>3783</v>
      </c>
      <c r="EEQ4388" s="379" t="s">
        <v>3783</v>
      </c>
      <c r="EER4388" s="379" t="s">
        <v>3783</v>
      </c>
      <c r="EES4388" s="379" t="s">
        <v>3783</v>
      </c>
      <c r="EET4388" s="379" t="s">
        <v>3783</v>
      </c>
      <c r="EEU4388" s="379" t="s">
        <v>3783</v>
      </c>
      <c r="EEV4388" s="379" t="s">
        <v>3783</v>
      </c>
      <c r="EEW4388" s="379" t="s">
        <v>3783</v>
      </c>
      <c r="EEX4388" s="379" t="s">
        <v>3783</v>
      </c>
      <c r="EEY4388" s="379" t="s">
        <v>3783</v>
      </c>
      <c r="EEZ4388" s="379" t="s">
        <v>3783</v>
      </c>
      <c r="EFA4388" s="379" t="s">
        <v>3783</v>
      </c>
      <c r="EFB4388" s="379" t="s">
        <v>3783</v>
      </c>
      <c r="EFC4388" s="379" t="s">
        <v>3783</v>
      </c>
      <c r="EFD4388" s="379" t="s">
        <v>3783</v>
      </c>
      <c r="EFE4388" s="379" t="s">
        <v>3783</v>
      </c>
      <c r="EFF4388" s="379" t="s">
        <v>3783</v>
      </c>
      <c r="EFG4388" s="379" t="s">
        <v>3783</v>
      </c>
      <c r="EFH4388" s="379" t="s">
        <v>3783</v>
      </c>
      <c r="EFI4388" s="379" t="s">
        <v>3783</v>
      </c>
      <c r="EFJ4388" s="379" t="s">
        <v>3783</v>
      </c>
      <c r="EFK4388" s="379" t="s">
        <v>3783</v>
      </c>
      <c r="EFL4388" s="379" t="s">
        <v>3783</v>
      </c>
      <c r="EFM4388" s="379" t="s">
        <v>3783</v>
      </c>
      <c r="EFN4388" s="379" t="s">
        <v>3783</v>
      </c>
      <c r="EFO4388" s="379" t="s">
        <v>3783</v>
      </c>
      <c r="EFP4388" s="379" t="s">
        <v>3783</v>
      </c>
      <c r="EFQ4388" s="379" t="s">
        <v>3783</v>
      </c>
      <c r="EFR4388" s="379" t="s">
        <v>3783</v>
      </c>
      <c r="EFS4388" s="379" t="s">
        <v>3783</v>
      </c>
      <c r="EFT4388" s="379" t="s">
        <v>3783</v>
      </c>
      <c r="EFU4388" s="379" t="s">
        <v>3783</v>
      </c>
      <c r="EFV4388" s="379" t="s">
        <v>3783</v>
      </c>
      <c r="EFW4388" s="379" t="s">
        <v>3783</v>
      </c>
      <c r="EFX4388" s="379" t="s">
        <v>3783</v>
      </c>
      <c r="EFY4388" s="379" t="s">
        <v>3783</v>
      </c>
      <c r="EFZ4388" s="379" t="s">
        <v>3783</v>
      </c>
      <c r="EGA4388" s="379" t="s">
        <v>3783</v>
      </c>
      <c r="EGB4388" s="379" t="s">
        <v>3783</v>
      </c>
      <c r="EGC4388" s="379" t="s">
        <v>3783</v>
      </c>
      <c r="EGD4388" s="379" t="s">
        <v>3783</v>
      </c>
      <c r="EGE4388" s="379" t="s">
        <v>3783</v>
      </c>
      <c r="EGF4388" s="379" t="s">
        <v>3783</v>
      </c>
      <c r="EGG4388" s="379" t="s">
        <v>3783</v>
      </c>
      <c r="EGH4388" s="379" t="s">
        <v>3783</v>
      </c>
      <c r="EGI4388" s="379" t="s">
        <v>3783</v>
      </c>
      <c r="EGJ4388" s="379" t="s">
        <v>3783</v>
      </c>
      <c r="EGK4388" s="379" t="s">
        <v>3783</v>
      </c>
      <c r="EGL4388" s="379" t="s">
        <v>3783</v>
      </c>
      <c r="EGM4388" s="379" t="s">
        <v>3783</v>
      </c>
      <c r="EGN4388" s="379" t="s">
        <v>3783</v>
      </c>
      <c r="EGO4388" s="379" t="s">
        <v>3783</v>
      </c>
      <c r="EGP4388" s="379" t="s">
        <v>3783</v>
      </c>
      <c r="EGQ4388" s="379" t="s">
        <v>3783</v>
      </c>
      <c r="EGR4388" s="379" t="s">
        <v>3783</v>
      </c>
      <c r="EGS4388" s="379" t="s">
        <v>3783</v>
      </c>
      <c r="EGT4388" s="379" t="s">
        <v>3783</v>
      </c>
      <c r="EGU4388" s="379" t="s">
        <v>3783</v>
      </c>
      <c r="EGV4388" s="379" t="s">
        <v>3783</v>
      </c>
      <c r="EGW4388" s="379" t="s">
        <v>3783</v>
      </c>
      <c r="EGX4388" s="379" t="s">
        <v>3783</v>
      </c>
      <c r="EGY4388" s="379" t="s">
        <v>3783</v>
      </c>
      <c r="EGZ4388" s="379" t="s">
        <v>3783</v>
      </c>
      <c r="EHA4388" s="379" t="s">
        <v>3783</v>
      </c>
      <c r="EHB4388" s="379" t="s">
        <v>3783</v>
      </c>
      <c r="EHC4388" s="379" t="s">
        <v>3783</v>
      </c>
      <c r="EHD4388" s="379" t="s">
        <v>3783</v>
      </c>
      <c r="EHE4388" s="379" t="s">
        <v>3783</v>
      </c>
      <c r="EHF4388" s="379" t="s">
        <v>3783</v>
      </c>
      <c r="EHG4388" s="379" t="s">
        <v>3783</v>
      </c>
      <c r="EHH4388" s="379" t="s">
        <v>3783</v>
      </c>
      <c r="EHI4388" s="379" t="s">
        <v>3783</v>
      </c>
      <c r="EHJ4388" s="379" t="s">
        <v>3783</v>
      </c>
      <c r="EHK4388" s="379" t="s">
        <v>3783</v>
      </c>
      <c r="EHL4388" s="379" t="s">
        <v>3783</v>
      </c>
      <c r="EHM4388" s="379" t="s">
        <v>3783</v>
      </c>
      <c r="EHN4388" s="379" t="s">
        <v>3783</v>
      </c>
      <c r="EHO4388" s="379" t="s">
        <v>3783</v>
      </c>
      <c r="EHP4388" s="379" t="s">
        <v>3783</v>
      </c>
      <c r="EHQ4388" s="379" t="s">
        <v>3783</v>
      </c>
      <c r="EHR4388" s="379" t="s">
        <v>3783</v>
      </c>
      <c r="EHS4388" s="379" t="s">
        <v>3783</v>
      </c>
      <c r="EHT4388" s="379" t="s">
        <v>3783</v>
      </c>
      <c r="EHU4388" s="379" t="s">
        <v>3783</v>
      </c>
      <c r="EHV4388" s="379" t="s">
        <v>3783</v>
      </c>
      <c r="EHW4388" s="379" t="s">
        <v>3783</v>
      </c>
      <c r="EHX4388" s="379" t="s">
        <v>3783</v>
      </c>
      <c r="EHY4388" s="379" t="s">
        <v>3783</v>
      </c>
      <c r="EHZ4388" s="379" t="s">
        <v>3783</v>
      </c>
      <c r="EIA4388" s="379" t="s">
        <v>3783</v>
      </c>
      <c r="EIB4388" s="379" t="s">
        <v>3783</v>
      </c>
      <c r="EIC4388" s="379" t="s">
        <v>3783</v>
      </c>
      <c r="EID4388" s="379" t="s">
        <v>3783</v>
      </c>
      <c r="EIE4388" s="379" t="s">
        <v>3783</v>
      </c>
      <c r="EIF4388" s="379" t="s">
        <v>3783</v>
      </c>
      <c r="EIG4388" s="379" t="s">
        <v>3783</v>
      </c>
      <c r="EIH4388" s="379" t="s">
        <v>3783</v>
      </c>
      <c r="EII4388" s="379" t="s">
        <v>3783</v>
      </c>
      <c r="EIJ4388" s="379" t="s">
        <v>3783</v>
      </c>
      <c r="EIK4388" s="379" t="s">
        <v>3783</v>
      </c>
      <c r="EIL4388" s="379" t="s">
        <v>3783</v>
      </c>
      <c r="EIM4388" s="379" t="s">
        <v>3783</v>
      </c>
      <c r="EIN4388" s="379" t="s">
        <v>3783</v>
      </c>
      <c r="EIO4388" s="379" t="s">
        <v>3783</v>
      </c>
      <c r="EIP4388" s="379" t="s">
        <v>3783</v>
      </c>
      <c r="EIQ4388" s="379" t="s">
        <v>3783</v>
      </c>
      <c r="EIR4388" s="379" t="s">
        <v>3783</v>
      </c>
      <c r="EIS4388" s="379" t="s">
        <v>3783</v>
      </c>
      <c r="EIT4388" s="379" t="s">
        <v>3783</v>
      </c>
      <c r="EIU4388" s="379" t="s">
        <v>3783</v>
      </c>
      <c r="EIV4388" s="379" t="s">
        <v>3783</v>
      </c>
      <c r="EIW4388" s="379" t="s">
        <v>3783</v>
      </c>
      <c r="EIX4388" s="379" t="s">
        <v>3783</v>
      </c>
      <c r="EIY4388" s="379" t="s">
        <v>3783</v>
      </c>
      <c r="EIZ4388" s="379" t="s">
        <v>3783</v>
      </c>
      <c r="EJA4388" s="379" t="s">
        <v>3783</v>
      </c>
      <c r="EJB4388" s="379" t="s">
        <v>3783</v>
      </c>
      <c r="EJC4388" s="379" t="s">
        <v>3783</v>
      </c>
      <c r="EJD4388" s="379" t="s">
        <v>3783</v>
      </c>
      <c r="EJE4388" s="379" t="s">
        <v>3783</v>
      </c>
      <c r="EJF4388" s="379" t="s">
        <v>3783</v>
      </c>
      <c r="EJG4388" s="379" t="s">
        <v>3783</v>
      </c>
      <c r="EJH4388" s="379" t="s">
        <v>3783</v>
      </c>
      <c r="EJI4388" s="379" t="s">
        <v>3783</v>
      </c>
      <c r="EJJ4388" s="379" t="s">
        <v>3783</v>
      </c>
      <c r="EJK4388" s="379" t="s">
        <v>3783</v>
      </c>
      <c r="EJL4388" s="379" t="s">
        <v>3783</v>
      </c>
      <c r="EJM4388" s="379" t="s">
        <v>3783</v>
      </c>
      <c r="EJN4388" s="379" t="s">
        <v>3783</v>
      </c>
      <c r="EJO4388" s="379" t="s">
        <v>3783</v>
      </c>
      <c r="EJP4388" s="379" t="s">
        <v>3783</v>
      </c>
      <c r="EJQ4388" s="379" t="s">
        <v>3783</v>
      </c>
      <c r="EJR4388" s="379" t="s">
        <v>3783</v>
      </c>
      <c r="EJS4388" s="379" t="s">
        <v>3783</v>
      </c>
      <c r="EJT4388" s="379" t="s">
        <v>3783</v>
      </c>
      <c r="EJU4388" s="379" t="s">
        <v>3783</v>
      </c>
      <c r="EJV4388" s="379" t="s">
        <v>3783</v>
      </c>
      <c r="EJW4388" s="379" t="s">
        <v>3783</v>
      </c>
      <c r="EJX4388" s="379" t="s">
        <v>3783</v>
      </c>
      <c r="EJY4388" s="379" t="s">
        <v>3783</v>
      </c>
      <c r="EJZ4388" s="379" t="s">
        <v>3783</v>
      </c>
      <c r="EKA4388" s="379" t="s">
        <v>3783</v>
      </c>
      <c r="EKB4388" s="379" t="s">
        <v>3783</v>
      </c>
      <c r="EKC4388" s="379" t="s">
        <v>3783</v>
      </c>
      <c r="EKD4388" s="379" t="s">
        <v>3783</v>
      </c>
      <c r="EKE4388" s="379" t="s">
        <v>3783</v>
      </c>
      <c r="EKF4388" s="379" t="s">
        <v>3783</v>
      </c>
      <c r="EKG4388" s="379" t="s">
        <v>3783</v>
      </c>
      <c r="EKH4388" s="379" t="s">
        <v>3783</v>
      </c>
      <c r="EKI4388" s="379" t="s">
        <v>3783</v>
      </c>
      <c r="EKJ4388" s="379" t="s">
        <v>3783</v>
      </c>
      <c r="EKK4388" s="379" t="s">
        <v>3783</v>
      </c>
      <c r="EKL4388" s="379" t="s">
        <v>3783</v>
      </c>
      <c r="EKM4388" s="379" t="s">
        <v>3783</v>
      </c>
      <c r="EKN4388" s="379" t="s">
        <v>3783</v>
      </c>
      <c r="EKO4388" s="379" t="s">
        <v>3783</v>
      </c>
      <c r="EKP4388" s="379" t="s">
        <v>3783</v>
      </c>
      <c r="EKQ4388" s="379" t="s">
        <v>3783</v>
      </c>
      <c r="EKR4388" s="379" t="s">
        <v>3783</v>
      </c>
      <c r="EKS4388" s="379" t="s">
        <v>3783</v>
      </c>
      <c r="EKT4388" s="379" t="s">
        <v>3783</v>
      </c>
      <c r="EKU4388" s="379" t="s">
        <v>3783</v>
      </c>
      <c r="EKV4388" s="379" t="s">
        <v>3783</v>
      </c>
      <c r="EKW4388" s="379" t="s">
        <v>3783</v>
      </c>
      <c r="EKX4388" s="379" t="s">
        <v>3783</v>
      </c>
      <c r="EKY4388" s="379" t="s">
        <v>3783</v>
      </c>
      <c r="EKZ4388" s="379" t="s">
        <v>3783</v>
      </c>
      <c r="ELA4388" s="379" t="s">
        <v>3783</v>
      </c>
      <c r="ELB4388" s="379" t="s">
        <v>3783</v>
      </c>
      <c r="ELC4388" s="379" t="s">
        <v>3783</v>
      </c>
      <c r="ELD4388" s="379" t="s">
        <v>3783</v>
      </c>
      <c r="ELE4388" s="379" t="s">
        <v>3783</v>
      </c>
      <c r="ELF4388" s="379" t="s">
        <v>3783</v>
      </c>
      <c r="ELG4388" s="379" t="s">
        <v>3783</v>
      </c>
      <c r="ELH4388" s="379" t="s">
        <v>3783</v>
      </c>
      <c r="ELI4388" s="379" t="s">
        <v>3783</v>
      </c>
      <c r="ELJ4388" s="379" t="s">
        <v>3783</v>
      </c>
      <c r="ELK4388" s="379" t="s">
        <v>3783</v>
      </c>
      <c r="ELL4388" s="379" t="s">
        <v>3783</v>
      </c>
      <c r="ELM4388" s="379" t="s">
        <v>3783</v>
      </c>
      <c r="ELN4388" s="379" t="s">
        <v>3783</v>
      </c>
      <c r="ELO4388" s="379" t="s">
        <v>3783</v>
      </c>
      <c r="ELP4388" s="379" t="s">
        <v>3783</v>
      </c>
      <c r="ELQ4388" s="379" t="s">
        <v>3783</v>
      </c>
      <c r="ELR4388" s="379" t="s">
        <v>3783</v>
      </c>
      <c r="ELS4388" s="379" t="s">
        <v>3783</v>
      </c>
      <c r="ELT4388" s="379" t="s">
        <v>3783</v>
      </c>
      <c r="ELU4388" s="379" t="s">
        <v>3783</v>
      </c>
      <c r="ELV4388" s="379" t="s">
        <v>3783</v>
      </c>
      <c r="ELW4388" s="379" t="s">
        <v>3783</v>
      </c>
      <c r="ELX4388" s="379" t="s">
        <v>3783</v>
      </c>
      <c r="ELY4388" s="379" t="s">
        <v>3783</v>
      </c>
      <c r="ELZ4388" s="379" t="s">
        <v>3783</v>
      </c>
      <c r="EMA4388" s="379" t="s">
        <v>3783</v>
      </c>
      <c r="EMB4388" s="379" t="s">
        <v>3783</v>
      </c>
      <c r="EMC4388" s="379" t="s">
        <v>3783</v>
      </c>
      <c r="EMD4388" s="379" t="s">
        <v>3783</v>
      </c>
      <c r="EME4388" s="379" t="s">
        <v>3783</v>
      </c>
      <c r="EMF4388" s="379" t="s">
        <v>3783</v>
      </c>
      <c r="EMG4388" s="379" t="s">
        <v>3783</v>
      </c>
      <c r="EMH4388" s="379" t="s">
        <v>3783</v>
      </c>
      <c r="EMI4388" s="379" t="s">
        <v>3783</v>
      </c>
      <c r="EMJ4388" s="379" t="s">
        <v>3783</v>
      </c>
      <c r="EMK4388" s="379" t="s">
        <v>3783</v>
      </c>
      <c r="EML4388" s="379" t="s">
        <v>3783</v>
      </c>
      <c r="EMM4388" s="379" t="s">
        <v>3783</v>
      </c>
      <c r="EMN4388" s="379" t="s">
        <v>3783</v>
      </c>
      <c r="EMO4388" s="379" t="s">
        <v>3783</v>
      </c>
      <c r="EMP4388" s="379" t="s">
        <v>3783</v>
      </c>
      <c r="EMQ4388" s="379" t="s">
        <v>3783</v>
      </c>
      <c r="EMR4388" s="379" t="s">
        <v>3783</v>
      </c>
      <c r="EMS4388" s="379" t="s">
        <v>3783</v>
      </c>
      <c r="EMT4388" s="379" t="s">
        <v>3783</v>
      </c>
      <c r="EMU4388" s="379" t="s">
        <v>3783</v>
      </c>
      <c r="EMV4388" s="379" t="s">
        <v>3783</v>
      </c>
      <c r="EMW4388" s="379" t="s">
        <v>3783</v>
      </c>
      <c r="EMX4388" s="379" t="s">
        <v>3783</v>
      </c>
      <c r="EMY4388" s="379" t="s">
        <v>3783</v>
      </c>
      <c r="EMZ4388" s="379" t="s">
        <v>3783</v>
      </c>
      <c r="ENA4388" s="379" t="s">
        <v>3783</v>
      </c>
      <c r="ENB4388" s="379" t="s">
        <v>3783</v>
      </c>
      <c r="ENC4388" s="379" t="s">
        <v>3783</v>
      </c>
      <c r="END4388" s="379" t="s">
        <v>3783</v>
      </c>
      <c r="ENE4388" s="379" t="s">
        <v>3783</v>
      </c>
      <c r="ENF4388" s="379" t="s">
        <v>3783</v>
      </c>
      <c r="ENG4388" s="379" t="s">
        <v>3783</v>
      </c>
      <c r="ENH4388" s="379" t="s">
        <v>3783</v>
      </c>
      <c r="ENI4388" s="379" t="s">
        <v>3783</v>
      </c>
      <c r="ENJ4388" s="379" t="s">
        <v>3783</v>
      </c>
      <c r="ENK4388" s="379" t="s">
        <v>3783</v>
      </c>
      <c r="ENL4388" s="379" t="s">
        <v>3783</v>
      </c>
      <c r="ENM4388" s="379" t="s">
        <v>3783</v>
      </c>
      <c r="ENN4388" s="379" t="s">
        <v>3783</v>
      </c>
      <c r="ENO4388" s="379" t="s">
        <v>3783</v>
      </c>
      <c r="ENP4388" s="379" t="s">
        <v>3783</v>
      </c>
      <c r="ENQ4388" s="379" t="s">
        <v>3783</v>
      </c>
      <c r="ENR4388" s="379" t="s">
        <v>3783</v>
      </c>
      <c r="ENS4388" s="379" t="s">
        <v>3783</v>
      </c>
      <c r="ENT4388" s="379" t="s">
        <v>3783</v>
      </c>
      <c r="ENU4388" s="379" t="s">
        <v>3783</v>
      </c>
      <c r="ENV4388" s="379" t="s">
        <v>3783</v>
      </c>
      <c r="ENW4388" s="379" t="s">
        <v>3783</v>
      </c>
      <c r="ENX4388" s="379" t="s">
        <v>3783</v>
      </c>
      <c r="ENY4388" s="379" t="s">
        <v>3783</v>
      </c>
      <c r="ENZ4388" s="379" t="s">
        <v>3783</v>
      </c>
      <c r="EOA4388" s="379" t="s">
        <v>3783</v>
      </c>
      <c r="EOB4388" s="379" t="s">
        <v>3783</v>
      </c>
      <c r="EOC4388" s="379" t="s">
        <v>3783</v>
      </c>
      <c r="EOD4388" s="379" t="s">
        <v>3783</v>
      </c>
      <c r="EOE4388" s="379" t="s">
        <v>3783</v>
      </c>
      <c r="EOF4388" s="379" t="s">
        <v>3783</v>
      </c>
      <c r="EOG4388" s="379" t="s">
        <v>3783</v>
      </c>
      <c r="EOH4388" s="379" t="s">
        <v>3783</v>
      </c>
      <c r="EOI4388" s="379" t="s">
        <v>3783</v>
      </c>
      <c r="EOJ4388" s="379" t="s">
        <v>3783</v>
      </c>
      <c r="EOK4388" s="379" t="s">
        <v>3783</v>
      </c>
      <c r="EOL4388" s="379" t="s">
        <v>3783</v>
      </c>
      <c r="EOM4388" s="379" t="s">
        <v>3783</v>
      </c>
      <c r="EON4388" s="379" t="s">
        <v>3783</v>
      </c>
      <c r="EOO4388" s="379" t="s">
        <v>3783</v>
      </c>
      <c r="EOP4388" s="379" t="s">
        <v>3783</v>
      </c>
      <c r="EOQ4388" s="379" t="s">
        <v>3783</v>
      </c>
      <c r="EOR4388" s="379" t="s">
        <v>3783</v>
      </c>
      <c r="EOS4388" s="379" t="s">
        <v>3783</v>
      </c>
      <c r="EOT4388" s="379" t="s">
        <v>3783</v>
      </c>
      <c r="EOU4388" s="379" t="s">
        <v>3783</v>
      </c>
      <c r="EOV4388" s="379" t="s">
        <v>3783</v>
      </c>
      <c r="EOW4388" s="379" t="s">
        <v>3783</v>
      </c>
      <c r="EOX4388" s="379" t="s">
        <v>3783</v>
      </c>
      <c r="EOY4388" s="379" t="s">
        <v>3783</v>
      </c>
      <c r="EOZ4388" s="379" t="s">
        <v>3783</v>
      </c>
      <c r="EPA4388" s="379" t="s">
        <v>3783</v>
      </c>
      <c r="EPB4388" s="379" t="s">
        <v>3783</v>
      </c>
      <c r="EPC4388" s="379" t="s">
        <v>3783</v>
      </c>
      <c r="EPD4388" s="379" t="s">
        <v>3783</v>
      </c>
      <c r="EPE4388" s="379" t="s">
        <v>3783</v>
      </c>
      <c r="EPF4388" s="379" t="s">
        <v>3783</v>
      </c>
      <c r="EPG4388" s="379" t="s">
        <v>3783</v>
      </c>
      <c r="EPH4388" s="379" t="s">
        <v>3783</v>
      </c>
      <c r="EPI4388" s="379" t="s">
        <v>3783</v>
      </c>
      <c r="EPJ4388" s="379" t="s">
        <v>3783</v>
      </c>
      <c r="EPK4388" s="379" t="s">
        <v>3783</v>
      </c>
      <c r="EPL4388" s="379" t="s">
        <v>3783</v>
      </c>
      <c r="EPM4388" s="379" t="s">
        <v>3783</v>
      </c>
      <c r="EPN4388" s="379" t="s">
        <v>3783</v>
      </c>
      <c r="EPO4388" s="379" t="s">
        <v>3783</v>
      </c>
      <c r="EPP4388" s="379" t="s">
        <v>3783</v>
      </c>
      <c r="EPQ4388" s="379" t="s">
        <v>3783</v>
      </c>
      <c r="EPR4388" s="379" t="s">
        <v>3783</v>
      </c>
      <c r="EPS4388" s="379" t="s">
        <v>3783</v>
      </c>
      <c r="EPT4388" s="379" t="s">
        <v>3783</v>
      </c>
      <c r="EPU4388" s="379" t="s">
        <v>3783</v>
      </c>
      <c r="EPV4388" s="379" t="s">
        <v>3783</v>
      </c>
      <c r="EPW4388" s="379" t="s">
        <v>3783</v>
      </c>
      <c r="EPX4388" s="379" t="s">
        <v>3783</v>
      </c>
      <c r="EPY4388" s="379" t="s">
        <v>3783</v>
      </c>
      <c r="EPZ4388" s="379" t="s">
        <v>3783</v>
      </c>
      <c r="EQA4388" s="379" t="s">
        <v>3783</v>
      </c>
      <c r="EQB4388" s="379" t="s">
        <v>3783</v>
      </c>
      <c r="EQC4388" s="379" t="s">
        <v>3783</v>
      </c>
      <c r="EQD4388" s="379" t="s">
        <v>3783</v>
      </c>
      <c r="EQE4388" s="379" t="s">
        <v>3783</v>
      </c>
      <c r="EQF4388" s="379" t="s">
        <v>3783</v>
      </c>
      <c r="EQG4388" s="379" t="s">
        <v>3783</v>
      </c>
      <c r="EQH4388" s="379" t="s">
        <v>3783</v>
      </c>
      <c r="EQI4388" s="379" t="s">
        <v>3783</v>
      </c>
      <c r="EQJ4388" s="379" t="s">
        <v>3783</v>
      </c>
      <c r="EQK4388" s="379" t="s">
        <v>3783</v>
      </c>
      <c r="EQL4388" s="379" t="s">
        <v>3783</v>
      </c>
      <c r="EQM4388" s="379" t="s">
        <v>3783</v>
      </c>
      <c r="EQN4388" s="379" t="s">
        <v>3783</v>
      </c>
      <c r="EQO4388" s="379" t="s">
        <v>3783</v>
      </c>
      <c r="EQP4388" s="379" t="s">
        <v>3783</v>
      </c>
      <c r="EQQ4388" s="379" t="s">
        <v>3783</v>
      </c>
      <c r="EQR4388" s="379" t="s">
        <v>3783</v>
      </c>
      <c r="EQS4388" s="379" t="s">
        <v>3783</v>
      </c>
      <c r="EQT4388" s="379" t="s">
        <v>3783</v>
      </c>
      <c r="EQU4388" s="379" t="s">
        <v>3783</v>
      </c>
      <c r="EQV4388" s="379" t="s">
        <v>3783</v>
      </c>
      <c r="EQW4388" s="379" t="s">
        <v>3783</v>
      </c>
      <c r="EQX4388" s="379" t="s">
        <v>3783</v>
      </c>
      <c r="EQY4388" s="379" t="s">
        <v>3783</v>
      </c>
      <c r="EQZ4388" s="379" t="s">
        <v>3783</v>
      </c>
      <c r="ERA4388" s="379" t="s">
        <v>3783</v>
      </c>
      <c r="ERB4388" s="379" t="s">
        <v>3783</v>
      </c>
      <c r="ERC4388" s="379" t="s">
        <v>3783</v>
      </c>
      <c r="ERD4388" s="379" t="s">
        <v>3783</v>
      </c>
      <c r="ERE4388" s="379" t="s">
        <v>3783</v>
      </c>
      <c r="ERF4388" s="379" t="s">
        <v>3783</v>
      </c>
      <c r="ERG4388" s="379" t="s">
        <v>3783</v>
      </c>
      <c r="ERH4388" s="379" t="s">
        <v>3783</v>
      </c>
      <c r="ERI4388" s="379" t="s">
        <v>3783</v>
      </c>
      <c r="ERJ4388" s="379" t="s">
        <v>3783</v>
      </c>
      <c r="ERK4388" s="379" t="s">
        <v>3783</v>
      </c>
      <c r="ERL4388" s="379" t="s">
        <v>3783</v>
      </c>
      <c r="ERM4388" s="379" t="s">
        <v>3783</v>
      </c>
      <c r="ERN4388" s="379" t="s">
        <v>3783</v>
      </c>
      <c r="ERO4388" s="379" t="s">
        <v>3783</v>
      </c>
      <c r="ERP4388" s="379" t="s">
        <v>3783</v>
      </c>
      <c r="ERQ4388" s="379" t="s">
        <v>3783</v>
      </c>
      <c r="ERR4388" s="379" t="s">
        <v>3783</v>
      </c>
      <c r="ERS4388" s="379" t="s">
        <v>3783</v>
      </c>
      <c r="ERT4388" s="379" t="s">
        <v>3783</v>
      </c>
      <c r="ERU4388" s="379" t="s">
        <v>3783</v>
      </c>
      <c r="ERV4388" s="379" t="s">
        <v>3783</v>
      </c>
      <c r="ERW4388" s="379" t="s">
        <v>3783</v>
      </c>
      <c r="ERX4388" s="379" t="s">
        <v>3783</v>
      </c>
      <c r="ERY4388" s="379" t="s">
        <v>3783</v>
      </c>
      <c r="ERZ4388" s="379" t="s">
        <v>3783</v>
      </c>
      <c r="ESA4388" s="379" t="s">
        <v>3783</v>
      </c>
      <c r="ESB4388" s="379" t="s">
        <v>3783</v>
      </c>
      <c r="ESC4388" s="379" t="s">
        <v>3783</v>
      </c>
      <c r="ESD4388" s="379" t="s">
        <v>3783</v>
      </c>
      <c r="ESE4388" s="379" t="s">
        <v>3783</v>
      </c>
      <c r="ESF4388" s="379" t="s">
        <v>3783</v>
      </c>
      <c r="ESG4388" s="379" t="s">
        <v>3783</v>
      </c>
      <c r="ESH4388" s="379" t="s">
        <v>3783</v>
      </c>
      <c r="ESI4388" s="379" t="s">
        <v>3783</v>
      </c>
      <c r="ESJ4388" s="379" t="s">
        <v>3783</v>
      </c>
      <c r="ESK4388" s="379" t="s">
        <v>3783</v>
      </c>
      <c r="ESL4388" s="379" t="s">
        <v>3783</v>
      </c>
      <c r="ESM4388" s="379" t="s">
        <v>3783</v>
      </c>
      <c r="ESN4388" s="379" t="s">
        <v>3783</v>
      </c>
      <c r="ESO4388" s="379" t="s">
        <v>3783</v>
      </c>
      <c r="ESP4388" s="379" t="s">
        <v>3783</v>
      </c>
      <c r="ESQ4388" s="379" t="s">
        <v>3783</v>
      </c>
      <c r="ESR4388" s="379" t="s">
        <v>3783</v>
      </c>
      <c r="ESS4388" s="379" t="s">
        <v>3783</v>
      </c>
      <c r="EST4388" s="379" t="s">
        <v>3783</v>
      </c>
      <c r="ESU4388" s="379" t="s">
        <v>3783</v>
      </c>
      <c r="ESV4388" s="379" t="s">
        <v>3783</v>
      </c>
      <c r="ESW4388" s="379" t="s">
        <v>3783</v>
      </c>
      <c r="ESX4388" s="379" t="s">
        <v>3783</v>
      </c>
      <c r="ESY4388" s="379" t="s">
        <v>3783</v>
      </c>
      <c r="ESZ4388" s="379" t="s">
        <v>3783</v>
      </c>
      <c r="ETA4388" s="379" t="s">
        <v>3783</v>
      </c>
      <c r="ETB4388" s="379" t="s">
        <v>3783</v>
      </c>
      <c r="ETC4388" s="379" t="s">
        <v>3783</v>
      </c>
      <c r="ETD4388" s="379" t="s">
        <v>3783</v>
      </c>
      <c r="ETE4388" s="379" t="s">
        <v>3783</v>
      </c>
      <c r="ETF4388" s="379" t="s">
        <v>3783</v>
      </c>
      <c r="ETG4388" s="379" t="s">
        <v>3783</v>
      </c>
      <c r="ETH4388" s="379" t="s">
        <v>3783</v>
      </c>
      <c r="ETI4388" s="379" t="s">
        <v>3783</v>
      </c>
      <c r="ETJ4388" s="379" t="s">
        <v>3783</v>
      </c>
      <c r="ETK4388" s="379" t="s">
        <v>3783</v>
      </c>
      <c r="ETL4388" s="379" t="s">
        <v>3783</v>
      </c>
      <c r="ETM4388" s="379" t="s">
        <v>3783</v>
      </c>
      <c r="ETN4388" s="379" t="s">
        <v>3783</v>
      </c>
      <c r="ETO4388" s="379" t="s">
        <v>3783</v>
      </c>
      <c r="ETP4388" s="379" t="s">
        <v>3783</v>
      </c>
      <c r="ETQ4388" s="379" t="s">
        <v>3783</v>
      </c>
      <c r="ETR4388" s="379" t="s">
        <v>3783</v>
      </c>
      <c r="ETS4388" s="379" t="s">
        <v>3783</v>
      </c>
      <c r="ETT4388" s="379" t="s">
        <v>3783</v>
      </c>
      <c r="ETU4388" s="379" t="s">
        <v>3783</v>
      </c>
      <c r="ETV4388" s="379" t="s">
        <v>3783</v>
      </c>
      <c r="ETW4388" s="379" t="s">
        <v>3783</v>
      </c>
      <c r="ETX4388" s="379" t="s">
        <v>3783</v>
      </c>
      <c r="ETY4388" s="379" t="s">
        <v>3783</v>
      </c>
      <c r="ETZ4388" s="379" t="s">
        <v>3783</v>
      </c>
      <c r="EUA4388" s="379" t="s">
        <v>3783</v>
      </c>
      <c r="EUB4388" s="379" t="s">
        <v>3783</v>
      </c>
      <c r="EUC4388" s="379" t="s">
        <v>3783</v>
      </c>
      <c r="EUD4388" s="379" t="s">
        <v>3783</v>
      </c>
      <c r="EUE4388" s="379" t="s">
        <v>3783</v>
      </c>
      <c r="EUF4388" s="379" t="s">
        <v>3783</v>
      </c>
      <c r="EUG4388" s="379" t="s">
        <v>3783</v>
      </c>
      <c r="EUH4388" s="379" t="s">
        <v>3783</v>
      </c>
      <c r="EUI4388" s="379" t="s">
        <v>3783</v>
      </c>
      <c r="EUJ4388" s="379" t="s">
        <v>3783</v>
      </c>
      <c r="EUK4388" s="379" t="s">
        <v>3783</v>
      </c>
      <c r="EUL4388" s="379" t="s">
        <v>3783</v>
      </c>
      <c r="EUM4388" s="379" t="s">
        <v>3783</v>
      </c>
      <c r="EUN4388" s="379" t="s">
        <v>3783</v>
      </c>
      <c r="EUO4388" s="379" t="s">
        <v>3783</v>
      </c>
      <c r="EUP4388" s="379" t="s">
        <v>3783</v>
      </c>
      <c r="EUQ4388" s="379" t="s">
        <v>3783</v>
      </c>
      <c r="EUR4388" s="379" t="s">
        <v>3783</v>
      </c>
      <c r="EUS4388" s="379" t="s">
        <v>3783</v>
      </c>
      <c r="EUT4388" s="379" t="s">
        <v>3783</v>
      </c>
      <c r="EUU4388" s="379" t="s">
        <v>3783</v>
      </c>
      <c r="EUV4388" s="379" t="s">
        <v>3783</v>
      </c>
      <c r="EUW4388" s="379" t="s">
        <v>3783</v>
      </c>
      <c r="EUX4388" s="379" t="s">
        <v>3783</v>
      </c>
      <c r="EUY4388" s="379" t="s">
        <v>3783</v>
      </c>
      <c r="EUZ4388" s="379" t="s">
        <v>3783</v>
      </c>
      <c r="EVA4388" s="379" t="s">
        <v>3783</v>
      </c>
      <c r="EVB4388" s="379" t="s">
        <v>3783</v>
      </c>
      <c r="EVC4388" s="379" t="s">
        <v>3783</v>
      </c>
      <c r="EVD4388" s="379" t="s">
        <v>3783</v>
      </c>
      <c r="EVE4388" s="379" t="s">
        <v>3783</v>
      </c>
      <c r="EVF4388" s="379" t="s">
        <v>3783</v>
      </c>
      <c r="EVG4388" s="379" t="s">
        <v>3783</v>
      </c>
      <c r="EVH4388" s="379" t="s">
        <v>3783</v>
      </c>
      <c r="EVI4388" s="379" t="s">
        <v>3783</v>
      </c>
      <c r="EVJ4388" s="379" t="s">
        <v>3783</v>
      </c>
      <c r="EVK4388" s="379" t="s">
        <v>3783</v>
      </c>
      <c r="EVL4388" s="379" t="s">
        <v>3783</v>
      </c>
      <c r="EVM4388" s="379" t="s">
        <v>3783</v>
      </c>
      <c r="EVN4388" s="379" t="s">
        <v>3783</v>
      </c>
      <c r="EVO4388" s="379" t="s">
        <v>3783</v>
      </c>
      <c r="EVP4388" s="379" t="s">
        <v>3783</v>
      </c>
      <c r="EVQ4388" s="379" t="s">
        <v>3783</v>
      </c>
      <c r="EVR4388" s="379" t="s">
        <v>3783</v>
      </c>
      <c r="EVS4388" s="379" t="s">
        <v>3783</v>
      </c>
      <c r="EVT4388" s="379" t="s">
        <v>3783</v>
      </c>
      <c r="EVU4388" s="379" t="s">
        <v>3783</v>
      </c>
      <c r="EVV4388" s="379" t="s">
        <v>3783</v>
      </c>
      <c r="EVW4388" s="379" t="s">
        <v>3783</v>
      </c>
      <c r="EVX4388" s="379" t="s">
        <v>3783</v>
      </c>
      <c r="EVY4388" s="379" t="s">
        <v>3783</v>
      </c>
      <c r="EVZ4388" s="379" t="s">
        <v>3783</v>
      </c>
      <c r="EWA4388" s="379" t="s">
        <v>3783</v>
      </c>
      <c r="EWB4388" s="379" t="s">
        <v>3783</v>
      </c>
      <c r="EWC4388" s="379" t="s">
        <v>3783</v>
      </c>
      <c r="EWD4388" s="379" t="s">
        <v>3783</v>
      </c>
      <c r="EWE4388" s="379" t="s">
        <v>3783</v>
      </c>
      <c r="EWF4388" s="379" t="s">
        <v>3783</v>
      </c>
      <c r="EWG4388" s="379" t="s">
        <v>3783</v>
      </c>
      <c r="EWH4388" s="379" t="s">
        <v>3783</v>
      </c>
      <c r="EWI4388" s="379" t="s">
        <v>3783</v>
      </c>
      <c r="EWJ4388" s="379" t="s">
        <v>3783</v>
      </c>
      <c r="EWK4388" s="379" t="s">
        <v>3783</v>
      </c>
      <c r="EWL4388" s="379" t="s">
        <v>3783</v>
      </c>
      <c r="EWM4388" s="379" t="s">
        <v>3783</v>
      </c>
      <c r="EWN4388" s="379" t="s">
        <v>3783</v>
      </c>
      <c r="EWO4388" s="379" t="s">
        <v>3783</v>
      </c>
      <c r="EWP4388" s="379" t="s">
        <v>3783</v>
      </c>
      <c r="EWQ4388" s="379" t="s">
        <v>3783</v>
      </c>
      <c r="EWR4388" s="379" t="s">
        <v>3783</v>
      </c>
      <c r="EWS4388" s="379" t="s">
        <v>3783</v>
      </c>
      <c r="EWT4388" s="379" t="s">
        <v>3783</v>
      </c>
      <c r="EWU4388" s="379" t="s">
        <v>3783</v>
      </c>
      <c r="EWV4388" s="379" t="s">
        <v>3783</v>
      </c>
      <c r="EWW4388" s="379" t="s">
        <v>3783</v>
      </c>
      <c r="EWX4388" s="379" t="s">
        <v>3783</v>
      </c>
      <c r="EWY4388" s="379" t="s">
        <v>3783</v>
      </c>
      <c r="EWZ4388" s="379" t="s">
        <v>3783</v>
      </c>
      <c r="EXA4388" s="379" t="s">
        <v>3783</v>
      </c>
      <c r="EXB4388" s="379" t="s">
        <v>3783</v>
      </c>
      <c r="EXC4388" s="379" t="s">
        <v>3783</v>
      </c>
      <c r="EXD4388" s="379" t="s">
        <v>3783</v>
      </c>
      <c r="EXE4388" s="379" t="s">
        <v>3783</v>
      </c>
      <c r="EXF4388" s="379" t="s">
        <v>3783</v>
      </c>
      <c r="EXG4388" s="379" t="s">
        <v>3783</v>
      </c>
      <c r="EXH4388" s="379" t="s">
        <v>3783</v>
      </c>
      <c r="EXI4388" s="379" t="s">
        <v>3783</v>
      </c>
      <c r="EXJ4388" s="379" t="s">
        <v>3783</v>
      </c>
      <c r="EXK4388" s="379" t="s">
        <v>3783</v>
      </c>
      <c r="EXL4388" s="379" t="s">
        <v>3783</v>
      </c>
      <c r="EXM4388" s="379" t="s">
        <v>3783</v>
      </c>
      <c r="EXN4388" s="379" t="s">
        <v>3783</v>
      </c>
      <c r="EXO4388" s="379" t="s">
        <v>3783</v>
      </c>
      <c r="EXP4388" s="379" t="s">
        <v>3783</v>
      </c>
      <c r="EXQ4388" s="379" t="s">
        <v>3783</v>
      </c>
      <c r="EXR4388" s="379" t="s">
        <v>3783</v>
      </c>
      <c r="EXS4388" s="379" t="s">
        <v>3783</v>
      </c>
      <c r="EXT4388" s="379" t="s">
        <v>3783</v>
      </c>
      <c r="EXU4388" s="379" t="s">
        <v>3783</v>
      </c>
      <c r="EXV4388" s="379" t="s">
        <v>3783</v>
      </c>
      <c r="EXW4388" s="379" t="s">
        <v>3783</v>
      </c>
      <c r="EXX4388" s="379" t="s">
        <v>3783</v>
      </c>
      <c r="EXY4388" s="379" t="s">
        <v>3783</v>
      </c>
      <c r="EXZ4388" s="379" t="s">
        <v>3783</v>
      </c>
      <c r="EYA4388" s="379" t="s">
        <v>3783</v>
      </c>
      <c r="EYB4388" s="379" t="s">
        <v>3783</v>
      </c>
      <c r="EYC4388" s="379" t="s">
        <v>3783</v>
      </c>
      <c r="EYD4388" s="379" t="s">
        <v>3783</v>
      </c>
      <c r="EYE4388" s="379" t="s">
        <v>3783</v>
      </c>
      <c r="EYF4388" s="379" t="s">
        <v>3783</v>
      </c>
      <c r="EYG4388" s="379" t="s">
        <v>3783</v>
      </c>
      <c r="EYH4388" s="379" t="s">
        <v>3783</v>
      </c>
      <c r="EYI4388" s="379" t="s">
        <v>3783</v>
      </c>
      <c r="EYJ4388" s="379" t="s">
        <v>3783</v>
      </c>
      <c r="EYK4388" s="379" t="s">
        <v>3783</v>
      </c>
      <c r="EYL4388" s="379" t="s">
        <v>3783</v>
      </c>
      <c r="EYM4388" s="379" t="s">
        <v>3783</v>
      </c>
      <c r="EYN4388" s="379" t="s">
        <v>3783</v>
      </c>
      <c r="EYO4388" s="379" t="s">
        <v>3783</v>
      </c>
      <c r="EYP4388" s="379" t="s">
        <v>3783</v>
      </c>
      <c r="EYQ4388" s="379" t="s">
        <v>3783</v>
      </c>
      <c r="EYR4388" s="379" t="s">
        <v>3783</v>
      </c>
      <c r="EYS4388" s="379" t="s">
        <v>3783</v>
      </c>
      <c r="EYT4388" s="379" t="s">
        <v>3783</v>
      </c>
      <c r="EYU4388" s="379" t="s">
        <v>3783</v>
      </c>
      <c r="EYV4388" s="379" t="s">
        <v>3783</v>
      </c>
      <c r="EYW4388" s="379" t="s">
        <v>3783</v>
      </c>
      <c r="EYX4388" s="379" t="s">
        <v>3783</v>
      </c>
      <c r="EYY4388" s="379" t="s">
        <v>3783</v>
      </c>
      <c r="EYZ4388" s="379" t="s">
        <v>3783</v>
      </c>
      <c r="EZA4388" s="379" t="s">
        <v>3783</v>
      </c>
      <c r="EZB4388" s="379" t="s">
        <v>3783</v>
      </c>
      <c r="EZC4388" s="379" t="s">
        <v>3783</v>
      </c>
      <c r="EZD4388" s="379" t="s">
        <v>3783</v>
      </c>
      <c r="EZE4388" s="379" t="s">
        <v>3783</v>
      </c>
      <c r="EZF4388" s="379" t="s">
        <v>3783</v>
      </c>
      <c r="EZG4388" s="379" t="s">
        <v>3783</v>
      </c>
      <c r="EZH4388" s="379" t="s">
        <v>3783</v>
      </c>
      <c r="EZI4388" s="379" t="s">
        <v>3783</v>
      </c>
      <c r="EZJ4388" s="379" t="s">
        <v>3783</v>
      </c>
      <c r="EZK4388" s="379" t="s">
        <v>3783</v>
      </c>
      <c r="EZL4388" s="379" t="s">
        <v>3783</v>
      </c>
      <c r="EZM4388" s="379" t="s">
        <v>3783</v>
      </c>
      <c r="EZN4388" s="379" t="s">
        <v>3783</v>
      </c>
      <c r="EZO4388" s="379" t="s">
        <v>3783</v>
      </c>
      <c r="EZP4388" s="379" t="s">
        <v>3783</v>
      </c>
      <c r="EZQ4388" s="379" t="s">
        <v>3783</v>
      </c>
      <c r="EZR4388" s="379" t="s">
        <v>3783</v>
      </c>
      <c r="EZS4388" s="379" t="s">
        <v>3783</v>
      </c>
      <c r="EZT4388" s="379" t="s">
        <v>3783</v>
      </c>
      <c r="EZU4388" s="379" t="s">
        <v>3783</v>
      </c>
      <c r="EZV4388" s="379" t="s">
        <v>3783</v>
      </c>
      <c r="EZW4388" s="379" t="s">
        <v>3783</v>
      </c>
      <c r="EZX4388" s="379" t="s">
        <v>3783</v>
      </c>
      <c r="EZY4388" s="379" t="s">
        <v>3783</v>
      </c>
      <c r="EZZ4388" s="379" t="s">
        <v>3783</v>
      </c>
      <c r="FAA4388" s="379" t="s">
        <v>3783</v>
      </c>
      <c r="FAB4388" s="379" t="s">
        <v>3783</v>
      </c>
      <c r="FAC4388" s="379" t="s">
        <v>3783</v>
      </c>
      <c r="FAD4388" s="379" t="s">
        <v>3783</v>
      </c>
      <c r="FAE4388" s="379" t="s">
        <v>3783</v>
      </c>
      <c r="FAF4388" s="379" t="s">
        <v>3783</v>
      </c>
      <c r="FAG4388" s="379" t="s">
        <v>3783</v>
      </c>
      <c r="FAH4388" s="379" t="s">
        <v>3783</v>
      </c>
      <c r="FAI4388" s="379" t="s">
        <v>3783</v>
      </c>
      <c r="FAJ4388" s="379" t="s">
        <v>3783</v>
      </c>
      <c r="FAK4388" s="379" t="s">
        <v>3783</v>
      </c>
      <c r="FAL4388" s="379" t="s">
        <v>3783</v>
      </c>
      <c r="FAM4388" s="379" t="s">
        <v>3783</v>
      </c>
      <c r="FAN4388" s="379" t="s">
        <v>3783</v>
      </c>
      <c r="FAO4388" s="379" t="s">
        <v>3783</v>
      </c>
      <c r="FAP4388" s="379" t="s">
        <v>3783</v>
      </c>
      <c r="FAQ4388" s="379" t="s">
        <v>3783</v>
      </c>
      <c r="FAR4388" s="379" t="s">
        <v>3783</v>
      </c>
      <c r="FAS4388" s="379" t="s">
        <v>3783</v>
      </c>
      <c r="FAT4388" s="379" t="s">
        <v>3783</v>
      </c>
      <c r="FAU4388" s="379" t="s">
        <v>3783</v>
      </c>
      <c r="FAV4388" s="379" t="s">
        <v>3783</v>
      </c>
      <c r="FAW4388" s="379" t="s">
        <v>3783</v>
      </c>
      <c r="FAX4388" s="379" t="s">
        <v>3783</v>
      </c>
      <c r="FAY4388" s="379" t="s">
        <v>3783</v>
      </c>
      <c r="FAZ4388" s="379" t="s">
        <v>3783</v>
      </c>
      <c r="FBA4388" s="379" t="s">
        <v>3783</v>
      </c>
      <c r="FBB4388" s="379" t="s">
        <v>3783</v>
      </c>
      <c r="FBC4388" s="379" t="s">
        <v>3783</v>
      </c>
      <c r="FBD4388" s="379" t="s">
        <v>3783</v>
      </c>
      <c r="FBE4388" s="379" t="s">
        <v>3783</v>
      </c>
      <c r="FBF4388" s="379" t="s">
        <v>3783</v>
      </c>
      <c r="FBG4388" s="379" t="s">
        <v>3783</v>
      </c>
      <c r="FBH4388" s="379" t="s">
        <v>3783</v>
      </c>
      <c r="FBI4388" s="379" t="s">
        <v>3783</v>
      </c>
      <c r="FBJ4388" s="379" t="s">
        <v>3783</v>
      </c>
      <c r="FBK4388" s="379" t="s">
        <v>3783</v>
      </c>
      <c r="FBL4388" s="379" t="s">
        <v>3783</v>
      </c>
      <c r="FBM4388" s="379" t="s">
        <v>3783</v>
      </c>
      <c r="FBN4388" s="379" t="s">
        <v>3783</v>
      </c>
      <c r="FBO4388" s="379" t="s">
        <v>3783</v>
      </c>
      <c r="FBP4388" s="379" t="s">
        <v>3783</v>
      </c>
      <c r="FBQ4388" s="379" t="s">
        <v>3783</v>
      </c>
      <c r="FBR4388" s="379" t="s">
        <v>3783</v>
      </c>
      <c r="FBS4388" s="379" t="s">
        <v>3783</v>
      </c>
      <c r="FBT4388" s="379" t="s">
        <v>3783</v>
      </c>
      <c r="FBU4388" s="379" t="s">
        <v>3783</v>
      </c>
      <c r="FBV4388" s="379" t="s">
        <v>3783</v>
      </c>
      <c r="FBW4388" s="379" t="s">
        <v>3783</v>
      </c>
      <c r="FBX4388" s="379" t="s">
        <v>3783</v>
      </c>
      <c r="FBY4388" s="379" t="s">
        <v>3783</v>
      </c>
      <c r="FBZ4388" s="379" t="s">
        <v>3783</v>
      </c>
      <c r="FCA4388" s="379" t="s">
        <v>3783</v>
      </c>
      <c r="FCB4388" s="379" t="s">
        <v>3783</v>
      </c>
      <c r="FCC4388" s="379" t="s">
        <v>3783</v>
      </c>
      <c r="FCD4388" s="379" t="s">
        <v>3783</v>
      </c>
      <c r="FCE4388" s="379" t="s">
        <v>3783</v>
      </c>
      <c r="FCF4388" s="379" t="s">
        <v>3783</v>
      </c>
      <c r="FCG4388" s="379" t="s">
        <v>3783</v>
      </c>
      <c r="FCH4388" s="379" t="s">
        <v>3783</v>
      </c>
      <c r="FCI4388" s="379" t="s">
        <v>3783</v>
      </c>
      <c r="FCJ4388" s="379" t="s">
        <v>3783</v>
      </c>
      <c r="FCK4388" s="379" t="s">
        <v>3783</v>
      </c>
      <c r="FCL4388" s="379" t="s">
        <v>3783</v>
      </c>
      <c r="FCM4388" s="379" t="s">
        <v>3783</v>
      </c>
      <c r="FCN4388" s="379" t="s">
        <v>3783</v>
      </c>
      <c r="FCO4388" s="379" t="s">
        <v>3783</v>
      </c>
      <c r="FCP4388" s="379" t="s">
        <v>3783</v>
      </c>
      <c r="FCQ4388" s="379" t="s">
        <v>3783</v>
      </c>
      <c r="FCR4388" s="379" t="s">
        <v>3783</v>
      </c>
      <c r="FCS4388" s="379" t="s">
        <v>3783</v>
      </c>
      <c r="FCT4388" s="379" t="s">
        <v>3783</v>
      </c>
      <c r="FCU4388" s="379" t="s">
        <v>3783</v>
      </c>
      <c r="FCV4388" s="379" t="s">
        <v>3783</v>
      </c>
      <c r="FCW4388" s="379" t="s">
        <v>3783</v>
      </c>
      <c r="FCX4388" s="379" t="s">
        <v>3783</v>
      </c>
      <c r="FCY4388" s="379" t="s">
        <v>3783</v>
      </c>
      <c r="FCZ4388" s="379" t="s">
        <v>3783</v>
      </c>
      <c r="FDA4388" s="379" t="s">
        <v>3783</v>
      </c>
      <c r="FDB4388" s="379" t="s">
        <v>3783</v>
      </c>
      <c r="FDC4388" s="379" t="s">
        <v>3783</v>
      </c>
      <c r="FDD4388" s="379" t="s">
        <v>3783</v>
      </c>
      <c r="FDE4388" s="379" t="s">
        <v>3783</v>
      </c>
      <c r="FDF4388" s="379" t="s">
        <v>3783</v>
      </c>
      <c r="FDG4388" s="379" t="s">
        <v>3783</v>
      </c>
      <c r="FDH4388" s="379" t="s">
        <v>3783</v>
      </c>
      <c r="FDI4388" s="379" t="s">
        <v>3783</v>
      </c>
      <c r="FDJ4388" s="379" t="s">
        <v>3783</v>
      </c>
      <c r="FDK4388" s="379" t="s">
        <v>3783</v>
      </c>
      <c r="FDL4388" s="379" t="s">
        <v>3783</v>
      </c>
      <c r="FDM4388" s="379" t="s">
        <v>3783</v>
      </c>
      <c r="FDN4388" s="379" t="s">
        <v>3783</v>
      </c>
      <c r="FDO4388" s="379" t="s">
        <v>3783</v>
      </c>
      <c r="FDP4388" s="379" t="s">
        <v>3783</v>
      </c>
      <c r="FDQ4388" s="379" t="s">
        <v>3783</v>
      </c>
      <c r="FDR4388" s="379" t="s">
        <v>3783</v>
      </c>
      <c r="FDS4388" s="379" t="s">
        <v>3783</v>
      </c>
      <c r="FDT4388" s="379" t="s">
        <v>3783</v>
      </c>
      <c r="FDU4388" s="379" t="s">
        <v>3783</v>
      </c>
      <c r="FDV4388" s="379" t="s">
        <v>3783</v>
      </c>
      <c r="FDW4388" s="379" t="s">
        <v>3783</v>
      </c>
      <c r="FDX4388" s="379" t="s">
        <v>3783</v>
      </c>
      <c r="FDY4388" s="379" t="s">
        <v>3783</v>
      </c>
      <c r="FDZ4388" s="379" t="s">
        <v>3783</v>
      </c>
      <c r="FEA4388" s="379" t="s">
        <v>3783</v>
      </c>
      <c r="FEB4388" s="379" t="s">
        <v>3783</v>
      </c>
      <c r="FEC4388" s="379" t="s">
        <v>3783</v>
      </c>
      <c r="FED4388" s="379" t="s">
        <v>3783</v>
      </c>
      <c r="FEE4388" s="379" t="s">
        <v>3783</v>
      </c>
      <c r="FEF4388" s="379" t="s">
        <v>3783</v>
      </c>
      <c r="FEG4388" s="379" t="s">
        <v>3783</v>
      </c>
      <c r="FEH4388" s="379" t="s">
        <v>3783</v>
      </c>
      <c r="FEI4388" s="379" t="s">
        <v>3783</v>
      </c>
      <c r="FEJ4388" s="379" t="s">
        <v>3783</v>
      </c>
      <c r="FEK4388" s="379" t="s">
        <v>3783</v>
      </c>
      <c r="FEL4388" s="379" t="s">
        <v>3783</v>
      </c>
      <c r="FEM4388" s="379" t="s">
        <v>3783</v>
      </c>
      <c r="FEN4388" s="379" t="s">
        <v>3783</v>
      </c>
      <c r="FEO4388" s="379" t="s">
        <v>3783</v>
      </c>
      <c r="FEP4388" s="379" t="s">
        <v>3783</v>
      </c>
      <c r="FEQ4388" s="379" t="s">
        <v>3783</v>
      </c>
      <c r="FER4388" s="379" t="s">
        <v>3783</v>
      </c>
      <c r="FES4388" s="379" t="s">
        <v>3783</v>
      </c>
      <c r="FET4388" s="379" t="s">
        <v>3783</v>
      </c>
      <c r="FEU4388" s="379" t="s">
        <v>3783</v>
      </c>
      <c r="FEV4388" s="379" t="s">
        <v>3783</v>
      </c>
      <c r="FEW4388" s="379" t="s">
        <v>3783</v>
      </c>
      <c r="FEX4388" s="379" t="s">
        <v>3783</v>
      </c>
      <c r="FEY4388" s="379" t="s">
        <v>3783</v>
      </c>
      <c r="FEZ4388" s="379" t="s">
        <v>3783</v>
      </c>
      <c r="FFA4388" s="379" t="s">
        <v>3783</v>
      </c>
      <c r="FFB4388" s="379" t="s">
        <v>3783</v>
      </c>
      <c r="FFC4388" s="379" t="s">
        <v>3783</v>
      </c>
      <c r="FFD4388" s="379" t="s">
        <v>3783</v>
      </c>
      <c r="FFE4388" s="379" t="s">
        <v>3783</v>
      </c>
      <c r="FFF4388" s="379" t="s">
        <v>3783</v>
      </c>
      <c r="FFG4388" s="379" t="s">
        <v>3783</v>
      </c>
      <c r="FFH4388" s="379" t="s">
        <v>3783</v>
      </c>
      <c r="FFI4388" s="379" t="s">
        <v>3783</v>
      </c>
      <c r="FFJ4388" s="379" t="s">
        <v>3783</v>
      </c>
      <c r="FFK4388" s="379" t="s">
        <v>3783</v>
      </c>
      <c r="FFL4388" s="379" t="s">
        <v>3783</v>
      </c>
      <c r="FFM4388" s="379" t="s">
        <v>3783</v>
      </c>
      <c r="FFN4388" s="379" t="s">
        <v>3783</v>
      </c>
      <c r="FFO4388" s="379" t="s">
        <v>3783</v>
      </c>
      <c r="FFP4388" s="379" t="s">
        <v>3783</v>
      </c>
      <c r="FFQ4388" s="379" t="s">
        <v>3783</v>
      </c>
      <c r="FFR4388" s="379" t="s">
        <v>3783</v>
      </c>
      <c r="FFS4388" s="379" t="s">
        <v>3783</v>
      </c>
      <c r="FFT4388" s="379" t="s">
        <v>3783</v>
      </c>
      <c r="FFU4388" s="379" t="s">
        <v>3783</v>
      </c>
      <c r="FFV4388" s="379" t="s">
        <v>3783</v>
      </c>
      <c r="FFW4388" s="379" t="s">
        <v>3783</v>
      </c>
      <c r="FFX4388" s="379" t="s">
        <v>3783</v>
      </c>
      <c r="FFY4388" s="379" t="s">
        <v>3783</v>
      </c>
      <c r="FFZ4388" s="379" t="s">
        <v>3783</v>
      </c>
      <c r="FGA4388" s="379" t="s">
        <v>3783</v>
      </c>
      <c r="FGB4388" s="379" t="s">
        <v>3783</v>
      </c>
      <c r="FGC4388" s="379" t="s">
        <v>3783</v>
      </c>
      <c r="FGD4388" s="379" t="s">
        <v>3783</v>
      </c>
      <c r="FGE4388" s="379" t="s">
        <v>3783</v>
      </c>
      <c r="FGF4388" s="379" t="s">
        <v>3783</v>
      </c>
      <c r="FGG4388" s="379" t="s">
        <v>3783</v>
      </c>
      <c r="FGH4388" s="379" t="s">
        <v>3783</v>
      </c>
      <c r="FGI4388" s="379" t="s">
        <v>3783</v>
      </c>
      <c r="FGJ4388" s="379" t="s">
        <v>3783</v>
      </c>
      <c r="FGK4388" s="379" t="s">
        <v>3783</v>
      </c>
      <c r="FGL4388" s="379" t="s">
        <v>3783</v>
      </c>
      <c r="FGM4388" s="379" t="s">
        <v>3783</v>
      </c>
      <c r="FGN4388" s="379" t="s">
        <v>3783</v>
      </c>
      <c r="FGO4388" s="379" t="s">
        <v>3783</v>
      </c>
      <c r="FGP4388" s="379" t="s">
        <v>3783</v>
      </c>
      <c r="FGQ4388" s="379" t="s">
        <v>3783</v>
      </c>
      <c r="FGR4388" s="379" t="s">
        <v>3783</v>
      </c>
      <c r="FGS4388" s="379" t="s">
        <v>3783</v>
      </c>
      <c r="FGT4388" s="379" t="s">
        <v>3783</v>
      </c>
      <c r="FGU4388" s="379" t="s">
        <v>3783</v>
      </c>
      <c r="FGV4388" s="379" t="s">
        <v>3783</v>
      </c>
      <c r="FGW4388" s="379" t="s">
        <v>3783</v>
      </c>
      <c r="FGX4388" s="379" t="s">
        <v>3783</v>
      </c>
      <c r="FGY4388" s="379" t="s">
        <v>3783</v>
      </c>
      <c r="FGZ4388" s="379" t="s">
        <v>3783</v>
      </c>
      <c r="FHA4388" s="379" t="s">
        <v>3783</v>
      </c>
      <c r="FHB4388" s="379" t="s">
        <v>3783</v>
      </c>
      <c r="FHC4388" s="379" t="s">
        <v>3783</v>
      </c>
      <c r="FHD4388" s="379" t="s">
        <v>3783</v>
      </c>
      <c r="FHE4388" s="379" t="s">
        <v>3783</v>
      </c>
      <c r="FHF4388" s="379" t="s">
        <v>3783</v>
      </c>
      <c r="FHG4388" s="379" t="s">
        <v>3783</v>
      </c>
      <c r="FHH4388" s="379" t="s">
        <v>3783</v>
      </c>
      <c r="FHI4388" s="379" t="s">
        <v>3783</v>
      </c>
      <c r="FHJ4388" s="379" t="s">
        <v>3783</v>
      </c>
      <c r="FHK4388" s="379" t="s">
        <v>3783</v>
      </c>
      <c r="FHL4388" s="379" t="s">
        <v>3783</v>
      </c>
      <c r="FHM4388" s="379" t="s">
        <v>3783</v>
      </c>
      <c r="FHN4388" s="379" t="s">
        <v>3783</v>
      </c>
      <c r="FHO4388" s="379" t="s">
        <v>3783</v>
      </c>
      <c r="FHP4388" s="379" t="s">
        <v>3783</v>
      </c>
      <c r="FHQ4388" s="379" t="s">
        <v>3783</v>
      </c>
      <c r="FHR4388" s="379" t="s">
        <v>3783</v>
      </c>
      <c r="FHS4388" s="379" t="s">
        <v>3783</v>
      </c>
      <c r="FHT4388" s="379" t="s">
        <v>3783</v>
      </c>
      <c r="FHU4388" s="379" t="s">
        <v>3783</v>
      </c>
      <c r="FHV4388" s="379" t="s">
        <v>3783</v>
      </c>
      <c r="FHW4388" s="379" t="s">
        <v>3783</v>
      </c>
      <c r="FHX4388" s="379" t="s">
        <v>3783</v>
      </c>
      <c r="FHY4388" s="379" t="s">
        <v>3783</v>
      </c>
      <c r="FHZ4388" s="379" t="s">
        <v>3783</v>
      </c>
      <c r="FIA4388" s="379" t="s">
        <v>3783</v>
      </c>
      <c r="FIB4388" s="379" t="s">
        <v>3783</v>
      </c>
      <c r="FIC4388" s="379" t="s">
        <v>3783</v>
      </c>
      <c r="FID4388" s="379" t="s">
        <v>3783</v>
      </c>
      <c r="FIE4388" s="379" t="s">
        <v>3783</v>
      </c>
      <c r="FIF4388" s="379" t="s">
        <v>3783</v>
      </c>
      <c r="FIG4388" s="379" t="s">
        <v>3783</v>
      </c>
      <c r="FIH4388" s="379" t="s">
        <v>3783</v>
      </c>
      <c r="FII4388" s="379" t="s">
        <v>3783</v>
      </c>
      <c r="FIJ4388" s="379" t="s">
        <v>3783</v>
      </c>
      <c r="FIK4388" s="379" t="s">
        <v>3783</v>
      </c>
      <c r="FIL4388" s="379" t="s">
        <v>3783</v>
      </c>
      <c r="FIM4388" s="379" t="s">
        <v>3783</v>
      </c>
      <c r="FIN4388" s="379" t="s">
        <v>3783</v>
      </c>
      <c r="FIO4388" s="379" t="s">
        <v>3783</v>
      </c>
      <c r="FIP4388" s="379" t="s">
        <v>3783</v>
      </c>
      <c r="FIQ4388" s="379" t="s">
        <v>3783</v>
      </c>
      <c r="FIR4388" s="379" t="s">
        <v>3783</v>
      </c>
      <c r="FIS4388" s="379" t="s">
        <v>3783</v>
      </c>
      <c r="FIT4388" s="379" t="s">
        <v>3783</v>
      </c>
      <c r="FIU4388" s="379" t="s">
        <v>3783</v>
      </c>
      <c r="FIV4388" s="379" t="s">
        <v>3783</v>
      </c>
      <c r="FIW4388" s="379" t="s">
        <v>3783</v>
      </c>
      <c r="FIX4388" s="379" t="s">
        <v>3783</v>
      </c>
      <c r="FIY4388" s="379" t="s">
        <v>3783</v>
      </c>
      <c r="FIZ4388" s="379" t="s">
        <v>3783</v>
      </c>
      <c r="FJA4388" s="379" t="s">
        <v>3783</v>
      </c>
      <c r="FJB4388" s="379" t="s">
        <v>3783</v>
      </c>
      <c r="FJC4388" s="379" t="s">
        <v>3783</v>
      </c>
      <c r="FJD4388" s="379" t="s">
        <v>3783</v>
      </c>
      <c r="FJE4388" s="379" t="s">
        <v>3783</v>
      </c>
      <c r="FJF4388" s="379" t="s">
        <v>3783</v>
      </c>
      <c r="FJG4388" s="379" t="s">
        <v>3783</v>
      </c>
      <c r="FJH4388" s="379" t="s">
        <v>3783</v>
      </c>
      <c r="FJI4388" s="379" t="s">
        <v>3783</v>
      </c>
      <c r="FJJ4388" s="379" t="s">
        <v>3783</v>
      </c>
      <c r="FJK4388" s="379" t="s">
        <v>3783</v>
      </c>
      <c r="FJL4388" s="379" t="s">
        <v>3783</v>
      </c>
      <c r="FJM4388" s="379" t="s">
        <v>3783</v>
      </c>
      <c r="FJN4388" s="379" t="s">
        <v>3783</v>
      </c>
      <c r="FJO4388" s="379" t="s">
        <v>3783</v>
      </c>
      <c r="FJP4388" s="379" t="s">
        <v>3783</v>
      </c>
      <c r="FJQ4388" s="379" t="s">
        <v>3783</v>
      </c>
      <c r="FJR4388" s="379" t="s">
        <v>3783</v>
      </c>
      <c r="FJS4388" s="379" t="s">
        <v>3783</v>
      </c>
      <c r="FJT4388" s="379" t="s">
        <v>3783</v>
      </c>
      <c r="FJU4388" s="379" t="s">
        <v>3783</v>
      </c>
      <c r="FJV4388" s="379" t="s">
        <v>3783</v>
      </c>
      <c r="FJW4388" s="379" t="s">
        <v>3783</v>
      </c>
      <c r="FJX4388" s="379" t="s">
        <v>3783</v>
      </c>
      <c r="FJY4388" s="379" t="s">
        <v>3783</v>
      </c>
      <c r="FJZ4388" s="379" t="s">
        <v>3783</v>
      </c>
      <c r="FKA4388" s="379" t="s">
        <v>3783</v>
      </c>
      <c r="FKB4388" s="379" t="s">
        <v>3783</v>
      </c>
      <c r="FKC4388" s="379" t="s">
        <v>3783</v>
      </c>
      <c r="FKD4388" s="379" t="s">
        <v>3783</v>
      </c>
      <c r="FKE4388" s="379" t="s">
        <v>3783</v>
      </c>
      <c r="FKF4388" s="379" t="s">
        <v>3783</v>
      </c>
      <c r="FKG4388" s="379" t="s">
        <v>3783</v>
      </c>
      <c r="FKH4388" s="379" t="s">
        <v>3783</v>
      </c>
      <c r="FKI4388" s="379" t="s">
        <v>3783</v>
      </c>
      <c r="FKJ4388" s="379" t="s">
        <v>3783</v>
      </c>
      <c r="FKK4388" s="379" t="s">
        <v>3783</v>
      </c>
      <c r="FKL4388" s="379" t="s">
        <v>3783</v>
      </c>
      <c r="FKM4388" s="379" t="s">
        <v>3783</v>
      </c>
      <c r="FKN4388" s="379" t="s">
        <v>3783</v>
      </c>
      <c r="FKO4388" s="379" t="s">
        <v>3783</v>
      </c>
      <c r="FKP4388" s="379" t="s">
        <v>3783</v>
      </c>
      <c r="FKQ4388" s="379" t="s">
        <v>3783</v>
      </c>
      <c r="FKR4388" s="379" t="s">
        <v>3783</v>
      </c>
      <c r="FKS4388" s="379" t="s">
        <v>3783</v>
      </c>
      <c r="FKT4388" s="379" t="s">
        <v>3783</v>
      </c>
      <c r="FKU4388" s="379" t="s">
        <v>3783</v>
      </c>
      <c r="FKV4388" s="379" t="s">
        <v>3783</v>
      </c>
      <c r="FKW4388" s="379" t="s">
        <v>3783</v>
      </c>
      <c r="FKX4388" s="379" t="s">
        <v>3783</v>
      </c>
      <c r="FKY4388" s="379" t="s">
        <v>3783</v>
      </c>
      <c r="FKZ4388" s="379" t="s">
        <v>3783</v>
      </c>
      <c r="FLA4388" s="379" t="s">
        <v>3783</v>
      </c>
      <c r="FLB4388" s="379" t="s">
        <v>3783</v>
      </c>
      <c r="FLC4388" s="379" t="s">
        <v>3783</v>
      </c>
      <c r="FLD4388" s="379" t="s">
        <v>3783</v>
      </c>
      <c r="FLE4388" s="379" t="s">
        <v>3783</v>
      </c>
      <c r="FLF4388" s="379" t="s">
        <v>3783</v>
      </c>
      <c r="FLG4388" s="379" t="s">
        <v>3783</v>
      </c>
      <c r="FLH4388" s="379" t="s">
        <v>3783</v>
      </c>
      <c r="FLI4388" s="379" t="s">
        <v>3783</v>
      </c>
      <c r="FLJ4388" s="379" t="s">
        <v>3783</v>
      </c>
      <c r="FLK4388" s="379" t="s">
        <v>3783</v>
      </c>
      <c r="FLL4388" s="379" t="s">
        <v>3783</v>
      </c>
      <c r="FLM4388" s="379" t="s">
        <v>3783</v>
      </c>
      <c r="FLN4388" s="379" t="s">
        <v>3783</v>
      </c>
      <c r="FLO4388" s="379" t="s">
        <v>3783</v>
      </c>
      <c r="FLP4388" s="379" t="s">
        <v>3783</v>
      </c>
      <c r="FLQ4388" s="379" t="s">
        <v>3783</v>
      </c>
      <c r="FLR4388" s="379" t="s">
        <v>3783</v>
      </c>
      <c r="FLS4388" s="379" t="s">
        <v>3783</v>
      </c>
      <c r="FLT4388" s="379" t="s">
        <v>3783</v>
      </c>
      <c r="FLU4388" s="379" t="s">
        <v>3783</v>
      </c>
      <c r="FLV4388" s="379" t="s">
        <v>3783</v>
      </c>
      <c r="FLW4388" s="379" t="s">
        <v>3783</v>
      </c>
      <c r="FLX4388" s="379" t="s">
        <v>3783</v>
      </c>
      <c r="FLY4388" s="379" t="s">
        <v>3783</v>
      </c>
      <c r="FLZ4388" s="379" t="s">
        <v>3783</v>
      </c>
      <c r="FMA4388" s="379" t="s">
        <v>3783</v>
      </c>
      <c r="FMB4388" s="379" t="s">
        <v>3783</v>
      </c>
      <c r="FMC4388" s="379" t="s">
        <v>3783</v>
      </c>
      <c r="FMD4388" s="379" t="s">
        <v>3783</v>
      </c>
      <c r="FME4388" s="379" t="s">
        <v>3783</v>
      </c>
      <c r="FMF4388" s="379" t="s">
        <v>3783</v>
      </c>
      <c r="FMG4388" s="379" t="s">
        <v>3783</v>
      </c>
      <c r="FMH4388" s="379" t="s">
        <v>3783</v>
      </c>
      <c r="FMI4388" s="379" t="s">
        <v>3783</v>
      </c>
      <c r="FMJ4388" s="379" t="s">
        <v>3783</v>
      </c>
      <c r="FMK4388" s="379" t="s">
        <v>3783</v>
      </c>
      <c r="FML4388" s="379" t="s">
        <v>3783</v>
      </c>
      <c r="FMM4388" s="379" t="s">
        <v>3783</v>
      </c>
      <c r="FMN4388" s="379" t="s">
        <v>3783</v>
      </c>
      <c r="FMO4388" s="379" t="s">
        <v>3783</v>
      </c>
      <c r="FMP4388" s="379" t="s">
        <v>3783</v>
      </c>
      <c r="FMQ4388" s="379" t="s">
        <v>3783</v>
      </c>
      <c r="FMR4388" s="379" t="s">
        <v>3783</v>
      </c>
      <c r="FMS4388" s="379" t="s">
        <v>3783</v>
      </c>
      <c r="FMT4388" s="379" t="s">
        <v>3783</v>
      </c>
      <c r="FMU4388" s="379" t="s">
        <v>3783</v>
      </c>
      <c r="FMV4388" s="379" t="s">
        <v>3783</v>
      </c>
      <c r="FMW4388" s="379" t="s">
        <v>3783</v>
      </c>
      <c r="FMX4388" s="379" t="s">
        <v>3783</v>
      </c>
      <c r="FMY4388" s="379" t="s">
        <v>3783</v>
      </c>
      <c r="FMZ4388" s="379" t="s">
        <v>3783</v>
      </c>
      <c r="FNA4388" s="379" t="s">
        <v>3783</v>
      </c>
      <c r="FNB4388" s="379" t="s">
        <v>3783</v>
      </c>
      <c r="FNC4388" s="379" t="s">
        <v>3783</v>
      </c>
      <c r="FND4388" s="379" t="s">
        <v>3783</v>
      </c>
      <c r="FNE4388" s="379" t="s">
        <v>3783</v>
      </c>
      <c r="FNF4388" s="379" t="s">
        <v>3783</v>
      </c>
      <c r="FNG4388" s="379" t="s">
        <v>3783</v>
      </c>
      <c r="FNH4388" s="379" t="s">
        <v>3783</v>
      </c>
      <c r="FNI4388" s="379" t="s">
        <v>3783</v>
      </c>
      <c r="FNJ4388" s="379" t="s">
        <v>3783</v>
      </c>
      <c r="FNK4388" s="379" t="s">
        <v>3783</v>
      </c>
      <c r="FNL4388" s="379" t="s">
        <v>3783</v>
      </c>
      <c r="FNM4388" s="379" t="s">
        <v>3783</v>
      </c>
      <c r="FNN4388" s="379" t="s">
        <v>3783</v>
      </c>
      <c r="FNO4388" s="379" t="s">
        <v>3783</v>
      </c>
      <c r="FNP4388" s="379" t="s">
        <v>3783</v>
      </c>
      <c r="FNQ4388" s="379" t="s">
        <v>3783</v>
      </c>
      <c r="FNR4388" s="379" t="s">
        <v>3783</v>
      </c>
      <c r="FNS4388" s="379" t="s">
        <v>3783</v>
      </c>
      <c r="FNT4388" s="379" t="s">
        <v>3783</v>
      </c>
      <c r="FNU4388" s="379" t="s">
        <v>3783</v>
      </c>
      <c r="FNV4388" s="379" t="s">
        <v>3783</v>
      </c>
      <c r="FNW4388" s="379" t="s">
        <v>3783</v>
      </c>
      <c r="FNX4388" s="379" t="s">
        <v>3783</v>
      </c>
      <c r="FNY4388" s="379" t="s">
        <v>3783</v>
      </c>
      <c r="FNZ4388" s="379" t="s">
        <v>3783</v>
      </c>
      <c r="FOA4388" s="379" t="s">
        <v>3783</v>
      </c>
      <c r="FOB4388" s="379" t="s">
        <v>3783</v>
      </c>
      <c r="FOC4388" s="379" t="s">
        <v>3783</v>
      </c>
      <c r="FOD4388" s="379" t="s">
        <v>3783</v>
      </c>
      <c r="FOE4388" s="379" t="s">
        <v>3783</v>
      </c>
      <c r="FOF4388" s="379" t="s">
        <v>3783</v>
      </c>
      <c r="FOG4388" s="379" t="s">
        <v>3783</v>
      </c>
      <c r="FOH4388" s="379" t="s">
        <v>3783</v>
      </c>
      <c r="FOI4388" s="379" t="s">
        <v>3783</v>
      </c>
      <c r="FOJ4388" s="379" t="s">
        <v>3783</v>
      </c>
      <c r="FOK4388" s="379" t="s">
        <v>3783</v>
      </c>
      <c r="FOL4388" s="379" t="s">
        <v>3783</v>
      </c>
      <c r="FOM4388" s="379" t="s">
        <v>3783</v>
      </c>
      <c r="FON4388" s="379" t="s">
        <v>3783</v>
      </c>
      <c r="FOO4388" s="379" t="s">
        <v>3783</v>
      </c>
      <c r="FOP4388" s="379" t="s">
        <v>3783</v>
      </c>
      <c r="FOQ4388" s="379" t="s">
        <v>3783</v>
      </c>
      <c r="FOR4388" s="379" t="s">
        <v>3783</v>
      </c>
      <c r="FOS4388" s="379" t="s">
        <v>3783</v>
      </c>
      <c r="FOT4388" s="379" t="s">
        <v>3783</v>
      </c>
      <c r="FOU4388" s="379" t="s">
        <v>3783</v>
      </c>
      <c r="FOV4388" s="379" t="s">
        <v>3783</v>
      </c>
      <c r="FOW4388" s="379" t="s">
        <v>3783</v>
      </c>
      <c r="FOX4388" s="379" t="s">
        <v>3783</v>
      </c>
      <c r="FOY4388" s="379" t="s">
        <v>3783</v>
      </c>
      <c r="FOZ4388" s="379" t="s">
        <v>3783</v>
      </c>
      <c r="FPA4388" s="379" t="s">
        <v>3783</v>
      </c>
      <c r="FPB4388" s="379" t="s">
        <v>3783</v>
      </c>
      <c r="FPC4388" s="379" t="s">
        <v>3783</v>
      </c>
      <c r="FPD4388" s="379" t="s">
        <v>3783</v>
      </c>
      <c r="FPE4388" s="379" t="s">
        <v>3783</v>
      </c>
      <c r="FPF4388" s="379" t="s">
        <v>3783</v>
      </c>
      <c r="FPG4388" s="379" t="s">
        <v>3783</v>
      </c>
      <c r="FPH4388" s="379" t="s">
        <v>3783</v>
      </c>
      <c r="FPI4388" s="379" t="s">
        <v>3783</v>
      </c>
      <c r="FPJ4388" s="379" t="s">
        <v>3783</v>
      </c>
      <c r="FPK4388" s="379" t="s">
        <v>3783</v>
      </c>
      <c r="FPL4388" s="379" t="s">
        <v>3783</v>
      </c>
      <c r="FPM4388" s="379" t="s">
        <v>3783</v>
      </c>
      <c r="FPN4388" s="379" t="s">
        <v>3783</v>
      </c>
      <c r="FPO4388" s="379" t="s">
        <v>3783</v>
      </c>
      <c r="FPP4388" s="379" t="s">
        <v>3783</v>
      </c>
      <c r="FPQ4388" s="379" t="s">
        <v>3783</v>
      </c>
      <c r="FPR4388" s="379" t="s">
        <v>3783</v>
      </c>
      <c r="FPS4388" s="379" t="s">
        <v>3783</v>
      </c>
      <c r="FPT4388" s="379" t="s">
        <v>3783</v>
      </c>
      <c r="FPU4388" s="379" t="s">
        <v>3783</v>
      </c>
      <c r="FPV4388" s="379" t="s">
        <v>3783</v>
      </c>
      <c r="FPW4388" s="379" t="s">
        <v>3783</v>
      </c>
      <c r="FPX4388" s="379" t="s">
        <v>3783</v>
      </c>
      <c r="FPY4388" s="379" t="s">
        <v>3783</v>
      </c>
      <c r="FPZ4388" s="379" t="s">
        <v>3783</v>
      </c>
      <c r="FQA4388" s="379" t="s">
        <v>3783</v>
      </c>
      <c r="FQB4388" s="379" t="s">
        <v>3783</v>
      </c>
      <c r="FQC4388" s="379" t="s">
        <v>3783</v>
      </c>
      <c r="FQD4388" s="379" t="s">
        <v>3783</v>
      </c>
      <c r="FQE4388" s="379" t="s">
        <v>3783</v>
      </c>
      <c r="FQF4388" s="379" t="s">
        <v>3783</v>
      </c>
      <c r="FQG4388" s="379" t="s">
        <v>3783</v>
      </c>
      <c r="FQH4388" s="379" t="s">
        <v>3783</v>
      </c>
      <c r="FQI4388" s="379" t="s">
        <v>3783</v>
      </c>
      <c r="FQJ4388" s="379" t="s">
        <v>3783</v>
      </c>
      <c r="FQK4388" s="379" t="s">
        <v>3783</v>
      </c>
      <c r="FQL4388" s="379" t="s">
        <v>3783</v>
      </c>
      <c r="FQM4388" s="379" t="s">
        <v>3783</v>
      </c>
      <c r="FQN4388" s="379" t="s">
        <v>3783</v>
      </c>
      <c r="FQO4388" s="379" t="s">
        <v>3783</v>
      </c>
      <c r="FQP4388" s="379" t="s">
        <v>3783</v>
      </c>
      <c r="FQQ4388" s="379" t="s">
        <v>3783</v>
      </c>
      <c r="FQR4388" s="379" t="s">
        <v>3783</v>
      </c>
      <c r="FQS4388" s="379" t="s">
        <v>3783</v>
      </c>
      <c r="FQT4388" s="379" t="s">
        <v>3783</v>
      </c>
      <c r="FQU4388" s="379" t="s">
        <v>3783</v>
      </c>
      <c r="FQV4388" s="379" t="s">
        <v>3783</v>
      </c>
      <c r="FQW4388" s="379" t="s">
        <v>3783</v>
      </c>
      <c r="FQX4388" s="379" t="s">
        <v>3783</v>
      </c>
      <c r="FQY4388" s="379" t="s">
        <v>3783</v>
      </c>
      <c r="FQZ4388" s="379" t="s">
        <v>3783</v>
      </c>
      <c r="FRA4388" s="379" t="s">
        <v>3783</v>
      </c>
      <c r="FRB4388" s="379" t="s">
        <v>3783</v>
      </c>
      <c r="FRC4388" s="379" t="s">
        <v>3783</v>
      </c>
      <c r="FRD4388" s="379" t="s">
        <v>3783</v>
      </c>
      <c r="FRE4388" s="379" t="s">
        <v>3783</v>
      </c>
      <c r="FRF4388" s="379" t="s">
        <v>3783</v>
      </c>
      <c r="FRG4388" s="379" t="s">
        <v>3783</v>
      </c>
      <c r="FRH4388" s="379" t="s">
        <v>3783</v>
      </c>
      <c r="FRI4388" s="379" t="s">
        <v>3783</v>
      </c>
      <c r="FRJ4388" s="379" t="s">
        <v>3783</v>
      </c>
      <c r="FRK4388" s="379" t="s">
        <v>3783</v>
      </c>
      <c r="FRL4388" s="379" t="s">
        <v>3783</v>
      </c>
      <c r="FRM4388" s="379" t="s">
        <v>3783</v>
      </c>
      <c r="FRN4388" s="379" t="s">
        <v>3783</v>
      </c>
      <c r="FRO4388" s="379" t="s">
        <v>3783</v>
      </c>
      <c r="FRP4388" s="379" t="s">
        <v>3783</v>
      </c>
      <c r="FRQ4388" s="379" t="s">
        <v>3783</v>
      </c>
      <c r="FRR4388" s="379" t="s">
        <v>3783</v>
      </c>
      <c r="FRS4388" s="379" t="s">
        <v>3783</v>
      </c>
      <c r="FRT4388" s="379" t="s">
        <v>3783</v>
      </c>
      <c r="FRU4388" s="379" t="s">
        <v>3783</v>
      </c>
      <c r="FRV4388" s="379" t="s">
        <v>3783</v>
      </c>
      <c r="FRW4388" s="379" t="s">
        <v>3783</v>
      </c>
      <c r="FRX4388" s="379" t="s">
        <v>3783</v>
      </c>
      <c r="FRY4388" s="379" t="s">
        <v>3783</v>
      </c>
      <c r="FRZ4388" s="379" t="s">
        <v>3783</v>
      </c>
      <c r="FSA4388" s="379" t="s">
        <v>3783</v>
      </c>
      <c r="FSB4388" s="379" t="s">
        <v>3783</v>
      </c>
      <c r="FSC4388" s="379" t="s">
        <v>3783</v>
      </c>
      <c r="FSD4388" s="379" t="s">
        <v>3783</v>
      </c>
      <c r="FSE4388" s="379" t="s">
        <v>3783</v>
      </c>
      <c r="FSF4388" s="379" t="s">
        <v>3783</v>
      </c>
      <c r="FSG4388" s="379" t="s">
        <v>3783</v>
      </c>
      <c r="FSH4388" s="379" t="s">
        <v>3783</v>
      </c>
      <c r="FSI4388" s="379" t="s">
        <v>3783</v>
      </c>
      <c r="FSJ4388" s="379" t="s">
        <v>3783</v>
      </c>
      <c r="FSK4388" s="379" t="s">
        <v>3783</v>
      </c>
      <c r="FSL4388" s="379" t="s">
        <v>3783</v>
      </c>
      <c r="FSM4388" s="379" t="s">
        <v>3783</v>
      </c>
      <c r="FSN4388" s="379" t="s">
        <v>3783</v>
      </c>
      <c r="FSO4388" s="379" t="s">
        <v>3783</v>
      </c>
      <c r="FSP4388" s="379" t="s">
        <v>3783</v>
      </c>
      <c r="FSQ4388" s="379" t="s">
        <v>3783</v>
      </c>
      <c r="FSR4388" s="379" t="s">
        <v>3783</v>
      </c>
      <c r="FSS4388" s="379" t="s">
        <v>3783</v>
      </c>
      <c r="FST4388" s="379" t="s">
        <v>3783</v>
      </c>
      <c r="FSU4388" s="379" t="s">
        <v>3783</v>
      </c>
      <c r="FSV4388" s="379" t="s">
        <v>3783</v>
      </c>
      <c r="FSW4388" s="379" t="s">
        <v>3783</v>
      </c>
      <c r="FSX4388" s="379" t="s">
        <v>3783</v>
      </c>
      <c r="FSY4388" s="379" t="s">
        <v>3783</v>
      </c>
      <c r="FSZ4388" s="379" t="s">
        <v>3783</v>
      </c>
      <c r="FTA4388" s="379" t="s">
        <v>3783</v>
      </c>
      <c r="FTB4388" s="379" t="s">
        <v>3783</v>
      </c>
      <c r="FTC4388" s="379" t="s">
        <v>3783</v>
      </c>
      <c r="FTD4388" s="379" t="s">
        <v>3783</v>
      </c>
      <c r="FTE4388" s="379" t="s">
        <v>3783</v>
      </c>
      <c r="FTF4388" s="379" t="s">
        <v>3783</v>
      </c>
      <c r="FTG4388" s="379" t="s">
        <v>3783</v>
      </c>
      <c r="FTH4388" s="379" t="s">
        <v>3783</v>
      </c>
      <c r="FTI4388" s="379" t="s">
        <v>3783</v>
      </c>
      <c r="FTJ4388" s="379" t="s">
        <v>3783</v>
      </c>
      <c r="FTK4388" s="379" t="s">
        <v>3783</v>
      </c>
      <c r="FTL4388" s="379" t="s">
        <v>3783</v>
      </c>
      <c r="FTM4388" s="379" t="s">
        <v>3783</v>
      </c>
      <c r="FTN4388" s="379" t="s">
        <v>3783</v>
      </c>
      <c r="FTO4388" s="379" t="s">
        <v>3783</v>
      </c>
      <c r="FTP4388" s="379" t="s">
        <v>3783</v>
      </c>
      <c r="FTQ4388" s="379" t="s">
        <v>3783</v>
      </c>
      <c r="FTR4388" s="379" t="s">
        <v>3783</v>
      </c>
      <c r="FTS4388" s="379" t="s">
        <v>3783</v>
      </c>
      <c r="FTT4388" s="379" t="s">
        <v>3783</v>
      </c>
      <c r="FTU4388" s="379" t="s">
        <v>3783</v>
      </c>
      <c r="FTV4388" s="379" t="s">
        <v>3783</v>
      </c>
      <c r="FTW4388" s="379" t="s">
        <v>3783</v>
      </c>
      <c r="FTX4388" s="379" t="s">
        <v>3783</v>
      </c>
      <c r="FTY4388" s="379" t="s">
        <v>3783</v>
      </c>
      <c r="FTZ4388" s="379" t="s">
        <v>3783</v>
      </c>
      <c r="FUA4388" s="379" t="s">
        <v>3783</v>
      </c>
      <c r="FUB4388" s="379" t="s">
        <v>3783</v>
      </c>
      <c r="FUC4388" s="379" t="s">
        <v>3783</v>
      </c>
      <c r="FUD4388" s="379" t="s">
        <v>3783</v>
      </c>
      <c r="FUE4388" s="379" t="s">
        <v>3783</v>
      </c>
      <c r="FUF4388" s="379" t="s">
        <v>3783</v>
      </c>
      <c r="FUG4388" s="379" t="s">
        <v>3783</v>
      </c>
      <c r="FUH4388" s="379" t="s">
        <v>3783</v>
      </c>
      <c r="FUI4388" s="379" t="s">
        <v>3783</v>
      </c>
      <c r="FUJ4388" s="379" t="s">
        <v>3783</v>
      </c>
      <c r="FUK4388" s="379" t="s">
        <v>3783</v>
      </c>
      <c r="FUL4388" s="379" t="s">
        <v>3783</v>
      </c>
      <c r="FUM4388" s="379" t="s">
        <v>3783</v>
      </c>
      <c r="FUN4388" s="379" t="s">
        <v>3783</v>
      </c>
      <c r="FUO4388" s="379" t="s">
        <v>3783</v>
      </c>
      <c r="FUP4388" s="379" t="s">
        <v>3783</v>
      </c>
      <c r="FUQ4388" s="379" t="s">
        <v>3783</v>
      </c>
      <c r="FUR4388" s="379" t="s">
        <v>3783</v>
      </c>
      <c r="FUS4388" s="379" t="s">
        <v>3783</v>
      </c>
      <c r="FUT4388" s="379" t="s">
        <v>3783</v>
      </c>
      <c r="FUU4388" s="379" t="s">
        <v>3783</v>
      </c>
      <c r="FUV4388" s="379" t="s">
        <v>3783</v>
      </c>
      <c r="FUW4388" s="379" t="s">
        <v>3783</v>
      </c>
      <c r="FUX4388" s="379" t="s">
        <v>3783</v>
      </c>
      <c r="FUY4388" s="379" t="s">
        <v>3783</v>
      </c>
      <c r="FUZ4388" s="379" t="s">
        <v>3783</v>
      </c>
      <c r="FVA4388" s="379" t="s">
        <v>3783</v>
      </c>
      <c r="FVB4388" s="379" t="s">
        <v>3783</v>
      </c>
      <c r="FVC4388" s="379" t="s">
        <v>3783</v>
      </c>
      <c r="FVD4388" s="379" t="s">
        <v>3783</v>
      </c>
      <c r="FVE4388" s="379" t="s">
        <v>3783</v>
      </c>
      <c r="FVF4388" s="379" t="s">
        <v>3783</v>
      </c>
      <c r="FVG4388" s="379" t="s">
        <v>3783</v>
      </c>
      <c r="FVH4388" s="379" t="s">
        <v>3783</v>
      </c>
      <c r="FVI4388" s="379" t="s">
        <v>3783</v>
      </c>
      <c r="FVJ4388" s="379" t="s">
        <v>3783</v>
      </c>
      <c r="FVK4388" s="379" t="s">
        <v>3783</v>
      </c>
      <c r="FVL4388" s="379" t="s">
        <v>3783</v>
      </c>
      <c r="FVM4388" s="379" t="s">
        <v>3783</v>
      </c>
      <c r="FVN4388" s="379" t="s">
        <v>3783</v>
      </c>
      <c r="FVO4388" s="379" t="s">
        <v>3783</v>
      </c>
      <c r="FVP4388" s="379" t="s">
        <v>3783</v>
      </c>
      <c r="FVQ4388" s="379" t="s">
        <v>3783</v>
      </c>
      <c r="FVR4388" s="379" t="s">
        <v>3783</v>
      </c>
      <c r="FVS4388" s="379" t="s">
        <v>3783</v>
      </c>
      <c r="FVT4388" s="379" t="s">
        <v>3783</v>
      </c>
      <c r="FVU4388" s="379" t="s">
        <v>3783</v>
      </c>
      <c r="FVV4388" s="379" t="s">
        <v>3783</v>
      </c>
      <c r="FVW4388" s="379" t="s">
        <v>3783</v>
      </c>
      <c r="FVX4388" s="379" t="s">
        <v>3783</v>
      </c>
      <c r="FVY4388" s="379" t="s">
        <v>3783</v>
      </c>
      <c r="FVZ4388" s="379" t="s">
        <v>3783</v>
      </c>
      <c r="FWA4388" s="379" t="s">
        <v>3783</v>
      </c>
      <c r="FWB4388" s="379" t="s">
        <v>3783</v>
      </c>
      <c r="FWC4388" s="379" t="s">
        <v>3783</v>
      </c>
      <c r="FWD4388" s="379" t="s">
        <v>3783</v>
      </c>
      <c r="FWE4388" s="379" t="s">
        <v>3783</v>
      </c>
      <c r="FWF4388" s="379" t="s">
        <v>3783</v>
      </c>
      <c r="FWG4388" s="379" t="s">
        <v>3783</v>
      </c>
      <c r="FWH4388" s="379" t="s">
        <v>3783</v>
      </c>
      <c r="FWI4388" s="379" t="s">
        <v>3783</v>
      </c>
      <c r="FWJ4388" s="379" t="s">
        <v>3783</v>
      </c>
      <c r="FWK4388" s="379" t="s">
        <v>3783</v>
      </c>
      <c r="FWL4388" s="379" t="s">
        <v>3783</v>
      </c>
      <c r="FWM4388" s="379" t="s">
        <v>3783</v>
      </c>
      <c r="FWN4388" s="379" t="s">
        <v>3783</v>
      </c>
      <c r="FWO4388" s="379" t="s">
        <v>3783</v>
      </c>
      <c r="FWP4388" s="379" t="s">
        <v>3783</v>
      </c>
      <c r="FWQ4388" s="379" t="s">
        <v>3783</v>
      </c>
      <c r="FWR4388" s="379" t="s">
        <v>3783</v>
      </c>
      <c r="FWS4388" s="379" t="s">
        <v>3783</v>
      </c>
      <c r="FWT4388" s="379" t="s">
        <v>3783</v>
      </c>
      <c r="FWU4388" s="379" t="s">
        <v>3783</v>
      </c>
      <c r="FWV4388" s="379" t="s">
        <v>3783</v>
      </c>
      <c r="FWW4388" s="379" t="s">
        <v>3783</v>
      </c>
      <c r="FWX4388" s="379" t="s">
        <v>3783</v>
      </c>
      <c r="FWY4388" s="379" t="s">
        <v>3783</v>
      </c>
      <c r="FWZ4388" s="379" t="s">
        <v>3783</v>
      </c>
      <c r="FXA4388" s="379" t="s">
        <v>3783</v>
      </c>
      <c r="FXB4388" s="379" t="s">
        <v>3783</v>
      </c>
      <c r="FXC4388" s="379" t="s">
        <v>3783</v>
      </c>
      <c r="FXD4388" s="379" t="s">
        <v>3783</v>
      </c>
      <c r="FXE4388" s="379" t="s">
        <v>3783</v>
      </c>
      <c r="FXF4388" s="379" t="s">
        <v>3783</v>
      </c>
      <c r="FXG4388" s="379" t="s">
        <v>3783</v>
      </c>
      <c r="FXH4388" s="379" t="s">
        <v>3783</v>
      </c>
      <c r="FXI4388" s="379" t="s">
        <v>3783</v>
      </c>
      <c r="FXJ4388" s="379" t="s">
        <v>3783</v>
      </c>
      <c r="FXK4388" s="379" t="s">
        <v>3783</v>
      </c>
      <c r="FXL4388" s="379" t="s">
        <v>3783</v>
      </c>
      <c r="FXM4388" s="379" t="s">
        <v>3783</v>
      </c>
      <c r="FXN4388" s="379" t="s">
        <v>3783</v>
      </c>
      <c r="FXO4388" s="379" t="s">
        <v>3783</v>
      </c>
      <c r="FXP4388" s="379" t="s">
        <v>3783</v>
      </c>
      <c r="FXQ4388" s="379" t="s">
        <v>3783</v>
      </c>
      <c r="FXR4388" s="379" t="s">
        <v>3783</v>
      </c>
      <c r="FXS4388" s="379" t="s">
        <v>3783</v>
      </c>
      <c r="FXT4388" s="379" t="s">
        <v>3783</v>
      </c>
      <c r="FXU4388" s="379" t="s">
        <v>3783</v>
      </c>
      <c r="FXV4388" s="379" t="s">
        <v>3783</v>
      </c>
      <c r="FXW4388" s="379" t="s">
        <v>3783</v>
      </c>
      <c r="FXX4388" s="379" t="s">
        <v>3783</v>
      </c>
      <c r="FXY4388" s="379" t="s">
        <v>3783</v>
      </c>
      <c r="FXZ4388" s="379" t="s">
        <v>3783</v>
      </c>
      <c r="FYA4388" s="379" t="s">
        <v>3783</v>
      </c>
      <c r="FYB4388" s="379" t="s">
        <v>3783</v>
      </c>
      <c r="FYC4388" s="379" t="s">
        <v>3783</v>
      </c>
      <c r="FYD4388" s="379" t="s">
        <v>3783</v>
      </c>
      <c r="FYE4388" s="379" t="s">
        <v>3783</v>
      </c>
      <c r="FYF4388" s="379" t="s">
        <v>3783</v>
      </c>
      <c r="FYG4388" s="379" t="s">
        <v>3783</v>
      </c>
      <c r="FYH4388" s="379" t="s">
        <v>3783</v>
      </c>
      <c r="FYI4388" s="379" t="s">
        <v>3783</v>
      </c>
      <c r="FYJ4388" s="379" t="s">
        <v>3783</v>
      </c>
      <c r="FYK4388" s="379" t="s">
        <v>3783</v>
      </c>
      <c r="FYL4388" s="379" t="s">
        <v>3783</v>
      </c>
      <c r="FYM4388" s="379" t="s">
        <v>3783</v>
      </c>
      <c r="FYN4388" s="379" t="s">
        <v>3783</v>
      </c>
      <c r="FYO4388" s="379" t="s">
        <v>3783</v>
      </c>
      <c r="FYP4388" s="379" t="s">
        <v>3783</v>
      </c>
      <c r="FYQ4388" s="379" t="s">
        <v>3783</v>
      </c>
      <c r="FYR4388" s="379" t="s">
        <v>3783</v>
      </c>
      <c r="FYS4388" s="379" t="s">
        <v>3783</v>
      </c>
      <c r="FYT4388" s="379" t="s">
        <v>3783</v>
      </c>
      <c r="FYU4388" s="379" t="s">
        <v>3783</v>
      </c>
      <c r="FYV4388" s="379" t="s">
        <v>3783</v>
      </c>
      <c r="FYW4388" s="379" t="s">
        <v>3783</v>
      </c>
      <c r="FYX4388" s="379" t="s">
        <v>3783</v>
      </c>
      <c r="FYY4388" s="379" t="s">
        <v>3783</v>
      </c>
      <c r="FYZ4388" s="379" t="s">
        <v>3783</v>
      </c>
      <c r="FZA4388" s="379" t="s">
        <v>3783</v>
      </c>
      <c r="FZB4388" s="379" t="s">
        <v>3783</v>
      </c>
      <c r="FZC4388" s="379" t="s">
        <v>3783</v>
      </c>
      <c r="FZD4388" s="379" t="s">
        <v>3783</v>
      </c>
      <c r="FZE4388" s="379" t="s">
        <v>3783</v>
      </c>
      <c r="FZF4388" s="379" t="s">
        <v>3783</v>
      </c>
      <c r="FZG4388" s="379" t="s">
        <v>3783</v>
      </c>
      <c r="FZH4388" s="379" t="s">
        <v>3783</v>
      </c>
      <c r="FZI4388" s="379" t="s">
        <v>3783</v>
      </c>
      <c r="FZJ4388" s="379" t="s">
        <v>3783</v>
      </c>
      <c r="FZK4388" s="379" t="s">
        <v>3783</v>
      </c>
      <c r="FZL4388" s="379" t="s">
        <v>3783</v>
      </c>
      <c r="FZM4388" s="379" t="s">
        <v>3783</v>
      </c>
      <c r="FZN4388" s="379" t="s">
        <v>3783</v>
      </c>
      <c r="FZO4388" s="379" t="s">
        <v>3783</v>
      </c>
      <c r="FZP4388" s="379" t="s">
        <v>3783</v>
      </c>
      <c r="FZQ4388" s="379" t="s">
        <v>3783</v>
      </c>
      <c r="FZR4388" s="379" t="s">
        <v>3783</v>
      </c>
      <c r="FZS4388" s="379" t="s">
        <v>3783</v>
      </c>
      <c r="FZT4388" s="379" t="s">
        <v>3783</v>
      </c>
      <c r="FZU4388" s="379" t="s">
        <v>3783</v>
      </c>
      <c r="FZV4388" s="379" t="s">
        <v>3783</v>
      </c>
      <c r="FZW4388" s="379" t="s">
        <v>3783</v>
      </c>
      <c r="FZX4388" s="379" t="s">
        <v>3783</v>
      </c>
      <c r="FZY4388" s="379" t="s">
        <v>3783</v>
      </c>
      <c r="FZZ4388" s="379" t="s">
        <v>3783</v>
      </c>
      <c r="GAA4388" s="379" t="s">
        <v>3783</v>
      </c>
      <c r="GAB4388" s="379" t="s">
        <v>3783</v>
      </c>
      <c r="GAC4388" s="379" t="s">
        <v>3783</v>
      </c>
      <c r="GAD4388" s="379" t="s">
        <v>3783</v>
      </c>
      <c r="GAE4388" s="379" t="s">
        <v>3783</v>
      </c>
      <c r="GAF4388" s="379" t="s">
        <v>3783</v>
      </c>
      <c r="GAG4388" s="379" t="s">
        <v>3783</v>
      </c>
      <c r="GAH4388" s="379" t="s">
        <v>3783</v>
      </c>
      <c r="GAI4388" s="379" t="s">
        <v>3783</v>
      </c>
      <c r="GAJ4388" s="379" t="s">
        <v>3783</v>
      </c>
      <c r="GAK4388" s="379" t="s">
        <v>3783</v>
      </c>
      <c r="GAL4388" s="379" t="s">
        <v>3783</v>
      </c>
      <c r="GAM4388" s="379" t="s">
        <v>3783</v>
      </c>
      <c r="GAN4388" s="379" t="s">
        <v>3783</v>
      </c>
      <c r="GAO4388" s="379" t="s">
        <v>3783</v>
      </c>
      <c r="GAP4388" s="379" t="s">
        <v>3783</v>
      </c>
      <c r="GAQ4388" s="379" t="s">
        <v>3783</v>
      </c>
      <c r="GAR4388" s="379" t="s">
        <v>3783</v>
      </c>
      <c r="GAS4388" s="379" t="s">
        <v>3783</v>
      </c>
      <c r="GAT4388" s="379" t="s">
        <v>3783</v>
      </c>
      <c r="GAU4388" s="379" t="s">
        <v>3783</v>
      </c>
      <c r="GAV4388" s="379" t="s">
        <v>3783</v>
      </c>
      <c r="GAW4388" s="379" t="s">
        <v>3783</v>
      </c>
      <c r="GAX4388" s="379" t="s">
        <v>3783</v>
      </c>
      <c r="GAY4388" s="379" t="s">
        <v>3783</v>
      </c>
      <c r="GAZ4388" s="379" t="s">
        <v>3783</v>
      </c>
      <c r="GBA4388" s="379" t="s">
        <v>3783</v>
      </c>
      <c r="GBB4388" s="379" t="s">
        <v>3783</v>
      </c>
      <c r="GBC4388" s="379" t="s">
        <v>3783</v>
      </c>
      <c r="GBD4388" s="379" t="s">
        <v>3783</v>
      </c>
      <c r="GBE4388" s="379" t="s">
        <v>3783</v>
      </c>
      <c r="GBF4388" s="379" t="s">
        <v>3783</v>
      </c>
      <c r="GBG4388" s="379" t="s">
        <v>3783</v>
      </c>
      <c r="GBH4388" s="379" t="s">
        <v>3783</v>
      </c>
      <c r="GBI4388" s="379" t="s">
        <v>3783</v>
      </c>
      <c r="GBJ4388" s="379" t="s">
        <v>3783</v>
      </c>
      <c r="GBK4388" s="379" t="s">
        <v>3783</v>
      </c>
      <c r="GBL4388" s="379" t="s">
        <v>3783</v>
      </c>
      <c r="GBM4388" s="379" t="s">
        <v>3783</v>
      </c>
      <c r="GBN4388" s="379" t="s">
        <v>3783</v>
      </c>
      <c r="GBO4388" s="379" t="s">
        <v>3783</v>
      </c>
      <c r="GBP4388" s="379" t="s">
        <v>3783</v>
      </c>
      <c r="GBQ4388" s="379" t="s">
        <v>3783</v>
      </c>
      <c r="GBR4388" s="379" t="s">
        <v>3783</v>
      </c>
      <c r="GBS4388" s="379" t="s">
        <v>3783</v>
      </c>
      <c r="GBT4388" s="379" t="s">
        <v>3783</v>
      </c>
      <c r="GBU4388" s="379" t="s">
        <v>3783</v>
      </c>
      <c r="GBV4388" s="379" t="s">
        <v>3783</v>
      </c>
      <c r="GBW4388" s="379" t="s">
        <v>3783</v>
      </c>
      <c r="GBX4388" s="379" t="s">
        <v>3783</v>
      </c>
      <c r="GBY4388" s="379" t="s">
        <v>3783</v>
      </c>
      <c r="GBZ4388" s="379" t="s">
        <v>3783</v>
      </c>
      <c r="GCA4388" s="379" t="s">
        <v>3783</v>
      </c>
      <c r="GCB4388" s="379" t="s">
        <v>3783</v>
      </c>
      <c r="GCC4388" s="379" t="s">
        <v>3783</v>
      </c>
      <c r="GCD4388" s="379" t="s">
        <v>3783</v>
      </c>
      <c r="GCE4388" s="379" t="s">
        <v>3783</v>
      </c>
      <c r="GCF4388" s="379" t="s">
        <v>3783</v>
      </c>
      <c r="GCG4388" s="379" t="s">
        <v>3783</v>
      </c>
      <c r="GCH4388" s="379" t="s">
        <v>3783</v>
      </c>
      <c r="GCI4388" s="379" t="s">
        <v>3783</v>
      </c>
      <c r="GCJ4388" s="379" t="s">
        <v>3783</v>
      </c>
      <c r="GCK4388" s="379" t="s">
        <v>3783</v>
      </c>
      <c r="GCL4388" s="379" t="s">
        <v>3783</v>
      </c>
      <c r="GCM4388" s="379" t="s">
        <v>3783</v>
      </c>
      <c r="GCN4388" s="379" t="s">
        <v>3783</v>
      </c>
      <c r="GCO4388" s="379" t="s">
        <v>3783</v>
      </c>
      <c r="GCP4388" s="379" t="s">
        <v>3783</v>
      </c>
      <c r="GCQ4388" s="379" t="s">
        <v>3783</v>
      </c>
      <c r="GCR4388" s="379" t="s">
        <v>3783</v>
      </c>
      <c r="GCS4388" s="379" t="s">
        <v>3783</v>
      </c>
      <c r="GCT4388" s="379" t="s">
        <v>3783</v>
      </c>
      <c r="GCU4388" s="379" t="s">
        <v>3783</v>
      </c>
      <c r="GCV4388" s="379" t="s">
        <v>3783</v>
      </c>
      <c r="GCW4388" s="379" t="s">
        <v>3783</v>
      </c>
      <c r="GCX4388" s="379" t="s">
        <v>3783</v>
      </c>
      <c r="GCY4388" s="379" t="s">
        <v>3783</v>
      </c>
      <c r="GCZ4388" s="379" t="s">
        <v>3783</v>
      </c>
      <c r="GDA4388" s="379" t="s">
        <v>3783</v>
      </c>
      <c r="GDB4388" s="379" t="s">
        <v>3783</v>
      </c>
      <c r="GDC4388" s="379" t="s">
        <v>3783</v>
      </c>
      <c r="GDD4388" s="379" t="s">
        <v>3783</v>
      </c>
      <c r="GDE4388" s="379" t="s">
        <v>3783</v>
      </c>
      <c r="GDF4388" s="379" t="s">
        <v>3783</v>
      </c>
      <c r="GDG4388" s="379" t="s">
        <v>3783</v>
      </c>
      <c r="GDH4388" s="379" t="s">
        <v>3783</v>
      </c>
      <c r="GDI4388" s="379" t="s">
        <v>3783</v>
      </c>
      <c r="GDJ4388" s="379" t="s">
        <v>3783</v>
      </c>
      <c r="GDK4388" s="379" t="s">
        <v>3783</v>
      </c>
      <c r="GDL4388" s="379" t="s">
        <v>3783</v>
      </c>
      <c r="GDM4388" s="379" t="s">
        <v>3783</v>
      </c>
      <c r="GDN4388" s="379" t="s">
        <v>3783</v>
      </c>
      <c r="GDO4388" s="379" t="s">
        <v>3783</v>
      </c>
      <c r="GDP4388" s="379" t="s">
        <v>3783</v>
      </c>
      <c r="GDQ4388" s="379" t="s">
        <v>3783</v>
      </c>
      <c r="GDR4388" s="379" t="s">
        <v>3783</v>
      </c>
      <c r="GDS4388" s="379" t="s">
        <v>3783</v>
      </c>
      <c r="GDT4388" s="379" t="s">
        <v>3783</v>
      </c>
      <c r="GDU4388" s="379" t="s">
        <v>3783</v>
      </c>
      <c r="GDV4388" s="379" t="s">
        <v>3783</v>
      </c>
      <c r="GDW4388" s="379" t="s">
        <v>3783</v>
      </c>
      <c r="GDX4388" s="379" t="s">
        <v>3783</v>
      </c>
      <c r="GDY4388" s="379" t="s">
        <v>3783</v>
      </c>
      <c r="GDZ4388" s="379" t="s">
        <v>3783</v>
      </c>
      <c r="GEA4388" s="379" t="s">
        <v>3783</v>
      </c>
      <c r="GEB4388" s="379" t="s">
        <v>3783</v>
      </c>
      <c r="GEC4388" s="379" t="s">
        <v>3783</v>
      </c>
      <c r="GED4388" s="379" t="s">
        <v>3783</v>
      </c>
      <c r="GEE4388" s="379" t="s">
        <v>3783</v>
      </c>
      <c r="GEF4388" s="379" t="s">
        <v>3783</v>
      </c>
      <c r="GEG4388" s="379" t="s">
        <v>3783</v>
      </c>
      <c r="GEH4388" s="379" t="s">
        <v>3783</v>
      </c>
      <c r="GEI4388" s="379" t="s">
        <v>3783</v>
      </c>
      <c r="GEJ4388" s="379" t="s">
        <v>3783</v>
      </c>
      <c r="GEK4388" s="379" t="s">
        <v>3783</v>
      </c>
      <c r="GEL4388" s="379" t="s">
        <v>3783</v>
      </c>
      <c r="GEM4388" s="379" t="s">
        <v>3783</v>
      </c>
      <c r="GEN4388" s="379" t="s">
        <v>3783</v>
      </c>
      <c r="GEO4388" s="379" t="s">
        <v>3783</v>
      </c>
      <c r="GEP4388" s="379" t="s">
        <v>3783</v>
      </c>
      <c r="GEQ4388" s="379" t="s">
        <v>3783</v>
      </c>
      <c r="GER4388" s="379" t="s">
        <v>3783</v>
      </c>
      <c r="GES4388" s="379" t="s">
        <v>3783</v>
      </c>
      <c r="GET4388" s="379" t="s">
        <v>3783</v>
      </c>
      <c r="GEU4388" s="379" t="s">
        <v>3783</v>
      </c>
      <c r="GEV4388" s="379" t="s">
        <v>3783</v>
      </c>
      <c r="GEW4388" s="379" t="s">
        <v>3783</v>
      </c>
      <c r="GEX4388" s="379" t="s">
        <v>3783</v>
      </c>
      <c r="GEY4388" s="379" t="s">
        <v>3783</v>
      </c>
      <c r="GEZ4388" s="379" t="s">
        <v>3783</v>
      </c>
      <c r="GFA4388" s="379" t="s">
        <v>3783</v>
      </c>
      <c r="GFB4388" s="379" t="s">
        <v>3783</v>
      </c>
      <c r="GFC4388" s="379" t="s">
        <v>3783</v>
      </c>
      <c r="GFD4388" s="379" t="s">
        <v>3783</v>
      </c>
      <c r="GFE4388" s="379" t="s">
        <v>3783</v>
      </c>
      <c r="GFF4388" s="379" t="s">
        <v>3783</v>
      </c>
      <c r="GFG4388" s="379" t="s">
        <v>3783</v>
      </c>
      <c r="GFH4388" s="379" t="s">
        <v>3783</v>
      </c>
      <c r="GFI4388" s="379" t="s">
        <v>3783</v>
      </c>
      <c r="GFJ4388" s="379" t="s">
        <v>3783</v>
      </c>
      <c r="GFK4388" s="379" t="s">
        <v>3783</v>
      </c>
      <c r="GFL4388" s="379" t="s">
        <v>3783</v>
      </c>
      <c r="GFM4388" s="379" t="s">
        <v>3783</v>
      </c>
      <c r="GFN4388" s="379" t="s">
        <v>3783</v>
      </c>
      <c r="GFO4388" s="379" t="s">
        <v>3783</v>
      </c>
      <c r="GFP4388" s="379" t="s">
        <v>3783</v>
      </c>
      <c r="GFQ4388" s="379" t="s">
        <v>3783</v>
      </c>
      <c r="GFR4388" s="379" t="s">
        <v>3783</v>
      </c>
      <c r="GFS4388" s="379" t="s">
        <v>3783</v>
      </c>
      <c r="GFT4388" s="379" t="s">
        <v>3783</v>
      </c>
      <c r="GFU4388" s="379" t="s">
        <v>3783</v>
      </c>
      <c r="GFV4388" s="379" t="s">
        <v>3783</v>
      </c>
      <c r="GFW4388" s="379" t="s">
        <v>3783</v>
      </c>
      <c r="GFX4388" s="379" t="s">
        <v>3783</v>
      </c>
      <c r="GFY4388" s="379" t="s">
        <v>3783</v>
      </c>
      <c r="GFZ4388" s="379" t="s">
        <v>3783</v>
      </c>
      <c r="GGA4388" s="379" t="s">
        <v>3783</v>
      </c>
      <c r="GGB4388" s="379" t="s">
        <v>3783</v>
      </c>
      <c r="GGC4388" s="379" t="s">
        <v>3783</v>
      </c>
      <c r="GGD4388" s="379" t="s">
        <v>3783</v>
      </c>
      <c r="GGE4388" s="379" t="s">
        <v>3783</v>
      </c>
      <c r="GGF4388" s="379" t="s">
        <v>3783</v>
      </c>
      <c r="GGG4388" s="379" t="s">
        <v>3783</v>
      </c>
      <c r="GGH4388" s="379" t="s">
        <v>3783</v>
      </c>
      <c r="GGI4388" s="379" t="s">
        <v>3783</v>
      </c>
      <c r="GGJ4388" s="379" t="s">
        <v>3783</v>
      </c>
      <c r="GGK4388" s="379" t="s">
        <v>3783</v>
      </c>
      <c r="GGL4388" s="379" t="s">
        <v>3783</v>
      </c>
      <c r="GGM4388" s="379" t="s">
        <v>3783</v>
      </c>
      <c r="GGN4388" s="379" t="s">
        <v>3783</v>
      </c>
      <c r="GGO4388" s="379" t="s">
        <v>3783</v>
      </c>
      <c r="GGP4388" s="379" t="s">
        <v>3783</v>
      </c>
      <c r="GGQ4388" s="379" t="s">
        <v>3783</v>
      </c>
      <c r="GGR4388" s="379" t="s">
        <v>3783</v>
      </c>
      <c r="GGS4388" s="379" t="s">
        <v>3783</v>
      </c>
      <c r="GGT4388" s="379" t="s">
        <v>3783</v>
      </c>
      <c r="GGU4388" s="379" t="s">
        <v>3783</v>
      </c>
      <c r="GGV4388" s="379" t="s">
        <v>3783</v>
      </c>
      <c r="GGW4388" s="379" t="s">
        <v>3783</v>
      </c>
      <c r="GGX4388" s="379" t="s">
        <v>3783</v>
      </c>
      <c r="GGY4388" s="379" t="s">
        <v>3783</v>
      </c>
      <c r="GGZ4388" s="379" t="s">
        <v>3783</v>
      </c>
      <c r="GHA4388" s="379" t="s">
        <v>3783</v>
      </c>
      <c r="GHB4388" s="379" t="s">
        <v>3783</v>
      </c>
      <c r="GHC4388" s="379" t="s">
        <v>3783</v>
      </c>
      <c r="GHD4388" s="379" t="s">
        <v>3783</v>
      </c>
      <c r="GHE4388" s="379" t="s">
        <v>3783</v>
      </c>
      <c r="GHF4388" s="379" t="s">
        <v>3783</v>
      </c>
      <c r="GHG4388" s="379" t="s">
        <v>3783</v>
      </c>
      <c r="GHH4388" s="379" t="s">
        <v>3783</v>
      </c>
      <c r="GHI4388" s="379" t="s">
        <v>3783</v>
      </c>
      <c r="GHJ4388" s="379" t="s">
        <v>3783</v>
      </c>
      <c r="GHK4388" s="379" t="s">
        <v>3783</v>
      </c>
      <c r="GHL4388" s="379" t="s">
        <v>3783</v>
      </c>
      <c r="GHM4388" s="379" t="s">
        <v>3783</v>
      </c>
      <c r="GHN4388" s="379" t="s">
        <v>3783</v>
      </c>
      <c r="GHO4388" s="379" t="s">
        <v>3783</v>
      </c>
      <c r="GHP4388" s="379" t="s">
        <v>3783</v>
      </c>
      <c r="GHQ4388" s="379" t="s">
        <v>3783</v>
      </c>
      <c r="GHR4388" s="379" t="s">
        <v>3783</v>
      </c>
      <c r="GHS4388" s="379" t="s">
        <v>3783</v>
      </c>
      <c r="GHT4388" s="379" t="s">
        <v>3783</v>
      </c>
      <c r="GHU4388" s="379" t="s">
        <v>3783</v>
      </c>
      <c r="GHV4388" s="379" t="s">
        <v>3783</v>
      </c>
      <c r="GHW4388" s="379" t="s">
        <v>3783</v>
      </c>
      <c r="GHX4388" s="379" t="s">
        <v>3783</v>
      </c>
      <c r="GHY4388" s="379" t="s">
        <v>3783</v>
      </c>
      <c r="GHZ4388" s="379" t="s">
        <v>3783</v>
      </c>
      <c r="GIA4388" s="379" t="s">
        <v>3783</v>
      </c>
      <c r="GIB4388" s="379" t="s">
        <v>3783</v>
      </c>
      <c r="GIC4388" s="379" t="s">
        <v>3783</v>
      </c>
      <c r="GID4388" s="379" t="s">
        <v>3783</v>
      </c>
      <c r="GIE4388" s="379" t="s">
        <v>3783</v>
      </c>
      <c r="GIF4388" s="379" t="s">
        <v>3783</v>
      </c>
      <c r="GIG4388" s="379" t="s">
        <v>3783</v>
      </c>
      <c r="GIH4388" s="379" t="s">
        <v>3783</v>
      </c>
      <c r="GII4388" s="379" t="s">
        <v>3783</v>
      </c>
      <c r="GIJ4388" s="379" t="s">
        <v>3783</v>
      </c>
      <c r="GIK4388" s="379" t="s">
        <v>3783</v>
      </c>
      <c r="GIL4388" s="379" t="s">
        <v>3783</v>
      </c>
      <c r="GIM4388" s="379" t="s">
        <v>3783</v>
      </c>
      <c r="GIN4388" s="379" t="s">
        <v>3783</v>
      </c>
      <c r="GIO4388" s="379" t="s">
        <v>3783</v>
      </c>
      <c r="GIP4388" s="379" t="s">
        <v>3783</v>
      </c>
      <c r="GIQ4388" s="379" t="s">
        <v>3783</v>
      </c>
      <c r="GIR4388" s="379" t="s">
        <v>3783</v>
      </c>
      <c r="GIS4388" s="379" t="s">
        <v>3783</v>
      </c>
      <c r="GIT4388" s="379" t="s">
        <v>3783</v>
      </c>
      <c r="GIU4388" s="379" t="s">
        <v>3783</v>
      </c>
      <c r="GIV4388" s="379" t="s">
        <v>3783</v>
      </c>
      <c r="GIW4388" s="379" t="s">
        <v>3783</v>
      </c>
      <c r="GIX4388" s="379" t="s">
        <v>3783</v>
      </c>
      <c r="GIY4388" s="379" t="s">
        <v>3783</v>
      </c>
      <c r="GIZ4388" s="379" t="s">
        <v>3783</v>
      </c>
      <c r="GJA4388" s="379" t="s">
        <v>3783</v>
      </c>
      <c r="GJB4388" s="379" t="s">
        <v>3783</v>
      </c>
      <c r="GJC4388" s="379" t="s">
        <v>3783</v>
      </c>
      <c r="GJD4388" s="379" t="s">
        <v>3783</v>
      </c>
      <c r="GJE4388" s="379" t="s">
        <v>3783</v>
      </c>
      <c r="GJF4388" s="379" t="s">
        <v>3783</v>
      </c>
      <c r="GJG4388" s="379" t="s">
        <v>3783</v>
      </c>
      <c r="GJH4388" s="379" t="s">
        <v>3783</v>
      </c>
      <c r="GJI4388" s="379" t="s">
        <v>3783</v>
      </c>
      <c r="GJJ4388" s="379" t="s">
        <v>3783</v>
      </c>
      <c r="GJK4388" s="379" t="s">
        <v>3783</v>
      </c>
      <c r="GJL4388" s="379" t="s">
        <v>3783</v>
      </c>
      <c r="GJM4388" s="379" t="s">
        <v>3783</v>
      </c>
      <c r="GJN4388" s="379" t="s">
        <v>3783</v>
      </c>
      <c r="GJO4388" s="379" t="s">
        <v>3783</v>
      </c>
      <c r="GJP4388" s="379" t="s">
        <v>3783</v>
      </c>
      <c r="GJQ4388" s="379" t="s">
        <v>3783</v>
      </c>
      <c r="GJR4388" s="379" t="s">
        <v>3783</v>
      </c>
      <c r="GJS4388" s="379" t="s">
        <v>3783</v>
      </c>
      <c r="GJT4388" s="379" t="s">
        <v>3783</v>
      </c>
      <c r="GJU4388" s="379" t="s">
        <v>3783</v>
      </c>
      <c r="GJV4388" s="379" t="s">
        <v>3783</v>
      </c>
      <c r="GJW4388" s="379" t="s">
        <v>3783</v>
      </c>
      <c r="GJX4388" s="379" t="s">
        <v>3783</v>
      </c>
      <c r="GJY4388" s="379" t="s">
        <v>3783</v>
      </c>
      <c r="GJZ4388" s="379" t="s">
        <v>3783</v>
      </c>
      <c r="GKA4388" s="379" t="s">
        <v>3783</v>
      </c>
      <c r="GKB4388" s="379" t="s">
        <v>3783</v>
      </c>
      <c r="GKC4388" s="379" t="s">
        <v>3783</v>
      </c>
      <c r="GKD4388" s="379" t="s">
        <v>3783</v>
      </c>
      <c r="GKE4388" s="379" t="s">
        <v>3783</v>
      </c>
      <c r="GKF4388" s="379" t="s">
        <v>3783</v>
      </c>
      <c r="GKG4388" s="379" t="s">
        <v>3783</v>
      </c>
      <c r="GKH4388" s="379" t="s">
        <v>3783</v>
      </c>
      <c r="GKI4388" s="379" t="s">
        <v>3783</v>
      </c>
      <c r="GKJ4388" s="379" t="s">
        <v>3783</v>
      </c>
      <c r="GKK4388" s="379" t="s">
        <v>3783</v>
      </c>
      <c r="GKL4388" s="379" t="s">
        <v>3783</v>
      </c>
      <c r="GKM4388" s="379" t="s">
        <v>3783</v>
      </c>
      <c r="GKN4388" s="379" t="s">
        <v>3783</v>
      </c>
      <c r="GKO4388" s="379" t="s">
        <v>3783</v>
      </c>
      <c r="GKP4388" s="379" t="s">
        <v>3783</v>
      </c>
      <c r="GKQ4388" s="379" t="s">
        <v>3783</v>
      </c>
      <c r="GKR4388" s="379" t="s">
        <v>3783</v>
      </c>
      <c r="GKS4388" s="379" t="s">
        <v>3783</v>
      </c>
      <c r="GKT4388" s="379" t="s">
        <v>3783</v>
      </c>
      <c r="GKU4388" s="379" t="s">
        <v>3783</v>
      </c>
      <c r="GKV4388" s="379" t="s">
        <v>3783</v>
      </c>
      <c r="GKW4388" s="379" t="s">
        <v>3783</v>
      </c>
      <c r="GKX4388" s="379" t="s">
        <v>3783</v>
      </c>
      <c r="GKY4388" s="379" t="s">
        <v>3783</v>
      </c>
      <c r="GKZ4388" s="379" t="s">
        <v>3783</v>
      </c>
      <c r="GLA4388" s="379" t="s">
        <v>3783</v>
      </c>
      <c r="GLB4388" s="379" t="s">
        <v>3783</v>
      </c>
      <c r="GLC4388" s="379" t="s">
        <v>3783</v>
      </c>
      <c r="GLD4388" s="379" t="s">
        <v>3783</v>
      </c>
      <c r="GLE4388" s="379" t="s">
        <v>3783</v>
      </c>
      <c r="GLF4388" s="379" t="s">
        <v>3783</v>
      </c>
      <c r="GLG4388" s="379" t="s">
        <v>3783</v>
      </c>
      <c r="GLH4388" s="379" t="s">
        <v>3783</v>
      </c>
      <c r="GLI4388" s="379" t="s">
        <v>3783</v>
      </c>
      <c r="GLJ4388" s="379" t="s">
        <v>3783</v>
      </c>
      <c r="GLK4388" s="379" t="s">
        <v>3783</v>
      </c>
      <c r="GLL4388" s="379" t="s">
        <v>3783</v>
      </c>
      <c r="GLM4388" s="379" t="s">
        <v>3783</v>
      </c>
      <c r="GLN4388" s="379" t="s">
        <v>3783</v>
      </c>
      <c r="GLO4388" s="379" t="s">
        <v>3783</v>
      </c>
      <c r="GLP4388" s="379" t="s">
        <v>3783</v>
      </c>
      <c r="GLQ4388" s="379" t="s">
        <v>3783</v>
      </c>
      <c r="GLR4388" s="379" t="s">
        <v>3783</v>
      </c>
      <c r="GLS4388" s="379" t="s">
        <v>3783</v>
      </c>
      <c r="GLT4388" s="379" t="s">
        <v>3783</v>
      </c>
      <c r="GLU4388" s="379" t="s">
        <v>3783</v>
      </c>
      <c r="GLV4388" s="379" t="s">
        <v>3783</v>
      </c>
      <c r="GLW4388" s="379" t="s">
        <v>3783</v>
      </c>
      <c r="GLX4388" s="379" t="s">
        <v>3783</v>
      </c>
      <c r="GLY4388" s="379" t="s">
        <v>3783</v>
      </c>
      <c r="GLZ4388" s="379" t="s">
        <v>3783</v>
      </c>
      <c r="GMA4388" s="379" t="s">
        <v>3783</v>
      </c>
      <c r="GMB4388" s="379" t="s">
        <v>3783</v>
      </c>
      <c r="GMC4388" s="379" t="s">
        <v>3783</v>
      </c>
      <c r="GMD4388" s="379" t="s">
        <v>3783</v>
      </c>
      <c r="GME4388" s="379" t="s">
        <v>3783</v>
      </c>
      <c r="GMF4388" s="379" t="s">
        <v>3783</v>
      </c>
      <c r="GMG4388" s="379" t="s">
        <v>3783</v>
      </c>
      <c r="GMH4388" s="379" t="s">
        <v>3783</v>
      </c>
      <c r="GMI4388" s="379" t="s">
        <v>3783</v>
      </c>
      <c r="GMJ4388" s="379" t="s">
        <v>3783</v>
      </c>
      <c r="GMK4388" s="379" t="s">
        <v>3783</v>
      </c>
      <c r="GML4388" s="379" t="s">
        <v>3783</v>
      </c>
      <c r="GMM4388" s="379" t="s">
        <v>3783</v>
      </c>
      <c r="GMN4388" s="379" t="s">
        <v>3783</v>
      </c>
      <c r="GMO4388" s="379" t="s">
        <v>3783</v>
      </c>
      <c r="GMP4388" s="379" t="s">
        <v>3783</v>
      </c>
      <c r="GMQ4388" s="379" t="s">
        <v>3783</v>
      </c>
      <c r="GMR4388" s="379" t="s">
        <v>3783</v>
      </c>
      <c r="GMS4388" s="379" t="s">
        <v>3783</v>
      </c>
      <c r="GMT4388" s="379" t="s">
        <v>3783</v>
      </c>
      <c r="GMU4388" s="379" t="s">
        <v>3783</v>
      </c>
      <c r="GMV4388" s="379" t="s">
        <v>3783</v>
      </c>
      <c r="GMW4388" s="379" t="s">
        <v>3783</v>
      </c>
      <c r="GMX4388" s="379" t="s">
        <v>3783</v>
      </c>
      <c r="GMY4388" s="379" t="s">
        <v>3783</v>
      </c>
      <c r="GMZ4388" s="379" t="s">
        <v>3783</v>
      </c>
      <c r="GNA4388" s="379" t="s">
        <v>3783</v>
      </c>
      <c r="GNB4388" s="379" t="s">
        <v>3783</v>
      </c>
      <c r="GNC4388" s="379" t="s">
        <v>3783</v>
      </c>
      <c r="GND4388" s="379" t="s">
        <v>3783</v>
      </c>
      <c r="GNE4388" s="379" t="s">
        <v>3783</v>
      </c>
      <c r="GNF4388" s="379" t="s">
        <v>3783</v>
      </c>
      <c r="GNG4388" s="379" t="s">
        <v>3783</v>
      </c>
      <c r="GNH4388" s="379" t="s">
        <v>3783</v>
      </c>
      <c r="GNI4388" s="379" t="s">
        <v>3783</v>
      </c>
      <c r="GNJ4388" s="379" t="s">
        <v>3783</v>
      </c>
      <c r="GNK4388" s="379" t="s">
        <v>3783</v>
      </c>
      <c r="GNL4388" s="379" t="s">
        <v>3783</v>
      </c>
      <c r="GNM4388" s="379" t="s">
        <v>3783</v>
      </c>
      <c r="GNN4388" s="379" t="s">
        <v>3783</v>
      </c>
      <c r="GNO4388" s="379" t="s">
        <v>3783</v>
      </c>
      <c r="GNP4388" s="379" t="s">
        <v>3783</v>
      </c>
      <c r="GNQ4388" s="379" t="s">
        <v>3783</v>
      </c>
      <c r="GNR4388" s="379" t="s">
        <v>3783</v>
      </c>
      <c r="GNS4388" s="379" t="s">
        <v>3783</v>
      </c>
      <c r="GNT4388" s="379" t="s">
        <v>3783</v>
      </c>
      <c r="GNU4388" s="379" t="s">
        <v>3783</v>
      </c>
      <c r="GNV4388" s="379" t="s">
        <v>3783</v>
      </c>
      <c r="GNW4388" s="379" t="s">
        <v>3783</v>
      </c>
      <c r="GNX4388" s="379" t="s">
        <v>3783</v>
      </c>
      <c r="GNY4388" s="379" t="s">
        <v>3783</v>
      </c>
      <c r="GNZ4388" s="379" t="s">
        <v>3783</v>
      </c>
      <c r="GOA4388" s="379" t="s">
        <v>3783</v>
      </c>
      <c r="GOB4388" s="379" t="s">
        <v>3783</v>
      </c>
      <c r="GOC4388" s="379" t="s">
        <v>3783</v>
      </c>
      <c r="GOD4388" s="379" t="s">
        <v>3783</v>
      </c>
      <c r="GOE4388" s="379" t="s">
        <v>3783</v>
      </c>
      <c r="GOF4388" s="379" t="s">
        <v>3783</v>
      </c>
      <c r="GOG4388" s="379" t="s">
        <v>3783</v>
      </c>
      <c r="GOH4388" s="379" t="s">
        <v>3783</v>
      </c>
      <c r="GOI4388" s="379" t="s">
        <v>3783</v>
      </c>
      <c r="GOJ4388" s="379" t="s">
        <v>3783</v>
      </c>
      <c r="GOK4388" s="379" t="s">
        <v>3783</v>
      </c>
      <c r="GOL4388" s="379" t="s">
        <v>3783</v>
      </c>
      <c r="GOM4388" s="379" t="s">
        <v>3783</v>
      </c>
      <c r="GON4388" s="379" t="s">
        <v>3783</v>
      </c>
      <c r="GOO4388" s="379" t="s">
        <v>3783</v>
      </c>
      <c r="GOP4388" s="379" t="s">
        <v>3783</v>
      </c>
      <c r="GOQ4388" s="379" t="s">
        <v>3783</v>
      </c>
      <c r="GOR4388" s="379" t="s">
        <v>3783</v>
      </c>
      <c r="GOS4388" s="379" t="s">
        <v>3783</v>
      </c>
      <c r="GOT4388" s="379" t="s">
        <v>3783</v>
      </c>
      <c r="GOU4388" s="379" t="s">
        <v>3783</v>
      </c>
      <c r="GOV4388" s="379" t="s">
        <v>3783</v>
      </c>
      <c r="GOW4388" s="379" t="s">
        <v>3783</v>
      </c>
      <c r="GOX4388" s="379" t="s">
        <v>3783</v>
      </c>
      <c r="GOY4388" s="379" t="s">
        <v>3783</v>
      </c>
      <c r="GOZ4388" s="379" t="s">
        <v>3783</v>
      </c>
      <c r="GPA4388" s="379" t="s">
        <v>3783</v>
      </c>
      <c r="GPB4388" s="379" t="s">
        <v>3783</v>
      </c>
      <c r="GPC4388" s="379" t="s">
        <v>3783</v>
      </c>
      <c r="GPD4388" s="379" t="s">
        <v>3783</v>
      </c>
      <c r="GPE4388" s="379" t="s">
        <v>3783</v>
      </c>
      <c r="GPF4388" s="379" t="s">
        <v>3783</v>
      </c>
      <c r="GPG4388" s="379" t="s">
        <v>3783</v>
      </c>
      <c r="GPH4388" s="379" t="s">
        <v>3783</v>
      </c>
      <c r="GPI4388" s="379" t="s">
        <v>3783</v>
      </c>
      <c r="GPJ4388" s="379" t="s">
        <v>3783</v>
      </c>
      <c r="GPK4388" s="379" t="s">
        <v>3783</v>
      </c>
      <c r="GPL4388" s="379" t="s">
        <v>3783</v>
      </c>
      <c r="GPM4388" s="379" t="s">
        <v>3783</v>
      </c>
      <c r="GPN4388" s="379" t="s">
        <v>3783</v>
      </c>
      <c r="GPO4388" s="379" t="s">
        <v>3783</v>
      </c>
      <c r="GPP4388" s="379" t="s">
        <v>3783</v>
      </c>
      <c r="GPQ4388" s="379" t="s">
        <v>3783</v>
      </c>
      <c r="GPR4388" s="379" t="s">
        <v>3783</v>
      </c>
      <c r="GPS4388" s="379" t="s">
        <v>3783</v>
      </c>
      <c r="GPT4388" s="379" t="s">
        <v>3783</v>
      </c>
      <c r="GPU4388" s="379" t="s">
        <v>3783</v>
      </c>
      <c r="GPV4388" s="379" t="s">
        <v>3783</v>
      </c>
      <c r="GPW4388" s="379" t="s">
        <v>3783</v>
      </c>
      <c r="GPX4388" s="379" t="s">
        <v>3783</v>
      </c>
      <c r="GPY4388" s="379" t="s">
        <v>3783</v>
      </c>
      <c r="GPZ4388" s="379" t="s">
        <v>3783</v>
      </c>
      <c r="GQA4388" s="379" t="s">
        <v>3783</v>
      </c>
      <c r="GQB4388" s="379" t="s">
        <v>3783</v>
      </c>
      <c r="GQC4388" s="379" t="s">
        <v>3783</v>
      </c>
      <c r="GQD4388" s="379" t="s">
        <v>3783</v>
      </c>
      <c r="GQE4388" s="379" t="s">
        <v>3783</v>
      </c>
      <c r="GQF4388" s="379" t="s">
        <v>3783</v>
      </c>
      <c r="GQG4388" s="379" t="s">
        <v>3783</v>
      </c>
      <c r="GQH4388" s="379" t="s">
        <v>3783</v>
      </c>
      <c r="GQI4388" s="379" t="s">
        <v>3783</v>
      </c>
      <c r="GQJ4388" s="379" t="s">
        <v>3783</v>
      </c>
      <c r="GQK4388" s="379" t="s">
        <v>3783</v>
      </c>
      <c r="GQL4388" s="379" t="s">
        <v>3783</v>
      </c>
      <c r="GQM4388" s="379" t="s">
        <v>3783</v>
      </c>
      <c r="GQN4388" s="379" t="s">
        <v>3783</v>
      </c>
      <c r="GQO4388" s="379" t="s">
        <v>3783</v>
      </c>
      <c r="GQP4388" s="379" t="s">
        <v>3783</v>
      </c>
      <c r="GQQ4388" s="379" t="s">
        <v>3783</v>
      </c>
      <c r="GQR4388" s="379" t="s">
        <v>3783</v>
      </c>
      <c r="GQS4388" s="379" t="s">
        <v>3783</v>
      </c>
      <c r="GQT4388" s="379" t="s">
        <v>3783</v>
      </c>
      <c r="GQU4388" s="379" t="s">
        <v>3783</v>
      </c>
      <c r="GQV4388" s="379" t="s">
        <v>3783</v>
      </c>
      <c r="GQW4388" s="379" t="s">
        <v>3783</v>
      </c>
      <c r="GQX4388" s="379" t="s">
        <v>3783</v>
      </c>
      <c r="GQY4388" s="379" t="s">
        <v>3783</v>
      </c>
      <c r="GQZ4388" s="379" t="s">
        <v>3783</v>
      </c>
      <c r="GRA4388" s="379" t="s">
        <v>3783</v>
      </c>
      <c r="GRB4388" s="379" t="s">
        <v>3783</v>
      </c>
      <c r="GRC4388" s="379" t="s">
        <v>3783</v>
      </c>
      <c r="GRD4388" s="379" t="s">
        <v>3783</v>
      </c>
      <c r="GRE4388" s="379" t="s">
        <v>3783</v>
      </c>
      <c r="GRF4388" s="379" t="s">
        <v>3783</v>
      </c>
      <c r="GRG4388" s="379" t="s">
        <v>3783</v>
      </c>
      <c r="GRH4388" s="379" t="s">
        <v>3783</v>
      </c>
      <c r="GRI4388" s="379" t="s">
        <v>3783</v>
      </c>
      <c r="GRJ4388" s="379" t="s">
        <v>3783</v>
      </c>
      <c r="GRK4388" s="379" t="s">
        <v>3783</v>
      </c>
      <c r="GRL4388" s="379" t="s">
        <v>3783</v>
      </c>
      <c r="GRM4388" s="379" t="s">
        <v>3783</v>
      </c>
      <c r="GRN4388" s="379" t="s">
        <v>3783</v>
      </c>
      <c r="GRO4388" s="379" t="s">
        <v>3783</v>
      </c>
      <c r="GRP4388" s="379" t="s">
        <v>3783</v>
      </c>
      <c r="GRQ4388" s="379" t="s">
        <v>3783</v>
      </c>
      <c r="GRR4388" s="379" t="s">
        <v>3783</v>
      </c>
      <c r="GRS4388" s="379" t="s">
        <v>3783</v>
      </c>
      <c r="GRT4388" s="379" t="s">
        <v>3783</v>
      </c>
      <c r="GRU4388" s="379" t="s">
        <v>3783</v>
      </c>
      <c r="GRV4388" s="379" t="s">
        <v>3783</v>
      </c>
      <c r="GRW4388" s="379" t="s">
        <v>3783</v>
      </c>
      <c r="GRX4388" s="379" t="s">
        <v>3783</v>
      </c>
      <c r="GRY4388" s="379" t="s">
        <v>3783</v>
      </c>
      <c r="GRZ4388" s="379" t="s">
        <v>3783</v>
      </c>
      <c r="GSA4388" s="379" t="s">
        <v>3783</v>
      </c>
      <c r="GSB4388" s="379" t="s">
        <v>3783</v>
      </c>
      <c r="GSC4388" s="379" t="s">
        <v>3783</v>
      </c>
      <c r="GSD4388" s="379" t="s">
        <v>3783</v>
      </c>
      <c r="GSE4388" s="379" t="s">
        <v>3783</v>
      </c>
      <c r="GSF4388" s="379" t="s">
        <v>3783</v>
      </c>
      <c r="GSG4388" s="379" t="s">
        <v>3783</v>
      </c>
      <c r="GSH4388" s="379" t="s">
        <v>3783</v>
      </c>
      <c r="GSI4388" s="379" t="s">
        <v>3783</v>
      </c>
      <c r="GSJ4388" s="379" t="s">
        <v>3783</v>
      </c>
      <c r="GSK4388" s="379" t="s">
        <v>3783</v>
      </c>
      <c r="GSL4388" s="379" t="s">
        <v>3783</v>
      </c>
      <c r="GSM4388" s="379" t="s">
        <v>3783</v>
      </c>
      <c r="GSN4388" s="379" t="s">
        <v>3783</v>
      </c>
      <c r="GSO4388" s="379" t="s">
        <v>3783</v>
      </c>
      <c r="GSP4388" s="379" t="s">
        <v>3783</v>
      </c>
      <c r="GSQ4388" s="379" t="s">
        <v>3783</v>
      </c>
      <c r="GSR4388" s="379" t="s">
        <v>3783</v>
      </c>
      <c r="GSS4388" s="379" t="s">
        <v>3783</v>
      </c>
      <c r="GST4388" s="379" t="s">
        <v>3783</v>
      </c>
      <c r="GSU4388" s="379" t="s">
        <v>3783</v>
      </c>
      <c r="GSV4388" s="379" t="s">
        <v>3783</v>
      </c>
      <c r="GSW4388" s="379" t="s">
        <v>3783</v>
      </c>
      <c r="GSX4388" s="379" t="s">
        <v>3783</v>
      </c>
      <c r="GSY4388" s="379" t="s">
        <v>3783</v>
      </c>
      <c r="GSZ4388" s="379" t="s">
        <v>3783</v>
      </c>
      <c r="GTA4388" s="379" t="s">
        <v>3783</v>
      </c>
      <c r="GTB4388" s="379" t="s">
        <v>3783</v>
      </c>
      <c r="GTC4388" s="379" t="s">
        <v>3783</v>
      </c>
      <c r="GTD4388" s="379" t="s">
        <v>3783</v>
      </c>
      <c r="GTE4388" s="379" t="s">
        <v>3783</v>
      </c>
      <c r="GTF4388" s="379" t="s">
        <v>3783</v>
      </c>
      <c r="GTG4388" s="379" t="s">
        <v>3783</v>
      </c>
      <c r="GTH4388" s="379" t="s">
        <v>3783</v>
      </c>
      <c r="GTI4388" s="379" t="s">
        <v>3783</v>
      </c>
      <c r="GTJ4388" s="379" t="s">
        <v>3783</v>
      </c>
      <c r="GTK4388" s="379" t="s">
        <v>3783</v>
      </c>
      <c r="GTL4388" s="379" t="s">
        <v>3783</v>
      </c>
      <c r="GTM4388" s="379" t="s">
        <v>3783</v>
      </c>
      <c r="GTN4388" s="379" t="s">
        <v>3783</v>
      </c>
      <c r="GTO4388" s="379" t="s">
        <v>3783</v>
      </c>
      <c r="GTP4388" s="379" t="s">
        <v>3783</v>
      </c>
      <c r="GTQ4388" s="379" t="s">
        <v>3783</v>
      </c>
      <c r="GTR4388" s="379" t="s">
        <v>3783</v>
      </c>
      <c r="GTS4388" s="379" t="s">
        <v>3783</v>
      </c>
      <c r="GTT4388" s="379" t="s">
        <v>3783</v>
      </c>
      <c r="GTU4388" s="379" t="s">
        <v>3783</v>
      </c>
      <c r="GTV4388" s="379" t="s">
        <v>3783</v>
      </c>
      <c r="GTW4388" s="379" t="s">
        <v>3783</v>
      </c>
      <c r="GTX4388" s="379" t="s">
        <v>3783</v>
      </c>
      <c r="GTY4388" s="379" t="s">
        <v>3783</v>
      </c>
      <c r="GTZ4388" s="379" t="s">
        <v>3783</v>
      </c>
      <c r="GUA4388" s="379" t="s">
        <v>3783</v>
      </c>
      <c r="GUB4388" s="379" t="s">
        <v>3783</v>
      </c>
      <c r="GUC4388" s="379" t="s">
        <v>3783</v>
      </c>
      <c r="GUD4388" s="379" t="s">
        <v>3783</v>
      </c>
      <c r="GUE4388" s="379" t="s">
        <v>3783</v>
      </c>
      <c r="GUF4388" s="379" t="s">
        <v>3783</v>
      </c>
      <c r="GUG4388" s="379" t="s">
        <v>3783</v>
      </c>
      <c r="GUH4388" s="379" t="s">
        <v>3783</v>
      </c>
      <c r="GUI4388" s="379" t="s">
        <v>3783</v>
      </c>
      <c r="GUJ4388" s="379" t="s">
        <v>3783</v>
      </c>
      <c r="GUK4388" s="379" t="s">
        <v>3783</v>
      </c>
      <c r="GUL4388" s="379" t="s">
        <v>3783</v>
      </c>
      <c r="GUM4388" s="379" t="s">
        <v>3783</v>
      </c>
      <c r="GUN4388" s="379" t="s">
        <v>3783</v>
      </c>
      <c r="GUO4388" s="379" t="s">
        <v>3783</v>
      </c>
      <c r="GUP4388" s="379" t="s">
        <v>3783</v>
      </c>
      <c r="GUQ4388" s="379" t="s">
        <v>3783</v>
      </c>
      <c r="GUR4388" s="379" t="s">
        <v>3783</v>
      </c>
      <c r="GUS4388" s="379" t="s">
        <v>3783</v>
      </c>
      <c r="GUT4388" s="379" t="s">
        <v>3783</v>
      </c>
      <c r="GUU4388" s="379" t="s">
        <v>3783</v>
      </c>
      <c r="GUV4388" s="379" t="s">
        <v>3783</v>
      </c>
      <c r="GUW4388" s="379" t="s">
        <v>3783</v>
      </c>
      <c r="GUX4388" s="379" t="s">
        <v>3783</v>
      </c>
      <c r="GUY4388" s="379" t="s">
        <v>3783</v>
      </c>
      <c r="GUZ4388" s="379" t="s">
        <v>3783</v>
      </c>
      <c r="GVA4388" s="379" t="s">
        <v>3783</v>
      </c>
      <c r="GVB4388" s="379" t="s">
        <v>3783</v>
      </c>
      <c r="GVC4388" s="379" t="s">
        <v>3783</v>
      </c>
      <c r="GVD4388" s="379" t="s">
        <v>3783</v>
      </c>
      <c r="GVE4388" s="379" t="s">
        <v>3783</v>
      </c>
      <c r="GVF4388" s="379" t="s">
        <v>3783</v>
      </c>
      <c r="GVG4388" s="379" t="s">
        <v>3783</v>
      </c>
      <c r="GVH4388" s="379" t="s">
        <v>3783</v>
      </c>
      <c r="GVI4388" s="379" t="s">
        <v>3783</v>
      </c>
      <c r="GVJ4388" s="379" t="s">
        <v>3783</v>
      </c>
      <c r="GVK4388" s="379" t="s">
        <v>3783</v>
      </c>
      <c r="GVL4388" s="379" t="s">
        <v>3783</v>
      </c>
      <c r="GVM4388" s="379" t="s">
        <v>3783</v>
      </c>
      <c r="GVN4388" s="379" t="s">
        <v>3783</v>
      </c>
      <c r="GVO4388" s="379" t="s">
        <v>3783</v>
      </c>
      <c r="GVP4388" s="379" t="s">
        <v>3783</v>
      </c>
      <c r="GVQ4388" s="379" t="s">
        <v>3783</v>
      </c>
      <c r="GVR4388" s="379" t="s">
        <v>3783</v>
      </c>
      <c r="GVS4388" s="379" t="s">
        <v>3783</v>
      </c>
      <c r="GVT4388" s="379" t="s">
        <v>3783</v>
      </c>
      <c r="GVU4388" s="379" t="s">
        <v>3783</v>
      </c>
      <c r="GVV4388" s="379" t="s">
        <v>3783</v>
      </c>
      <c r="GVW4388" s="379" t="s">
        <v>3783</v>
      </c>
      <c r="GVX4388" s="379" t="s">
        <v>3783</v>
      </c>
      <c r="GVY4388" s="379" t="s">
        <v>3783</v>
      </c>
      <c r="GVZ4388" s="379" t="s">
        <v>3783</v>
      </c>
      <c r="GWA4388" s="379" t="s">
        <v>3783</v>
      </c>
      <c r="GWB4388" s="379" t="s">
        <v>3783</v>
      </c>
      <c r="GWC4388" s="379" t="s">
        <v>3783</v>
      </c>
      <c r="GWD4388" s="379" t="s">
        <v>3783</v>
      </c>
      <c r="GWE4388" s="379" t="s">
        <v>3783</v>
      </c>
      <c r="GWF4388" s="379" t="s">
        <v>3783</v>
      </c>
      <c r="GWG4388" s="379" t="s">
        <v>3783</v>
      </c>
      <c r="GWH4388" s="379" t="s">
        <v>3783</v>
      </c>
      <c r="GWI4388" s="379" t="s">
        <v>3783</v>
      </c>
      <c r="GWJ4388" s="379" t="s">
        <v>3783</v>
      </c>
      <c r="GWK4388" s="379" t="s">
        <v>3783</v>
      </c>
      <c r="GWL4388" s="379" t="s">
        <v>3783</v>
      </c>
      <c r="GWM4388" s="379" t="s">
        <v>3783</v>
      </c>
      <c r="GWN4388" s="379" t="s">
        <v>3783</v>
      </c>
      <c r="GWO4388" s="379" t="s">
        <v>3783</v>
      </c>
      <c r="GWP4388" s="379" t="s">
        <v>3783</v>
      </c>
      <c r="GWQ4388" s="379" t="s">
        <v>3783</v>
      </c>
      <c r="GWR4388" s="379" t="s">
        <v>3783</v>
      </c>
      <c r="GWS4388" s="379" t="s">
        <v>3783</v>
      </c>
      <c r="GWT4388" s="379" t="s">
        <v>3783</v>
      </c>
      <c r="GWU4388" s="379" t="s">
        <v>3783</v>
      </c>
      <c r="GWV4388" s="379" t="s">
        <v>3783</v>
      </c>
      <c r="GWW4388" s="379" t="s">
        <v>3783</v>
      </c>
      <c r="GWX4388" s="379" t="s">
        <v>3783</v>
      </c>
      <c r="GWY4388" s="379" t="s">
        <v>3783</v>
      </c>
      <c r="GWZ4388" s="379" t="s">
        <v>3783</v>
      </c>
      <c r="GXA4388" s="379" t="s">
        <v>3783</v>
      </c>
      <c r="GXB4388" s="379" t="s">
        <v>3783</v>
      </c>
      <c r="GXC4388" s="379" t="s">
        <v>3783</v>
      </c>
      <c r="GXD4388" s="379" t="s">
        <v>3783</v>
      </c>
      <c r="GXE4388" s="379" t="s">
        <v>3783</v>
      </c>
      <c r="GXF4388" s="379" t="s">
        <v>3783</v>
      </c>
      <c r="GXG4388" s="379" t="s">
        <v>3783</v>
      </c>
      <c r="GXH4388" s="379" t="s">
        <v>3783</v>
      </c>
      <c r="GXI4388" s="379" t="s">
        <v>3783</v>
      </c>
      <c r="GXJ4388" s="379" t="s">
        <v>3783</v>
      </c>
      <c r="GXK4388" s="379" t="s">
        <v>3783</v>
      </c>
      <c r="GXL4388" s="379" t="s">
        <v>3783</v>
      </c>
      <c r="GXM4388" s="379" t="s">
        <v>3783</v>
      </c>
      <c r="GXN4388" s="379" t="s">
        <v>3783</v>
      </c>
      <c r="GXO4388" s="379" t="s">
        <v>3783</v>
      </c>
      <c r="GXP4388" s="379" t="s">
        <v>3783</v>
      </c>
      <c r="GXQ4388" s="379" t="s">
        <v>3783</v>
      </c>
      <c r="GXR4388" s="379" t="s">
        <v>3783</v>
      </c>
      <c r="GXS4388" s="379" t="s">
        <v>3783</v>
      </c>
      <c r="GXT4388" s="379" t="s">
        <v>3783</v>
      </c>
      <c r="GXU4388" s="379" t="s">
        <v>3783</v>
      </c>
      <c r="GXV4388" s="379" t="s">
        <v>3783</v>
      </c>
      <c r="GXW4388" s="379" t="s">
        <v>3783</v>
      </c>
      <c r="GXX4388" s="379" t="s">
        <v>3783</v>
      </c>
      <c r="GXY4388" s="379" t="s">
        <v>3783</v>
      </c>
      <c r="GXZ4388" s="379" t="s">
        <v>3783</v>
      </c>
      <c r="GYA4388" s="379" t="s">
        <v>3783</v>
      </c>
      <c r="GYB4388" s="379" t="s">
        <v>3783</v>
      </c>
      <c r="GYC4388" s="379" t="s">
        <v>3783</v>
      </c>
      <c r="GYD4388" s="379" t="s">
        <v>3783</v>
      </c>
      <c r="GYE4388" s="379" t="s">
        <v>3783</v>
      </c>
      <c r="GYF4388" s="379" t="s">
        <v>3783</v>
      </c>
      <c r="GYG4388" s="379" t="s">
        <v>3783</v>
      </c>
      <c r="GYH4388" s="379" t="s">
        <v>3783</v>
      </c>
      <c r="GYI4388" s="379" t="s">
        <v>3783</v>
      </c>
      <c r="GYJ4388" s="379" t="s">
        <v>3783</v>
      </c>
      <c r="GYK4388" s="379" t="s">
        <v>3783</v>
      </c>
      <c r="GYL4388" s="379" t="s">
        <v>3783</v>
      </c>
      <c r="GYM4388" s="379" t="s">
        <v>3783</v>
      </c>
      <c r="GYN4388" s="379" t="s">
        <v>3783</v>
      </c>
      <c r="GYO4388" s="379" t="s">
        <v>3783</v>
      </c>
      <c r="GYP4388" s="379" t="s">
        <v>3783</v>
      </c>
      <c r="GYQ4388" s="379" t="s">
        <v>3783</v>
      </c>
      <c r="GYR4388" s="379" t="s">
        <v>3783</v>
      </c>
      <c r="GYS4388" s="379" t="s">
        <v>3783</v>
      </c>
      <c r="GYT4388" s="379" t="s">
        <v>3783</v>
      </c>
      <c r="GYU4388" s="379" t="s">
        <v>3783</v>
      </c>
      <c r="GYV4388" s="379" t="s">
        <v>3783</v>
      </c>
      <c r="GYW4388" s="379" t="s">
        <v>3783</v>
      </c>
      <c r="GYX4388" s="379" t="s">
        <v>3783</v>
      </c>
      <c r="GYY4388" s="379" t="s">
        <v>3783</v>
      </c>
      <c r="GYZ4388" s="379" t="s">
        <v>3783</v>
      </c>
      <c r="GZA4388" s="379" t="s">
        <v>3783</v>
      </c>
      <c r="GZB4388" s="379" t="s">
        <v>3783</v>
      </c>
      <c r="GZC4388" s="379" t="s">
        <v>3783</v>
      </c>
      <c r="GZD4388" s="379" t="s">
        <v>3783</v>
      </c>
      <c r="GZE4388" s="379" t="s">
        <v>3783</v>
      </c>
      <c r="GZF4388" s="379" t="s">
        <v>3783</v>
      </c>
      <c r="GZG4388" s="379" t="s">
        <v>3783</v>
      </c>
      <c r="GZH4388" s="379" t="s">
        <v>3783</v>
      </c>
      <c r="GZI4388" s="379" t="s">
        <v>3783</v>
      </c>
      <c r="GZJ4388" s="379" t="s">
        <v>3783</v>
      </c>
      <c r="GZK4388" s="379" t="s">
        <v>3783</v>
      </c>
      <c r="GZL4388" s="379" t="s">
        <v>3783</v>
      </c>
      <c r="GZM4388" s="379" t="s">
        <v>3783</v>
      </c>
      <c r="GZN4388" s="379" t="s">
        <v>3783</v>
      </c>
      <c r="GZO4388" s="379" t="s">
        <v>3783</v>
      </c>
      <c r="GZP4388" s="379" t="s">
        <v>3783</v>
      </c>
      <c r="GZQ4388" s="379" t="s">
        <v>3783</v>
      </c>
      <c r="GZR4388" s="379" t="s">
        <v>3783</v>
      </c>
      <c r="GZS4388" s="379" t="s">
        <v>3783</v>
      </c>
      <c r="GZT4388" s="379" t="s">
        <v>3783</v>
      </c>
      <c r="GZU4388" s="379" t="s">
        <v>3783</v>
      </c>
      <c r="GZV4388" s="379" t="s">
        <v>3783</v>
      </c>
      <c r="GZW4388" s="379" t="s">
        <v>3783</v>
      </c>
      <c r="GZX4388" s="379" t="s">
        <v>3783</v>
      </c>
      <c r="GZY4388" s="379" t="s">
        <v>3783</v>
      </c>
      <c r="GZZ4388" s="379" t="s">
        <v>3783</v>
      </c>
      <c r="HAA4388" s="379" t="s">
        <v>3783</v>
      </c>
      <c r="HAB4388" s="379" t="s">
        <v>3783</v>
      </c>
      <c r="HAC4388" s="379" t="s">
        <v>3783</v>
      </c>
      <c r="HAD4388" s="379" t="s">
        <v>3783</v>
      </c>
      <c r="HAE4388" s="379" t="s">
        <v>3783</v>
      </c>
      <c r="HAF4388" s="379" t="s">
        <v>3783</v>
      </c>
      <c r="HAG4388" s="379" t="s">
        <v>3783</v>
      </c>
      <c r="HAH4388" s="379" t="s">
        <v>3783</v>
      </c>
      <c r="HAI4388" s="379" t="s">
        <v>3783</v>
      </c>
      <c r="HAJ4388" s="379" t="s">
        <v>3783</v>
      </c>
      <c r="HAK4388" s="379" t="s">
        <v>3783</v>
      </c>
      <c r="HAL4388" s="379" t="s">
        <v>3783</v>
      </c>
      <c r="HAM4388" s="379" t="s">
        <v>3783</v>
      </c>
      <c r="HAN4388" s="379" t="s">
        <v>3783</v>
      </c>
      <c r="HAO4388" s="379" t="s">
        <v>3783</v>
      </c>
      <c r="HAP4388" s="379" t="s">
        <v>3783</v>
      </c>
      <c r="HAQ4388" s="379" t="s">
        <v>3783</v>
      </c>
      <c r="HAR4388" s="379" t="s">
        <v>3783</v>
      </c>
      <c r="HAS4388" s="379" t="s">
        <v>3783</v>
      </c>
      <c r="HAT4388" s="379" t="s">
        <v>3783</v>
      </c>
      <c r="HAU4388" s="379" t="s">
        <v>3783</v>
      </c>
      <c r="HAV4388" s="379" t="s">
        <v>3783</v>
      </c>
      <c r="HAW4388" s="379" t="s">
        <v>3783</v>
      </c>
      <c r="HAX4388" s="379" t="s">
        <v>3783</v>
      </c>
      <c r="HAY4388" s="379" t="s">
        <v>3783</v>
      </c>
      <c r="HAZ4388" s="379" t="s">
        <v>3783</v>
      </c>
      <c r="HBA4388" s="379" t="s">
        <v>3783</v>
      </c>
      <c r="HBB4388" s="379" t="s">
        <v>3783</v>
      </c>
      <c r="HBC4388" s="379" t="s">
        <v>3783</v>
      </c>
      <c r="HBD4388" s="379" t="s">
        <v>3783</v>
      </c>
      <c r="HBE4388" s="379" t="s">
        <v>3783</v>
      </c>
      <c r="HBF4388" s="379" t="s">
        <v>3783</v>
      </c>
      <c r="HBG4388" s="379" t="s">
        <v>3783</v>
      </c>
      <c r="HBH4388" s="379" t="s">
        <v>3783</v>
      </c>
      <c r="HBI4388" s="379" t="s">
        <v>3783</v>
      </c>
      <c r="HBJ4388" s="379" t="s">
        <v>3783</v>
      </c>
      <c r="HBK4388" s="379" t="s">
        <v>3783</v>
      </c>
      <c r="HBL4388" s="379" t="s">
        <v>3783</v>
      </c>
      <c r="HBM4388" s="379" t="s">
        <v>3783</v>
      </c>
      <c r="HBN4388" s="379" t="s">
        <v>3783</v>
      </c>
      <c r="HBO4388" s="379" t="s">
        <v>3783</v>
      </c>
      <c r="HBP4388" s="379" t="s">
        <v>3783</v>
      </c>
      <c r="HBQ4388" s="379" t="s">
        <v>3783</v>
      </c>
      <c r="HBR4388" s="379" t="s">
        <v>3783</v>
      </c>
      <c r="HBS4388" s="379" t="s">
        <v>3783</v>
      </c>
      <c r="HBT4388" s="379" t="s">
        <v>3783</v>
      </c>
      <c r="HBU4388" s="379" t="s">
        <v>3783</v>
      </c>
      <c r="HBV4388" s="379" t="s">
        <v>3783</v>
      </c>
      <c r="HBW4388" s="379" t="s">
        <v>3783</v>
      </c>
      <c r="HBX4388" s="379" t="s">
        <v>3783</v>
      </c>
      <c r="HBY4388" s="379" t="s">
        <v>3783</v>
      </c>
      <c r="HBZ4388" s="379" t="s">
        <v>3783</v>
      </c>
      <c r="HCA4388" s="379" t="s">
        <v>3783</v>
      </c>
      <c r="HCB4388" s="379" t="s">
        <v>3783</v>
      </c>
      <c r="HCC4388" s="379" t="s">
        <v>3783</v>
      </c>
      <c r="HCD4388" s="379" t="s">
        <v>3783</v>
      </c>
      <c r="HCE4388" s="379" t="s">
        <v>3783</v>
      </c>
      <c r="HCF4388" s="379" t="s">
        <v>3783</v>
      </c>
      <c r="HCG4388" s="379" t="s">
        <v>3783</v>
      </c>
      <c r="HCH4388" s="379" t="s">
        <v>3783</v>
      </c>
      <c r="HCI4388" s="379" t="s">
        <v>3783</v>
      </c>
      <c r="HCJ4388" s="379" t="s">
        <v>3783</v>
      </c>
      <c r="HCK4388" s="379" t="s">
        <v>3783</v>
      </c>
      <c r="HCL4388" s="379" t="s">
        <v>3783</v>
      </c>
      <c r="HCM4388" s="379" t="s">
        <v>3783</v>
      </c>
      <c r="HCN4388" s="379" t="s">
        <v>3783</v>
      </c>
      <c r="HCO4388" s="379" t="s">
        <v>3783</v>
      </c>
      <c r="HCP4388" s="379" t="s">
        <v>3783</v>
      </c>
      <c r="HCQ4388" s="379" t="s">
        <v>3783</v>
      </c>
      <c r="HCR4388" s="379" t="s">
        <v>3783</v>
      </c>
      <c r="HCS4388" s="379" t="s">
        <v>3783</v>
      </c>
      <c r="HCT4388" s="379" t="s">
        <v>3783</v>
      </c>
      <c r="HCU4388" s="379" t="s">
        <v>3783</v>
      </c>
      <c r="HCV4388" s="379" t="s">
        <v>3783</v>
      </c>
      <c r="HCW4388" s="379" t="s">
        <v>3783</v>
      </c>
      <c r="HCX4388" s="379" t="s">
        <v>3783</v>
      </c>
      <c r="HCY4388" s="379" t="s">
        <v>3783</v>
      </c>
      <c r="HCZ4388" s="379" t="s">
        <v>3783</v>
      </c>
      <c r="HDA4388" s="379" t="s">
        <v>3783</v>
      </c>
      <c r="HDB4388" s="379" t="s">
        <v>3783</v>
      </c>
      <c r="HDC4388" s="379" t="s">
        <v>3783</v>
      </c>
      <c r="HDD4388" s="379" t="s">
        <v>3783</v>
      </c>
      <c r="HDE4388" s="379" t="s">
        <v>3783</v>
      </c>
      <c r="HDF4388" s="379" t="s">
        <v>3783</v>
      </c>
      <c r="HDG4388" s="379" t="s">
        <v>3783</v>
      </c>
      <c r="HDH4388" s="379" t="s">
        <v>3783</v>
      </c>
      <c r="HDI4388" s="379" t="s">
        <v>3783</v>
      </c>
      <c r="HDJ4388" s="379" t="s">
        <v>3783</v>
      </c>
      <c r="HDK4388" s="379" t="s">
        <v>3783</v>
      </c>
      <c r="HDL4388" s="379" t="s">
        <v>3783</v>
      </c>
      <c r="HDM4388" s="379" t="s">
        <v>3783</v>
      </c>
      <c r="HDN4388" s="379" t="s">
        <v>3783</v>
      </c>
      <c r="HDO4388" s="379" t="s">
        <v>3783</v>
      </c>
      <c r="HDP4388" s="379" t="s">
        <v>3783</v>
      </c>
      <c r="HDQ4388" s="379" t="s">
        <v>3783</v>
      </c>
      <c r="HDR4388" s="379" t="s">
        <v>3783</v>
      </c>
      <c r="HDS4388" s="379" t="s">
        <v>3783</v>
      </c>
      <c r="HDT4388" s="379" t="s">
        <v>3783</v>
      </c>
      <c r="HDU4388" s="379" t="s">
        <v>3783</v>
      </c>
      <c r="HDV4388" s="379" t="s">
        <v>3783</v>
      </c>
      <c r="HDW4388" s="379" t="s">
        <v>3783</v>
      </c>
      <c r="HDX4388" s="379" t="s">
        <v>3783</v>
      </c>
      <c r="HDY4388" s="379" t="s">
        <v>3783</v>
      </c>
      <c r="HDZ4388" s="379" t="s">
        <v>3783</v>
      </c>
      <c r="HEA4388" s="379" t="s">
        <v>3783</v>
      </c>
      <c r="HEB4388" s="379" t="s">
        <v>3783</v>
      </c>
      <c r="HEC4388" s="379" t="s">
        <v>3783</v>
      </c>
      <c r="HED4388" s="379" t="s">
        <v>3783</v>
      </c>
      <c r="HEE4388" s="379" t="s">
        <v>3783</v>
      </c>
      <c r="HEF4388" s="379" t="s">
        <v>3783</v>
      </c>
      <c r="HEG4388" s="379" t="s">
        <v>3783</v>
      </c>
      <c r="HEH4388" s="379" t="s">
        <v>3783</v>
      </c>
      <c r="HEI4388" s="379" t="s">
        <v>3783</v>
      </c>
      <c r="HEJ4388" s="379" t="s">
        <v>3783</v>
      </c>
      <c r="HEK4388" s="379" t="s">
        <v>3783</v>
      </c>
      <c r="HEL4388" s="379" t="s">
        <v>3783</v>
      </c>
      <c r="HEM4388" s="379" t="s">
        <v>3783</v>
      </c>
      <c r="HEN4388" s="379" t="s">
        <v>3783</v>
      </c>
      <c r="HEO4388" s="379" t="s">
        <v>3783</v>
      </c>
      <c r="HEP4388" s="379" t="s">
        <v>3783</v>
      </c>
      <c r="HEQ4388" s="379" t="s">
        <v>3783</v>
      </c>
      <c r="HER4388" s="379" t="s">
        <v>3783</v>
      </c>
      <c r="HES4388" s="379" t="s">
        <v>3783</v>
      </c>
      <c r="HET4388" s="379" t="s">
        <v>3783</v>
      </c>
      <c r="HEU4388" s="379" t="s">
        <v>3783</v>
      </c>
      <c r="HEV4388" s="379" t="s">
        <v>3783</v>
      </c>
      <c r="HEW4388" s="379" t="s">
        <v>3783</v>
      </c>
      <c r="HEX4388" s="379" t="s">
        <v>3783</v>
      </c>
      <c r="HEY4388" s="379" t="s">
        <v>3783</v>
      </c>
      <c r="HEZ4388" s="379" t="s">
        <v>3783</v>
      </c>
      <c r="HFA4388" s="379" t="s">
        <v>3783</v>
      </c>
      <c r="HFB4388" s="379" t="s">
        <v>3783</v>
      </c>
      <c r="HFC4388" s="379" t="s">
        <v>3783</v>
      </c>
      <c r="HFD4388" s="379" t="s">
        <v>3783</v>
      </c>
      <c r="HFE4388" s="379" t="s">
        <v>3783</v>
      </c>
      <c r="HFF4388" s="379" t="s">
        <v>3783</v>
      </c>
      <c r="HFG4388" s="379" t="s">
        <v>3783</v>
      </c>
      <c r="HFH4388" s="379" t="s">
        <v>3783</v>
      </c>
      <c r="HFI4388" s="379" t="s">
        <v>3783</v>
      </c>
      <c r="HFJ4388" s="379" t="s">
        <v>3783</v>
      </c>
      <c r="HFK4388" s="379" t="s">
        <v>3783</v>
      </c>
      <c r="HFL4388" s="379" t="s">
        <v>3783</v>
      </c>
      <c r="HFM4388" s="379" t="s">
        <v>3783</v>
      </c>
      <c r="HFN4388" s="379" t="s">
        <v>3783</v>
      </c>
      <c r="HFO4388" s="379" t="s">
        <v>3783</v>
      </c>
      <c r="HFP4388" s="379" t="s">
        <v>3783</v>
      </c>
      <c r="HFQ4388" s="379" t="s">
        <v>3783</v>
      </c>
      <c r="HFR4388" s="379" t="s">
        <v>3783</v>
      </c>
      <c r="HFS4388" s="379" t="s">
        <v>3783</v>
      </c>
      <c r="HFT4388" s="379" t="s">
        <v>3783</v>
      </c>
      <c r="HFU4388" s="379" t="s">
        <v>3783</v>
      </c>
      <c r="HFV4388" s="379" t="s">
        <v>3783</v>
      </c>
      <c r="HFW4388" s="379" t="s">
        <v>3783</v>
      </c>
      <c r="HFX4388" s="379" t="s">
        <v>3783</v>
      </c>
      <c r="HFY4388" s="379" t="s">
        <v>3783</v>
      </c>
      <c r="HFZ4388" s="379" t="s">
        <v>3783</v>
      </c>
      <c r="HGA4388" s="379" t="s">
        <v>3783</v>
      </c>
      <c r="HGB4388" s="379" t="s">
        <v>3783</v>
      </c>
      <c r="HGC4388" s="379" t="s">
        <v>3783</v>
      </c>
      <c r="HGD4388" s="379" t="s">
        <v>3783</v>
      </c>
      <c r="HGE4388" s="379" t="s">
        <v>3783</v>
      </c>
      <c r="HGF4388" s="379" t="s">
        <v>3783</v>
      </c>
      <c r="HGG4388" s="379" t="s">
        <v>3783</v>
      </c>
      <c r="HGH4388" s="379" t="s">
        <v>3783</v>
      </c>
      <c r="HGI4388" s="379" t="s">
        <v>3783</v>
      </c>
      <c r="HGJ4388" s="379" t="s">
        <v>3783</v>
      </c>
      <c r="HGK4388" s="379" t="s">
        <v>3783</v>
      </c>
      <c r="HGL4388" s="379" t="s">
        <v>3783</v>
      </c>
      <c r="HGM4388" s="379" t="s">
        <v>3783</v>
      </c>
      <c r="HGN4388" s="379" t="s">
        <v>3783</v>
      </c>
      <c r="HGO4388" s="379" t="s">
        <v>3783</v>
      </c>
      <c r="HGP4388" s="379" t="s">
        <v>3783</v>
      </c>
      <c r="HGQ4388" s="379" t="s">
        <v>3783</v>
      </c>
      <c r="HGR4388" s="379" t="s">
        <v>3783</v>
      </c>
      <c r="HGS4388" s="379" t="s">
        <v>3783</v>
      </c>
      <c r="HGT4388" s="379" t="s">
        <v>3783</v>
      </c>
      <c r="HGU4388" s="379" t="s">
        <v>3783</v>
      </c>
      <c r="HGV4388" s="379" t="s">
        <v>3783</v>
      </c>
      <c r="HGW4388" s="379" t="s">
        <v>3783</v>
      </c>
      <c r="HGX4388" s="379" t="s">
        <v>3783</v>
      </c>
      <c r="HGY4388" s="379" t="s">
        <v>3783</v>
      </c>
      <c r="HGZ4388" s="379" t="s">
        <v>3783</v>
      </c>
      <c r="HHA4388" s="379" t="s">
        <v>3783</v>
      </c>
      <c r="HHB4388" s="379" t="s">
        <v>3783</v>
      </c>
      <c r="HHC4388" s="379" t="s">
        <v>3783</v>
      </c>
      <c r="HHD4388" s="379" t="s">
        <v>3783</v>
      </c>
      <c r="HHE4388" s="379" t="s">
        <v>3783</v>
      </c>
      <c r="HHF4388" s="379" t="s">
        <v>3783</v>
      </c>
      <c r="HHG4388" s="379" t="s">
        <v>3783</v>
      </c>
      <c r="HHH4388" s="379" t="s">
        <v>3783</v>
      </c>
      <c r="HHI4388" s="379" t="s">
        <v>3783</v>
      </c>
      <c r="HHJ4388" s="379" t="s">
        <v>3783</v>
      </c>
      <c r="HHK4388" s="379" t="s">
        <v>3783</v>
      </c>
      <c r="HHL4388" s="379" t="s">
        <v>3783</v>
      </c>
      <c r="HHM4388" s="379" t="s">
        <v>3783</v>
      </c>
      <c r="HHN4388" s="379" t="s">
        <v>3783</v>
      </c>
      <c r="HHO4388" s="379" t="s">
        <v>3783</v>
      </c>
      <c r="HHP4388" s="379" t="s">
        <v>3783</v>
      </c>
      <c r="HHQ4388" s="379" t="s">
        <v>3783</v>
      </c>
      <c r="HHR4388" s="379" t="s">
        <v>3783</v>
      </c>
      <c r="HHS4388" s="379" t="s">
        <v>3783</v>
      </c>
      <c r="HHT4388" s="379" t="s">
        <v>3783</v>
      </c>
      <c r="HHU4388" s="379" t="s">
        <v>3783</v>
      </c>
      <c r="HHV4388" s="379" t="s">
        <v>3783</v>
      </c>
      <c r="HHW4388" s="379" t="s">
        <v>3783</v>
      </c>
      <c r="HHX4388" s="379" t="s">
        <v>3783</v>
      </c>
      <c r="HHY4388" s="379" t="s">
        <v>3783</v>
      </c>
      <c r="HHZ4388" s="379" t="s">
        <v>3783</v>
      </c>
      <c r="HIA4388" s="379" t="s">
        <v>3783</v>
      </c>
      <c r="HIB4388" s="379" t="s">
        <v>3783</v>
      </c>
      <c r="HIC4388" s="379" t="s">
        <v>3783</v>
      </c>
      <c r="HID4388" s="379" t="s">
        <v>3783</v>
      </c>
      <c r="HIE4388" s="379" t="s">
        <v>3783</v>
      </c>
      <c r="HIF4388" s="379" t="s">
        <v>3783</v>
      </c>
      <c r="HIG4388" s="379" t="s">
        <v>3783</v>
      </c>
      <c r="HIH4388" s="379" t="s">
        <v>3783</v>
      </c>
      <c r="HII4388" s="379" t="s">
        <v>3783</v>
      </c>
      <c r="HIJ4388" s="379" t="s">
        <v>3783</v>
      </c>
      <c r="HIK4388" s="379" t="s">
        <v>3783</v>
      </c>
      <c r="HIL4388" s="379" t="s">
        <v>3783</v>
      </c>
      <c r="HIM4388" s="379" t="s">
        <v>3783</v>
      </c>
      <c r="HIN4388" s="379" t="s">
        <v>3783</v>
      </c>
      <c r="HIO4388" s="379" t="s">
        <v>3783</v>
      </c>
      <c r="HIP4388" s="379" t="s">
        <v>3783</v>
      </c>
      <c r="HIQ4388" s="379" t="s">
        <v>3783</v>
      </c>
      <c r="HIR4388" s="379" t="s">
        <v>3783</v>
      </c>
      <c r="HIS4388" s="379" t="s">
        <v>3783</v>
      </c>
      <c r="HIT4388" s="379" t="s">
        <v>3783</v>
      </c>
      <c r="HIU4388" s="379" t="s">
        <v>3783</v>
      </c>
      <c r="HIV4388" s="379" t="s">
        <v>3783</v>
      </c>
      <c r="HIW4388" s="379" t="s">
        <v>3783</v>
      </c>
      <c r="HIX4388" s="379" t="s">
        <v>3783</v>
      </c>
      <c r="HIY4388" s="379" t="s">
        <v>3783</v>
      </c>
      <c r="HIZ4388" s="379" t="s">
        <v>3783</v>
      </c>
      <c r="HJA4388" s="379" t="s">
        <v>3783</v>
      </c>
      <c r="HJB4388" s="379" t="s">
        <v>3783</v>
      </c>
      <c r="HJC4388" s="379" t="s">
        <v>3783</v>
      </c>
      <c r="HJD4388" s="379" t="s">
        <v>3783</v>
      </c>
      <c r="HJE4388" s="379" t="s">
        <v>3783</v>
      </c>
      <c r="HJF4388" s="379" t="s">
        <v>3783</v>
      </c>
      <c r="HJG4388" s="379" t="s">
        <v>3783</v>
      </c>
      <c r="HJH4388" s="379" t="s">
        <v>3783</v>
      </c>
      <c r="HJI4388" s="379" t="s">
        <v>3783</v>
      </c>
      <c r="HJJ4388" s="379" t="s">
        <v>3783</v>
      </c>
      <c r="HJK4388" s="379" t="s">
        <v>3783</v>
      </c>
      <c r="HJL4388" s="379" t="s">
        <v>3783</v>
      </c>
      <c r="HJM4388" s="379" t="s">
        <v>3783</v>
      </c>
      <c r="HJN4388" s="379" t="s">
        <v>3783</v>
      </c>
      <c r="HJO4388" s="379" t="s">
        <v>3783</v>
      </c>
      <c r="HJP4388" s="379" t="s">
        <v>3783</v>
      </c>
      <c r="HJQ4388" s="379" t="s">
        <v>3783</v>
      </c>
      <c r="HJR4388" s="379" t="s">
        <v>3783</v>
      </c>
      <c r="HJS4388" s="379" t="s">
        <v>3783</v>
      </c>
      <c r="HJT4388" s="379" t="s">
        <v>3783</v>
      </c>
      <c r="HJU4388" s="379" t="s">
        <v>3783</v>
      </c>
      <c r="HJV4388" s="379" t="s">
        <v>3783</v>
      </c>
      <c r="HJW4388" s="379" t="s">
        <v>3783</v>
      </c>
      <c r="HJX4388" s="379" t="s">
        <v>3783</v>
      </c>
      <c r="HJY4388" s="379" t="s">
        <v>3783</v>
      </c>
      <c r="HJZ4388" s="379" t="s">
        <v>3783</v>
      </c>
      <c r="HKA4388" s="379" t="s">
        <v>3783</v>
      </c>
      <c r="HKB4388" s="379" t="s">
        <v>3783</v>
      </c>
      <c r="HKC4388" s="379" t="s">
        <v>3783</v>
      </c>
      <c r="HKD4388" s="379" t="s">
        <v>3783</v>
      </c>
      <c r="HKE4388" s="379" t="s">
        <v>3783</v>
      </c>
      <c r="HKF4388" s="379" t="s">
        <v>3783</v>
      </c>
      <c r="HKG4388" s="379" t="s">
        <v>3783</v>
      </c>
      <c r="HKH4388" s="379" t="s">
        <v>3783</v>
      </c>
      <c r="HKI4388" s="379" t="s">
        <v>3783</v>
      </c>
      <c r="HKJ4388" s="379" t="s">
        <v>3783</v>
      </c>
      <c r="HKK4388" s="379" t="s">
        <v>3783</v>
      </c>
      <c r="HKL4388" s="379" t="s">
        <v>3783</v>
      </c>
      <c r="HKM4388" s="379" t="s">
        <v>3783</v>
      </c>
      <c r="HKN4388" s="379" t="s">
        <v>3783</v>
      </c>
      <c r="HKO4388" s="379" t="s">
        <v>3783</v>
      </c>
      <c r="HKP4388" s="379" t="s">
        <v>3783</v>
      </c>
      <c r="HKQ4388" s="379" t="s">
        <v>3783</v>
      </c>
      <c r="HKR4388" s="379" t="s">
        <v>3783</v>
      </c>
      <c r="HKS4388" s="379" t="s">
        <v>3783</v>
      </c>
      <c r="HKT4388" s="379" t="s">
        <v>3783</v>
      </c>
      <c r="HKU4388" s="379" t="s">
        <v>3783</v>
      </c>
      <c r="HKV4388" s="379" t="s">
        <v>3783</v>
      </c>
      <c r="HKW4388" s="379" t="s">
        <v>3783</v>
      </c>
      <c r="HKX4388" s="379" t="s">
        <v>3783</v>
      </c>
      <c r="HKY4388" s="379" t="s">
        <v>3783</v>
      </c>
      <c r="HKZ4388" s="379" t="s">
        <v>3783</v>
      </c>
      <c r="HLA4388" s="379" t="s">
        <v>3783</v>
      </c>
      <c r="HLB4388" s="379" t="s">
        <v>3783</v>
      </c>
      <c r="HLC4388" s="379" t="s">
        <v>3783</v>
      </c>
      <c r="HLD4388" s="379" t="s">
        <v>3783</v>
      </c>
      <c r="HLE4388" s="379" t="s">
        <v>3783</v>
      </c>
      <c r="HLF4388" s="379" t="s">
        <v>3783</v>
      </c>
      <c r="HLG4388" s="379" t="s">
        <v>3783</v>
      </c>
      <c r="HLH4388" s="379" t="s">
        <v>3783</v>
      </c>
      <c r="HLI4388" s="379" t="s">
        <v>3783</v>
      </c>
      <c r="HLJ4388" s="379" t="s">
        <v>3783</v>
      </c>
      <c r="HLK4388" s="379" t="s">
        <v>3783</v>
      </c>
      <c r="HLL4388" s="379" t="s">
        <v>3783</v>
      </c>
      <c r="HLM4388" s="379" t="s">
        <v>3783</v>
      </c>
      <c r="HLN4388" s="379" t="s">
        <v>3783</v>
      </c>
      <c r="HLO4388" s="379" t="s">
        <v>3783</v>
      </c>
      <c r="HLP4388" s="379" t="s">
        <v>3783</v>
      </c>
      <c r="HLQ4388" s="379" t="s">
        <v>3783</v>
      </c>
      <c r="HLR4388" s="379" t="s">
        <v>3783</v>
      </c>
      <c r="HLS4388" s="379" t="s">
        <v>3783</v>
      </c>
      <c r="HLT4388" s="379" t="s">
        <v>3783</v>
      </c>
      <c r="HLU4388" s="379" t="s">
        <v>3783</v>
      </c>
      <c r="HLV4388" s="379" t="s">
        <v>3783</v>
      </c>
      <c r="HLW4388" s="379" t="s">
        <v>3783</v>
      </c>
      <c r="HLX4388" s="379" t="s">
        <v>3783</v>
      </c>
      <c r="HLY4388" s="379" t="s">
        <v>3783</v>
      </c>
      <c r="HLZ4388" s="379" t="s">
        <v>3783</v>
      </c>
      <c r="HMA4388" s="379" t="s">
        <v>3783</v>
      </c>
      <c r="HMB4388" s="379" t="s">
        <v>3783</v>
      </c>
      <c r="HMC4388" s="379" t="s">
        <v>3783</v>
      </c>
      <c r="HMD4388" s="379" t="s">
        <v>3783</v>
      </c>
      <c r="HME4388" s="379" t="s">
        <v>3783</v>
      </c>
      <c r="HMF4388" s="379" t="s">
        <v>3783</v>
      </c>
      <c r="HMG4388" s="379" t="s">
        <v>3783</v>
      </c>
      <c r="HMH4388" s="379" t="s">
        <v>3783</v>
      </c>
      <c r="HMI4388" s="379" t="s">
        <v>3783</v>
      </c>
      <c r="HMJ4388" s="379" t="s">
        <v>3783</v>
      </c>
      <c r="HMK4388" s="379" t="s">
        <v>3783</v>
      </c>
      <c r="HML4388" s="379" t="s">
        <v>3783</v>
      </c>
      <c r="HMM4388" s="379" t="s">
        <v>3783</v>
      </c>
      <c r="HMN4388" s="379" t="s">
        <v>3783</v>
      </c>
      <c r="HMO4388" s="379" t="s">
        <v>3783</v>
      </c>
      <c r="HMP4388" s="379" t="s">
        <v>3783</v>
      </c>
      <c r="HMQ4388" s="379" t="s">
        <v>3783</v>
      </c>
      <c r="HMR4388" s="379" t="s">
        <v>3783</v>
      </c>
      <c r="HMS4388" s="379" t="s">
        <v>3783</v>
      </c>
      <c r="HMT4388" s="379" t="s">
        <v>3783</v>
      </c>
      <c r="HMU4388" s="379" t="s">
        <v>3783</v>
      </c>
      <c r="HMV4388" s="379" t="s">
        <v>3783</v>
      </c>
      <c r="HMW4388" s="379" t="s">
        <v>3783</v>
      </c>
      <c r="HMX4388" s="379" t="s">
        <v>3783</v>
      </c>
      <c r="HMY4388" s="379" t="s">
        <v>3783</v>
      </c>
      <c r="HMZ4388" s="379" t="s">
        <v>3783</v>
      </c>
      <c r="HNA4388" s="379" t="s">
        <v>3783</v>
      </c>
      <c r="HNB4388" s="379" t="s">
        <v>3783</v>
      </c>
      <c r="HNC4388" s="379" t="s">
        <v>3783</v>
      </c>
      <c r="HND4388" s="379" t="s">
        <v>3783</v>
      </c>
      <c r="HNE4388" s="379" t="s">
        <v>3783</v>
      </c>
      <c r="HNF4388" s="379" t="s">
        <v>3783</v>
      </c>
      <c r="HNG4388" s="379" t="s">
        <v>3783</v>
      </c>
      <c r="HNH4388" s="379" t="s">
        <v>3783</v>
      </c>
      <c r="HNI4388" s="379" t="s">
        <v>3783</v>
      </c>
      <c r="HNJ4388" s="379" t="s">
        <v>3783</v>
      </c>
      <c r="HNK4388" s="379" t="s">
        <v>3783</v>
      </c>
      <c r="HNL4388" s="379" t="s">
        <v>3783</v>
      </c>
      <c r="HNM4388" s="379" t="s">
        <v>3783</v>
      </c>
      <c r="HNN4388" s="379" t="s">
        <v>3783</v>
      </c>
      <c r="HNO4388" s="379" t="s">
        <v>3783</v>
      </c>
      <c r="HNP4388" s="379" t="s">
        <v>3783</v>
      </c>
      <c r="HNQ4388" s="379" t="s">
        <v>3783</v>
      </c>
      <c r="HNR4388" s="379" t="s">
        <v>3783</v>
      </c>
      <c r="HNS4388" s="379" t="s">
        <v>3783</v>
      </c>
      <c r="HNT4388" s="379" t="s">
        <v>3783</v>
      </c>
      <c r="HNU4388" s="379" t="s">
        <v>3783</v>
      </c>
      <c r="HNV4388" s="379" t="s">
        <v>3783</v>
      </c>
      <c r="HNW4388" s="379" t="s">
        <v>3783</v>
      </c>
      <c r="HNX4388" s="379" t="s">
        <v>3783</v>
      </c>
      <c r="HNY4388" s="379" t="s">
        <v>3783</v>
      </c>
      <c r="HNZ4388" s="379" t="s">
        <v>3783</v>
      </c>
      <c r="HOA4388" s="379" t="s">
        <v>3783</v>
      </c>
      <c r="HOB4388" s="379" t="s">
        <v>3783</v>
      </c>
      <c r="HOC4388" s="379" t="s">
        <v>3783</v>
      </c>
      <c r="HOD4388" s="379" t="s">
        <v>3783</v>
      </c>
      <c r="HOE4388" s="379" t="s">
        <v>3783</v>
      </c>
      <c r="HOF4388" s="379" t="s">
        <v>3783</v>
      </c>
      <c r="HOG4388" s="379" t="s">
        <v>3783</v>
      </c>
      <c r="HOH4388" s="379" t="s">
        <v>3783</v>
      </c>
      <c r="HOI4388" s="379" t="s">
        <v>3783</v>
      </c>
      <c r="HOJ4388" s="379" t="s">
        <v>3783</v>
      </c>
      <c r="HOK4388" s="379" t="s">
        <v>3783</v>
      </c>
      <c r="HOL4388" s="379" t="s">
        <v>3783</v>
      </c>
      <c r="HOM4388" s="379" t="s">
        <v>3783</v>
      </c>
      <c r="HON4388" s="379" t="s">
        <v>3783</v>
      </c>
      <c r="HOO4388" s="379" t="s">
        <v>3783</v>
      </c>
      <c r="HOP4388" s="379" t="s">
        <v>3783</v>
      </c>
      <c r="HOQ4388" s="379" t="s">
        <v>3783</v>
      </c>
      <c r="HOR4388" s="379" t="s">
        <v>3783</v>
      </c>
      <c r="HOS4388" s="379" t="s">
        <v>3783</v>
      </c>
      <c r="HOT4388" s="379" t="s">
        <v>3783</v>
      </c>
      <c r="HOU4388" s="379" t="s">
        <v>3783</v>
      </c>
      <c r="HOV4388" s="379" t="s">
        <v>3783</v>
      </c>
      <c r="HOW4388" s="379" t="s">
        <v>3783</v>
      </c>
      <c r="HOX4388" s="379" t="s">
        <v>3783</v>
      </c>
      <c r="HOY4388" s="379" t="s">
        <v>3783</v>
      </c>
      <c r="HOZ4388" s="379" t="s">
        <v>3783</v>
      </c>
      <c r="HPA4388" s="379" t="s">
        <v>3783</v>
      </c>
      <c r="HPB4388" s="379" t="s">
        <v>3783</v>
      </c>
      <c r="HPC4388" s="379" t="s">
        <v>3783</v>
      </c>
      <c r="HPD4388" s="379" t="s">
        <v>3783</v>
      </c>
      <c r="HPE4388" s="379" t="s">
        <v>3783</v>
      </c>
      <c r="HPF4388" s="379" t="s">
        <v>3783</v>
      </c>
      <c r="HPG4388" s="379" t="s">
        <v>3783</v>
      </c>
      <c r="HPH4388" s="379" t="s">
        <v>3783</v>
      </c>
      <c r="HPI4388" s="379" t="s">
        <v>3783</v>
      </c>
      <c r="HPJ4388" s="379" t="s">
        <v>3783</v>
      </c>
      <c r="HPK4388" s="379" t="s">
        <v>3783</v>
      </c>
      <c r="HPL4388" s="379" t="s">
        <v>3783</v>
      </c>
      <c r="HPM4388" s="379" t="s">
        <v>3783</v>
      </c>
      <c r="HPN4388" s="379" t="s">
        <v>3783</v>
      </c>
      <c r="HPO4388" s="379" t="s">
        <v>3783</v>
      </c>
      <c r="HPP4388" s="379" t="s">
        <v>3783</v>
      </c>
      <c r="HPQ4388" s="379" t="s">
        <v>3783</v>
      </c>
      <c r="HPR4388" s="379" t="s">
        <v>3783</v>
      </c>
      <c r="HPS4388" s="379" t="s">
        <v>3783</v>
      </c>
      <c r="HPT4388" s="379" t="s">
        <v>3783</v>
      </c>
      <c r="HPU4388" s="379" t="s">
        <v>3783</v>
      </c>
      <c r="HPV4388" s="379" t="s">
        <v>3783</v>
      </c>
      <c r="HPW4388" s="379" t="s">
        <v>3783</v>
      </c>
      <c r="HPX4388" s="379" t="s">
        <v>3783</v>
      </c>
      <c r="HPY4388" s="379" t="s">
        <v>3783</v>
      </c>
      <c r="HPZ4388" s="379" t="s">
        <v>3783</v>
      </c>
      <c r="HQA4388" s="379" t="s">
        <v>3783</v>
      </c>
      <c r="HQB4388" s="379" t="s">
        <v>3783</v>
      </c>
      <c r="HQC4388" s="379" t="s">
        <v>3783</v>
      </c>
      <c r="HQD4388" s="379" t="s">
        <v>3783</v>
      </c>
      <c r="HQE4388" s="379" t="s">
        <v>3783</v>
      </c>
      <c r="HQF4388" s="379" t="s">
        <v>3783</v>
      </c>
      <c r="HQG4388" s="379" t="s">
        <v>3783</v>
      </c>
      <c r="HQH4388" s="379" t="s">
        <v>3783</v>
      </c>
      <c r="HQI4388" s="379" t="s">
        <v>3783</v>
      </c>
      <c r="HQJ4388" s="379" t="s">
        <v>3783</v>
      </c>
      <c r="HQK4388" s="379" t="s">
        <v>3783</v>
      </c>
      <c r="HQL4388" s="379" t="s">
        <v>3783</v>
      </c>
      <c r="HQM4388" s="379" t="s">
        <v>3783</v>
      </c>
      <c r="HQN4388" s="379" t="s">
        <v>3783</v>
      </c>
      <c r="HQO4388" s="379" t="s">
        <v>3783</v>
      </c>
      <c r="HQP4388" s="379" t="s">
        <v>3783</v>
      </c>
      <c r="HQQ4388" s="379" t="s">
        <v>3783</v>
      </c>
      <c r="HQR4388" s="379" t="s">
        <v>3783</v>
      </c>
      <c r="HQS4388" s="379" t="s">
        <v>3783</v>
      </c>
      <c r="HQT4388" s="379" t="s">
        <v>3783</v>
      </c>
      <c r="HQU4388" s="379" t="s">
        <v>3783</v>
      </c>
      <c r="HQV4388" s="379" t="s">
        <v>3783</v>
      </c>
      <c r="HQW4388" s="379" t="s">
        <v>3783</v>
      </c>
      <c r="HQX4388" s="379" t="s">
        <v>3783</v>
      </c>
      <c r="HQY4388" s="379" t="s">
        <v>3783</v>
      </c>
      <c r="HQZ4388" s="379" t="s">
        <v>3783</v>
      </c>
      <c r="HRA4388" s="379" t="s">
        <v>3783</v>
      </c>
      <c r="HRB4388" s="379" t="s">
        <v>3783</v>
      </c>
      <c r="HRC4388" s="379" t="s">
        <v>3783</v>
      </c>
      <c r="HRD4388" s="379" t="s">
        <v>3783</v>
      </c>
      <c r="HRE4388" s="379" t="s">
        <v>3783</v>
      </c>
      <c r="HRF4388" s="379" t="s">
        <v>3783</v>
      </c>
      <c r="HRG4388" s="379" t="s">
        <v>3783</v>
      </c>
      <c r="HRH4388" s="379" t="s">
        <v>3783</v>
      </c>
      <c r="HRI4388" s="379" t="s">
        <v>3783</v>
      </c>
      <c r="HRJ4388" s="379" t="s">
        <v>3783</v>
      </c>
      <c r="HRK4388" s="379" t="s">
        <v>3783</v>
      </c>
      <c r="HRL4388" s="379" t="s">
        <v>3783</v>
      </c>
      <c r="HRM4388" s="379" t="s">
        <v>3783</v>
      </c>
      <c r="HRN4388" s="379" t="s">
        <v>3783</v>
      </c>
      <c r="HRO4388" s="379" t="s">
        <v>3783</v>
      </c>
      <c r="HRP4388" s="379" t="s">
        <v>3783</v>
      </c>
      <c r="HRQ4388" s="379" t="s">
        <v>3783</v>
      </c>
      <c r="HRR4388" s="379" t="s">
        <v>3783</v>
      </c>
      <c r="HRS4388" s="379" t="s">
        <v>3783</v>
      </c>
      <c r="HRT4388" s="379" t="s">
        <v>3783</v>
      </c>
      <c r="HRU4388" s="379" t="s">
        <v>3783</v>
      </c>
      <c r="HRV4388" s="379" t="s">
        <v>3783</v>
      </c>
      <c r="HRW4388" s="379" t="s">
        <v>3783</v>
      </c>
      <c r="HRX4388" s="379" t="s">
        <v>3783</v>
      </c>
      <c r="HRY4388" s="379" t="s">
        <v>3783</v>
      </c>
      <c r="HRZ4388" s="379" t="s">
        <v>3783</v>
      </c>
      <c r="HSA4388" s="379" t="s">
        <v>3783</v>
      </c>
      <c r="HSB4388" s="379" t="s">
        <v>3783</v>
      </c>
      <c r="HSC4388" s="379" t="s">
        <v>3783</v>
      </c>
      <c r="HSD4388" s="379" t="s">
        <v>3783</v>
      </c>
      <c r="HSE4388" s="379" t="s">
        <v>3783</v>
      </c>
      <c r="HSF4388" s="379" t="s">
        <v>3783</v>
      </c>
      <c r="HSG4388" s="379" t="s">
        <v>3783</v>
      </c>
      <c r="HSH4388" s="379" t="s">
        <v>3783</v>
      </c>
      <c r="HSI4388" s="379" t="s">
        <v>3783</v>
      </c>
      <c r="HSJ4388" s="379" t="s">
        <v>3783</v>
      </c>
      <c r="HSK4388" s="379" t="s">
        <v>3783</v>
      </c>
      <c r="HSL4388" s="379" t="s">
        <v>3783</v>
      </c>
      <c r="HSM4388" s="379" t="s">
        <v>3783</v>
      </c>
      <c r="HSN4388" s="379" t="s">
        <v>3783</v>
      </c>
      <c r="HSO4388" s="379" t="s">
        <v>3783</v>
      </c>
      <c r="HSP4388" s="379" t="s">
        <v>3783</v>
      </c>
      <c r="HSQ4388" s="379" t="s">
        <v>3783</v>
      </c>
      <c r="HSR4388" s="379" t="s">
        <v>3783</v>
      </c>
      <c r="HSS4388" s="379" t="s">
        <v>3783</v>
      </c>
      <c r="HST4388" s="379" t="s">
        <v>3783</v>
      </c>
      <c r="HSU4388" s="379" t="s">
        <v>3783</v>
      </c>
      <c r="HSV4388" s="379" t="s">
        <v>3783</v>
      </c>
      <c r="HSW4388" s="379" t="s">
        <v>3783</v>
      </c>
      <c r="HSX4388" s="379" t="s">
        <v>3783</v>
      </c>
      <c r="HSY4388" s="379" t="s">
        <v>3783</v>
      </c>
      <c r="HSZ4388" s="379" t="s">
        <v>3783</v>
      </c>
      <c r="HTA4388" s="379" t="s">
        <v>3783</v>
      </c>
      <c r="HTB4388" s="379" t="s">
        <v>3783</v>
      </c>
      <c r="HTC4388" s="379" t="s">
        <v>3783</v>
      </c>
      <c r="HTD4388" s="379" t="s">
        <v>3783</v>
      </c>
      <c r="HTE4388" s="379" t="s">
        <v>3783</v>
      </c>
      <c r="HTF4388" s="379" t="s">
        <v>3783</v>
      </c>
      <c r="HTG4388" s="379" t="s">
        <v>3783</v>
      </c>
      <c r="HTH4388" s="379" t="s">
        <v>3783</v>
      </c>
      <c r="HTI4388" s="379" t="s">
        <v>3783</v>
      </c>
      <c r="HTJ4388" s="379" t="s">
        <v>3783</v>
      </c>
      <c r="HTK4388" s="379" t="s">
        <v>3783</v>
      </c>
      <c r="HTL4388" s="379" t="s">
        <v>3783</v>
      </c>
      <c r="HTM4388" s="379" t="s">
        <v>3783</v>
      </c>
      <c r="HTN4388" s="379" t="s">
        <v>3783</v>
      </c>
      <c r="HTO4388" s="379" t="s">
        <v>3783</v>
      </c>
      <c r="HTP4388" s="379" t="s">
        <v>3783</v>
      </c>
      <c r="HTQ4388" s="379" t="s">
        <v>3783</v>
      </c>
      <c r="HTR4388" s="379" t="s">
        <v>3783</v>
      </c>
      <c r="HTS4388" s="379" t="s">
        <v>3783</v>
      </c>
      <c r="HTT4388" s="379" t="s">
        <v>3783</v>
      </c>
      <c r="HTU4388" s="379" t="s">
        <v>3783</v>
      </c>
      <c r="HTV4388" s="379" t="s">
        <v>3783</v>
      </c>
      <c r="HTW4388" s="379" t="s">
        <v>3783</v>
      </c>
      <c r="HTX4388" s="379" t="s">
        <v>3783</v>
      </c>
      <c r="HTY4388" s="379" t="s">
        <v>3783</v>
      </c>
      <c r="HTZ4388" s="379" t="s">
        <v>3783</v>
      </c>
      <c r="HUA4388" s="379" t="s">
        <v>3783</v>
      </c>
      <c r="HUB4388" s="379" t="s">
        <v>3783</v>
      </c>
      <c r="HUC4388" s="379" t="s">
        <v>3783</v>
      </c>
      <c r="HUD4388" s="379" t="s">
        <v>3783</v>
      </c>
      <c r="HUE4388" s="379" t="s">
        <v>3783</v>
      </c>
      <c r="HUF4388" s="379" t="s">
        <v>3783</v>
      </c>
      <c r="HUG4388" s="379" t="s">
        <v>3783</v>
      </c>
      <c r="HUH4388" s="379" t="s">
        <v>3783</v>
      </c>
      <c r="HUI4388" s="379" t="s">
        <v>3783</v>
      </c>
      <c r="HUJ4388" s="379" t="s">
        <v>3783</v>
      </c>
      <c r="HUK4388" s="379" t="s">
        <v>3783</v>
      </c>
      <c r="HUL4388" s="379" t="s">
        <v>3783</v>
      </c>
      <c r="HUM4388" s="379" t="s">
        <v>3783</v>
      </c>
      <c r="HUN4388" s="379" t="s">
        <v>3783</v>
      </c>
      <c r="HUO4388" s="379" t="s">
        <v>3783</v>
      </c>
      <c r="HUP4388" s="379" t="s">
        <v>3783</v>
      </c>
      <c r="HUQ4388" s="379" t="s">
        <v>3783</v>
      </c>
      <c r="HUR4388" s="379" t="s">
        <v>3783</v>
      </c>
      <c r="HUS4388" s="379" t="s">
        <v>3783</v>
      </c>
      <c r="HUT4388" s="379" t="s">
        <v>3783</v>
      </c>
      <c r="HUU4388" s="379" t="s">
        <v>3783</v>
      </c>
      <c r="HUV4388" s="379" t="s">
        <v>3783</v>
      </c>
      <c r="HUW4388" s="379" t="s">
        <v>3783</v>
      </c>
      <c r="HUX4388" s="379" t="s">
        <v>3783</v>
      </c>
      <c r="HUY4388" s="379" t="s">
        <v>3783</v>
      </c>
      <c r="HUZ4388" s="379" t="s">
        <v>3783</v>
      </c>
      <c r="HVA4388" s="379" t="s">
        <v>3783</v>
      </c>
      <c r="HVB4388" s="379" t="s">
        <v>3783</v>
      </c>
      <c r="HVC4388" s="379" t="s">
        <v>3783</v>
      </c>
      <c r="HVD4388" s="379" t="s">
        <v>3783</v>
      </c>
      <c r="HVE4388" s="379" t="s">
        <v>3783</v>
      </c>
      <c r="HVF4388" s="379" t="s">
        <v>3783</v>
      </c>
      <c r="HVG4388" s="379" t="s">
        <v>3783</v>
      </c>
      <c r="HVH4388" s="379" t="s">
        <v>3783</v>
      </c>
      <c r="HVI4388" s="379" t="s">
        <v>3783</v>
      </c>
      <c r="HVJ4388" s="379" t="s">
        <v>3783</v>
      </c>
      <c r="HVK4388" s="379" t="s">
        <v>3783</v>
      </c>
      <c r="HVL4388" s="379" t="s">
        <v>3783</v>
      </c>
      <c r="HVM4388" s="379" t="s">
        <v>3783</v>
      </c>
      <c r="HVN4388" s="379" t="s">
        <v>3783</v>
      </c>
      <c r="HVO4388" s="379" t="s">
        <v>3783</v>
      </c>
      <c r="HVP4388" s="379" t="s">
        <v>3783</v>
      </c>
      <c r="HVQ4388" s="379" t="s">
        <v>3783</v>
      </c>
      <c r="HVR4388" s="379" t="s">
        <v>3783</v>
      </c>
      <c r="HVS4388" s="379" t="s">
        <v>3783</v>
      </c>
      <c r="HVT4388" s="379" t="s">
        <v>3783</v>
      </c>
      <c r="HVU4388" s="379" t="s">
        <v>3783</v>
      </c>
      <c r="HVV4388" s="379" t="s">
        <v>3783</v>
      </c>
      <c r="HVW4388" s="379" t="s">
        <v>3783</v>
      </c>
      <c r="HVX4388" s="379" t="s">
        <v>3783</v>
      </c>
      <c r="HVY4388" s="379" t="s">
        <v>3783</v>
      </c>
      <c r="HVZ4388" s="379" t="s">
        <v>3783</v>
      </c>
      <c r="HWA4388" s="379" t="s">
        <v>3783</v>
      </c>
      <c r="HWB4388" s="379" t="s">
        <v>3783</v>
      </c>
      <c r="HWC4388" s="379" t="s">
        <v>3783</v>
      </c>
      <c r="HWD4388" s="379" t="s">
        <v>3783</v>
      </c>
      <c r="HWE4388" s="379" t="s">
        <v>3783</v>
      </c>
      <c r="HWF4388" s="379" t="s">
        <v>3783</v>
      </c>
      <c r="HWG4388" s="379" t="s">
        <v>3783</v>
      </c>
      <c r="HWH4388" s="379" t="s">
        <v>3783</v>
      </c>
      <c r="HWI4388" s="379" t="s">
        <v>3783</v>
      </c>
      <c r="HWJ4388" s="379" t="s">
        <v>3783</v>
      </c>
      <c r="HWK4388" s="379" t="s">
        <v>3783</v>
      </c>
      <c r="HWL4388" s="379" t="s">
        <v>3783</v>
      </c>
      <c r="HWM4388" s="379" t="s">
        <v>3783</v>
      </c>
      <c r="HWN4388" s="379" t="s">
        <v>3783</v>
      </c>
      <c r="HWO4388" s="379" t="s">
        <v>3783</v>
      </c>
      <c r="HWP4388" s="379" t="s">
        <v>3783</v>
      </c>
      <c r="HWQ4388" s="379" t="s">
        <v>3783</v>
      </c>
      <c r="HWR4388" s="379" t="s">
        <v>3783</v>
      </c>
      <c r="HWS4388" s="379" t="s">
        <v>3783</v>
      </c>
      <c r="HWT4388" s="379" t="s">
        <v>3783</v>
      </c>
      <c r="HWU4388" s="379" t="s">
        <v>3783</v>
      </c>
      <c r="HWV4388" s="379" t="s">
        <v>3783</v>
      </c>
      <c r="HWW4388" s="379" t="s">
        <v>3783</v>
      </c>
      <c r="HWX4388" s="379" t="s">
        <v>3783</v>
      </c>
      <c r="HWY4388" s="379" t="s">
        <v>3783</v>
      </c>
      <c r="HWZ4388" s="379" t="s">
        <v>3783</v>
      </c>
      <c r="HXA4388" s="379" t="s">
        <v>3783</v>
      </c>
      <c r="HXB4388" s="379" t="s">
        <v>3783</v>
      </c>
      <c r="HXC4388" s="379" t="s">
        <v>3783</v>
      </c>
      <c r="HXD4388" s="379" t="s">
        <v>3783</v>
      </c>
      <c r="HXE4388" s="379" t="s">
        <v>3783</v>
      </c>
      <c r="HXF4388" s="379" t="s">
        <v>3783</v>
      </c>
      <c r="HXG4388" s="379" t="s">
        <v>3783</v>
      </c>
      <c r="HXH4388" s="379" t="s">
        <v>3783</v>
      </c>
      <c r="HXI4388" s="379" t="s">
        <v>3783</v>
      </c>
      <c r="HXJ4388" s="379" t="s">
        <v>3783</v>
      </c>
      <c r="HXK4388" s="379" t="s">
        <v>3783</v>
      </c>
      <c r="HXL4388" s="379" t="s">
        <v>3783</v>
      </c>
      <c r="HXM4388" s="379" t="s">
        <v>3783</v>
      </c>
      <c r="HXN4388" s="379" t="s">
        <v>3783</v>
      </c>
      <c r="HXO4388" s="379" t="s">
        <v>3783</v>
      </c>
      <c r="HXP4388" s="379" t="s">
        <v>3783</v>
      </c>
      <c r="HXQ4388" s="379" t="s">
        <v>3783</v>
      </c>
      <c r="HXR4388" s="379" t="s">
        <v>3783</v>
      </c>
      <c r="HXS4388" s="379" t="s">
        <v>3783</v>
      </c>
      <c r="HXT4388" s="379" t="s">
        <v>3783</v>
      </c>
      <c r="HXU4388" s="379" t="s">
        <v>3783</v>
      </c>
      <c r="HXV4388" s="379" t="s">
        <v>3783</v>
      </c>
      <c r="HXW4388" s="379" t="s">
        <v>3783</v>
      </c>
      <c r="HXX4388" s="379" t="s">
        <v>3783</v>
      </c>
      <c r="HXY4388" s="379" t="s">
        <v>3783</v>
      </c>
      <c r="HXZ4388" s="379" t="s">
        <v>3783</v>
      </c>
      <c r="HYA4388" s="379" t="s">
        <v>3783</v>
      </c>
      <c r="HYB4388" s="379" t="s">
        <v>3783</v>
      </c>
      <c r="HYC4388" s="379" t="s">
        <v>3783</v>
      </c>
      <c r="HYD4388" s="379" t="s">
        <v>3783</v>
      </c>
      <c r="HYE4388" s="379" t="s">
        <v>3783</v>
      </c>
      <c r="HYF4388" s="379" t="s">
        <v>3783</v>
      </c>
      <c r="HYG4388" s="379" t="s">
        <v>3783</v>
      </c>
      <c r="HYH4388" s="379" t="s">
        <v>3783</v>
      </c>
      <c r="HYI4388" s="379" t="s">
        <v>3783</v>
      </c>
      <c r="HYJ4388" s="379" t="s">
        <v>3783</v>
      </c>
      <c r="HYK4388" s="379" t="s">
        <v>3783</v>
      </c>
      <c r="HYL4388" s="379" t="s">
        <v>3783</v>
      </c>
      <c r="HYM4388" s="379" t="s">
        <v>3783</v>
      </c>
      <c r="HYN4388" s="379" t="s">
        <v>3783</v>
      </c>
      <c r="HYO4388" s="379" t="s">
        <v>3783</v>
      </c>
      <c r="HYP4388" s="379" t="s">
        <v>3783</v>
      </c>
      <c r="HYQ4388" s="379" t="s">
        <v>3783</v>
      </c>
      <c r="HYR4388" s="379" t="s">
        <v>3783</v>
      </c>
      <c r="HYS4388" s="379" t="s">
        <v>3783</v>
      </c>
      <c r="HYT4388" s="379" t="s">
        <v>3783</v>
      </c>
      <c r="HYU4388" s="379" t="s">
        <v>3783</v>
      </c>
      <c r="HYV4388" s="379" t="s">
        <v>3783</v>
      </c>
      <c r="HYW4388" s="379" t="s">
        <v>3783</v>
      </c>
      <c r="HYX4388" s="379" t="s">
        <v>3783</v>
      </c>
      <c r="HYY4388" s="379" t="s">
        <v>3783</v>
      </c>
      <c r="HYZ4388" s="379" t="s">
        <v>3783</v>
      </c>
      <c r="HZA4388" s="379" t="s">
        <v>3783</v>
      </c>
      <c r="HZB4388" s="379" t="s">
        <v>3783</v>
      </c>
      <c r="HZC4388" s="379" t="s">
        <v>3783</v>
      </c>
      <c r="HZD4388" s="379" t="s">
        <v>3783</v>
      </c>
      <c r="HZE4388" s="379" t="s">
        <v>3783</v>
      </c>
      <c r="HZF4388" s="379" t="s">
        <v>3783</v>
      </c>
      <c r="HZG4388" s="379" t="s">
        <v>3783</v>
      </c>
      <c r="HZH4388" s="379" t="s">
        <v>3783</v>
      </c>
      <c r="HZI4388" s="379" t="s">
        <v>3783</v>
      </c>
      <c r="HZJ4388" s="379" t="s">
        <v>3783</v>
      </c>
      <c r="HZK4388" s="379" t="s">
        <v>3783</v>
      </c>
      <c r="HZL4388" s="379" t="s">
        <v>3783</v>
      </c>
      <c r="HZM4388" s="379" t="s">
        <v>3783</v>
      </c>
      <c r="HZN4388" s="379" t="s">
        <v>3783</v>
      </c>
      <c r="HZO4388" s="379" t="s">
        <v>3783</v>
      </c>
      <c r="HZP4388" s="379" t="s">
        <v>3783</v>
      </c>
      <c r="HZQ4388" s="379" t="s">
        <v>3783</v>
      </c>
      <c r="HZR4388" s="379" t="s">
        <v>3783</v>
      </c>
      <c r="HZS4388" s="379" t="s">
        <v>3783</v>
      </c>
      <c r="HZT4388" s="379" t="s">
        <v>3783</v>
      </c>
      <c r="HZU4388" s="379" t="s">
        <v>3783</v>
      </c>
      <c r="HZV4388" s="379" t="s">
        <v>3783</v>
      </c>
      <c r="HZW4388" s="379" t="s">
        <v>3783</v>
      </c>
      <c r="HZX4388" s="379" t="s">
        <v>3783</v>
      </c>
      <c r="HZY4388" s="379" t="s">
        <v>3783</v>
      </c>
      <c r="HZZ4388" s="379" t="s">
        <v>3783</v>
      </c>
      <c r="IAA4388" s="379" t="s">
        <v>3783</v>
      </c>
      <c r="IAB4388" s="379" t="s">
        <v>3783</v>
      </c>
      <c r="IAC4388" s="379" t="s">
        <v>3783</v>
      </c>
      <c r="IAD4388" s="379" t="s">
        <v>3783</v>
      </c>
      <c r="IAE4388" s="379" t="s">
        <v>3783</v>
      </c>
      <c r="IAF4388" s="379" t="s">
        <v>3783</v>
      </c>
      <c r="IAG4388" s="379" t="s">
        <v>3783</v>
      </c>
      <c r="IAH4388" s="379" t="s">
        <v>3783</v>
      </c>
      <c r="IAI4388" s="379" t="s">
        <v>3783</v>
      </c>
      <c r="IAJ4388" s="379" t="s">
        <v>3783</v>
      </c>
      <c r="IAK4388" s="379" t="s">
        <v>3783</v>
      </c>
      <c r="IAL4388" s="379" t="s">
        <v>3783</v>
      </c>
      <c r="IAM4388" s="379" t="s">
        <v>3783</v>
      </c>
      <c r="IAN4388" s="379" t="s">
        <v>3783</v>
      </c>
      <c r="IAO4388" s="379" t="s">
        <v>3783</v>
      </c>
      <c r="IAP4388" s="379" t="s">
        <v>3783</v>
      </c>
      <c r="IAQ4388" s="379" t="s">
        <v>3783</v>
      </c>
      <c r="IAR4388" s="379" t="s">
        <v>3783</v>
      </c>
      <c r="IAS4388" s="379" t="s">
        <v>3783</v>
      </c>
      <c r="IAT4388" s="379" t="s">
        <v>3783</v>
      </c>
      <c r="IAU4388" s="379" t="s">
        <v>3783</v>
      </c>
      <c r="IAV4388" s="379" t="s">
        <v>3783</v>
      </c>
      <c r="IAW4388" s="379" t="s">
        <v>3783</v>
      </c>
      <c r="IAX4388" s="379" t="s">
        <v>3783</v>
      </c>
      <c r="IAY4388" s="379" t="s">
        <v>3783</v>
      </c>
      <c r="IAZ4388" s="379" t="s">
        <v>3783</v>
      </c>
      <c r="IBA4388" s="379" t="s">
        <v>3783</v>
      </c>
      <c r="IBB4388" s="379" t="s">
        <v>3783</v>
      </c>
      <c r="IBC4388" s="379" t="s">
        <v>3783</v>
      </c>
      <c r="IBD4388" s="379" t="s">
        <v>3783</v>
      </c>
      <c r="IBE4388" s="379" t="s">
        <v>3783</v>
      </c>
      <c r="IBF4388" s="379" t="s">
        <v>3783</v>
      </c>
      <c r="IBG4388" s="379" t="s">
        <v>3783</v>
      </c>
      <c r="IBH4388" s="379" t="s">
        <v>3783</v>
      </c>
      <c r="IBI4388" s="379" t="s">
        <v>3783</v>
      </c>
      <c r="IBJ4388" s="379" t="s">
        <v>3783</v>
      </c>
      <c r="IBK4388" s="379" t="s">
        <v>3783</v>
      </c>
      <c r="IBL4388" s="379" t="s">
        <v>3783</v>
      </c>
      <c r="IBM4388" s="379" t="s">
        <v>3783</v>
      </c>
      <c r="IBN4388" s="379" t="s">
        <v>3783</v>
      </c>
      <c r="IBO4388" s="379" t="s">
        <v>3783</v>
      </c>
      <c r="IBP4388" s="379" t="s">
        <v>3783</v>
      </c>
      <c r="IBQ4388" s="379" t="s">
        <v>3783</v>
      </c>
      <c r="IBR4388" s="379" t="s">
        <v>3783</v>
      </c>
      <c r="IBS4388" s="379" t="s">
        <v>3783</v>
      </c>
      <c r="IBT4388" s="379" t="s">
        <v>3783</v>
      </c>
      <c r="IBU4388" s="379" t="s">
        <v>3783</v>
      </c>
      <c r="IBV4388" s="379" t="s">
        <v>3783</v>
      </c>
      <c r="IBW4388" s="379" t="s">
        <v>3783</v>
      </c>
      <c r="IBX4388" s="379" t="s">
        <v>3783</v>
      </c>
      <c r="IBY4388" s="379" t="s">
        <v>3783</v>
      </c>
      <c r="IBZ4388" s="379" t="s">
        <v>3783</v>
      </c>
      <c r="ICA4388" s="379" t="s">
        <v>3783</v>
      </c>
      <c r="ICB4388" s="379" t="s">
        <v>3783</v>
      </c>
      <c r="ICC4388" s="379" t="s">
        <v>3783</v>
      </c>
      <c r="ICD4388" s="379" t="s">
        <v>3783</v>
      </c>
      <c r="ICE4388" s="379" t="s">
        <v>3783</v>
      </c>
      <c r="ICF4388" s="379" t="s">
        <v>3783</v>
      </c>
      <c r="ICG4388" s="379" t="s">
        <v>3783</v>
      </c>
      <c r="ICH4388" s="379" t="s">
        <v>3783</v>
      </c>
      <c r="ICI4388" s="379" t="s">
        <v>3783</v>
      </c>
      <c r="ICJ4388" s="379" t="s">
        <v>3783</v>
      </c>
      <c r="ICK4388" s="379" t="s">
        <v>3783</v>
      </c>
      <c r="ICL4388" s="379" t="s">
        <v>3783</v>
      </c>
      <c r="ICM4388" s="379" t="s">
        <v>3783</v>
      </c>
      <c r="ICN4388" s="379" t="s">
        <v>3783</v>
      </c>
      <c r="ICO4388" s="379" t="s">
        <v>3783</v>
      </c>
      <c r="ICP4388" s="379" t="s">
        <v>3783</v>
      </c>
      <c r="ICQ4388" s="379" t="s">
        <v>3783</v>
      </c>
      <c r="ICR4388" s="379" t="s">
        <v>3783</v>
      </c>
      <c r="ICS4388" s="379" t="s">
        <v>3783</v>
      </c>
      <c r="ICT4388" s="379" t="s">
        <v>3783</v>
      </c>
      <c r="ICU4388" s="379" t="s">
        <v>3783</v>
      </c>
      <c r="ICV4388" s="379" t="s">
        <v>3783</v>
      </c>
      <c r="ICW4388" s="379" t="s">
        <v>3783</v>
      </c>
      <c r="ICX4388" s="379" t="s">
        <v>3783</v>
      </c>
      <c r="ICY4388" s="379" t="s">
        <v>3783</v>
      </c>
      <c r="ICZ4388" s="379" t="s">
        <v>3783</v>
      </c>
      <c r="IDA4388" s="379" t="s">
        <v>3783</v>
      </c>
      <c r="IDB4388" s="379" t="s">
        <v>3783</v>
      </c>
      <c r="IDC4388" s="379" t="s">
        <v>3783</v>
      </c>
      <c r="IDD4388" s="379" t="s">
        <v>3783</v>
      </c>
      <c r="IDE4388" s="379" t="s">
        <v>3783</v>
      </c>
      <c r="IDF4388" s="379" t="s">
        <v>3783</v>
      </c>
      <c r="IDG4388" s="379" t="s">
        <v>3783</v>
      </c>
      <c r="IDH4388" s="379" t="s">
        <v>3783</v>
      </c>
      <c r="IDI4388" s="379" t="s">
        <v>3783</v>
      </c>
      <c r="IDJ4388" s="379" t="s">
        <v>3783</v>
      </c>
      <c r="IDK4388" s="379" t="s">
        <v>3783</v>
      </c>
      <c r="IDL4388" s="379" t="s">
        <v>3783</v>
      </c>
      <c r="IDM4388" s="379" t="s">
        <v>3783</v>
      </c>
      <c r="IDN4388" s="379" t="s">
        <v>3783</v>
      </c>
      <c r="IDO4388" s="379" t="s">
        <v>3783</v>
      </c>
      <c r="IDP4388" s="379" t="s">
        <v>3783</v>
      </c>
      <c r="IDQ4388" s="379" t="s">
        <v>3783</v>
      </c>
      <c r="IDR4388" s="379" t="s">
        <v>3783</v>
      </c>
      <c r="IDS4388" s="379" t="s">
        <v>3783</v>
      </c>
      <c r="IDT4388" s="379" t="s">
        <v>3783</v>
      </c>
      <c r="IDU4388" s="379" t="s">
        <v>3783</v>
      </c>
      <c r="IDV4388" s="379" t="s">
        <v>3783</v>
      </c>
      <c r="IDW4388" s="379" t="s">
        <v>3783</v>
      </c>
      <c r="IDX4388" s="379" t="s">
        <v>3783</v>
      </c>
      <c r="IDY4388" s="379" t="s">
        <v>3783</v>
      </c>
      <c r="IDZ4388" s="379" t="s">
        <v>3783</v>
      </c>
      <c r="IEA4388" s="379" t="s">
        <v>3783</v>
      </c>
      <c r="IEB4388" s="379" t="s">
        <v>3783</v>
      </c>
      <c r="IEC4388" s="379" t="s">
        <v>3783</v>
      </c>
      <c r="IED4388" s="379" t="s">
        <v>3783</v>
      </c>
      <c r="IEE4388" s="379" t="s">
        <v>3783</v>
      </c>
      <c r="IEF4388" s="379" t="s">
        <v>3783</v>
      </c>
      <c r="IEG4388" s="379" t="s">
        <v>3783</v>
      </c>
      <c r="IEH4388" s="379" t="s">
        <v>3783</v>
      </c>
      <c r="IEI4388" s="379" t="s">
        <v>3783</v>
      </c>
      <c r="IEJ4388" s="379" t="s">
        <v>3783</v>
      </c>
      <c r="IEK4388" s="379" t="s">
        <v>3783</v>
      </c>
      <c r="IEL4388" s="379" t="s">
        <v>3783</v>
      </c>
      <c r="IEM4388" s="379" t="s">
        <v>3783</v>
      </c>
      <c r="IEN4388" s="379" t="s">
        <v>3783</v>
      </c>
      <c r="IEO4388" s="379" t="s">
        <v>3783</v>
      </c>
      <c r="IEP4388" s="379" t="s">
        <v>3783</v>
      </c>
      <c r="IEQ4388" s="379" t="s">
        <v>3783</v>
      </c>
      <c r="IER4388" s="379" t="s">
        <v>3783</v>
      </c>
      <c r="IES4388" s="379" t="s">
        <v>3783</v>
      </c>
      <c r="IET4388" s="379" t="s">
        <v>3783</v>
      </c>
      <c r="IEU4388" s="379" t="s">
        <v>3783</v>
      </c>
      <c r="IEV4388" s="379" t="s">
        <v>3783</v>
      </c>
      <c r="IEW4388" s="379" t="s">
        <v>3783</v>
      </c>
      <c r="IEX4388" s="379" t="s">
        <v>3783</v>
      </c>
      <c r="IEY4388" s="379" t="s">
        <v>3783</v>
      </c>
      <c r="IEZ4388" s="379" t="s">
        <v>3783</v>
      </c>
      <c r="IFA4388" s="379" t="s">
        <v>3783</v>
      </c>
      <c r="IFB4388" s="379" t="s">
        <v>3783</v>
      </c>
      <c r="IFC4388" s="379" t="s">
        <v>3783</v>
      </c>
      <c r="IFD4388" s="379" t="s">
        <v>3783</v>
      </c>
      <c r="IFE4388" s="379" t="s">
        <v>3783</v>
      </c>
      <c r="IFF4388" s="379" t="s">
        <v>3783</v>
      </c>
      <c r="IFG4388" s="379" t="s">
        <v>3783</v>
      </c>
      <c r="IFH4388" s="379" t="s">
        <v>3783</v>
      </c>
      <c r="IFI4388" s="379" t="s">
        <v>3783</v>
      </c>
      <c r="IFJ4388" s="379" t="s">
        <v>3783</v>
      </c>
      <c r="IFK4388" s="379" t="s">
        <v>3783</v>
      </c>
      <c r="IFL4388" s="379" t="s">
        <v>3783</v>
      </c>
      <c r="IFM4388" s="379" t="s">
        <v>3783</v>
      </c>
      <c r="IFN4388" s="379" t="s">
        <v>3783</v>
      </c>
      <c r="IFO4388" s="379" t="s">
        <v>3783</v>
      </c>
      <c r="IFP4388" s="379" t="s">
        <v>3783</v>
      </c>
      <c r="IFQ4388" s="379" t="s">
        <v>3783</v>
      </c>
      <c r="IFR4388" s="379" t="s">
        <v>3783</v>
      </c>
      <c r="IFS4388" s="379" t="s">
        <v>3783</v>
      </c>
      <c r="IFT4388" s="379" t="s">
        <v>3783</v>
      </c>
      <c r="IFU4388" s="379" t="s">
        <v>3783</v>
      </c>
      <c r="IFV4388" s="379" t="s">
        <v>3783</v>
      </c>
      <c r="IFW4388" s="379" t="s">
        <v>3783</v>
      </c>
      <c r="IFX4388" s="379" t="s">
        <v>3783</v>
      </c>
      <c r="IFY4388" s="379" t="s">
        <v>3783</v>
      </c>
      <c r="IFZ4388" s="379" t="s">
        <v>3783</v>
      </c>
      <c r="IGA4388" s="379" t="s">
        <v>3783</v>
      </c>
      <c r="IGB4388" s="379" t="s">
        <v>3783</v>
      </c>
      <c r="IGC4388" s="379" t="s">
        <v>3783</v>
      </c>
      <c r="IGD4388" s="379" t="s">
        <v>3783</v>
      </c>
      <c r="IGE4388" s="379" t="s">
        <v>3783</v>
      </c>
      <c r="IGF4388" s="379" t="s">
        <v>3783</v>
      </c>
      <c r="IGG4388" s="379" t="s">
        <v>3783</v>
      </c>
      <c r="IGH4388" s="379" t="s">
        <v>3783</v>
      </c>
      <c r="IGI4388" s="379" t="s">
        <v>3783</v>
      </c>
      <c r="IGJ4388" s="379" t="s">
        <v>3783</v>
      </c>
      <c r="IGK4388" s="379" t="s">
        <v>3783</v>
      </c>
      <c r="IGL4388" s="379" t="s">
        <v>3783</v>
      </c>
      <c r="IGM4388" s="379" t="s">
        <v>3783</v>
      </c>
      <c r="IGN4388" s="379" t="s">
        <v>3783</v>
      </c>
      <c r="IGO4388" s="379" t="s">
        <v>3783</v>
      </c>
      <c r="IGP4388" s="379" t="s">
        <v>3783</v>
      </c>
      <c r="IGQ4388" s="379" t="s">
        <v>3783</v>
      </c>
      <c r="IGR4388" s="379" t="s">
        <v>3783</v>
      </c>
      <c r="IGS4388" s="379" t="s">
        <v>3783</v>
      </c>
      <c r="IGT4388" s="379" t="s">
        <v>3783</v>
      </c>
      <c r="IGU4388" s="379" t="s">
        <v>3783</v>
      </c>
      <c r="IGV4388" s="379" t="s">
        <v>3783</v>
      </c>
      <c r="IGW4388" s="379" t="s">
        <v>3783</v>
      </c>
      <c r="IGX4388" s="379" t="s">
        <v>3783</v>
      </c>
      <c r="IGY4388" s="379" t="s">
        <v>3783</v>
      </c>
      <c r="IGZ4388" s="379" t="s">
        <v>3783</v>
      </c>
      <c r="IHA4388" s="379" t="s">
        <v>3783</v>
      </c>
      <c r="IHB4388" s="379" t="s">
        <v>3783</v>
      </c>
      <c r="IHC4388" s="379" t="s">
        <v>3783</v>
      </c>
      <c r="IHD4388" s="379" t="s">
        <v>3783</v>
      </c>
      <c r="IHE4388" s="379" t="s">
        <v>3783</v>
      </c>
      <c r="IHF4388" s="379" t="s">
        <v>3783</v>
      </c>
      <c r="IHG4388" s="379" t="s">
        <v>3783</v>
      </c>
      <c r="IHH4388" s="379" t="s">
        <v>3783</v>
      </c>
      <c r="IHI4388" s="379" t="s">
        <v>3783</v>
      </c>
      <c r="IHJ4388" s="379" t="s">
        <v>3783</v>
      </c>
      <c r="IHK4388" s="379" t="s">
        <v>3783</v>
      </c>
      <c r="IHL4388" s="379" t="s">
        <v>3783</v>
      </c>
      <c r="IHM4388" s="379" t="s">
        <v>3783</v>
      </c>
      <c r="IHN4388" s="379" t="s">
        <v>3783</v>
      </c>
      <c r="IHO4388" s="379" t="s">
        <v>3783</v>
      </c>
      <c r="IHP4388" s="379" t="s">
        <v>3783</v>
      </c>
      <c r="IHQ4388" s="379" t="s">
        <v>3783</v>
      </c>
      <c r="IHR4388" s="379" t="s">
        <v>3783</v>
      </c>
      <c r="IHS4388" s="379" t="s">
        <v>3783</v>
      </c>
      <c r="IHT4388" s="379" t="s">
        <v>3783</v>
      </c>
      <c r="IHU4388" s="379" t="s">
        <v>3783</v>
      </c>
      <c r="IHV4388" s="379" t="s">
        <v>3783</v>
      </c>
      <c r="IHW4388" s="379" t="s">
        <v>3783</v>
      </c>
      <c r="IHX4388" s="379" t="s">
        <v>3783</v>
      </c>
      <c r="IHY4388" s="379" t="s">
        <v>3783</v>
      </c>
      <c r="IHZ4388" s="379" t="s">
        <v>3783</v>
      </c>
      <c r="IIA4388" s="379" t="s">
        <v>3783</v>
      </c>
      <c r="IIB4388" s="379" t="s">
        <v>3783</v>
      </c>
      <c r="IIC4388" s="379" t="s">
        <v>3783</v>
      </c>
      <c r="IID4388" s="379" t="s">
        <v>3783</v>
      </c>
      <c r="IIE4388" s="379" t="s">
        <v>3783</v>
      </c>
      <c r="IIF4388" s="379" t="s">
        <v>3783</v>
      </c>
      <c r="IIG4388" s="379" t="s">
        <v>3783</v>
      </c>
      <c r="IIH4388" s="379" t="s">
        <v>3783</v>
      </c>
      <c r="III4388" s="379" t="s">
        <v>3783</v>
      </c>
      <c r="IIJ4388" s="379" t="s">
        <v>3783</v>
      </c>
      <c r="IIK4388" s="379" t="s">
        <v>3783</v>
      </c>
      <c r="IIL4388" s="379" t="s">
        <v>3783</v>
      </c>
      <c r="IIM4388" s="379" t="s">
        <v>3783</v>
      </c>
      <c r="IIN4388" s="379" t="s">
        <v>3783</v>
      </c>
      <c r="IIO4388" s="379" t="s">
        <v>3783</v>
      </c>
      <c r="IIP4388" s="379" t="s">
        <v>3783</v>
      </c>
      <c r="IIQ4388" s="379" t="s">
        <v>3783</v>
      </c>
      <c r="IIR4388" s="379" t="s">
        <v>3783</v>
      </c>
      <c r="IIS4388" s="379" t="s">
        <v>3783</v>
      </c>
      <c r="IIT4388" s="379" t="s">
        <v>3783</v>
      </c>
      <c r="IIU4388" s="379" t="s">
        <v>3783</v>
      </c>
      <c r="IIV4388" s="379" t="s">
        <v>3783</v>
      </c>
      <c r="IIW4388" s="379" t="s">
        <v>3783</v>
      </c>
      <c r="IIX4388" s="379" t="s">
        <v>3783</v>
      </c>
      <c r="IIY4388" s="379" t="s">
        <v>3783</v>
      </c>
      <c r="IIZ4388" s="379" t="s">
        <v>3783</v>
      </c>
      <c r="IJA4388" s="379" t="s">
        <v>3783</v>
      </c>
      <c r="IJB4388" s="379" t="s">
        <v>3783</v>
      </c>
      <c r="IJC4388" s="379" t="s">
        <v>3783</v>
      </c>
      <c r="IJD4388" s="379" t="s">
        <v>3783</v>
      </c>
      <c r="IJE4388" s="379" t="s">
        <v>3783</v>
      </c>
      <c r="IJF4388" s="379" t="s">
        <v>3783</v>
      </c>
      <c r="IJG4388" s="379" t="s">
        <v>3783</v>
      </c>
      <c r="IJH4388" s="379" t="s">
        <v>3783</v>
      </c>
      <c r="IJI4388" s="379" t="s">
        <v>3783</v>
      </c>
      <c r="IJJ4388" s="379" t="s">
        <v>3783</v>
      </c>
      <c r="IJK4388" s="379" t="s">
        <v>3783</v>
      </c>
      <c r="IJL4388" s="379" t="s">
        <v>3783</v>
      </c>
      <c r="IJM4388" s="379" t="s">
        <v>3783</v>
      </c>
      <c r="IJN4388" s="379" t="s">
        <v>3783</v>
      </c>
      <c r="IJO4388" s="379" t="s">
        <v>3783</v>
      </c>
      <c r="IJP4388" s="379" t="s">
        <v>3783</v>
      </c>
      <c r="IJQ4388" s="379" t="s">
        <v>3783</v>
      </c>
      <c r="IJR4388" s="379" t="s">
        <v>3783</v>
      </c>
      <c r="IJS4388" s="379" t="s">
        <v>3783</v>
      </c>
      <c r="IJT4388" s="379" t="s">
        <v>3783</v>
      </c>
      <c r="IJU4388" s="379" t="s">
        <v>3783</v>
      </c>
      <c r="IJV4388" s="379" t="s">
        <v>3783</v>
      </c>
      <c r="IJW4388" s="379" t="s">
        <v>3783</v>
      </c>
      <c r="IJX4388" s="379" t="s">
        <v>3783</v>
      </c>
      <c r="IJY4388" s="379" t="s">
        <v>3783</v>
      </c>
      <c r="IJZ4388" s="379" t="s">
        <v>3783</v>
      </c>
      <c r="IKA4388" s="379" t="s">
        <v>3783</v>
      </c>
      <c r="IKB4388" s="379" t="s">
        <v>3783</v>
      </c>
      <c r="IKC4388" s="379" t="s">
        <v>3783</v>
      </c>
      <c r="IKD4388" s="379" t="s">
        <v>3783</v>
      </c>
      <c r="IKE4388" s="379" t="s">
        <v>3783</v>
      </c>
      <c r="IKF4388" s="379" t="s">
        <v>3783</v>
      </c>
      <c r="IKG4388" s="379" t="s">
        <v>3783</v>
      </c>
      <c r="IKH4388" s="379" t="s">
        <v>3783</v>
      </c>
      <c r="IKI4388" s="379" t="s">
        <v>3783</v>
      </c>
      <c r="IKJ4388" s="379" t="s">
        <v>3783</v>
      </c>
      <c r="IKK4388" s="379" t="s">
        <v>3783</v>
      </c>
      <c r="IKL4388" s="379" t="s">
        <v>3783</v>
      </c>
      <c r="IKM4388" s="379" t="s">
        <v>3783</v>
      </c>
      <c r="IKN4388" s="379" t="s">
        <v>3783</v>
      </c>
      <c r="IKO4388" s="379" t="s">
        <v>3783</v>
      </c>
      <c r="IKP4388" s="379" t="s">
        <v>3783</v>
      </c>
      <c r="IKQ4388" s="379" t="s">
        <v>3783</v>
      </c>
      <c r="IKR4388" s="379" t="s">
        <v>3783</v>
      </c>
      <c r="IKS4388" s="379" t="s">
        <v>3783</v>
      </c>
      <c r="IKT4388" s="379" t="s">
        <v>3783</v>
      </c>
      <c r="IKU4388" s="379" t="s">
        <v>3783</v>
      </c>
      <c r="IKV4388" s="379" t="s">
        <v>3783</v>
      </c>
      <c r="IKW4388" s="379" t="s">
        <v>3783</v>
      </c>
      <c r="IKX4388" s="379" t="s">
        <v>3783</v>
      </c>
      <c r="IKY4388" s="379" t="s">
        <v>3783</v>
      </c>
      <c r="IKZ4388" s="379" t="s">
        <v>3783</v>
      </c>
      <c r="ILA4388" s="379" t="s">
        <v>3783</v>
      </c>
      <c r="ILB4388" s="379" t="s">
        <v>3783</v>
      </c>
      <c r="ILC4388" s="379" t="s">
        <v>3783</v>
      </c>
      <c r="ILD4388" s="379" t="s">
        <v>3783</v>
      </c>
      <c r="ILE4388" s="379" t="s">
        <v>3783</v>
      </c>
      <c r="ILF4388" s="379" t="s">
        <v>3783</v>
      </c>
      <c r="ILG4388" s="379" t="s">
        <v>3783</v>
      </c>
      <c r="ILH4388" s="379" t="s">
        <v>3783</v>
      </c>
      <c r="ILI4388" s="379" t="s">
        <v>3783</v>
      </c>
      <c r="ILJ4388" s="379" t="s">
        <v>3783</v>
      </c>
      <c r="ILK4388" s="379" t="s">
        <v>3783</v>
      </c>
      <c r="ILL4388" s="379" t="s">
        <v>3783</v>
      </c>
      <c r="ILM4388" s="379" t="s">
        <v>3783</v>
      </c>
      <c r="ILN4388" s="379" t="s">
        <v>3783</v>
      </c>
      <c r="ILO4388" s="379" t="s">
        <v>3783</v>
      </c>
      <c r="ILP4388" s="379" t="s">
        <v>3783</v>
      </c>
      <c r="ILQ4388" s="379" t="s">
        <v>3783</v>
      </c>
      <c r="ILR4388" s="379" t="s">
        <v>3783</v>
      </c>
      <c r="ILS4388" s="379" t="s">
        <v>3783</v>
      </c>
      <c r="ILT4388" s="379" t="s">
        <v>3783</v>
      </c>
      <c r="ILU4388" s="379" t="s">
        <v>3783</v>
      </c>
      <c r="ILV4388" s="379" t="s">
        <v>3783</v>
      </c>
      <c r="ILW4388" s="379" t="s">
        <v>3783</v>
      </c>
      <c r="ILX4388" s="379" t="s">
        <v>3783</v>
      </c>
      <c r="ILY4388" s="379" t="s">
        <v>3783</v>
      </c>
      <c r="ILZ4388" s="379" t="s">
        <v>3783</v>
      </c>
      <c r="IMA4388" s="379" t="s">
        <v>3783</v>
      </c>
      <c r="IMB4388" s="379" t="s">
        <v>3783</v>
      </c>
      <c r="IMC4388" s="379" t="s">
        <v>3783</v>
      </c>
      <c r="IMD4388" s="379" t="s">
        <v>3783</v>
      </c>
      <c r="IME4388" s="379" t="s">
        <v>3783</v>
      </c>
      <c r="IMF4388" s="379" t="s">
        <v>3783</v>
      </c>
      <c r="IMG4388" s="379" t="s">
        <v>3783</v>
      </c>
      <c r="IMH4388" s="379" t="s">
        <v>3783</v>
      </c>
      <c r="IMI4388" s="379" t="s">
        <v>3783</v>
      </c>
      <c r="IMJ4388" s="379" t="s">
        <v>3783</v>
      </c>
      <c r="IMK4388" s="379" t="s">
        <v>3783</v>
      </c>
      <c r="IML4388" s="379" t="s">
        <v>3783</v>
      </c>
      <c r="IMM4388" s="379" t="s">
        <v>3783</v>
      </c>
      <c r="IMN4388" s="379" t="s">
        <v>3783</v>
      </c>
      <c r="IMO4388" s="379" t="s">
        <v>3783</v>
      </c>
      <c r="IMP4388" s="379" t="s">
        <v>3783</v>
      </c>
      <c r="IMQ4388" s="379" t="s">
        <v>3783</v>
      </c>
      <c r="IMR4388" s="379" t="s">
        <v>3783</v>
      </c>
      <c r="IMS4388" s="379" t="s">
        <v>3783</v>
      </c>
      <c r="IMT4388" s="379" t="s">
        <v>3783</v>
      </c>
      <c r="IMU4388" s="379" t="s">
        <v>3783</v>
      </c>
      <c r="IMV4388" s="379" t="s">
        <v>3783</v>
      </c>
      <c r="IMW4388" s="379" t="s">
        <v>3783</v>
      </c>
      <c r="IMX4388" s="379" t="s">
        <v>3783</v>
      </c>
      <c r="IMY4388" s="379" t="s">
        <v>3783</v>
      </c>
      <c r="IMZ4388" s="379" t="s">
        <v>3783</v>
      </c>
      <c r="INA4388" s="379" t="s">
        <v>3783</v>
      </c>
      <c r="INB4388" s="379" t="s">
        <v>3783</v>
      </c>
      <c r="INC4388" s="379" t="s">
        <v>3783</v>
      </c>
      <c r="IND4388" s="379" t="s">
        <v>3783</v>
      </c>
      <c r="INE4388" s="379" t="s">
        <v>3783</v>
      </c>
      <c r="INF4388" s="379" t="s">
        <v>3783</v>
      </c>
      <c r="ING4388" s="379" t="s">
        <v>3783</v>
      </c>
      <c r="INH4388" s="379" t="s">
        <v>3783</v>
      </c>
      <c r="INI4388" s="379" t="s">
        <v>3783</v>
      </c>
      <c r="INJ4388" s="379" t="s">
        <v>3783</v>
      </c>
      <c r="INK4388" s="379" t="s">
        <v>3783</v>
      </c>
      <c r="INL4388" s="379" t="s">
        <v>3783</v>
      </c>
      <c r="INM4388" s="379" t="s">
        <v>3783</v>
      </c>
      <c r="INN4388" s="379" t="s">
        <v>3783</v>
      </c>
      <c r="INO4388" s="379" t="s">
        <v>3783</v>
      </c>
      <c r="INP4388" s="379" t="s">
        <v>3783</v>
      </c>
      <c r="INQ4388" s="379" t="s">
        <v>3783</v>
      </c>
      <c r="INR4388" s="379" t="s">
        <v>3783</v>
      </c>
      <c r="INS4388" s="379" t="s">
        <v>3783</v>
      </c>
      <c r="INT4388" s="379" t="s">
        <v>3783</v>
      </c>
      <c r="INU4388" s="379" t="s">
        <v>3783</v>
      </c>
      <c r="INV4388" s="379" t="s">
        <v>3783</v>
      </c>
      <c r="INW4388" s="379" t="s">
        <v>3783</v>
      </c>
      <c r="INX4388" s="379" t="s">
        <v>3783</v>
      </c>
      <c r="INY4388" s="379" t="s">
        <v>3783</v>
      </c>
      <c r="INZ4388" s="379" t="s">
        <v>3783</v>
      </c>
      <c r="IOA4388" s="379" t="s">
        <v>3783</v>
      </c>
      <c r="IOB4388" s="379" t="s">
        <v>3783</v>
      </c>
      <c r="IOC4388" s="379" t="s">
        <v>3783</v>
      </c>
      <c r="IOD4388" s="379" t="s">
        <v>3783</v>
      </c>
      <c r="IOE4388" s="379" t="s">
        <v>3783</v>
      </c>
      <c r="IOF4388" s="379" t="s">
        <v>3783</v>
      </c>
      <c r="IOG4388" s="379" t="s">
        <v>3783</v>
      </c>
      <c r="IOH4388" s="379" t="s">
        <v>3783</v>
      </c>
      <c r="IOI4388" s="379" t="s">
        <v>3783</v>
      </c>
      <c r="IOJ4388" s="379" t="s">
        <v>3783</v>
      </c>
      <c r="IOK4388" s="379" t="s">
        <v>3783</v>
      </c>
      <c r="IOL4388" s="379" t="s">
        <v>3783</v>
      </c>
      <c r="IOM4388" s="379" t="s">
        <v>3783</v>
      </c>
      <c r="ION4388" s="379" t="s">
        <v>3783</v>
      </c>
      <c r="IOO4388" s="379" t="s">
        <v>3783</v>
      </c>
      <c r="IOP4388" s="379" t="s">
        <v>3783</v>
      </c>
      <c r="IOQ4388" s="379" t="s">
        <v>3783</v>
      </c>
      <c r="IOR4388" s="379" t="s">
        <v>3783</v>
      </c>
      <c r="IOS4388" s="379" t="s">
        <v>3783</v>
      </c>
      <c r="IOT4388" s="379" t="s">
        <v>3783</v>
      </c>
      <c r="IOU4388" s="379" t="s">
        <v>3783</v>
      </c>
      <c r="IOV4388" s="379" t="s">
        <v>3783</v>
      </c>
      <c r="IOW4388" s="379" t="s">
        <v>3783</v>
      </c>
      <c r="IOX4388" s="379" t="s">
        <v>3783</v>
      </c>
      <c r="IOY4388" s="379" t="s">
        <v>3783</v>
      </c>
      <c r="IOZ4388" s="379" t="s">
        <v>3783</v>
      </c>
      <c r="IPA4388" s="379" t="s">
        <v>3783</v>
      </c>
      <c r="IPB4388" s="379" t="s">
        <v>3783</v>
      </c>
      <c r="IPC4388" s="379" t="s">
        <v>3783</v>
      </c>
      <c r="IPD4388" s="379" t="s">
        <v>3783</v>
      </c>
      <c r="IPE4388" s="379" t="s">
        <v>3783</v>
      </c>
      <c r="IPF4388" s="379" t="s">
        <v>3783</v>
      </c>
      <c r="IPG4388" s="379" t="s">
        <v>3783</v>
      </c>
      <c r="IPH4388" s="379" t="s">
        <v>3783</v>
      </c>
      <c r="IPI4388" s="379" t="s">
        <v>3783</v>
      </c>
      <c r="IPJ4388" s="379" t="s">
        <v>3783</v>
      </c>
      <c r="IPK4388" s="379" t="s">
        <v>3783</v>
      </c>
      <c r="IPL4388" s="379" t="s">
        <v>3783</v>
      </c>
      <c r="IPM4388" s="379" t="s">
        <v>3783</v>
      </c>
      <c r="IPN4388" s="379" t="s">
        <v>3783</v>
      </c>
      <c r="IPO4388" s="379" t="s">
        <v>3783</v>
      </c>
      <c r="IPP4388" s="379" t="s">
        <v>3783</v>
      </c>
      <c r="IPQ4388" s="379" t="s">
        <v>3783</v>
      </c>
      <c r="IPR4388" s="379" t="s">
        <v>3783</v>
      </c>
      <c r="IPS4388" s="379" t="s">
        <v>3783</v>
      </c>
      <c r="IPT4388" s="379" t="s">
        <v>3783</v>
      </c>
      <c r="IPU4388" s="379" t="s">
        <v>3783</v>
      </c>
      <c r="IPV4388" s="379" t="s">
        <v>3783</v>
      </c>
      <c r="IPW4388" s="379" t="s">
        <v>3783</v>
      </c>
      <c r="IPX4388" s="379" t="s">
        <v>3783</v>
      </c>
      <c r="IPY4388" s="379" t="s">
        <v>3783</v>
      </c>
      <c r="IPZ4388" s="379" t="s">
        <v>3783</v>
      </c>
      <c r="IQA4388" s="379" t="s">
        <v>3783</v>
      </c>
      <c r="IQB4388" s="379" t="s">
        <v>3783</v>
      </c>
      <c r="IQC4388" s="379" t="s">
        <v>3783</v>
      </c>
      <c r="IQD4388" s="379" t="s">
        <v>3783</v>
      </c>
      <c r="IQE4388" s="379" t="s">
        <v>3783</v>
      </c>
      <c r="IQF4388" s="379" t="s">
        <v>3783</v>
      </c>
      <c r="IQG4388" s="379" t="s">
        <v>3783</v>
      </c>
      <c r="IQH4388" s="379" t="s">
        <v>3783</v>
      </c>
      <c r="IQI4388" s="379" t="s">
        <v>3783</v>
      </c>
      <c r="IQJ4388" s="379" t="s">
        <v>3783</v>
      </c>
      <c r="IQK4388" s="379" t="s">
        <v>3783</v>
      </c>
      <c r="IQL4388" s="379" t="s">
        <v>3783</v>
      </c>
      <c r="IQM4388" s="379" t="s">
        <v>3783</v>
      </c>
      <c r="IQN4388" s="379" t="s">
        <v>3783</v>
      </c>
      <c r="IQO4388" s="379" t="s">
        <v>3783</v>
      </c>
      <c r="IQP4388" s="379" t="s">
        <v>3783</v>
      </c>
      <c r="IQQ4388" s="379" t="s">
        <v>3783</v>
      </c>
      <c r="IQR4388" s="379" t="s">
        <v>3783</v>
      </c>
      <c r="IQS4388" s="379" t="s">
        <v>3783</v>
      </c>
      <c r="IQT4388" s="379" t="s">
        <v>3783</v>
      </c>
      <c r="IQU4388" s="379" t="s">
        <v>3783</v>
      </c>
      <c r="IQV4388" s="379" t="s">
        <v>3783</v>
      </c>
      <c r="IQW4388" s="379" t="s">
        <v>3783</v>
      </c>
      <c r="IQX4388" s="379" t="s">
        <v>3783</v>
      </c>
      <c r="IQY4388" s="379" t="s">
        <v>3783</v>
      </c>
      <c r="IQZ4388" s="379" t="s">
        <v>3783</v>
      </c>
      <c r="IRA4388" s="379" t="s">
        <v>3783</v>
      </c>
      <c r="IRB4388" s="379" t="s">
        <v>3783</v>
      </c>
      <c r="IRC4388" s="379" t="s">
        <v>3783</v>
      </c>
      <c r="IRD4388" s="379" t="s">
        <v>3783</v>
      </c>
      <c r="IRE4388" s="379" t="s">
        <v>3783</v>
      </c>
      <c r="IRF4388" s="379" t="s">
        <v>3783</v>
      </c>
      <c r="IRG4388" s="379" t="s">
        <v>3783</v>
      </c>
      <c r="IRH4388" s="379" t="s">
        <v>3783</v>
      </c>
      <c r="IRI4388" s="379" t="s">
        <v>3783</v>
      </c>
      <c r="IRJ4388" s="379" t="s">
        <v>3783</v>
      </c>
      <c r="IRK4388" s="379" t="s">
        <v>3783</v>
      </c>
      <c r="IRL4388" s="379" t="s">
        <v>3783</v>
      </c>
      <c r="IRM4388" s="379" t="s">
        <v>3783</v>
      </c>
      <c r="IRN4388" s="379" t="s">
        <v>3783</v>
      </c>
      <c r="IRO4388" s="379" t="s">
        <v>3783</v>
      </c>
      <c r="IRP4388" s="379" t="s">
        <v>3783</v>
      </c>
      <c r="IRQ4388" s="379" t="s">
        <v>3783</v>
      </c>
      <c r="IRR4388" s="379" t="s">
        <v>3783</v>
      </c>
      <c r="IRS4388" s="379" t="s">
        <v>3783</v>
      </c>
      <c r="IRT4388" s="379" t="s">
        <v>3783</v>
      </c>
      <c r="IRU4388" s="379" t="s">
        <v>3783</v>
      </c>
      <c r="IRV4388" s="379" t="s">
        <v>3783</v>
      </c>
      <c r="IRW4388" s="379" t="s">
        <v>3783</v>
      </c>
      <c r="IRX4388" s="379" t="s">
        <v>3783</v>
      </c>
      <c r="IRY4388" s="379" t="s">
        <v>3783</v>
      </c>
      <c r="IRZ4388" s="379" t="s">
        <v>3783</v>
      </c>
      <c r="ISA4388" s="379" t="s">
        <v>3783</v>
      </c>
      <c r="ISB4388" s="379" t="s">
        <v>3783</v>
      </c>
      <c r="ISC4388" s="379" t="s">
        <v>3783</v>
      </c>
      <c r="ISD4388" s="379" t="s">
        <v>3783</v>
      </c>
      <c r="ISE4388" s="379" t="s">
        <v>3783</v>
      </c>
      <c r="ISF4388" s="379" t="s">
        <v>3783</v>
      </c>
      <c r="ISG4388" s="379" t="s">
        <v>3783</v>
      </c>
      <c r="ISH4388" s="379" t="s">
        <v>3783</v>
      </c>
      <c r="ISI4388" s="379" t="s">
        <v>3783</v>
      </c>
      <c r="ISJ4388" s="379" t="s">
        <v>3783</v>
      </c>
      <c r="ISK4388" s="379" t="s">
        <v>3783</v>
      </c>
      <c r="ISL4388" s="379" t="s">
        <v>3783</v>
      </c>
      <c r="ISM4388" s="379" t="s">
        <v>3783</v>
      </c>
      <c r="ISN4388" s="379" t="s">
        <v>3783</v>
      </c>
      <c r="ISO4388" s="379" t="s">
        <v>3783</v>
      </c>
      <c r="ISP4388" s="379" t="s">
        <v>3783</v>
      </c>
      <c r="ISQ4388" s="379" t="s">
        <v>3783</v>
      </c>
      <c r="ISR4388" s="379" t="s">
        <v>3783</v>
      </c>
      <c r="ISS4388" s="379" t="s">
        <v>3783</v>
      </c>
      <c r="IST4388" s="379" t="s">
        <v>3783</v>
      </c>
      <c r="ISU4388" s="379" t="s">
        <v>3783</v>
      </c>
      <c r="ISV4388" s="379" t="s">
        <v>3783</v>
      </c>
      <c r="ISW4388" s="379" t="s">
        <v>3783</v>
      </c>
      <c r="ISX4388" s="379" t="s">
        <v>3783</v>
      </c>
      <c r="ISY4388" s="379" t="s">
        <v>3783</v>
      </c>
      <c r="ISZ4388" s="379" t="s">
        <v>3783</v>
      </c>
      <c r="ITA4388" s="379" t="s">
        <v>3783</v>
      </c>
      <c r="ITB4388" s="379" t="s">
        <v>3783</v>
      </c>
      <c r="ITC4388" s="379" t="s">
        <v>3783</v>
      </c>
      <c r="ITD4388" s="379" t="s">
        <v>3783</v>
      </c>
      <c r="ITE4388" s="379" t="s">
        <v>3783</v>
      </c>
      <c r="ITF4388" s="379" t="s">
        <v>3783</v>
      </c>
      <c r="ITG4388" s="379" t="s">
        <v>3783</v>
      </c>
      <c r="ITH4388" s="379" t="s">
        <v>3783</v>
      </c>
      <c r="ITI4388" s="379" t="s">
        <v>3783</v>
      </c>
      <c r="ITJ4388" s="379" t="s">
        <v>3783</v>
      </c>
      <c r="ITK4388" s="379" t="s">
        <v>3783</v>
      </c>
      <c r="ITL4388" s="379" t="s">
        <v>3783</v>
      </c>
      <c r="ITM4388" s="379" t="s">
        <v>3783</v>
      </c>
      <c r="ITN4388" s="379" t="s">
        <v>3783</v>
      </c>
      <c r="ITO4388" s="379" t="s">
        <v>3783</v>
      </c>
      <c r="ITP4388" s="379" t="s">
        <v>3783</v>
      </c>
      <c r="ITQ4388" s="379" t="s">
        <v>3783</v>
      </c>
      <c r="ITR4388" s="379" t="s">
        <v>3783</v>
      </c>
      <c r="ITS4388" s="379" t="s">
        <v>3783</v>
      </c>
      <c r="ITT4388" s="379" t="s">
        <v>3783</v>
      </c>
      <c r="ITU4388" s="379" t="s">
        <v>3783</v>
      </c>
      <c r="ITV4388" s="379" t="s">
        <v>3783</v>
      </c>
      <c r="ITW4388" s="379" t="s">
        <v>3783</v>
      </c>
      <c r="ITX4388" s="379" t="s">
        <v>3783</v>
      </c>
      <c r="ITY4388" s="379" t="s">
        <v>3783</v>
      </c>
      <c r="ITZ4388" s="379" t="s">
        <v>3783</v>
      </c>
      <c r="IUA4388" s="379" t="s">
        <v>3783</v>
      </c>
      <c r="IUB4388" s="379" t="s">
        <v>3783</v>
      </c>
      <c r="IUC4388" s="379" t="s">
        <v>3783</v>
      </c>
      <c r="IUD4388" s="379" t="s">
        <v>3783</v>
      </c>
      <c r="IUE4388" s="379" t="s">
        <v>3783</v>
      </c>
      <c r="IUF4388" s="379" t="s">
        <v>3783</v>
      </c>
      <c r="IUG4388" s="379" t="s">
        <v>3783</v>
      </c>
      <c r="IUH4388" s="379" t="s">
        <v>3783</v>
      </c>
      <c r="IUI4388" s="379" t="s">
        <v>3783</v>
      </c>
      <c r="IUJ4388" s="379" t="s">
        <v>3783</v>
      </c>
      <c r="IUK4388" s="379" t="s">
        <v>3783</v>
      </c>
      <c r="IUL4388" s="379" t="s">
        <v>3783</v>
      </c>
      <c r="IUM4388" s="379" t="s">
        <v>3783</v>
      </c>
      <c r="IUN4388" s="379" t="s">
        <v>3783</v>
      </c>
      <c r="IUO4388" s="379" t="s">
        <v>3783</v>
      </c>
      <c r="IUP4388" s="379" t="s">
        <v>3783</v>
      </c>
      <c r="IUQ4388" s="379" t="s">
        <v>3783</v>
      </c>
      <c r="IUR4388" s="379" t="s">
        <v>3783</v>
      </c>
      <c r="IUS4388" s="379" t="s">
        <v>3783</v>
      </c>
      <c r="IUT4388" s="379" t="s">
        <v>3783</v>
      </c>
      <c r="IUU4388" s="379" t="s">
        <v>3783</v>
      </c>
      <c r="IUV4388" s="379" t="s">
        <v>3783</v>
      </c>
      <c r="IUW4388" s="379" t="s">
        <v>3783</v>
      </c>
      <c r="IUX4388" s="379" t="s">
        <v>3783</v>
      </c>
      <c r="IUY4388" s="379" t="s">
        <v>3783</v>
      </c>
      <c r="IUZ4388" s="379" t="s">
        <v>3783</v>
      </c>
      <c r="IVA4388" s="379" t="s">
        <v>3783</v>
      </c>
      <c r="IVB4388" s="379" t="s">
        <v>3783</v>
      </c>
      <c r="IVC4388" s="379" t="s">
        <v>3783</v>
      </c>
      <c r="IVD4388" s="379" t="s">
        <v>3783</v>
      </c>
      <c r="IVE4388" s="379" t="s">
        <v>3783</v>
      </c>
      <c r="IVF4388" s="379" t="s">
        <v>3783</v>
      </c>
      <c r="IVG4388" s="379" t="s">
        <v>3783</v>
      </c>
      <c r="IVH4388" s="379" t="s">
        <v>3783</v>
      </c>
      <c r="IVI4388" s="379" t="s">
        <v>3783</v>
      </c>
      <c r="IVJ4388" s="379" t="s">
        <v>3783</v>
      </c>
      <c r="IVK4388" s="379" t="s">
        <v>3783</v>
      </c>
      <c r="IVL4388" s="379" t="s">
        <v>3783</v>
      </c>
      <c r="IVM4388" s="379" t="s">
        <v>3783</v>
      </c>
      <c r="IVN4388" s="379" t="s">
        <v>3783</v>
      </c>
      <c r="IVO4388" s="379" t="s">
        <v>3783</v>
      </c>
      <c r="IVP4388" s="379" t="s">
        <v>3783</v>
      </c>
      <c r="IVQ4388" s="379" t="s">
        <v>3783</v>
      </c>
      <c r="IVR4388" s="379" t="s">
        <v>3783</v>
      </c>
      <c r="IVS4388" s="379" t="s">
        <v>3783</v>
      </c>
      <c r="IVT4388" s="379" t="s">
        <v>3783</v>
      </c>
      <c r="IVU4388" s="379" t="s">
        <v>3783</v>
      </c>
      <c r="IVV4388" s="379" t="s">
        <v>3783</v>
      </c>
      <c r="IVW4388" s="379" t="s">
        <v>3783</v>
      </c>
      <c r="IVX4388" s="379" t="s">
        <v>3783</v>
      </c>
      <c r="IVY4388" s="379" t="s">
        <v>3783</v>
      </c>
      <c r="IVZ4388" s="379" t="s">
        <v>3783</v>
      </c>
      <c r="IWA4388" s="379" t="s">
        <v>3783</v>
      </c>
      <c r="IWB4388" s="379" t="s">
        <v>3783</v>
      </c>
      <c r="IWC4388" s="379" t="s">
        <v>3783</v>
      </c>
      <c r="IWD4388" s="379" t="s">
        <v>3783</v>
      </c>
      <c r="IWE4388" s="379" t="s">
        <v>3783</v>
      </c>
      <c r="IWF4388" s="379" t="s">
        <v>3783</v>
      </c>
      <c r="IWG4388" s="379" t="s">
        <v>3783</v>
      </c>
      <c r="IWH4388" s="379" t="s">
        <v>3783</v>
      </c>
      <c r="IWI4388" s="379" t="s">
        <v>3783</v>
      </c>
      <c r="IWJ4388" s="379" t="s">
        <v>3783</v>
      </c>
      <c r="IWK4388" s="379" t="s">
        <v>3783</v>
      </c>
      <c r="IWL4388" s="379" t="s">
        <v>3783</v>
      </c>
      <c r="IWM4388" s="379" t="s">
        <v>3783</v>
      </c>
      <c r="IWN4388" s="379" t="s">
        <v>3783</v>
      </c>
      <c r="IWO4388" s="379" t="s">
        <v>3783</v>
      </c>
      <c r="IWP4388" s="379" t="s">
        <v>3783</v>
      </c>
      <c r="IWQ4388" s="379" t="s">
        <v>3783</v>
      </c>
      <c r="IWR4388" s="379" t="s">
        <v>3783</v>
      </c>
      <c r="IWS4388" s="379" t="s">
        <v>3783</v>
      </c>
      <c r="IWT4388" s="379" t="s">
        <v>3783</v>
      </c>
      <c r="IWU4388" s="379" t="s">
        <v>3783</v>
      </c>
      <c r="IWV4388" s="379" t="s">
        <v>3783</v>
      </c>
      <c r="IWW4388" s="379" t="s">
        <v>3783</v>
      </c>
      <c r="IWX4388" s="379" t="s">
        <v>3783</v>
      </c>
      <c r="IWY4388" s="379" t="s">
        <v>3783</v>
      </c>
      <c r="IWZ4388" s="379" t="s">
        <v>3783</v>
      </c>
      <c r="IXA4388" s="379" t="s">
        <v>3783</v>
      </c>
      <c r="IXB4388" s="379" t="s">
        <v>3783</v>
      </c>
      <c r="IXC4388" s="379" t="s">
        <v>3783</v>
      </c>
      <c r="IXD4388" s="379" t="s">
        <v>3783</v>
      </c>
      <c r="IXE4388" s="379" t="s">
        <v>3783</v>
      </c>
      <c r="IXF4388" s="379" t="s">
        <v>3783</v>
      </c>
      <c r="IXG4388" s="379" t="s">
        <v>3783</v>
      </c>
      <c r="IXH4388" s="379" t="s">
        <v>3783</v>
      </c>
      <c r="IXI4388" s="379" t="s">
        <v>3783</v>
      </c>
      <c r="IXJ4388" s="379" t="s">
        <v>3783</v>
      </c>
      <c r="IXK4388" s="379" t="s">
        <v>3783</v>
      </c>
      <c r="IXL4388" s="379" t="s">
        <v>3783</v>
      </c>
      <c r="IXM4388" s="379" t="s">
        <v>3783</v>
      </c>
      <c r="IXN4388" s="379" t="s">
        <v>3783</v>
      </c>
      <c r="IXO4388" s="379" t="s">
        <v>3783</v>
      </c>
      <c r="IXP4388" s="379" t="s">
        <v>3783</v>
      </c>
      <c r="IXQ4388" s="379" t="s">
        <v>3783</v>
      </c>
      <c r="IXR4388" s="379" t="s">
        <v>3783</v>
      </c>
      <c r="IXS4388" s="379" t="s">
        <v>3783</v>
      </c>
      <c r="IXT4388" s="379" t="s">
        <v>3783</v>
      </c>
      <c r="IXU4388" s="379" t="s">
        <v>3783</v>
      </c>
      <c r="IXV4388" s="379" t="s">
        <v>3783</v>
      </c>
      <c r="IXW4388" s="379" t="s">
        <v>3783</v>
      </c>
      <c r="IXX4388" s="379" t="s">
        <v>3783</v>
      </c>
      <c r="IXY4388" s="379" t="s">
        <v>3783</v>
      </c>
      <c r="IXZ4388" s="379" t="s">
        <v>3783</v>
      </c>
      <c r="IYA4388" s="379" t="s">
        <v>3783</v>
      </c>
      <c r="IYB4388" s="379" t="s">
        <v>3783</v>
      </c>
      <c r="IYC4388" s="379" t="s">
        <v>3783</v>
      </c>
      <c r="IYD4388" s="379" t="s">
        <v>3783</v>
      </c>
      <c r="IYE4388" s="379" t="s">
        <v>3783</v>
      </c>
      <c r="IYF4388" s="379" t="s">
        <v>3783</v>
      </c>
      <c r="IYG4388" s="379" t="s">
        <v>3783</v>
      </c>
      <c r="IYH4388" s="379" t="s">
        <v>3783</v>
      </c>
      <c r="IYI4388" s="379" t="s">
        <v>3783</v>
      </c>
      <c r="IYJ4388" s="379" t="s">
        <v>3783</v>
      </c>
      <c r="IYK4388" s="379" t="s">
        <v>3783</v>
      </c>
      <c r="IYL4388" s="379" t="s">
        <v>3783</v>
      </c>
      <c r="IYM4388" s="379" t="s">
        <v>3783</v>
      </c>
      <c r="IYN4388" s="379" t="s">
        <v>3783</v>
      </c>
      <c r="IYO4388" s="379" t="s">
        <v>3783</v>
      </c>
      <c r="IYP4388" s="379" t="s">
        <v>3783</v>
      </c>
      <c r="IYQ4388" s="379" t="s">
        <v>3783</v>
      </c>
      <c r="IYR4388" s="379" t="s">
        <v>3783</v>
      </c>
      <c r="IYS4388" s="379" t="s">
        <v>3783</v>
      </c>
      <c r="IYT4388" s="379" t="s">
        <v>3783</v>
      </c>
      <c r="IYU4388" s="379" t="s">
        <v>3783</v>
      </c>
      <c r="IYV4388" s="379" t="s">
        <v>3783</v>
      </c>
      <c r="IYW4388" s="379" t="s">
        <v>3783</v>
      </c>
      <c r="IYX4388" s="379" t="s">
        <v>3783</v>
      </c>
      <c r="IYY4388" s="379" t="s">
        <v>3783</v>
      </c>
      <c r="IYZ4388" s="379" t="s">
        <v>3783</v>
      </c>
      <c r="IZA4388" s="379" t="s">
        <v>3783</v>
      </c>
      <c r="IZB4388" s="379" t="s">
        <v>3783</v>
      </c>
      <c r="IZC4388" s="379" t="s">
        <v>3783</v>
      </c>
      <c r="IZD4388" s="379" t="s">
        <v>3783</v>
      </c>
      <c r="IZE4388" s="379" t="s">
        <v>3783</v>
      </c>
      <c r="IZF4388" s="379" t="s">
        <v>3783</v>
      </c>
      <c r="IZG4388" s="379" t="s">
        <v>3783</v>
      </c>
      <c r="IZH4388" s="379" t="s">
        <v>3783</v>
      </c>
      <c r="IZI4388" s="379" t="s">
        <v>3783</v>
      </c>
      <c r="IZJ4388" s="379" t="s">
        <v>3783</v>
      </c>
      <c r="IZK4388" s="379" t="s">
        <v>3783</v>
      </c>
      <c r="IZL4388" s="379" t="s">
        <v>3783</v>
      </c>
      <c r="IZM4388" s="379" t="s">
        <v>3783</v>
      </c>
      <c r="IZN4388" s="379" t="s">
        <v>3783</v>
      </c>
      <c r="IZO4388" s="379" t="s">
        <v>3783</v>
      </c>
      <c r="IZP4388" s="379" t="s">
        <v>3783</v>
      </c>
      <c r="IZQ4388" s="379" t="s">
        <v>3783</v>
      </c>
      <c r="IZR4388" s="379" t="s">
        <v>3783</v>
      </c>
      <c r="IZS4388" s="379" t="s">
        <v>3783</v>
      </c>
      <c r="IZT4388" s="379" t="s">
        <v>3783</v>
      </c>
      <c r="IZU4388" s="379" t="s">
        <v>3783</v>
      </c>
      <c r="IZV4388" s="379" t="s">
        <v>3783</v>
      </c>
      <c r="IZW4388" s="379" t="s">
        <v>3783</v>
      </c>
      <c r="IZX4388" s="379" t="s">
        <v>3783</v>
      </c>
      <c r="IZY4388" s="379" t="s">
        <v>3783</v>
      </c>
      <c r="IZZ4388" s="379" t="s">
        <v>3783</v>
      </c>
      <c r="JAA4388" s="379" t="s">
        <v>3783</v>
      </c>
      <c r="JAB4388" s="379" t="s">
        <v>3783</v>
      </c>
      <c r="JAC4388" s="379" t="s">
        <v>3783</v>
      </c>
      <c r="JAD4388" s="379" t="s">
        <v>3783</v>
      </c>
      <c r="JAE4388" s="379" t="s">
        <v>3783</v>
      </c>
      <c r="JAF4388" s="379" t="s">
        <v>3783</v>
      </c>
      <c r="JAG4388" s="379" t="s">
        <v>3783</v>
      </c>
      <c r="JAH4388" s="379" t="s">
        <v>3783</v>
      </c>
      <c r="JAI4388" s="379" t="s">
        <v>3783</v>
      </c>
      <c r="JAJ4388" s="379" t="s">
        <v>3783</v>
      </c>
      <c r="JAK4388" s="379" t="s">
        <v>3783</v>
      </c>
      <c r="JAL4388" s="379" t="s">
        <v>3783</v>
      </c>
      <c r="JAM4388" s="379" t="s">
        <v>3783</v>
      </c>
      <c r="JAN4388" s="379" t="s">
        <v>3783</v>
      </c>
      <c r="JAO4388" s="379" t="s">
        <v>3783</v>
      </c>
      <c r="JAP4388" s="379" t="s">
        <v>3783</v>
      </c>
      <c r="JAQ4388" s="379" t="s">
        <v>3783</v>
      </c>
      <c r="JAR4388" s="379" t="s">
        <v>3783</v>
      </c>
      <c r="JAS4388" s="379" t="s">
        <v>3783</v>
      </c>
      <c r="JAT4388" s="379" t="s">
        <v>3783</v>
      </c>
      <c r="JAU4388" s="379" t="s">
        <v>3783</v>
      </c>
      <c r="JAV4388" s="379" t="s">
        <v>3783</v>
      </c>
      <c r="JAW4388" s="379" t="s">
        <v>3783</v>
      </c>
      <c r="JAX4388" s="379" t="s">
        <v>3783</v>
      </c>
      <c r="JAY4388" s="379" t="s">
        <v>3783</v>
      </c>
      <c r="JAZ4388" s="379" t="s">
        <v>3783</v>
      </c>
      <c r="JBA4388" s="379" t="s">
        <v>3783</v>
      </c>
      <c r="JBB4388" s="379" t="s">
        <v>3783</v>
      </c>
      <c r="JBC4388" s="379" t="s">
        <v>3783</v>
      </c>
      <c r="JBD4388" s="379" t="s">
        <v>3783</v>
      </c>
      <c r="JBE4388" s="379" t="s">
        <v>3783</v>
      </c>
      <c r="JBF4388" s="379" t="s">
        <v>3783</v>
      </c>
      <c r="JBG4388" s="379" t="s">
        <v>3783</v>
      </c>
      <c r="JBH4388" s="379" t="s">
        <v>3783</v>
      </c>
      <c r="JBI4388" s="379" t="s">
        <v>3783</v>
      </c>
      <c r="JBJ4388" s="379" t="s">
        <v>3783</v>
      </c>
      <c r="JBK4388" s="379" t="s">
        <v>3783</v>
      </c>
      <c r="JBL4388" s="379" t="s">
        <v>3783</v>
      </c>
      <c r="JBM4388" s="379" t="s">
        <v>3783</v>
      </c>
      <c r="JBN4388" s="379" t="s">
        <v>3783</v>
      </c>
      <c r="JBO4388" s="379" t="s">
        <v>3783</v>
      </c>
      <c r="JBP4388" s="379" t="s">
        <v>3783</v>
      </c>
      <c r="JBQ4388" s="379" t="s">
        <v>3783</v>
      </c>
      <c r="JBR4388" s="379" t="s">
        <v>3783</v>
      </c>
      <c r="JBS4388" s="379" t="s">
        <v>3783</v>
      </c>
      <c r="JBT4388" s="379" t="s">
        <v>3783</v>
      </c>
      <c r="JBU4388" s="379" t="s">
        <v>3783</v>
      </c>
      <c r="JBV4388" s="379" t="s">
        <v>3783</v>
      </c>
      <c r="JBW4388" s="379" t="s">
        <v>3783</v>
      </c>
      <c r="JBX4388" s="379" t="s">
        <v>3783</v>
      </c>
      <c r="JBY4388" s="379" t="s">
        <v>3783</v>
      </c>
      <c r="JBZ4388" s="379" t="s">
        <v>3783</v>
      </c>
      <c r="JCA4388" s="379" t="s">
        <v>3783</v>
      </c>
      <c r="JCB4388" s="379" t="s">
        <v>3783</v>
      </c>
      <c r="JCC4388" s="379" t="s">
        <v>3783</v>
      </c>
      <c r="JCD4388" s="379" t="s">
        <v>3783</v>
      </c>
      <c r="JCE4388" s="379" t="s">
        <v>3783</v>
      </c>
      <c r="JCF4388" s="379" t="s">
        <v>3783</v>
      </c>
      <c r="JCG4388" s="379" t="s">
        <v>3783</v>
      </c>
      <c r="JCH4388" s="379" t="s">
        <v>3783</v>
      </c>
      <c r="JCI4388" s="379" t="s">
        <v>3783</v>
      </c>
      <c r="JCJ4388" s="379" t="s">
        <v>3783</v>
      </c>
      <c r="JCK4388" s="379" t="s">
        <v>3783</v>
      </c>
      <c r="JCL4388" s="379" t="s">
        <v>3783</v>
      </c>
      <c r="JCM4388" s="379" t="s">
        <v>3783</v>
      </c>
      <c r="JCN4388" s="379" t="s">
        <v>3783</v>
      </c>
      <c r="JCO4388" s="379" t="s">
        <v>3783</v>
      </c>
      <c r="JCP4388" s="379" t="s">
        <v>3783</v>
      </c>
      <c r="JCQ4388" s="379" t="s">
        <v>3783</v>
      </c>
      <c r="JCR4388" s="379" t="s">
        <v>3783</v>
      </c>
      <c r="JCS4388" s="379" t="s">
        <v>3783</v>
      </c>
      <c r="JCT4388" s="379" t="s">
        <v>3783</v>
      </c>
      <c r="JCU4388" s="379" t="s">
        <v>3783</v>
      </c>
      <c r="JCV4388" s="379" t="s">
        <v>3783</v>
      </c>
      <c r="JCW4388" s="379" t="s">
        <v>3783</v>
      </c>
      <c r="JCX4388" s="379" t="s">
        <v>3783</v>
      </c>
      <c r="JCY4388" s="379" t="s">
        <v>3783</v>
      </c>
      <c r="JCZ4388" s="379" t="s">
        <v>3783</v>
      </c>
      <c r="JDA4388" s="379" t="s">
        <v>3783</v>
      </c>
      <c r="JDB4388" s="379" t="s">
        <v>3783</v>
      </c>
      <c r="JDC4388" s="379" t="s">
        <v>3783</v>
      </c>
      <c r="JDD4388" s="379" t="s">
        <v>3783</v>
      </c>
      <c r="JDE4388" s="379" t="s">
        <v>3783</v>
      </c>
      <c r="JDF4388" s="379" t="s">
        <v>3783</v>
      </c>
      <c r="JDG4388" s="379" t="s">
        <v>3783</v>
      </c>
      <c r="JDH4388" s="379" t="s">
        <v>3783</v>
      </c>
      <c r="JDI4388" s="379" t="s">
        <v>3783</v>
      </c>
      <c r="JDJ4388" s="379" t="s">
        <v>3783</v>
      </c>
      <c r="JDK4388" s="379" t="s">
        <v>3783</v>
      </c>
      <c r="JDL4388" s="379" t="s">
        <v>3783</v>
      </c>
      <c r="JDM4388" s="379" t="s">
        <v>3783</v>
      </c>
      <c r="JDN4388" s="379" t="s">
        <v>3783</v>
      </c>
      <c r="JDO4388" s="379" t="s">
        <v>3783</v>
      </c>
      <c r="JDP4388" s="379" t="s">
        <v>3783</v>
      </c>
      <c r="JDQ4388" s="379" t="s">
        <v>3783</v>
      </c>
      <c r="JDR4388" s="379" t="s">
        <v>3783</v>
      </c>
      <c r="JDS4388" s="379" t="s">
        <v>3783</v>
      </c>
      <c r="JDT4388" s="379" t="s">
        <v>3783</v>
      </c>
      <c r="JDU4388" s="379" t="s">
        <v>3783</v>
      </c>
      <c r="JDV4388" s="379" t="s">
        <v>3783</v>
      </c>
      <c r="JDW4388" s="379" t="s">
        <v>3783</v>
      </c>
      <c r="JDX4388" s="379" t="s">
        <v>3783</v>
      </c>
      <c r="JDY4388" s="379" t="s">
        <v>3783</v>
      </c>
      <c r="JDZ4388" s="379" t="s">
        <v>3783</v>
      </c>
      <c r="JEA4388" s="379" t="s">
        <v>3783</v>
      </c>
      <c r="JEB4388" s="379" t="s">
        <v>3783</v>
      </c>
      <c r="JEC4388" s="379" t="s">
        <v>3783</v>
      </c>
      <c r="JED4388" s="379" t="s">
        <v>3783</v>
      </c>
      <c r="JEE4388" s="379" t="s">
        <v>3783</v>
      </c>
      <c r="JEF4388" s="379" t="s">
        <v>3783</v>
      </c>
      <c r="JEG4388" s="379" t="s">
        <v>3783</v>
      </c>
      <c r="JEH4388" s="379" t="s">
        <v>3783</v>
      </c>
      <c r="JEI4388" s="379" t="s">
        <v>3783</v>
      </c>
      <c r="JEJ4388" s="379" t="s">
        <v>3783</v>
      </c>
      <c r="JEK4388" s="379" t="s">
        <v>3783</v>
      </c>
      <c r="JEL4388" s="379" t="s">
        <v>3783</v>
      </c>
      <c r="JEM4388" s="379" t="s">
        <v>3783</v>
      </c>
      <c r="JEN4388" s="379" t="s">
        <v>3783</v>
      </c>
      <c r="JEO4388" s="379" t="s">
        <v>3783</v>
      </c>
      <c r="JEP4388" s="379" t="s">
        <v>3783</v>
      </c>
      <c r="JEQ4388" s="379" t="s">
        <v>3783</v>
      </c>
      <c r="JER4388" s="379" t="s">
        <v>3783</v>
      </c>
      <c r="JES4388" s="379" t="s">
        <v>3783</v>
      </c>
      <c r="JET4388" s="379" t="s">
        <v>3783</v>
      </c>
      <c r="JEU4388" s="379" t="s">
        <v>3783</v>
      </c>
      <c r="JEV4388" s="379" t="s">
        <v>3783</v>
      </c>
      <c r="JEW4388" s="379" t="s">
        <v>3783</v>
      </c>
      <c r="JEX4388" s="379" t="s">
        <v>3783</v>
      </c>
      <c r="JEY4388" s="379" t="s">
        <v>3783</v>
      </c>
      <c r="JEZ4388" s="379" t="s">
        <v>3783</v>
      </c>
      <c r="JFA4388" s="379" t="s">
        <v>3783</v>
      </c>
      <c r="JFB4388" s="379" t="s">
        <v>3783</v>
      </c>
      <c r="JFC4388" s="379" t="s">
        <v>3783</v>
      </c>
      <c r="JFD4388" s="379" t="s">
        <v>3783</v>
      </c>
      <c r="JFE4388" s="379" t="s">
        <v>3783</v>
      </c>
      <c r="JFF4388" s="379" t="s">
        <v>3783</v>
      </c>
      <c r="JFG4388" s="379" t="s">
        <v>3783</v>
      </c>
      <c r="JFH4388" s="379" t="s">
        <v>3783</v>
      </c>
      <c r="JFI4388" s="379" t="s">
        <v>3783</v>
      </c>
      <c r="JFJ4388" s="379" t="s">
        <v>3783</v>
      </c>
      <c r="JFK4388" s="379" t="s">
        <v>3783</v>
      </c>
      <c r="JFL4388" s="379" t="s">
        <v>3783</v>
      </c>
      <c r="JFM4388" s="379" t="s">
        <v>3783</v>
      </c>
      <c r="JFN4388" s="379" t="s">
        <v>3783</v>
      </c>
      <c r="JFO4388" s="379" t="s">
        <v>3783</v>
      </c>
      <c r="JFP4388" s="379" t="s">
        <v>3783</v>
      </c>
      <c r="JFQ4388" s="379" t="s">
        <v>3783</v>
      </c>
      <c r="JFR4388" s="379" t="s">
        <v>3783</v>
      </c>
      <c r="JFS4388" s="379" t="s">
        <v>3783</v>
      </c>
      <c r="JFT4388" s="379" t="s">
        <v>3783</v>
      </c>
      <c r="JFU4388" s="379" t="s">
        <v>3783</v>
      </c>
      <c r="JFV4388" s="379" t="s">
        <v>3783</v>
      </c>
      <c r="JFW4388" s="379" t="s">
        <v>3783</v>
      </c>
      <c r="JFX4388" s="379" t="s">
        <v>3783</v>
      </c>
      <c r="JFY4388" s="379" t="s">
        <v>3783</v>
      </c>
      <c r="JFZ4388" s="379" t="s">
        <v>3783</v>
      </c>
      <c r="JGA4388" s="379" t="s">
        <v>3783</v>
      </c>
      <c r="JGB4388" s="379" t="s">
        <v>3783</v>
      </c>
      <c r="JGC4388" s="379" t="s">
        <v>3783</v>
      </c>
      <c r="JGD4388" s="379" t="s">
        <v>3783</v>
      </c>
      <c r="JGE4388" s="379" t="s">
        <v>3783</v>
      </c>
      <c r="JGF4388" s="379" t="s">
        <v>3783</v>
      </c>
      <c r="JGG4388" s="379" t="s">
        <v>3783</v>
      </c>
      <c r="JGH4388" s="379" t="s">
        <v>3783</v>
      </c>
      <c r="JGI4388" s="379" t="s">
        <v>3783</v>
      </c>
      <c r="JGJ4388" s="379" t="s">
        <v>3783</v>
      </c>
      <c r="JGK4388" s="379" t="s">
        <v>3783</v>
      </c>
      <c r="JGL4388" s="379" t="s">
        <v>3783</v>
      </c>
      <c r="JGM4388" s="379" t="s">
        <v>3783</v>
      </c>
      <c r="JGN4388" s="379" t="s">
        <v>3783</v>
      </c>
      <c r="JGO4388" s="379" t="s">
        <v>3783</v>
      </c>
      <c r="JGP4388" s="379" t="s">
        <v>3783</v>
      </c>
      <c r="JGQ4388" s="379" t="s">
        <v>3783</v>
      </c>
      <c r="JGR4388" s="379" t="s">
        <v>3783</v>
      </c>
      <c r="JGS4388" s="379" t="s">
        <v>3783</v>
      </c>
      <c r="JGT4388" s="379" t="s">
        <v>3783</v>
      </c>
      <c r="JGU4388" s="379" t="s">
        <v>3783</v>
      </c>
      <c r="JGV4388" s="379" t="s">
        <v>3783</v>
      </c>
      <c r="JGW4388" s="379" t="s">
        <v>3783</v>
      </c>
      <c r="JGX4388" s="379" t="s">
        <v>3783</v>
      </c>
      <c r="JGY4388" s="379" t="s">
        <v>3783</v>
      </c>
      <c r="JGZ4388" s="379" t="s">
        <v>3783</v>
      </c>
      <c r="JHA4388" s="379" t="s">
        <v>3783</v>
      </c>
      <c r="JHB4388" s="379" t="s">
        <v>3783</v>
      </c>
      <c r="JHC4388" s="379" t="s">
        <v>3783</v>
      </c>
      <c r="JHD4388" s="379" t="s">
        <v>3783</v>
      </c>
      <c r="JHE4388" s="379" t="s">
        <v>3783</v>
      </c>
      <c r="JHF4388" s="379" t="s">
        <v>3783</v>
      </c>
      <c r="JHG4388" s="379" t="s">
        <v>3783</v>
      </c>
      <c r="JHH4388" s="379" t="s">
        <v>3783</v>
      </c>
      <c r="JHI4388" s="379" t="s">
        <v>3783</v>
      </c>
      <c r="JHJ4388" s="379" t="s">
        <v>3783</v>
      </c>
      <c r="JHK4388" s="379" t="s">
        <v>3783</v>
      </c>
      <c r="JHL4388" s="379" t="s">
        <v>3783</v>
      </c>
      <c r="JHM4388" s="379" t="s">
        <v>3783</v>
      </c>
      <c r="JHN4388" s="379" t="s">
        <v>3783</v>
      </c>
      <c r="JHO4388" s="379" t="s">
        <v>3783</v>
      </c>
      <c r="JHP4388" s="379" t="s">
        <v>3783</v>
      </c>
      <c r="JHQ4388" s="379" t="s">
        <v>3783</v>
      </c>
      <c r="JHR4388" s="379" t="s">
        <v>3783</v>
      </c>
      <c r="JHS4388" s="379" t="s">
        <v>3783</v>
      </c>
      <c r="JHT4388" s="379" t="s">
        <v>3783</v>
      </c>
      <c r="JHU4388" s="379" t="s">
        <v>3783</v>
      </c>
      <c r="JHV4388" s="379" t="s">
        <v>3783</v>
      </c>
      <c r="JHW4388" s="379" t="s">
        <v>3783</v>
      </c>
      <c r="JHX4388" s="379" t="s">
        <v>3783</v>
      </c>
      <c r="JHY4388" s="379" t="s">
        <v>3783</v>
      </c>
      <c r="JHZ4388" s="379" t="s">
        <v>3783</v>
      </c>
      <c r="JIA4388" s="379" t="s">
        <v>3783</v>
      </c>
      <c r="JIB4388" s="379" t="s">
        <v>3783</v>
      </c>
      <c r="JIC4388" s="379" t="s">
        <v>3783</v>
      </c>
      <c r="JID4388" s="379" t="s">
        <v>3783</v>
      </c>
      <c r="JIE4388" s="379" t="s">
        <v>3783</v>
      </c>
      <c r="JIF4388" s="379" t="s">
        <v>3783</v>
      </c>
      <c r="JIG4388" s="379" t="s">
        <v>3783</v>
      </c>
      <c r="JIH4388" s="379" t="s">
        <v>3783</v>
      </c>
      <c r="JII4388" s="379" t="s">
        <v>3783</v>
      </c>
      <c r="JIJ4388" s="379" t="s">
        <v>3783</v>
      </c>
      <c r="JIK4388" s="379" t="s">
        <v>3783</v>
      </c>
      <c r="JIL4388" s="379" t="s">
        <v>3783</v>
      </c>
      <c r="JIM4388" s="379" t="s">
        <v>3783</v>
      </c>
      <c r="JIN4388" s="379" t="s">
        <v>3783</v>
      </c>
      <c r="JIO4388" s="379" t="s">
        <v>3783</v>
      </c>
      <c r="JIP4388" s="379" t="s">
        <v>3783</v>
      </c>
      <c r="JIQ4388" s="379" t="s">
        <v>3783</v>
      </c>
      <c r="JIR4388" s="379" t="s">
        <v>3783</v>
      </c>
      <c r="JIS4388" s="379" t="s">
        <v>3783</v>
      </c>
      <c r="JIT4388" s="379" t="s">
        <v>3783</v>
      </c>
      <c r="JIU4388" s="379" t="s">
        <v>3783</v>
      </c>
      <c r="JIV4388" s="379" t="s">
        <v>3783</v>
      </c>
      <c r="JIW4388" s="379" t="s">
        <v>3783</v>
      </c>
      <c r="JIX4388" s="379" t="s">
        <v>3783</v>
      </c>
      <c r="JIY4388" s="379" t="s">
        <v>3783</v>
      </c>
      <c r="JIZ4388" s="379" t="s">
        <v>3783</v>
      </c>
      <c r="JJA4388" s="379" t="s">
        <v>3783</v>
      </c>
      <c r="JJB4388" s="379" t="s">
        <v>3783</v>
      </c>
      <c r="JJC4388" s="379" t="s">
        <v>3783</v>
      </c>
      <c r="JJD4388" s="379" t="s">
        <v>3783</v>
      </c>
      <c r="JJE4388" s="379" t="s">
        <v>3783</v>
      </c>
      <c r="JJF4388" s="379" t="s">
        <v>3783</v>
      </c>
      <c r="JJG4388" s="379" t="s">
        <v>3783</v>
      </c>
      <c r="JJH4388" s="379" t="s">
        <v>3783</v>
      </c>
      <c r="JJI4388" s="379" t="s">
        <v>3783</v>
      </c>
      <c r="JJJ4388" s="379" t="s">
        <v>3783</v>
      </c>
      <c r="JJK4388" s="379" t="s">
        <v>3783</v>
      </c>
      <c r="JJL4388" s="379" t="s">
        <v>3783</v>
      </c>
      <c r="JJM4388" s="379" t="s">
        <v>3783</v>
      </c>
      <c r="JJN4388" s="379" t="s">
        <v>3783</v>
      </c>
      <c r="JJO4388" s="379" t="s">
        <v>3783</v>
      </c>
      <c r="JJP4388" s="379" t="s">
        <v>3783</v>
      </c>
      <c r="JJQ4388" s="379" t="s">
        <v>3783</v>
      </c>
      <c r="JJR4388" s="379" t="s">
        <v>3783</v>
      </c>
      <c r="JJS4388" s="379" t="s">
        <v>3783</v>
      </c>
      <c r="JJT4388" s="379" t="s">
        <v>3783</v>
      </c>
      <c r="JJU4388" s="379" t="s">
        <v>3783</v>
      </c>
      <c r="JJV4388" s="379" t="s">
        <v>3783</v>
      </c>
      <c r="JJW4388" s="379" t="s">
        <v>3783</v>
      </c>
      <c r="JJX4388" s="379" t="s">
        <v>3783</v>
      </c>
      <c r="JJY4388" s="379" t="s">
        <v>3783</v>
      </c>
      <c r="JJZ4388" s="379" t="s">
        <v>3783</v>
      </c>
      <c r="JKA4388" s="379" t="s">
        <v>3783</v>
      </c>
      <c r="JKB4388" s="379" t="s">
        <v>3783</v>
      </c>
      <c r="JKC4388" s="379" t="s">
        <v>3783</v>
      </c>
      <c r="JKD4388" s="379" t="s">
        <v>3783</v>
      </c>
      <c r="JKE4388" s="379" t="s">
        <v>3783</v>
      </c>
      <c r="JKF4388" s="379" t="s">
        <v>3783</v>
      </c>
      <c r="JKG4388" s="379" t="s">
        <v>3783</v>
      </c>
      <c r="JKH4388" s="379" t="s">
        <v>3783</v>
      </c>
      <c r="JKI4388" s="379" t="s">
        <v>3783</v>
      </c>
      <c r="JKJ4388" s="379" t="s">
        <v>3783</v>
      </c>
      <c r="JKK4388" s="379" t="s">
        <v>3783</v>
      </c>
      <c r="JKL4388" s="379" t="s">
        <v>3783</v>
      </c>
      <c r="JKM4388" s="379" t="s">
        <v>3783</v>
      </c>
      <c r="JKN4388" s="379" t="s">
        <v>3783</v>
      </c>
      <c r="JKO4388" s="379" t="s">
        <v>3783</v>
      </c>
      <c r="JKP4388" s="379" t="s">
        <v>3783</v>
      </c>
      <c r="JKQ4388" s="379" t="s">
        <v>3783</v>
      </c>
      <c r="JKR4388" s="379" t="s">
        <v>3783</v>
      </c>
      <c r="JKS4388" s="379" t="s">
        <v>3783</v>
      </c>
      <c r="JKT4388" s="379" t="s">
        <v>3783</v>
      </c>
      <c r="JKU4388" s="379" t="s">
        <v>3783</v>
      </c>
      <c r="JKV4388" s="379" t="s">
        <v>3783</v>
      </c>
      <c r="JKW4388" s="379" t="s">
        <v>3783</v>
      </c>
      <c r="JKX4388" s="379" t="s">
        <v>3783</v>
      </c>
      <c r="JKY4388" s="379" t="s">
        <v>3783</v>
      </c>
      <c r="JKZ4388" s="379" t="s">
        <v>3783</v>
      </c>
      <c r="JLA4388" s="379" t="s">
        <v>3783</v>
      </c>
      <c r="JLB4388" s="379" t="s">
        <v>3783</v>
      </c>
      <c r="JLC4388" s="379" t="s">
        <v>3783</v>
      </c>
      <c r="JLD4388" s="379" t="s">
        <v>3783</v>
      </c>
      <c r="JLE4388" s="379" t="s">
        <v>3783</v>
      </c>
      <c r="JLF4388" s="379" t="s">
        <v>3783</v>
      </c>
      <c r="JLG4388" s="379" t="s">
        <v>3783</v>
      </c>
      <c r="JLH4388" s="379" t="s">
        <v>3783</v>
      </c>
      <c r="JLI4388" s="379" t="s">
        <v>3783</v>
      </c>
      <c r="JLJ4388" s="379" t="s">
        <v>3783</v>
      </c>
      <c r="JLK4388" s="379" t="s">
        <v>3783</v>
      </c>
      <c r="JLL4388" s="379" t="s">
        <v>3783</v>
      </c>
      <c r="JLM4388" s="379" t="s">
        <v>3783</v>
      </c>
      <c r="JLN4388" s="379" t="s">
        <v>3783</v>
      </c>
      <c r="JLO4388" s="379" t="s">
        <v>3783</v>
      </c>
      <c r="JLP4388" s="379" t="s">
        <v>3783</v>
      </c>
      <c r="JLQ4388" s="379" t="s">
        <v>3783</v>
      </c>
      <c r="JLR4388" s="379" t="s">
        <v>3783</v>
      </c>
      <c r="JLS4388" s="379" t="s">
        <v>3783</v>
      </c>
      <c r="JLT4388" s="379" t="s">
        <v>3783</v>
      </c>
      <c r="JLU4388" s="379" t="s">
        <v>3783</v>
      </c>
      <c r="JLV4388" s="379" t="s">
        <v>3783</v>
      </c>
      <c r="JLW4388" s="379" t="s">
        <v>3783</v>
      </c>
      <c r="JLX4388" s="379" t="s">
        <v>3783</v>
      </c>
      <c r="JLY4388" s="379" t="s">
        <v>3783</v>
      </c>
      <c r="JLZ4388" s="379" t="s">
        <v>3783</v>
      </c>
      <c r="JMA4388" s="379" t="s">
        <v>3783</v>
      </c>
      <c r="JMB4388" s="379" t="s">
        <v>3783</v>
      </c>
      <c r="JMC4388" s="379" t="s">
        <v>3783</v>
      </c>
      <c r="JMD4388" s="379" t="s">
        <v>3783</v>
      </c>
      <c r="JME4388" s="379" t="s">
        <v>3783</v>
      </c>
      <c r="JMF4388" s="379" t="s">
        <v>3783</v>
      </c>
      <c r="JMG4388" s="379" t="s">
        <v>3783</v>
      </c>
      <c r="JMH4388" s="379" t="s">
        <v>3783</v>
      </c>
      <c r="JMI4388" s="379" t="s">
        <v>3783</v>
      </c>
      <c r="JMJ4388" s="379" t="s">
        <v>3783</v>
      </c>
      <c r="JMK4388" s="379" t="s">
        <v>3783</v>
      </c>
      <c r="JML4388" s="379" t="s">
        <v>3783</v>
      </c>
      <c r="JMM4388" s="379" t="s">
        <v>3783</v>
      </c>
      <c r="JMN4388" s="379" t="s">
        <v>3783</v>
      </c>
      <c r="JMO4388" s="379" t="s">
        <v>3783</v>
      </c>
      <c r="JMP4388" s="379" t="s">
        <v>3783</v>
      </c>
      <c r="JMQ4388" s="379" t="s">
        <v>3783</v>
      </c>
      <c r="JMR4388" s="379" t="s">
        <v>3783</v>
      </c>
      <c r="JMS4388" s="379" t="s">
        <v>3783</v>
      </c>
      <c r="JMT4388" s="379" t="s">
        <v>3783</v>
      </c>
      <c r="JMU4388" s="379" t="s">
        <v>3783</v>
      </c>
      <c r="JMV4388" s="379" t="s">
        <v>3783</v>
      </c>
      <c r="JMW4388" s="379" t="s">
        <v>3783</v>
      </c>
      <c r="JMX4388" s="379" t="s">
        <v>3783</v>
      </c>
      <c r="JMY4388" s="379" t="s">
        <v>3783</v>
      </c>
      <c r="JMZ4388" s="379" t="s">
        <v>3783</v>
      </c>
      <c r="JNA4388" s="379" t="s">
        <v>3783</v>
      </c>
      <c r="JNB4388" s="379" t="s">
        <v>3783</v>
      </c>
      <c r="JNC4388" s="379" t="s">
        <v>3783</v>
      </c>
      <c r="JND4388" s="379" t="s">
        <v>3783</v>
      </c>
      <c r="JNE4388" s="379" t="s">
        <v>3783</v>
      </c>
      <c r="JNF4388" s="379" t="s">
        <v>3783</v>
      </c>
      <c r="JNG4388" s="379" t="s">
        <v>3783</v>
      </c>
      <c r="JNH4388" s="379" t="s">
        <v>3783</v>
      </c>
      <c r="JNI4388" s="379" t="s">
        <v>3783</v>
      </c>
      <c r="JNJ4388" s="379" t="s">
        <v>3783</v>
      </c>
      <c r="JNK4388" s="379" t="s">
        <v>3783</v>
      </c>
      <c r="JNL4388" s="379" t="s">
        <v>3783</v>
      </c>
      <c r="JNM4388" s="379" t="s">
        <v>3783</v>
      </c>
      <c r="JNN4388" s="379" t="s">
        <v>3783</v>
      </c>
      <c r="JNO4388" s="379" t="s">
        <v>3783</v>
      </c>
      <c r="JNP4388" s="379" t="s">
        <v>3783</v>
      </c>
      <c r="JNQ4388" s="379" t="s">
        <v>3783</v>
      </c>
      <c r="JNR4388" s="379" t="s">
        <v>3783</v>
      </c>
      <c r="JNS4388" s="379" t="s">
        <v>3783</v>
      </c>
      <c r="JNT4388" s="379" t="s">
        <v>3783</v>
      </c>
      <c r="JNU4388" s="379" t="s">
        <v>3783</v>
      </c>
      <c r="JNV4388" s="379" t="s">
        <v>3783</v>
      </c>
      <c r="JNW4388" s="379" t="s">
        <v>3783</v>
      </c>
      <c r="JNX4388" s="379" t="s">
        <v>3783</v>
      </c>
      <c r="JNY4388" s="379" t="s">
        <v>3783</v>
      </c>
      <c r="JNZ4388" s="379" t="s">
        <v>3783</v>
      </c>
      <c r="JOA4388" s="379" t="s">
        <v>3783</v>
      </c>
      <c r="JOB4388" s="379" t="s">
        <v>3783</v>
      </c>
      <c r="JOC4388" s="379" t="s">
        <v>3783</v>
      </c>
      <c r="JOD4388" s="379" t="s">
        <v>3783</v>
      </c>
      <c r="JOE4388" s="379" t="s">
        <v>3783</v>
      </c>
      <c r="JOF4388" s="379" t="s">
        <v>3783</v>
      </c>
      <c r="JOG4388" s="379" t="s">
        <v>3783</v>
      </c>
      <c r="JOH4388" s="379" t="s">
        <v>3783</v>
      </c>
      <c r="JOI4388" s="379" t="s">
        <v>3783</v>
      </c>
      <c r="JOJ4388" s="379" t="s">
        <v>3783</v>
      </c>
      <c r="JOK4388" s="379" t="s">
        <v>3783</v>
      </c>
      <c r="JOL4388" s="379" t="s">
        <v>3783</v>
      </c>
      <c r="JOM4388" s="379" t="s">
        <v>3783</v>
      </c>
      <c r="JON4388" s="379" t="s">
        <v>3783</v>
      </c>
      <c r="JOO4388" s="379" t="s">
        <v>3783</v>
      </c>
      <c r="JOP4388" s="379" t="s">
        <v>3783</v>
      </c>
      <c r="JOQ4388" s="379" t="s">
        <v>3783</v>
      </c>
      <c r="JOR4388" s="379" t="s">
        <v>3783</v>
      </c>
      <c r="JOS4388" s="379" t="s">
        <v>3783</v>
      </c>
      <c r="JOT4388" s="379" t="s">
        <v>3783</v>
      </c>
      <c r="JOU4388" s="379" t="s">
        <v>3783</v>
      </c>
      <c r="JOV4388" s="379" t="s">
        <v>3783</v>
      </c>
      <c r="JOW4388" s="379" t="s">
        <v>3783</v>
      </c>
      <c r="JOX4388" s="379" t="s">
        <v>3783</v>
      </c>
      <c r="JOY4388" s="379" t="s">
        <v>3783</v>
      </c>
      <c r="JOZ4388" s="379" t="s">
        <v>3783</v>
      </c>
      <c r="JPA4388" s="379" t="s">
        <v>3783</v>
      </c>
      <c r="JPB4388" s="379" t="s">
        <v>3783</v>
      </c>
      <c r="JPC4388" s="379" t="s">
        <v>3783</v>
      </c>
      <c r="JPD4388" s="379" t="s">
        <v>3783</v>
      </c>
      <c r="JPE4388" s="379" t="s">
        <v>3783</v>
      </c>
      <c r="JPF4388" s="379" t="s">
        <v>3783</v>
      </c>
      <c r="JPG4388" s="379" t="s">
        <v>3783</v>
      </c>
      <c r="JPH4388" s="379" t="s">
        <v>3783</v>
      </c>
      <c r="JPI4388" s="379" t="s">
        <v>3783</v>
      </c>
      <c r="JPJ4388" s="379" t="s">
        <v>3783</v>
      </c>
      <c r="JPK4388" s="379" t="s">
        <v>3783</v>
      </c>
      <c r="JPL4388" s="379" t="s">
        <v>3783</v>
      </c>
      <c r="JPM4388" s="379" t="s">
        <v>3783</v>
      </c>
      <c r="JPN4388" s="379" t="s">
        <v>3783</v>
      </c>
      <c r="JPO4388" s="379" t="s">
        <v>3783</v>
      </c>
      <c r="JPP4388" s="379" t="s">
        <v>3783</v>
      </c>
      <c r="JPQ4388" s="379" t="s">
        <v>3783</v>
      </c>
      <c r="JPR4388" s="379" t="s">
        <v>3783</v>
      </c>
      <c r="JPS4388" s="379" t="s">
        <v>3783</v>
      </c>
      <c r="JPT4388" s="379" t="s">
        <v>3783</v>
      </c>
      <c r="JPU4388" s="379" t="s">
        <v>3783</v>
      </c>
      <c r="JPV4388" s="379" t="s">
        <v>3783</v>
      </c>
      <c r="JPW4388" s="379" t="s">
        <v>3783</v>
      </c>
      <c r="JPX4388" s="379" t="s">
        <v>3783</v>
      </c>
      <c r="JPY4388" s="379" t="s">
        <v>3783</v>
      </c>
      <c r="JPZ4388" s="379" t="s">
        <v>3783</v>
      </c>
      <c r="JQA4388" s="379" t="s">
        <v>3783</v>
      </c>
      <c r="JQB4388" s="379" t="s">
        <v>3783</v>
      </c>
      <c r="JQC4388" s="379" t="s">
        <v>3783</v>
      </c>
      <c r="JQD4388" s="379" t="s">
        <v>3783</v>
      </c>
      <c r="JQE4388" s="379" t="s">
        <v>3783</v>
      </c>
      <c r="JQF4388" s="379" t="s">
        <v>3783</v>
      </c>
      <c r="JQG4388" s="379" t="s">
        <v>3783</v>
      </c>
      <c r="JQH4388" s="379" t="s">
        <v>3783</v>
      </c>
      <c r="JQI4388" s="379" t="s">
        <v>3783</v>
      </c>
      <c r="JQJ4388" s="379" t="s">
        <v>3783</v>
      </c>
      <c r="JQK4388" s="379" t="s">
        <v>3783</v>
      </c>
      <c r="JQL4388" s="379" t="s">
        <v>3783</v>
      </c>
      <c r="JQM4388" s="379" t="s">
        <v>3783</v>
      </c>
      <c r="JQN4388" s="379" t="s">
        <v>3783</v>
      </c>
      <c r="JQO4388" s="379" t="s">
        <v>3783</v>
      </c>
      <c r="JQP4388" s="379" t="s">
        <v>3783</v>
      </c>
      <c r="JQQ4388" s="379" t="s">
        <v>3783</v>
      </c>
      <c r="JQR4388" s="379" t="s">
        <v>3783</v>
      </c>
      <c r="JQS4388" s="379" t="s">
        <v>3783</v>
      </c>
      <c r="JQT4388" s="379" t="s">
        <v>3783</v>
      </c>
      <c r="JQU4388" s="379" t="s">
        <v>3783</v>
      </c>
      <c r="JQV4388" s="379" t="s">
        <v>3783</v>
      </c>
      <c r="JQW4388" s="379" t="s">
        <v>3783</v>
      </c>
      <c r="JQX4388" s="379" t="s">
        <v>3783</v>
      </c>
      <c r="JQY4388" s="379" t="s">
        <v>3783</v>
      </c>
      <c r="JQZ4388" s="379" t="s">
        <v>3783</v>
      </c>
      <c r="JRA4388" s="379" t="s">
        <v>3783</v>
      </c>
      <c r="JRB4388" s="379" t="s">
        <v>3783</v>
      </c>
      <c r="JRC4388" s="379" t="s">
        <v>3783</v>
      </c>
      <c r="JRD4388" s="379" t="s">
        <v>3783</v>
      </c>
      <c r="JRE4388" s="379" t="s">
        <v>3783</v>
      </c>
      <c r="JRF4388" s="379" t="s">
        <v>3783</v>
      </c>
      <c r="JRG4388" s="379" t="s">
        <v>3783</v>
      </c>
      <c r="JRH4388" s="379" t="s">
        <v>3783</v>
      </c>
      <c r="JRI4388" s="379" t="s">
        <v>3783</v>
      </c>
      <c r="JRJ4388" s="379" t="s">
        <v>3783</v>
      </c>
      <c r="JRK4388" s="379" t="s">
        <v>3783</v>
      </c>
      <c r="JRL4388" s="379" t="s">
        <v>3783</v>
      </c>
      <c r="JRM4388" s="379" t="s">
        <v>3783</v>
      </c>
      <c r="JRN4388" s="379" t="s">
        <v>3783</v>
      </c>
      <c r="JRO4388" s="379" t="s">
        <v>3783</v>
      </c>
      <c r="JRP4388" s="379" t="s">
        <v>3783</v>
      </c>
      <c r="JRQ4388" s="379" t="s">
        <v>3783</v>
      </c>
      <c r="JRR4388" s="379" t="s">
        <v>3783</v>
      </c>
      <c r="JRS4388" s="379" t="s">
        <v>3783</v>
      </c>
      <c r="JRT4388" s="379" t="s">
        <v>3783</v>
      </c>
      <c r="JRU4388" s="379" t="s">
        <v>3783</v>
      </c>
      <c r="JRV4388" s="379" t="s">
        <v>3783</v>
      </c>
      <c r="JRW4388" s="379" t="s">
        <v>3783</v>
      </c>
      <c r="JRX4388" s="379" t="s">
        <v>3783</v>
      </c>
      <c r="JRY4388" s="379" t="s">
        <v>3783</v>
      </c>
      <c r="JRZ4388" s="379" t="s">
        <v>3783</v>
      </c>
      <c r="JSA4388" s="379" t="s">
        <v>3783</v>
      </c>
      <c r="JSB4388" s="379" t="s">
        <v>3783</v>
      </c>
      <c r="JSC4388" s="379" t="s">
        <v>3783</v>
      </c>
      <c r="JSD4388" s="379" t="s">
        <v>3783</v>
      </c>
      <c r="JSE4388" s="379" t="s">
        <v>3783</v>
      </c>
      <c r="JSF4388" s="379" t="s">
        <v>3783</v>
      </c>
      <c r="JSG4388" s="379" t="s">
        <v>3783</v>
      </c>
      <c r="JSH4388" s="379" t="s">
        <v>3783</v>
      </c>
      <c r="JSI4388" s="379" t="s">
        <v>3783</v>
      </c>
      <c r="JSJ4388" s="379" t="s">
        <v>3783</v>
      </c>
      <c r="JSK4388" s="379" t="s">
        <v>3783</v>
      </c>
      <c r="JSL4388" s="379" t="s">
        <v>3783</v>
      </c>
      <c r="JSM4388" s="379" t="s">
        <v>3783</v>
      </c>
      <c r="JSN4388" s="379" t="s">
        <v>3783</v>
      </c>
      <c r="JSO4388" s="379" t="s">
        <v>3783</v>
      </c>
      <c r="JSP4388" s="379" t="s">
        <v>3783</v>
      </c>
      <c r="JSQ4388" s="379" t="s">
        <v>3783</v>
      </c>
      <c r="JSR4388" s="379" t="s">
        <v>3783</v>
      </c>
      <c r="JSS4388" s="379" t="s">
        <v>3783</v>
      </c>
      <c r="JST4388" s="379" t="s">
        <v>3783</v>
      </c>
      <c r="JSU4388" s="379" t="s">
        <v>3783</v>
      </c>
      <c r="JSV4388" s="379" t="s">
        <v>3783</v>
      </c>
      <c r="JSW4388" s="379" t="s">
        <v>3783</v>
      </c>
      <c r="JSX4388" s="379" t="s">
        <v>3783</v>
      </c>
      <c r="JSY4388" s="379" t="s">
        <v>3783</v>
      </c>
      <c r="JSZ4388" s="379" t="s">
        <v>3783</v>
      </c>
      <c r="JTA4388" s="379" t="s">
        <v>3783</v>
      </c>
      <c r="JTB4388" s="379" t="s">
        <v>3783</v>
      </c>
      <c r="JTC4388" s="379" t="s">
        <v>3783</v>
      </c>
      <c r="JTD4388" s="379" t="s">
        <v>3783</v>
      </c>
      <c r="JTE4388" s="379" t="s">
        <v>3783</v>
      </c>
      <c r="JTF4388" s="379" t="s">
        <v>3783</v>
      </c>
      <c r="JTG4388" s="379" t="s">
        <v>3783</v>
      </c>
      <c r="JTH4388" s="379" t="s">
        <v>3783</v>
      </c>
      <c r="JTI4388" s="379" t="s">
        <v>3783</v>
      </c>
      <c r="JTJ4388" s="379" t="s">
        <v>3783</v>
      </c>
      <c r="JTK4388" s="379" t="s">
        <v>3783</v>
      </c>
      <c r="JTL4388" s="379" t="s">
        <v>3783</v>
      </c>
      <c r="JTM4388" s="379" t="s">
        <v>3783</v>
      </c>
      <c r="JTN4388" s="379" t="s">
        <v>3783</v>
      </c>
      <c r="JTO4388" s="379" t="s">
        <v>3783</v>
      </c>
      <c r="JTP4388" s="379" t="s">
        <v>3783</v>
      </c>
      <c r="JTQ4388" s="379" t="s">
        <v>3783</v>
      </c>
      <c r="JTR4388" s="379" t="s">
        <v>3783</v>
      </c>
      <c r="JTS4388" s="379" t="s">
        <v>3783</v>
      </c>
      <c r="JTT4388" s="379" t="s">
        <v>3783</v>
      </c>
      <c r="JTU4388" s="379" t="s">
        <v>3783</v>
      </c>
      <c r="JTV4388" s="379" t="s">
        <v>3783</v>
      </c>
      <c r="JTW4388" s="379" t="s">
        <v>3783</v>
      </c>
      <c r="JTX4388" s="379" t="s">
        <v>3783</v>
      </c>
      <c r="JTY4388" s="379" t="s">
        <v>3783</v>
      </c>
      <c r="JTZ4388" s="379" t="s">
        <v>3783</v>
      </c>
      <c r="JUA4388" s="379" t="s">
        <v>3783</v>
      </c>
      <c r="JUB4388" s="379" t="s">
        <v>3783</v>
      </c>
      <c r="JUC4388" s="379" t="s">
        <v>3783</v>
      </c>
      <c r="JUD4388" s="379" t="s">
        <v>3783</v>
      </c>
      <c r="JUE4388" s="379" t="s">
        <v>3783</v>
      </c>
      <c r="JUF4388" s="379" t="s">
        <v>3783</v>
      </c>
      <c r="JUG4388" s="379" t="s">
        <v>3783</v>
      </c>
      <c r="JUH4388" s="379" t="s">
        <v>3783</v>
      </c>
      <c r="JUI4388" s="379" t="s">
        <v>3783</v>
      </c>
      <c r="JUJ4388" s="379" t="s">
        <v>3783</v>
      </c>
      <c r="JUK4388" s="379" t="s">
        <v>3783</v>
      </c>
      <c r="JUL4388" s="379" t="s">
        <v>3783</v>
      </c>
      <c r="JUM4388" s="379" t="s">
        <v>3783</v>
      </c>
      <c r="JUN4388" s="379" t="s">
        <v>3783</v>
      </c>
      <c r="JUO4388" s="379" t="s">
        <v>3783</v>
      </c>
      <c r="JUP4388" s="379" t="s">
        <v>3783</v>
      </c>
      <c r="JUQ4388" s="379" t="s">
        <v>3783</v>
      </c>
      <c r="JUR4388" s="379" t="s">
        <v>3783</v>
      </c>
      <c r="JUS4388" s="379" t="s">
        <v>3783</v>
      </c>
      <c r="JUT4388" s="379" t="s">
        <v>3783</v>
      </c>
      <c r="JUU4388" s="379" t="s">
        <v>3783</v>
      </c>
      <c r="JUV4388" s="379" t="s">
        <v>3783</v>
      </c>
      <c r="JUW4388" s="379" t="s">
        <v>3783</v>
      </c>
      <c r="JUX4388" s="379" t="s">
        <v>3783</v>
      </c>
      <c r="JUY4388" s="379" t="s">
        <v>3783</v>
      </c>
      <c r="JUZ4388" s="379" t="s">
        <v>3783</v>
      </c>
      <c r="JVA4388" s="379" t="s">
        <v>3783</v>
      </c>
      <c r="JVB4388" s="379" t="s">
        <v>3783</v>
      </c>
      <c r="JVC4388" s="379" t="s">
        <v>3783</v>
      </c>
      <c r="JVD4388" s="379" t="s">
        <v>3783</v>
      </c>
      <c r="JVE4388" s="379" t="s">
        <v>3783</v>
      </c>
      <c r="JVF4388" s="379" t="s">
        <v>3783</v>
      </c>
      <c r="JVG4388" s="379" t="s">
        <v>3783</v>
      </c>
      <c r="JVH4388" s="379" t="s">
        <v>3783</v>
      </c>
      <c r="JVI4388" s="379" t="s">
        <v>3783</v>
      </c>
      <c r="JVJ4388" s="379" t="s">
        <v>3783</v>
      </c>
      <c r="JVK4388" s="379" t="s">
        <v>3783</v>
      </c>
      <c r="JVL4388" s="379" t="s">
        <v>3783</v>
      </c>
      <c r="JVM4388" s="379" t="s">
        <v>3783</v>
      </c>
      <c r="JVN4388" s="379" t="s">
        <v>3783</v>
      </c>
      <c r="JVO4388" s="379" t="s">
        <v>3783</v>
      </c>
      <c r="JVP4388" s="379" t="s">
        <v>3783</v>
      </c>
      <c r="JVQ4388" s="379" t="s">
        <v>3783</v>
      </c>
      <c r="JVR4388" s="379" t="s">
        <v>3783</v>
      </c>
      <c r="JVS4388" s="379" t="s">
        <v>3783</v>
      </c>
      <c r="JVT4388" s="379" t="s">
        <v>3783</v>
      </c>
      <c r="JVU4388" s="379" t="s">
        <v>3783</v>
      </c>
      <c r="JVV4388" s="379" t="s">
        <v>3783</v>
      </c>
      <c r="JVW4388" s="379" t="s">
        <v>3783</v>
      </c>
      <c r="JVX4388" s="379" t="s">
        <v>3783</v>
      </c>
      <c r="JVY4388" s="379" t="s">
        <v>3783</v>
      </c>
      <c r="JVZ4388" s="379" t="s">
        <v>3783</v>
      </c>
      <c r="JWA4388" s="379" t="s">
        <v>3783</v>
      </c>
      <c r="JWB4388" s="379" t="s">
        <v>3783</v>
      </c>
      <c r="JWC4388" s="379" t="s">
        <v>3783</v>
      </c>
      <c r="JWD4388" s="379" t="s">
        <v>3783</v>
      </c>
      <c r="JWE4388" s="379" t="s">
        <v>3783</v>
      </c>
      <c r="JWF4388" s="379" t="s">
        <v>3783</v>
      </c>
      <c r="JWG4388" s="379" t="s">
        <v>3783</v>
      </c>
      <c r="JWH4388" s="379" t="s">
        <v>3783</v>
      </c>
      <c r="JWI4388" s="379" t="s">
        <v>3783</v>
      </c>
      <c r="JWJ4388" s="379" t="s">
        <v>3783</v>
      </c>
      <c r="JWK4388" s="379" t="s">
        <v>3783</v>
      </c>
      <c r="JWL4388" s="379" t="s">
        <v>3783</v>
      </c>
      <c r="JWM4388" s="379" t="s">
        <v>3783</v>
      </c>
      <c r="JWN4388" s="379" t="s">
        <v>3783</v>
      </c>
      <c r="JWO4388" s="379" t="s">
        <v>3783</v>
      </c>
      <c r="JWP4388" s="379" t="s">
        <v>3783</v>
      </c>
      <c r="JWQ4388" s="379" t="s">
        <v>3783</v>
      </c>
      <c r="JWR4388" s="379" t="s">
        <v>3783</v>
      </c>
      <c r="JWS4388" s="379" t="s">
        <v>3783</v>
      </c>
      <c r="JWT4388" s="379" t="s">
        <v>3783</v>
      </c>
      <c r="JWU4388" s="379" t="s">
        <v>3783</v>
      </c>
      <c r="JWV4388" s="379" t="s">
        <v>3783</v>
      </c>
      <c r="JWW4388" s="379" t="s">
        <v>3783</v>
      </c>
      <c r="JWX4388" s="379" t="s">
        <v>3783</v>
      </c>
      <c r="JWY4388" s="379" t="s">
        <v>3783</v>
      </c>
      <c r="JWZ4388" s="379" t="s">
        <v>3783</v>
      </c>
      <c r="JXA4388" s="379" t="s">
        <v>3783</v>
      </c>
      <c r="JXB4388" s="379" t="s">
        <v>3783</v>
      </c>
      <c r="JXC4388" s="379" t="s">
        <v>3783</v>
      </c>
      <c r="JXD4388" s="379" t="s">
        <v>3783</v>
      </c>
      <c r="JXE4388" s="379" t="s">
        <v>3783</v>
      </c>
      <c r="JXF4388" s="379" t="s">
        <v>3783</v>
      </c>
      <c r="JXG4388" s="379" t="s">
        <v>3783</v>
      </c>
      <c r="JXH4388" s="379" t="s">
        <v>3783</v>
      </c>
      <c r="JXI4388" s="379" t="s">
        <v>3783</v>
      </c>
      <c r="JXJ4388" s="379" t="s">
        <v>3783</v>
      </c>
      <c r="JXK4388" s="379" t="s">
        <v>3783</v>
      </c>
      <c r="JXL4388" s="379" t="s">
        <v>3783</v>
      </c>
      <c r="JXM4388" s="379" t="s">
        <v>3783</v>
      </c>
      <c r="JXN4388" s="379" t="s">
        <v>3783</v>
      </c>
      <c r="JXO4388" s="379" t="s">
        <v>3783</v>
      </c>
      <c r="JXP4388" s="379" t="s">
        <v>3783</v>
      </c>
      <c r="JXQ4388" s="379" t="s">
        <v>3783</v>
      </c>
      <c r="JXR4388" s="379" t="s">
        <v>3783</v>
      </c>
      <c r="JXS4388" s="379" t="s">
        <v>3783</v>
      </c>
      <c r="JXT4388" s="379" t="s">
        <v>3783</v>
      </c>
      <c r="JXU4388" s="379" t="s">
        <v>3783</v>
      </c>
      <c r="JXV4388" s="379" t="s">
        <v>3783</v>
      </c>
      <c r="JXW4388" s="379" t="s">
        <v>3783</v>
      </c>
      <c r="JXX4388" s="379" t="s">
        <v>3783</v>
      </c>
      <c r="JXY4388" s="379" t="s">
        <v>3783</v>
      </c>
      <c r="JXZ4388" s="379" t="s">
        <v>3783</v>
      </c>
      <c r="JYA4388" s="379" t="s">
        <v>3783</v>
      </c>
      <c r="JYB4388" s="379" t="s">
        <v>3783</v>
      </c>
      <c r="JYC4388" s="379" t="s">
        <v>3783</v>
      </c>
      <c r="JYD4388" s="379" t="s">
        <v>3783</v>
      </c>
      <c r="JYE4388" s="379" t="s">
        <v>3783</v>
      </c>
      <c r="JYF4388" s="379" t="s">
        <v>3783</v>
      </c>
      <c r="JYG4388" s="379" t="s">
        <v>3783</v>
      </c>
      <c r="JYH4388" s="379" t="s">
        <v>3783</v>
      </c>
      <c r="JYI4388" s="379" t="s">
        <v>3783</v>
      </c>
      <c r="JYJ4388" s="379" t="s">
        <v>3783</v>
      </c>
      <c r="JYK4388" s="379" t="s">
        <v>3783</v>
      </c>
      <c r="JYL4388" s="379" t="s">
        <v>3783</v>
      </c>
      <c r="JYM4388" s="379" t="s">
        <v>3783</v>
      </c>
      <c r="JYN4388" s="379" t="s">
        <v>3783</v>
      </c>
      <c r="JYO4388" s="379" t="s">
        <v>3783</v>
      </c>
      <c r="JYP4388" s="379" t="s">
        <v>3783</v>
      </c>
      <c r="JYQ4388" s="379" t="s">
        <v>3783</v>
      </c>
      <c r="JYR4388" s="379" t="s">
        <v>3783</v>
      </c>
      <c r="JYS4388" s="379" t="s">
        <v>3783</v>
      </c>
      <c r="JYT4388" s="379" t="s">
        <v>3783</v>
      </c>
      <c r="JYU4388" s="379" t="s">
        <v>3783</v>
      </c>
      <c r="JYV4388" s="379" t="s">
        <v>3783</v>
      </c>
      <c r="JYW4388" s="379" t="s">
        <v>3783</v>
      </c>
      <c r="JYX4388" s="379" t="s">
        <v>3783</v>
      </c>
      <c r="JYY4388" s="379" t="s">
        <v>3783</v>
      </c>
      <c r="JYZ4388" s="379" t="s">
        <v>3783</v>
      </c>
      <c r="JZA4388" s="379" t="s">
        <v>3783</v>
      </c>
      <c r="JZB4388" s="379" t="s">
        <v>3783</v>
      </c>
      <c r="JZC4388" s="379" t="s">
        <v>3783</v>
      </c>
      <c r="JZD4388" s="379" t="s">
        <v>3783</v>
      </c>
      <c r="JZE4388" s="379" t="s">
        <v>3783</v>
      </c>
      <c r="JZF4388" s="379" t="s">
        <v>3783</v>
      </c>
      <c r="JZG4388" s="379" t="s">
        <v>3783</v>
      </c>
      <c r="JZH4388" s="379" t="s">
        <v>3783</v>
      </c>
      <c r="JZI4388" s="379" t="s">
        <v>3783</v>
      </c>
      <c r="JZJ4388" s="379" t="s">
        <v>3783</v>
      </c>
      <c r="JZK4388" s="379" t="s">
        <v>3783</v>
      </c>
      <c r="JZL4388" s="379" t="s">
        <v>3783</v>
      </c>
      <c r="JZM4388" s="379" t="s">
        <v>3783</v>
      </c>
      <c r="JZN4388" s="379" t="s">
        <v>3783</v>
      </c>
      <c r="JZO4388" s="379" t="s">
        <v>3783</v>
      </c>
      <c r="JZP4388" s="379" t="s">
        <v>3783</v>
      </c>
      <c r="JZQ4388" s="379" t="s">
        <v>3783</v>
      </c>
      <c r="JZR4388" s="379" t="s">
        <v>3783</v>
      </c>
      <c r="JZS4388" s="379" t="s">
        <v>3783</v>
      </c>
      <c r="JZT4388" s="379" t="s">
        <v>3783</v>
      </c>
      <c r="JZU4388" s="379" t="s">
        <v>3783</v>
      </c>
      <c r="JZV4388" s="379" t="s">
        <v>3783</v>
      </c>
      <c r="JZW4388" s="379" t="s">
        <v>3783</v>
      </c>
      <c r="JZX4388" s="379" t="s">
        <v>3783</v>
      </c>
      <c r="JZY4388" s="379" t="s">
        <v>3783</v>
      </c>
      <c r="JZZ4388" s="379" t="s">
        <v>3783</v>
      </c>
      <c r="KAA4388" s="379" t="s">
        <v>3783</v>
      </c>
      <c r="KAB4388" s="379" t="s">
        <v>3783</v>
      </c>
      <c r="KAC4388" s="379" t="s">
        <v>3783</v>
      </c>
      <c r="KAD4388" s="379" t="s">
        <v>3783</v>
      </c>
      <c r="KAE4388" s="379" t="s">
        <v>3783</v>
      </c>
      <c r="KAF4388" s="379" t="s">
        <v>3783</v>
      </c>
      <c r="KAG4388" s="379" t="s">
        <v>3783</v>
      </c>
      <c r="KAH4388" s="379" t="s">
        <v>3783</v>
      </c>
      <c r="KAI4388" s="379" t="s">
        <v>3783</v>
      </c>
      <c r="KAJ4388" s="379" t="s">
        <v>3783</v>
      </c>
      <c r="KAK4388" s="379" t="s">
        <v>3783</v>
      </c>
      <c r="KAL4388" s="379" t="s">
        <v>3783</v>
      </c>
      <c r="KAM4388" s="379" t="s">
        <v>3783</v>
      </c>
      <c r="KAN4388" s="379" t="s">
        <v>3783</v>
      </c>
      <c r="KAO4388" s="379" t="s">
        <v>3783</v>
      </c>
      <c r="KAP4388" s="379" t="s">
        <v>3783</v>
      </c>
      <c r="KAQ4388" s="379" t="s">
        <v>3783</v>
      </c>
      <c r="KAR4388" s="379" t="s">
        <v>3783</v>
      </c>
      <c r="KAS4388" s="379" t="s">
        <v>3783</v>
      </c>
      <c r="KAT4388" s="379" t="s">
        <v>3783</v>
      </c>
      <c r="KAU4388" s="379" t="s">
        <v>3783</v>
      </c>
      <c r="KAV4388" s="379" t="s">
        <v>3783</v>
      </c>
      <c r="KAW4388" s="379" t="s">
        <v>3783</v>
      </c>
      <c r="KAX4388" s="379" t="s">
        <v>3783</v>
      </c>
      <c r="KAY4388" s="379" t="s">
        <v>3783</v>
      </c>
      <c r="KAZ4388" s="379" t="s">
        <v>3783</v>
      </c>
      <c r="KBA4388" s="379" t="s">
        <v>3783</v>
      </c>
      <c r="KBB4388" s="379" t="s">
        <v>3783</v>
      </c>
      <c r="KBC4388" s="379" t="s">
        <v>3783</v>
      </c>
      <c r="KBD4388" s="379" t="s">
        <v>3783</v>
      </c>
      <c r="KBE4388" s="379" t="s">
        <v>3783</v>
      </c>
      <c r="KBF4388" s="379" t="s">
        <v>3783</v>
      </c>
      <c r="KBG4388" s="379" t="s">
        <v>3783</v>
      </c>
      <c r="KBH4388" s="379" t="s">
        <v>3783</v>
      </c>
      <c r="KBI4388" s="379" t="s">
        <v>3783</v>
      </c>
      <c r="KBJ4388" s="379" t="s">
        <v>3783</v>
      </c>
      <c r="KBK4388" s="379" t="s">
        <v>3783</v>
      </c>
      <c r="KBL4388" s="379" t="s">
        <v>3783</v>
      </c>
      <c r="KBM4388" s="379" t="s">
        <v>3783</v>
      </c>
      <c r="KBN4388" s="379" t="s">
        <v>3783</v>
      </c>
      <c r="KBO4388" s="379" t="s">
        <v>3783</v>
      </c>
      <c r="KBP4388" s="379" t="s">
        <v>3783</v>
      </c>
      <c r="KBQ4388" s="379" t="s">
        <v>3783</v>
      </c>
      <c r="KBR4388" s="379" t="s">
        <v>3783</v>
      </c>
      <c r="KBS4388" s="379" t="s">
        <v>3783</v>
      </c>
      <c r="KBT4388" s="379" t="s">
        <v>3783</v>
      </c>
      <c r="KBU4388" s="379" t="s">
        <v>3783</v>
      </c>
      <c r="KBV4388" s="379" t="s">
        <v>3783</v>
      </c>
      <c r="KBW4388" s="379" t="s">
        <v>3783</v>
      </c>
      <c r="KBX4388" s="379" t="s">
        <v>3783</v>
      </c>
      <c r="KBY4388" s="379" t="s">
        <v>3783</v>
      </c>
      <c r="KBZ4388" s="379" t="s">
        <v>3783</v>
      </c>
      <c r="KCA4388" s="379" t="s">
        <v>3783</v>
      </c>
      <c r="KCB4388" s="379" t="s">
        <v>3783</v>
      </c>
      <c r="KCC4388" s="379" t="s">
        <v>3783</v>
      </c>
      <c r="KCD4388" s="379" t="s">
        <v>3783</v>
      </c>
      <c r="KCE4388" s="379" t="s">
        <v>3783</v>
      </c>
      <c r="KCF4388" s="379" t="s">
        <v>3783</v>
      </c>
      <c r="KCG4388" s="379" t="s">
        <v>3783</v>
      </c>
      <c r="KCH4388" s="379" t="s">
        <v>3783</v>
      </c>
      <c r="KCI4388" s="379" t="s">
        <v>3783</v>
      </c>
      <c r="KCJ4388" s="379" t="s">
        <v>3783</v>
      </c>
      <c r="KCK4388" s="379" t="s">
        <v>3783</v>
      </c>
      <c r="KCL4388" s="379" t="s">
        <v>3783</v>
      </c>
      <c r="KCM4388" s="379" t="s">
        <v>3783</v>
      </c>
      <c r="KCN4388" s="379" t="s">
        <v>3783</v>
      </c>
      <c r="KCO4388" s="379" t="s">
        <v>3783</v>
      </c>
      <c r="KCP4388" s="379" t="s">
        <v>3783</v>
      </c>
      <c r="KCQ4388" s="379" t="s">
        <v>3783</v>
      </c>
      <c r="KCR4388" s="379" t="s">
        <v>3783</v>
      </c>
      <c r="KCS4388" s="379" t="s">
        <v>3783</v>
      </c>
      <c r="KCT4388" s="379" t="s">
        <v>3783</v>
      </c>
      <c r="KCU4388" s="379" t="s">
        <v>3783</v>
      </c>
      <c r="KCV4388" s="379" t="s">
        <v>3783</v>
      </c>
      <c r="KCW4388" s="379" t="s">
        <v>3783</v>
      </c>
      <c r="KCX4388" s="379" t="s">
        <v>3783</v>
      </c>
      <c r="KCY4388" s="379" t="s">
        <v>3783</v>
      </c>
      <c r="KCZ4388" s="379" t="s">
        <v>3783</v>
      </c>
      <c r="KDA4388" s="379" t="s">
        <v>3783</v>
      </c>
      <c r="KDB4388" s="379" t="s">
        <v>3783</v>
      </c>
      <c r="KDC4388" s="379" t="s">
        <v>3783</v>
      </c>
      <c r="KDD4388" s="379" t="s">
        <v>3783</v>
      </c>
      <c r="KDE4388" s="379" t="s">
        <v>3783</v>
      </c>
      <c r="KDF4388" s="379" t="s">
        <v>3783</v>
      </c>
      <c r="KDG4388" s="379" t="s">
        <v>3783</v>
      </c>
      <c r="KDH4388" s="379" t="s">
        <v>3783</v>
      </c>
      <c r="KDI4388" s="379" t="s">
        <v>3783</v>
      </c>
      <c r="KDJ4388" s="379" t="s">
        <v>3783</v>
      </c>
      <c r="KDK4388" s="379" t="s">
        <v>3783</v>
      </c>
      <c r="KDL4388" s="379" t="s">
        <v>3783</v>
      </c>
      <c r="KDM4388" s="379" t="s">
        <v>3783</v>
      </c>
      <c r="KDN4388" s="379" t="s">
        <v>3783</v>
      </c>
      <c r="KDO4388" s="379" t="s">
        <v>3783</v>
      </c>
      <c r="KDP4388" s="379" t="s">
        <v>3783</v>
      </c>
      <c r="KDQ4388" s="379" t="s">
        <v>3783</v>
      </c>
      <c r="KDR4388" s="379" t="s">
        <v>3783</v>
      </c>
      <c r="KDS4388" s="379" t="s">
        <v>3783</v>
      </c>
      <c r="KDT4388" s="379" t="s">
        <v>3783</v>
      </c>
      <c r="KDU4388" s="379" t="s">
        <v>3783</v>
      </c>
      <c r="KDV4388" s="379" t="s">
        <v>3783</v>
      </c>
      <c r="KDW4388" s="379" t="s">
        <v>3783</v>
      </c>
      <c r="KDX4388" s="379" t="s">
        <v>3783</v>
      </c>
      <c r="KDY4388" s="379" t="s">
        <v>3783</v>
      </c>
      <c r="KDZ4388" s="379" t="s">
        <v>3783</v>
      </c>
      <c r="KEA4388" s="379" t="s">
        <v>3783</v>
      </c>
      <c r="KEB4388" s="379" t="s">
        <v>3783</v>
      </c>
      <c r="KEC4388" s="379" t="s">
        <v>3783</v>
      </c>
      <c r="KED4388" s="379" t="s">
        <v>3783</v>
      </c>
      <c r="KEE4388" s="379" t="s">
        <v>3783</v>
      </c>
      <c r="KEF4388" s="379" t="s">
        <v>3783</v>
      </c>
      <c r="KEG4388" s="379" t="s">
        <v>3783</v>
      </c>
      <c r="KEH4388" s="379" t="s">
        <v>3783</v>
      </c>
      <c r="KEI4388" s="379" t="s">
        <v>3783</v>
      </c>
      <c r="KEJ4388" s="379" t="s">
        <v>3783</v>
      </c>
      <c r="KEK4388" s="379" t="s">
        <v>3783</v>
      </c>
      <c r="KEL4388" s="379" t="s">
        <v>3783</v>
      </c>
      <c r="KEM4388" s="379" t="s">
        <v>3783</v>
      </c>
      <c r="KEN4388" s="379" t="s">
        <v>3783</v>
      </c>
      <c r="KEO4388" s="379" t="s">
        <v>3783</v>
      </c>
      <c r="KEP4388" s="379" t="s">
        <v>3783</v>
      </c>
      <c r="KEQ4388" s="379" t="s">
        <v>3783</v>
      </c>
      <c r="KER4388" s="379" t="s">
        <v>3783</v>
      </c>
      <c r="KES4388" s="379" t="s">
        <v>3783</v>
      </c>
      <c r="KET4388" s="379" t="s">
        <v>3783</v>
      </c>
      <c r="KEU4388" s="379" t="s">
        <v>3783</v>
      </c>
      <c r="KEV4388" s="379" t="s">
        <v>3783</v>
      </c>
      <c r="KEW4388" s="379" t="s">
        <v>3783</v>
      </c>
      <c r="KEX4388" s="379" t="s">
        <v>3783</v>
      </c>
      <c r="KEY4388" s="379" t="s">
        <v>3783</v>
      </c>
      <c r="KEZ4388" s="379" t="s">
        <v>3783</v>
      </c>
      <c r="KFA4388" s="379" t="s">
        <v>3783</v>
      </c>
      <c r="KFB4388" s="379" t="s">
        <v>3783</v>
      </c>
      <c r="KFC4388" s="379" t="s">
        <v>3783</v>
      </c>
      <c r="KFD4388" s="379" t="s">
        <v>3783</v>
      </c>
      <c r="KFE4388" s="379" t="s">
        <v>3783</v>
      </c>
      <c r="KFF4388" s="379" t="s">
        <v>3783</v>
      </c>
      <c r="KFG4388" s="379" t="s">
        <v>3783</v>
      </c>
      <c r="KFH4388" s="379" t="s">
        <v>3783</v>
      </c>
      <c r="KFI4388" s="379" t="s">
        <v>3783</v>
      </c>
      <c r="KFJ4388" s="379" t="s">
        <v>3783</v>
      </c>
      <c r="KFK4388" s="379" t="s">
        <v>3783</v>
      </c>
      <c r="KFL4388" s="379" t="s">
        <v>3783</v>
      </c>
      <c r="KFM4388" s="379" t="s">
        <v>3783</v>
      </c>
      <c r="KFN4388" s="379" t="s">
        <v>3783</v>
      </c>
      <c r="KFO4388" s="379" t="s">
        <v>3783</v>
      </c>
      <c r="KFP4388" s="379" t="s">
        <v>3783</v>
      </c>
      <c r="KFQ4388" s="379" t="s">
        <v>3783</v>
      </c>
      <c r="KFR4388" s="379" t="s">
        <v>3783</v>
      </c>
      <c r="KFS4388" s="379" t="s">
        <v>3783</v>
      </c>
      <c r="KFT4388" s="379" t="s">
        <v>3783</v>
      </c>
      <c r="KFU4388" s="379" t="s">
        <v>3783</v>
      </c>
      <c r="KFV4388" s="379" t="s">
        <v>3783</v>
      </c>
      <c r="KFW4388" s="379" t="s">
        <v>3783</v>
      </c>
      <c r="KFX4388" s="379" t="s">
        <v>3783</v>
      </c>
      <c r="KFY4388" s="379" t="s">
        <v>3783</v>
      </c>
      <c r="KFZ4388" s="379" t="s">
        <v>3783</v>
      </c>
      <c r="KGA4388" s="379" t="s">
        <v>3783</v>
      </c>
      <c r="KGB4388" s="379" t="s">
        <v>3783</v>
      </c>
      <c r="KGC4388" s="379" t="s">
        <v>3783</v>
      </c>
      <c r="KGD4388" s="379" t="s">
        <v>3783</v>
      </c>
      <c r="KGE4388" s="379" t="s">
        <v>3783</v>
      </c>
      <c r="KGF4388" s="379" t="s">
        <v>3783</v>
      </c>
      <c r="KGG4388" s="379" t="s">
        <v>3783</v>
      </c>
      <c r="KGH4388" s="379" t="s">
        <v>3783</v>
      </c>
      <c r="KGI4388" s="379" t="s">
        <v>3783</v>
      </c>
      <c r="KGJ4388" s="379" t="s">
        <v>3783</v>
      </c>
      <c r="KGK4388" s="379" t="s">
        <v>3783</v>
      </c>
      <c r="KGL4388" s="379" t="s">
        <v>3783</v>
      </c>
      <c r="KGM4388" s="379" t="s">
        <v>3783</v>
      </c>
      <c r="KGN4388" s="379" t="s">
        <v>3783</v>
      </c>
      <c r="KGO4388" s="379" t="s">
        <v>3783</v>
      </c>
      <c r="KGP4388" s="379" t="s">
        <v>3783</v>
      </c>
      <c r="KGQ4388" s="379" t="s">
        <v>3783</v>
      </c>
      <c r="KGR4388" s="379" t="s">
        <v>3783</v>
      </c>
      <c r="KGS4388" s="379" t="s">
        <v>3783</v>
      </c>
      <c r="KGT4388" s="379" t="s">
        <v>3783</v>
      </c>
      <c r="KGU4388" s="379" t="s">
        <v>3783</v>
      </c>
      <c r="KGV4388" s="379" t="s">
        <v>3783</v>
      </c>
      <c r="KGW4388" s="379" t="s">
        <v>3783</v>
      </c>
      <c r="KGX4388" s="379" t="s">
        <v>3783</v>
      </c>
      <c r="KGY4388" s="379" t="s">
        <v>3783</v>
      </c>
      <c r="KGZ4388" s="379" t="s">
        <v>3783</v>
      </c>
      <c r="KHA4388" s="379" t="s">
        <v>3783</v>
      </c>
      <c r="KHB4388" s="379" t="s">
        <v>3783</v>
      </c>
      <c r="KHC4388" s="379" t="s">
        <v>3783</v>
      </c>
      <c r="KHD4388" s="379" t="s">
        <v>3783</v>
      </c>
      <c r="KHE4388" s="379" t="s">
        <v>3783</v>
      </c>
      <c r="KHF4388" s="379" t="s">
        <v>3783</v>
      </c>
      <c r="KHG4388" s="379" t="s">
        <v>3783</v>
      </c>
      <c r="KHH4388" s="379" t="s">
        <v>3783</v>
      </c>
      <c r="KHI4388" s="379" t="s">
        <v>3783</v>
      </c>
      <c r="KHJ4388" s="379" t="s">
        <v>3783</v>
      </c>
      <c r="KHK4388" s="379" t="s">
        <v>3783</v>
      </c>
      <c r="KHL4388" s="379" t="s">
        <v>3783</v>
      </c>
      <c r="KHM4388" s="379" t="s">
        <v>3783</v>
      </c>
      <c r="KHN4388" s="379" t="s">
        <v>3783</v>
      </c>
      <c r="KHO4388" s="379" t="s">
        <v>3783</v>
      </c>
      <c r="KHP4388" s="379" t="s">
        <v>3783</v>
      </c>
      <c r="KHQ4388" s="379" t="s">
        <v>3783</v>
      </c>
      <c r="KHR4388" s="379" t="s">
        <v>3783</v>
      </c>
      <c r="KHS4388" s="379" t="s">
        <v>3783</v>
      </c>
      <c r="KHT4388" s="379" t="s">
        <v>3783</v>
      </c>
      <c r="KHU4388" s="379" t="s">
        <v>3783</v>
      </c>
      <c r="KHV4388" s="379" t="s">
        <v>3783</v>
      </c>
      <c r="KHW4388" s="379" t="s">
        <v>3783</v>
      </c>
      <c r="KHX4388" s="379" t="s">
        <v>3783</v>
      </c>
      <c r="KHY4388" s="379" t="s">
        <v>3783</v>
      </c>
      <c r="KHZ4388" s="379" t="s">
        <v>3783</v>
      </c>
      <c r="KIA4388" s="379" t="s">
        <v>3783</v>
      </c>
      <c r="KIB4388" s="379" t="s">
        <v>3783</v>
      </c>
      <c r="KIC4388" s="379" t="s">
        <v>3783</v>
      </c>
      <c r="KID4388" s="379" t="s">
        <v>3783</v>
      </c>
      <c r="KIE4388" s="379" t="s">
        <v>3783</v>
      </c>
      <c r="KIF4388" s="379" t="s">
        <v>3783</v>
      </c>
      <c r="KIG4388" s="379" t="s">
        <v>3783</v>
      </c>
      <c r="KIH4388" s="379" t="s">
        <v>3783</v>
      </c>
      <c r="KII4388" s="379" t="s">
        <v>3783</v>
      </c>
      <c r="KIJ4388" s="379" t="s">
        <v>3783</v>
      </c>
      <c r="KIK4388" s="379" t="s">
        <v>3783</v>
      </c>
      <c r="KIL4388" s="379" t="s">
        <v>3783</v>
      </c>
      <c r="KIM4388" s="379" t="s">
        <v>3783</v>
      </c>
      <c r="KIN4388" s="379" t="s">
        <v>3783</v>
      </c>
      <c r="KIO4388" s="379" t="s">
        <v>3783</v>
      </c>
      <c r="KIP4388" s="379" t="s">
        <v>3783</v>
      </c>
      <c r="KIQ4388" s="379" t="s">
        <v>3783</v>
      </c>
      <c r="KIR4388" s="379" t="s">
        <v>3783</v>
      </c>
      <c r="KIS4388" s="379" t="s">
        <v>3783</v>
      </c>
      <c r="KIT4388" s="379" t="s">
        <v>3783</v>
      </c>
      <c r="KIU4388" s="379" t="s">
        <v>3783</v>
      </c>
      <c r="KIV4388" s="379" t="s">
        <v>3783</v>
      </c>
      <c r="KIW4388" s="379" t="s">
        <v>3783</v>
      </c>
      <c r="KIX4388" s="379" t="s">
        <v>3783</v>
      </c>
      <c r="KIY4388" s="379" t="s">
        <v>3783</v>
      </c>
      <c r="KIZ4388" s="379" t="s">
        <v>3783</v>
      </c>
      <c r="KJA4388" s="379" t="s">
        <v>3783</v>
      </c>
      <c r="KJB4388" s="379" t="s">
        <v>3783</v>
      </c>
      <c r="KJC4388" s="379" t="s">
        <v>3783</v>
      </c>
      <c r="KJD4388" s="379" t="s">
        <v>3783</v>
      </c>
      <c r="KJE4388" s="379" t="s">
        <v>3783</v>
      </c>
      <c r="KJF4388" s="379" t="s">
        <v>3783</v>
      </c>
      <c r="KJG4388" s="379" t="s">
        <v>3783</v>
      </c>
      <c r="KJH4388" s="379" t="s">
        <v>3783</v>
      </c>
      <c r="KJI4388" s="379" t="s">
        <v>3783</v>
      </c>
      <c r="KJJ4388" s="379" t="s">
        <v>3783</v>
      </c>
      <c r="KJK4388" s="379" t="s">
        <v>3783</v>
      </c>
      <c r="KJL4388" s="379" t="s">
        <v>3783</v>
      </c>
      <c r="KJM4388" s="379" t="s">
        <v>3783</v>
      </c>
      <c r="KJN4388" s="379" t="s">
        <v>3783</v>
      </c>
      <c r="KJO4388" s="379" t="s">
        <v>3783</v>
      </c>
      <c r="KJP4388" s="379" t="s">
        <v>3783</v>
      </c>
      <c r="KJQ4388" s="379" t="s">
        <v>3783</v>
      </c>
      <c r="KJR4388" s="379" t="s">
        <v>3783</v>
      </c>
      <c r="KJS4388" s="379" t="s">
        <v>3783</v>
      </c>
      <c r="KJT4388" s="379" t="s">
        <v>3783</v>
      </c>
      <c r="KJU4388" s="379" t="s">
        <v>3783</v>
      </c>
      <c r="KJV4388" s="379" t="s">
        <v>3783</v>
      </c>
      <c r="KJW4388" s="379" t="s">
        <v>3783</v>
      </c>
      <c r="KJX4388" s="379" t="s">
        <v>3783</v>
      </c>
      <c r="KJY4388" s="379" t="s">
        <v>3783</v>
      </c>
      <c r="KJZ4388" s="379" t="s">
        <v>3783</v>
      </c>
      <c r="KKA4388" s="379" t="s">
        <v>3783</v>
      </c>
      <c r="KKB4388" s="379" t="s">
        <v>3783</v>
      </c>
      <c r="KKC4388" s="379" t="s">
        <v>3783</v>
      </c>
      <c r="KKD4388" s="379" t="s">
        <v>3783</v>
      </c>
      <c r="KKE4388" s="379" t="s">
        <v>3783</v>
      </c>
      <c r="KKF4388" s="379" t="s">
        <v>3783</v>
      </c>
      <c r="KKG4388" s="379" t="s">
        <v>3783</v>
      </c>
      <c r="KKH4388" s="379" t="s">
        <v>3783</v>
      </c>
      <c r="KKI4388" s="379" t="s">
        <v>3783</v>
      </c>
      <c r="KKJ4388" s="379" t="s">
        <v>3783</v>
      </c>
      <c r="KKK4388" s="379" t="s">
        <v>3783</v>
      </c>
      <c r="KKL4388" s="379" t="s">
        <v>3783</v>
      </c>
      <c r="KKM4388" s="379" t="s">
        <v>3783</v>
      </c>
      <c r="KKN4388" s="379" t="s">
        <v>3783</v>
      </c>
      <c r="KKO4388" s="379" t="s">
        <v>3783</v>
      </c>
      <c r="KKP4388" s="379" t="s">
        <v>3783</v>
      </c>
      <c r="KKQ4388" s="379" t="s">
        <v>3783</v>
      </c>
      <c r="KKR4388" s="379" t="s">
        <v>3783</v>
      </c>
      <c r="KKS4388" s="379" t="s">
        <v>3783</v>
      </c>
      <c r="KKT4388" s="379" t="s">
        <v>3783</v>
      </c>
      <c r="KKU4388" s="379" t="s">
        <v>3783</v>
      </c>
      <c r="KKV4388" s="379" t="s">
        <v>3783</v>
      </c>
      <c r="KKW4388" s="379" t="s">
        <v>3783</v>
      </c>
      <c r="KKX4388" s="379" t="s">
        <v>3783</v>
      </c>
      <c r="KKY4388" s="379" t="s">
        <v>3783</v>
      </c>
      <c r="KKZ4388" s="379" t="s">
        <v>3783</v>
      </c>
      <c r="KLA4388" s="379" t="s">
        <v>3783</v>
      </c>
      <c r="KLB4388" s="379" t="s">
        <v>3783</v>
      </c>
      <c r="KLC4388" s="379" t="s">
        <v>3783</v>
      </c>
      <c r="KLD4388" s="379" t="s">
        <v>3783</v>
      </c>
      <c r="KLE4388" s="379" t="s">
        <v>3783</v>
      </c>
      <c r="KLF4388" s="379" t="s">
        <v>3783</v>
      </c>
      <c r="KLG4388" s="379" t="s">
        <v>3783</v>
      </c>
      <c r="KLH4388" s="379" t="s">
        <v>3783</v>
      </c>
      <c r="KLI4388" s="379" t="s">
        <v>3783</v>
      </c>
      <c r="KLJ4388" s="379" t="s">
        <v>3783</v>
      </c>
      <c r="KLK4388" s="379" t="s">
        <v>3783</v>
      </c>
      <c r="KLL4388" s="379" t="s">
        <v>3783</v>
      </c>
      <c r="KLM4388" s="379" t="s">
        <v>3783</v>
      </c>
      <c r="KLN4388" s="379" t="s">
        <v>3783</v>
      </c>
      <c r="KLO4388" s="379" t="s">
        <v>3783</v>
      </c>
      <c r="KLP4388" s="379" t="s">
        <v>3783</v>
      </c>
      <c r="KLQ4388" s="379" t="s">
        <v>3783</v>
      </c>
      <c r="KLR4388" s="379" t="s">
        <v>3783</v>
      </c>
      <c r="KLS4388" s="379" t="s">
        <v>3783</v>
      </c>
      <c r="KLT4388" s="379" t="s">
        <v>3783</v>
      </c>
      <c r="KLU4388" s="379" t="s">
        <v>3783</v>
      </c>
      <c r="KLV4388" s="379" t="s">
        <v>3783</v>
      </c>
      <c r="KLW4388" s="379" t="s">
        <v>3783</v>
      </c>
      <c r="KLX4388" s="379" t="s">
        <v>3783</v>
      </c>
      <c r="KLY4388" s="379" t="s">
        <v>3783</v>
      </c>
      <c r="KLZ4388" s="379" t="s">
        <v>3783</v>
      </c>
      <c r="KMA4388" s="379" t="s">
        <v>3783</v>
      </c>
      <c r="KMB4388" s="379" t="s">
        <v>3783</v>
      </c>
      <c r="KMC4388" s="379" t="s">
        <v>3783</v>
      </c>
      <c r="KMD4388" s="379" t="s">
        <v>3783</v>
      </c>
      <c r="KME4388" s="379" t="s">
        <v>3783</v>
      </c>
      <c r="KMF4388" s="379" t="s">
        <v>3783</v>
      </c>
      <c r="KMG4388" s="379" t="s">
        <v>3783</v>
      </c>
      <c r="KMH4388" s="379" t="s">
        <v>3783</v>
      </c>
      <c r="KMI4388" s="379" t="s">
        <v>3783</v>
      </c>
      <c r="KMJ4388" s="379" t="s">
        <v>3783</v>
      </c>
      <c r="KMK4388" s="379" t="s">
        <v>3783</v>
      </c>
      <c r="KML4388" s="379" t="s">
        <v>3783</v>
      </c>
      <c r="KMM4388" s="379" t="s">
        <v>3783</v>
      </c>
      <c r="KMN4388" s="379" t="s">
        <v>3783</v>
      </c>
      <c r="KMO4388" s="379" t="s">
        <v>3783</v>
      </c>
      <c r="KMP4388" s="379" t="s">
        <v>3783</v>
      </c>
      <c r="KMQ4388" s="379" t="s">
        <v>3783</v>
      </c>
      <c r="KMR4388" s="379" t="s">
        <v>3783</v>
      </c>
      <c r="KMS4388" s="379" t="s">
        <v>3783</v>
      </c>
      <c r="KMT4388" s="379" t="s">
        <v>3783</v>
      </c>
      <c r="KMU4388" s="379" t="s">
        <v>3783</v>
      </c>
      <c r="KMV4388" s="379" t="s">
        <v>3783</v>
      </c>
      <c r="KMW4388" s="379" t="s">
        <v>3783</v>
      </c>
      <c r="KMX4388" s="379" t="s">
        <v>3783</v>
      </c>
      <c r="KMY4388" s="379" t="s">
        <v>3783</v>
      </c>
      <c r="KMZ4388" s="379" t="s">
        <v>3783</v>
      </c>
      <c r="KNA4388" s="379" t="s">
        <v>3783</v>
      </c>
      <c r="KNB4388" s="379" t="s">
        <v>3783</v>
      </c>
      <c r="KNC4388" s="379" t="s">
        <v>3783</v>
      </c>
      <c r="KND4388" s="379" t="s">
        <v>3783</v>
      </c>
      <c r="KNE4388" s="379" t="s">
        <v>3783</v>
      </c>
      <c r="KNF4388" s="379" t="s">
        <v>3783</v>
      </c>
      <c r="KNG4388" s="379" t="s">
        <v>3783</v>
      </c>
      <c r="KNH4388" s="379" t="s">
        <v>3783</v>
      </c>
      <c r="KNI4388" s="379" t="s">
        <v>3783</v>
      </c>
      <c r="KNJ4388" s="379" t="s">
        <v>3783</v>
      </c>
      <c r="KNK4388" s="379" t="s">
        <v>3783</v>
      </c>
      <c r="KNL4388" s="379" t="s">
        <v>3783</v>
      </c>
      <c r="KNM4388" s="379" t="s">
        <v>3783</v>
      </c>
      <c r="KNN4388" s="379" t="s">
        <v>3783</v>
      </c>
      <c r="KNO4388" s="379" t="s">
        <v>3783</v>
      </c>
      <c r="KNP4388" s="379" t="s">
        <v>3783</v>
      </c>
      <c r="KNQ4388" s="379" t="s">
        <v>3783</v>
      </c>
      <c r="KNR4388" s="379" t="s">
        <v>3783</v>
      </c>
      <c r="KNS4388" s="379" t="s">
        <v>3783</v>
      </c>
      <c r="KNT4388" s="379" t="s">
        <v>3783</v>
      </c>
      <c r="KNU4388" s="379" t="s">
        <v>3783</v>
      </c>
      <c r="KNV4388" s="379" t="s">
        <v>3783</v>
      </c>
      <c r="KNW4388" s="379" t="s">
        <v>3783</v>
      </c>
      <c r="KNX4388" s="379" t="s">
        <v>3783</v>
      </c>
      <c r="KNY4388" s="379" t="s">
        <v>3783</v>
      </c>
      <c r="KNZ4388" s="379" t="s">
        <v>3783</v>
      </c>
      <c r="KOA4388" s="379" t="s">
        <v>3783</v>
      </c>
      <c r="KOB4388" s="379" t="s">
        <v>3783</v>
      </c>
      <c r="KOC4388" s="379" t="s">
        <v>3783</v>
      </c>
      <c r="KOD4388" s="379" t="s">
        <v>3783</v>
      </c>
      <c r="KOE4388" s="379" t="s">
        <v>3783</v>
      </c>
      <c r="KOF4388" s="379" t="s">
        <v>3783</v>
      </c>
      <c r="KOG4388" s="379" t="s">
        <v>3783</v>
      </c>
      <c r="KOH4388" s="379" t="s">
        <v>3783</v>
      </c>
      <c r="KOI4388" s="379" t="s">
        <v>3783</v>
      </c>
      <c r="KOJ4388" s="379" t="s">
        <v>3783</v>
      </c>
      <c r="KOK4388" s="379" t="s">
        <v>3783</v>
      </c>
      <c r="KOL4388" s="379" t="s">
        <v>3783</v>
      </c>
      <c r="KOM4388" s="379" t="s">
        <v>3783</v>
      </c>
      <c r="KON4388" s="379" t="s">
        <v>3783</v>
      </c>
      <c r="KOO4388" s="379" t="s">
        <v>3783</v>
      </c>
      <c r="KOP4388" s="379" t="s">
        <v>3783</v>
      </c>
      <c r="KOQ4388" s="379" t="s">
        <v>3783</v>
      </c>
      <c r="KOR4388" s="379" t="s">
        <v>3783</v>
      </c>
      <c r="KOS4388" s="379" t="s">
        <v>3783</v>
      </c>
      <c r="KOT4388" s="379" t="s">
        <v>3783</v>
      </c>
      <c r="KOU4388" s="379" t="s">
        <v>3783</v>
      </c>
      <c r="KOV4388" s="379" t="s">
        <v>3783</v>
      </c>
      <c r="KOW4388" s="379" t="s">
        <v>3783</v>
      </c>
      <c r="KOX4388" s="379" t="s">
        <v>3783</v>
      </c>
      <c r="KOY4388" s="379" t="s">
        <v>3783</v>
      </c>
      <c r="KOZ4388" s="379" t="s">
        <v>3783</v>
      </c>
      <c r="KPA4388" s="379" t="s">
        <v>3783</v>
      </c>
      <c r="KPB4388" s="379" t="s">
        <v>3783</v>
      </c>
      <c r="KPC4388" s="379" t="s">
        <v>3783</v>
      </c>
      <c r="KPD4388" s="379" t="s">
        <v>3783</v>
      </c>
      <c r="KPE4388" s="379" t="s">
        <v>3783</v>
      </c>
      <c r="KPF4388" s="379" t="s">
        <v>3783</v>
      </c>
      <c r="KPG4388" s="379" t="s">
        <v>3783</v>
      </c>
      <c r="KPH4388" s="379" t="s">
        <v>3783</v>
      </c>
      <c r="KPI4388" s="379" t="s">
        <v>3783</v>
      </c>
      <c r="KPJ4388" s="379" t="s">
        <v>3783</v>
      </c>
      <c r="KPK4388" s="379" t="s">
        <v>3783</v>
      </c>
      <c r="KPL4388" s="379" t="s">
        <v>3783</v>
      </c>
      <c r="KPM4388" s="379" t="s">
        <v>3783</v>
      </c>
      <c r="KPN4388" s="379" t="s">
        <v>3783</v>
      </c>
      <c r="KPO4388" s="379" t="s">
        <v>3783</v>
      </c>
      <c r="KPP4388" s="379" t="s">
        <v>3783</v>
      </c>
      <c r="KPQ4388" s="379" t="s">
        <v>3783</v>
      </c>
      <c r="KPR4388" s="379" t="s">
        <v>3783</v>
      </c>
      <c r="KPS4388" s="379" t="s">
        <v>3783</v>
      </c>
      <c r="KPT4388" s="379" t="s">
        <v>3783</v>
      </c>
      <c r="KPU4388" s="379" t="s">
        <v>3783</v>
      </c>
      <c r="KPV4388" s="379" t="s">
        <v>3783</v>
      </c>
      <c r="KPW4388" s="379" t="s">
        <v>3783</v>
      </c>
      <c r="KPX4388" s="379" t="s">
        <v>3783</v>
      </c>
      <c r="KPY4388" s="379" t="s">
        <v>3783</v>
      </c>
      <c r="KPZ4388" s="379" t="s">
        <v>3783</v>
      </c>
      <c r="KQA4388" s="379" t="s">
        <v>3783</v>
      </c>
      <c r="KQB4388" s="379" t="s">
        <v>3783</v>
      </c>
      <c r="KQC4388" s="379" t="s">
        <v>3783</v>
      </c>
      <c r="KQD4388" s="379" t="s">
        <v>3783</v>
      </c>
      <c r="KQE4388" s="379" t="s">
        <v>3783</v>
      </c>
      <c r="KQF4388" s="379" t="s">
        <v>3783</v>
      </c>
      <c r="KQG4388" s="379" t="s">
        <v>3783</v>
      </c>
      <c r="KQH4388" s="379" t="s">
        <v>3783</v>
      </c>
      <c r="KQI4388" s="379" t="s">
        <v>3783</v>
      </c>
      <c r="KQJ4388" s="379" t="s">
        <v>3783</v>
      </c>
      <c r="KQK4388" s="379" t="s">
        <v>3783</v>
      </c>
      <c r="KQL4388" s="379" t="s">
        <v>3783</v>
      </c>
      <c r="KQM4388" s="379" t="s">
        <v>3783</v>
      </c>
      <c r="KQN4388" s="379" t="s">
        <v>3783</v>
      </c>
      <c r="KQO4388" s="379" t="s">
        <v>3783</v>
      </c>
      <c r="KQP4388" s="379" t="s">
        <v>3783</v>
      </c>
      <c r="KQQ4388" s="379" t="s">
        <v>3783</v>
      </c>
      <c r="KQR4388" s="379" t="s">
        <v>3783</v>
      </c>
      <c r="KQS4388" s="379" t="s">
        <v>3783</v>
      </c>
      <c r="KQT4388" s="379" t="s">
        <v>3783</v>
      </c>
      <c r="KQU4388" s="379" t="s">
        <v>3783</v>
      </c>
      <c r="KQV4388" s="379" t="s">
        <v>3783</v>
      </c>
      <c r="KQW4388" s="379" t="s">
        <v>3783</v>
      </c>
      <c r="KQX4388" s="379" t="s">
        <v>3783</v>
      </c>
      <c r="KQY4388" s="379" t="s">
        <v>3783</v>
      </c>
      <c r="KQZ4388" s="379" t="s">
        <v>3783</v>
      </c>
      <c r="KRA4388" s="379" t="s">
        <v>3783</v>
      </c>
      <c r="KRB4388" s="379" t="s">
        <v>3783</v>
      </c>
      <c r="KRC4388" s="379" t="s">
        <v>3783</v>
      </c>
      <c r="KRD4388" s="379" t="s">
        <v>3783</v>
      </c>
      <c r="KRE4388" s="379" t="s">
        <v>3783</v>
      </c>
      <c r="KRF4388" s="379" t="s">
        <v>3783</v>
      </c>
      <c r="KRG4388" s="379" t="s">
        <v>3783</v>
      </c>
      <c r="KRH4388" s="379" t="s">
        <v>3783</v>
      </c>
      <c r="KRI4388" s="379" t="s">
        <v>3783</v>
      </c>
      <c r="KRJ4388" s="379" t="s">
        <v>3783</v>
      </c>
      <c r="KRK4388" s="379" t="s">
        <v>3783</v>
      </c>
      <c r="KRL4388" s="379" t="s">
        <v>3783</v>
      </c>
      <c r="KRM4388" s="379" t="s">
        <v>3783</v>
      </c>
      <c r="KRN4388" s="379" t="s">
        <v>3783</v>
      </c>
      <c r="KRO4388" s="379" t="s">
        <v>3783</v>
      </c>
      <c r="KRP4388" s="379" t="s">
        <v>3783</v>
      </c>
      <c r="KRQ4388" s="379" t="s">
        <v>3783</v>
      </c>
      <c r="KRR4388" s="379" t="s">
        <v>3783</v>
      </c>
      <c r="KRS4388" s="379" t="s">
        <v>3783</v>
      </c>
      <c r="KRT4388" s="379" t="s">
        <v>3783</v>
      </c>
      <c r="KRU4388" s="379" t="s">
        <v>3783</v>
      </c>
      <c r="KRV4388" s="379" t="s">
        <v>3783</v>
      </c>
      <c r="KRW4388" s="379" t="s">
        <v>3783</v>
      </c>
      <c r="KRX4388" s="379" t="s">
        <v>3783</v>
      </c>
      <c r="KRY4388" s="379" t="s">
        <v>3783</v>
      </c>
      <c r="KRZ4388" s="379" t="s">
        <v>3783</v>
      </c>
      <c r="KSA4388" s="379" t="s">
        <v>3783</v>
      </c>
      <c r="KSB4388" s="379" t="s">
        <v>3783</v>
      </c>
      <c r="KSC4388" s="379" t="s">
        <v>3783</v>
      </c>
      <c r="KSD4388" s="379" t="s">
        <v>3783</v>
      </c>
      <c r="KSE4388" s="379" t="s">
        <v>3783</v>
      </c>
      <c r="KSF4388" s="379" t="s">
        <v>3783</v>
      </c>
      <c r="KSG4388" s="379" t="s">
        <v>3783</v>
      </c>
      <c r="KSH4388" s="379" t="s">
        <v>3783</v>
      </c>
      <c r="KSI4388" s="379" t="s">
        <v>3783</v>
      </c>
      <c r="KSJ4388" s="379" t="s">
        <v>3783</v>
      </c>
      <c r="KSK4388" s="379" t="s">
        <v>3783</v>
      </c>
      <c r="KSL4388" s="379" t="s">
        <v>3783</v>
      </c>
      <c r="KSM4388" s="379" t="s">
        <v>3783</v>
      </c>
      <c r="KSN4388" s="379" t="s">
        <v>3783</v>
      </c>
      <c r="KSO4388" s="379" t="s">
        <v>3783</v>
      </c>
      <c r="KSP4388" s="379" t="s">
        <v>3783</v>
      </c>
      <c r="KSQ4388" s="379" t="s">
        <v>3783</v>
      </c>
      <c r="KSR4388" s="379" t="s">
        <v>3783</v>
      </c>
      <c r="KSS4388" s="379" t="s">
        <v>3783</v>
      </c>
      <c r="KST4388" s="379" t="s">
        <v>3783</v>
      </c>
      <c r="KSU4388" s="379" t="s">
        <v>3783</v>
      </c>
      <c r="KSV4388" s="379" t="s">
        <v>3783</v>
      </c>
      <c r="KSW4388" s="379" t="s">
        <v>3783</v>
      </c>
      <c r="KSX4388" s="379" t="s">
        <v>3783</v>
      </c>
      <c r="KSY4388" s="379" t="s">
        <v>3783</v>
      </c>
      <c r="KSZ4388" s="379" t="s">
        <v>3783</v>
      </c>
      <c r="KTA4388" s="379" t="s">
        <v>3783</v>
      </c>
      <c r="KTB4388" s="379" t="s">
        <v>3783</v>
      </c>
      <c r="KTC4388" s="379" t="s">
        <v>3783</v>
      </c>
      <c r="KTD4388" s="379" t="s">
        <v>3783</v>
      </c>
      <c r="KTE4388" s="379" t="s">
        <v>3783</v>
      </c>
      <c r="KTF4388" s="379" t="s">
        <v>3783</v>
      </c>
      <c r="KTG4388" s="379" t="s">
        <v>3783</v>
      </c>
      <c r="KTH4388" s="379" t="s">
        <v>3783</v>
      </c>
      <c r="KTI4388" s="379" t="s">
        <v>3783</v>
      </c>
      <c r="KTJ4388" s="379" t="s">
        <v>3783</v>
      </c>
      <c r="KTK4388" s="379" t="s">
        <v>3783</v>
      </c>
      <c r="KTL4388" s="379" t="s">
        <v>3783</v>
      </c>
      <c r="KTM4388" s="379" t="s">
        <v>3783</v>
      </c>
      <c r="KTN4388" s="379" t="s">
        <v>3783</v>
      </c>
      <c r="KTO4388" s="379" t="s">
        <v>3783</v>
      </c>
      <c r="KTP4388" s="379" t="s">
        <v>3783</v>
      </c>
      <c r="KTQ4388" s="379" t="s">
        <v>3783</v>
      </c>
      <c r="KTR4388" s="379" t="s">
        <v>3783</v>
      </c>
      <c r="KTS4388" s="379" t="s">
        <v>3783</v>
      </c>
      <c r="KTT4388" s="379" t="s">
        <v>3783</v>
      </c>
      <c r="KTU4388" s="379" t="s">
        <v>3783</v>
      </c>
      <c r="KTV4388" s="379" t="s">
        <v>3783</v>
      </c>
      <c r="KTW4388" s="379" t="s">
        <v>3783</v>
      </c>
      <c r="KTX4388" s="379" t="s">
        <v>3783</v>
      </c>
      <c r="KTY4388" s="379" t="s">
        <v>3783</v>
      </c>
      <c r="KTZ4388" s="379" t="s">
        <v>3783</v>
      </c>
      <c r="KUA4388" s="379" t="s">
        <v>3783</v>
      </c>
      <c r="KUB4388" s="379" t="s">
        <v>3783</v>
      </c>
      <c r="KUC4388" s="379" t="s">
        <v>3783</v>
      </c>
      <c r="KUD4388" s="379" t="s">
        <v>3783</v>
      </c>
      <c r="KUE4388" s="379" t="s">
        <v>3783</v>
      </c>
      <c r="KUF4388" s="379" t="s">
        <v>3783</v>
      </c>
      <c r="KUG4388" s="379" t="s">
        <v>3783</v>
      </c>
      <c r="KUH4388" s="379" t="s">
        <v>3783</v>
      </c>
      <c r="KUI4388" s="379" t="s">
        <v>3783</v>
      </c>
      <c r="KUJ4388" s="379" t="s">
        <v>3783</v>
      </c>
      <c r="KUK4388" s="379" t="s">
        <v>3783</v>
      </c>
      <c r="KUL4388" s="379" t="s">
        <v>3783</v>
      </c>
      <c r="KUM4388" s="379" t="s">
        <v>3783</v>
      </c>
      <c r="KUN4388" s="379" t="s">
        <v>3783</v>
      </c>
      <c r="KUO4388" s="379" t="s">
        <v>3783</v>
      </c>
      <c r="KUP4388" s="379" t="s">
        <v>3783</v>
      </c>
      <c r="KUQ4388" s="379" t="s">
        <v>3783</v>
      </c>
      <c r="KUR4388" s="379" t="s">
        <v>3783</v>
      </c>
      <c r="KUS4388" s="379" t="s">
        <v>3783</v>
      </c>
      <c r="KUT4388" s="379" t="s">
        <v>3783</v>
      </c>
      <c r="KUU4388" s="379" t="s">
        <v>3783</v>
      </c>
      <c r="KUV4388" s="379" t="s">
        <v>3783</v>
      </c>
      <c r="KUW4388" s="379" t="s">
        <v>3783</v>
      </c>
      <c r="KUX4388" s="379" t="s">
        <v>3783</v>
      </c>
      <c r="KUY4388" s="379" t="s">
        <v>3783</v>
      </c>
      <c r="KUZ4388" s="379" t="s">
        <v>3783</v>
      </c>
      <c r="KVA4388" s="379" t="s">
        <v>3783</v>
      </c>
      <c r="KVB4388" s="379" t="s">
        <v>3783</v>
      </c>
      <c r="KVC4388" s="379" t="s">
        <v>3783</v>
      </c>
      <c r="KVD4388" s="379" t="s">
        <v>3783</v>
      </c>
      <c r="KVE4388" s="379" t="s">
        <v>3783</v>
      </c>
      <c r="KVF4388" s="379" t="s">
        <v>3783</v>
      </c>
      <c r="KVG4388" s="379" t="s">
        <v>3783</v>
      </c>
      <c r="KVH4388" s="379" t="s">
        <v>3783</v>
      </c>
      <c r="KVI4388" s="379" t="s">
        <v>3783</v>
      </c>
      <c r="KVJ4388" s="379" t="s">
        <v>3783</v>
      </c>
      <c r="KVK4388" s="379" t="s">
        <v>3783</v>
      </c>
      <c r="KVL4388" s="379" t="s">
        <v>3783</v>
      </c>
      <c r="KVM4388" s="379" t="s">
        <v>3783</v>
      </c>
      <c r="KVN4388" s="379" t="s">
        <v>3783</v>
      </c>
      <c r="KVO4388" s="379" t="s">
        <v>3783</v>
      </c>
      <c r="KVP4388" s="379" t="s">
        <v>3783</v>
      </c>
      <c r="KVQ4388" s="379" t="s">
        <v>3783</v>
      </c>
      <c r="KVR4388" s="379" t="s">
        <v>3783</v>
      </c>
      <c r="KVS4388" s="379" t="s">
        <v>3783</v>
      </c>
      <c r="KVT4388" s="379" t="s">
        <v>3783</v>
      </c>
      <c r="KVU4388" s="379" t="s">
        <v>3783</v>
      </c>
      <c r="KVV4388" s="379" t="s">
        <v>3783</v>
      </c>
      <c r="KVW4388" s="379" t="s">
        <v>3783</v>
      </c>
      <c r="KVX4388" s="379" t="s">
        <v>3783</v>
      </c>
      <c r="KVY4388" s="379" t="s">
        <v>3783</v>
      </c>
      <c r="KVZ4388" s="379" t="s">
        <v>3783</v>
      </c>
      <c r="KWA4388" s="379" t="s">
        <v>3783</v>
      </c>
      <c r="KWB4388" s="379" t="s">
        <v>3783</v>
      </c>
      <c r="KWC4388" s="379" t="s">
        <v>3783</v>
      </c>
      <c r="KWD4388" s="379" t="s">
        <v>3783</v>
      </c>
      <c r="KWE4388" s="379" t="s">
        <v>3783</v>
      </c>
      <c r="KWF4388" s="379" t="s">
        <v>3783</v>
      </c>
      <c r="KWG4388" s="379" t="s">
        <v>3783</v>
      </c>
      <c r="KWH4388" s="379" t="s">
        <v>3783</v>
      </c>
      <c r="KWI4388" s="379" t="s">
        <v>3783</v>
      </c>
      <c r="KWJ4388" s="379" t="s">
        <v>3783</v>
      </c>
      <c r="KWK4388" s="379" t="s">
        <v>3783</v>
      </c>
      <c r="KWL4388" s="379" t="s">
        <v>3783</v>
      </c>
      <c r="KWM4388" s="379" t="s">
        <v>3783</v>
      </c>
      <c r="KWN4388" s="379" t="s">
        <v>3783</v>
      </c>
      <c r="KWO4388" s="379" t="s">
        <v>3783</v>
      </c>
      <c r="KWP4388" s="379" t="s">
        <v>3783</v>
      </c>
      <c r="KWQ4388" s="379" t="s">
        <v>3783</v>
      </c>
      <c r="KWR4388" s="379" t="s">
        <v>3783</v>
      </c>
      <c r="KWS4388" s="379" t="s">
        <v>3783</v>
      </c>
      <c r="KWT4388" s="379" t="s">
        <v>3783</v>
      </c>
      <c r="KWU4388" s="379" t="s">
        <v>3783</v>
      </c>
      <c r="KWV4388" s="379" t="s">
        <v>3783</v>
      </c>
      <c r="KWW4388" s="379" t="s">
        <v>3783</v>
      </c>
      <c r="KWX4388" s="379" t="s">
        <v>3783</v>
      </c>
      <c r="KWY4388" s="379" t="s">
        <v>3783</v>
      </c>
      <c r="KWZ4388" s="379" t="s">
        <v>3783</v>
      </c>
      <c r="KXA4388" s="379" t="s">
        <v>3783</v>
      </c>
      <c r="KXB4388" s="379" t="s">
        <v>3783</v>
      </c>
      <c r="KXC4388" s="379" t="s">
        <v>3783</v>
      </c>
      <c r="KXD4388" s="379" t="s">
        <v>3783</v>
      </c>
      <c r="KXE4388" s="379" t="s">
        <v>3783</v>
      </c>
      <c r="KXF4388" s="379" t="s">
        <v>3783</v>
      </c>
      <c r="KXG4388" s="379" t="s">
        <v>3783</v>
      </c>
      <c r="KXH4388" s="379" t="s">
        <v>3783</v>
      </c>
      <c r="KXI4388" s="379" t="s">
        <v>3783</v>
      </c>
      <c r="KXJ4388" s="379" t="s">
        <v>3783</v>
      </c>
      <c r="KXK4388" s="379" t="s">
        <v>3783</v>
      </c>
      <c r="KXL4388" s="379" t="s">
        <v>3783</v>
      </c>
      <c r="KXM4388" s="379" t="s">
        <v>3783</v>
      </c>
      <c r="KXN4388" s="379" t="s">
        <v>3783</v>
      </c>
      <c r="KXO4388" s="379" t="s">
        <v>3783</v>
      </c>
      <c r="KXP4388" s="379" t="s">
        <v>3783</v>
      </c>
      <c r="KXQ4388" s="379" t="s">
        <v>3783</v>
      </c>
      <c r="KXR4388" s="379" t="s">
        <v>3783</v>
      </c>
      <c r="KXS4388" s="379" t="s">
        <v>3783</v>
      </c>
      <c r="KXT4388" s="379" t="s">
        <v>3783</v>
      </c>
      <c r="KXU4388" s="379" t="s">
        <v>3783</v>
      </c>
      <c r="KXV4388" s="379" t="s">
        <v>3783</v>
      </c>
      <c r="KXW4388" s="379" t="s">
        <v>3783</v>
      </c>
      <c r="KXX4388" s="379" t="s">
        <v>3783</v>
      </c>
      <c r="KXY4388" s="379" t="s">
        <v>3783</v>
      </c>
      <c r="KXZ4388" s="379" t="s">
        <v>3783</v>
      </c>
      <c r="KYA4388" s="379" t="s">
        <v>3783</v>
      </c>
      <c r="KYB4388" s="379" t="s">
        <v>3783</v>
      </c>
      <c r="KYC4388" s="379" t="s">
        <v>3783</v>
      </c>
      <c r="KYD4388" s="379" t="s">
        <v>3783</v>
      </c>
      <c r="KYE4388" s="379" t="s">
        <v>3783</v>
      </c>
      <c r="KYF4388" s="379" t="s">
        <v>3783</v>
      </c>
      <c r="KYG4388" s="379" t="s">
        <v>3783</v>
      </c>
      <c r="KYH4388" s="379" t="s">
        <v>3783</v>
      </c>
      <c r="KYI4388" s="379" t="s">
        <v>3783</v>
      </c>
      <c r="KYJ4388" s="379" t="s">
        <v>3783</v>
      </c>
      <c r="KYK4388" s="379" t="s">
        <v>3783</v>
      </c>
      <c r="KYL4388" s="379" t="s">
        <v>3783</v>
      </c>
      <c r="KYM4388" s="379" t="s">
        <v>3783</v>
      </c>
      <c r="KYN4388" s="379" t="s">
        <v>3783</v>
      </c>
      <c r="KYO4388" s="379" t="s">
        <v>3783</v>
      </c>
      <c r="KYP4388" s="379" t="s">
        <v>3783</v>
      </c>
      <c r="KYQ4388" s="379" t="s">
        <v>3783</v>
      </c>
      <c r="KYR4388" s="379" t="s">
        <v>3783</v>
      </c>
      <c r="KYS4388" s="379" t="s">
        <v>3783</v>
      </c>
      <c r="KYT4388" s="379" t="s">
        <v>3783</v>
      </c>
      <c r="KYU4388" s="379" t="s">
        <v>3783</v>
      </c>
      <c r="KYV4388" s="379" t="s">
        <v>3783</v>
      </c>
      <c r="KYW4388" s="379" t="s">
        <v>3783</v>
      </c>
      <c r="KYX4388" s="379" t="s">
        <v>3783</v>
      </c>
      <c r="KYY4388" s="379" t="s">
        <v>3783</v>
      </c>
      <c r="KYZ4388" s="379" t="s">
        <v>3783</v>
      </c>
      <c r="KZA4388" s="379" t="s">
        <v>3783</v>
      </c>
      <c r="KZB4388" s="379" t="s">
        <v>3783</v>
      </c>
      <c r="KZC4388" s="379" t="s">
        <v>3783</v>
      </c>
      <c r="KZD4388" s="379" t="s">
        <v>3783</v>
      </c>
      <c r="KZE4388" s="379" t="s">
        <v>3783</v>
      </c>
      <c r="KZF4388" s="379" t="s">
        <v>3783</v>
      </c>
      <c r="KZG4388" s="379" t="s">
        <v>3783</v>
      </c>
      <c r="KZH4388" s="379" t="s">
        <v>3783</v>
      </c>
      <c r="KZI4388" s="379" t="s">
        <v>3783</v>
      </c>
      <c r="KZJ4388" s="379" t="s">
        <v>3783</v>
      </c>
      <c r="KZK4388" s="379" t="s">
        <v>3783</v>
      </c>
      <c r="KZL4388" s="379" t="s">
        <v>3783</v>
      </c>
      <c r="KZM4388" s="379" t="s">
        <v>3783</v>
      </c>
      <c r="KZN4388" s="379" t="s">
        <v>3783</v>
      </c>
      <c r="KZO4388" s="379" t="s">
        <v>3783</v>
      </c>
      <c r="KZP4388" s="379" t="s">
        <v>3783</v>
      </c>
      <c r="KZQ4388" s="379" t="s">
        <v>3783</v>
      </c>
      <c r="KZR4388" s="379" t="s">
        <v>3783</v>
      </c>
      <c r="KZS4388" s="379" t="s">
        <v>3783</v>
      </c>
      <c r="KZT4388" s="379" t="s">
        <v>3783</v>
      </c>
      <c r="KZU4388" s="379" t="s">
        <v>3783</v>
      </c>
      <c r="KZV4388" s="379" t="s">
        <v>3783</v>
      </c>
      <c r="KZW4388" s="379" t="s">
        <v>3783</v>
      </c>
      <c r="KZX4388" s="379" t="s">
        <v>3783</v>
      </c>
      <c r="KZY4388" s="379" t="s">
        <v>3783</v>
      </c>
      <c r="KZZ4388" s="379" t="s">
        <v>3783</v>
      </c>
      <c r="LAA4388" s="379" t="s">
        <v>3783</v>
      </c>
      <c r="LAB4388" s="379" t="s">
        <v>3783</v>
      </c>
      <c r="LAC4388" s="379" t="s">
        <v>3783</v>
      </c>
      <c r="LAD4388" s="379" t="s">
        <v>3783</v>
      </c>
      <c r="LAE4388" s="379" t="s">
        <v>3783</v>
      </c>
      <c r="LAF4388" s="379" t="s">
        <v>3783</v>
      </c>
      <c r="LAG4388" s="379" t="s">
        <v>3783</v>
      </c>
      <c r="LAH4388" s="379" t="s">
        <v>3783</v>
      </c>
      <c r="LAI4388" s="379" t="s">
        <v>3783</v>
      </c>
      <c r="LAJ4388" s="379" t="s">
        <v>3783</v>
      </c>
      <c r="LAK4388" s="379" t="s">
        <v>3783</v>
      </c>
      <c r="LAL4388" s="379" t="s">
        <v>3783</v>
      </c>
      <c r="LAM4388" s="379" t="s">
        <v>3783</v>
      </c>
      <c r="LAN4388" s="379" t="s">
        <v>3783</v>
      </c>
      <c r="LAO4388" s="379" t="s">
        <v>3783</v>
      </c>
      <c r="LAP4388" s="379" t="s">
        <v>3783</v>
      </c>
      <c r="LAQ4388" s="379" t="s">
        <v>3783</v>
      </c>
      <c r="LAR4388" s="379" t="s">
        <v>3783</v>
      </c>
      <c r="LAS4388" s="379" t="s">
        <v>3783</v>
      </c>
      <c r="LAT4388" s="379" t="s">
        <v>3783</v>
      </c>
      <c r="LAU4388" s="379" t="s">
        <v>3783</v>
      </c>
      <c r="LAV4388" s="379" t="s">
        <v>3783</v>
      </c>
      <c r="LAW4388" s="379" t="s">
        <v>3783</v>
      </c>
      <c r="LAX4388" s="379" t="s">
        <v>3783</v>
      </c>
      <c r="LAY4388" s="379" t="s">
        <v>3783</v>
      </c>
      <c r="LAZ4388" s="379" t="s">
        <v>3783</v>
      </c>
      <c r="LBA4388" s="379" t="s">
        <v>3783</v>
      </c>
      <c r="LBB4388" s="379" t="s">
        <v>3783</v>
      </c>
      <c r="LBC4388" s="379" t="s">
        <v>3783</v>
      </c>
      <c r="LBD4388" s="379" t="s">
        <v>3783</v>
      </c>
      <c r="LBE4388" s="379" t="s">
        <v>3783</v>
      </c>
      <c r="LBF4388" s="379" t="s">
        <v>3783</v>
      </c>
      <c r="LBG4388" s="379" t="s">
        <v>3783</v>
      </c>
      <c r="LBH4388" s="379" t="s">
        <v>3783</v>
      </c>
      <c r="LBI4388" s="379" t="s">
        <v>3783</v>
      </c>
      <c r="LBJ4388" s="379" t="s">
        <v>3783</v>
      </c>
      <c r="LBK4388" s="379" t="s">
        <v>3783</v>
      </c>
      <c r="LBL4388" s="379" t="s">
        <v>3783</v>
      </c>
      <c r="LBM4388" s="379" t="s">
        <v>3783</v>
      </c>
      <c r="LBN4388" s="379" t="s">
        <v>3783</v>
      </c>
      <c r="LBO4388" s="379" t="s">
        <v>3783</v>
      </c>
      <c r="LBP4388" s="379" t="s">
        <v>3783</v>
      </c>
      <c r="LBQ4388" s="379" t="s">
        <v>3783</v>
      </c>
      <c r="LBR4388" s="379" t="s">
        <v>3783</v>
      </c>
      <c r="LBS4388" s="379" t="s">
        <v>3783</v>
      </c>
      <c r="LBT4388" s="379" t="s">
        <v>3783</v>
      </c>
      <c r="LBU4388" s="379" t="s">
        <v>3783</v>
      </c>
      <c r="LBV4388" s="379" t="s">
        <v>3783</v>
      </c>
      <c r="LBW4388" s="379" t="s">
        <v>3783</v>
      </c>
      <c r="LBX4388" s="379" t="s">
        <v>3783</v>
      </c>
      <c r="LBY4388" s="379" t="s">
        <v>3783</v>
      </c>
      <c r="LBZ4388" s="379" t="s">
        <v>3783</v>
      </c>
      <c r="LCA4388" s="379" t="s">
        <v>3783</v>
      </c>
      <c r="LCB4388" s="379" t="s">
        <v>3783</v>
      </c>
      <c r="LCC4388" s="379" t="s">
        <v>3783</v>
      </c>
      <c r="LCD4388" s="379" t="s">
        <v>3783</v>
      </c>
      <c r="LCE4388" s="379" t="s">
        <v>3783</v>
      </c>
      <c r="LCF4388" s="379" t="s">
        <v>3783</v>
      </c>
      <c r="LCG4388" s="379" t="s">
        <v>3783</v>
      </c>
      <c r="LCH4388" s="379" t="s">
        <v>3783</v>
      </c>
      <c r="LCI4388" s="379" t="s">
        <v>3783</v>
      </c>
      <c r="LCJ4388" s="379" t="s">
        <v>3783</v>
      </c>
      <c r="LCK4388" s="379" t="s">
        <v>3783</v>
      </c>
      <c r="LCL4388" s="379" t="s">
        <v>3783</v>
      </c>
      <c r="LCM4388" s="379" t="s">
        <v>3783</v>
      </c>
      <c r="LCN4388" s="379" t="s">
        <v>3783</v>
      </c>
      <c r="LCO4388" s="379" t="s">
        <v>3783</v>
      </c>
      <c r="LCP4388" s="379" t="s">
        <v>3783</v>
      </c>
      <c r="LCQ4388" s="379" t="s">
        <v>3783</v>
      </c>
      <c r="LCR4388" s="379" t="s">
        <v>3783</v>
      </c>
      <c r="LCS4388" s="379" t="s">
        <v>3783</v>
      </c>
      <c r="LCT4388" s="379" t="s">
        <v>3783</v>
      </c>
      <c r="LCU4388" s="379" t="s">
        <v>3783</v>
      </c>
      <c r="LCV4388" s="379" t="s">
        <v>3783</v>
      </c>
      <c r="LCW4388" s="379" t="s">
        <v>3783</v>
      </c>
      <c r="LCX4388" s="379" t="s">
        <v>3783</v>
      </c>
      <c r="LCY4388" s="379" t="s">
        <v>3783</v>
      </c>
      <c r="LCZ4388" s="379" t="s">
        <v>3783</v>
      </c>
      <c r="LDA4388" s="379" t="s">
        <v>3783</v>
      </c>
      <c r="LDB4388" s="379" t="s">
        <v>3783</v>
      </c>
      <c r="LDC4388" s="379" t="s">
        <v>3783</v>
      </c>
      <c r="LDD4388" s="379" t="s">
        <v>3783</v>
      </c>
      <c r="LDE4388" s="379" t="s">
        <v>3783</v>
      </c>
      <c r="LDF4388" s="379" t="s">
        <v>3783</v>
      </c>
      <c r="LDG4388" s="379" t="s">
        <v>3783</v>
      </c>
      <c r="LDH4388" s="379" t="s">
        <v>3783</v>
      </c>
      <c r="LDI4388" s="379" t="s">
        <v>3783</v>
      </c>
      <c r="LDJ4388" s="379" t="s">
        <v>3783</v>
      </c>
      <c r="LDK4388" s="379" t="s">
        <v>3783</v>
      </c>
      <c r="LDL4388" s="379" t="s">
        <v>3783</v>
      </c>
      <c r="LDM4388" s="379" t="s">
        <v>3783</v>
      </c>
      <c r="LDN4388" s="379" t="s">
        <v>3783</v>
      </c>
      <c r="LDO4388" s="379" t="s">
        <v>3783</v>
      </c>
      <c r="LDP4388" s="379" t="s">
        <v>3783</v>
      </c>
      <c r="LDQ4388" s="379" t="s">
        <v>3783</v>
      </c>
      <c r="LDR4388" s="379" t="s">
        <v>3783</v>
      </c>
      <c r="LDS4388" s="379" t="s">
        <v>3783</v>
      </c>
      <c r="LDT4388" s="379" t="s">
        <v>3783</v>
      </c>
      <c r="LDU4388" s="379" t="s">
        <v>3783</v>
      </c>
      <c r="LDV4388" s="379" t="s">
        <v>3783</v>
      </c>
      <c r="LDW4388" s="379" t="s">
        <v>3783</v>
      </c>
      <c r="LDX4388" s="379" t="s">
        <v>3783</v>
      </c>
      <c r="LDY4388" s="379" t="s">
        <v>3783</v>
      </c>
      <c r="LDZ4388" s="379" t="s">
        <v>3783</v>
      </c>
      <c r="LEA4388" s="379" t="s">
        <v>3783</v>
      </c>
      <c r="LEB4388" s="379" t="s">
        <v>3783</v>
      </c>
      <c r="LEC4388" s="379" t="s">
        <v>3783</v>
      </c>
      <c r="LED4388" s="379" t="s">
        <v>3783</v>
      </c>
      <c r="LEE4388" s="379" t="s">
        <v>3783</v>
      </c>
      <c r="LEF4388" s="379" t="s">
        <v>3783</v>
      </c>
      <c r="LEG4388" s="379" t="s">
        <v>3783</v>
      </c>
      <c r="LEH4388" s="379" t="s">
        <v>3783</v>
      </c>
      <c r="LEI4388" s="379" t="s">
        <v>3783</v>
      </c>
      <c r="LEJ4388" s="379" t="s">
        <v>3783</v>
      </c>
      <c r="LEK4388" s="379" t="s">
        <v>3783</v>
      </c>
      <c r="LEL4388" s="379" t="s">
        <v>3783</v>
      </c>
      <c r="LEM4388" s="379" t="s">
        <v>3783</v>
      </c>
      <c r="LEN4388" s="379" t="s">
        <v>3783</v>
      </c>
      <c r="LEO4388" s="379" t="s">
        <v>3783</v>
      </c>
      <c r="LEP4388" s="379" t="s">
        <v>3783</v>
      </c>
      <c r="LEQ4388" s="379" t="s">
        <v>3783</v>
      </c>
      <c r="LER4388" s="379" t="s">
        <v>3783</v>
      </c>
      <c r="LES4388" s="379" t="s">
        <v>3783</v>
      </c>
      <c r="LET4388" s="379" t="s">
        <v>3783</v>
      </c>
      <c r="LEU4388" s="379" t="s">
        <v>3783</v>
      </c>
      <c r="LEV4388" s="379" t="s">
        <v>3783</v>
      </c>
      <c r="LEW4388" s="379" t="s">
        <v>3783</v>
      </c>
      <c r="LEX4388" s="379" t="s">
        <v>3783</v>
      </c>
      <c r="LEY4388" s="379" t="s">
        <v>3783</v>
      </c>
      <c r="LEZ4388" s="379" t="s">
        <v>3783</v>
      </c>
      <c r="LFA4388" s="379" t="s">
        <v>3783</v>
      </c>
      <c r="LFB4388" s="379" t="s">
        <v>3783</v>
      </c>
      <c r="LFC4388" s="379" t="s">
        <v>3783</v>
      </c>
      <c r="LFD4388" s="379" t="s">
        <v>3783</v>
      </c>
      <c r="LFE4388" s="379" t="s">
        <v>3783</v>
      </c>
      <c r="LFF4388" s="379" t="s">
        <v>3783</v>
      </c>
      <c r="LFG4388" s="379" t="s">
        <v>3783</v>
      </c>
      <c r="LFH4388" s="379" t="s">
        <v>3783</v>
      </c>
      <c r="LFI4388" s="379" t="s">
        <v>3783</v>
      </c>
      <c r="LFJ4388" s="379" t="s">
        <v>3783</v>
      </c>
      <c r="LFK4388" s="379" t="s">
        <v>3783</v>
      </c>
      <c r="LFL4388" s="379" t="s">
        <v>3783</v>
      </c>
      <c r="LFM4388" s="379" t="s">
        <v>3783</v>
      </c>
      <c r="LFN4388" s="379" t="s">
        <v>3783</v>
      </c>
      <c r="LFO4388" s="379" t="s">
        <v>3783</v>
      </c>
      <c r="LFP4388" s="379" t="s">
        <v>3783</v>
      </c>
      <c r="LFQ4388" s="379" t="s">
        <v>3783</v>
      </c>
      <c r="LFR4388" s="379" t="s">
        <v>3783</v>
      </c>
      <c r="LFS4388" s="379" t="s">
        <v>3783</v>
      </c>
      <c r="LFT4388" s="379" t="s">
        <v>3783</v>
      </c>
      <c r="LFU4388" s="379" t="s">
        <v>3783</v>
      </c>
      <c r="LFV4388" s="379" t="s">
        <v>3783</v>
      </c>
      <c r="LFW4388" s="379" t="s">
        <v>3783</v>
      </c>
      <c r="LFX4388" s="379" t="s">
        <v>3783</v>
      </c>
      <c r="LFY4388" s="379" t="s">
        <v>3783</v>
      </c>
      <c r="LFZ4388" s="379" t="s">
        <v>3783</v>
      </c>
      <c r="LGA4388" s="379" t="s">
        <v>3783</v>
      </c>
      <c r="LGB4388" s="379" t="s">
        <v>3783</v>
      </c>
      <c r="LGC4388" s="379" t="s">
        <v>3783</v>
      </c>
      <c r="LGD4388" s="379" t="s">
        <v>3783</v>
      </c>
      <c r="LGE4388" s="379" t="s">
        <v>3783</v>
      </c>
      <c r="LGF4388" s="379" t="s">
        <v>3783</v>
      </c>
      <c r="LGG4388" s="379" t="s">
        <v>3783</v>
      </c>
      <c r="LGH4388" s="379" t="s">
        <v>3783</v>
      </c>
      <c r="LGI4388" s="379" t="s">
        <v>3783</v>
      </c>
      <c r="LGJ4388" s="379" t="s">
        <v>3783</v>
      </c>
      <c r="LGK4388" s="379" t="s">
        <v>3783</v>
      </c>
      <c r="LGL4388" s="379" t="s">
        <v>3783</v>
      </c>
      <c r="LGM4388" s="379" t="s">
        <v>3783</v>
      </c>
      <c r="LGN4388" s="379" t="s">
        <v>3783</v>
      </c>
      <c r="LGO4388" s="379" t="s">
        <v>3783</v>
      </c>
      <c r="LGP4388" s="379" t="s">
        <v>3783</v>
      </c>
      <c r="LGQ4388" s="379" t="s">
        <v>3783</v>
      </c>
      <c r="LGR4388" s="379" t="s">
        <v>3783</v>
      </c>
      <c r="LGS4388" s="379" t="s">
        <v>3783</v>
      </c>
      <c r="LGT4388" s="379" t="s">
        <v>3783</v>
      </c>
      <c r="LGU4388" s="379" t="s">
        <v>3783</v>
      </c>
      <c r="LGV4388" s="379" t="s">
        <v>3783</v>
      </c>
      <c r="LGW4388" s="379" t="s">
        <v>3783</v>
      </c>
      <c r="LGX4388" s="379" t="s">
        <v>3783</v>
      </c>
      <c r="LGY4388" s="379" t="s">
        <v>3783</v>
      </c>
      <c r="LGZ4388" s="379" t="s">
        <v>3783</v>
      </c>
      <c r="LHA4388" s="379" t="s">
        <v>3783</v>
      </c>
      <c r="LHB4388" s="379" t="s">
        <v>3783</v>
      </c>
      <c r="LHC4388" s="379" t="s">
        <v>3783</v>
      </c>
      <c r="LHD4388" s="379" t="s">
        <v>3783</v>
      </c>
      <c r="LHE4388" s="379" t="s">
        <v>3783</v>
      </c>
      <c r="LHF4388" s="379" t="s">
        <v>3783</v>
      </c>
      <c r="LHG4388" s="379" t="s">
        <v>3783</v>
      </c>
      <c r="LHH4388" s="379" t="s">
        <v>3783</v>
      </c>
      <c r="LHI4388" s="379" t="s">
        <v>3783</v>
      </c>
      <c r="LHJ4388" s="379" t="s">
        <v>3783</v>
      </c>
      <c r="LHK4388" s="379" t="s">
        <v>3783</v>
      </c>
      <c r="LHL4388" s="379" t="s">
        <v>3783</v>
      </c>
      <c r="LHM4388" s="379" t="s">
        <v>3783</v>
      </c>
      <c r="LHN4388" s="379" t="s">
        <v>3783</v>
      </c>
      <c r="LHO4388" s="379" t="s">
        <v>3783</v>
      </c>
      <c r="LHP4388" s="379" t="s">
        <v>3783</v>
      </c>
      <c r="LHQ4388" s="379" t="s">
        <v>3783</v>
      </c>
      <c r="LHR4388" s="379" t="s">
        <v>3783</v>
      </c>
      <c r="LHS4388" s="379" t="s">
        <v>3783</v>
      </c>
      <c r="LHT4388" s="379" t="s">
        <v>3783</v>
      </c>
      <c r="LHU4388" s="379" t="s">
        <v>3783</v>
      </c>
      <c r="LHV4388" s="379" t="s">
        <v>3783</v>
      </c>
      <c r="LHW4388" s="379" t="s">
        <v>3783</v>
      </c>
      <c r="LHX4388" s="379" t="s">
        <v>3783</v>
      </c>
      <c r="LHY4388" s="379" t="s">
        <v>3783</v>
      </c>
      <c r="LHZ4388" s="379" t="s">
        <v>3783</v>
      </c>
      <c r="LIA4388" s="379" t="s">
        <v>3783</v>
      </c>
      <c r="LIB4388" s="379" t="s">
        <v>3783</v>
      </c>
      <c r="LIC4388" s="379" t="s">
        <v>3783</v>
      </c>
      <c r="LID4388" s="379" t="s">
        <v>3783</v>
      </c>
      <c r="LIE4388" s="379" t="s">
        <v>3783</v>
      </c>
      <c r="LIF4388" s="379" t="s">
        <v>3783</v>
      </c>
      <c r="LIG4388" s="379" t="s">
        <v>3783</v>
      </c>
      <c r="LIH4388" s="379" t="s">
        <v>3783</v>
      </c>
      <c r="LII4388" s="379" t="s">
        <v>3783</v>
      </c>
      <c r="LIJ4388" s="379" t="s">
        <v>3783</v>
      </c>
      <c r="LIK4388" s="379" t="s">
        <v>3783</v>
      </c>
      <c r="LIL4388" s="379" t="s">
        <v>3783</v>
      </c>
      <c r="LIM4388" s="379" t="s">
        <v>3783</v>
      </c>
      <c r="LIN4388" s="379" t="s">
        <v>3783</v>
      </c>
      <c r="LIO4388" s="379" t="s">
        <v>3783</v>
      </c>
      <c r="LIP4388" s="379" t="s">
        <v>3783</v>
      </c>
      <c r="LIQ4388" s="379" t="s">
        <v>3783</v>
      </c>
      <c r="LIR4388" s="379" t="s">
        <v>3783</v>
      </c>
      <c r="LIS4388" s="379" t="s">
        <v>3783</v>
      </c>
      <c r="LIT4388" s="379" t="s">
        <v>3783</v>
      </c>
      <c r="LIU4388" s="379" t="s">
        <v>3783</v>
      </c>
      <c r="LIV4388" s="379" t="s">
        <v>3783</v>
      </c>
      <c r="LIW4388" s="379" t="s">
        <v>3783</v>
      </c>
      <c r="LIX4388" s="379" t="s">
        <v>3783</v>
      </c>
      <c r="LIY4388" s="379" t="s">
        <v>3783</v>
      </c>
      <c r="LIZ4388" s="379" t="s">
        <v>3783</v>
      </c>
      <c r="LJA4388" s="379" t="s">
        <v>3783</v>
      </c>
      <c r="LJB4388" s="379" t="s">
        <v>3783</v>
      </c>
      <c r="LJC4388" s="379" t="s">
        <v>3783</v>
      </c>
      <c r="LJD4388" s="379" t="s">
        <v>3783</v>
      </c>
      <c r="LJE4388" s="379" t="s">
        <v>3783</v>
      </c>
      <c r="LJF4388" s="379" t="s">
        <v>3783</v>
      </c>
      <c r="LJG4388" s="379" t="s">
        <v>3783</v>
      </c>
      <c r="LJH4388" s="379" t="s">
        <v>3783</v>
      </c>
      <c r="LJI4388" s="379" t="s">
        <v>3783</v>
      </c>
      <c r="LJJ4388" s="379" t="s">
        <v>3783</v>
      </c>
      <c r="LJK4388" s="379" t="s">
        <v>3783</v>
      </c>
      <c r="LJL4388" s="379" t="s">
        <v>3783</v>
      </c>
      <c r="LJM4388" s="379" t="s">
        <v>3783</v>
      </c>
      <c r="LJN4388" s="379" t="s">
        <v>3783</v>
      </c>
      <c r="LJO4388" s="379" t="s">
        <v>3783</v>
      </c>
      <c r="LJP4388" s="379" t="s">
        <v>3783</v>
      </c>
      <c r="LJQ4388" s="379" t="s">
        <v>3783</v>
      </c>
      <c r="LJR4388" s="379" t="s">
        <v>3783</v>
      </c>
      <c r="LJS4388" s="379" t="s">
        <v>3783</v>
      </c>
      <c r="LJT4388" s="379" t="s">
        <v>3783</v>
      </c>
      <c r="LJU4388" s="379" t="s">
        <v>3783</v>
      </c>
      <c r="LJV4388" s="379" t="s">
        <v>3783</v>
      </c>
      <c r="LJW4388" s="379" t="s">
        <v>3783</v>
      </c>
      <c r="LJX4388" s="379" t="s">
        <v>3783</v>
      </c>
      <c r="LJY4388" s="379" t="s">
        <v>3783</v>
      </c>
      <c r="LJZ4388" s="379" t="s">
        <v>3783</v>
      </c>
      <c r="LKA4388" s="379" t="s">
        <v>3783</v>
      </c>
      <c r="LKB4388" s="379" t="s">
        <v>3783</v>
      </c>
      <c r="LKC4388" s="379" t="s">
        <v>3783</v>
      </c>
      <c r="LKD4388" s="379" t="s">
        <v>3783</v>
      </c>
      <c r="LKE4388" s="379" t="s">
        <v>3783</v>
      </c>
      <c r="LKF4388" s="379" t="s">
        <v>3783</v>
      </c>
      <c r="LKG4388" s="379" t="s">
        <v>3783</v>
      </c>
      <c r="LKH4388" s="379" t="s">
        <v>3783</v>
      </c>
      <c r="LKI4388" s="379" t="s">
        <v>3783</v>
      </c>
      <c r="LKJ4388" s="379" t="s">
        <v>3783</v>
      </c>
      <c r="LKK4388" s="379" t="s">
        <v>3783</v>
      </c>
      <c r="LKL4388" s="379" t="s">
        <v>3783</v>
      </c>
      <c r="LKM4388" s="379" t="s">
        <v>3783</v>
      </c>
      <c r="LKN4388" s="379" t="s">
        <v>3783</v>
      </c>
      <c r="LKO4388" s="379" t="s">
        <v>3783</v>
      </c>
      <c r="LKP4388" s="379" t="s">
        <v>3783</v>
      </c>
      <c r="LKQ4388" s="379" t="s">
        <v>3783</v>
      </c>
      <c r="LKR4388" s="379" t="s">
        <v>3783</v>
      </c>
      <c r="LKS4388" s="379" t="s">
        <v>3783</v>
      </c>
      <c r="LKT4388" s="379" t="s">
        <v>3783</v>
      </c>
      <c r="LKU4388" s="379" t="s">
        <v>3783</v>
      </c>
      <c r="LKV4388" s="379" t="s">
        <v>3783</v>
      </c>
      <c r="LKW4388" s="379" t="s">
        <v>3783</v>
      </c>
      <c r="LKX4388" s="379" t="s">
        <v>3783</v>
      </c>
      <c r="LKY4388" s="379" t="s">
        <v>3783</v>
      </c>
      <c r="LKZ4388" s="379" t="s">
        <v>3783</v>
      </c>
      <c r="LLA4388" s="379" t="s">
        <v>3783</v>
      </c>
      <c r="LLB4388" s="379" t="s">
        <v>3783</v>
      </c>
      <c r="LLC4388" s="379" t="s">
        <v>3783</v>
      </c>
      <c r="LLD4388" s="379" t="s">
        <v>3783</v>
      </c>
      <c r="LLE4388" s="379" t="s">
        <v>3783</v>
      </c>
      <c r="LLF4388" s="379" t="s">
        <v>3783</v>
      </c>
      <c r="LLG4388" s="379" t="s">
        <v>3783</v>
      </c>
      <c r="LLH4388" s="379" t="s">
        <v>3783</v>
      </c>
      <c r="LLI4388" s="379" t="s">
        <v>3783</v>
      </c>
      <c r="LLJ4388" s="379" t="s">
        <v>3783</v>
      </c>
      <c r="LLK4388" s="379" t="s">
        <v>3783</v>
      </c>
      <c r="LLL4388" s="379" t="s">
        <v>3783</v>
      </c>
      <c r="LLM4388" s="379" t="s">
        <v>3783</v>
      </c>
      <c r="LLN4388" s="379" t="s">
        <v>3783</v>
      </c>
      <c r="LLO4388" s="379" t="s">
        <v>3783</v>
      </c>
      <c r="LLP4388" s="379" t="s">
        <v>3783</v>
      </c>
      <c r="LLQ4388" s="379" t="s">
        <v>3783</v>
      </c>
      <c r="LLR4388" s="379" t="s">
        <v>3783</v>
      </c>
      <c r="LLS4388" s="379" t="s">
        <v>3783</v>
      </c>
      <c r="LLT4388" s="379" t="s">
        <v>3783</v>
      </c>
      <c r="LLU4388" s="379" t="s">
        <v>3783</v>
      </c>
      <c r="LLV4388" s="379" t="s">
        <v>3783</v>
      </c>
      <c r="LLW4388" s="379" t="s">
        <v>3783</v>
      </c>
      <c r="LLX4388" s="379" t="s">
        <v>3783</v>
      </c>
      <c r="LLY4388" s="379" t="s">
        <v>3783</v>
      </c>
      <c r="LLZ4388" s="379" t="s">
        <v>3783</v>
      </c>
      <c r="LMA4388" s="379" t="s">
        <v>3783</v>
      </c>
      <c r="LMB4388" s="379" t="s">
        <v>3783</v>
      </c>
      <c r="LMC4388" s="379" t="s">
        <v>3783</v>
      </c>
      <c r="LMD4388" s="379" t="s">
        <v>3783</v>
      </c>
      <c r="LME4388" s="379" t="s">
        <v>3783</v>
      </c>
      <c r="LMF4388" s="379" t="s">
        <v>3783</v>
      </c>
      <c r="LMG4388" s="379" t="s">
        <v>3783</v>
      </c>
      <c r="LMH4388" s="379" t="s">
        <v>3783</v>
      </c>
      <c r="LMI4388" s="379" t="s">
        <v>3783</v>
      </c>
      <c r="LMJ4388" s="379" t="s">
        <v>3783</v>
      </c>
      <c r="LMK4388" s="379" t="s">
        <v>3783</v>
      </c>
      <c r="LML4388" s="379" t="s">
        <v>3783</v>
      </c>
      <c r="LMM4388" s="379" t="s">
        <v>3783</v>
      </c>
      <c r="LMN4388" s="379" t="s">
        <v>3783</v>
      </c>
      <c r="LMO4388" s="379" t="s">
        <v>3783</v>
      </c>
      <c r="LMP4388" s="379" t="s">
        <v>3783</v>
      </c>
      <c r="LMQ4388" s="379" t="s">
        <v>3783</v>
      </c>
      <c r="LMR4388" s="379" t="s">
        <v>3783</v>
      </c>
      <c r="LMS4388" s="379" t="s">
        <v>3783</v>
      </c>
      <c r="LMT4388" s="379" t="s">
        <v>3783</v>
      </c>
      <c r="LMU4388" s="379" t="s">
        <v>3783</v>
      </c>
      <c r="LMV4388" s="379" t="s">
        <v>3783</v>
      </c>
      <c r="LMW4388" s="379" t="s">
        <v>3783</v>
      </c>
      <c r="LMX4388" s="379" t="s">
        <v>3783</v>
      </c>
      <c r="LMY4388" s="379" t="s">
        <v>3783</v>
      </c>
      <c r="LMZ4388" s="379" t="s">
        <v>3783</v>
      </c>
      <c r="LNA4388" s="379" t="s">
        <v>3783</v>
      </c>
      <c r="LNB4388" s="379" t="s">
        <v>3783</v>
      </c>
      <c r="LNC4388" s="379" t="s">
        <v>3783</v>
      </c>
      <c r="LND4388" s="379" t="s">
        <v>3783</v>
      </c>
      <c r="LNE4388" s="379" t="s">
        <v>3783</v>
      </c>
      <c r="LNF4388" s="379" t="s">
        <v>3783</v>
      </c>
      <c r="LNG4388" s="379" t="s">
        <v>3783</v>
      </c>
      <c r="LNH4388" s="379" t="s">
        <v>3783</v>
      </c>
      <c r="LNI4388" s="379" t="s">
        <v>3783</v>
      </c>
      <c r="LNJ4388" s="379" t="s">
        <v>3783</v>
      </c>
      <c r="LNK4388" s="379" t="s">
        <v>3783</v>
      </c>
      <c r="LNL4388" s="379" t="s">
        <v>3783</v>
      </c>
      <c r="LNM4388" s="379" t="s">
        <v>3783</v>
      </c>
      <c r="LNN4388" s="379" t="s">
        <v>3783</v>
      </c>
      <c r="LNO4388" s="379" t="s">
        <v>3783</v>
      </c>
      <c r="LNP4388" s="379" t="s">
        <v>3783</v>
      </c>
      <c r="LNQ4388" s="379" t="s">
        <v>3783</v>
      </c>
      <c r="LNR4388" s="379" t="s">
        <v>3783</v>
      </c>
      <c r="LNS4388" s="379" t="s">
        <v>3783</v>
      </c>
      <c r="LNT4388" s="379" t="s">
        <v>3783</v>
      </c>
      <c r="LNU4388" s="379" t="s">
        <v>3783</v>
      </c>
      <c r="LNV4388" s="379" t="s">
        <v>3783</v>
      </c>
      <c r="LNW4388" s="379" t="s">
        <v>3783</v>
      </c>
      <c r="LNX4388" s="379" t="s">
        <v>3783</v>
      </c>
      <c r="LNY4388" s="379" t="s">
        <v>3783</v>
      </c>
      <c r="LNZ4388" s="379" t="s">
        <v>3783</v>
      </c>
      <c r="LOA4388" s="379" t="s">
        <v>3783</v>
      </c>
      <c r="LOB4388" s="379" t="s">
        <v>3783</v>
      </c>
      <c r="LOC4388" s="379" t="s">
        <v>3783</v>
      </c>
      <c r="LOD4388" s="379" t="s">
        <v>3783</v>
      </c>
      <c r="LOE4388" s="379" t="s">
        <v>3783</v>
      </c>
      <c r="LOF4388" s="379" t="s">
        <v>3783</v>
      </c>
      <c r="LOG4388" s="379" t="s">
        <v>3783</v>
      </c>
      <c r="LOH4388" s="379" t="s">
        <v>3783</v>
      </c>
      <c r="LOI4388" s="379" t="s">
        <v>3783</v>
      </c>
      <c r="LOJ4388" s="379" t="s">
        <v>3783</v>
      </c>
      <c r="LOK4388" s="379" t="s">
        <v>3783</v>
      </c>
      <c r="LOL4388" s="379" t="s">
        <v>3783</v>
      </c>
      <c r="LOM4388" s="379" t="s">
        <v>3783</v>
      </c>
      <c r="LON4388" s="379" t="s">
        <v>3783</v>
      </c>
      <c r="LOO4388" s="379" t="s">
        <v>3783</v>
      </c>
      <c r="LOP4388" s="379" t="s">
        <v>3783</v>
      </c>
      <c r="LOQ4388" s="379" t="s">
        <v>3783</v>
      </c>
      <c r="LOR4388" s="379" t="s">
        <v>3783</v>
      </c>
      <c r="LOS4388" s="379" t="s">
        <v>3783</v>
      </c>
      <c r="LOT4388" s="379" t="s">
        <v>3783</v>
      </c>
      <c r="LOU4388" s="379" t="s">
        <v>3783</v>
      </c>
      <c r="LOV4388" s="379" t="s">
        <v>3783</v>
      </c>
      <c r="LOW4388" s="379" t="s">
        <v>3783</v>
      </c>
      <c r="LOX4388" s="379" t="s">
        <v>3783</v>
      </c>
      <c r="LOY4388" s="379" t="s">
        <v>3783</v>
      </c>
      <c r="LOZ4388" s="379" t="s">
        <v>3783</v>
      </c>
      <c r="LPA4388" s="379" t="s">
        <v>3783</v>
      </c>
      <c r="LPB4388" s="379" t="s">
        <v>3783</v>
      </c>
      <c r="LPC4388" s="379" t="s">
        <v>3783</v>
      </c>
      <c r="LPD4388" s="379" t="s">
        <v>3783</v>
      </c>
      <c r="LPE4388" s="379" t="s">
        <v>3783</v>
      </c>
      <c r="LPF4388" s="379" t="s">
        <v>3783</v>
      </c>
      <c r="LPG4388" s="379" t="s">
        <v>3783</v>
      </c>
      <c r="LPH4388" s="379" t="s">
        <v>3783</v>
      </c>
      <c r="LPI4388" s="379" t="s">
        <v>3783</v>
      </c>
      <c r="LPJ4388" s="379" t="s">
        <v>3783</v>
      </c>
      <c r="LPK4388" s="379" t="s">
        <v>3783</v>
      </c>
      <c r="LPL4388" s="379" t="s">
        <v>3783</v>
      </c>
      <c r="LPM4388" s="379" t="s">
        <v>3783</v>
      </c>
      <c r="LPN4388" s="379" t="s">
        <v>3783</v>
      </c>
      <c r="LPO4388" s="379" t="s">
        <v>3783</v>
      </c>
      <c r="LPP4388" s="379" t="s">
        <v>3783</v>
      </c>
      <c r="LPQ4388" s="379" t="s">
        <v>3783</v>
      </c>
      <c r="LPR4388" s="379" t="s">
        <v>3783</v>
      </c>
      <c r="LPS4388" s="379" t="s">
        <v>3783</v>
      </c>
      <c r="LPT4388" s="379" t="s">
        <v>3783</v>
      </c>
      <c r="LPU4388" s="379" t="s">
        <v>3783</v>
      </c>
      <c r="LPV4388" s="379" t="s">
        <v>3783</v>
      </c>
      <c r="LPW4388" s="379" t="s">
        <v>3783</v>
      </c>
      <c r="LPX4388" s="379" t="s">
        <v>3783</v>
      </c>
      <c r="LPY4388" s="379" t="s">
        <v>3783</v>
      </c>
      <c r="LPZ4388" s="379" t="s">
        <v>3783</v>
      </c>
      <c r="LQA4388" s="379" t="s">
        <v>3783</v>
      </c>
      <c r="LQB4388" s="379" t="s">
        <v>3783</v>
      </c>
      <c r="LQC4388" s="379" t="s">
        <v>3783</v>
      </c>
      <c r="LQD4388" s="379" t="s">
        <v>3783</v>
      </c>
      <c r="LQE4388" s="379" t="s">
        <v>3783</v>
      </c>
      <c r="LQF4388" s="379" t="s">
        <v>3783</v>
      </c>
      <c r="LQG4388" s="379" t="s">
        <v>3783</v>
      </c>
      <c r="LQH4388" s="379" t="s">
        <v>3783</v>
      </c>
      <c r="LQI4388" s="379" t="s">
        <v>3783</v>
      </c>
      <c r="LQJ4388" s="379" t="s">
        <v>3783</v>
      </c>
      <c r="LQK4388" s="379" t="s">
        <v>3783</v>
      </c>
      <c r="LQL4388" s="379" t="s">
        <v>3783</v>
      </c>
      <c r="LQM4388" s="379" t="s">
        <v>3783</v>
      </c>
      <c r="LQN4388" s="379" t="s">
        <v>3783</v>
      </c>
      <c r="LQO4388" s="379" t="s">
        <v>3783</v>
      </c>
      <c r="LQP4388" s="379" t="s">
        <v>3783</v>
      </c>
      <c r="LQQ4388" s="379" t="s">
        <v>3783</v>
      </c>
      <c r="LQR4388" s="379" t="s">
        <v>3783</v>
      </c>
      <c r="LQS4388" s="379" t="s">
        <v>3783</v>
      </c>
      <c r="LQT4388" s="379" t="s">
        <v>3783</v>
      </c>
      <c r="LQU4388" s="379" t="s">
        <v>3783</v>
      </c>
      <c r="LQV4388" s="379" t="s">
        <v>3783</v>
      </c>
      <c r="LQW4388" s="379" t="s">
        <v>3783</v>
      </c>
      <c r="LQX4388" s="379" t="s">
        <v>3783</v>
      </c>
      <c r="LQY4388" s="379" t="s">
        <v>3783</v>
      </c>
      <c r="LQZ4388" s="379" t="s">
        <v>3783</v>
      </c>
      <c r="LRA4388" s="379" t="s">
        <v>3783</v>
      </c>
      <c r="LRB4388" s="379" t="s">
        <v>3783</v>
      </c>
      <c r="LRC4388" s="379" t="s">
        <v>3783</v>
      </c>
      <c r="LRD4388" s="379" t="s">
        <v>3783</v>
      </c>
      <c r="LRE4388" s="379" t="s">
        <v>3783</v>
      </c>
      <c r="LRF4388" s="379" t="s">
        <v>3783</v>
      </c>
      <c r="LRG4388" s="379" t="s">
        <v>3783</v>
      </c>
      <c r="LRH4388" s="379" t="s">
        <v>3783</v>
      </c>
      <c r="LRI4388" s="379" t="s">
        <v>3783</v>
      </c>
      <c r="LRJ4388" s="379" t="s">
        <v>3783</v>
      </c>
      <c r="LRK4388" s="379" t="s">
        <v>3783</v>
      </c>
      <c r="LRL4388" s="379" t="s">
        <v>3783</v>
      </c>
      <c r="LRM4388" s="379" t="s">
        <v>3783</v>
      </c>
      <c r="LRN4388" s="379" t="s">
        <v>3783</v>
      </c>
      <c r="LRO4388" s="379" t="s">
        <v>3783</v>
      </c>
      <c r="LRP4388" s="379" t="s">
        <v>3783</v>
      </c>
      <c r="LRQ4388" s="379" t="s">
        <v>3783</v>
      </c>
      <c r="LRR4388" s="379" t="s">
        <v>3783</v>
      </c>
      <c r="LRS4388" s="379" t="s">
        <v>3783</v>
      </c>
      <c r="LRT4388" s="379" t="s">
        <v>3783</v>
      </c>
      <c r="LRU4388" s="379" t="s">
        <v>3783</v>
      </c>
      <c r="LRV4388" s="379" t="s">
        <v>3783</v>
      </c>
      <c r="LRW4388" s="379" t="s">
        <v>3783</v>
      </c>
      <c r="LRX4388" s="379" t="s">
        <v>3783</v>
      </c>
      <c r="LRY4388" s="379" t="s">
        <v>3783</v>
      </c>
      <c r="LRZ4388" s="379" t="s">
        <v>3783</v>
      </c>
      <c r="LSA4388" s="379" t="s">
        <v>3783</v>
      </c>
      <c r="LSB4388" s="379" t="s">
        <v>3783</v>
      </c>
      <c r="LSC4388" s="379" t="s">
        <v>3783</v>
      </c>
      <c r="LSD4388" s="379" t="s">
        <v>3783</v>
      </c>
      <c r="LSE4388" s="379" t="s">
        <v>3783</v>
      </c>
      <c r="LSF4388" s="379" t="s">
        <v>3783</v>
      </c>
      <c r="LSG4388" s="379" t="s">
        <v>3783</v>
      </c>
      <c r="LSH4388" s="379" t="s">
        <v>3783</v>
      </c>
      <c r="LSI4388" s="379" t="s">
        <v>3783</v>
      </c>
      <c r="LSJ4388" s="379" t="s">
        <v>3783</v>
      </c>
      <c r="LSK4388" s="379" t="s">
        <v>3783</v>
      </c>
      <c r="LSL4388" s="379" t="s">
        <v>3783</v>
      </c>
      <c r="LSM4388" s="379" t="s">
        <v>3783</v>
      </c>
      <c r="LSN4388" s="379" t="s">
        <v>3783</v>
      </c>
      <c r="LSO4388" s="379" t="s">
        <v>3783</v>
      </c>
      <c r="LSP4388" s="379" t="s">
        <v>3783</v>
      </c>
      <c r="LSQ4388" s="379" t="s">
        <v>3783</v>
      </c>
      <c r="LSR4388" s="379" t="s">
        <v>3783</v>
      </c>
      <c r="LSS4388" s="379" t="s">
        <v>3783</v>
      </c>
      <c r="LST4388" s="379" t="s">
        <v>3783</v>
      </c>
      <c r="LSU4388" s="379" t="s">
        <v>3783</v>
      </c>
      <c r="LSV4388" s="379" t="s">
        <v>3783</v>
      </c>
      <c r="LSW4388" s="379" t="s">
        <v>3783</v>
      </c>
      <c r="LSX4388" s="379" t="s">
        <v>3783</v>
      </c>
      <c r="LSY4388" s="379" t="s">
        <v>3783</v>
      </c>
      <c r="LSZ4388" s="379" t="s">
        <v>3783</v>
      </c>
      <c r="LTA4388" s="379" t="s">
        <v>3783</v>
      </c>
      <c r="LTB4388" s="379" t="s">
        <v>3783</v>
      </c>
      <c r="LTC4388" s="379" t="s">
        <v>3783</v>
      </c>
      <c r="LTD4388" s="379" t="s">
        <v>3783</v>
      </c>
      <c r="LTE4388" s="379" t="s">
        <v>3783</v>
      </c>
      <c r="LTF4388" s="379" t="s">
        <v>3783</v>
      </c>
      <c r="LTG4388" s="379" t="s">
        <v>3783</v>
      </c>
      <c r="LTH4388" s="379" t="s">
        <v>3783</v>
      </c>
      <c r="LTI4388" s="379" t="s">
        <v>3783</v>
      </c>
      <c r="LTJ4388" s="379" t="s">
        <v>3783</v>
      </c>
      <c r="LTK4388" s="379" t="s">
        <v>3783</v>
      </c>
      <c r="LTL4388" s="379" t="s">
        <v>3783</v>
      </c>
      <c r="LTM4388" s="379" t="s">
        <v>3783</v>
      </c>
      <c r="LTN4388" s="379" t="s">
        <v>3783</v>
      </c>
      <c r="LTO4388" s="379" t="s">
        <v>3783</v>
      </c>
      <c r="LTP4388" s="379" t="s">
        <v>3783</v>
      </c>
      <c r="LTQ4388" s="379" t="s">
        <v>3783</v>
      </c>
      <c r="LTR4388" s="379" t="s">
        <v>3783</v>
      </c>
      <c r="LTS4388" s="379" t="s">
        <v>3783</v>
      </c>
      <c r="LTT4388" s="379" t="s">
        <v>3783</v>
      </c>
      <c r="LTU4388" s="379" t="s">
        <v>3783</v>
      </c>
      <c r="LTV4388" s="379" t="s">
        <v>3783</v>
      </c>
      <c r="LTW4388" s="379" t="s">
        <v>3783</v>
      </c>
      <c r="LTX4388" s="379" t="s">
        <v>3783</v>
      </c>
      <c r="LTY4388" s="379" t="s">
        <v>3783</v>
      </c>
      <c r="LTZ4388" s="379" t="s">
        <v>3783</v>
      </c>
      <c r="LUA4388" s="379" t="s">
        <v>3783</v>
      </c>
      <c r="LUB4388" s="379" t="s">
        <v>3783</v>
      </c>
      <c r="LUC4388" s="379" t="s">
        <v>3783</v>
      </c>
      <c r="LUD4388" s="379" t="s">
        <v>3783</v>
      </c>
      <c r="LUE4388" s="379" t="s">
        <v>3783</v>
      </c>
      <c r="LUF4388" s="379" t="s">
        <v>3783</v>
      </c>
      <c r="LUG4388" s="379" t="s">
        <v>3783</v>
      </c>
      <c r="LUH4388" s="379" t="s">
        <v>3783</v>
      </c>
      <c r="LUI4388" s="379" t="s">
        <v>3783</v>
      </c>
      <c r="LUJ4388" s="379" t="s">
        <v>3783</v>
      </c>
      <c r="LUK4388" s="379" t="s">
        <v>3783</v>
      </c>
      <c r="LUL4388" s="379" t="s">
        <v>3783</v>
      </c>
      <c r="LUM4388" s="379" t="s">
        <v>3783</v>
      </c>
      <c r="LUN4388" s="379" t="s">
        <v>3783</v>
      </c>
      <c r="LUO4388" s="379" t="s">
        <v>3783</v>
      </c>
      <c r="LUP4388" s="379" t="s">
        <v>3783</v>
      </c>
      <c r="LUQ4388" s="379" t="s">
        <v>3783</v>
      </c>
      <c r="LUR4388" s="379" t="s">
        <v>3783</v>
      </c>
      <c r="LUS4388" s="379" t="s">
        <v>3783</v>
      </c>
      <c r="LUT4388" s="379" t="s">
        <v>3783</v>
      </c>
      <c r="LUU4388" s="379" t="s">
        <v>3783</v>
      </c>
      <c r="LUV4388" s="379" t="s">
        <v>3783</v>
      </c>
      <c r="LUW4388" s="379" t="s">
        <v>3783</v>
      </c>
      <c r="LUX4388" s="379" t="s">
        <v>3783</v>
      </c>
      <c r="LUY4388" s="379" t="s">
        <v>3783</v>
      </c>
      <c r="LUZ4388" s="379" t="s">
        <v>3783</v>
      </c>
      <c r="LVA4388" s="379" t="s">
        <v>3783</v>
      </c>
      <c r="LVB4388" s="379" t="s">
        <v>3783</v>
      </c>
      <c r="LVC4388" s="379" t="s">
        <v>3783</v>
      </c>
      <c r="LVD4388" s="379" t="s">
        <v>3783</v>
      </c>
      <c r="LVE4388" s="379" t="s">
        <v>3783</v>
      </c>
      <c r="LVF4388" s="379" t="s">
        <v>3783</v>
      </c>
      <c r="LVG4388" s="379" t="s">
        <v>3783</v>
      </c>
      <c r="LVH4388" s="379" t="s">
        <v>3783</v>
      </c>
      <c r="LVI4388" s="379" t="s">
        <v>3783</v>
      </c>
      <c r="LVJ4388" s="379" t="s">
        <v>3783</v>
      </c>
      <c r="LVK4388" s="379" t="s">
        <v>3783</v>
      </c>
      <c r="LVL4388" s="379" t="s">
        <v>3783</v>
      </c>
      <c r="LVM4388" s="379" t="s">
        <v>3783</v>
      </c>
      <c r="LVN4388" s="379" t="s">
        <v>3783</v>
      </c>
      <c r="LVO4388" s="379" t="s">
        <v>3783</v>
      </c>
      <c r="LVP4388" s="379" t="s">
        <v>3783</v>
      </c>
      <c r="LVQ4388" s="379" t="s">
        <v>3783</v>
      </c>
      <c r="LVR4388" s="379" t="s">
        <v>3783</v>
      </c>
      <c r="LVS4388" s="379" t="s">
        <v>3783</v>
      </c>
      <c r="LVT4388" s="379" t="s">
        <v>3783</v>
      </c>
      <c r="LVU4388" s="379" t="s">
        <v>3783</v>
      </c>
      <c r="LVV4388" s="379" t="s">
        <v>3783</v>
      </c>
      <c r="LVW4388" s="379" t="s">
        <v>3783</v>
      </c>
      <c r="LVX4388" s="379" t="s">
        <v>3783</v>
      </c>
      <c r="LVY4388" s="379" t="s">
        <v>3783</v>
      </c>
      <c r="LVZ4388" s="379" t="s">
        <v>3783</v>
      </c>
      <c r="LWA4388" s="379" t="s">
        <v>3783</v>
      </c>
      <c r="LWB4388" s="379" t="s">
        <v>3783</v>
      </c>
      <c r="LWC4388" s="379" t="s">
        <v>3783</v>
      </c>
      <c r="LWD4388" s="379" t="s">
        <v>3783</v>
      </c>
      <c r="LWE4388" s="379" t="s">
        <v>3783</v>
      </c>
      <c r="LWF4388" s="379" t="s">
        <v>3783</v>
      </c>
      <c r="LWG4388" s="379" t="s">
        <v>3783</v>
      </c>
      <c r="LWH4388" s="379" t="s">
        <v>3783</v>
      </c>
      <c r="LWI4388" s="379" t="s">
        <v>3783</v>
      </c>
      <c r="LWJ4388" s="379" t="s">
        <v>3783</v>
      </c>
      <c r="LWK4388" s="379" t="s">
        <v>3783</v>
      </c>
      <c r="LWL4388" s="379" t="s">
        <v>3783</v>
      </c>
      <c r="LWM4388" s="379" t="s">
        <v>3783</v>
      </c>
      <c r="LWN4388" s="379" t="s">
        <v>3783</v>
      </c>
      <c r="LWO4388" s="379" t="s">
        <v>3783</v>
      </c>
      <c r="LWP4388" s="379" t="s">
        <v>3783</v>
      </c>
      <c r="LWQ4388" s="379" t="s">
        <v>3783</v>
      </c>
      <c r="LWR4388" s="379" t="s">
        <v>3783</v>
      </c>
      <c r="LWS4388" s="379" t="s">
        <v>3783</v>
      </c>
      <c r="LWT4388" s="379" t="s">
        <v>3783</v>
      </c>
      <c r="LWU4388" s="379" t="s">
        <v>3783</v>
      </c>
      <c r="LWV4388" s="379" t="s">
        <v>3783</v>
      </c>
      <c r="LWW4388" s="379" t="s">
        <v>3783</v>
      </c>
      <c r="LWX4388" s="379" t="s">
        <v>3783</v>
      </c>
      <c r="LWY4388" s="379" t="s">
        <v>3783</v>
      </c>
      <c r="LWZ4388" s="379" t="s">
        <v>3783</v>
      </c>
      <c r="LXA4388" s="379" t="s">
        <v>3783</v>
      </c>
      <c r="LXB4388" s="379" t="s">
        <v>3783</v>
      </c>
      <c r="LXC4388" s="379" t="s">
        <v>3783</v>
      </c>
      <c r="LXD4388" s="379" t="s">
        <v>3783</v>
      </c>
      <c r="LXE4388" s="379" t="s">
        <v>3783</v>
      </c>
      <c r="LXF4388" s="379" t="s">
        <v>3783</v>
      </c>
      <c r="LXG4388" s="379" t="s">
        <v>3783</v>
      </c>
      <c r="LXH4388" s="379" t="s">
        <v>3783</v>
      </c>
      <c r="LXI4388" s="379" t="s">
        <v>3783</v>
      </c>
      <c r="LXJ4388" s="379" t="s">
        <v>3783</v>
      </c>
      <c r="LXK4388" s="379" t="s">
        <v>3783</v>
      </c>
      <c r="LXL4388" s="379" t="s">
        <v>3783</v>
      </c>
      <c r="LXM4388" s="379" t="s">
        <v>3783</v>
      </c>
      <c r="LXN4388" s="379" t="s">
        <v>3783</v>
      </c>
      <c r="LXO4388" s="379" t="s">
        <v>3783</v>
      </c>
      <c r="LXP4388" s="379" t="s">
        <v>3783</v>
      </c>
      <c r="LXQ4388" s="379" t="s">
        <v>3783</v>
      </c>
      <c r="LXR4388" s="379" t="s">
        <v>3783</v>
      </c>
      <c r="LXS4388" s="379" t="s">
        <v>3783</v>
      </c>
      <c r="LXT4388" s="379" t="s">
        <v>3783</v>
      </c>
      <c r="LXU4388" s="379" t="s">
        <v>3783</v>
      </c>
      <c r="LXV4388" s="379" t="s">
        <v>3783</v>
      </c>
      <c r="LXW4388" s="379" t="s">
        <v>3783</v>
      </c>
      <c r="LXX4388" s="379" t="s">
        <v>3783</v>
      </c>
      <c r="LXY4388" s="379" t="s">
        <v>3783</v>
      </c>
      <c r="LXZ4388" s="379" t="s">
        <v>3783</v>
      </c>
      <c r="LYA4388" s="379" t="s">
        <v>3783</v>
      </c>
      <c r="LYB4388" s="379" t="s">
        <v>3783</v>
      </c>
      <c r="LYC4388" s="379" t="s">
        <v>3783</v>
      </c>
      <c r="LYD4388" s="379" t="s">
        <v>3783</v>
      </c>
      <c r="LYE4388" s="379" t="s">
        <v>3783</v>
      </c>
      <c r="LYF4388" s="379" t="s">
        <v>3783</v>
      </c>
      <c r="LYG4388" s="379" t="s">
        <v>3783</v>
      </c>
      <c r="LYH4388" s="379" t="s">
        <v>3783</v>
      </c>
      <c r="LYI4388" s="379" t="s">
        <v>3783</v>
      </c>
      <c r="LYJ4388" s="379" t="s">
        <v>3783</v>
      </c>
      <c r="LYK4388" s="379" t="s">
        <v>3783</v>
      </c>
      <c r="LYL4388" s="379" t="s">
        <v>3783</v>
      </c>
      <c r="LYM4388" s="379" t="s">
        <v>3783</v>
      </c>
      <c r="LYN4388" s="379" t="s">
        <v>3783</v>
      </c>
      <c r="LYO4388" s="379" t="s">
        <v>3783</v>
      </c>
      <c r="LYP4388" s="379" t="s">
        <v>3783</v>
      </c>
      <c r="LYQ4388" s="379" t="s">
        <v>3783</v>
      </c>
      <c r="LYR4388" s="379" t="s">
        <v>3783</v>
      </c>
      <c r="LYS4388" s="379" t="s">
        <v>3783</v>
      </c>
      <c r="LYT4388" s="379" t="s">
        <v>3783</v>
      </c>
      <c r="LYU4388" s="379" t="s">
        <v>3783</v>
      </c>
      <c r="LYV4388" s="379" t="s">
        <v>3783</v>
      </c>
      <c r="LYW4388" s="379" t="s">
        <v>3783</v>
      </c>
      <c r="LYX4388" s="379" t="s">
        <v>3783</v>
      </c>
      <c r="LYY4388" s="379" t="s">
        <v>3783</v>
      </c>
      <c r="LYZ4388" s="379" t="s">
        <v>3783</v>
      </c>
      <c r="LZA4388" s="379" t="s">
        <v>3783</v>
      </c>
      <c r="LZB4388" s="379" t="s">
        <v>3783</v>
      </c>
      <c r="LZC4388" s="379" t="s">
        <v>3783</v>
      </c>
      <c r="LZD4388" s="379" t="s">
        <v>3783</v>
      </c>
      <c r="LZE4388" s="379" t="s">
        <v>3783</v>
      </c>
      <c r="LZF4388" s="379" t="s">
        <v>3783</v>
      </c>
      <c r="LZG4388" s="379" t="s">
        <v>3783</v>
      </c>
      <c r="LZH4388" s="379" t="s">
        <v>3783</v>
      </c>
      <c r="LZI4388" s="379" t="s">
        <v>3783</v>
      </c>
      <c r="LZJ4388" s="379" t="s">
        <v>3783</v>
      </c>
      <c r="LZK4388" s="379" t="s">
        <v>3783</v>
      </c>
      <c r="LZL4388" s="379" t="s">
        <v>3783</v>
      </c>
      <c r="LZM4388" s="379" t="s">
        <v>3783</v>
      </c>
      <c r="LZN4388" s="379" t="s">
        <v>3783</v>
      </c>
      <c r="LZO4388" s="379" t="s">
        <v>3783</v>
      </c>
      <c r="LZP4388" s="379" t="s">
        <v>3783</v>
      </c>
      <c r="LZQ4388" s="379" t="s">
        <v>3783</v>
      </c>
      <c r="LZR4388" s="379" t="s">
        <v>3783</v>
      </c>
      <c r="LZS4388" s="379" t="s">
        <v>3783</v>
      </c>
      <c r="LZT4388" s="379" t="s">
        <v>3783</v>
      </c>
      <c r="LZU4388" s="379" t="s">
        <v>3783</v>
      </c>
      <c r="LZV4388" s="379" t="s">
        <v>3783</v>
      </c>
      <c r="LZW4388" s="379" t="s">
        <v>3783</v>
      </c>
      <c r="LZX4388" s="379" t="s">
        <v>3783</v>
      </c>
      <c r="LZY4388" s="379" t="s">
        <v>3783</v>
      </c>
      <c r="LZZ4388" s="379" t="s">
        <v>3783</v>
      </c>
      <c r="MAA4388" s="379" t="s">
        <v>3783</v>
      </c>
      <c r="MAB4388" s="379" t="s">
        <v>3783</v>
      </c>
      <c r="MAC4388" s="379" t="s">
        <v>3783</v>
      </c>
      <c r="MAD4388" s="379" t="s">
        <v>3783</v>
      </c>
      <c r="MAE4388" s="379" t="s">
        <v>3783</v>
      </c>
      <c r="MAF4388" s="379" t="s">
        <v>3783</v>
      </c>
      <c r="MAG4388" s="379" t="s">
        <v>3783</v>
      </c>
      <c r="MAH4388" s="379" t="s">
        <v>3783</v>
      </c>
      <c r="MAI4388" s="379" t="s">
        <v>3783</v>
      </c>
      <c r="MAJ4388" s="379" t="s">
        <v>3783</v>
      </c>
      <c r="MAK4388" s="379" t="s">
        <v>3783</v>
      </c>
      <c r="MAL4388" s="379" t="s">
        <v>3783</v>
      </c>
      <c r="MAM4388" s="379" t="s">
        <v>3783</v>
      </c>
      <c r="MAN4388" s="379" t="s">
        <v>3783</v>
      </c>
      <c r="MAO4388" s="379" t="s">
        <v>3783</v>
      </c>
      <c r="MAP4388" s="379" t="s">
        <v>3783</v>
      </c>
      <c r="MAQ4388" s="379" t="s">
        <v>3783</v>
      </c>
      <c r="MAR4388" s="379" t="s">
        <v>3783</v>
      </c>
      <c r="MAS4388" s="379" t="s">
        <v>3783</v>
      </c>
      <c r="MAT4388" s="379" t="s">
        <v>3783</v>
      </c>
      <c r="MAU4388" s="379" t="s">
        <v>3783</v>
      </c>
      <c r="MAV4388" s="379" t="s">
        <v>3783</v>
      </c>
      <c r="MAW4388" s="379" t="s">
        <v>3783</v>
      </c>
      <c r="MAX4388" s="379" t="s">
        <v>3783</v>
      </c>
      <c r="MAY4388" s="379" t="s">
        <v>3783</v>
      </c>
      <c r="MAZ4388" s="379" t="s">
        <v>3783</v>
      </c>
      <c r="MBA4388" s="379" t="s">
        <v>3783</v>
      </c>
      <c r="MBB4388" s="379" t="s">
        <v>3783</v>
      </c>
      <c r="MBC4388" s="379" t="s">
        <v>3783</v>
      </c>
      <c r="MBD4388" s="379" t="s">
        <v>3783</v>
      </c>
      <c r="MBE4388" s="379" t="s">
        <v>3783</v>
      </c>
      <c r="MBF4388" s="379" t="s">
        <v>3783</v>
      </c>
      <c r="MBG4388" s="379" t="s">
        <v>3783</v>
      </c>
      <c r="MBH4388" s="379" t="s">
        <v>3783</v>
      </c>
      <c r="MBI4388" s="379" t="s">
        <v>3783</v>
      </c>
      <c r="MBJ4388" s="379" t="s">
        <v>3783</v>
      </c>
      <c r="MBK4388" s="379" t="s">
        <v>3783</v>
      </c>
      <c r="MBL4388" s="379" t="s">
        <v>3783</v>
      </c>
      <c r="MBM4388" s="379" t="s">
        <v>3783</v>
      </c>
      <c r="MBN4388" s="379" t="s">
        <v>3783</v>
      </c>
      <c r="MBO4388" s="379" t="s">
        <v>3783</v>
      </c>
      <c r="MBP4388" s="379" t="s">
        <v>3783</v>
      </c>
      <c r="MBQ4388" s="379" t="s">
        <v>3783</v>
      </c>
      <c r="MBR4388" s="379" t="s">
        <v>3783</v>
      </c>
      <c r="MBS4388" s="379" t="s">
        <v>3783</v>
      </c>
      <c r="MBT4388" s="379" t="s">
        <v>3783</v>
      </c>
      <c r="MBU4388" s="379" t="s">
        <v>3783</v>
      </c>
      <c r="MBV4388" s="379" t="s">
        <v>3783</v>
      </c>
      <c r="MBW4388" s="379" t="s">
        <v>3783</v>
      </c>
      <c r="MBX4388" s="379" t="s">
        <v>3783</v>
      </c>
      <c r="MBY4388" s="379" t="s">
        <v>3783</v>
      </c>
      <c r="MBZ4388" s="379" t="s">
        <v>3783</v>
      </c>
      <c r="MCA4388" s="379" t="s">
        <v>3783</v>
      </c>
      <c r="MCB4388" s="379" t="s">
        <v>3783</v>
      </c>
      <c r="MCC4388" s="379" t="s">
        <v>3783</v>
      </c>
      <c r="MCD4388" s="379" t="s">
        <v>3783</v>
      </c>
      <c r="MCE4388" s="379" t="s">
        <v>3783</v>
      </c>
      <c r="MCF4388" s="379" t="s">
        <v>3783</v>
      </c>
      <c r="MCG4388" s="379" t="s">
        <v>3783</v>
      </c>
      <c r="MCH4388" s="379" t="s">
        <v>3783</v>
      </c>
      <c r="MCI4388" s="379" t="s">
        <v>3783</v>
      </c>
      <c r="MCJ4388" s="379" t="s">
        <v>3783</v>
      </c>
      <c r="MCK4388" s="379" t="s">
        <v>3783</v>
      </c>
      <c r="MCL4388" s="379" t="s">
        <v>3783</v>
      </c>
      <c r="MCM4388" s="379" t="s">
        <v>3783</v>
      </c>
      <c r="MCN4388" s="379" t="s">
        <v>3783</v>
      </c>
      <c r="MCO4388" s="379" t="s">
        <v>3783</v>
      </c>
      <c r="MCP4388" s="379" t="s">
        <v>3783</v>
      </c>
      <c r="MCQ4388" s="379" t="s">
        <v>3783</v>
      </c>
      <c r="MCR4388" s="379" t="s">
        <v>3783</v>
      </c>
      <c r="MCS4388" s="379" t="s">
        <v>3783</v>
      </c>
      <c r="MCT4388" s="379" t="s">
        <v>3783</v>
      </c>
      <c r="MCU4388" s="379" t="s">
        <v>3783</v>
      </c>
      <c r="MCV4388" s="379" t="s">
        <v>3783</v>
      </c>
      <c r="MCW4388" s="379" t="s">
        <v>3783</v>
      </c>
      <c r="MCX4388" s="379" t="s">
        <v>3783</v>
      </c>
      <c r="MCY4388" s="379" t="s">
        <v>3783</v>
      </c>
      <c r="MCZ4388" s="379" t="s">
        <v>3783</v>
      </c>
      <c r="MDA4388" s="379" t="s">
        <v>3783</v>
      </c>
      <c r="MDB4388" s="379" t="s">
        <v>3783</v>
      </c>
      <c r="MDC4388" s="379" t="s">
        <v>3783</v>
      </c>
      <c r="MDD4388" s="379" t="s">
        <v>3783</v>
      </c>
      <c r="MDE4388" s="379" t="s">
        <v>3783</v>
      </c>
      <c r="MDF4388" s="379" t="s">
        <v>3783</v>
      </c>
      <c r="MDG4388" s="379" t="s">
        <v>3783</v>
      </c>
      <c r="MDH4388" s="379" t="s">
        <v>3783</v>
      </c>
      <c r="MDI4388" s="379" t="s">
        <v>3783</v>
      </c>
      <c r="MDJ4388" s="379" t="s">
        <v>3783</v>
      </c>
      <c r="MDK4388" s="379" t="s">
        <v>3783</v>
      </c>
      <c r="MDL4388" s="379" t="s">
        <v>3783</v>
      </c>
      <c r="MDM4388" s="379" t="s">
        <v>3783</v>
      </c>
      <c r="MDN4388" s="379" t="s">
        <v>3783</v>
      </c>
      <c r="MDO4388" s="379" t="s">
        <v>3783</v>
      </c>
      <c r="MDP4388" s="379" t="s">
        <v>3783</v>
      </c>
      <c r="MDQ4388" s="379" t="s">
        <v>3783</v>
      </c>
      <c r="MDR4388" s="379" t="s">
        <v>3783</v>
      </c>
      <c r="MDS4388" s="379" t="s">
        <v>3783</v>
      </c>
      <c r="MDT4388" s="379" t="s">
        <v>3783</v>
      </c>
      <c r="MDU4388" s="379" t="s">
        <v>3783</v>
      </c>
      <c r="MDV4388" s="379" t="s">
        <v>3783</v>
      </c>
      <c r="MDW4388" s="379" t="s">
        <v>3783</v>
      </c>
      <c r="MDX4388" s="379" t="s">
        <v>3783</v>
      </c>
      <c r="MDY4388" s="379" t="s">
        <v>3783</v>
      </c>
      <c r="MDZ4388" s="379" t="s">
        <v>3783</v>
      </c>
      <c r="MEA4388" s="379" t="s">
        <v>3783</v>
      </c>
      <c r="MEB4388" s="379" t="s">
        <v>3783</v>
      </c>
      <c r="MEC4388" s="379" t="s">
        <v>3783</v>
      </c>
      <c r="MED4388" s="379" t="s">
        <v>3783</v>
      </c>
      <c r="MEE4388" s="379" t="s">
        <v>3783</v>
      </c>
      <c r="MEF4388" s="379" t="s">
        <v>3783</v>
      </c>
      <c r="MEG4388" s="379" t="s">
        <v>3783</v>
      </c>
      <c r="MEH4388" s="379" t="s">
        <v>3783</v>
      </c>
      <c r="MEI4388" s="379" t="s">
        <v>3783</v>
      </c>
      <c r="MEJ4388" s="379" t="s">
        <v>3783</v>
      </c>
      <c r="MEK4388" s="379" t="s">
        <v>3783</v>
      </c>
      <c r="MEL4388" s="379" t="s">
        <v>3783</v>
      </c>
      <c r="MEM4388" s="379" t="s">
        <v>3783</v>
      </c>
      <c r="MEN4388" s="379" t="s">
        <v>3783</v>
      </c>
      <c r="MEO4388" s="379" t="s">
        <v>3783</v>
      </c>
      <c r="MEP4388" s="379" t="s">
        <v>3783</v>
      </c>
      <c r="MEQ4388" s="379" t="s">
        <v>3783</v>
      </c>
      <c r="MER4388" s="379" t="s">
        <v>3783</v>
      </c>
      <c r="MES4388" s="379" t="s">
        <v>3783</v>
      </c>
      <c r="MET4388" s="379" t="s">
        <v>3783</v>
      </c>
      <c r="MEU4388" s="379" t="s">
        <v>3783</v>
      </c>
      <c r="MEV4388" s="379" t="s">
        <v>3783</v>
      </c>
      <c r="MEW4388" s="379" t="s">
        <v>3783</v>
      </c>
      <c r="MEX4388" s="379" t="s">
        <v>3783</v>
      </c>
      <c r="MEY4388" s="379" t="s">
        <v>3783</v>
      </c>
      <c r="MEZ4388" s="379" t="s">
        <v>3783</v>
      </c>
      <c r="MFA4388" s="379" t="s">
        <v>3783</v>
      </c>
      <c r="MFB4388" s="379" t="s">
        <v>3783</v>
      </c>
      <c r="MFC4388" s="379" t="s">
        <v>3783</v>
      </c>
      <c r="MFD4388" s="379" t="s">
        <v>3783</v>
      </c>
      <c r="MFE4388" s="379" t="s">
        <v>3783</v>
      </c>
      <c r="MFF4388" s="379" t="s">
        <v>3783</v>
      </c>
      <c r="MFG4388" s="379" t="s">
        <v>3783</v>
      </c>
      <c r="MFH4388" s="379" t="s">
        <v>3783</v>
      </c>
      <c r="MFI4388" s="379" t="s">
        <v>3783</v>
      </c>
      <c r="MFJ4388" s="379" t="s">
        <v>3783</v>
      </c>
      <c r="MFK4388" s="379" t="s">
        <v>3783</v>
      </c>
      <c r="MFL4388" s="379" t="s">
        <v>3783</v>
      </c>
      <c r="MFM4388" s="379" t="s">
        <v>3783</v>
      </c>
      <c r="MFN4388" s="379" t="s">
        <v>3783</v>
      </c>
      <c r="MFO4388" s="379" t="s">
        <v>3783</v>
      </c>
      <c r="MFP4388" s="379" t="s">
        <v>3783</v>
      </c>
      <c r="MFQ4388" s="379" t="s">
        <v>3783</v>
      </c>
      <c r="MFR4388" s="379" t="s">
        <v>3783</v>
      </c>
      <c r="MFS4388" s="379" t="s">
        <v>3783</v>
      </c>
      <c r="MFT4388" s="379" t="s">
        <v>3783</v>
      </c>
      <c r="MFU4388" s="379" t="s">
        <v>3783</v>
      </c>
      <c r="MFV4388" s="379" t="s">
        <v>3783</v>
      </c>
      <c r="MFW4388" s="379" t="s">
        <v>3783</v>
      </c>
      <c r="MFX4388" s="379" t="s">
        <v>3783</v>
      </c>
      <c r="MFY4388" s="379" t="s">
        <v>3783</v>
      </c>
      <c r="MFZ4388" s="379" t="s">
        <v>3783</v>
      </c>
      <c r="MGA4388" s="379" t="s">
        <v>3783</v>
      </c>
      <c r="MGB4388" s="379" t="s">
        <v>3783</v>
      </c>
      <c r="MGC4388" s="379" t="s">
        <v>3783</v>
      </c>
      <c r="MGD4388" s="379" t="s">
        <v>3783</v>
      </c>
      <c r="MGE4388" s="379" t="s">
        <v>3783</v>
      </c>
      <c r="MGF4388" s="379" t="s">
        <v>3783</v>
      </c>
      <c r="MGG4388" s="379" t="s">
        <v>3783</v>
      </c>
      <c r="MGH4388" s="379" t="s">
        <v>3783</v>
      </c>
      <c r="MGI4388" s="379" t="s">
        <v>3783</v>
      </c>
      <c r="MGJ4388" s="379" t="s">
        <v>3783</v>
      </c>
      <c r="MGK4388" s="379" t="s">
        <v>3783</v>
      </c>
      <c r="MGL4388" s="379" t="s">
        <v>3783</v>
      </c>
      <c r="MGM4388" s="379" t="s">
        <v>3783</v>
      </c>
      <c r="MGN4388" s="379" t="s">
        <v>3783</v>
      </c>
      <c r="MGO4388" s="379" t="s">
        <v>3783</v>
      </c>
      <c r="MGP4388" s="379" t="s">
        <v>3783</v>
      </c>
      <c r="MGQ4388" s="379" t="s">
        <v>3783</v>
      </c>
      <c r="MGR4388" s="379" t="s">
        <v>3783</v>
      </c>
      <c r="MGS4388" s="379" t="s">
        <v>3783</v>
      </c>
      <c r="MGT4388" s="379" t="s">
        <v>3783</v>
      </c>
      <c r="MGU4388" s="379" t="s">
        <v>3783</v>
      </c>
      <c r="MGV4388" s="379" t="s">
        <v>3783</v>
      </c>
      <c r="MGW4388" s="379" t="s">
        <v>3783</v>
      </c>
      <c r="MGX4388" s="379" t="s">
        <v>3783</v>
      </c>
      <c r="MGY4388" s="379" t="s">
        <v>3783</v>
      </c>
      <c r="MGZ4388" s="379" t="s">
        <v>3783</v>
      </c>
      <c r="MHA4388" s="379" t="s">
        <v>3783</v>
      </c>
      <c r="MHB4388" s="379" t="s">
        <v>3783</v>
      </c>
      <c r="MHC4388" s="379" t="s">
        <v>3783</v>
      </c>
      <c r="MHD4388" s="379" t="s">
        <v>3783</v>
      </c>
      <c r="MHE4388" s="379" t="s">
        <v>3783</v>
      </c>
      <c r="MHF4388" s="379" t="s">
        <v>3783</v>
      </c>
      <c r="MHG4388" s="379" t="s">
        <v>3783</v>
      </c>
      <c r="MHH4388" s="379" t="s">
        <v>3783</v>
      </c>
      <c r="MHI4388" s="379" t="s">
        <v>3783</v>
      </c>
      <c r="MHJ4388" s="379" t="s">
        <v>3783</v>
      </c>
      <c r="MHK4388" s="379" t="s">
        <v>3783</v>
      </c>
      <c r="MHL4388" s="379" t="s">
        <v>3783</v>
      </c>
      <c r="MHM4388" s="379" t="s">
        <v>3783</v>
      </c>
      <c r="MHN4388" s="379" t="s">
        <v>3783</v>
      </c>
      <c r="MHO4388" s="379" t="s">
        <v>3783</v>
      </c>
      <c r="MHP4388" s="379" t="s">
        <v>3783</v>
      </c>
      <c r="MHQ4388" s="379" t="s">
        <v>3783</v>
      </c>
      <c r="MHR4388" s="379" t="s">
        <v>3783</v>
      </c>
      <c r="MHS4388" s="379" t="s">
        <v>3783</v>
      </c>
      <c r="MHT4388" s="379" t="s">
        <v>3783</v>
      </c>
      <c r="MHU4388" s="379" t="s">
        <v>3783</v>
      </c>
      <c r="MHV4388" s="379" t="s">
        <v>3783</v>
      </c>
      <c r="MHW4388" s="379" t="s">
        <v>3783</v>
      </c>
      <c r="MHX4388" s="379" t="s">
        <v>3783</v>
      </c>
      <c r="MHY4388" s="379" t="s">
        <v>3783</v>
      </c>
      <c r="MHZ4388" s="379" t="s">
        <v>3783</v>
      </c>
      <c r="MIA4388" s="379" t="s">
        <v>3783</v>
      </c>
      <c r="MIB4388" s="379" t="s">
        <v>3783</v>
      </c>
      <c r="MIC4388" s="379" t="s">
        <v>3783</v>
      </c>
      <c r="MID4388" s="379" t="s">
        <v>3783</v>
      </c>
      <c r="MIE4388" s="379" t="s">
        <v>3783</v>
      </c>
      <c r="MIF4388" s="379" t="s">
        <v>3783</v>
      </c>
      <c r="MIG4388" s="379" t="s">
        <v>3783</v>
      </c>
      <c r="MIH4388" s="379" t="s">
        <v>3783</v>
      </c>
      <c r="MII4388" s="379" t="s">
        <v>3783</v>
      </c>
      <c r="MIJ4388" s="379" t="s">
        <v>3783</v>
      </c>
      <c r="MIK4388" s="379" t="s">
        <v>3783</v>
      </c>
      <c r="MIL4388" s="379" t="s">
        <v>3783</v>
      </c>
      <c r="MIM4388" s="379" t="s">
        <v>3783</v>
      </c>
      <c r="MIN4388" s="379" t="s">
        <v>3783</v>
      </c>
      <c r="MIO4388" s="379" t="s">
        <v>3783</v>
      </c>
      <c r="MIP4388" s="379" t="s">
        <v>3783</v>
      </c>
      <c r="MIQ4388" s="379" t="s">
        <v>3783</v>
      </c>
      <c r="MIR4388" s="379" t="s">
        <v>3783</v>
      </c>
      <c r="MIS4388" s="379" t="s">
        <v>3783</v>
      </c>
      <c r="MIT4388" s="379" t="s">
        <v>3783</v>
      </c>
      <c r="MIU4388" s="379" t="s">
        <v>3783</v>
      </c>
      <c r="MIV4388" s="379" t="s">
        <v>3783</v>
      </c>
      <c r="MIW4388" s="379" t="s">
        <v>3783</v>
      </c>
      <c r="MIX4388" s="379" t="s">
        <v>3783</v>
      </c>
      <c r="MIY4388" s="379" t="s">
        <v>3783</v>
      </c>
      <c r="MIZ4388" s="379" t="s">
        <v>3783</v>
      </c>
      <c r="MJA4388" s="379" t="s">
        <v>3783</v>
      </c>
      <c r="MJB4388" s="379" t="s">
        <v>3783</v>
      </c>
      <c r="MJC4388" s="379" t="s">
        <v>3783</v>
      </c>
      <c r="MJD4388" s="379" t="s">
        <v>3783</v>
      </c>
      <c r="MJE4388" s="379" t="s">
        <v>3783</v>
      </c>
      <c r="MJF4388" s="379" t="s">
        <v>3783</v>
      </c>
      <c r="MJG4388" s="379" t="s">
        <v>3783</v>
      </c>
      <c r="MJH4388" s="379" t="s">
        <v>3783</v>
      </c>
      <c r="MJI4388" s="379" t="s">
        <v>3783</v>
      </c>
      <c r="MJJ4388" s="379" t="s">
        <v>3783</v>
      </c>
      <c r="MJK4388" s="379" t="s">
        <v>3783</v>
      </c>
      <c r="MJL4388" s="379" t="s">
        <v>3783</v>
      </c>
      <c r="MJM4388" s="379" t="s">
        <v>3783</v>
      </c>
      <c r="MJN4388" s="379" t="s">
        <v>3783</v>
      </c>
      <c r="MJO4388" s="379" t="s">
        <v>3783</v>
      </c>
      <c r="MJP4388" s="379" t="s">
        <v>3783</v>
      </c>
      <c r="MJQ4388" s="379" t="s">
        <v>3783</v>
      </c>
      <c r="MJR4388" s="379" t="s">
        <v>3783</v>
      </c>
      <c r="MJS4388" s="379" t="s">
        <v>3783</v>
      </c>
      <c r="MJT4388" s="379" t="s">
        <v>3783</v>
      </c>
      <c r="MJU4388" s="379" t="s">
        <v>3783</v>
      </c>
      <c r="MJV4388" s="379" t="s">
        <v>3783</v>
      </c>
      <c r="MJW4388" s="379" t="s">
        <v>3783</v>
      </c>
      <c r="MJX4388" s="379" t="s">
        <v>3783</v>
      </c>
      <c r="MJY4388" s="379" t="s">
        <v>3783</v>
      </c>
      <c r="MJZ4388" s="379" t="s">
        <v>3783</v>
      </c>
      <c r="MKA4388" s="379" t="s">
        <v>3783</v>
      </c>
      <c r="MKB4388" s="379" t="s">
        <v>3783</v>
      </c>
      <c r="MKC4388" s="379" t="s">
        <v>3783</v>
      </c>
      <c r="MKD4388" s="379" t="s">
        <v>3783</v>
      </c>
      <c r="MKE4388" s="379" t="s">
        <v>3783</v>
      </c>
      <c r="MKF4388" s="379" t="s">
        <v>3783</v>
      </c>
      <c r="MKG4388" s="379" t="s">
        <v>3783</v>
      </c>
      <c r="MKH4388" s="379" t="s">
        <v>3783</v>
      </c>
      <c r="MKI4388" s="379" t="s">
        <v>3783</v>
      </c>
      <c r="MKJ4388" s="379" t="s">
        <v>3783</v>
      </c>
      <c r="MKK4388" s="379" t="s">
        <v>3783</v>
      </c>
      <c r="MKL4388" s="379" t="s">
        <v>3783</v>
      </c>
      <c r="MKM4388" s="379" t="s">
        <v>3783</v>
      </c>
      <c r="MKN4388" s="379" t="s">
        <v>3783</v>
      </c>
      <c r="MKO4388" s="379" t="s">
        <v>3783</v>
      </c>
      <c r="MKP4388" s="379" t="s">
        <v>3783</v>
      </c>
      <c r="MKQ4388" s="379" t="s">
        <v>3783</v>
      </c>
      <c r="MKR4388" s="379" t="s">
        <v>3783</v>
      </c>
      <c r="MKS4388" s="379" t="s">
        <v>3783</v>
      </c>
      <c r="MKT4388" s="379" t="s">
        <v>3783</v>
      </c>
      <c r="MKU4388" s="379" t="s">
        <v>3783</v>
      </c>
      <c r="MKV4388" s="379" t="s">
        <v>3783</v>
      </c>
      <c r="MKW4388" s="379" t="s">
        <v>3783</v>
      </c>
      <c r="MKX4388" s="379" t="s">
        <v>3783</v>
      </c>
      <c r="MKY4388" s="379" t="s">
        <v>3783</v>
      </c>
      <c r="MKZ4388" s="379" t="s">
        <v>3783</v>
      </c>
      <c r="MLA4388" s="379" t="s">
        <v>3783</v>
      </c>
      <c r="MLB4388" s="379" t="s">
        <v>3783</v>
      </c>
      <c r="MLC4388" s="379" t="s">
        <v>3783</v>
      </c>
      <c r="MLD4388" s="379" t="s">
        <v>3783</v>
      </c>
      <c r="MLE4388" s="379" t="s">
        <v>3783</v>
      </c>
      <c r="MLF4388" s="379" t="s">
        <v>3783</v>
      </c>
      <c r="MLG4388" s="379" t="s">
        <v>3783</v>
      </c>
      <c r="MLH4388" s="379" t="s">
        <v>3783</v>
      </c>
      <c r="MLI4388" s="379" t="s">
        <v>3783</v>
      </c>
      <c r="MLJ4388" s="379" t="s">
        <v>3783</v>
      </c>
      <c r="MLK4388" s="379" t="s">
        <v>3783</v>
      </c>
      <c r="MLL4388" s="379" t="s">
        <v>3783</v>
      </c>
      <c r="MLM4388" s="379" t="s">
        <v>3783</v>
      </c>
      <c r="MLN4388" s="379" t="s">
        <v>3783</v>
      </c>
      <c r="MLO4388" s="379" t="s">
        <v>3783</v>
      </c>
      <c r="MLP4388" s="379" t="s">
        <v>3783</v>
      </c>
      <c r="MLQ4388" s="379" t="s">
        <v>3783</v>
      </c>
      <c r="MLR4388" s="379" t="s">
        <v>3783</v>
      </c>
      <c r="MLS4388" s="379" t="s">
        <v>3783</v>
      </c>
      <c r="MLT4388" s="379" t="s">
        <v>3783</v>
      </c>
      <c r="MLU4388" s="379" t="s">
        <v>3783</v>
      </c>
      <c r="MLV4388" s="379" t="s">
        <v>3783</v>
      </c>
      <c r="MLW4388" s="379" t="s">
        <v>3783</v>
      </c>
      <c r="MLX4388" s="379" t="s">
        <v>3783</v>
      </c>
      <c r="MLY4388" s="379" t="s">
        <v>3783</v>
      </c>
      <c r="MLZ4388" s="379" t="s">
        <v>3783</v>
      </c>
      <c r="MMA4388" s="379" t="s">
        <v>3783</v>
      </c>
      <c r="MMB4388" s="379" t="s">
        <v>3783</v>
      </c>
      <c r="MMC4388" s="379" t="s">
        <v>3783</v>
      </c>
      <c r="MMD4388" s="379" t="s">
        <v>3783</v>
      </c>
      <c r="MME4388" s="379" t="s">
        <v>3783</v>
      </c>
      <c r="MMF4388" s="379" t="s">
        <v>3783</v>
      </c>
      <c r="MMG4388" s="379" t="s">
        <v>3783</v>
      </c>
      <c r="MMH4388" s="379" t="s">
        <v>3783</v>
      </c>
      <c r="MMI4388" s="379" t="s">
        <v>3783</v>
      </c>
      <c r="MMJ4388" s="379" t="s">
        <v>3783</v>
      </c>
      <c r="MMK4388" s="379" t="s">
        <v>3783</v>
      </c>
      <c r="MML4388" s="379" t="s">
        <v>3783</v>
      </c>
      <c r="MMM4388" s="379" t="s">
        <v>3783</v>
      </c>
      <c r="MMN4388" s="379" t="s">
        <v>3783</v>
      </c>
      <c r="MMO4388" s="379" t="s">
        <v>3783</v>
      </c>
      <c r="MMP4388" s="379" t="s">
        <v>3783</v>
      </c>
      <c r="MMQ4388" s="379" t="s">
        <v>3783</v>
      </c>
      <c r="MMR4388" s="379" t="s">
        <v>3783</v>
      </c>
      <c r="MMS4388" s="379" t="s">
        <v>3783</v>
      </c>
      <c r="MMT4388" s="379" t="s">
        <v>3783</v>
      </c>
      <c r="MMU4388" s="379" t="s">
        <v>3783</v>
      </c>
      <c r="MMV4388" s="379" t="s">
        <v>3783</v>
      </c>
      <c r="MMW4388" s="379" t="s">
        <v>3783</v>
      </c>
      <c r="MMX4388" s="379" t="s">
        <v>3783</v>
      </c>
      <c r="MMY4388" s="379" t="s">
        <v>3783</v>
      </c>
      <c r="MMZ4388" s="379" t="s">
        <v>3783</v>
      </c>
      <c r="MNA4388" s="379" t="s">
        <v>3783</v>
      </c>
      <c r="MNB4388" s="379" t="s">
        <v>3783</v>
      </c>
      <c r="MNC4388" s="379" t="s">
        <v>3783</v>
      </c>
      <c r="MND4388" s="379" t="s">
        <v>3783</v>
      </c>
      <c r="MNE4388" s="379" t="s">
        <v>3783</v>
      </c>
      <c r="MNF4388" s="379" t="s">
        <v>3783</v>
      </c>
      <c r="MNG4388" s="379" t="s">
        <v>3783</v>
      </c>
      <c r="MNH4388" s="379" t="s">
        <v>3783</v>
      </c>
      <c r="MNI4388" s="379" t="s">
        <v>3783</v>
      </c>
      <c r="MNJ4388" s="379" t="s">
        <v>3783</v>
      </c>
      <c r="MNK4388" s="379" t="s">
        <v>3783</v>
      </c>
      <c r="MNL4388" s="379" t="s">
        <v>3783</v>
      </c>
      <c r="MNM4388" s="379" t="s">
        <v>3783</v>
      </c>
      <c r="MNN4388" s="379" t="s">
        <v>3783</v>
      </c>
      <c r="MNO4388" s="379" t="s">
        <v>3783</v>
      </c>
      <c r="MNP4388" s="379" t="s">
        <v>3783</v>
      </c>
      <c r="MNQ4388" s="379" t="s">
        <v>3783</v>
      </c>
      <c r="MNR4388" s="379" t="s">
        <v>3783</v>
      </c>
      <c r="MNS4388" s="379" t="s">
        <v>3783</v>
      </c>
      <c r="MNT4388" s="379" t="s">
        <v>3783</v>
      </c>
      <c r="MNU4388" s="379" t="s">
        <v>3783</v>
      </c>
      <c r="MNV4388" s="379" t="s">
        <v>3783</v>
      </c>
      <c r="MNW4388" s="379" t="s">
        <v>3783</v>
      </c>
      <c r="MNX4388" s="379" t="s">
        <v>3783</v>
      </c>
      <c r="MNY4388" s="379" t="s">
        <v>3783</v>
      </c>
      <c r="MNZ4388" s="379" t="s">
        <v>3783</v>
      </c>
      <c r="MOA4388" s="379" t="s">
        <v>3783</v>
      </c>
      <c r="MOB4388" s="379" t="s">
        <v>3783</v>
      </c>
      <c r="MOC4388" s="379" t="s">
        <v>3783</v>
      </c>
      <c r="MOD4388" s="379" t="s">
        <v>3783</v>
      </c>
      <c r="MOE4388" s="379" t="s">
        <v>3783</v>
      </c>
      <c r="MOF4388" s="379" t="s">
        <v>3783</v>
      </c>
      <c r="MOG4388" s="379" t="s">
        <v>3783</v>
      </c>
      <c r="MOH4388" s="379" t="s">
        <v>3783</v>
      </c>
      <c r="MOI4388" s="379" t="s">
        <v>3783</v>
      </c>
      <c r="MOJ4388" s="379" t="s">
        <v>3783</v>
      </c>
      <c r="MOK4388" s="379" t="s">
        <v>3783</v>
      </c>
      <c r="MOL4388" s="379" t="s">
        <v>3783</v>
      </c>
      <c r="MOM4388" s="379" t="s">
        <v>3783</v>
      </c>
      <c r="MON4388" s="379" t="s">
        <v>3783</v>
      </c>
      <c r="MOO4388" s="379" t="s">
        <v>3783</v>
      </c>
      <c r="MOP4388" s="379" t="s">
        <v>3783</v>
      </c>
      <c r="MOQ4388" s="379" t="s">
        <v>3783</v>
      </c>
      <c r="MOR4388" s="379" t="s">
        <v>3783</v>
      </c>
      <c r="MOS4388" s="379" t="s">
        <v>3783</v>
      </c>
      <c r="MOT4388" s="379" t="s">
        <v>3783</v>
      </c>
      <c r="MOU4388" s="379" t="s">
        <v>3783</v>
      </c>
      <c r="MOV4388" s="379" t="s">
        <v>3783</v>
      </c>
      <c r="MOW4388" s="379" t="s">
        <v>3783</v>
      </c>
      <c r="MOX4388" s="379" t="s">
        <v>3783</v>
      </c>
      <c r="MOY4388" s="379" t="s">
        <v>3783</v>
      </c>
      <c r="MOZ4388" s="379" t="s">
        <v>3783</v>
      </c>
      <c r="MPA4388" s="379" t="s">
        <v>3783</v>
      </c>
      <c r="MPB4388" s="379" t="s">
        <v>3783</v>
      </c>
      <c r="MPC4388" s="379" t="s">
        <v>3783</v>
      </c>
      <c r="MPD4388" s="379" t="s">
        <v>3783</v>
      </c>
      <c r="MPE4388" s="379" t="s">
        <v>3783</v>
      </c>
      <c r="MPF4388" s="379" t="s">
        <v>3783</v>
      </c>
      <c r="MPG4388" s="379" t="s">
        <v>3783</v>
      </c>
      <c r="MPH4388" s="379" t="s">
        <v>3783</v>
      </c>
      <c r="MPI4388" s="379" t="s">
        <v>3783</v>
      </c>
      <c r="MPJ4388" s="379" t="s">
        <v>3783</v>
      </c>
      <c r="MPK4388" s="379" t="s">
        <v>3783</v>
      </c>
      <c r="MPL4388" s="379" t="s">
        <v>3783</v>
      </c>
      <c r="MPM4388" s="379" t="s">
        <v>3783</v>
      </c>
      <c r="MPN4388" s="379" t="s">
        <v>3783</v>
      </c>
      <c r="MPO4388" s="379" t="s">
        <v>3783</v>
      </c>
      <c r="MPP4388" s="379" t="s">
        <v>3783</v>
      </c>
      <c r="MPQ4388" s="379" t="s">
        <v>3783</v>
      </c>
      <c r="MPR4388" s="379" t="s">
        <v>3783</v>
      </c>
      <c r="MPS4388" s="379" t="s">
        <v>3783</v>
      </c>
      <c r="MPT4388" s="379" t="s">
        <v>3783</v>
      </c>
      <c r="MPU4388" s="379" t="s">
        <v>3783</v>
      </c>
      <c r="MPV4388" s="379" t="s">
        <v>3783</v>
      </c>
      <c r="MPW4388" s="379" t="s">
        <v>3783</v>
      </c>
      <c r="MPX4388" s="379" t="s">
        <v>3783</v>
      </c>
      <c r="MPY4388" s="379" t="s">
        <v>3783</v>
      </c>
      <c r="MPZ4388" s="379" t="s">
        <v>3783</v>
      </c>
      <c r="MQA4388" s="379" t="s">
        <v>3783</v>
      </c>
      <c r="MQB4388" s="379" t="s">
        <v>3783</v>
      </c>
      <c r="MQC4388" s="379" t="s">
        <v>3783</v>
      </c>
      <c r="MQD4388" s="379" t="s">
        <v>3783</v>
      </c>
      <c r="MQE4388" s="379" t="s">
        <v>3783</v>
      </c>
      <c r="MQF4388" s="379" t="s">
        <v>3783</v>
      </c>
      <c r="MQG4388" s="379" t="s">
        <v>3783</v>
      </c>
      <c r="MQH4388" s="379" t="s">
        <v>3783</v>
      </c>
      <c r="MQI4388" s="379" t="s">
        <v>3783</v>
      </c>
      <c r="MQJ4388" s="379" t="s">
        <v>3783</v>
      </c>
      <c r="MQK4388" s="379" t="s">
        <v>3783</v>
      </c>
      <c r="MQL4388" s="379" t="s">
        <v>3783</v>
      </c>
      <c r="MQM4388" s="379" t="s">
        <v>3783</v>
      </c>
      <c r="MQN4388" s="379" t="s">
        <v>3783</v>
      </c>
      <c r="MQO4388" s="379" t="s">
        <v>3783</v>
      </c>
      <c r="MQP4388" s="379" t="s">
        <v>3783</v>
      </c>
      <c r="MQQ4388" s="379" t="s">
        <v>3783</v>
      </c>
      <c r="MQR4388" s="379" t="s">
        <v>3783</v>
      </c>
      <c r="MQS4388" s="379" t="s">
        <v>3783</v>
      </c>
      <c r="MQT4388" s="379" t="s">
        <v>3783</v>
      </c>
      <c r="MQU4388" s="379" t="s">
        <v>3783</v>
      </c>
      <c r="MQV4388" s="379" t="s">
        <v>3783</v>
      </c>
      <c r="MQW4388" s="379" t="s">
        <v>3783</v>
      </c>
      <c r="MQX4388" s="379" t="s">
        <v>3783</v>
      </c>
      <c r="MQY4388" s="379" t="s">
        <v>3783</v>
      </c>
      <c r="MQZ4388" s="379" t="s">
        <v>3783</v>
      </c>
      <c r="MRA4388" s="379" t="s">
        <v>3783</v>
      </c>
      <c r="MRB4388" s="379" t="s">
        <v>3783</v>
      </c>
      <c r="MRC4388" s="379" t="s">
        <v>3783</v>
      </c>
      <c r="MRD4388" s="379" t="s">
        <v>3783</v>
      </c>
      <c r="MRE4388" s="379" t="s">
        <v>3783</v>
      </c>
      <c r="MRF4388" s="379" t="s">
        <v>3783</v>
      </c>
      <c r="MRG4388" s="379" t="s">
        <v>3783</v>
      </c>
      <c r="MRH4388" s="379" t="s">
        <v>3783</v>
      </c>
      <c r="MRI4388" s="379" t="s">
        <v>3783</v>
      </c>
      <c r="MRJ4388" s="379" t="s">
        <v>3783</v>
      </c>
      <c r="MRK4388" s="379" t="s">
        <v>3783</v>
      </c>
      <c r="MRL4388" s="379" t="s">
        <v>3783</v>
      </c>
      <c r="MRM4388" s="379" t="s">
        <v>3783</v>
      </c>
      <c r="MRN4388" s="379" t="s">
        <v>3783</v>
      </c>
      <c r="MRO4388" s="379" t="s">
        <v>3783</v>
      </c>
      <c r="MRP4388" s="379" t="s">
        <v>3783</v>
      </c>
      <c r="MRQ4388" s="379" t="s">
        <v>3783</v>
      </c>
      <c r="MRR4388" s="379" t="s">
        <v>3783</v>
      </c>
      <c r="MRS4388" s="379" t="s">
        <v>3783</v>
      </c>
      <c r="MRT4388" s="379" t="s">
        <v>3783</v>
      </c>
      <c r="MRU4388" s="379" t="s">
        <v>3783</v>
      </c>
      <c r="MRV4388" s="379" t="s">
        <v>3783</v>
      </c>
      <c r="MRW4388" s="379" t="s">
        <v>3783</v>
      </c>
      <c r="MRX4388" s="379" t="s">
        <v>3783</v>
      </c>
      <c r="MRY4388" s="379" t="s">
        <v>3783</v>
      </c>
      <c r="MRZ4388" s="379" t="s">
        <v>3783</v>
      </c>
      <c r="MSA4388" s="379" t="s">
        <v>3783</v>
      </c>
      <c r="MSB4388" s="379" t="s">
        <v>3783</v>
      </c>
      <c r="MSC4388" s="379" t="s">
        <v>3783</v>
      </c>
      <c r="MSD4388" s="379" t="s">
        <v>3783</v>
      </c>
      <c r="MSE4388" s="379" t="s">
        <v>3783</v>
      </c>
      <c r="MSF4388" s="379" t="s">
        <v>3783</v>
      </c>
      <c r="MSG4388" s="379" t="s">
        <v>3783</v>
      </c>
      <c r="MSH4388" s="379" t="s">
        <v>3783</v>
      </c>
      <c r="MSI4388" s="379" t="s">
        <v>3783</v>
      </c>
      <c r="MSJ4388" s="379" t="s">
        <v>3783</v>
      </c>
      <c r="MSK4388" s="379" t="s">
        <v>3783</v>
      </c>
      <c r="MSL4388" s="379" t="s">
        <v>3783</v>
      </c>
      <c r="MSM4388" s="379" t="s">
        <v>3783</v>
      </c>
      <c r="MSN4388" s="379" t="s">
        <v>3783</v>
      </c>
      <c r="MSO4388" s="379" t="s">
        <v>3783</v>
      </c>
      <c r="MSP4388" s="379" t="s">
        <v>3783</v>
      </c>
      <c r="MSQ4388" s="379" t="s">
        <v>3783</v>
      </c>
      <c r="MSR4388" s="379" t="s">
        <v>3783</v>
      </c>
      <c r="MSS4388" s="379" t="s">
        <v>3783</v>
      </c>
      <c r="MST4388" s="379" t="s">
        <v>3783</v>
      </c>
      <c r="MSU4388" s="379" t="s">
        <v>3783</v>
      </c>
      <c r="MSV4388" s="379" t="s">
        <v>3783</v>
      </c>
      <c r="MSW4388" s="379" t="s">
        <v>3783</v>
      </c>
      <c r="MSX4388" s="379" t="s">
        <v>3783</v>
      </c>
      <c r="MSY4388" s="379" t="s">
        <v>3783</v>
      </c>
      <c r="MSZ4388" s="379" t="s">
        <v>3783</v>
      </c>
      <c r="MTA4388" s="379" t="s">
        <v>3783</v>
      </c>
      <c r="MTB4388" s="379" t="s">
        <v>3783</v>
      </c>
      <c r="MTC4388" s="379" t="s">
        <v>3783</v>
      </c>
      <c r="MTD4388" s="379" t="s">
        <v>3783</v>
      </c>
      <c r="MTE4388" s="379" t="s">
        <v>3783</v>
      </c>
      <c r="MTF4388" s="379" t="s">
        <v>3783</v>
      </c>
      <c r="MTG4388" s="379" t="s">
        <v>3783</v>
      </c>
      <c r="MTH4388" s="379" t="s">
        <v>3783</v>
      </c>
      <c r="MTI4388" s="379" t="s">
        <v>3783</v>
      </c>
      <c r="MTJ4388" s="379" t="s">
        <v>3783</v>
      </c>
      <c r="MTK4388" s="379" t="s">
        <v>3783</v>
      </c>
      <c r="MTL4388" s="379" t="s">
        <v>3783</v>
      </c>
      <c r="MTM4388" s="379" t="s">
        <v>3783</v>
      </c>
      <c r="MTN4388" s="379" t="s">
        <v>3783</v>
      </c>
      <c r="MTO4388" s="379" t="s">
        <v>3783</v>
      </c>
      <c r="MTP4388" s="379" t="s">
        <v>3783</v>
      </c>
      <c r="MTQ4388" s="379" t="s">
        <v>3783</v>
      </c>
      <c r="MTR4388" s="379" t="s">
        <v>3783</v>
      </c>
      <c r="MTS4388" s="379" t="s">
        <v>3783</v>
      </c>
      <c r="MTT4388" s="379" t="s">
        <v>3783</v>
      </c>
      <c r="MTU4388" s="379" t="s">
        <v>3783</v>
      </c>
      <c r="MTV4388" s="379" t="s">
        <v>3783</v>
      </c>
      <c r="MTW4388" s="379" t="s">
        <v>3783</v>
      </c>
      <c r="MTX4388" s="379" t="s">
        <v>3783</v>
      </c>
      <c r="MTY4388" s="379" t="s">
        <v>3783</v>
      </c>
      <c r="MTZ4388" s="379" t="s">
        <v>3783</v>
      </c>
      <c r="MUA4388" s="379" t="s">
        <v>3783</v>
      </c>
      <c r="MUB4388" s="379" t="s">
        <v>3783</v>
      </c>
      <c r="MUC4388" s="379" t="s">
        <v>3783</v>
      </c>
      <c r="MUD4388" s="379" t="s">
        <v>3783</v>
      </c>
      <c r="MUE4388" s="379" t="s">
        <v>3783</v>
      </c>
      <c r="MUF4388" s="379" t="s">
        <v>3783</v>
      </c>
      <c r="MUG4388" s="379" t="s">
        <v>3783</v>
      </c>
      <c r="MUH4388" s="379" t="s">
        <v>3783</v>
      </c>
      <c r="MUI4388" s="379" t="s">
        <v>3783</v>
      </c>
      <c r="MUJ4388" s="379" t="s">
        <v>3783</v>
      </c>
      <c r="MUK4388" s="379" t="s">
        <v>3783</v>
      </c>
      <c r="MUL4388" s="379" t="s">
        <v>3783</v>
      </c>
      <c r="MUM4388" s="379" t="s">
        <v>3783</v>
      </c>
      <c r="MUN4388" s="379" t="s">
        <v>3783</v>
      </c>
      <c r="MUO4388" s="379" t="s">
        <v>3783</v>
      </c>
      <c r="MUP4388" s="379" t="s">
        <v>3783</v>
      </c>
      <c r="MUQ4388" s="379" t="s">
        <v>3783</v>
      </c>
      <c r="MUR4388" s="379" t="s">
        <v>3783</v>
      </c>
      <c r="MUS4388" s="379" t="s">
        <v>3783</v>
      </c>
      <c r="MUT4388" s="379" t="s">
        <v>3783</v>
      </c>
      <c r="MUU4388" s="379" t="s">
        <v>3783</v>
      </c>
      <c r="MUV4388" s="379" t="s">
        <v>3783</v>
      </c>
      <c r="MUW4388" s="379" t="s">
        <v>3783</v>
      </c>
      <c r="MUX4388" s="379" t="s">
        <v>3783</v>
      </c>
      <c r="MUY4388" s="379" t="s">
        <v>3783</v>
      </c>
      <c r="MUZ4388" s="379" t="s">
        <v>3783</v>
      </c>
      <c r="MVA4388" s="379" t="s">
        <v>3783</v>
      </c>
      <c r="MVB4388" s="379" t="s">
        <v>3783</v>
      </c>
      <c r="MVC4388" s="379" t="s">
        <v>3783</v>
      </c>
      <c r="MVD4388" s="379" t="s">
        <v>3783</v>
      </c>
      <c r="MVE4388" s="379" t="s">
        <v>3783</v>
      </c>
      <c r="MVF4388" s="379" t="s">
        <v>3783</v>
      </c>
      <c r="MVG4388" s="379" t="s">
        <v>3783</v>
      </c>
      <c r="MVH4388" s="379" t="s">
        <v>3783</v>
      </c>
      <c r="MVI4388" s="379" t="s">
        <v>3783</v>
      </c>
      <c r="MVJ4388" s="379" t="s">
        <v>3783</v>
      </c>
      <c r="MVK4388" s="379" t="s">
        <v>3783</v>
      </c>
      <c r="MVL4388" s="379" t="s">
        <v>3783</v>
      </c>
      <c r="MVM4388" s="379" t="s">
        <v>3783</v>
      </c>
      <c r="MVN4388" s="379" t="s">
        <v>3783</v>
      </c>
      <c r="MVO4388" s="379" t="s">
        <v>3783</v>
      </c>
      <c r="MVP4388" s="379" t="s">
        <v>3783</v>
      </c>
      <c r="MVQ4388" s="379" t="s">
        <v>3783</v>
      </c>
      <c r="MVR4388" s="379" t="s">
        <v>3783</v>
      </c>
      <c r="MVS4388" s="379" t="s">
        <v>3783</v>
      </c>
      <c r="MVT4388" s="379" t="s">
        <v>3783</v>
      </c>
      <c r="MVU4388" s="379" t="s">
        <v>3783</v>
      </c>
      <c r="MVV4388" s="379" t="s">
        <v>3783</v>
      </c>
      <c r="MVW4388" s="379" t="s">
        <v>3783</v>
      </c>
      <c r="MVX4388" s="379" t="s">
        <v>3783</v>
      </c>
      <c r="MVY4388" s="379" t="s">
        <v>3783</v>
      </c>
      <c r="MVZ4388" s="379" t="s">
        <v>3783</v>
      </c>
      <c r="MWA4388" s="379" t="s">
        <v>3783</v>
      </c>
      <c r="MWB4388" s="379" t="s">
        <v>3783</v>
      </c>
      <c r="MWC4388" s="379" t="s">
        <v>3783</v>
      </c>
      <c r="MWD4388" s="379" t="s">
        <v>3783</v>
      </c>
      <c r="MWE4388" s="379" t="s">
        <v>3783</v>
      </c>
      <c r="MWF4388" s="379" t="s">
        <v>3783</v>
      </c>
      <c r="MWG4388" s="379" t="s">
        <v>3783</v>
      </c>
      <c r="MWH4388" s="379" t="s">
        <v>3783</v>
      </c>
      <c r="MWI4388" s="379" t="s">
        <v>3783</v>
      </c>
      <c r="MWJ4388" s="379" t="s">
        <v>3783</v>
      </c>
      <c r="MWK4388" s="379" t="s">
        <v>3783</v>
      </c>
      <c r="MWL4388" s="379" t="s">
        <v>3783</v>
      </c>
      <c r="MWM4388" s="379" t="s">
        <v>3783</v>
      </c>
      <c r="MWN4388" s="379" t="s">
        <v>3783</v>
      </c>
      <c r="MWO4388" s="379" t="s">
        <v>3783</v>
      </c>
      <c r="MWP4388" s="379" t="s">
        <v>3783</v>
      </c>
      <c r="MWQ4388" s="379" t="s">
        <v>3783</v>
      </c>
      <c r="MWR4388" s="379" t="s">
        <v>3783</v>
      </c>
      <c r="MWS4388" s="379" t="s">
        <v>3783</v>
      </c>
      <c r="MWT4388" s="379" t="s">
        <v>3783</v>
      </c>
      <c r="MWU4388" s="379" t="s">
        <v>3783</v>
      </c>
      <c r="MWV4388" s="379" t="s">
        <v>3783</v>
      </c>
      <c r="MWW4388" s="379" t="s">
        <v>3783</v>
      </c>
      <c r="MWX4388" s="379" t="s">
        <v>3783</v>
      </c>
      <c r="MWY4388" s="379" t="s">
        <v>3783</v>
      </c>
      <c r="MWZ4388" s="379" t="s">
        <v>3783</v>
      </c>
      <c r="MXA4388" s="379" t="s">
        <v>3783</v>
      </c>
      <c r="MXB4388" s="379" t="s">
        <v>3783</v>
      </c>
      <c r="MXC4388" s="379" t="s">
        <v>3783</v>
      </c>
      <c r="MXD4388" s="379" t="s">
        <v>3783</v>
      </c>
      <c r="MXE4388" s="379" t="s">
        <v>3783</v>
      </c>
      <c r="MXF4388" s="379" t="s">
        <v>3783</v>
      </c>
      <c r="MXG4388" s="379" t="s">
        <v>3783</v>
      </c>
      <c r="MXH4388" s="379" t="s">
        <v>3783</v>
      </c>
      <c r="MXI4388" s="379" t="s">
        <v>3783</v>
      </c>
      <c r="MXJ4388" s="379" t="s">
        <v>3783</v>
      </c>
      <c r="MXK4388" s="379" t="s">
        <v>3783</v>
      </c>
      <c r="MXL4388" s="379" t="s">
        <v>3783</v>
      </c>
      <c r="MXM4388" s="379" t="s">
        <v>3783</v>
      </c>
      <c r="MXN4388" s="379" t="s">
        <v>3783</v>
      </c>
      <c r="MXO4388" s="379" t="s">
        <v>3783</v>
      </c>
      <c r="MXP4388" s="379" t="s">
        <v>3783</v>
      </c>
      <c r="MXQ4388" s="379" t="s">
        <v>3783</v>
      </c>
      <c r="MXR4388" s="379" t="s">
        <v>3783</v>
      </c>
      <c r="MXS4388" s="379" t="s">
        <v>3783</v>
      </c>
      <c r="MXT4388" s="379" t="s">
        <v>3783</v>
      </c>
      <c r="MXU4388" s="379" t="s">
        <v>3783</v>
      </c>
      <c r="MXV4388" s="379" t="s">
        <v>3783</v>
      </c>
      <c r="MXW4388" s="379" t="s">
        <v>3783</v>
      </c>
      <c r="MXX4388" s="379" t="s">
        <v>3783</v>
      </c>
      <c r="MXY4388" s="379" t="s">
        <v>3783</v>
      </c>
      <c r="MXZ4388" s="379" t="s">
        <v>3783</v>
      </c>
      <c r="MYA4388" s="379" t="s">
        <v>3783</v>
      </c>
      <c r="MYB4388" s="379" t="s">
        <v>3783</v>
      </c>
      <c r="MYC4388" s="379" t="s">
        <v>3783</v>
      </c>
      <c r="MYD4388" s="379" t="s">
        <v>3783</v>
      </c>
      <c r="MYE4388" s="379" t="s">
        <v>3783</v>
      </c>
      <c r="MYF4388" s="379" t="s">
        <v>3783</v>
      </c>
      <c r="MYG4388" s="379" t="s">
        <v>3783</v>
      </c>
      <c r="MYH4388" s="379" t="s">
        <v>3783</v>
      </c>
      <c r="MYI4388" s="379" t="s">
        <v>3783</v>
      </c>
      <c r="MYJ4388" s="379" t="s">
        <v>3783</v>
      </c>
      <c r="MYK4388" s="379" t="s">
        <v>3783</v>
      </c>
      <c r="MYL4388" s="379" t="s">
        <v>3783</v>
      </c>
      <c r="MYM4388" s="379" t="s">
        <v>3783</v>
      </c>
      <c r="MYN4388" s="379" t="s">
        <v>3783</v>
      </c>
      <c r="MYO4388" s="379" t="s">
        <v>3783</v>
      </c>
      <c r="MYP4388" s="379" t="s">
        <v>3783</v>
      </c>
      <c r="MYQ4388" s="379" t="s">
        <v>3783</v>
      </c>
      <c r="MYR4388" s="379" t="s">
        <v>3783</v>
      </c>
      <c r="MYS4388" s="379" t="s">
        <v>3783</v>
      </c>
      <c r="MYT4388" s="379" t="s">
        <v>3783</v>
      </c>
      <c r="MYU4388" s="379" t="s">
        <v>3783</v>
      </c>
      <c r="MYV4388" s="379" t="s">
        <v>3783</v>
      </c>
      <c r="MYW4388" s="379" t="s">
        <v>3783</v>
      </c>
      <c r="MYX4388" s="379" t="s">
        <v>3783</v>
      </c>
      <c r="MYY4388" s="379" t="s">
        <v>3783</v>
      </c>
      <c r="MYZ4388" s="379" t="s">
        <v>3783</v>
      </c>
      <c r="MZA4388" s="379" t="s">
        <v>3783</v>
      </c>
      <c r="MZB4388" s="379" t="s">
        <v>3783</v>
      </c>
      <c r="MZC4388" s="379" t="s">
        <v>3783</v>
      </c>
      <c r="MZD4388" s="379" t="s">
        <v>3783</v>
      </c>
      <c r="MZE4388" s="379" t="s">
        <v>3783</v>
      </c>
      <c r="MZF4388" s="379" t="s">
        <v>3783</v>
      </c>
      <c r="MZG4388" s="379" t="s">
        <v>3783</v>
      </c>
      <c r="MZH4388" s="379" t="s">
        <v>3783</v>
      </c>
      <c r="MZI4388" s="379" t="s">
        <v>3783</v>
      </c>
      <c r="MZJ4388" s="379" t="s">
        <v>3783</v>
      </c>
      <c r="MZK4388" s="379" t="s">
        <v>3783</v>
      </c>
      <c r="MZL4388" s="379" t="s">
        <v>3783</v>
      </c>
      <c r="MZM4388" s="379" t="s">
        <v>3783</v>
      </c>
      <c r="MZN4388" s="379" t="s">
        <v>3783</v>
      </c>
      <c r="MZO4388" s="379" t="s">
        <v>3783</v>
      </c>
      <c r="MZP4388" s="379" t="s">
        <v>3783</v>
      </c>
      <c r="MZQ4388" s="379" t="s">
        <v>3783</v>
      </c>
      <c r="MZR4388" s="379" t="s">
        <v>3783</v>
      </c>
      <c r="MZS4388" s="379" t="s">
        <v>3783</v>
      </c>
      <c r="MZT4388" s="379" t="s">
        <v>3783</v>
      </c>
      <c r="MZU4388" s="379" t="s">
        <v>3783</v>
      </c>
      <c r="MZV4388" s="379" t="s">
        <v>3783</v>
      </c>
      <c r="MZW4388" s="379" t="s">
        <v>3783</v>
      </c>
      <c r="MZX4388" s="379" t="s">
        <v>3783</v>
      </c>
      <c r="MZY4388" s="379" t="s">
        <v>3783</v>
      </c>
      <c r="MZZ4388" s="379" t="s">
        <v>3783</v>
      </c>
      <c r="NAA4388" s="379" t="s">
        <v>3783</v>
      </c>
      <c r="NAB4388" s="379" t="s">
        <v>3783</v>
      </c>
      <c r="NAC4388" s="379" t="s">
        <v>3783</v>
      </c>
      <c r="NAD4388" s="379" t="s">
        <v>3783</v>
      </c>
      <c r="NAE4388" s="379" t="s">
        <v>3783</v>
      </c>
      <c r="NAF4388" s="379" t="s">
        <v>3783</v>
      </c>
      <c r="NAG4388" s="379" t="s">
        <v>3783</v>
      </c>
      <c r="NAH4388" s="379" t="s">
        <v>3783</v>
      </c>
      <c r="NAI4388" s="379" t="s">
        <v>3783</v>
      </c>
      <c r="NAJ4388" s="379" t="s">
        <v>3783</v>
      </c>
      <c r="NAK4388" s="379" t="s">
        <v>3783</v>
      </c>
      <c r="NAL4388" s="379" t="s">
        <v>3783</v>
      </c>
      <c r="NAM4388" s="379" t="s">
        <v>3783</v>
      </c>
      <c r="NAN4388" s="379" t="s">
        <v>3783</v>
      </c>
      <c r="NAO4388" s="379" t="s">
        <v>3783</v>
      </c>
      <c r="NAP4388" s="379" t="s">
        <v>3783</v>
      </c>
      <c r="NAQ4388" s="379" t="s">
        <v>3783</v>
      </c>
      <c r="NAR4388" s="379" t="s">
        <v>3783</v>
      </c>
      <c r="NAS4388" s="379" t="s">
        <v>3783</v>
      </c>
      <c r="NAT4388" s="379" t="s">
        <v>3783</v>
      </c>
      <c r="NAU4388" s="379" t="s">
        <v>3783</v>
      </c>
      <c r="NAV4388" s="379" t="s">
        <v>3783</v>
      </c>
      <c r="NAW4388" s="379" t="s">
        <v>3783</v>
      </c>
      <c r="NAX4388" s="379" t="s">
        <v>3783</v>
      </c>
      <c r="NAY4388" s="379" t="s">
        <v>3783</v>
      </c>
      <c r="NAZ4388" s="379" t="s">
        <v>3783</v>
      </c>
      <c r="NBA4388" s="379" t="s">
        <v>3783</v>
      </c>
      <c r="NBB4388" s="379" t="s">
        <v>3783</v>
      </c>
      <c r="NBC4388" s="379" t="s">
        <v>3783</v>
      </c>
      <c r="NBD4388" s="379" t="s">
        <v>3783</v>
      </c>
      <c r="NBE4388" s="379" t="s">
        <v>3783</v>
      </c>
      <c r="NBF4388" s="379" t="s">
        <v>3783</v>
      </c>
      <c r="NBG4388" s="379" t="s">
        <v>3783</v>
      </c>
      <c r="NBH4388" s="379" t="s">
        <v>3783</v>
      </c>
      <c r="NBI4388" s="379" t="s">
        <v>3783</v>
      </c>
      <c r="NBJ4388" s="379" t="s">
        <v>3783</v>
      </c>
      <c r="NBK4388" s="379" t="s">
        <v>3783</v>
      </c>
      <c r="NBL4388" s="379" t="s">
        <v>3783</v>
      </c>
      <c r="NBM4388" s="379" t="s">
        <v>3783</v>
      </c>
      <c r="NBN4388" s="379" t="s">
        <v>3783</v>
      </c>
      <c r="NBO4388" s="379" t="s">
        <v>3783</v>
      </c>
      <c r="NBP4388" s="379" t="s">
        <v>3783</v>
      </c>
      <c r="NBQ4388" s="379" t="s">
        <v>3783</v>
      </c>
      <c r="NBR4388" s="379" t="s">
        <v>3783</v>
      </c>
      <c r="NBS4388" s="379" t="s">
        <v>3783</v>
      </c>
      <c r="NBT4388" s="379" t="s">
        <v>3783</v>
      </c>
      <c r="NBU4388" s="379" t="s">
        <v>3783</v>
      </c>
      <c r="NBV4388" s="379" t="s">
        <v>3783</v>
      </c>
      <c r="NBW4388" s="379" t="s">
        <v>3783</v>
      </c>
      <c r="NBX4388" s="379" t="s">
        <v>3783</v>
      </c>
      <c r="NBY4388" s="379" t="s">
        <v>3783</v>
      </c>
      <c r="NBZ4388" s="379" t="s">
        <v>3783</v>
      </c>
      <c r="NCA4388" s="379" t="s">
        <v>3783</v>
      </c>
      <c r="NCB4388" s="379" t="s">
        <v>3783</v>
      </c>
      <c r="NCC4388" s="379" t="s">
        <v>3783</v>
      </c>
      <c r="NCD4388" s="379" t="s">
        <v>3783</v>
      </c>
      <c r="NCE4388" s="379" t="s">
        <v>3783</v>
      </c>
      <c r="NCF4388" s="379" t="s">
        <v>3783</v>
      </c>
      <c r="NCG4388" s="379" t="s">
        <v>3783</v>
      </c>
      <c r="NCH4388" s="379" t="s">
        <v>3783</v>
      </c>
      <c r="NCI4388" s="379" t="s">
        <v>3783</v>
      </c>
      <c r="NCJ4388" s="379" t="s">
        <v>3783</v>
      </c>
      <c r="NCK4388" s="379" t="s">
        <v>3783</v>
      </c>
      <c r="NCL4388" s="379" t="s">
        <v>3783</v>
      </c>
      <c r="NCM4388" s="379" t="s">
        <v>3783</v>
      </c>
      <c r="NCN4388" s="379" t="s">
        <v>3783</v>
      </c>
      <c r="NCO4388" s="379" t="s">
        <v>3783</v>
      </c>
      <c r="NCP4388" s="379" t="s">
        <v>3783</v>
      </c>
      <c r="NCQ4388" s="379" t="s">
        <v>3783</v>
      </c>
      <c r="NCR4388" s="379" t="s">
        <v>3783</v>
      </c>
      <c r="NCS4388" s="379" t="s">
        <v>3783</v>
      </c>
      <c r="NCT4388" s="379" t="s">
        <v>3783</v>
      </c>
      <c r="NCU4388" s="379" t="s">
        <v>3783</v>
      </c>
      <c r="NCV4388" s="379" t="s">
        <v>3783</v>
      </c>
      <c r="NCW4388" s="379" t="s">
        <v>3783</v>
      </c>
      <c r="NCX4388" s="379" t="s">
        <v>3783</v>
      </c>
      <c r="NCY4388" s="379" t="s">
        <v>3783</v>
      </c>
      <c r="NCZ4388" s="379" t="s">
        <v>3783</v>
      </c>
      <c r="NDA4388" s="379" t="s">
        <v>3783</v>
      </c>
      <c r="NDB4388" s="379" t="s">
        <v>3783</v>
      </c>
      <c r="NDC4388" s="379" t="s">
        <v>3783</v>
      </c>
      <c r="NDD4388" s="379" t="s">
        <v>3783</v>
      </c>
      <c r="NDE4388" s="379" t="s">
        <v>3783</v>
      </c>
      <c r="NDF4388" s="379" t="s">
        <v>3783</v>
      </c>
      <c r="NDG4388" s="379" t="s">
        <v>3783</v>
      </c>
      <c r="NDH4388" s="379" t="s">
        <v>3783</v>
      </c>
      <c r="NDI4388" s="379" t="s">
        <v>3783</v>
      </c>
      <c r="NDJ4388" s="379" t="s">
        <v>3783</v>
      </c>
      <c r="NDK4388" s="379" t="s">
        <v>3783</v>
      </c>
      <c r="NDL4388" s="379" t="s">
        <v>3783</v>
      </c>
      <c r="NDM4388" s="379" t="s">
        <v>3783</v>
      </c>
      <c r="NDN4388" s="379" t="s">
        <v>3783</v>
      </c>
      <c r="NDO4388" s="379" t="s">
        <v>3783</v>
      </c>
      <c r="NDP4388" s="379" t="s">
        <v>3783</v>
      </c>
      <c r="NDQ4388" s="379" t="s">
        <v>3783</v>
      </c>
      <c r="NDR4388" s="379" t="s">
        <v>3783</v>
      </c>
      <c r="NDS4388" s="379" t="s">
        <v>3783</v>
      </c>
      <c r="NDT4388" s="379" t="s">
        <v>3783</v>
      </c>
      <c r="NDU4388" s="379" t="s">
        <v>3783</v>
      </c>
      <c r="NDV4388" s="379" t="s">
        <v>3783</v>
      </c>
      <c r="NDW4388" s="379" t="s">
        <v>3783</v>
      </c>
      <c r="NDX4388" s="379" t="s">
        <v>3783</v>
      </c>
      <c r="NDY4388" s="379" t="s">
        <v>3783</v>
      </c>
      <c r="NDZ4388" s="379" t="s">
        <v>3783</v>
      </c>
      <c r="NEA4388" s="379" t="s">
        <v>3783</v>
      </c>
      <c r="NEB4388" s="379" t="s">
        <v>3783</v>
      </c>
      <c r="NEC4388" s="379" t="s">
        <v>3783</v>
      </c>
      <c r="NED4388" s="379" t="s">
        <v>3783</v>
      </c>
      <c r="NEE4388" s="379" t="s">
        <v>3783</v>
      </c>
      <c r="NEF4388" s="379" t="s">
        <v>3783</v>
      </c>
      <c r="NEG4388" s="379" t="s">
        <v>3783</v>
      </c>
      <c r="NEH4388" s="379" t="s">
        <v>3783</v>
      </c>
      <c r="NEI4388" s="379" t="s">
        <v>3783</v>
      </c>
      <c r="NEJ4388" s="379" t="s">
        <v>3783</v>
      </c>
      <c r="NEK4388" s="379" t="s">
        <v>3783</v>
      </c>
      <c r="NEL4388" s="379" t="s">
        <v>3783</v>
      </c>
      <c r="NEM4388" s="379" t="s">
        <v>3783</v>
      </c>
      <c r="NEN4388" s="379" t="s">
        <v>3783</v>
      </c>
      <c r="NEO4388" s="379" t="s">
        <v>3783</v>
      </c>
      <c r="NEP4388" s="379" t="s">
        <v>3783</v>
      </c>
      <c r="NEQ4388" s="379" t="s">
        <v>3783</v>
      </c>
      <c r="NER4388" s="379" t="s">
        <v>3783</v>
      </c>
      <c r="NES4388" s="379" t="s">
        <v>3783</v>
      </c>
      <c r="NET4388" s="379" t="s">
        <v>3783</v>
      </c>
      <c r="NEU4388" s="379" t="s">
        <v>3783</v>
      </c>
      <c r="NEV4388" s="379" t="s">
        <v>3783</v>
      </c>
      <c r="NEW4388" s="379" t="s">
        <v>3783</v>
      </c>
      <c r="NEX4388" s="379" t="s">
        <v>3783</v>
      </c>
      <c r="NEY4388" s="379" t="s">
        <v>3783</v>
      </c>
      <c r="NEZ4388" s="379" t="s">
        <v>3783</v>
      </c>
      <c r="NFA4388" s="379" t="s">
        <v>3783</v>
      </c>
      <c r="NFB4388" s="379" t="s">
        <v>3783</v>
      </c>
      <c r="NFC4388" s="379" t="s">
        <v>3783</v>
      </c>
      <c r="NFD4388" s="379" t="s">
        <v>3783</v>
      </c>
      <c r="NFE4388" s="379" t="s">
        <v>3783</v>
      </c>
      <c r="NFF4388" s="379" t="s">
        <v>3783</v>
      </c>
      <c r="NFG4388" s="379" t="s">
        <v>3783</v>
      </c>
      <c r="NFH4388" s="379" t="s">
        <v>3783</v>
      </c>
      <c r="NFI4388" s="379" t="s">
        <v>3783</v>
      </c>
      <c r="NFJ4388" s="379" t="s">
        <v>3783</v>
      </c>
      <c r="NFK4388" s="379" t="s">
        <v>3783</v>
      </c>
      <c r="NFL4388" s="379" t="s">
        <v>3783</v>
      </c>
      <c r="NFM4388" s="379" t="s">
        <v>3783</v>
      </c>
      <c r="NFN4388" s="379" t="s">
        <v>3783</v>
      </c>
      <c r="NFO4388" s="379" t="s">
        <v>3783</v>
      </c>
      <c r="NFP4388" s="379" t="s">
        <v>3783</v>
      </c>
      <c r="NFQ4388" s="379" t="s">
        <v>3783</v>
      </c>
      <c r="NFR4388" s="379" t="s">
        <v>3783</v>
      </c>
      <c r="NFS4388" s="379" t="s">
        <v>3783</v>
      </c>
      <c r="NFT4388" s="379" t="s">
        <v>3783</v>
      </c>
      <c r="NFU4388" s="379" t="s">
        <v>3783</v>
      </c>
      <c r="NFV4388" s="379" t="s">
        <v>3783</v>
      </c>
      <c r="NFW4388" s="379" t="s">
        <v>3783</v>
      </c>
      <c r="NFX4388" s="379" t="s">
        <v>3783</v>
      </c>
      <c r="NFY4388" s="379" t="s">
        <v>3783</v>
      </c>
      <c r="NFZ4388" s="379" t="s">
        <v>3783</v>
      </c>
      <c r="NGA4388" s="379" t="s">
        <v>3783</v>
      </c>
      <c r="NGB4388" s="379" t="s">
        <v>3783</v>
      </c>
      <c r="NGC4388" s="379" t="s">
        <v>3783</v>
      </c>
      <c r="NGD4388" s="379" t="s">
        <v>3783</v>
      </c>
      <c r="NGE4388" s="379" t="s">
        <v>3783</v>
      </c>
      <c r="NGF4388" s="379" t="s">
        <v>3783</v>
      </c>
      <c r="NGG4388" s="379" t="s">
        <v>3783</v>
      </c>
      <c r="NGH4388" s="379" t="s">
        <v>3783</v>
      </c>
      <c r="NGI4388" s="379" t="s">
        <v>3783</v>
      </c>
      <c r="NGJ4388" s="379" t="s">
        <v>3783</v>
      </c>
      <c r="NGK4388" s="379" t="s">
        <v>3783</v>
      </c>
      <c r="NGL4388" s="379" t="s">
        <v>3783</v>
      </c>
      <c r="NGM4388" s="379" t="s">
        <v>3783</v>
      </c>
      <c r="NGN4388" s="379" t="s">
        <v>3783</v>
      </c>
      <c r="NGO4388" s="379" t="s">
        <v>3783</v>
      </c>
      <c r="NGP4388" s="379" t="s">
        <v>3783</v>
      </c>
      <c r="NGQ4388" s="379" t="s">
        <v>3783</v>
      </c>
      <c r="NGR4388" s="379" t="s">
        <v>3783</v>
      </c>
      <c r="NGS4388" s="379" t="s">
        <v>3783</v>
      </c>
      <c r="NGT4388" s="379" t="s">
        <v>3783</v>
      </c>
      <c r="NGU4388" s="379" t="s">
        <v>3783</v>
      </c>
      <c r="NGV4388" s="379" t="s">
        <v>3783</v>
      </c>
      <c r="NGW4388" s="379" t="s">
        <v>3783</v>
      </c>
      <c r="NGX4388" s="379" t="s">
        <v>3783</v>
      </c>
      <c r="NGY4388" s="379" t="s">
        <v>3783</v>
      </c>
      <c r="NGZ4388" s="379" t="s">
        <v>3783</v>
      </c>
      <c r="NHA4388" s="379" t="s">
        <v>3783</v>
      </c>
      <c r="NHB4388" s="379" t="s">
        <v>3783</v>
      </c>
      <c r="NHC4388" s="379" t="s">
        <v>3783</v>
      </c>
      <c r="NHD4388" s="379" t="s">
        <v>3783</v>
      </c>
      <c r="NHE4388" s="379" t="s">
        <v>3783</v>
      </c>
      <c r="NHF4388" s="379" t="s">
        <v>3783</v>
      </c>
      <c r="NHG4388" s="379" t="s">
        <v>3783</v>
      </c>
      <c r="NHH4388" s="379" t="s">
        <v>3783</v>
      </c>
      <c r="NHI4388" s="379" t="s">
        <v>3783</v>
      </c>
      <c r="NHJ4388" s="379" t="s">
        <v>3783</v>
      </c>
      <c r="NHK4388" s="379" t="s">
        <v>3783</v>
      </c>
      <c r="NHL4388" s="379" t="s">
        <v>3783</v>
      </c>
      <c r="NHM4388" s="379" t="s">
        <v>3783</v>
      </c>
      <c r="NHN4388" s="379" t="s">
        <v>3783</v>
      </c>
      <c r="NHO4388" s="379" t="s">
        <v>3783</v>
      </c>
      <c r="NHP4388" s="379" t="s">
        <v>3783</v>
      </c>
      <c r="NHQ4388" s="379" t="s">
        <v>3783</v>
      </c>
      <c r="NHR4388" s="379" t="s">
        <v>3783</v>
      </c>
      <c r="NHS4388" s="379" t="s">
        <v>3783</v>
      </c>
      <c r="NHT4388" s="379" t="s">
        <v>3783</v>
      </c>
      <c r="NHU4388" s="379" t="s">
        <v>3783</v>
      </c>
      <c r="NHV4388" s="379" t="s">
        <v>3783</v>
      </c>
      <c r="NHW4388" s="379" t="s">
        <v>3783</v>
      </c>
      <c r="NHX4388" s="379" t="s">
        <v>3783</v>
      </c>
      <c r="NHY4388" s="379" t="s">
        <v>3783</v>
      </c>
      <c r="NHZ4388" s="379" t="s">
        <v>3783</v>
      </c>
      <c r="NIA4388" s="379" t="s">
        <v>3783</v>
      </c>
      <c r="NIB4388" s="379" t="s">
        <v>3783</v>
      </c>
      <c r="NIC4388" s="379" t="s">
        <v>3783</v>
      </c>
      <c r="NID4388" s="379" t="s">
        <v>3783</v>
      </c>
      <c r="NIE4388" s="379" t="s">
        <v>3783</v>
      </c>
      <c r="NIF4388" s="379" t="s">
        <v>3783</v>
      </c>
      <c r="NIG4388" s="379" t="s">
        <v>3783</v>
      </c>
      <c r="NIH4388" s="379" t="s">
        <v>3783</v>
      </c>
      <c r="NII4388" s="379" t="s">
        <v>3783</v>
      </c>
      <c r="NIJ4388" s="379" t="s">
        <v>3783</v>
      </c>
      <c r="NIK4388" s="379" t="s">
        <v>3783</v>
      </c>
      <c r="NIL4388" s="379" t="s">
        <v>3783</v>
      </c>
      <c r="NIM4388" s="379" t="s">
        <v>3783</v>
      </c>
      <c r="NIN4388" s="379" t="s">
        <v>3783</v>
      </c>
      <c r="NIO4388" s="379" t="s">
        <v>3783</v>
      </c>
      <c r="NIP4388" s="379" t="s">
        <v>3783</v>
      </c>
      <c r="NIQ4388" s="379" t="s">
        <v>3783</v>
      </c>
      <c r="NIR4388" s="379" t="s">
        <v>3783</v>
      </c>
      <c r="NIS4388" s="379" t="s">
        <v>3783</v>
      </c>
      <c r="NIT4388" s="379" t="s">
        <v>3783</v>
      </c>
      <c r="NIU4388" s="379" t="s">
        <v>3783</v>
      </c>
      <c r="NIV4388" s="379" t="s">
        <v>3783</v>
      </c>
      <c r="NIW4388" s="379" t="s">
        <v>3783</v>
      </c>
      <c r="NIX4388" s="379" t="s">
        <v>3783</v>
      </c>
      <c r="NIY4388" s="379" t="s">
        <v>3783</v>
      </c>
      <c r="NIZ4388" s="379" t="s">
        <v>3783</v>
      </c>
      <c r="NJA4388" s="379" t="s">
        <v>3783</v>
      </c>
      <c r="NJB4388" s="379" t="s">
        <v>3783</v>
      </c>
      <c r="NJC4388" s="379" t="s">
        <v>3783</v>
      </c>
      <c r="NJD4388" s="379" t="s">
        <v>3783</v>
      </c>
      <c r="NJE4388" s="379" t="s">
        <v>3783</v>
      </c>
      <c r="NJF4388" s="379" t="s">
        <v>3783</v>
      </c>
      <c r="NJG4388" s="379" t="s">
        <v>3783</v>
      </c>
      <c r="NJH4388" s="379" t="s">
        <v>3783</v>
      </c>
      <c r="NJI4388" s="379" t="s">
        <v>3783</v>
      </c>
      <c r="NJJ4388" s="379" t="s">
        <v>3783</v>
      </c>
      <c r="NJK4388" s="379" t="s">
        <v>3783</v>
      </c>
      <c r="NJL4388" s="379" t="s">
        <v>3783</v>
      </c>
      <c r="NJM4388" s="379" t="s">
        <v>3783</v>
      </c>
      <c r="NJN4388" s="379" t="s">
        <v>3783</v>
      </c>
      <c r="NJO4388" s="379" t="s">
        <v>3783</v>
      </c>
      <c r="NJP4388" s="379" t="s">
        <v>3783</v>
      </c>
      <c r="NJQ4388" s="379" t="s">
        <v>3783</v>
      </c>
      <c r="NJR4388" s="379" t="s">
        <v>3783</v>
      </c>
      <c r="NJS4388" s="379" t="s">
        <v>3783</v>
      </c>
      <c r="NJT4388" s="379" t="s">
        <v>3783</v>
      </c>
      <c r="NJU4388" s="379" t="s">
        <v>3783</v>
      </c>
      <c r="NJV4388" s="379" t="s">
        <v>3783</v>
      </c>
      <c r="NJW4388" s="379" t="s">
        <v>3783</v>
      </c>
      <c r="NJX4388" s="379" t="s">
        <v>3783</v>
      </c>
      <c r="NJY4388" s="379" t="s">
        <v>3783</v>
      </c>
      <c r="NJZ4388" s="379" t="s">
        <v>3783</v>
      </c>
      <c r="NKA4388" s="379" t="s">
        <v>3783</v>
      </c>
      <c r="NKB4388" s="379" t="s">
        <v>3783</v>
      </c>
      <c r="NKC4388" s="379" t="s">
        <v>3783</v>
      </c>
      <c r="NKD4388" s="379" t="s">
        <v>3783</v>
      </c>
      <c r="NKE4388" s="379" t="s">
        <v>3783</v>
      </c>
      <c r="NKF4388" s="379" t="s">
        <v>3783</v>
      </c>
      <c r="NKG4388" s="379" t="s">
        <v>3783</v>
      </c>
      <c r="NKH4388" s="379" t="s">
        <v>3783</v>
      </c>
      <c r="NKI4388" s="379" t="s">
        <v>3783</v>
      </c>
      <c r="NKJ4388" s="379" t="s">
        <v>3783</v>
      </c>
      <c r="NKK4388" s="379" t="s">
        <v>3783</v>
      </c>
      <c r="NKL4388" s="379" t="s">
        <v>3783</v>
      </c>
      <c r="NKM4388" s="379" t="s">
        <v>3783</v>
      </c>
      <c r="NKN4388" s="379" t="s">
        <v>3783</v>
      </c>
      <c r="NKO4388" s="379" t="s">
        <v>3783</v>
      </c>
      <c r="NKP4388" s="379" t="s">
        <v>3783</v>
      </c>
      <c r="NKQ4388" s="379" t="s">
        <v>3783</v>
      </c>
      <c r="NKR4388" s="379" t="s">
        <v>3783</v>
      </c>
      <c r="NKS4388" s="379" t="s">
        <v>3783</v>
      </c>
      <c r="NKT4388" s="379" t="s">
        <v>3783</v>
      </c>
      <c r="NKU4388" s="379" t="s">
        <v>3783</v>
      </c>
      <c r="NKV4388" s="379" t="s">
        <v>3783</v>
      </c>
      <c r="NKW4388" s="379" t="s">
        <v>3783</v>
      </c>
      <c r="NKX4388" s="379" t="s">
        <v>3783</v>
      </c>
      <c r="NKY4388" s="379" t="s">
        <v>3783</v>
      </c>
      <c r="NKZ4388" s="379" t="s">
        <v>3783</v>
      </c>
      <c r="NLA4388" s="379" t="s">
        <v>3783</v>
      </c>
      <c r="NLB4388" s="379" t="s">
        <v>3783</v>
      </c>
      <c r="NLC4388" s="379" t="s">
        <v>3783</v>
      </c>
      <c r="NLD4388" s="379" t="s">
        <v>3783</v>
      </c>
      <c r="NLE4388" s="379" t="s">
        <v>3783</v>
      </c>
      <c r="NLF4388" s="379" t="s">
        <v>3783</v>
      </c>
      <c r="NLG4388" s="379" t="s">
        <v>3783</v>
      </c>
      <c r="NLH4388" s="379" t="s">
        <v>3783</v>
      </c>
      <c r="NLI4388" s="379" t="s">
        <v>3783</v>
      </c>
      <c r="NLJ4388" s="379" t="s">
        <v>3783</v>
      </c>
      <c r="NLK4388" s="379" t="s">
        <v>3783</v>
      </c>
      <c r="NLL4388" s="379" t="s">
        <v>3783</v>
      </c>
      <c r="NLM4388" s="379" t="s">
        <v>3783</v>
      </c>
      <c r="NLN4388" s="379" t="s">
        <v>3783</v>
      </c>
      <c r="NLO4388" s="379" t="s">
        <v>3783</v>
      </c>
      <c r="NLP4388" s="379" t="s">
        <v>3783</v>
      </c>
      <c r="NLQ4388" s="379" t="s">
        <v>3783</v>
      </c>
      <c r="NLR4388" s="379" t="s">
        <v>3783</v>
      </c>
      <c r="NLS4388" s="379" t="s">
        <v>3783</v>
      </c>
      <c r="NLT4388" s="379" t="s">
        <v>3783</v>
      </c>
      <c r="NLU4388" s="379" t="s">
        <v>3783</v>
      </c>
      <c r="NLV4388" s="379" t="s">
        <v>3783</v>
      </c>
      <c r="NLW4388" s="379" t="s">
        <v>3783</v>
      </c>
      <c r="NLX4388" s="379" t="s">
        <v>3783</v>
      </c>
      <c r="NLY4388" s="379" t="s">
        <v>3783</v>
      </c>
      <c r="NLZ4388" s="379" t="s">
        <v>3783</v>
      </c>
      <c r="NMA4388" s="379" t="s">
        <v>3783</v>
      </c>
      <c r="NMB4388" s="379" t="s">
        <v>3783</v>
      </c>
      <c r="NMC4388" s="379" t="s">
        <v>3783</v>
      </c>
      <c r="NMD4388" s="379" t="s">
        <v>3783</v>
      </c>
      <c r="NME4388" s="379" t="s">
        <v>3783</v>
      </c>
      <c r="NMF4388" s="379" t="s">
        <v>3783</v>
      </c>
      <c r="NMG4388" s="379" t="s">
        <v>3783</v>
      </c>
      <c r="NMH4388" s="379" t="s">
        <v>3783</v>
      </c>
      <c r="NMI4388" s="379" t="s">
        <v>3783</v>
      </c>
      <c r="NMJ4388" s="379" t="s">
        <v>3783</v>
      </c>
      <c r="NMK4388" s="379" t="s">
        <v>3783</v>
      </c>
      <c r="NML4388" s="379" t="s">
        <v>3783</v>
      </c>
      <c r="NMM4388" s="379" t="s">
        <v>3783</v>
      </c>
      <c r="NMN4388" s="379" t="s">
        <v>3783</v>
      </c>
      <c r="NMO4388" s="379" t="s">
        <v>3783</v>
      </c>
      <c r="NMP4388" s="379" t="s">
        <v>3783</v>
      </c>
      <c r="NMQ4388" s="379" t="s">
        <v>3783</v>
      </c>
      <c r="NMR4388" s="379" t="s">
        <v>3783</v>
      </c>
      <c r="NMS4388" s="379" t="s">
        <v>3783</v>
      </c>
      <c r="NMT4388" s="379" t="s">
        <v>3783</v>
      </c>
      <c r="NMU4388" s="379" t="s">
        <v>3783</v>
      </c>
      <c r="NMV4388" s="379" t="s">
        <v>3783</v>
      </c>
      <c r="NMW4388" s="379" t="s">
        <v>3783</v>
      </c>
      <c r="NMX4388" s="379" t="s">
        <v>3783</v>
      </c>
      <c r="NMY4388" s="379" t="s">
        <v>3783</v>
      </c>
      <c r="NMZ4388" s="379" t="s">
        <v>3783</v>
      </c>
      <c r="NNA4388" s="379" t="s">
        <v>3783</v>
      </c>
      <c r="NNB4388" s="379" t="s">
        <v>3783</v>
      </c>
      <c r="NNC4388" s="379" t="s">
        <v>3783</v>
      </c>
      <c r="NND4388" s="379" t="s">
        <v>3783</v>
      </c>
      <c r="NNE4388" s="379" t="s">
        <v>3783</v>
      </c>
      <c r="NNF4388" s="379" t="s">
        <v>3783</v>
      </c>
      <c r="NNG4388" s="379" t="s">
        <v>3783</v>
      </c>
      <c r="NNH4388" s="379" t="s">
        <v>3783</v>
      </c>
      <c r="NNI4388" s="379" t="s">
        <v>3783</v>
      </c>
      <c r="NNJ4388" s="379" t="s">
        <v>3783</v>
      </c>
      <c r="NNK4388" s="379" t="s">
        <v>3783</v>
      </c>
      <c r="NNL4388" s="379" t="s">
        <v>3783</v>
      </c>
      <c r="NNM4388" s="379" t="s">
        <v>3783</v>
      </c>
      <c r="NNN4388" s="379" t="s">
        <v>3783</v>
      </c>
      <c r="NNO4388" s="379" t="s">
        <v>3783</v>
      </c>
      <c r="NNP4388" s="379" t="s">
        <v>3783</v>
      </c>
      <c r="NNQ4388" s="379" t="s">
        <v>3783</v>
      </c>
      <c r="NNR4388" s="379" t="s">
        <v>3783</v>
      </c>
      <c r="NNS4388" s="379" t="s">
        <v>3783</v>
      </c>
      <c r="NNT4388" s="379" t="s">
        <v>3783</v>
      </c>
      <c r="NNU4388" s="379" t="s">
        <v>3783</v>
      </c>
      <c r="NNV4388" s="379" t="s">
        <v>3783</v>
      </c>
      <c r="NNW4388" s="379" t="s">
        <v>3783</v>
      </c>
      <c r="NNX4388" s="379" t="s">
        <v>3783</v>
      </c>
      <c r="NNY4388" s="379" t="s">
        <v>3783</v>
      </c>
      <c r="NNZ4388" s="379" t="s">
        <v>3783</v>
      </c>
      <c r="NOA4388" s="379" t="s">
        <v>3783</v>
      </c>
      <c r="NOB4388" s="379" t="s">
        <v>3783</v>
      </c>
      <c r="NOC4388" s="379" t="s">
        <v>3783</v>
      </c>
      <c r="NOD4388" s="379" t="s">
        <v>3783</v>
      </c>
      <c r="NOE4388" s="379" t="s">
        <v>3783</v>
      </c>
      <c r="NOF4388" s="379" t="s">
        <v>3783</v>
      </c>
      <c r="NOG4388" s="379" t="s">
        <v>3783</v>
      </c>
      <c r="NOH4388" s="379" t="s">
        <v>3783</v>
      </c>
      <c r="NOI4388" s="379" t="s">
        <v>3783</v>
      </c>
      <c r="NOJ4388" s="379" t="s">
        <v>3783</v>
      </c>
      <c r="NOK4388" s="379" t="s">
        <v>3783</v>
      </c>
      <c r="NOL4388" s="379" t="s">
        <v>3783</v>
      </c>
      <c r="NOM4388" s="379" t="s">
        <v>3783</v>
      </c>
      <c r="NON4388" s="379" t="s">
        <v>3783</v>
      </c>
      <c r="NOO4388" s="379" t="s">
        <v>3783</v>
      </c>
      <c r="NOP4388" s="379" t="s">
        <v>3783</v>
      </c>
      <c r="NOQ4388" s="379" t="s">
        <v>3783</v>
      </c>
      <c r="NOR4388" s="379" t="s">
        <v>3783</v>
      </c>
      <c r="NOS4388" s="379" t="s">
        <v>3783</v>
      </c>
      <c r="NOT4388" s="379" t="s">
        <v>3783</v>
      </c>
      <c r="NOU4388" s="379" t="s">
        <v>3783</v>
      </c>
      <c r="NOV4388" s="379" t="s">
        <v>3783</v>
      </c>
      <c r="NOW4388" s="379" t="s">
        <v>3783</v>
      </c>
      <c r="NOX4388" s="379" t="s">
        <v>3783</v>
      </c>
      <c r="NOY4388" s="379" t="s">
        <v>3783</v>
      </c>
      <c r="NOZ4388" s="379" t="s">
        <v>3783</v>
      </c>
      <c r="NPA4388" s="379" t="s">
        <v>3783</v>
      </c>
      <c r="NPB4388" s="379" t="s">
        <v>3783</v>
      </c>
      <c r="NPC4388" s="379" t="s">
        <v>3783</v>
      </c>
      <c r="NPD4388" s="379" t="s">
        <v>3783</v>
      </c>
      <c r="NPE4388" s="379" t="s">
        <v>3783</v>
      </c>
      <c r="NPF4388" s="379" t="s">
        <v>3783</v>
      </c>
      <c r="NPG4388" s="379" t="s">
        <v>3783</v>
      </c>
      <c r="NPH4388" s="379" t="s">
        <v>3783</v>
      </c>
      <c r="NPI4388" s="379" t="s">
        <v>3783</v>
      </c>
      <c r="NPJ4388" s="379" t="s">
        <v>3783</v>
      </c>
      <c r="NPK4388" s="379" t="s">
        <v>3783</v>
      </c>
      <c r="NPL4388" s="379" t="s">
        <v>3783</v>
      </c>
      <c r="NPM4388" s="379" t="s">
        <v>3783</v>
      </c>
      <c r="NPN4388" s="379" t="s">
        <v>3783</v>
      </c>
      <c r="NPO4388" s="379" t="s">
        <v>3783</v>
      </c>
      <c r="NPP4388" s="379" t="s">
        <v>3783</v>
      </c>
      <c r="NPQ4388" s="379" t="s">
        <v>3783</v>
      </c>
      <c r="NPR4388" s="379" t="s">
        <v>3783</v>
      </c>
      <c r="NPS4388" s="379" t="s">
        <v>3783</v>
      </c>
      <c r="NPT4388" s="379" t="s">
        <v>3783</v>
      </c>
      <c r="NPU4388" s="379" t="s">
        <v>3783</v>
      </c>
      <c r="NPV4388" s="379" t="s">
        <v>3783</v>
      </c>
      <c r="NPW4388" s="379" t="s">
        <v>3783</v>
      </c>
      <c r="NPX4388" s="379" t="s">
        <v>3783</v>
      </c>
      <c r="NPY4388" s="379" t="s">
        <v>3783</v>
      </c>
      <c r="NPZ4388" s="379" t="s">
        <v>3783</v>
      </c>
      <c r="NQA4388" s="379" t="s">
        <v>3783</v>
      </c>
      <c r="NQB4388" s="379" t="s">
        <v>3783</v>
      </c>
      <c r="NQC4388" s="379" t="s">
        <v>3783</v>
      </c>
      <c r="NQD4388" s="379" t="s">
        <v>3783</v>
      </c>
      <c r="NQE4388" s="379" t="s">
        <v>3783</v>
      </c>
      <c r="NQF4388" s="379" t="s">
        <v>3783</v>
      </c>
      <c r="NQG4388" s="379" t="s">
        <v>3783</v>
      </c>
      <c r="NQH4388" s="379" t="s">
        <v>3783</v>
      </c>
      <c r="NQI4388" s="379" t="s">
        <v>3783</v>
      </c>
      <c r="NQJ4388" s="379" t="s">
        <v>3783</v>
      </c>
      <c r="NQK4388" s="379" t="s">
        <v>3783</v>
      </c>
      <c r="NQL4388" s="379" t="s">
        <v>3783</v>
      </c>
      <c r="NQM4388" s="379" t="s">
        <v>3783</v>
      </c>
      <c r="NQN4388" s="379" t="s">
        <v>3783</v>
      </c>
      <c r="NQO4388" s="379" t="s">
        <v>3783</v>
      </c>
      <c r="NQP4388" s="379" t="s">
        <v>3783</v>
      </c>
      <c r="NQQ4388" s="379" t="s">
        <v>3783</v>
      </c>
      <c r="NQR4388" s="379" t="s">
        <v>3783</v>
      </c>
      <c r="NQS4388" s="379" t="s">
        <v>3783</v>
      </c>
      <c r="NQT4388" s="379" t="s">
        <v>3783</v>
      </c>
      <c r="NQU4388" s="379" t="s">
        <v>3783</v>
      </c>
      <c r="NQV4388" s="379" t="s">
        <v>3783</v>
      </c>
      <c r="NQW4388" s="379" t="s">
        <v>3783</v>
      </c>
      <c r="NQX4388" s="379" t="s">
        <v>3783</v>
      </c>
      <c r="NQY4388" s="379" t="s">
        <v>3783</v>
      </c>
      <c r="NQZ4388" s="379" t="s">
        <v>3783</v>
      </c>
      <c r="NRA4388" s="379" t="s">
        <v>3783</v>
      </c>
      <c r="NRB4388" s="379" t="s">
        <v>3783</v>
      </c>
      <c r="NRC4388" s="379" t="s">
        <v>3783</v>
      </c>
      <c r="NRD4388" s="379" t="s">
        <v>3783</v>
      </c>
      <c r="NRE4388" s="379" t="s">
        <v>3783</v>
      </c>
      <c r="NRF4388" s="379" t="s">
        <v>3783</v>
      </c>
      <c r="NRG4388" s="379" t="s">
        <v>3783</v>
      </c>
      <c r="NRH4388" s="379" t="s">
        <v>3783</v>
      </c>
      <c r="NRI4388" s="379" t="s">
        <v>3783</v>
      </c>
      <c r="NRJ4388" s="379" t="s">
        <v>3783</v>
      </c>
      <c r="NRK4388" s="379" t="s">
        <v>3783</v>
      </c>
      <c r="NRL4388" s="379" t="s">
        <v>3783</v>
      </c>
      <c r="NRM4388" s="379" t="s">
        <v>3783</v>
      </c>
      <c r="NRN4388" s="379" t="s">
        <v>3783</v>
      </c>
      <c r="NRO4388" s="379" t="s">
        <v>3783</v>
      </c>
      <c r="NRP4388" s="379" t="s">
        <v>3783</v>
      </c>
      <c r="NRQ4388" s="379" t="s">
        <v>3783</v>
      </c>
      <c r="NRR4388" s="379" t="s">
        <v>3783</v>
      </c>
      <c r="NRS4388" s="379" t="s">
        <v>3783</v>
      </c>
      <c r="NRT4388" s="379" t="s">
        <v>3783</v>
      </c>
      <c r="NRU4388" s="379" t="s">
        <v>3783</v>
      </c>
      <c r="NRV4388" s="379" t="s">
        <v>3783</v>
      </c>
      <c r="NRW4388" s="379" t="s">
        <v>3783</v>
      </c>
      <c r="NRX4388" s="379" t="s">
        <v>3783</v>
      </c>
      <c r="NRY4388" s="379" t="s">
        <v>3783</v>
      </c>
      <c r="NRZ4388" s="379" t="s">
        <v>3783</v>
      </c>
      <c r="NSA4388" s="379" t="s">
        <v>3783</v>
      </c>
      <c r="NSB4388" s="379" t="s">
        <v>3783</v>
      </c>
      <c r="NSC4388" s="379" t="s">
        <v>3783</v>
      </c>
      <c r="NSD4388" s="379" t="s">
        <v>3783</v>
      </c>
      <c r="NSE4388" s="379" t="s">
        <v>3783</v>
      </c>
      <c r="NSF4388" s="379" t="s">
        <v>3783</v>
      </c>
      <c r="NSG4388" s="379" t="s">
        <v>3783</v>
      </c>
      <c r="NSH4388" s="379" t="s">
        <v>3783</v>
      </c>
      <c r="NSI4388" s="379" t="s">
        <v>3783</v>
      </c>
      <c r="NSJ4388" s="379" t="s">
        <v>3783</v>
      </c>
      <c r="NSK4388" s="379" t="s">
        <v>3783</v>
      </c>
      <c r="NSL4388" s="379" t="s">
        <v>3783</v>
      </c>
      <c r="NSM4388" s="379" t="s">
        <v>3783</v>
      </c>
      <c r="NSN4388" s="379" t="s">
        <v>3783</v>
      </c>
      <c r="NSO4388" s="379" t="s">
        <v>3783</v>
      </c>
      <c r="NSP4388" s="379" t="s">
        <v>3783</v>
      </c>
      <c r="NSQ4388" s="379" t="s">
        <v>3783</v>
      </c>
      <c r="NSR4388" s="379" t="s">
        <v>3783</v>
      </c>
      <c r="NSS4388" s="379" t="s">
        <v>3783</v>
      </c>
      <c r="NST4388" s="379" t="s">
        <v>3783</v>
      </c>
      <c r="NSU4388" s="379" t="s">
        <v>3783</v>
      </c>
      <c r="NSV4388" s="379" t="s">
        <v>3783</v>
      </c>
      <c r="NSW4388" s="379" t="s">
        <v>3783</v>
      </c>
      <c r="NSX4388" s="379" t="s">
        <v>3783</v>
      </c>
      <c r="NSY4388" s="379" t="s">
        <v>3783</v>
      </c>
      <c r="NSZ4388" s="379" t="s">
        <v>3783</v>
      </c>
      <c r="NTA4388" s="379" t="s">
        <v>3783</v>
      </c>
      <c r="NTB4388" s="379" t="s">
        <v>3783</v>
      </c>
      <c r="NTC4388" s="379" t="s">
        <v>3783</v>
      </c>
      <c r="NTD4388" s="379" t="s">
        <v>3783</v>
      </c>
      <c r="NTE4388" s="379" t="s">
        <v>3783</v>
      </c>
      <c r="NTF4388" s="379" t="s">
        <v>3783</v>
      </c>
      <c r="NTG4388" s="379" t="s">
        <v>3783</v>
      </c>
      <c r="NTH4388" s="379" t="s">
        <v>3783</v>
      </c>
      <c r="NTI4388" s="379" t="s">
        <v>3783</v>
      </c>
      <c r="NTJ4388" s="379" t="s">
        <v>3783</v>
      </c>
      <c r="NTK4388" s="379" t="s">
        <v>3783</v>
      </c>
      <c r="NTL4388" s="379" t="s">
        <v>3783</v>
      </c>
      <c r="NTM4388" s="379" t="s">
        <v>3783</v>
      </c>
      <c r="NTN4388" s="379" t="s">
        <v>3783</v>
      </c>
      <c r="NTO4388" s="379" t="s">
        <v>3783</v>
      </c>
      <c r="NTP4388" s="379" t="s">
        <v>3783</v>
      </c>
      <c r="NTQ4388" s="379" t="s">
        <v>3783</v>
      </c>
      <c r="NTR4388" s="379" t="s">
        <v>3783</v>
      </c>
      <c r="NTS4388" s="379" t="s">
        <v>3783</v>
      </c>
      <c r="NTT4388" s="379" t="s">
        <v>3783</v>
      </c>
      <c r="NTU4388" s="379" t="s">
        <v>3783</v>
      </c>
      <c r="NTV4388" s="379" t="s">
        <v>3783</v>
      </c>
      <c r="NTW4388" s="379" t="s">
        <v>3783</v>
      </c>
      <c r="NTX4388" s="379" t="s">
        <v>3783</v>
      </c>
      <c r="NTY4388" s="379" t="s">
        <v>3783</v>
      </c>
      <c r="NTZ4388" s="379" t="s">
        <v>3783</v>
      </c>
      <c r="NUA4388" s="379" t="s">
        <v>3783</v>
      </c>
      <c r="NUB4388" s="379" t="s">
        <v>3783</v>
      </c>
      <c r="NUC4388" s="379" t="s">
        <v>3783</v>
      </c>
      <c r="NUD4388" s="379" t="s">
        <v>3783</v>
      </c>
      <c r="NUE4388" s="379" t="s">
        <v>3783</v>
      </c>
      <c r="NUF4388" s="379" t="s">
        <v>3783</v>
      </c>
      <c r="NUG4388" s="379" t="s">
        <v>3783</v>
      </c>
      <c r="NUH4388" s="379" t="s">
        <v>3783</v>
      </c>
      <c r="NUI4388" s="379" t="s">
        <v>3783</v>
      </c>
      <c r="NUJ4388" s="379" t="s">
        <v>3783</v>
      </c>
      <c r="NUK4388" s="379" t="s">
        <v>3783</v>
      </c>
      <c r="NUL4388" s="379" t="s">
        <v>3783</v>
      </c>
      <c r="NUM4388" s="379" t="s">
        <v>3783</v>
      </c>
      <c r="NUN4388" s="379" t="s">
        <v>3783</v>
      </c>
      <c r="NUO4388" s="379" t="s">
        <v>3783</v>
      </c>
      <c r="NUP4388" s="379" t="s">
        <v>3783</v>
      </c>
      <c r="NUQ4388" s="379" t="s">
        <v>3783</v>
      </c>
      <c r="NUR4388" s="379" t="s">
        <v>3783</v>
      </c>
      <c r="NUS4388" s="379" t="s">
        <v>3783</v>
      </c>
      <c r="NUT4388" s="379" t="s">
        <v>3783</v>
      </c>
      <c r="NUU4388" s="379" t="s">
        <v>3783</v>
      </c>
      <c r="NUV4388" s="379" t="s">
        <v>3783</v>
      </c>
      <c r="NUW4388" s="379" t="s">
        <v>3783</v>
      </c>
      <c r="NUX4388" s="379" t="s">
        <v>3783</v>
      </c>
      <c r="NUY4388" s="379" t="s">
        <v>3783</v>
      </c>
      <c r="NUZ4388" s="379" t="s">
        <v>3783</v>
      </c>
      <c r="NVA4388" s="379" t="s">
        <v>3783</v>
      </c>
      <c r="NVB4388" s="379" t="s">
        <v>3783</v>
      </c>
      <c r="NVC4388" s="379" t="s">
        <v>3783</v>
      </c>
      <c r="NVD4388" s="379" t="s">
        <v>3783</v>
      </c>
      <c r="NVE4388" s="379" t="s">
        <v>3783</v>
      </c>
      <c r="NVF4388" s="379" t="s">
        <v>3783</v>
      </c>
      <c r="NVG4388" s="379" t="s">
        <v>3783</v>
      </c>
      <c r="NVH4388" s="379" t="s">
        <v>3783</v>
      </c>
      <c r="NVI4388" s="379" t="s">
        <v>3783</v>
      </c>
      <c r="NVJ4388" s="379" t="s">
        <v>3783</v>
      </c>
      <c r="NVK4388" s="379" t="s">
        <v>3783</v>
      </c>
      <c r="NVL4388" s="379" t="s">
        <v>3783</v>
      </c>
      <c r="NVM4388" s="379" t="s">
        <v>3783</v>
      </c>
      <c r="NVN4388" s="379" t="s">
        <v>3783</v>
      </c>
      <c r="NVO4388" s="379" t="s">
        <v>3783</v>
      </c>
      <c r="NVP4388" s="379" t="s">
        <v>3783</v>
      </c>
      <c r="NVQ4388" s="379" t="s">
        <v>3783</v>
      </c>
      <c r="NVR4388" s="379" t="s">
        <v>3783</v>
      </c>
      <c r="NVS4388" s="379" t="s">
        <v>3783</v>
      </c>
      <c r="NVT4388" s="379" t="s">
        <v>3783</v>
      </c>
      <c r="NVU4388" s="379" t="s">
        <v>3783</v>
      </c>
      <c r="NVV4388" s="379" t="s">
        <v>3783</v>
      </c>
      <c r="NVW4388" s="379" t="s">
        <v>3783</v>
      </c>
      <c r="NVX4388" s="379" t="s">
        <v>3783</v>
      </c>
      <c r="NVY4388" s="379" t="s">
        <v>3783</v>
      </c>
      <c r="NVZ4388" s="379" t="s">
        <v>3783</v>
      </c>
      <c r="NWA4388" s="379" t="s">
        <v>3783</v>
      </c>
      <c r="NWB4388" s="379" t="s">
        <v>3783</v>
      </c>
      <c r="NWC4388" s="379" t="s">
        <v>3783</v>
      </c>
      <c r="NWD4388" s="379" t="s">
        <v>3783</v>
      </c>
      <c r="NWE4388" s="379" t="s">
        <v>3783</v>
      </c>
      <c r="NWF4388" s="379" t="s">
        <v>3783</v>
      </c>
      <c r="NWG4388" s="379" t="s">
        <v>3783</v>
      </c>
      <c r="NWH4388" s="379" t="s">
        <v>3783</v>
      </c>
      <c r="NWI4388" s="379" t="s">
        <v>3783</v>
      </c>
      <c r="NWJ4388" s="379" t="s">
        <v>3783</v>
      </c>
      <c r="NWK4388" s="379" t="s">
        <v>3783</v>
      </c>
      <c r="NWL4388" s="379" t="s">
        <v>3783</v>
      </c>
      <c r="NWM4388" s="379" t="s">
        <v>3783</v>
      </c>
      <c r="NWN4388" s="379" t="s">
        <v>3783</v>
      </c>
      <c r="NWO4388" s="379" t="s">
        <v>3783</v>
      </c>
      <c r="NWP4388" s="379" t="s">
        <v>3783</v>
      </c>
      <c r="NWQ4388" s="379" t="s">
        <v>3783</v>
      </c>
      <c r="NWR4388" s="379" t="s">
        <v>3783</v>
      </c>
      <c r="NWS4388" s="379" t="s">
        <v>3783</v>
      </c>
      <c r="NWT4388" s="379" t="s">
        <v>3783</v>
      </c>
      <c r="NWU4388" s="379" t="s">
        <v>3783</v>
      </c>
      <c r="NWV4388" s="379" t="s">
        <v>3783</v>
      </c>
      <c r="NWW4388" s="379" t="s">
        <v>3783</v>
      </c>
      <c r="NWX4388" s="379" t="s">
        <v>3783</v>
      </c>
      <c r="NWY4388" s="379" t="s">
        <v>3783</v>
      </c>
      <c r="NWZ4388" s="379" t="s">
        <v>3783</v>
      </c>
      <c r="NXA4388" s="379" t="s">
        <v>3783</v>
      </c>
      <c r="NXB4388" s="379" t="s">
        <v>3783</v>
      </c>
      <c r="NXC4388" s="379" t="s">
        <v>3783</v>
      </c>
      <c r="NXD4388" s="379" t="s">
        <v>3783</v>
      </c>
      <c r="NXE4388" s="379" t="s">
        <v>3783</v>
      </c>
      <c r="NXF4388" s="379" t="s">
        <v>3783</v>
      </c>
      <c r="NXG4388" s="379" t="s">
        <v>3783</v>
      </c>
      <c r="NXH4388" s="379" t="s">
        <v>3783</v>
      </c>
      <c r="NXI4388" s="379" t="s">
        <v>3783</v>
      </c>
      <c r="NXJ4388" s="379" t="s">
        <v>3783</v>
      </c>
      <c r="NXK4388" s="379" t="s">
        <v>3783</v>
      </c>
      <c r="NXL4388" s="379" t="s">
        <v>3783</v>
      </c>
      <c r="NXM4388" s="379" t="s">
        <v>3783</v>
      </c>
      <c r="NXN4388" s="379" t="s">
        <v>3783</v>
      </c>
      <c r="NXO4388" s="379" t="s">
        <v>3783</v>
      </c>
      <c r="NXP4388" s="379" t="s">
        <v>3783</v>
      </c>
      <c r="NXQ4388" s="379" t="s">
        <v>3783</v>
      </c>
      <c r="NXR4388" s="379" t="s">
        <v>3783</v>
      </c>
      <c r="NXS4388" s="379" t="s">
        <v>3783</v>
      </c>
      <c r="NXT4388" s="379" t="s">
        <v>3783</v>
      </c>
      <c r="NXU4388" s="379" t="s">
        <v>3783</v>
      </c>
      <c r="NXV4388" s="379" t="s">
        <v>3783</v>
      </c>
      <c r="NXW4388" s="379" t="s">
        <v>3783</v>
      </c>
      <c r="NXX4388" s="379" t="s">
        <v>3783</v>
      </c>
      <c r="NXY4388" s="379" t="s">
        <v>3783</v>
      </c>
      <c r="NXZ4388" s="379" t="s">
        <v>3783</v>
      </c>
      <c r="NYA4388" s="379" t="s">
        <v>3783</v>
      </c>
      <c r="NYB4388" s="379" t="s">
        <v>3783</v>
      </c>
      <c r="NYC4388" s="379" t="s">
        <v>3783</v>
      </c>
      <c r="NYD4388" s="379" t="s">
        <v>3783</v>
      </c>
      <c r="NYE4388" s="379" t="s">
        <v>3783</v>
      </c>
      <c r="NYF4388" s="379" t="s">
        <v>3783</v>
      </c>
      <c r="NYG4388" s="379" t="s">
        <v>3783</v>
      </c>
      <c r="NYH4388" s="379" t="s">
        <v>3783</v>
      </c>
      <c r="NYI4388" s="379" t="s">
        <v>3783</v>
      </c>
      <c r="NYJ4388" s="379" t="s">
        <v>3783</v>
      </c>
      <c r="NYK4388" s="379" t="s">
        <v>3783</v>
      </c>
      <c r="NYL4388" s="379" t="s">
        <v>3783</v>
      </c>
      <c r="NYM4388" s="379" t="s">
        <v>3783</v>
      </c>
      <c r="NYN4388" s="379" t="s">
        <v>3783</v>
      </c>
      <c r="NYO4388" s="379" t="s">
        <v>3783</v>
      </c>
      <c r="NYP4388" s="379" t="s">
        <v>3783</v>
      </c>
      <c r="NYQ4388" s="379" t="s">
        <v>3783</v>
      </c>
      <c r="NYR4388" s="379" t="s">
        <v>3783</v>
      </c>
      <c r="NYS4388" s="379" t="s">
        <v>3783</v>
      </c>
      <c r="NYT4388" s="379" t="s">
        <v>3783</v>
      </c>
      <c r="NYU4388" s="379" t="s">
        <v>3783</v>
      </c>
      <c r="NYV4388" s="379" t="s">
        <v>3783</v>
      </c>
      <c r="NYW4388" s="379" t="s">
        <v>3783</v>
      </c>
      <c r="NYX4388" s="379" t="s">
        <v>3783</v>
      </c>
      <c r="NYY4388" s="379" t="s">
        <v>3783</v>
      </c>
      <c r="NYZ4388" s="379" t="s">
        <v>3783</v>
      </c>
      <c r="NZA4388" s="379" t="s">
        <v>3783</v>
      </c>
      <c r="NZB4388" s="379" t="s">
        <v>3783</v>
      </c>
      <c r="NZC4388" s="379" t="s">
        <v>3783</v>
      </c>
      <c r="NZD4388" s="379" t="s">
        <v>3783</v>
      </c>
      <c r="NZE4388" s="379" t="s">
        <v>3783</v>
      </c>
      <c r="NZF4388" s="379" t="s">
        <v>3783</v>
      </c>
      <c r="NZG4388" s="379" t="s">
        <v>3783</v>
      </c>
      <c r="NZH4388" s="379" t="s">
        <v>3783</v>
      </c>
      <c r="NZI4388" s="379" t="s">
        <v>3783</v>
      </c>
      <c r="NZJ4388" s="379" t="s">
        <v>3783</v>
      </c>
      <c r="NZK4388" s="379" t="s">
        <v>3783</v>
      </c>
      <c r="NZL4388" s="379" t="s">
        <v>3783</v>
      </c>
      <c r="NZM4388" s="379" t="s">
        <v>3783</v>
      </c>
      <c r="NZN4388" s="379" t="s">
        <v>3783</v>
      </c>
      <c r="NZO4388" s="379" t="s">
        <v>3783</v>
      </c>
      <c r="NZP4388" s="379" t="s">
        <v>3783</v>
      </c>
      <c r="NZQ4388" s="379" t="s">
        <v>3783</v>
      </c>
      <c r="NZR4388" s="379" t="s">
        <v>3783</v>
      </c>
      <c r="NZS4388" s="379" t="s">
        <v>3783</v>
      </c>
      <c r="NZT4388" s="379" t="s">
        <v>3783</v>
      </c>
      <c r="NZU4388" s="379" t="s">
        <v>3783</v>
      </c>
      <c r="NZV4388" s="379" t="s">
        <v>3783</v>
      </c>
      <c r="NZW4388" s="379" t="s">
        <v>3783</v>
      </c>
      <c r="NZX4388" s="379" t="s">
        <v>3783</v>
      </c>
      <c r="NZY4388" s="379" t="s">
        <v>3783</v>
      </c>
      <c r="NZZ4388" s="379" t="s">
        <v>3783</v>
      </c>
      <c r="OAA4388" s="379" t="s">
        <v>3783</v>
      </c>
      <c r="OAB4388" s="379" t="s">
        <v>3783</v>
      </c>
      <c r="OAC4388" s="379" t="s">
        <v>3783</v>
      </c>
      <c r="OAD4388" s="379" t="s">
        <v>3783</v>
      </c>
      <c r="OAE4388" s="379" t="s">
        <v>3783</v>
      </c>
      <c r="OAF4388" s="379" t="s">
        <v>3783</v>
      </c>
      <c r="OAG4388" s="379" t="s">
        <v>3783</v>
      </c>
      <c r="OAH4388" s="379" t="s">
        <v>3783</v>
      </c>
      <c r="OAI4388" s="379" t="s">
        <v>3783</v>
      </c>
      <c r="OAJ4388" s="379" t="s">
        <v>3783</v>
      </c>
      <c r="OAK4388" s="379" t="s">
        <v>3783</v>
      </c>
      <c r="OAL4388" s="379" t="s">
        <v>3783</v>
      </c>
      <c r="OAM4388" s="379" t="s">
        <v>3783</v>
      </c>
      <c r="OAN4388" s="379" t="s">
        <v>3783</v>
      </c>
      <c r="OAO4388" s="379" t="s">
        <v>3783</v>
      </c>
      <c r="OAP4388" s="379" t="s">
        <v>3783</v>
      </c>
      <c r="OAQ4388" s="379" t="s">
        <v>3783</v>
      </c>
      <c r="OAR4388" s="379" t="s">
        <v>3783</v>
      </c>
      <c r="OAS4388" s="379" t="s">
        <v>3783</v>
      </c>
      <c r="OAT4388" s="379" t="s">
        <v>3783</v>
      </c>
      <c r="OAU4388" s="379" t="s">
        <v>3783</v>
      </c>
      <c r="OAV4388" s="379" t="s">
        <v>3783</v>
      </c>
      <c r="OAW4388" s="379" t="s">
        <v>3783</v>
      </c>
      <c r="OAX4388" s="379" t="s">
        <v>3783</v>
      </c>
      <c r="OAY4388" s="379" t="s">
        <v>3783</v>
      </c>
      <c r="OAZ4388" s="379" t="s">
        <v>3783</v>
      </c>
      <c r="OBA4388" s="379" t="s">
        <v>3783</v>
      </c>
      <c r="OBB4388" s="379" t="s">
        <v>3783</v>
      </c>
      <c r="OBC4388" s="379" t="s">
        <v>3783</v>
      </c>
      <c r="OBD4388" s="379" t="s">
        <v>3783</v>
      </c>
      <c r="OBE4388" s="379" t="s">
        <v>3783</v>
      </c>
      <c r="OBF4388" s="379" t="s">
        <v>3783</v>
      </c>
      <c r="OBG4388" s="379" t="s">
        <v>3783</v>
      </c>
      <c r="OBH4388" s="379" t="s">
        <v>3783</v>
      </c>
      <c r="OBI4388" s="379" t="s">
        <v>3783</v>
      </c>
      <c r="OBJ4388" s="379" t="s">
        <v>3783</v>
      </c>
      <c r="OBK4388" s="379" t="s">
        <v>3783</v>
      </c>
      <c r="OBL4388" s="379" t="s">
        <v>3783</v>
      </c>
      <c r="OBM4388" s="379" t="s">
        <v>3783</v>
      </c>
      <c r="OBN4388" s="379" t="s">
        <v>3783</v>
      </c>
      <c r="OBO4388" s="379" t="s">
        <v>3783</v>
      </c>
      <c r="OBP4388" s="379" t="s">
        <v>3783</v>
      </c>
      <c r="OBQ4388" s="379" t="s">
        <v>3783</v>
      </c>
      <c r="OBR4388" s="379" t="s">
        <v>3783</v>
      </c>
      <c r="OBS4388" s="379" t="s">
        <v>3783</v>
      </c>
      <c r="OBT4388" s="379" t="s">
        <v>3783</v>
      </c>
      <c r="OBU4388" s="379" t="s">
        <v>3783</v>
      </c>
      <c r="OBV4388" s="379" t="s">
        <v>3783</v>
      </c>
      <c r="OBW4388" s="379" t="s">
        <v>3783</v>
      </c>
      <c r="OBX4388" s="379" t="s">
        <v>3783</v>
      </c>
      <c r="OBY4388" s="379" t="s">
        <v>3783</v>
      </c>
      <c r="OBZ4388" s="379" t="s">
        <v>3783</v>
      </c>
      <c r="OCA4388" s="379" t="s">
        <v>3783</v>
      </c>
      <c r="OCB4388" s="379" t="s">
        <v>3783</v>
      </c>
      <c r="OCC4388" s="379" t="s">
        <v>3783</v>
      </c>
      <c r="OCD4388" s="379" t="s">
        <v>3783</v>
      </c>
      <c r="OCE4388" s="379" t="s">
        <v>3783</v>
      </c>
      <c r="OCF4388" s="379" t="s">
        <v>3783</v>
      </c>
      <c r="OCG4388" s="379" t="s">
        <v>3783</v>
      </c>
      <c r="OCH4388" s="379" t="s">
        <v>3783</v>
      </c>
      <c r="OCI4388" s="379" t="s">
        <v>3783</v>
      </c>
      <c r="OCJ4388" s="379" t="s">
        <v>3783</v>
      </c>
      <c r="OCK4388" s="379" t="s">
        <v>3783</v>
      </c>
      <c r="OCL4388" s="379" t="s">
        <v>3783</v>
      </c>
      <c r="OCM4388" s="379" t="s">
        <v>3783</v>
      </c>
      <c r="OCN4388" s="379" t="s">
        <v>3783</v>
      </c>
      <c r="OCO4388" s="379" t="s">
        <v>3783</v>
      </c>
      <c r="OCP4388" s="379" t="s">
        <v>3783</v>
      </c>
      <c r="OCQ4388" s="379" t="s">
        <v>3783</v>
      </c>
      <c r="OCR4388" s="379" t="s">
        <v>3783</v>
      </c>
      <c r="OCS4388" s="379" t="s">
        <v>3783</v>
      </c>
      <c r="OCT4388" s="379" t="s">
        <v>3783</v>
      </c>
      <c r="OCU4388" s="379" t="s">
        <v>3783</v>
      </c>
      <c r="OCV4388" s="379" t="s">
        <v>3783</v>
      </c>
      <c r="OCW4388" s="379" t="s">
        <v>3783</v>
      </c>
      <c r="OCX4388" s="379" t="s">
        <v>3783</v>
      </c>
      <c r="OCY4388" s="379" t="s">
        <v>3783</v>
      </c>
      <c r="OCZ4388" s="379" t="s">
        <v>3783</v>
      </c>
      <c r="ODA4388" s="379" t="s">
        <v>3783</v>
      </c>
      <c r="ODB4388" s="379" t="s">
        <v>3783</v>
      </c>
      <c r="ODC4388" s="379" t="s">
        <v>3783</v>
      </c>
      <c r="ODD4388" s="379" t="s">
        <v>3783</v>
      </c>
      <c r="ODE4388" s="379" t="s">
        <v>3783</v>
      </c>
      <c r="ODF4388" s="379" t="s">
        <v>3783</v>
      </c>
      <c r="ODG4388" s="379" t="s">
        <v>3783</v>
      </c>
      <c r="ODH4388" s="379" t="s">
        <v>3783</v>
      </c>
      <c r="ODI4388" s="379" t="s">
        <v>3783</v>
      </c>
      <c r="ODJ4388" s="379" t="s">
        <v>3783</v>
      </c>
      <c r="ODK4388" s="379" t="s">
        <v>3783</v>
      </c>
      <c r="ODL4388" s="379" t="s">
        <v>3783</v>
      </c>
      <c r="ODM4388" s="379" t="s">
        <v>3783</v>
      </c>
      <c r="ODN4388" s="379" t="s">
        <v>3783</v>
      </c>
      <c r="ODO4388" s="379" t="s">
        <v>3783</v>
      </c>
      <c r="ODP4388" s="379" t="s">
        <v>3783</v>
      </c>
      <c r="ODQ4388" s="379" t="s">
        <v>3783</v>
      </c>
      <c r="ODR4388" s="379" t="s">
        <v>3783</v>
      </c>
      <c r="ODS4388" s="379" t="s">
        <v>3783</v>
      </c>
      <c r="ODT4388" s="379" t="s">
        <v>3783</v>
      </c>
      <c r="ODU4388" s="379" t="s">
        <v>3783</v>
      </c>
      <c r="ODV4388" s="379" t="s">
        <v>3783</v>
      </c>
      <c r="ODW4388" s="379" t="s">
        <v>3783</v>
      </c>
      <c r="ODX4388" s="379" t="s">
        <v>3783</v>
      </c>
      <c r="ODY4388" s="379" t="s">
        <v>3783</v>
      </c>
      <c r="ODZ4388" s="379" t="s">
        <v>3783</v>
      </c>
      <c r="OEA4388" s="379" t="s">
        <v>3783</v>
      </c>
      <c r="OEB4388" s="379" t="s">
        <v>3783</v>
      </c>
      <c r="OEC4388" s="379" t="s">
        <v>3783</v>
      </c>
      <c r="OED4388" s="379" t="s">
        <v>3783</v>
      </c>
      <c r="OEE4388" s="379" t="s">
        <v>3783</v>
      </c>
      <c r="OEF4388" s="379" t="s">
        <v>3783</v>
      </c>
      <c r="OEG4388" s="379" t="s">
        <v>3783</v>
      </c>
      <c r="OEH4388" s="379" t="s">
        <v>3783</v>
      </c>
      <c r="OEI4388" s="379" t="s">
        <v>3783</v>
      </c>
      <c r="OEJ4388" s="379" t="s">
        <v>3783</v>
      </c>
      <c r="OEK4388" s="379" t="s">
        <v>3783</v>
      </c>
      <c r="OEL4388" s="379" t="s">
        <v>3783</v>
      </c>
      <c r="OEM4388" s="379" t="s">
        <v>3783</v>
      </c>
      <c r="OEN4388" s="379" t="s">
        <v>3783</v>
      </c>
      <c r="OEO4388" s="379" t="s">
        <v>3783</v>
      </c>
      <c r="OEP4388" s="379" t="s">
        <v>3783</v>
      </c>
      <c r="OEQ4388" s="379" t="s">
        <v>3783</v>
      </c>
      <c r="OER4388" s="379" t="s">
        <v>3783</v>
      </c>
      <c r="OES4388" s="379" t="s">
        <v>3783</v>
      </c>
      <c r="OET4388" s="379" t="s">
        <v>3783</v>
      </c>
      <c r="OEU4388" s="379" t="s">
        <v>3783</v>
      </c>
      <c r="OEV4388" s="379" t="s">
        <v>3783</v>
      </c>
      <c r="OEW4388" s="379" t="s">
        <v>3783</v>
      </c>
      <c r="OEX4388" s="379" t="s">
        <v>3783</v>
      </c>
      <c r="OEY4388" s="379" t="s">
        <v>3783</v>
      </c>
      <c r="OEZ4388" s="379" t="s">
        <v>3783</v>
      </c>
      <c r="OFA4388" s="379" t="s">
        <v>3783</v>
      </c>
      <c r="OFB4388" s="379" t="s">
        <v>3783</v>
      </c>
      <c r="OFC4388" s="379" t="s">
        <v>3783</v>
      </c>
      <c r="OFD4388" s="379" t="s">
        <v>3783</v>
      </c>
      <c r="OFE4388" s="379" t="s">
        <v>3783</v>
      </c>
      <c r="OFF4388" s="379" t="s">
        <v>3783</v>
      </c>
      <c r="OFG4388" s="379" t="s">
        <v>3783</v>
      </c>
      <c r="OFH4388" s="379" t="s">
        <v>3783</v>
      </c>
      <c r="OFI4388" s="379" t="s">
        <v>3783</v>
      </c>
      <c r="OFJ4388" s="379" t="s">
        <v>3783</v>
      </c>
      <c r="OFK4388" s="379" t="s">
        <v>3783</v>
      </c>
      <c r="OFL4388" s="379" t="s">
        <v>3783</v>
      </c>
      <c r="OFM4388" s="379" t="s">
        <v>3783</v>
      </c>
      <c r="OFN4388" s="379" t="s">
        <v>3783</v>
      </c>
      <c r="OFO4388" s="379" t="s">
        <v>3783</v>
      </c>
      <c r="OFP4388" s="379" t="s">
        <v>3783</v>
      </c>
      <c r="OFQ4388" s="379" t="s">
        <v>3783</v>
      </c>
      <c r="OFR4388" s="379" t="s">
        <v>3783</v>
      </c>
      <c r="OFS4388" s="379" t="s">
        <v>3783</v>
      </c>
      <c r="OFT4388" s="379" t="s">
        <v>3783</v>
      </c>
      <c r="OFU4388" s="379" t="s">
        <v>3783</v>
      </c>
      <c r="OFV4388" s="379" t="s">
        <v>3783</v>
      </c>
      <c r="OFW4388" s="379" t="s">
        <v>3783</v>
      </c>
      <c r="OFX4388" s="379" t="s">
        <v>3783</v>
      </c>
      <c r="OFY4388" s="379" t="s">
        <v>3783</v>
      </c>
      <c r="OFZ4388" s="379" t="s">
        <v>3783</v>
      </c>
      <c r="OGA4388" s="379" t="s">
        <v>3783</v>
      </c>
      <c r="OGB4388" s="379" t="s">
        <v>3783</v>
      </c>
      <c r="OGC4388" s="379" t="s">
        <v>3783</v>
      </c>
      <c r="OGD4388" s="379" t="s">
        <v>3783</v>
      </c>
      <c r="OGE4388" s="379" t="s">
        <v>3783</v>
      </c>
      <c r="OGF4388" s="379" t="s">
        <v>3783</v>
      </c>
      <c r="OGG4388" s="379" t="s">
        <v>3783</v>
      </c>
      <c r="OGH4388" s="379" t="s">
        <v>3783</v>
      </c>
      <c r="OGI4388" s="379" t="s">
        <v>3783</v>
      </c>
      <c r="OGJ4388" s="379" t="s">
        <v>3783</v>
      </c>
      <c r="OGK4388" s="379" t="s">
        <v>3783</v>
      </c>
      <c r="OGL4388" s="379" t="s">
        <v>3783</v>
      </c>
      <c r="OGM4388" s="379" t="s">
        <v>3783</v>
      </c>
      <c r="OGN4388" s="379" t="s">
        <v>3783</v>
      </c>
      <c r="OGO4388" s="379" t="s">
        <v>3783</v>
      </c>
      <c r="OGP4388" s="379" t="s">
        <v>3783</v>
      </c>
      <c r="OGQ4388" s="379" t="s">
        <v>3783</v>
      </c>
      <c r="OGR4388" s="379" t="s">
        <v>3783</v>
      </c>
      <c r="OGS4388" s="379" t="s">
        <v>3783</v>
      </c>
      <c r="OGT4388" s="379" t="s">
        <v>3783</v>
      </c>
      <c r="OGU4388" s="379" t="s">
        <v>3783</v>
      </c>
      <c r="OGV4388" s="379" t="s">
        <v>3783</v>
      </c>
      <c r="OGW4388" s="379" t="s">
        <v>3783</v>
      </c>
      <c r="OGX4388" s="379" t="s">
        <v>3783</v>
      </c>
      <c r="OGY4388" s="379" t="s">
        <v>3783</v>
      </c>
      <c r="OGZ4388" s="379" t="s">
        <v>3783</v>
      </c>
      <c r="OHA4388" s="379" t="s">
        <v>3783</v>
      </c>
      <c r="OHB4388" s="379" t="s">
        <v>3783</v>
      </c>
      <c r="OHC4388" s="379" t="s">
        <v>3783</v>
      </c>
      <c r="OHD4388" s="379" t="s">
        <v>3783</v>
      </c>
      <c r="OHE4388" s="379" t="s">
        <v>3783</v>
      </c>
      <c r="OHF4388" s="379" t="s">
        <v>3783</v>
      </c>
      <c r="OHG4388" s="379" t="s">
        <v>3783</v>
      </c>
      <c r="OHH4388" s="379" t="s">
        <v>3783</v>
      </c>
      <c r="OHI4388" s="379" t="s">
        <v>3783</v>
      </c>
      <c r="OHJ4388" s="379" t="s">
        <v>3783</v>
      </c>
      <c r="OHK4388" s="379" t="s">
        <v>3783</v>
      </c>
      <c r="OHL4388" s="379" t="s">
        <v>3783</v>
      </c>
      <c r="OHM4388" s="379" t="s">
        <v>3783</v>
      </c>
      <c r="OHN4388" s="379" t="s">
        <v>3783</v>
      </c>
      <c r="OHO4388" s="379" t="s">
        <v>3783</v>
      </c>
      <c r="OHP4388" s="379" t="s">
        <v>3783</v>
      </c>
      <c r="OHQ4388" s="379" t="s">
        <v>3783</v>
      </c>
      <c r="OHR4388" s="379" t="s">
        <v>3783</v>
      </c>
      <c r="OHS4388" s="379" t="s">
        <v>3783</v>
      </c>
      <c r="OHT4388" s="379" t="s">
        <v>3783</v>
      </c>
      <c r="OHU4388" s="379" t="s">
        <v>3783</v>
      </c>
      <c r="OHV4388" s="379" t="s">
        <v>3783</v>
      </c>
      <c r="OHW4388" s="379" t="s">
        <v>3783</v>
      </c>
      <c r="OHX4388" s="379" t="s">
        <v>3783</v>
      </c>
      <c r="OHY4388" s="379" t="s">
        <v>3783</v>
      </c>
      <c r="OHZ4388" s="379" t="s">
        <v>3783</v>
      </c>
      <c r="OIA4388" s="379" t="s">
        <v>3783</v>
      </c>
      <c r="OIB4388" s="379" t="s">
        <v>3783</v>
      </c>
      <c r="OIC4388" s="379" t="s">
        <v>3783</v>
      </c>
      <c r="OID4388" s="379" t="s">
        <v>3783</v>
      </c>
      <c r="OIE4388" s="379" t="s">
        <v>3783</v>
      </c>
      <c r="OIF4388" s="379" t="s">
        <v>3783</v>
      </c>
      <c r="OIG4388" s="379" t="s">
        <v>3783</v>
      </c>
      <c r="OIH4388" s="379" t="s">
        <v>3783</v>
      </c>
      <c r="OII4388" s="379" t="s">
        <v>3783</v>
      </c>
      <c r="OIJ4388" s="379" t="s">
        <v>3783</v>
      </c>
      <c r="OIK4388" s="379" t="s">
        <v>3783</v>
      </c>
      <c r="OIL4388" s="379" t="s">
        <v>3783</v>
      </c>
      <c r="OIM4388" s="379" t="s">
        <v>3783</v>
      </c>
      <c r="OIN4388" s="379" t="s">
        <v>3783</v>
      </c>
      <c r="OIO4388" s="379" t="s">
        <v>3783</v>
      </c>
      <c r="OIP4388" s="379" t="s">
        <v>3783</v>
      </c>
      <c r="OIQ4388" s="379" t="s">
        <v>3783</v>
      </c>
      <c r="OIR4388" s="379" t="s">
        <v>3783</v>
      </c>
      <c r="OIS4388" s="379" t="s">
        <v>3783</v>
      </c>
      <c r="OIT4388" s="379" t="s">
        <v>3783</v>
      </c>
      <c r="OIU4388" s="379" t="s">
        <v>3783</v>
      </c>
      <c r="OIV4388" s="379" t="s">
        <v>3783</v>
      </c>
      <c r="OIW4388" s="379" t="s">
        <v>3783</v>
      </c>
      <c r="OIX4388" s="379" t="s">
        <v>3783</v>
      </c>
      <c r="OIY4388" s="379" t="s">
        <v>3783</v>
      </c>
      <c r="OIZ4388" s="379" t="s">
        <v>3783</v>
      </c>
      <c r="OJA4388" s="379" t="s">
        <v>3783</v>
      </c>
      <c r="OJB4388" s="379" t="s">
        <v>3783</v>
      </c>
      <c r="OJC4388" s="379" t="s">
        <v>3783</v>
      </c>
      <c r="OJD4388" s="379" t="s">
        <v>3783</v>
      </c>
      <c r="OJE4388" s="379" t="s">
        <v>3783</v>
      </c>
      <c r="OJF4388" s="379" t="s">
        <v>3783</v>
      </c>
      <c r="OJG4388" s="379" t="s">
        <v>3783</v>
      </c>
      <c r="OJH4388" s="379" t="s">
        <v>3783</v>
      </c>
      <c r="OJI4388" s="379" t="s">
        <v>3783</v>
      </c>
      <c r="OJJ4388" s="379" t="s">
        <v>3783</v>
      </c>
      <c r="OJK4388" s="379" t="s">
        <v>3783</v>
      </c>
      <c r="OJL4388" s="379" t="s">
        <v>3783</v>
      </c>
      <c r="OJM4388" s="379" t="s">
        <v>3783</v>
      </c>
      <c r="OJN4388" s="379" t="s">
        <v>3783</v>
      </c>
      <c r="OJO4388" s="379" t="s">
        <v>3783</v>
      </c>
      <c r="OJP4388" s="379" t="s">
        <v>3783</v>
      </c>
      <c r="OJQ4388" s="379" t="s">
        <v>3783</v>
      </c>
      <c r="OJR4388" s="379" t="s">
        <v>3783</v>
      </c>
      <c r="OJS4388" s="379" t="s">
        <v>3783</v>
      </c>
      <c r="OJT4388" s="379" t="s">
        <v>3783</v>
      </c>
      <c r="OJU4388" s="379" t="s">
        <v>3783</v>
      </c>
      <c r="OJV4388" s="379" t="s">
        <v>3783</v>
      </c>
      <c r="OJW4388" s="379" t="s">
        <v>3783</v>
      </c>
      <c r="OJX4388" s="379" t="s">
        <v>3783</v>
      </c>
      <c r="OJY4388" s="379" t="s">
        <v>3783</v>
      </c>
      <c r="OJZ4388" s="379" t="s">
        <v>3783</v>
      </c>
      <c r="OKA4388" s="379" t="s">
        <v>3783</v>
      </c>
      <c r="OKB4388" s="379" t="s">
        <v>3783</v>
      </c>
      <c r="OKC4388" s="379" t="s">
        <v>3783</v>
      </c>
      <c r="OKD4388" s="379" t="s">
        <v>3783</v>
      </c>
      <c r="OKE4388" s="379" t="s">
        <v>3783</v>
      </c>
      <c r="OKF4388" s="379" t="s">
        <v>3783</v>
      </c>
      <c r="OKG4388" s="379" t="s">
        <v>3783</v>
      </c>
      <c r="OKH4388" s="379" t="s">
        <v>3783</v>
      </c>
      <c r="OKI4388" s="379" t="s">
        <v>3783</v>
      </c>
      <c r="OKJ4388" s="379" t="s">
        <v>3783</v>
      </c>
      <c r="OKK4388" s="379" t="s">
        <v>3783</v>
      </c>
      <c r="OKL4388" s="379" t="s">
        <v>3783</v>
      </c>
      <c r="OKM4388" s="379" t="s">
        <v>3783</v>
      </c>
      <c r="OKN4388" s="379" t="s">
        <v>3783</v>
      </c>
      <c r="OKO4388" s="379" t="s">
        <v>3783</v>
      </c>
      <c r="OKP4388" s="379" t="s">
        <v>3783</v>
      </c>
      <c r="OKQ4388" s="379" t="s">
        <v>3783</v>
      </c>
      <c r="OKR4388" s="379" t="s">
        <v>3783</v>
      </c>
      <c r="OKS4388" s="379" t="s">
        <v>3783</v>
      </c>
      <c r="OKT4388" s="379" t="s">
        <v>3783</v>
      </c>
      <c r="OKU4388" s="379" t="s">
        <v>3783</v>
      </c>
      <c r="OKV4388" s="379" t="s">
        <v>3783</v>
      </c>
      <c r="OKW4388" s="379" t="s">
        <v>3783</v>
      </c>
      <c r="OKX4388" s="379" t="s">
        <v>3783</v>
      </c>
      <c r="OKY4388" s="379" t="s">
        <v>3783</v>
      </c>
      <c r="OKZ4388" s="379" t="s">
        <v>3783</v>
      </c>
      <c r="OLA4388" s="379" t="s">
        <v>3783</v>
      </c>
      <c r="OLB4388" s="379" t="s">
        <v>3783</v>
      </c>
      <c r="OLC4388" s="379" t="s">
        <v>3783</v>
      </c>
      <c r="OLD4388" s="379" t="s">
        <v>3783</v>
      </c>
      <c r="OLE4388" s="379" t="s">
        <v>3783</v>
      </c>
      <c r="OLF4388" s="379" t="s">
        <v>3783</v>
      </c>
      <c r="OLG4388" s="379" t="s">
        <v>3783</v>
      </c>
      <c r="OLH4388" s="379" t="s">
        <v>3783</v>
      </c>
      <c r="OLI4388" s="379" t="s">
        <v>3783</v>
      </c>
      <c r="OLJ4388" s="379" t="s">
        <v>3783</v>
      </c>
      <c r="OLK4388" s="379" t="s">
        <v>3783</v>
      </c>
      <c r="OLL4388" s="379" t="s">
        <v>3783</v>
      </c>
      <c r="OLM4388" s="379" t="s">
        <v>3783</v>
      </c>
      <c r="OLN4388" s="379" t="s">
        <v>3783</v>
      </c>
      <c r="OLO4388" s="379" t="s">
        <v>3783</v>
      </c>
      <c r="OLP4388" s="379" t="s">
        <v>3783</v>
      </c>
      <c r="OLQ4388" s="379" t="s">
        <v>3783</v>
      </c>
      <c r="OLR4388" s="379" t="s">
        <v>3783</v>
      </c>
      <c r="OLS4388" s="379" t="s">
        <v>3783</v>
      </c>
      <c r="OLT4388" s="379" t="s">
        <v>3783</v>
      </c>
      <c r="OLU4388" s="379" t="s">
        <v>3783</v>
      </c>
      <c r="OLV4388" s="379" t="s">
        <v>3783</v>
      </c>
      <c r="OLW4388" s="379" t="s">
        <v>3783</v>
      </c>
      <c r="OLX4388" s="379" t="s">
        <v>3783</v>
      </c>
      <c r="OLY4388" s="379" t="s">
        <v>3783</v>
      </c>
      <c r="OLZ4388" s="379" t="s">
        <v>3783</v>
      </c>
      <c r="OMA4388" s="379" t="s">
        <v>3783</v>
      </c>
      <c r="OMB4388" s="379" t="s">
        <v>3783</v>
      </c>
      <c r="OMC4388" s="379" t="s">
        <v>3783</v>
      </c>
      <c r="OMD4388" s="379" t="s">
        <v>3783</v>
      </c>
      <c r="OME4388" s="379" t="s">
        <v>3783</v>
      </c>
      <c r="OMF4388" s="379" t="s">
        <v>3783</v>
      </c>
      <c r="OMG4388" s="379" t="s">
        <v>3783</v>
      </c>
      <c r="OMH4388" s="379" t="s">
        <v>3783</v>
      </c>
      <c r="OMI4388" s="379" t="s">
        <v>3783</v>
      </c>
      <c r="OMJ4388" s="379" t="s">
        <v>3783</v>
      </c>
      <c r="OMK4388" s="379" t="s">
        <v>3783</v>
      </c>
      <c r="OML4388" s="379" t="s">
        <v>3783</v>
      </c>
      <c r="OMM4388" s="379" t="s">
        <v>3783</v>
      </c>
      <c r="OMN4388" s="379" t="s">
        <v>3783</v>
      </c>
      <c r="OMO4388" s="379" t="s">
        <v>3783</v>
      </c>
      <c r="OMP4388" s="379" t="s">
        <v>3783</v>
      </c>
      <c r="OMQ4388" s="379" t="s">
        <v>3783</v>
      </c>
      <c r="OMR4388" s="379" t="s">
        <v>3783</v>
      </c>
      <c r="OMS4388" s="379" t="s">
        <v>3783</v>
      </c>
      <c r="OMT4388" s="379" t="s">
        <v>3783</v>
      </c>
      <c r="OMU4388" s="379" t="s">
        <v>3783</v>
      </c>
      <c r="OMV4388" s="379" t="s">
        <v>3783</v>
      </c>
      <c r="OMW4388" s="379" t="s">
        <v>3783</v>
      </c>
      <c r="OMX4388" s="379" t="s">
        <v>3783</v>
      </c>
      <c r="OMY4388" s="379" t="s">
        <v>3783</v>
      </c>
      <c r="OMZ4388" s="379" t="s">
        <v>3783</v>
      </c>
      <c r="ONA4388" s="379" t="s">
        <v>3783</v>
      </c>
      <c r="ONB4388" s="379" t="s">
        <v>3783</v>
      </c>
      <c r="ONC4388" s="379" t="s">
        <v>3783</v>
      </c>
      <c r="OND4388" s="379" t="s">
        <v>3783</v>
      </c>
      <c r="ONE4388" s="379" t="s">
        <v>3783</v>
      </c>
      <c r="ONF4388" s="379" t="s">
        <v>3783</v>
      </c>
      <c r="ONG4388" s="379" t="s">
        <v>3783</v>
      </c>
      <c r="ONH4388" s="379" t="s">
        <v>3783</v>
      </c>
      <c r="ONI4388" s="379" t="s">
        <v>3783</v>
      </c>
      <c r="ONJ4388" s="379" t="s">
        <v>3783</v>
      </c>
      <c r="ONK4388" s="379" t="s">
        <v>3783</v>
      </c>
      <c r="ONL4388" s="379" t="s">
        <v>3783</v>
      </c>
      <c r="ONM4388" s="379" t="s">
        <v>3783</v>
      </c>
      <c r="ONN4388" s="379" t="s">
        <v>3783</v>
      </c>
      <c r="ONO4388" s="379" t="s">
        <v>3783</v>
      </c>
      <c r="ONP4388" s="379" t="s">
        <v>3783</v>
      </c>
      <c r="ONQ4388" s="379" t="s">
        <v>3783</v>
      </c>
      <c r="ONR4388" s="379" t="s">
        <v>3783</v>
      </c>
      <c r="ONS4388" s="379" t="s">
        <v>3783</v>
      </c>
      <c r="ONT4388" s="379" t="s">
        <v>3783</v>
      </c>
      <c r="ONU4388" s="379" t="s">
        <v>3783</v>
      </c>
      <c r="ONV4388" s="379" t="s">
        <v>3783</v>
      </c>
      <c r="ONW4388" s="379" t="s">
        <v>3783</v>
      </c>
      <c r="ONX4388" s="379" t="s">
        <v>3783</v>
      </c>
      <c r="ONY4388" s="379" t="s">
        <v>3783</v>
      </c>
      <c r="ONZ4388" s="379" t="s">
        <v>3783</v>
      </c>
      <c r="OOA4388" s="379" t="s">
        <v>3783</v>
      </c>
      <c r="OOB4388" s="379" t="s">
        <v>3783</v>
      </c>
      <c r="OOC4388" s="379" t="s">
        <v>3783</v>
      </c>
      <c r="OOD4388" s="379" t="s">
        <v>3783</v>
      </c>
      <c r="OOE4388" s="379" t="s">
        <v>3783</v>
      </c>
      <c r="OOF4388" s="379" t="s">
        <v>3783</v>
      </c>
      <c r="OOG4388" s="379" t="s">
        <v>3783</v>
      </c>
      <c r="OOH4388" s="379" t="s">
        <v>3783</v>
      </c>
      <c r="OOI4388" s="379" t="s">
        <v>3783</v>
      </c>
      <c r="OOJ4388" s="379" t="s">
        <v>3783</v>
      </c>
      <c r="OOK4388" s="379" t="s">
        <v>3783</v>
      </c>
      <c r="OOL4388" s="379" t="s">
        <v>3783</v>
      </c>
      <c r="OOM4388" s="379" t="s">
        <v>3783</v>
      </c>
      <c r="OON4388" s="379" t="s">
        <v>3783</v>
      </c>
      <c r="OOO4388" s="379" t="s">
        <v>3783</v>
      </c>
      <c r="OOP4388" s="379" t="s">
        <v>3783</v>
      </c>
      <c r="OOQ4388" s="379" t="s">
        <v>3783</v>
      </c>
      <c r="OOR4388" s="379" t="s">
        <v>3783</v>
      </c>
      <c r="OOS4388" s="379" t="s">
        <v>3783</v>
      </c>
      <c r="OOT4388" s="379" t="s">
        <v>3783</v>
      </c>
      <c r="OOU4388" s="379" t="s">
        <v>3783</v>
      </c>
      <c r="OOV4388" s="379" t="s">
        <v>3783</v>
      </c>
      <c r="OOW4388" s="379" t="s">
        <v>3783</v>
      </c>
      <c r="OOX4388" s="379" t="s">
        <v>3783</v>
      </c>
      <c r="OOY4388" s="379" t="s">
        <v>3783</v>
      </c>
      <c r="OOZ4388" s="379" t="s">
        <v>3783</v>
      </c>
      <c r="OPA4388" s="379" t="s">
        <v>3783</v>
      </c>
      <c r="OPB4388" s="379" t="s">
        <v>3783</v>
      </c>
      <c r="OPC4388" s="379" t="s">
        <v>3783</v>
      </c>
      <c r="OPD4388" s="379" t="s">
        <v>3783</v>
      </c>
      <c r="OPE4388" s="379" t="s">
        <v>3783</v>
      </c>
      <c r="OPF4388" s="379" t="s">
        <v>3783</v>
      </c>
      <c r="OPG4388" s="379" t="s">
        <v>3783</v>
      </c>
      <c r="OPH4388" s="379" t="s">
        <v>3783</v>
      </c>
      <c r="OPI4388" s="379" t="s">
        <v>3783</v>
      </c>
      <c r="OPJ4388" s="379" t="s">
        <v>3783</v>
      </c>
      <c r="OPK4388" s="379" t="s">
        <v>3783</v>
      </c>
      <c r="OPL4388" s="379" t="s">
        <v>3783</v>
      </c>
      <c r="OPM4388" s="379" t="s">
        <v>3783</v>
      </c>
      <c r="OPN4388" s="379" t="s">
        <v>3783</v>
      </c>
      <c r="OPO4388" s="379" t="s">
        <v>3783</v>
      </c>
      <c r="OPP4388" s="379" t="s">
        <v>3783</v>
      </c>
      <c r="OPQ4388" s="379" t="s">
        <v>3783</v>
      </c>
      <c r="OPR4388" s="379" t="s">
        <v>3783</v>
      </c>
      <c r="OPS4388" s="379" t="s">
        <v>3783</v>
      </c>
      <c r="OPT4388" s="379" t="s">
        <v>3783</v>
      </c>
      <c r="OPU4388" s="379" t="s">
        <v>3783</v>
      </c>
      <c r="OPV4388" s="379" t="s">
        <v>3783</v>
      </c>
      <c r="OPW4388" s="379" t="s">
        <v>3783</v>
      </c>
      <c r="OPX4388" s="379" t="s">
        <v>3783</v>
      </c>
      <c r="OPY4388" s="379" t="s">
        <v>3783</v>
      </c>
      <c r="OPZ4388" s="379" t="s">
        <v>3783</v>
      </c>
      <c r="OQA4388" s="379" t="s">
        <v>3783</v>
      </c>
      <c r="OQB4388" s="379" t="s">
        <v>3783</v>
      </c>
      <c r="OQC4388" s="379" t="s">
        <v>3783</v>
      </c>
      <c r="OQD4388" s="379" t="s">
        <v>3783</v>
      </c>
      <c r="OQE4388" s="379" t="s">
        <v>3783</v>
      </c>
      <c r="OQF4388" s="379" t="s">
        <v>3783</v>
      </c>
      <c r="OQG4388" s="379" t="s">
        <v>3783</v>
      </c>
      <c r="OQH4388" s="379" t="s">
        <v>3783</v>
      </c>
      <c r="OQI4388" s="379" t="s">
        <v>3783</v>
      </c>
      <c r="OQJ4388" s="379" t="s">
        <v>3783</v>
      </c>
      <c r="OQK4388" s="379" t="s">
        <v>3783</v>
      </c>
      <c r="OQL4388" s="379" t="s">
        <v>3783</v>
      </c>
      <c r="OQM4388" s="379" t="s">
        <v>3783</v>
      </c>
      <c r="OQN4388" s="379" t="s">
        <v>3783</v>
      </c>
      <c r="OQO4388" s="379" t="s">
        <v>3783</v>
      </c>
      <c r="OQP4388" s="379" t="s">
        <v>3783</v>
      </c>
      <c r="OQQ4388" s="379" t="s">
        <v>3783</v>
      </c>
      <c r="OQR4388" s="379" t="s">
        <v>3783</v>
      </c>
      <c r="OQS4388" s="379" t="s">
        <v>3783</v>
      </c>
      <c r="OQT4388" s="379" t="s">
        <v>3783</v>
      </c>
      <c r="OQU4388" s="379" t="s">
        <v>3783</v>
      </c>
      <c r="OQV4388" s="379" t="s">
        <v>3783</v>
      </c>
      <c r="OQW4388" s="379" t="s">
        <v>3783</v>
      </c>
      <c r="OQX4388" s="379" t="s">
        <v>3783</v>
      </c>
      <c r="OQY4388" s="379" t="s">
        <v>3783</v>
      </c>
      <c r="OQZ4388" s="379" t="s">
        <v>3783</v>
      </c>
      <c r="ORA4388" s="379" t="s">
        <v>3783</v>
      </c>
      <c r="ORB4388" s="379" t="s">
        <v>3783</v>
      </c>
      <c r="ORC4388" s="379" t="s">
        <v>3783</v>
      </c>
      <c r="ORD4388" s="379" t="s">
        <v>3783</v>
      </c>
      <c r="ORE4388" s="379" t="s">
        <v>3783</v>
      </c>
      <c r="ORF4388" s="379" t="s">
        <v>3783</v>
      </c>
      <c r="ORG4388" s="379" t="s">
        <v>3783</v>
      </c>
      <c r="ORH4388" s="379" t="s">
        <v>3783</v>
      </c>
      <c r="ORI4388" s="379" t="s">
        <v>3783</v>
      </c>
      <c r="ORJ4388" s="379" t="s">
        <v>3783</v>
      </c>
      <c r="ORK4388" s="379" t="s">
        <v>3783</v>
      </c>
      <c r="ORL4388" s="379" t="s">
        <v>3783</v>
      </c>
      <c r="ORM4388" s="379" t="s">
        <v>3783</v>
      </c>
      <c r="ORN4388" s="379" t="s">
        <v>3783</v>
      </c>
      <c r="ORO4388" s="379" t="s">
        <v>3783</v>
      </c>
      <c r="ORP4388" s="379" t="s">
        <v>3783</v>
      </c>
      <c r="ORQ4388" s="379" t="s">
        <v>3783</v>
      </c>
      <c r="ORR4388" s="379" t="s">
        <v>3783</v>
      </c>
      <c r="ORS4388" s="379" t="s">
        <v>3783</v>
      </c>
      <c r="ORT4388" s="379" t="s">
        <v>3783</v>
      </c>
      <c r="ORU4388" s="379" t="s">
        <v>3783</v>
      </c>
      <c r="ORV4388" s="379" t="s">
        <v>3783</v>
      </c>
      <c r="ORW4388" s="379" t="s">
        <v>3783</v>
      </c>
      <c r="ORX4388" s="379" t="s">
        <v>3783</v>
      </c>
      <c r="ORY4388" s="379" t="s">
        <v>3783</v>
      </c>
      <c r="ORZ4388" s="379" t="s">
        <v>3783</v>
      </c>
      <c r="OSA4388" s="379" t="s">
        <v>3783</v>
      </c>
      <c r="OSB4388" s="379" t="s">
        <v>3783</v>
      </c>
      <c r="OSC4388" s="379" t="s">
        <v>3783</v>
      </c>
      <c r="OSD4388" s="379" t="s">
        <v>3783</v>
      </c>
      <c r="OSE4388" s="379" t="s">
        <v>3783</v>
      </c>
      <c r="OSF4388" s="379" t="s">
        <v>3783</v>
      </c>
      <c r="OSG4388" s="379" t="s">
        <v>3783</v>
      </c>
      <c r="OSH4388" s="379" t="s">
        <v>3783</v>
      </c>
      <c r="OSI4388" s="379" t="s">
        <v>3783</v>
      </c>
      <c r="OSJ4388" s="379" t="s">
        <v>3783</v>
      </c>
      <c r="OSK4388" s="379" t="s">
        <v>3783</v>
      </c>
      <c r="OSL4388" s="379" t="s">
        <v>3783</v>
      </c>
      <c r="OSM4388" s="379" t="s">
        <v>3783</v>
      </c>
      <c r="OSN4388" s="379" t="s">
        <v>3783</v>
      </c>
      <c r="OSO4388" s="379" t="s">
        <v>3783</v>
      </c>
      <c r="OSP4388" s="379" t="s">
        <v>3783</v>
      </c>
      <c r="OSQ4388" s="379" t="s">
        <v>3783</v>
      </c>
      <c r="OSR4388" s="379" t="s">
        <v>3783</v>
      </c>
      <c r="OSS4388" s="379" t="s">
        <v>3783</v>
      </c>
      <c r="OST4388" s="379" t="s">
        <v>3783</v>
      </c>
      <c r="OSU4388" s="379" t="s">
        <v>3783</v>
      </c>
      <c r="OSV4388" s="379" t="s">
        <v>3783</v>
      </c>
      <c r="OSW4388" s="379" t="s">
        <v>3783</v>
      </c>
      <c r="OSX4388" s="379" t="s">
        <v>3783</v>
      </c>
      <c r="OSY4388" s="379" t="s">
        <v>3783</v>
      </c>
      <c r="OSZ4388" s="379" t="s">
        <v>3783</v>
      </c>
      <c r="OTA4388" s="379" t="s">
        <v>3783</v>
      </c>
      <c r="OTB4388" s="379" t="s">
        <v>3783</v>
      </c>
      <c r="OTC4388" s="379" t="s">
        <v>3783</v>
      </c>
      <c r="OTD4388" s="379" t="s">
        <v>3783</v>
      </c>
      <c r="OTE4388" s="379" t="s">
        <v>3783</v>
      </c>
      <c r="OTF4388" s="379" t="s">
        <v>3783</v>
      </c>
      <c r="OTG4388" s="379" t="s">
        <v>3783</v>
      </c>
      <c r="OTH4388" s="379" t="s">
        <v>3783</v>
      </c>
      <c r="OTI4388" s="379" t="s">
        <v>3783</v>
      </c>
      <c r="OTJ4388" s="379" t="s">
        <v>3783</v>
      </c>
      <c r="OTK4388" s="379" t="s">
        <v>3783</v>
      </c>
      <c r="OTL4388" s="379" t="s">
        <v>3783</v>
      </c>
      <c r="OTM4388" s="379" t="s">
        <v>3783</v>
      </c>
      <c r="OTN4388" s="379" t="s">
        <v>3783</v>
      </c>
      <c r="OTO4388" s="379" t="s">
        <v>3783</v>
      </c>
      <c r="OTP4388" s="379" t="s">
        <v>3783</v>
      </c>
      <c r="OTQ4388" s="379" t="s">
        <v>3783</v>
      </c>
      <c r="OTR4388" s="379" t="s">
        <v>3783</v>
      </c>
      <c r="OTS4388" s="379" t="s">
        <v>3783</v>
      </c>
      <c r="OTT4388" s="379" t="s">
        <v>3783</v>
      </c>
      <c r="OTU4388" s="379" t="s">
        <v>3783</v>
      </c>
      <c r="OTV4388" s="379" t="s">
        <v>3783</v>
      </c>
      <c r="OTW4388" s="379" t="s">
        <v>3783</v>
      </c>
      <c r="OTX4388" s="379" t="s">
        <v>3783</v>
      </c>
      <c r="OTY4388" s="379" t="s">
        <v>3783</v>
      </c>
      <c r="OTZ4388" s="379" t="s">
        <v>3783</v>
      </c>
      <c r="OUA4388" s="379" t="s">
        <v>3783</v>
      </c>
      <c r="OUB4388" s="379" t="s">
        <v>3783</v>
      </c>
      <c r="OUC4388" s="379" t="s">
        <v>3783</v>
      </c>
      <c r="OUD4388" s="379" t="s">
        <v>3783</v>
      </c>
      <c r="OUE4388" s="379" t="s">
        <v>3783</v>
      </c>
      <c r="OUF4388" s="379" t="s">
        <v>3783</v>
      </c>
      <c r="OUG4388" s="379" t="s">
        <v>3783</v>
      </c>
      <c r="OUH4388" s="379" t="s">
        <v>3783</v>
      </c>
      <c r="OUI4388" s="379" t="s">
        <v>3783</v>
      </c>
      <c r="OUJ4388" s="379" t="s">
        <v>3783</v>
      </c>
      <c r="OUK4388" s="379" t="s">
        <v>3783</v>
      </c>
      <c r="OUL4388" s="379" t="s">
        <v>3783</v>
      </c>
      <c r="OUM4388" s="379" t="s">
        <v>3783</v>
      </c>
      <c r="OUN4388" s="379" t="s">
        <v>3783</v>
      </c>
      <c r="OUO4388" s="379" t="s">
        <v>3783</v>
      </c>
      <c r="OUP4388" s="379" t="s">
        <v>3783</v>
      </c>
      <c r="OUQ4388" s="379" t="s">
        <v>3783</v>
      </c>
      <c r="OUR4388" s="379" t="s">
        <v>3783</v>
      </c>
      <c r="OUS4388" s="379" t="s">
        <v>3783</v>
      </c>
      <c r="OUT4388" s="379" t="s">
        <v>3783</v>
      </c>
      <c r="OUU4388" s="379" t="s">
        <v>3783</v>
      </c>
      <c r="OUV4388" s="379" t="s">
        <v>3783</v>
      </c>
      <c r="OUW4388" s="379" t="s">
        <v>3783</v>
      </c>
      <c r="OUX4388" s="379" t="s">
        <v>3783</v>
      </c>
      <c r="OUY4388" s="379" t="s">
        <v>3783</v>
      </c>
      <c r="OUZ4388" s="379" t="s">
        <v>3783</v>
      </c>
      <c r="OVA4388" s="379" t="s">
        <v>3783</v>
      </c>
      <c r="OVB4388" s="379" t="s">
        <v>3783</v>
      </c>
      <c r="OVC4388" s="379" t="s">
        <v>3783</v>
      </c>
      <c r="OVD4388" s="379" t="s">
        <v>3783</v>
      </c>
      <c r="OVE4388" s="379" t="s">
        <v>3783</v>
      </c>
      <c r="OVF4388" s="379" t="s">
        <v>3783</v>
      </c>
      <c r="OVG4388" s="379" t="s">
        <v>3783</v>
      </c>
      <c r="OVH4388" s="379" t="s">
        <v>3783</v>
      </c>
      <c r="OVI4388" s="379" t="s">
        <v>3783</v>
      </c>
      <c r="OVJ4388" s="379" t="s">
        <v>3783</v>
      </c>
      <c r="OVK4388" s="379" t="s">
        <v>3783</v>
      </c>
      <c r="OVL4388" s="379" t="s">
        <v>3783</v>
      </c>
      <c r="OVM4388" s="379" t="s">
        <v>3783</v>
      </c>
      <c r="OVN4388" s="379" t="s">
        <v>3783</v>
      </c>
      <c r="OVO4388" s="379" t="s">
        <v>3783</v>
      </c>
      <c r="OVP4388" s="379" t="s">
        <v>3783</v>
      </c>
      <c r="OVQ4388" s="379" t="s">
        <v>3783</v>
      </c>
      <c r="OVR4388" s="379" t="s">
        <v>3783</v>
      </c>
      <c r="OVS4388" s="379" t="s">
        <v>3783</v>
      </c>
      <c r="OVT4388" s="379" t="s">
        <v>3783</v>
      </c>
      <c r="OVU4388" s="379" t="s">
        <v>3783</v>
      </c>
      <c r="OVV4388" s="379" t="s">
        <v>3783</v>
      </c>
      <c r="OVW4388" s="379" t="s">
        <v>3783</v>
      </c>
      <c r="OVX4388" s="379" t="s">
        <v>3783</v>
      </c>
      <c r="OVY4388" s="379" t="s">
        <v>3783</v>
      </c>
      <c r="OVZ4388" s="379" t="s">
        <v>3783</v>
      </c>
      <c r="OWA4388" s="379" t="s">
        <v>3783</v>
      </c>
      <c r="OWB4388" s="379" t="s">
        <v>3783</v>
      </c>
      <c r="OWC4388" s="379" t="s">
        <v>3783</v>
      </c>
      <c r="OWD4388" s="379" t="s">
        <v>3783</v>
      </c>
      <c r="OWE4388" s="379" t="s">
        <v>3783</v>
      </c>
      <c r="OWF4388" s="379" t="s">
        <v>3783</v>
      </c>
      <c r="OWG4388" s="379" t="s">
        <v>3783</v>
      </c>
      <c r="OWH4388" s="379" t="s">
        <v>3783</v>
      </c>
      <c r="OWI4388" s="379" t="s">
        <v>3783</v>
      </c>
      <c r="OWJ4388" s="379" t="s">
        <v>3783</v>
      </c>
      <c r="OWK4388" s="379" t="s">
        <v>3783</v>
      </c>
      <c r="OWL4388" s="379" t="s">
        <v>3783</v>
      </c>
      <c r="OWM4388" s="379" t="s">
        <v>3783</v>
      </c>
      <c r="OWN4388" s="379" t="s">
        <v>3783</v>
      </c>
      <c r="OWO4388" s="379" t="s">
        <v>3783</v>
      </c>
      <c r="OWP4388" s="379" t="s">
        <v>3783</v>
      </c>
      <c r="OWQ4388" s="379" t="s">
        <v>3783</v>
      </c>
      <c r="OWR4388" s="379" t="s">
        <v>3783</v>
      </c>
      <c r="OWS4388" s="379" t="s">
        <v>3783</v>
      </c>
      <c r="OWT4388" s="379" t="s">
        <v>3783</v>
      </c>
      <c r="OWU4388" s="379" t="s">
        <v>3783</v>
      </c>
      <c r="OWV4388" s="379" t="s">
        <v>3783</v>
      </c>
      <c r="OWW4388" s="379" t="s">
        <v>3783</v>
      </c>
      <c r="OWX4388" s="379" t="s">
        <v>3783</v>
      </c>
      <c r="OWY4388" s="379" t="s">
        <v>3783</v>
      </c>
      <c r="OWZ4388" s="379" t="s">
        <v>3783</v>
      </c>
      <c r="OXA4388" s="379" t="s">
        <v>3783</v>
      </c>
      <c r="OXB4388" s="379" t="s">
        <v>3783</v>
      </c>
      <c r="OXC4388" s="379" t="s">
        <v>3783</v>
      </c>
      <c r="OXD4388" s="379" t="s">
        <v>3783</v>
      </c>
      <c r="OXE4388" s="379" t="s">
        <v>3783</v>
      </c>
      <c r="OXF4388" s="379" t="s">
        <v>3783</v>
      </c>
      <c r="OXG4388" s="379" t="s">
        <v>3783</v>
      </c>
      <c r="OXH4388" s="379" t="s">
        <v>3783</v>
      </c>
      <c r="OXI4388" s="379" t="s">
        <v>3783</v>
      </c>
      <c r="OXJ4388" s="379" t="s">
        <v>3783</v>
      </c>
      <c r="OXK4388" s="379" t="s">
        <v>3783</v>
      </c>
      <c r="OXL4388" s="379" t="s">
        <v>3783</v>
      </c>
      <c r="OXM4388" s="379" t="s">
        <v>3783</v>
      </c>
      <c r="OXN4388" s="379" t="s">
        <v>3783</v>
      </c>
      <c r="OXO4388" s="379" t="s">
        <v>3783</v>
      </c>
      <c r="OXP4388" s="379" t="s">
        <v>3783</v>
      </c>
      <c r="OXQ4388" s="379" t="s">
        <v>3783</v>
      </c>
      <c r="OXR4388" s="379" t="s">
        <v>3783</v>
      </c>
      <c r="OXS4388" s="379" t="s">
        <v>3783</v>
      </c>
      <c r="OXT4388" s="379" t="s">
        <v>3783</v>
      </c>
      <c r="OXU4388" s="379" t="s">
        <v>3783</v>
      </c>
      <c r="OXV4388" s="379" t="s">
        <v>3783</v>
      </c>
      <c r="OXW4388" s="379" t="s">
        <v>3783</v>
      </c>
      <c r="OXX4388" s="379" t="s">
        <v>3783</v>
      </c>
      <c r="OXY4388" s="379" t="s">
        <v>3783</v>
      </c>
      <c r="OXZ4388" s="379" t="s">
        <v>3783</v>
      </c>
      <c r="OYA4388" s="379" t="s">
        <v>3783</v>
      </c>
      <c r="OYB4388" s="379" t="s">
        <v>3783</v>
      </c>
      <c r="OYC4388" s="379" t="s">
        <v>3783</v>
      </c>
      <c r="OYD4388" s="379" t="s">
        <v>3783</v>
      </c>
      <c r="OYE4388" s="379" t="s">
        <v>3783</v>
      </c>
      <c r="OYF4388" s="379" t="s">
        <v>3783</v>
      </c>
      <c r="OYG4388" s="379" t="s">
        <v>3783</v>
      </c>
      <c r="OYH4388" s="379" t="s">
        <v>3783</v>
      </c>
      <c r="OYI4388" s="379" t="s">
        <v>3783</v>
      </c>
      <c r="OYJ4388" s="379" t="s">
        <v>3783</v>
      </c>
      <c r="OYK4388" s="379" t="s">
        <v>3783</v>
      </c>
      <c r="OYL4388" s="379" t="s">
        <v>3783</v>
      </c>
      <c r="OYM4388" s="379" t="s">
        <v>3783</v>
      </c>
      <c r="OYN4388" s="379" t="s">
        <v>3783</v>
      </c>
      <c r="OYO4388" s="379" t="s">
        <v>3783</v>
      </c>
      <c r="OYP4388" s="379" t="s">
        <v>3783</v>
      </c>
      <c r="OYQ4388" s="379" t="s">
        <v>3783</v>
      </c>
      <c r="OYR4388" s="379" t="s">
        <v>3783</v>
      </c>
      <c r="OYS4388" s="379" t="s">
        <v>3783</v>
      </c>
      <c r="OYT4388" s="379" t="s">
        <v>3783</v>
      </c>
      <c r="OYU4388" s="379" t="s">
        <v>3783</v>
      </c>
      <c r="OYV4388" s="379" t="s">
        <v>3783</v>
      </c>
      <c r="OYW4388" s="379" t="s">
        <v>3783</v>
      </c>
      <c r="OYX4388" s="379" t="s">
        <v>3783</v>
      </c>
      <c r="OYY4388" s="379" t="s">
        <v>3783</v>
      </c>
      <c r="OYZ4388" s="379" t="s">
        <v>3783</v>
      </c>
      <c r="OZA4388" s="379" t="s">
        <v>3783</v>
      </c>
      <c r="OZB4388" s="379" t="s">
        <v>3783</v>
      </c>
      <c r="OZC4388" s="379" t="s">
        <v>3783</v>
      </c>
      <c r="OZD4388" s="379" t="s">
        <v>3783</v>
      </c>
      <c r="OZE4388" s="379" t="s">
        <v>3783</v>
      </c>
      <c r="OZF4388" s="379" t="s">
        <v>3783</v>
      </c>
      <c r="OZG4388" s="379" t="s">
        <v>3783</v>
      </c>
      <c r="OZH4388" s="379" t="s">
        <v>3783</v>
      </c>
      <c r="OZI4388" s="379" t="s">
        <v>3783</v>
      </c>
      <c r="OZJ4388" s="379" t="s">
        <v>3783</v>
      </c>
      <c r="OZK4388" s="379" t="s">
        <v>3783</v>
      </c>
      <c r="OZL4388" s="379" t="s">
        <v>3783</v>
      </c>
      <c r="OZM4388" s="379" t="s">
        <v>3783</v>
      </c>
      <c r="OZN4388" s="379" t="s">
        <v>3783</v>
      </c>
      <c r="OZO4388" s="379" t="s">
        <v>3783</v>
      </c>
      <c r="OZP4388" s="379" t="s">
        <v>3783</v>
      </c>
      <c r="OZQ4388" s="379" t="s">
        <v>3783</v>
      </c>
      <c r="OZR4388" s="379" t="s">
        <v>3783</v>
      </c>
      <c r="OZS4388" s="379" t="s">
        <v>3783</v>
      </c>
      <c r="OZT4388" s="379" t="s">
        <v>3783</v>
      </c>
      <c r="OZU4388" s="379" t="s">
        <v>3783</v>
      </c>
      <c r="OZV4388" s="379" t="s">
        <v>3783</v>
      </c>
      <c r="OZW4388" s="379" t="s">
        <v>3783</v>
      </c>
      <c r="OZX4388" s="379" t="s">
        <v>3783</v>
      </c>
      <c r="OZY4388" s="379" t="s">
        <v>3783</v>
      </c>
      <c r="OZZ4388" s="379" t="s">
        <v>3783</v>
      </c>
      <c r="PAA4388" s="379" t="s">
        <v>3783</v>
      </c>
      <c r="PAB4388" s="379" t="s">
        <v>3783</v>
      </c>
      <c r="PAC4388" s="379" t="s">
        <v>3783</v>
      </c>
      <c r="PAD4388" s="379" t="s">
        <v>3783</v>
      </c>
      <c r="PAE4388" s="379" t="s">
        <v>3783</v>
      </c>
      <c r="PAF4388" s="379" t="s">
        <v>3783</v>
      </c>
      <c r="PAG4388" s="379" t="s">
        <v>3783</v>
      </c>
      <c r="PAH4388" s="379" t="s">
        <v>3783</v>
      </c>
      <c r="PAI4388" s="379" t="s">
        <v>3783</v>
      </c>
      <c r="PAJ4388" s="379" t="s">
        <v>3783</v>
      </c>
      <c r="PAK4388" s="379" t="s">
        <v>3783</v>
      </c>
      <c r="PAL4388" s="379" t="s">
        <v>3783</v>
      </c>
      <c r="PAM4388" s="379" t="s">
        <v>3783</v>
      </c>
      <c r="PAN4388" s="379" t="s">
        <v>3783</v>
      </c>
      <c r="PAO4388" s="379" t="s">
        <v>3783</v>
      </c>
      <c r="PAP4388" s="379" t="s">
        <v>3783</v>
      </c>
      <c r="PAQ4388" s="379" t="s">
        <v>3783</v>
      </c>
      <c r="PAR4388" s="379" t="s">
        <v>3783</v>
      </c>
      <c r="PAS4388" s="379" t="s">
        <v>3783</v>
      </c>
      <c r="PAT4388" s="379" t="s">
        <v>3783</v>
      </c>
      <c r="PAU4388" s="379" t="s">
        <v>3783</v>
      </c>
      <c r="PAV4388" s="379" t="s">
        <v>3783</v>
      </c>
      <c r="PAW4388" s="379" t="s">
        <v>3783</v>
      </c>
      <c r="PAX4388" s="379" t="s">
        <v>3783</v>
      </c>
      <c r="PAY4388" s="379" t="s">
        <v>3783</v>
      </c>
      <c r="PAZ4388" s="379" t="s">
        <v>3783</v>
      </c>
      <c r="PBA4388" s="379" t="s">
        <v>3783</v>
      </c>
      <c r="PBB4388" s="379" t="s">
        <v>3783</v>
      </c>
      <c r="PBC4388" s="379" t="s">
        <v>3783</v>
      </c>
      <c r="PBD4388" s="379" t="s">
        <v>3783</v>
      </c>
      <c r="PBE4388" s="379" t="s">
        <v>3783</v>
      </c>
      <c r="PBF4388" s="379" t="s">
        <v>3783</v>
      </c>
      <c r="PBG4388" s="379" t="s">
        <v>3783</v>
      </c>
      <c r="PBH4388" s="379" t="s">
        <v>3783</v>
      </c>
      <c r="PBI4388" s="379" t="s">
        <v>3783</v>
      </c>
      <c r="PBJ4388" s="379" t="s">
        <v>3783</v>
      </c>
      <c r="PBK4388" s="379" t="s">
        <v>3783</v>
      </c>
      <c r="PBL4388" s="379" t="s">
        <v>3783</v>
      </c>
      <c r="PBM4388" s="379" t="s">
        <v>3783</v>
      </c>
      <c r="PBN4388" s="379" t="s">
        <v>3783</v>
      </c>
      <c r="PBO4388" s="379" t="s">
        <v>3783</v>
      </c>
      <c r="PBP4388" s="379" t="s">
        <v>3783</v>
      </c>
      <c r="PBQ4388" s="379" t="s">
        <v>3783</v>
      </c>
      <c r="PBR4388" s="379" t="s">
        <v>3783</v>
      </c>
      <c r="PBS4388" s="379" t="s">
        <v>3783</v>
      </c>
      <c r="PBT4388" s="379" t="s">
        <v>3783</v>
      </c>
      <c r="PBU4388" s="379" t="s">
        <v>3783</v>
      </c>
      <c r="PBV4388" s="379" t="s">
        <v>3783</v>
      </c>
      <c r="PBW4388" s="379" t="s">
        <v>3783</v>
      </c>
      <c r="PBX4388" s="379" t="s">
        <v>3783</v>
      </c>
      <c r="PBY4388" s="379" t="s">
        <v>3783</v>
      </c>
      <c r="PBZ4388" s="379" t="s">
        <v>3783</v>
      </c>
      <c r="PCA4388" s="379" t="s">
        <v>3783</v>
      </c>
      <c r="PCB4388" s="379" t="s">
        <v>3783</v>
      </c>
      <c r="PCC4388" s="379" t="s">
        <v>3783</v>
      </c>
      <c r="PCD4388" s="379" t="s">
        <v>3783</v>
      </c>
      <c r="PCE4388" s="379" t="s">
        <v>3783</v>
      </c>
      <c r="PCF4388" s="379" t="s">
        <v>3783</v>
      </c>
      <c r="PCG4388" s="379" t="s">
        <v>3783</v>
      </c>
      <c r="PCH4388" s="379" t="s">
        <v>3783</v>
      </c>
      <c r="PCI4388" s="379" t="s">
        <v>3783</v>
      </c>
      <c r="PCJ4388" s="379" t="s">
        <v>3783</v>
      </c>
      <c r="PCK4388" s="379" t="s">
        <v>3783</v>
      </c>
      <c r="PCL4388" s="379" t="s">
        <v>3783</v>
      </c>
      <c r="PCM4388" s="379" t="s">
        <v>3783</v>
      </c>
      <c r="PCN4388" s="379" t="s">
        <v>3783</v>
      </c>
      <c r="PCO4388" s="379" t="s">
        <v>3783</v>
      </c>
      <c r="PCP4388" s="379" t="s">
        <v>3783</v>
      </c>
      <c r="PCQ4388" s="379" t="s">
        <v>3783</v>
      </c>
      <c r="PCR4388" s="379" t="s">
        <v>3783</v>
      </c>
      <c r="PCS4388" s="379" t="s">
        <v>3783</v>
      </c>
      <c r="PCT4388" s="379" t="s">
        <v>3783</v>
      </c>
      <c r="PCU4388" s="379" t="s">
        <v>3783</v>
      </c>
      <c r="PCV4388" s="379" t="s">
        <v>3783</v>
      </c>
      <c r="PCW4388" s="379" t="s">
        <v>3783</v>
      </c>
      <c r="PCX4388" s="379" t="s">
        <v>3783</v>
      </c>
      <c r="PCY4388" s="379" t="s">
        <v>3783</v>
      </c>
      <c r="PCZ4388" s="379" t="s">
        <v>3783</v>
      </c>
      <c r="PDA4388" s="379" t="s">
        <v>3783</v>
      </c>
      <c r="PDB4388" s="379" t="s">
        <v>3783</v>
      </c>
      <c r="PDC4388" s="379" t="s">
        <v>3783</v>
      </c>
      <c r="PDD4388" s="379" t="s">
        <v>3783</v>
      </c>
      <c r="PDE4388" s="379" t="s">
        <v>3783</v>
      </c>
      <c r="PDF4388" s="379" t="s">
        <v>3783</v>
      </c>
      <c r="PDG4388" s="379" t="s">
        <v>3783</v>
      </c>
      <c r="PDH4388" s="379" t="s">
        <v>3783</v>
      </c>
      <c r="PDI4388" s="379" t="s">
        <v>3783</v>
      </c>
      <c r="PDJ4388" s="379" t="s">
        <v>3783</v>
      </c>
      <c r="PDK4388" s="379" t="s">
        <v>3783</v>
      </c>
      <c r="PDL4388" s="379" t="s">
        <v>3783</v>
      </c>
      <c r="PDM4388" s="379" t="s">
        <v>3783</v>
      </c>
      <c r="PDN4388" s="379" t="s">
        <v>3783</v>
      </c>
      <c r="PDO4388" s="379" t="s">
        <v>3783</v>
      </c>
      <c r="PDP4388" s="379" t="s">
        <v>3783</v>
      </c>
      <c r="PDQ4388" s="379" t="s">
        <v>3783</v>
      </c>
      <c r="PDR4388" s="379" t="s">
        <v>3783</v>
      </c>
      <c r="PDS4388" s="379" t="s">
        <v>3783</v>
      </c>
      <c r="PDT4388" s="379" t="s">
        <v>3783</v>
      </c>
      <c r="PDU4388" s="379" t="s">
        <v>3783</v>
      </c>
      <c r="PDV4388" s="379" t="s">
        <v>3783</v>
      </c>
      <c r="PDW4388" s="379" t="s">
        <v>3783</v>
      </c>
      <c r="PDX4388" s="379" t="s">
        <v>3783</v>
      </c>
      <c r="PDY4388" s="379" t="s">
        <v>3783</v>
      </c>
      <c r="PDZ4388" s="379" t="s">
        <v>3783</v>
      </c>
      <c r="PEA4388" s="379" t="s">
        <v>3783</v>
      </c>
      <c r="PEB4388" s="379" t="s">
        <v>3783</v>
      </c>
      <c r="PEC4388" s="379" t="s">
        <v>3783</v>
      </c>
      <c r="PED4388" s="379" t="s">
        <v>3783</v>
      </c>
      <c r="PEE4388" s="379" t="s">
        <v>3783</v>
      </c>
      <c r="PEF4388" s="379" t="s">
        <v>3783</v>
      </c>
      <c r="PEG4388" s="379" t="s">
        <v>3783</v>
      </c>
      <c r="PEH4388" s="379" t="s">
        <v>3783</v>
      </c>
      <c r="PEI4388" s="379" t="s">
        <v>3783</v>
      </c>
      <c r="PEJ4388" s="379" t="s">
        <v>3783</v>
      </c>
      <c r="PEK4388" s="379" t="s">
        <v>3783</v>
      </c>
      <c r="PEL4388" s="379" t="s">
        <v>3783</v>
      </c>
      <c r="PEM4388" s="379" t="s">
        <v>3783</v>
      </c>
      <c r="PEN4388" s="379" t="s">
        <v>3783</v>
      </c>
      <c r="PEO4388" s="379" t="s">
        <v>3783</v>
      </c>
      <c r="PEP4388" s="379" t="s">
        <v>3783</v>
      </c>
      <c r="PEQ4388" s="379" t="s">
        <v>3783</v>
      </c>
      <c r="PER4388" s="379" t="s">
        <v>3783</v>
      </c>
      <c r="PES4388" s="379" t="s">
        <v>3783</v>
      </c>
      <c r="PET4388" s="379" t="s">
        <v>3783</v>
      </c>
      <c r="PEU4388" s="379" t="s">
        <v>3783</v>
      </c>
      <c r="PEV4388" s="379" t="s">
        <v>3783</v>
      </c>
      <c r="PEW4388" s="379" t="s">
        <v>3783</v>
      </c>
      <c r="PEX4388" s="379" t="s">
        <v>3783</v>
      </c>
      <c r="PEY4388" s="379" t="s">
        <v>3783</v>
      </c>
      <c r="PEZ4388" s="379" t="s">
        <v>3783</v>
      </c>
      <c r="PFA4388" s="379" t="s">
        <v>3783</v>
      </c>
      <c r="PFB4388" s="379" t="s">
        <v>3783</v>
      </c>
      <c r="PFC4388" s="379" t="s">
        <v>3783</v>
      </c>
      <c r="PFD4388" s="379" t="s">
        <v>3783</v>
      </c>
      <c r="PFE4388" s="379" t="s">
        <v>3783</v>
      </c>
      <c r="PFF4388" s="379" t="s">
        <v>3783</v>
      </c>
      <c r="PFG4388" s="379" t="s">
        <v>3783</v>
      </c>
      <c r="PFH4388" s="379" t="s">
        <v>3783</v>
      </c>
      <c r="PFI4388" s="379" t="s">
        <v>3783</v>
      </c>
      <c r="PFJ4388" s="379" t="s">
        <v>3783</v>
      </c>
      <c r="PFK4388" s="379" t="s">
        <v>3783</v>
      </c>
      <c r="PFL4388" s="379" t="s">
        <v>3783</v>
      </c>
      <c r="PFM4388" s="379" t="s">
        <v>3783</v>
      </c>
      <c r="PFN4388" s="379" t="s">
        <v>3783</v>
      </c>
      <c r="PFO4388" s="379" t="s">
        <v>3783</v>
      </c>
      <c r="PFP4388" s="379" t="s">
        <v>3783</v>
      </c>
      <c r="PFQ4388" s="379" t="s">
        <v>3783</v>
      </c>
      <c r="PFR4388" s="379" t="s">
        <v>3783</v>
      </c>
      <c r="PFS4388" s="379" t="s">
        <v>3783</v>
      </c>
      <c r="PFT4388" s="379" t="s">
        <v>3783</v>
      </c>
      <c r="PFU4388" s="379" t="s">
        <v>3783</v>
      </c>
      <c r="PFV4388" s="379" t="s">
        <v>3783</v>
      </c>
      <c r="PFW4388" s="379" t="s">
        <v>3783</v>
      </c>
      <c r="PFX4388" s="379" t="s">
        <v>3783</v>
      </c>
      <c r="PFY4388" s="379" t="s">
        <v>3783</v>
      </c>
      <c r="PFZ4388" s="379" t="s">
        <v>3783</v>
      </c>
      <c r="PGA4388" s="379" t="s">
        <v>3783</v>
      </c>
      <c r="PGB4388" s="379" t="s">
        <v>3783</v>
      </c>
      <c r="PGC4388" s="379" t="s">
        <v>3783</v>
      </c>
      <c r="PGD4388" s="379" t="s">
        <v>3783</v>
      </c>
      <c r="PGE4388" s="379" t="s">
        <v>3783</v>
      </c>
      <c r="PGF4388" s="379" t="s">
        <v>3783</v>
      </c>
      <c r="PGG4388" s="379" t="s">
        <v>3783</v>
      </c>
      <c r="PGH4388" s="379" t="s">
        <v>3783</v>
      </c>
      <c r="PGI4388" s="379" t="s">
        <v>3783</v>
      </c>
      <c r="PGJ4388" s="379" t="s">
        <v>3783</v>
      </c>
      <c r="PGK4388" s="379" t="s">
        <v>3783</v>
      </c>
      <c r="PGL4388" s="379" t="s">
        <v>3783</v>
      </c>
      <c r="PGM4388" s="379" t="s">
        <v>3783</v>
      </c>
      <c r="PGN4388" s="379" t="s">
        <v>3783</v>
      </c>
      <c r="PGO4388" s="379" t="s">
        <v>3783</v>
      </c>
      <c r="PGP4388" s="379" t="s">
        <v>3783</v>
      </c>
      <c r="PGQ4388" s="379" t="s">
        <v>3783</v>
      </c>
      <c r="PGR4388" s="379" t="s">
        <v>3783</v>
      </c>
      <c r="PGS4388" s="379" t="s">
        <v>3783</v>
      </c>
      <c r="PGT4388" s="379" t="s">
        <v>3783</v>
      </c>
      <c r="PGU4388" s="379" t="s">
        <v>3783</v>
      </c>
      <c r="PGV4388" s="379" t="s">
        <v>3783</v>
      </c>
      <c r="PGW4388" s="379" t="s">
        <v>3783</v>
      </c>
      <c r="PGX4388" s="379" t="s">
        <v>3783</v>
      </c>
      <c r="PGY4388" s="379" t="s">
        <v>3783</v>
      </c>
      <c r="PGZ4388" s="379" t="s">
        <v>3783</v>
      </c>
      <c r="PHA4388" s="379" t="s">
        <v>3783</v>
      </c>
      <c r="PHB4388" s="379" t="s">
        <v>3783</v>
      </c>
      <c r="PHC4388" s="379" t="s">
        <v>3783</v>
      </c>
      <c r="PHD4388" s="379" t="s">
        <v>3783</v>
      </c>
      <c r="PHE4388" s="379" t="s">
        <v>3783</v>
      </c>
      <c r="PHF4388" s="379" t="s">
        <v>3783</v>
      </c>
      <c r="PHG4388" s="379" t="s">
        <v>3783</v>
      </c>
      <c r="PHH4388" s="379" t="s">
        <v>3783</v>
      </c>
      <c r="PHI4388" s="379" t="s">
        <v>3783</v>
      </c>
      <c r="PHJ4388" s="379" t="s">
        <v>3783</v>
      </c>
      <c r="PHK4388" s="379" t="s">
        <v>3783</v>
      </c>
      <c r="PHL4388" s="379" t="s">
        <v>3783</v>
      </c>
      <c r="PHM4388" s="379" t="s">
        <v>3783</v>
      </c>
      <c r="PHN4388" s="379" t="s">
        <v>3783</v>
      </c>
      <c r="PHO4388" s="379" t="s">
        <v>3783</v>
      </c>
      <c r="PHP4388" s="379" t="s">
        <v>3783</v>
      </c>
      <c r="PHQ4388" s="379" t="s">
        <v>3783</v>
      </c>
      <c r="PHR4388" s="379" t="s">
        <v>3783</v>
      </c>
      <c r="PHS4388" s="379" t="s">
        <v>3783</v>
      </c>
      <c r="PHT4388" s="379" t="s">
        <v>3783</v>
      </c>
      <c r="PHU4388" s="379" t="s">
        <v>3783</v>
      </c>
      <c r="PHV4388" s="379" t="s">
        <v>3783</v>
      </c>
      <c r="PHW4388" s="379" t="s">
        <v>3783</v>
      </c>
      <c r="PHX4388" s="379" t="s">
        <v>3783</v>
      </c>
      <c r="PHY4388" s="379" t="s">
        <v>3783</v>
      </c>
      <c r="PHZ4388" s="379" t="s">
        <v>3783</v>
      </c>
      <c r="PIA4388" s="379" t="s">
        <v>3783</v>
      </c>
      <c r="PIB4388" s="379" t="s">
        <v>3783</v>
      </c>
      <c r="PIC4388" s="379" t="s">
        <v>3783</v>
      </c>
      <c r="PID4388" s="379" t="s">
        <v>3783</v>
      </c>
      <c r="PIE4388" s="379" t="s">
        <v>3783</v>
      </c>
      <c r="PIF4388" s="379" t="s">
        <v>3783</v>
      </c>
      <c r="PIG4388" s="379" t="s">
        <v>3783</v>
      </c>
      <c r="PIH4388" s="379" t="s">
        <v>3783</v>
      </c>
      <c r="PII4388" s="379" t="s">
        <v>3783</v>
      </c>
      <c r="PIJ4388" s="379" t="s">
        <v>3783</v>
      </c>
      <c r="PIK4388" s="379" t="s">
        <v>3783</v>
      </c>
      <c r="PIL4388" s="379" t="s">
        <v>3783</v>
      </c>
      <c r="PIM4388" s="379" t="s">
        <v>3783</v>
      </c>
      <c r="PIN4388" s="379" t="s">
        <v>3783</v>
      </c>
      <c r="PIO4388" s="379" t="s">
        <v>3783</v>
      </c>
      <c r="PIP4388" s="379" t="s">
        <v>3783</v>
      </c>
      <c r="PIQ4388" s="379" t="s">
        <v>3783</v>
      </c>
      <c r="PIR4388" s="379" t="s">
        <v>3783</v>
      </c>
      <c r="PIS4388" s="379" t="s">
        <v>3783</v>
      </c>
      <c r="PIT4388" s="379" t="s">
        <v>3783</v>
      </c>
      <c r="PIU4388" s="379" t="s">
        <v>3783</v>
      </c>
      <c r="PIV4388" s="379" t="s">
        <v>3783</v>
      </c>
      <c r="PIW4388" s="379" t="s">
        <v>3783</v>
      </c>
      <c r="PIX4388" s="379" t="s">
        <v>3783</v>
      </c>
      <c r="PIY4388" s="379" t="s">
        <v>3783</v>
      </c>
      <c r="PIZ4388" s="379" t="s">
        <v>3783</v>
      </c>
      <c r="PJA4388" s="379" t="s">
        <v>3783</v>
      </c>
      <c r="PJB4388" s="379" t="s">
        <v>3783</v>
      </c>
      <c r="PJC4388" s="379" t="s">
        <v>3783</v>
      </c>
      <c r="PJD4388" s="379" t="s">
        <v>3783</v>
      </c>
      <c r="PJE4388" s="379" t="s">
        <v>3783</v>
      </c>
      <c r="PJF4388" s="379" t="s">
        <v>3783</v>
      </c>
      <c r="PJG4388" s="379" t="s">
        <v>3783</v>
      </c>
      <c r="PJH4388" s="379" t="s">
        <v>3783</v>
      </c>
      <c r="PJI4388" s="379" t="s">
        <v>3783</v>
      </c>
      <c r="PJJ4388" s="379" t="s">
        <v>3783</v>
      </c>
      <c r="PJK4388" s="379" t="s">
        <v>3783</v>
      </c>
      <c r="PJL4388" s="379" t="s">
        <v>3783</v>
      </c>
      <c r="PJM4388" s="379" t="s">
        <v>3783</v>
      </c>
      <c r="PJN4388" s="379" t="s">
        <v>3783</v>
      </c>
      <c r="PJO4388" s="379" t="s">
        <v>3783</v>
      </c>
      <c r="PJP4388" s="379" t="s">
        <v>3783</v>
      </c>
      <c r="PJQ4388" s="379" t="s">
        <v>3783</v>
      </c>
      <c r="PJR4388" s="379" t="s">
        <v>3783</v>
      </c>
      <c r="PJS4388" s="379" t="s">
        <v>3783</v>
      </c>
      <c r="PJT4388" s="379" t="s">
        <v>3783</v>
      </c>
      <c r="PJU4388" s="379" t="s">
        <v>3783</v>
      </c>
      <c r="PJV4388" s="379" t="s">
        <v>3783</v>
      </c>
      <c r="PJW4388" s="379" t="s">
        <v>3783</v>
      </c>
      <c r="PJX4388" s="379" t="s">
        <v>3783</v>
      </c>
      <c r="PJY4388" s="379" t="s">
        <v>3783</v>
      </c>
      <c r="PJZ4388" s="379" t="s">
        <v>3783</v>
      </c>
      <c r="PKA4388" s="379" t="s">
        <v>3783</v>
      </c>
      <c r="PKB4388" s="379" t="s">
        <v>3783</v>
      </c>
      <c r="PKC4388" s="379" t="s">
        <v>3783</v>
      </c>
      <c r="PKD4388" s="379" t="s">
        <v>3783</v>
      </c>
      <c r="PKE4388" s="379" t="s">
        <v>3783</v>
      </c>
      <c r="PKF4388" s="379" t="s">
        <v>3783</v>
      </c>
      <c r="PKG4388" s="379" t="s">
        <v>3783</v>
      </c>
      <c r="PKH4388" s="379" t="s">
        <v>3783</v>
      </c>
      <c r="PKI4388" s="379" t="s">
        <v>3783</v>
      </c>
      <c r="PKJ4388" s="379" t="s">
        <v>3783</v>
      </c>
      <c r="PKK4388" s="379" t="s">
        <v>3783</v>
      </c>
      <c r="PKL4388" s="379" t="s">
        <v>3783</v>
      </c>
      <c r="PKM4388" s="379" t="s">
        <v>3783</v>
      </c>
      <c r="PKN4388" s="379" t="s">
        <v>3783</v>
      </c>
      <c r="PKO4388" s="379" t="s">
        <v>3783</v>
      </c>
      <c r="PKP4388" s="379" t="s">
        <v>3783</v>
      </c>
      <c r="PKQ4388" s="379" t="s">
        <v>3783</v>
      </c>
      <c r="PKR4388" s="379" t="s">
        <v>3783</v>
      </c>
      <c r="PKS4388" s="379" t="s">
        <v>3783</v>
      </c>
      <c r="PKT4388" s="379" t="s">
        <v>3783</v>
      </c>
      <c r="PKU4388" s="379" t="s">
        <v>3783</v>
      </c>
      <c r="PKV4388" s="379" t="s">
        <v>3783</v>
      </c>
      <c r="PKW4388" s="379" t="s">
        <v>3783</v>
      </c>
      <c r="PKX4388" s="379" t="s">
        <v>3783</v>
      </c>
      <c r="PKY4388" s="379" t="s">
        <v>3783</v>
      </c>
      <c r="PKZ4388" s="379" t="s">
        <v>3783</v>
      </c>
      <c r="PLA4388" s="379" t="s">
        <v>3783</v>
      </c>
      <c r="PLB4388" s="379" t="s">
        <v>3783</v>
      </c>
      <c r="PLC4388" s="379" t="s">
        <v>3783</v>
      </c>
      <c r="PLD4388" s="379" t="s">
        <v>3783</v>
      </c>
      <c r="PLE4388" s="379" t="s">
        <v>3783</v>
      </c>
      <c r="PLF4388" s="379" t="s">
        <v>3783</v>
      </c>
      <c r="PLG4388" s="379" t="s">
        <v>3783</v>
      </c>
      <c r="PLH4388" s="379" t="s">
        <v>3783</v>
      </c>
      <c r="PLI4388" s="379" t="s">
        <v>3783</v>
      </c>
      <c r="PLJ4388" s="379" t="s">
        <v>3783</v>
      </c>
      <c r="PLK4388" s="379" t="s">
        <v>3783</v>
      </c>
      <c r="PLL4388" s="379" t="s">
        <v>3783</v>
      </c>
      <c r="PLM4388" s="379" t="s">
        <v>3783</v>
      </c>
      <c r="PLN4388" s="379" t="s">
        <v>3783</v>
      </c>
      <c r="PLO4388" s="379" t="s">
        <v>3783</v>
      </c>
      <c r="PLP4388" s="379" t="s">
        <v>3783</v>
      </c>
      <c r="PLQ4388" s="379" t="s">
        <v>3783</v>
      </c>
      <c r="PLR4388" s="379" t="s">
        <v>3783</v>
      </c>
      <c r="PLS4388" s="379" t="s">
        <v>3783</v>
      </c>
      <c r="PLT4388" s="379" t="s">
        <v>3783</v>
      </c>
      <c r="PLU4388" s="379" t="s">
        <v>3783</v>
      </c>
      <c r="PLV4388" s="379" t="s">
        <v>3783</v>
      </c>
      <c r="PLW4388" s="379" t="s">
        <v>3783</v>
      </c>
      <c r="PLX4388" s="379" t="s">
        <v>3783</v>
      </c>
      <c r="PLY4388" s="379" t="s">
        <v>3783</v>
      </c>
      <c r="PLZ4388" s="379" t="s">
        <v>3783</v>
      </c>
      <c r="PMA4388" s="379" t="s">
        <v>3783</v>
      </c>
      <c r="PMB4388" s="379" t="s">
        <v>3783</v>
      </c>
      <c r="PMC4388" s="379" t="s">
        <v>3783</v>
      </c>
      <c r="PMD4388" s="379" t="s">
        <v>3783</v>
      </c>
      <c r="PME4388" s="379" t="s">
        <v>3783</v>
      </c>
      <c r="PMF4388" s="379" t="s">
        <v>3783</v>
      </c>
      <c r="PMG4388" s="379" t="s">
        <v>3783</v>
      </c>
      <c r="PMH4388" s="379" t="s">
        <v>3783</v>
      </c>
      <c r="PMI4388" s="379" t="s">
        <v>3783</v>
      </c>
      <c r="PMJ4388" s="379" t="s">
        <v>3783</v>
      </c>
      <c r="PMK4388" s="379" t="s">
        <v>3783</v>
      </c>
      <c r="PML4388" s="379" t="s">
        <v>3783</v>
      </c>
      <c r="PMM4388" s="379" t="s">
        <v>3783</v>
      </c>
      <c r="PMN4388" s="379" t="s">
        <v>3783</v>
      </c>
      <c r="PMO4388" s="379" t="s">
        <v>3783</v>
      </c>
      <c r="PMP4388" s="379" t="s">
        <v>3783</v>
      </c>
      <c r="PMQ4388" s="379" t="s">
        <v>3783</v>
      </c>
      <c r="PMR4388" s="379" t="s">
        <v>3783</v>
      </c>
      <c r="PMS4388" s="379" t="s">
        <v>3783</v>
      </c>
      <c r="PMT4388" s="379" t="s">
        <v>3783</v>
      </c>
      <c r="PMU4388" s="379" t="s">
        <v>3783</v>
      </c>
      <c r="PMV4388" s="379" t="s">
        <v>3783</v>
      </c>
      <c r="PMW4388" s="379" t="s">
        <v>3783</v>
      </c>
      <c r="PMX4388" s="379" t="s">
        <v>3783</v>
      </c>
      <c r="PMY4388" s="379" t="s">
        <v>3783</v>
      </c>
      <c r="PMZ4388" s="379" t="s">
        <v>3783</v>
      </c>
      <c r="PNA4388" s="379" t="s">
        <v>3783</v>
      </c>
      <c r="PNB4388" s="379" t="s">
        <v>3783</v>
      </c>
      <c r="PNC4388" s="379" t="s">
        <v>3783</v>
      </c>
      <c r="PND4388" s="379" t="s">
        <v>3783</v>
      </c>
      <c r="PNE4388" s="379" t="s">
        <v>3783</v>
      </c>
      <c r="PNF4388" s="379" t="s">
        <v>3783</v>
      </c>
      <c r="PNG4388" s="379" t="s">
        <v>3783</v>
      </c>
      <c r="PNH4388" s="379" t="s">
        <v>3783</v>
      </c>
      <c r="PNI4388" s="379" t="s">
        <v>3783</v>
      </c>
      <c r="PNJ4388" s="379" t="s">
        <v>3783</v>
      </c>
      <c r="PNK4388" s="379" t="s">
        <v>3783</v>
      </c>
      <c r="PNL4388" s="379" t="s">
        <v>3783</v>
      </c>
      <c r="PNM4388" s="379" t="s">
        <v>3783</v>
      </c>
      <c r="PNN4388" s="379" t="s">
        <v>3783</v>
      </c>
      <c r="PNO4388" s="379" t="s">
        <v>3783</v>
      </c>
      <c r="PNP4388" s="379" t="s">
        <v>3783</v>
      </c>
      <c r="PNQ4388" s="379" t="s">
        <v>3783</v>
      </c>
      <c r="PNR4388" s="379" t="s">
        <v>3783</v>
      </c>
      <c r="PNS4388" s="379" t="s">
        <v>3783</v>
      </c>
      <c r="PNT4388" s="379" t="s">
        <v>3783</v>
      </c>
      <c r="PNU4388" s="379" t="s">
        <v>3783</v>
      </c>
      <c r="PNV4388" s="379" t="s">
        <v>3783</v>
      </c>
      <c r="PNW4388" s="379" t="s">
        <v>3783</v>
      </c>
      <c r="PNX4388" s="379" t="s">
        <v>3783</v>
      </c>
      <c r="PNY4388" s="379" t="s">
        <v>3783</v>
      </c>
      <c r="PNZ4388" s="379" t="s">
        <v>3783</v>
      </c>
      <c r="POA4388" s="379" t="s">
        <v>3783</v>
      </c>
      <c r="POB4388" s="379" t="s">
        <v>3783</v>
      </c>
      <c r="POC4388" s="379" t="s">
        <v>3783</v>
      </c>
      <c r="POD4388" s="379" t="s">
        <v>3783</v>
      </c>
      <c r="POE4388" s="379" t="s">
        <v>3783</v>
      </c>
      <c r="POF4388" s="379" t="s">
        <v>3783</v>
      </c>
      <c r="POG4388" s="379" t="s">
        <v>3783</v>
      </c>
      <c r="POH4388" s="379" t="s">
        <v>3783</v>
      </c>
      <c r="POI4388" s="379" t="s">
        <v>3783</v>
      </c>
      <c r="POJ4388" s="379" t="s">
        <v>3783</v>
      </c>
      <c r="POK4388" s="379" t="s">
        <v>3783</v>
      </c>
      <c r="POL4388" s="379" t="s">
        <v>3783</v>
      </c>
      <c r="POM4388" s="379" t="s">
        <v>3783</v>
      </c>
      <c r="PON4388" s="379" t="s">
        <v>3783</v>
      </c>
      <c r="POO4388" s="379" t="s">
        <v>3783</v>
      </c>
      <c r="POP4388" s="379" t="s">
        <v>3783</v>
      </c>
      <c r="POQ4388" s="379" t="s">
        <v>3783</v>
      </c>
      <c r="POR4388" s="379" t="s">
        <v>3783</v>
      </c>
      <c r="POS4388" s="379" t="s">
        <v>3783</v>
      </c>
      <c r="POT4388" s="379" t="s">
        <v>3783</v>
      </c>
      <c r="POU4388" s="379" t="s">
        <v>3783</v>
      </c>
      <c r="POV4388" s="379" t="s">
        <v>3783</v>
      </c>
      <c r="POW4388" s="379" t="s">
        <v>3783</v>
      </c>
      <c r="POX4388" s="379" t="s">
        <v>3783</v>
      </c>
      <c r="POY4388" s="379" t="s">
        <v>3783</v>
      </c>
      <c r="POZ4388" s="379" t="s">
        <v>3783</v>
      </c>
      <c r="PPA4388" s="379" t="s">
        <v>3783</v>
      </c>
      <c r="PPB4388" s="379" t="s">
        <v>3783</v>
      </c>
      <c r="PPC4388" s="379" t="s">
        <v>3783</v>
      </c>
      <c r="PPD4388" s="379" t="s">
        <v>3783</v>
      </c>
      <c r="PPE4388" s="379" t="s">
        <v>3783</v>
      </c>
      <c r="PPF4388" s="379" t="s">
        <v>3783</v>
      </c>
      <c r="PPG4388" s="379" t="s">
        <v>3783</v>
      </c>
      <c r="PPH4388" s="379" t="s">
        <v>3783</v>
      </c>
      <c r="PPI4388" s="379" t="s">
        <v>3783</v>
      </c>
      <c r="PPJ4388" s="379" t="s">
        <v>3783</v>
      </c>
      <c r="PPK4388" s="379" t="s">
        <v>3783</v>
      </c>
      <c r="PPL4388" s="379" t="s">
        <v>3783</v>
      </c>
      <c r="PPM4388" s="379" t="s">
        <v>3783</v>
      </c>
      <c r="PPN4388" s="379" t="s">
        <v>3783</v>
      </c>
      <c r="PPO4388" s="379" t="s">
        <v>3783</v>
      </c>
      <c r="PPP4388" s="379" t="s">
        <v>3783</v>
      </c>
      <c r="PPQ4388" s="379" t="s">
        <v>3783</v>
      </c>
      <c r="PPR4388" s="379" t="s">
        <v>3783</v>
      </c>
      <c r="PPS4388" s="379" t="s">
        <v>3783</v>
      </c>
      <c r="PPT4388" s="379" t="s">
        <v>3783</v>
      </c>
      <c r="PPU4388" s="379" t="s">
        <v>3783</v>
      </c>
      <c r="PPV4388" s="379" t="s">
        <v>3783</v>
      </c>
      <c r="PPW4388" s="379" t="s">
        <v>3783</v>
      </c>
      <c r="PPX4388" s="379" t="s">
        <v>3783</v>
      </c>
      <c r="PPY4388" s="379" t="s">
        <v>3783</v>
      </c>
      <c r="PPZ4388" s="379" t="s">
        <v>3783</v>
      </c>
      <c r="PQA4388" s="379" t="s">
        <v>3783</v>
      </c>
      <c r="PQB4388" s="379" t="s">
        <v>3783</v>
      </c>
      <c r="PQC4388" s="379" t="s">
        <v>3783</v>
      </c>
      <c r="PQD4388" s="379" t="s">
        <v>3783</v>
      </c>
      <c r="PQE4388" s="379" t="s">
        <v>3783</v>
      </c>
      <c r="PQF4388" s="379" t="s">
        <v>3783</v>
      </c>
      <c r="PQG4388" s="379" t="s">
        <v>3783</v>
      </c>
      <c r="PQH4388" s="379" t="s">
        <v>3783</v>
      </c>
      <c r="PQI4388" s="379" t="s">
        <v>3783</v>
      </c>
      <c r="PQJ4388" s="379" t="s">
        <v>3783</v>
      </c>
      <c r="PQK4388" s="379" t="s">
        <v>3783</v>
      </c>
      <c r="PQL4388" s="379" t="s">
        <v>3783</v>
      </c>
      <c r="PQM4388" s="379" t="s">
        <v>3783</v>
      </c>
      <c r="PQN4388" s="379" t="s">
        <v>3783</v>
      </c>
      <c r="PQO4388" s="379" t="s">
        <v>3783</v>
      </c>
      <c r="PQP4388" s="379" t="s">
        <v>3783</v>
      </c>
      <c r="PQQ4388" s="379" t="s">
        <v>3783</v>
      </c>
      <c r="PQR4388" s="379" t="s">
        <v>3783</v>
      </c>
      <c r="PQS4388" s="379" t="s">
        <v>3783</v>
      </c>
      <c r="PQT4388" s="379" t="s">
        <v>3783</v>
      </c>
      <c r="PQU4388" s="379" t="s">
        <v>3783</v>
      </c>
      <c r="PQV4388" s="379" t="s">
        <v>3783</v>
      </c>
      <c r="PQW4388" s="379" t="s">
        <v>3783</v>
      </c>
      <c r="PQX4388" s="379" t="s">
        <v>3783</v>
      </c>
      <c r="PQY4388" s="379" t="s">
        <v>3783</v>
      </c>
      <c r="PQZ4388" s="379" t="s">
        <v>3783</v>
      </c>
      <c r="PRA4388" s="379" t="s">
        <v>3783</v>
      </c>
      <c r="PRB4388" s="379" t="s">
        <v>3783</v>
      </c>
      <c r="PRC4388" s="379" t="s">
        <v>3783</v>
      </c>
      <c r="PRD4388" s="379" t="s">
        <v>3783</v>
      </c>
      <c r="PRE4388" s="379" t="s">
        <v>3783</v>
      </c>
      <c r="PRF4388" s="379" t="s">
        <v>3783</v>
      </c>
      <c r="PRG4388" s="379" t="s">
        <v>3783</v>
      </c>
      <c r="PRH4388" s="379" t="s">
        <v>3783</v>
      </c>
      <c r="PRI4388" s="379" t="s">
        <v>3783</v>
      </c>
      <c r="PRJ4388" s="379" t="s">
        <v>3783</v>
      </c>
      <c r="PRK4388" s="379" t="s">
        <v>3783</v>
      </c>
      <c r="PRL4388" s="379" t="s">
        <v>3783</v>
      </c>
      <c r="PRM4388" s="379" t="s">
        <v>3783</v>
      </c>
      <c r="PRN4388" s="379" t="s">
        <v>3783</v>
      </c>
      <c r="PRO4388" s="379" t="s">
        <v>3783</v>
      </c>
      <c r="PRP4388" s="379" t="s">
        <v>3783</v>
      </c>
      <c r="PRQ4388" s="379" t="s">
        <v>3783</v>
      </c>
      <c r="PRR4388" s="379" t="s">
        <v>3783</v>
      </c>
      <c r="PRS4388" s="379" t="s">
        <v>3783</v>
      </c>
      <c r="PRT4388" s="379" t="s">
        <v>3783</v>
      </c>
      <c r="PRU4388" s="379" t="s">
        <v>3783</v>
      </c>
      <c r="PRV4388" s="379" t="s">
        <v>3783</v>
      </c>
      <c r="PRW4388" s="379" t="s">
        <v>3783</v>
      </c>
      <c r="PRX4388" s="379" t="s">
        <v>3783</v>
      </c>
      <c r="PRY4388" s="379" t="s">
        <v>3783</v>
      </c>
      <c r="PRZ4388" s="379" t="s">
        <v>3783</v>
      </c>
      <c r="PSA4388" s="379" t="s">
        <v>3783</v>
      </c>
      <c r="PSB4388" s="379" t="s">
        <v>3783</v>
      </c>
      <c r="PSC4388" s="379" t="s">
        <v>3783</v>
      </c>
      <c r="PSD4388" s="379" t="s">
        <v>3783</v>
      </c>
      <c r="PSE4388" s="379" t="s">
        <v>3783</v>
      </c>
      <c r="PSF4388" s="379" t="s">
        <v>3783</v>
      </c>
      <c r="PSG4388" s="379" t="s">
        <v>3783</v>
      </c>
      <c r="PSH4388" s="379" t="s">
        <v>3783</v>
      </c>
      <c r="PSI4388" s="379" t="s">
        <v>3783</v>
      </c>
      <c r="PSJ4388" s="379" t="s">
        <v>3783</v>
      </c>
      <c r="PSK4388" s="379" t="s">
        <v>3783</v>
      </c>
      <c r="PSL4388" s="379" t="s">
        <v>3783</v>
      </c>
      <c r="PSM4388" s="379" t="s">
        <v>3783</v>
      </c>
      <c r="PSN4388" s="379" t="s">
        <v>3783</v>
      </c>
      <c r="PSO4388" s="379" t="s">
        <v>3783</v>
      </c>
      <c r="PSP4388" s="379" t="s">
        <v>3783</v>
      </c>
      <c r="PSQ4388" s="379" t="s">
        <v>3783</v>
      </c>
      <c r="PSR4388" s="379" t="s">
        <v>3783</v>
      </c>
      <c r="PSS4388" s="379" t="s">
        <v>3783</v>
      </c>
      <c r="PST4388" s="379" t="s">
        <v>3783</v>
      </c>
      <c r="PSU4388" s="379" t="s">
        <v>3783</v>
      </c>
      <c r="PSV4388" s="379" t="s">
        <v>3783</v>
      </c>
      <c r="PSW4388" s="379" t="s">
        <v>3783</v>
      </c>
      <c r="PSX4388" s="379" t="s">
        <v>3783</v>
      </c>
      <c r="PSY4388" s="379" t="s">
        <v>3783</v>
      </c>
      <c r="PSZ4388" s="379" t="s">
        <v>3783</v>
      </c>
      <c r="PTA4388" s="379" t="s">
        <v>3783</v>
      </c>
      <c r="PTB4388" s="379" t="s">
        <v>3783</v>
      </c>
      <c r="PTC4388" s="379" t="s">
        <v>3783</v>
      </c>
      <c r="PTD4388" s="379" t="s">
        <v>3783</v>
      </c>
      <c r="PTE4388" s="379" t="s">
        <v>3783</v>
      </c>
      <c r="PTF4388" s="379" t="s">
        <v>3783</v>
      </c>
      <c r="PTG4388" s="379" t="s">
        <v>3783</v>
      </c>
      <c r="PTH4388" s="379" t="s">
        <v>3783</v>
      </c>
      <c r="PTI4388" s="379" t="s">
        <v>3783</v>
      </c>
      <c r="PTJ4388" s="379" t="s">
        <v>3783</v>
      </c>
      <c r="PTK4388" s="379" t="s">
        <v>3783</v>
      </c>
      <c r="PTL4388" s="379" t="s">
        <v>3783</v>
      </c>
      <c r="PTM4388" s="379" t="s">
        <v>3783</v>
      </c>
      <c r="PTN4388" s="379" t="s">
        <v>3783</v>
      </c>
      <c r="PTO4388" s="379" t="s">
        <v>3783</v>
      </c>
      <c r="PTP4388" s="379" t="s">
        <v>3783</v>
      </c>
      <c r="PTQ4388" s="379" t="s">
        <v>3783</v>
      </c>
      <c r="PTR4388" s="379" t="s">
        <v>3783</v>
      </c>
      <c r="PTS4388" s="379" t="s">
        <v>3783</v>
      </c>
      <c r="PTT4388" s="379" t="s">
        <v>3783</v>
      </c>
      <c r="PTU4388" s="379" t="s">
        <v>3783</v>
      </c>
      <c r="PTV4388" s="379" t="s">
        <v>3783</v>
      </c>
      <c r="PTW4388" s="379" t="s">
        <v>3783</v>
      </c>
      <c r="PTX4388" s="379" t="s">
        <v>3783</v>
      </c>
      <c r="PTY4388" s="379" t="s">
        <v>3783</v>
      </c>
      <c r="PTZ4388" s="379" t="s">
        <v>3783</v>
      </c>
      <c r="PUA4388" s="379" t="s">
        <v>3783</v>
      </c>
      <c r="PUB4388" s="379" t="s">
        <v>3783</v>
      </c>
      <c r="PUC4388" s="379" t="s">
        <v>3783</v>
      </c>
      <c r="PUD4388" s="379" t="s">
        <v>3783</v>
      </c>
      <c r="PUE4388" s="379" t="s">
        <v>3783</v>
      </c>
      <c r="PUF4388" s="379" t="s">
        <v>3783</v>
      </c>
      <c r="PUG4388" s="379" t="s">
        <v>3783</v>
      </c>
      <c r="PUH4388" s="379" t="s">
        <v>3783</v>
      </c>
      <c r="PUI4388" s="379" t="s">
        <v>3783</v>
      </c>
      <c r="PUJ4388" s="379" t="s">
        <v>3783</v>
      </c>
      <c r="PUK4388" s="379" t="s">
        <v>3783</v>
      </c>
      <c r="PUL4388" s="379" t="s">
        <v>3783</v>
      </c>
      <c r="PUM4388" s="379" t="s">
        <v>3783</v>
      </c>
      <c r="PUN4388" s="379" t="s">
        <v>3783</v>
      </c>
      <c r="PUO4388" s="379" t="s">
        <v>3783</v>
      </c>
      <c r="PUP4388" s="379" t="s">
        <v>3783</v>
      </c>
      <c r="PUQ4388" s="379" t="s">
        <v>3783</v>
      </c>
      <c r="PUR4388" s="379" t="s">
        <v>3783</v>
      </c>
      <c r="PUS4388" s="379" t="s">
        <v>3783</v>
      </c>
      <c r="PUT4388" s="379" t="s">
        <v>3783</v>
      </c>
      <c r="PUU4388" s="379" t="s">
        <v>3783</v>
      </c>
      <c r="PUV4388" s="379" t="s">
        <v>3783</v>
      </c>
      <c r="PUW4388" s="379" t="s">
        <v>3783</v>
      </c>
      <c r="PUX4388" s="379" t="s">
        <v>3783</v>
      </c>
      <c r="PUY4388" s="379" t="s">
        <v>3783</v>
      </c>
      <c r="PUZ4388" s="379" t="s">
        <v>3783</v>
      </c>
      <c r="PVA4388" s="379" t="s">
        <v>3783</v>
      </c>
      <c r="PVB4388" s="379" t="s">
        <v>3783</v>
      </c>
      <c r="PVC4388" s="379" t="s">
        <v>3783</v>
      </c>
      <c r="PVD4388" s="379" t="s">
        <v>3783</v>
      </c>
      <c r="PVE4388" s="379" t="s">
        <v>3783</v>
      </c>
      <c r="PVF4388" s="379" t="s">
        <v>3783</v>
      </c>
      <c r="PVG4388" s="379" t="s">
        <v>3783</v>
      </c>
      <c r="PVH4388" s="379" t="s">
        <v>3783</v>
      </c>
      <c r="PVI4388" s="379" t="s">
        <v>3783</v>
      </c>
      <c r="PVJ4388" s="379" t="s">
        <v>3783</v>
      </c>
      <c r="PVK4388" s="379" t="s">
        <v>3783</v>
      </c>
      <c r="PVL4388" s="379" t="s">
        <v>3783</v>
      </c>
      <c r="PVM4388" s="379" t="s">
        <v>3783</v>
      </c>
      <c r="PVN4388" s="379" t="s">
        <v>3783</v>
      </c>
      <c r="PVO4388" s="379" t="s">
        <v>3783</v>
      </c>
      <c r="PVP4388" s="379" t="s">
        <v>3783</v>
      </c>
      <c r="PVQ4388" s="379" t="s">
        <v>3783</v>
      </c>
      <c r="PVR4388" s="379" t="s">
        <v>3783</v>
      </c>
      <c r="PVS4388" s="379" t="s">
        <v>3783</v>
      </c>
      <c r="PVT4388" s="379" t="s">
        <v>3783</v>
      </c>
      <c r="PVU4388" s="379" t="s">
        <v>3783</v>
      </c>
      <c r="PVV4388" s="379" t="s">
        <v>3783</v>
      </c>
      <c r="PVW4388" s="379" t="s">
        <v>3783</v>
      </c>
      <c r="PVX4388" s="379" t="s">
        <v>3783</v>
      </c>
      <c r="PVY4388" s="379" t="s">
        <v>3783</v>
      </c>
      <c r="PVZ4388" s="379" t="s">
        <v>3783</v>
      </c>
      <c r="PWA4388" s="379" t="s">
        <v>3783</v>
      </c>
      <c r="PWB4388" s="379" t="s">
        <v>3783</v>
      </c>
      <c r="PWC4388" s="379" t="s">
        <v>3783</v>
      </c>
      <c r="PWD4388" s="379" t="s">
        <v>3783</v>
      </c>
      <c r="PWE4388" s="379" t="s">
        <v>3783</v>
      </c>
      <c r="PWF4388" s="379" t="s">
        <v>3783</v>
      </c>
      <c r="PWG4388" s="379" t="s">
        <v>3783</v>
      </c>
      <c r="PWH4388" s="379" t="s">
        <v>3783</v>
      </c>
      <c r="PWI4388" s="379" t="s">
        <v>3783</v>
      </c>
      <c r="PWJ4388" s="379" t="s">
        <v>3783</v>
      </c>
      <c r="PWK4388" s="379" t="s">
        <v>3783</v>
      </c>
      <c r="PWL4388" s="379" t="s">
        <v>3783</v>
      </c>
      <c r="PWM4388" s="379" t="s">
        <v>3783</v>
      </c>
      <c r="PWN4388" s="379" t="s">
        <v>3783</v>
      </c>
      <c r="PWO4388" s="379" t="s">
        <v>3783</v>
      </c>
      <c r="PWP4388" s="379" t="s">
        <v>3783</v>
      </c>
      <c r="PWQ4388" s="379" t="s">
        <v>3783</v>
      </c>
      <c r="PWR4388" s="379" t="s">
        <v>3783</v>
      </c>
      <c r="PWS4388" s="379" t="s">
        <v>3783</v>
      </c>
      <c r="PWT4388" s="379" t="s">
        <v>3783</v>
      </c>
      <c r="PWU4388" s="379" t="s">
        <v>3783</v>
      </c>
      <c r="PWV4388" s="379" t="s">
        <v>3783</v>
      </c>
      <c r="PWW4388" s="379" t="s">
        <v>3783</v>
      </c>
      <c r="PWX4388" s="379" t="s">
        <v>3783</v>
      </c>
      <c r="PWY4388" s="379" t="s">
        <v>3783</v>
      </c>
      <c r="PWZ4388" s="379" t="s">
        <v>3783</v>
      </c>
      <c r="PXA4388" s="379" t="s">
        <v>3783</v>
      </c>
      <c r="PXB4388" s="379" t="s">
        <v>3783</v>
      </c>
      <c r="PXC4388" s="379" t="s">
        <v>3783</v>
      </c>
      <c r="PXD4388" s="379" t="s">
        <v>3783</v>
      </c>
      <c r="PXE4388" s="379" t="s">
        <v>3783</v>
      </c>
      <c r="PXF4388" s="379" t="s">
        <v>3783</v>
      </c>
      <c r="PXG4388" s="379" t="s">
        <v>3783</v>
      </c>
      <c r="PXH4388" s="379" t="s">
        <v>3783</v>
      </c>
      <c r="PXI4388" s="379" t="s">
        <v>3783</v>
      </c>
      <c r="PXJ4388" s="379" t="s">
        <v>3783</v>
      </c>
      <c r="PXK4388" s="379" t="s">
        <v>3783</v>
      </c>
      <c r="PXL4388" s="379" t="s">
        <v>3783</v>
      </c>
      <c r="PXM4388" s="379" t="s">
        <v>3783</v>
      </c>
      <c r="PXN4388" s="379" t="s">
        <v>3783</v>
      </c>
      <c r="PXO4388" s="379" t="s">
        <v>3783</v>
      </c>
      <c r="PXP4388" s="379" t="s">
        <v>3783</v>
      </c>
      <c r="PXQ4388" s="379" t="s">
        <v>3783</v>
      </c>
      <c r="PXR4388" s="379" t="s">
        <v>3783</v>
      </c>
      <c r="PXS4388" s="379" t="s">
        <v>3783</v>
      </c>
      <c r="PXT4388" s="379" t="s">
        <v>3783</v>
      </c>
      <c r="PXU4388" s="379" t="s">
        <v>3783</v>
      </c>
      <c r="PXV4388" s="379" t="s">
        <v>3783</v>
      </c>
      <c r="PXW4388" s="379" t="s">
        <v>3783</v>
      </c>
      <c r="PXX4388" s="379" t="s">
        <v>3783</v>
      </c>
      <c r="PXY4388" s="379" t="s">
        <v>3783</v>
      </c>
      <c r="PXZ4388" s="379" t="s">
        <v>3783</v>
      </c>
      <c r="PYA4388" s="379" t="s">
        <v>3783</v>
      </c>
      <c r="PYB4388" s="379" t="s">
        <v>3783</v>
      </c>
      <c r="PYC4388" s="379" t="s">
        <v>3783</v>
      </c>
      <c r="PYD4388" s="379" t="s">
        <v>3783</v>
      </c>
      <c r="PYE4388" s="379" t="s">
        <v>3783</v>
      </c>
      <c r="PYF4388" s="379" t="s">
        <v>3783</v>
      </c>
      <c r="PYG4388" s="379" t="s">
        <v>3783</v>
      </c>
      <c r="PYH4388" s="379" t="s">
        <v>3783</v>
      </c>
      <c r="PYI4388" s="379" t="s">
        <v>3783</v>
      </c>
      <c r="PYJ4388" s="379" t="s">
        <v>3783</v>
      </c>
      <c r="PYK4388" s="379" t="s">
        <v>3783</v>
      </c>
      <c r="PYL4388" s="379" t="s">
        <v>3783</v>
      </c>
      <c r="PYM4388" s="379" t="s">
        <v>3783</v>
      </c>
      <c r="PYN4388" s="379" t="s">
        <v>3783</v>
      </c>
      <c r="PYO4388" s="379" t="s">
        <v>3783</v>
      </c>
      <c r="PYP4388" s="379" t="s">
        <v>3783</v>
      </c>
      <c r="PYQ4388" s="379" t="s">
        <v>3783</v>
      </c>
      <c r="PYR4388" s="379" t="s">
        <v>3783</v>
      </c>
      <c r="PYS4388" s="379" t="s">
        <v>3783</v>
      </c>
      <c r="PYT4388" s="379" t="s">
        <v>3783</v>
      </c>
      <c r="PYU4388" s="379" t="s">
        <v>3783</v>
      </c>
      <c r="PYV4388" s="379" t="s">
        <v>3783</v>
      </c>
      <c r="PYW4388" s="379" t="s">
        <v>3783</v>
      </c>
      <c r="PYX4388" s="379" t="s">
        <v>3783</v>
      </c>
      <c r="PYY4388" s="379" t="s">
        <v>3783</v>
      </c>
      <c r="PYZ4388" s="379" t="s">
        <v>3783</v>
      </c>
      <c r="PZA4388" s="379" t="s">
        <v>3783</v>
      </c>
      <c r="PZB4388" s="379" t="s">
        <v>3783</v>
      </c>
      <c r="PZC4388" s="379" t="s">
        <v>3783</v>
      </c>
      <c r="PZD4388" s="379" t="s">
        <v>3783</v>
      </c>
      <c r="PZE4388" s="379" t="s">
        <v>3783</v>
      </c>
      <c r="PZF4388" s="379" t="s">
        <v>3783</v>
      </c>
      <c r="PZG4388" s="379" t="s">
        <v>3783</v>
      </c>
      <c r="PZH4388" s="379" t="s">
        <v>3783</v>
      </c>
      <c r="PZI4388" s="379" t="s">
        <v>3783</v>
      </c>
      <c r="PZJ4388" s="379" t="s">
        <v>3783</v>
      </c>
      <c r="PZK4388" s="379" t="s">
        <v>3783</v>
      </c>
      <c r="PZL4388" s="379" t="s">
        <v>3783</v>
      </c>
      <c r="PZM4388" s="379" t="s">
        <v>3783</v>
      </c>
      <c r="PZN4388" s="379" t="s">
        <v>3783</v>
      </c>
      <c r="PZO4388" s="379" t="s">
        <v>3783</v>
      </c>
      <c r="PZP4388" s="379" t="s">
        <v>3783</v>
      </c>
      <c r="PZQ4388" s="379" t="s">
        <v>3783</v>
      </c>
      <c r="PZR4388" s="379" t="s">
        <v>3783</v>
      </c>
      <c r="PZS4388" s="379" t="s">
        <v>3783</v>
      </c>
      <c r="PZT4388" s="379" t="s">
        <v>3783</v>
      </c>
      <c r="PZU4388" s="379" t="s">
        <v>3783</v>
      </c>
      <c r="PZV4388" s="379" t="s">
        <v>3783</v>
      </c>
      <c r="PZW4388" s="379" t="s">
        <v>3783</v>
      </c>
      <c r="PZX4388" s="379" t="s">
        <v>3783</v>
      </c>
      <c r="PZY4388" s="379" t="s">
        <v>3783</v>
      </c>
      <c r="PZZ4388" s="379" t="s">
        <v>3783</v>
      </c>
      <c r="QAA4388" s="379" t="s">
        <v>3783</v>
      </c>
      <c r="QAB4388" s="379" t="s">
        <v>3783</v>
      </c>
      <c r="QAC4388" s="379" t="s">
        <v>3783</v>
      </c>
      <c r="QAD4388" s="379" t="s">
        <v>3783</v>
      </c>
      <c r="QAE4388" s="379" t="s">
        <v>3783</v>
      </c>
      <c r="QAF4388" s="379" t="s">
        <v>3783</v>
      </c>
      <c r="QAG4388" s="379" t="s">
        <v>3783</v>
      </c>
      <c r="QAH4388" s="379" t="s">
        <v>3783</v>
      </c>
      <c r="QAI4388" s="379" t="s">
        <v>3783</v>
      </c>
      <c r="QAJ4388" s="379" t="s">
        <v>3783</v>
      </c>
      <c r="QAK4388" s="379" t="s">
        <v>3783</v>
      </c>
      <c r="QAL4388" s="379" t="s">
        <v>3783</v>
      </c>
      <c r="QAM4388" s="379" t="s">
        <v>3783</v>
      </c>
      <c r="QAN4388" s="379" t="s">
        <v>3783</v>
      </c>
      <c r="QAO4388" s="379" t="s">
        <v>3783</v>
      </c>
      <c r="QAP4388" s="379" t="s">
        <v>3783</v>
      </c>
      <c r="QAQ4388" s="379" t="s">
        <v>3783</v>
      </c>
      <c r="QAR4388" s="379" t="s">
        <v>3783</v>
      </c>
      <c r="QAS4388" s="379" t="s">
        <v>3783</v>
      </c>
      <c r="QAT4388" s="379" t="s">
        <v>3783</v>
      </c>
      <c r="QAU4388" s="379" t="s">
        <v>3783</v>
      </c>
      <c r="QAV4388" s="379" t="s">
        <v>3783</v>
      </c>
      <c r="QAW4388" s="379" t="s">
        <v>3783</v>
      </c>
      <c r="QAX4388" s="379" t="s">
        <v>3783</v>
      </c>
      <c r="QAY4388" s="379" t="s">
        <v>3783</v>
      </c>
      <c r="QAZ4388" s="379" t="s">
        <v>3783</v>
      </c>
      <c r="QBA4388" s="379" t="s">
        <v>3783</v>
      </c>
      <c r="QBB4388" s="379" t="s">
        <v>3783</v>
      </c>
      <c r="QBC4388" s="379" t="s">
        <v>3783</v>
      </c>
      <c r="QBD4388" s="379" t="s">
        <v>3783</v>
      </c>
      <c r="QBE4388" s="379" t="s">
        <v>3783</v>
      </c>
      <c r="QBF4388" s="379" t="s">
        <v>3783</v>
      </c>
      <c r="QBG4388" s="379" t="s">
        <v>3783</v>
      </c>
      <c r="QBH4388" s="379" t="s">
        <v>3783</v>
      </c>
      <c r="QBI4388" s="379" t="s">
        <v>3783</v>
      </c>
      <c r="QBJ4388" s="379" t="s">
        <v>3783</v>
      </c>
      <c r="QBK4388" s="379" t="s">
        <v>3783</v>
      </c>
      <c r="QBL4388" s="379" t="s">
        <v>3783</v>
      </c>
      <c r="QBM4388" s="379" t="s">
        <v>3783</v>
      </c>
      <c r="QBN4388" s="379" t="s">
        <v>3783</v>
      </c>
      <c r="QBO4388" s="379" t="s">
        <v>3783</v>
      </c>
      <c r="QBP4388" s="379" t="s">
        <v>3783</v>
      </c>
      <c r="QBQ4388" s="379" t="s">
        <v>3783</v>
      </c>
      <c r="QBR4388" s="379" t="s">
        <v>3783</v>
      </c>
      <c r="QBS4388" s="379" t="s">
        <v>3783</v>
      </c>
      <c r="QBT4388" s="379" t="s">
        <v>3783</v>
      </c>
      <c r="QBU4388" s="379" t="s">
        <v>3783</v>
      </c>
      <c r="QBV4388" s="379" t="s">
        <v>3783</v>
      </c>
      <c r="QBW4388" s="379" t="s">
        <v>3783</v>
      </c>
      <c r="QBX4388" s="379" t="s">
        <v>3783</v>
      </c>
      <c r="QBY4388" s="379" t="s">
        <v>3783</v>
      </c>
      <c r="QBZ4388" s="379" t="s">
        <v>3783</v>
      </c>
      <c r="QCA4388" s="379" t="s">
        <v>3783</v>
      </c>
      <c r="QCB4388" s="379" t="s">
        <v>3783</v>
      </c>
      <c r="QCC4388" s="379" t="s">
        <v>3783</v>
      </c>
      <c r="QCD4388" s="379" t="s">
        <v>3783</v>
      </c>
      <c r="QCE4388" s="379" t="s">
        <v>3783</v>
      </c>
      <c r="QCF4388" s="379" t="s">
        <v>3783</v>
      </c>
      <c r="QCG4388" s="379" t="s">
        <v>3783</v>
      </c>
      <c r="QCH4388" s="379" t="s">
        <v>3783</v>
      </c>
      <c r="QCI4388" s="379" t="s">
        <v>3783</v>
      </c>
      <c r="QCJ4388" s="379" t="s">
        <v>3783</v>
      </c>
      <c r="QCK4388" s="379" t="s">
        <v>3783</v>
      </c>
      <c r="QCL4388" s="379" t="s">
        <v>3783</v>
      </c>
      <c r="QCM4388" s="379" t="s">
        <v>3783</v>
      </c>
      <c r="QCN4388" s="379" t="s">
        <v>3783</v>
      </c>
      <c r="QCO4388" s="379" t="s">
        <v>3783</v>
      </c>
      <c r="QCP4388" s="379" t="s">
        <v>3783</v>
      </c>
      <c r="QCQ4388" s="379" t="s">
        <v>3783</v>
      </c>
      <c r="QCR4388" s="379" t="s">
        <v>3783</v>
      </c>
      <c r="QCS4388" s="379" t="s">
        <v>3783</v>
      </c>
      <c r="QCT4388" s="379" t="s">
        <v>3783</v>
      </c>
      <c r="QCU4388" s="379" t="s">
        <v>3783</v>
      </c>
      <c r="QCV4388" s="379" t="s">
        <v>3783</v>
      </c>
      <c r="QCW4388" s="379" t="s">
        <v>3783</v>
      </c>
      <c r="QCX4388" s="379" t="s">
        <v>3783</v>
      </c>
      <c r="QCY4388" s="379" t="s">
        <v>3783</v>
      </c>
      <c r="QCZ4388" s="379" t="s">
        <v>3783</v>
      </c>
      <c r="QDA4388" s="379" t="s">
        <v>3783</v>
      </c>
      <c r="QDB4388" s="379" t="s">
        <v>3783</v>
      </c>
      <c r="QDC4388" s="379" t="s">
        <v>3783</v>
      </c>
      <c r="QDD4388" s="379" t="s">
        <v>3783</v>
      </c>
      <c r="QDE4388" s="379" t="s">
        <v>3783</v>
      </c>
      <c r="QDF4388" s="379" t="s">
        <v>3783</v>
      </c>
      <c r="QDG4388" s="379" t="s">
        <v>3783</v>
      </c>
      <c r="QDH4388" s="379" t="s">
        <v>3783</v>
      </c>
      <c r="QDI4388" s="379" t="s">
        <v>3783</v>
      </c>
      <c r="QDJ4388" s="379" t="s">
        <v>3783</v>
      </c>
      <c r="QDK4388" s="379" t="s">
        <v>3783</v>
      </c>
      <c r="QDL4388" s="379" t="s">
        <v>3783</v>
      </c>
      <c r="QDM4388" s="379" t="s">
        <v>3783</v>
      </c>
      <c r="QDN4388" s="379" t="s">
        <v>3783</v>
      </c>
      <c r="QDO4388" s="379" t="s">
        <v>3783</v>
      </c>
      <c r="QDP4388" s="379" t="s">
        <v>3783</v>
      </c>
      <c r="QDQ4388" s="379" t="s">
        <v>3783</v>
      </c>
      <c r="QDR4388" s="379" t="s">
        <v>3783</v>
      </c>
      <c r="QDS4388" s="379" t="s">
        <v>3783</v>
      </c>
      <c r="QDT4388" s="379" t="s">
        <v>3783</v>
      </c>
      <c r="QDU4388" s="379" t="s">
        <v>3783</v>
      </c>
      <c r="QDV4388" s="379" t="s">
        <v>3783</v>
      </c>
      <c r="QDW4388" s="379" t="s">
        <v>3783</v>
      </c>
      <c r="QDX4388" s="379" t="s">
        <v>3783</v>
      </c>
      <c r="QDY4388" s="379" t="s">
        <v>3783</v>
      </c>
      <c r="QDZ4388" s="379" t="s">
        <v>3783</v>
      </c>
      <c r="QEA4388" s="379" t="s">
        <v>3783</v>
      </c>
      <c r="QEB4388" s="379" t="s">
        <v>3783</v>
      </c>
      <c r="QEC4388" s="379" t="s">
        <v>3783</v>
      </c>
      <c r="QED4388" s="379" t="s">
        <v>3783</v>
      </c>
      <c r="QEE4388" s="379" t="s">
        <v>3783</v>
      </c>
      <c r="QEF4388" s="379" t="s">
        <v>3783</v>
      </c>
      <c r="QEG4388" s="379" t="s">
        <v>3783</v>
      </c>
      <c r="QEH4388" s="379" t="s">
        <v>3783</v>
      </c>
      <c r="QEI4388" s="379" t="s">
        <v>3783</v>
      </c>
      <c r="QEJ4388" s="379" t="s">
        <v>3783</v>
      </c>
      <c r="QEK4388" s="379" t="s">
        <v>3783</v>
      </c>
      <c r="QEL4388" s="379" t="s">
        <v>3783</v>
      </c>
      <c r="QEM4388" s="379" t="s">
        <v>3783</v>
      </c>
      <c r="QEN4388" s="379" t="s">
        <v>3783</v>
      </c>
      <c r="QEO4388" s="379" t="s">
        <v>3783</v>
      </c>
      <c r="QEP4388" s="379" t="s">
        <v>3783</v>
      </c>
      <c r="QEQ4388" s="379" t="s">
        <v>3783</v>
      </c>
      <c r="QER4388" s="379" t="s">
        <v>3783</v>
      </c>
      <c r="QES4388" s="379" t="s">
        <v>3783</v>
      </c>
      <c r="QET4388" s="379" t="s">
        <v>3783</v>
      </c>
      <c r="QEU4388" s="379" t="s">
        <v>3783</v>
      </c>
      <c r="QEV4388" s="379" t="s">
        <v>3783</v>
      </c>
      <c r="QEW4388" s="379" t="s">
        <v>3783</v>
      </c>
      <c r="QEX4388" s="379" t="s">
        <v>3783</v>
      </c>
      <c r="QEY4388" s="379" t="s">
        <v>3783</v>
      </c>
      <c r="QEZ4388" s="379" t="s">
        <v>3783</v>
      </c>
      <c r="QFA4388" s="379" t="s">
        <v>3783</v>
      </c>
      <c r="QFB4388" s="379" t="s">
        <v>3783</v>
      </c>
      <c r="QFC4388" s="379" t="s">
        <v>3783</v>
      </c>
      <c r="QFD4388" s="379" t="s">
        <v>3783</v>
      </c>
      <c r="QFE4388" s="379" t="s">
        <v>3783</v>
      </c>
      <c r="QFF4388" s="379" t="s">
        <v>3783</v>
      </c>
      <c r="QFG4388" s="379" t="s">
        <v>3783</v>
      </c>
      <c r="QFH4388" s="379" t="s">
        <v>3783</v>
      </c>
      <c r="QFI4388" s="379" t="s">
        <v>3783</v>
      </c>
      <c r="QFJ4388" s="379" t="s">
        <v>3783</v>
      </c>
      <c r="QFK4388" s="379" t="s">
        <v>3783</v>
      </c>
      <c r="QFL4388" s="379" t="s">
        <v>3783</v>
      </c>
      <c r="QFM4388" s="379" t="s">
        <v>3783</v>
      </c>
      <c r="QFN4388" s="379" t="s">
        <v>3783</v>
      </c>
      <c r="QFO4388" s="379" t="s">
        <v>3783</v>
      </c>
      <c r="QFP4388" s="379" t="s">
        <v>3783</v>
      </c>
      <c r="QFQ4388" s="379" t="s">
        <v>3783</v>
      </c>
      <c r="QFR4388" s="379" t="s">
        <v>3783</v>
      </c>
      <c r="QFS4388" s="379" t="s">
        <v>3783</v>
      </c>
      <c r="QFT4388" s="379" t="s">
        <v>3783</v>
      </c>
      <c r="QFU4388" s="379" t="s">
        <v>3783</v>
      </c>
      <c r="QFV4388" s="379" t="s">
        <v>3783</v>
      </c>
      <c r="QFW4388" s="379" t="s">
        <v>3783</v>
      </c>
      <c r="QFX4388" s="379" t="s">
        <v>3783</v>
      </c>
      <c r="QFY4388" s="379" t="s">
        <v>3783</v>
      </c>
      <c r="QFZ4388" s="379" t="s">
        <v>3783</v>
      </c>
      <c r="QGA4388" s="379" t="s">
        <v>3783</v>
      </c>
      <c r="QGB4388" s="379" t="s">
        <v>3783</v>
      </c>
      <c r="QGC4388" s="379" t="s">
        <v>3783</v>
      </c>
      <c r="QGD4388" s="379" t="s">
        <v>3783</v>
      </c>
      <c r="QGE4388" s="379" t="s">
        <v>3783</v>
      </c>
      <c r="QGF4388" s="379" t="s">
        <v>3783</v>
      </c>
      <c r="QGG4388" s="379" t="s">
        <v>3783</v>
      </c>
      <c r="QGH4388" s="379" t="s">
        <v>3783</v>
      </c>
      <c r="QGI4388" s="379" t="s">
        <v>3783</v>
      </c>
      <c r="QGJ4388" s="379" t="s">
        <v>3783</v>
      </c>
      <c r="QGK4388" s="379" t="s">
        <v>3783</v>
      </c>
      <c r="QGL4388" s="379" t="s">
        <v>3783</v>
      </c>
      <c r="QGM4388" s="379" t="s">
        <v>3783</v>
      </c>
      <c r="QGN4388" s="379" t="s">
        <v>3783</v>
      </c>
      <c r="QGO4388" s="379" t="s">
        <v>3783</v>
      </c>
      <c r="QGP4388" s="379" t="s">
        <v>3783</v>
      </c>
      <c r="QGQ4388" s="379" t="s">
        <v>3783</v>
      </c>
      <c r="QGR4388" s="379" t="s">
        <v>3783</v>
      </c>
      <c r="QGS4388" s="379" t="s">
        <v>3783</v>
      </c>
      <c r="QGT4388" s="379" t="s">
        <v>3783</v>
      </c>
      <c r="QGU4388" s="379" t="s">
        <v>3783</v>
      </c>
      <c r="QGV4388" s="379" t="s">
        <v>3783</v>
      </c>
      <c r="QGW4388" s="379" t="s">
        <v>3783</v>
      </c>
      <c r="QGX4388" s="379" t="s">
        <v>3783</v>
      </c>
      <c r="QGY4388" s="379" t="s">
        <v>3783</v>
      </c>
      <c r="QGZ4388" s="379" t="s">
        <v>3783</v>
      </c>
      <c r="QHA4388" s="379" t="s">
        <v>3783</v>
      </c>
      <c r="QHB4388" s="379" t="s">
        <v>3783</v>
      </c>
      <c r="QHC4388" s="379" t="s">
        <v>3783</v>
      </c>
      <c r="QHD4388" s="379" t="s">
        <v>3783</v>
      </c>
      <c r="QHE4388" s="379" t="s">
        <v>3783</v>
      </c>
      <c r="QHF4388" s="379" t="s">
        <v>3783</v>
      </c>
      <c r="QHG4388" s="379" t="s">
        <v>3783</v>
      </c>
      <c r="QHH4388" s="379" t="s">
        <v>3783</v>
      </c>
      <c r="QHI4388" s="379" t="s">
        <v>3783</v>
      </c>
      <c r="QHJ4388" s="379" t="s">
        <v>3783</v>
      </c>
      <c r="QHK4388" s="379" t="s">
        <v>3783</v>
      </c>
      <c r="QHL4388" s="379" t="s">
        <v>3783</v>
      </c>
      <c r="QHM4388" s="379" t="s">
        <v>3783</v>
      </c>
      <c r="QHN4388" s="379" t="s">
        <v>3783</v>
      </c>
      <c r="QHO4388" s="379" t="s">
        <v>3783</v>
      </c>
      <c r="QHP4388" s="379" t="s">
        <v>3783</v>
      </c>
      <c r="QHQ4388" s="379" t="s">
        <v>3783</v>
      </c>
      <c r="QHR4388" s="379" t="s">
        <v>3783</v>
      </c>
      <c r="QHS4388" s="379" t="s">
        <v>3783</v>
      </c>
      <c r="QHT4388" s="379" t="s">
        <v>3783</v>
      </c>
      <c r="QHU4388" s="379" t="s">
        <v>3783</v>
      </c>
      <c r="QHV4388" s="379" t="s">
        <v>3783</v>
      </c>
      <c r="QHW4388" s="379" t="s">
        <v>3783</v>
      </c>
      <c r="QHX4388" s="379" t="s">
        <v>3783</v>
      </c>
      <c r="QHY4388" s="379" t="s">
        <v>3783</v>
      </c>
      <c r="QHZ4388" s="379" t="s">
        <v>3783</v>
      </c>
      <c r="QIA4388" s="379" t="s">
        <v>3783</v>
      </c>
      <c r="QIB4388" s="379" t="s">
        <v>3783</v>
      </c>
      <c r="QIC4388" s="379" t="s">
        <v>3783</v>
      </c>
      <c r="QID4388" s="379" t="s">
        <v>3783</v>
      </c>
      <c r="QIE4388" s="379" t="s">
        <v>3783</v>
      </c>
      <c r="QIF4388" s="379" t="s">
        <v>3783</v>
      </c>
      <c r="QIG4388" s="379" t="s">
        <v>3783</v>
      </c>
      <c r="QIH4388" s="379" t="s">
        <v>3783</v>
      </c>
      <c r="QII4388" s="379" t="s">
        <v>3783</v>
      </c>
      <c r="QIJ4388" s="379" t="s">
        <v>3783</v>
      </c>
      <c r="QIK4388" s="379" t="s">
        <v>3783</v>
      </c>
      <c r="QIL4388" s="379" t="s">
        <v>3783</v>
      </c>
      <c r="QIM4388" s="379" t="s">
        <v>3783</v>
      </c>
      <c r="QIN4388" s="379" t="s">
        <v>3783</v>
      </c>
      <c r="QIO4388" s="379" t="s">
        <v>3783</v>
      </c>
      <c r="QIP4388" s="379" t="s">
        <v>3783</v>
      </c>
      <c r="QIQ4388" s="379" t="s">
        <v>3783</v>
      </c>
      <c r="QIR4388" s="379" t="s">
        <v>3783</v>
      </c>
      <c r="QIS4388" s="379" t="s">
        <v>3783</v>
      </c>
      <c r="QIT4388" s="379" t="s">
        <v>3783</v>
      </c>
      <c r="QIU4388" s="379" t="s">
        <v>3783</v>
      </c>
      <c r="QIV4388" s="379" t="s">
        <v>3783</v>
      </c>
      <c r="QIW4388" s="379" t="s">
        <v>3783</v>
      </c>
      <c r="QIX4388" s="379" t="s">
        <v>3783</v>
      </c>
      <c r="QIY4388" s="379" t="s">
        <v>3783</v>
      </c>
      <c r="QIZ4388" s="379" t="s">
        <v>3783</v>
      </c>
      <c r="QJA4388" s="379" t="s">
        <v>3783</v>
      </c>
      <c r="QJB4388" s="379" t="s">
        <v>3783</v>
      </c>
      <c r="QJC4388" s="379" t="s">
        <v>3783</v>
      </c>
      <c r="QJD4388" s="379" t="s">
        <v>3783</v>
      </c>
      <c r="QJE4388" s="379" t="s">
        <v>3783</v>
      </c>
      <c r="QJF4388" s="379" t="s">
        <v>3783</v>
      </c>
      <c r="QJG4388" s="379" t="s">
        <v>3783</v>
      </c>
      <c r="QJH4388" s="379" t="s">
        <v>3783</v>
      </c>
      <c r="QJI4388" s="379" t="s">
        <v>3783</v>
      </c>
      <c r="QJJ4388" s="379" t="s">
        <v>3783</v>
      </c>
      <c r="QJK4388" s="379" t="s">
        <v>3783</v>
      </c>
      <c r="QJL4388" s="379" t="s">
        <v>3783</v>
      </c>
      <c r="QJM4388" s="379" t="s">
        <v>3783</v>
      </c>
      <c r="QJN4388" s="379" t="s">
        <v>3783</v>
      </c>
      <c r="QJO4388" s="379" t="s">
        <v>3783</v>
      </c>
      <c r="QJP4388" s="379" t="s">
        <v>3783</v>
      </c>
      <c r="QJQ4388" s="379" t="s">
        <v>3783</v>
      </c>
      <c r="QJR4388" s="379" t="s">
        <v>3783</v>
      </c>
      <c r="QJS4388" s="379" t="s">
        <v>3783</v>
      </c>
      <c r="QJT4388" s="379" t="s">
        <v>3783</v>
      </c>
      <c r="QJU4388" s="379" t="s">
        <v>3783</v>
      </c>
      <c r="QJV4388" s="379" t="s">
        <v>3783</v>
      </c>
      <c r="QJW4388" s="379" t="s">
        <v>3783</v>
      </c>
      <c r="QJX4388" s="379" t="s">
        <v>3783</v>
      </c>
      <c r="QJY4388" s="379" t="s">
        <v>3783</v>
      </c>
      <c r="QJZ4388" s="379" t="s">
        <v>3783</v>
      </c>
      <c r="QKA4388" s="379" t="s">
        <v>3783</v>
      </c>
      <c r="QKB4388" s="379" t="s">
        <v>3783</v>
      </c>
      <c r="QKC4388" s="379" t="s">
        <v>3783</v>
      </c>
      <c r="QKD4388" s="379" t="s">
        <v>3783</v>
      </c>
      <c r="QKE4388" s="379" t="s">
        <v>3783</v>
      </c>
      <c r="QKF4388" s="379" t="s">
        <v>3783</v>
      </c>
      <c r="QKG4388" s="379" t="s">
        <v>3783</v>
      </c>
      <c r="QKH4388" s="379" t="s">
        <v>3783</v>
      </c>
      <c r="QKI4388" s="379" t="s">
        <v>3783</v>
      </c>
      <c r="QKJ4388" s="379" t="s">
        <v>3783</v>
      </c>
      <c r="QKK4388" s="379" t="s">
        <v>3783</v>
      </c>
      <c r="QKL4388" s="379" t="s">
        <v>3783</v>
      </c>
      <c r="QKM4388" s="379" t="s">
        <v>3783</v>
      </c>
      <c r="QKN4388" s="379" t="s">
        <v>3783</v>
      </c>
      <c r="QKO4388" s="379" t="s">
        <v>3783</v>
      </c>
      <c r="QKP4388" s="379" t="s">
        <v>3783</v>
      </c>
      <c r="QKQ4388" s="379" t="s">
        <v>3783</v>
      </c>
      <c r="QKR4388" s="379" t="s">
        <v>3783</v>
      </c>
      <c r="QKS4388" s="379" t="s">
        <v>3783</v>
      </c>
      <c r="QKT4388" s="379" t="s">
        <v>3783</v>
      </c>
      <c r="QKU4388" s="379" t="s">
        <v>3783</v>
      </c>
      <c r="QKV4388" s="379" t="s">
        <v>3783</v>
      </c>
      <c r="QKW4388" s="379" t="s">
        <v>3783</v>
      </c>
      <c r="QKX4388" s="379" t="s">
        <v>3783</v>
      </c>
      <c r="QKY4388" s="379" t="s">
        <v>3783</v>
      </c>
      <c r="QKZ4388" s="379" t="s">
        <v>3783</v>
      </c>
      <c r="QLA4388" s="379" t="s">
        <v>3783</v>
      </c>
      <c r="QLB4388" s="379" t="s">
        <v>3783</v>
      </c>
      <c r="QLC4388" s="379" t="s">
        <v>3783</v>
      </c>
      <c r="QLD4388" s="379" t="s">
        <v>3783</v>
      </c>
      <c r="QLE4388" s="379" t="s">
        <v>3783</v>
      </c>
      <c r="QLF4388" s="379" t="s">
        <v>3783</v>
      </c>
      <c r="QLG4388" s="379" t="s">
        <v>3783</v>
      </c>
      <c r="QLH4388" s="379" t="s">
        <v>3783</v>
      </c>
      <c r="QLI4388" s="379" t="s">
        <v>3783</v>
      </c>
      <c r="QLJ4388" s="379" t="s">
        <v>3783</v>
      </c>
      <c r="QLK4388" s="379" t="s">
        <v>3783</v>
      </c>
      <c r="QLL4388" s="379" t="s">
        <v>3783</v>
      </c>
      <c r="QLM4388" s="379" t="s">
        <v>3783</v>
      </c>
      <c r="QLN4388" s="379" t="s">
        <v>3783</v>
      </c>
      <c r="QLO4388" s="379" t="s">
        <v>3783</v>
      </c>
      <c r="QLP4388" s="379" t="s">
        <v>3783</v>
      </c>
      <c r="QLQ4388" s="379" t="s">
        <v>3783</v>
      </c>
      <c r="QLR4388" s="379" t="s">
        <v>3783</v>
      </c>
      <c r="QLS4388" s="379" t="s">
        <v>3783</v>
      </c>
      <c r="QLT4388" s="379" t="s">
        <v>3783</v>
      </c>
      <c r="QLU4388" s="379" t="s">
        <v>3783</v>
      </c>
      <c r="QLV4388" s="379" t="s">
        <v>3783</v>
      </c>
      <c r="QLW4388" s="379" t="s">
        <v>3783</v>
      </c>
      <c r="QLX4388" s="379" t="s">
        <v>3783</v>
      </c>
      <c r="QLY4388" s="379" t="s">
        <v>3783</v>
      </c>
      <c r="QLZ4388" s="379" t="s">
        <v>3783</v>
      </c>
      <c r="QMA4388" s="379" t="s">
        <v>3783</v>
      </c>
      <c r="QMB4388" s="379" t="s">
        <v>3783</v>
      </c>
      <c r="QMC4388" s="379" t="s">
        <v>3783</v>
      </c>
      <c r="QMD4388" s="379" t="s">
        <v>3783</v>
      </c>
      <c r="QME4388" s="379" t="s">
        <v>3783</v>
      </c>
      <c r="QMF4388" s="379" t="s">
        <v>3783</v>
      </c>
      <c r="QMG4388" s="379" t="s">
        <v>3783</v>
      </c>
      <c r="QMH4388" s="379" t="s">
        <v>3783</v>
      </c>
      <c r="QMI4388" s="379" t="s">
        <v>3783</v>
      </c>
      <c r="QMJ4388" s="379" t="s">
        <v>3783</v>
      </c>
      <c r="QMK4388" s="379" t="s">
        <v>3783</v>
      </c>
      <c r="QML4388" s="379" t="s">
        <v>3783</v>
      </c>
      <c r="QMM4388" s="379" t="s">
        <v>3783</v>
      </c>
      <c r="QMN4388" s="379" t="s">
        <v>3783</v>
      </c>
      <c r="QMO4388" s="379" t="s">
        <v>3783</v>
      </c>
      <c r="QMP4388" s="379" t="s">
        <v>3783</v>
      </c>
      <c r="QMQ4388" s="379" t="s">
        <v>3783</v>
      </c>
      <c r="QMR4388" s="379" t="s">
        <v>3783</v>
      </c>
      <c r="QMS4388" s="379" t="s">
        <v>3783</v>
      </c>
      <c r="QMT4388" s="379" t="s">
        <v>3783</v>
      </c>
      <c r="QMU4388" s="379" t="s">
        <v>3783</v>
      </c>
      <c r="QMV4388" s="379" t="s">
        <v>3783</v>
      </c>
      <c r="QMW4388" s="379" t="s">
        <v>3783</v>
      </c>
      <c r="QMX4388" s="379" t="s">
        <v>3783</v>
      </c>
      <c r="QMY4388" s="379" t="s">
        <v>3783</v>
      </c>
      <c r="QMZ4388" s="379" t="s">
        <v>3783</v>
      </c>
      <c r="QNA4388" s="379" t="s">
        <v>3783</v>
      </c>
      <c r="QNB4388" s="379" t="s">
        <v>3783</v>
      </c>
      <c r="QNC4388" s="379" t="s">
        <v>3783</v>
      </c>
      <c r="QND4388" s="379" t="s">
        <v>3783</v>
      </c>
      <c r="QNE4388" s="379" t="s">
        <v>3783</v>
      </c>
      <c r="QNF4388" s="379" t="s">
        <v>3783</v>
      </c>
      <c r="QNG4388" s="379" t="s">
        <v>3783</v>
      </c>
      <c r="QNH4388" s="379" t="s">
        <v>3783</v>
      </c>
      <c r="QNI4388" s="379" t="s">
        <v>3783</v>
      </c>
      <c r="QNJ4388" s="379" t="s">
        <v>3783</v>
      </c>
      <c r="QNK4388" s="379" t="s">
        <v>3783</v>
      </c>
      <c r="QNL4388" s="379" t="s">
        <v>3783</v>
      </c>
      <c r="QNM4388" s="379" t="s">
        <v>3783</v>
      </c>
      <c r="QNN4388" s="379" t="s">
        <v>3783</v>
      </c>
      <c r="QNO4388" s="379" t="s">
        <v>3783</v>
      </c>
      <c r="QNP4388" s="379" t="s">
        <v>3783</v>
      </c>
      <c r="QNQ4388" s="379" t="s">
        <v>3783</v>
      </c>
      <c r="QNR4388" s="379" t="s">
        <v>3783</v>
      </c>
      <c r="QNS4388" s="379" t="s">
        <v>3783</v>
      </c>
      <c r="QNT4388" s="379" t="s">
        <v>3783</v>
      </c>
      <c r="QNU4388" s="379" t="s">
        <v>3783</v>
      </c>
      <c r="QNV4388" s="379" t="s">
        <v>3783</v>
      </c>
      <c r="QNW4388" s="379" t="s">
        <v>3783</v>
      </c>
      <c r="QNX4388" s="379" t="s">
        <v>3783</v>
      </c>
      <c r="QNY4388" s="379" t="s">
        <v>3783</v>
      </c>
      <c r="QNZ4388" s="379" t="s">
        <v>3783</v>
      </c>
      <c r="QOA4388" s="379" t="s">
        <v>3783</v>
      </c>
      <c r="QOB4388" s="379" t="s">
        <v>3783</v>
      </c>
      <c r="QOC4388" s="379" t="s">
        <v>3783</v>
      </c>
      <c r="QOD4388" s="379" t="s">
        <v>3783</v>
      </c>
      <c r="QOE4388" s="379" t="s">
        <v>3783</v>
      </c>
      <c r="QOF4388" s="379" t="s">
        <v>3783</v>
      </c>
      <c r="QOG4388" s="379" t="s">
        <v>3783</v>
      </c>
      <c r="QOH4388" s="379" t="s">
        <v>3783</v>
      </c>
      <c r="QOI4388" s="379" t="s">
        <v>3783</v>
      </c>
      <c r="QOJ4388" s="379" t="s">
        <v>3783</v>
      </c>
      <c r="QOK4388" s="379" t="s">
        <v>3783</v>
      </c>
      <c r="QOL4388" s="379" t="s">
        <v>3783</v>
      </c>
      <c r="QOM4388" s="379" t="s">
        <v>3783</v>
      </c>
      <c r="QON4388" s="379" t="s">
        <v>3783</v>
      </c>
      <c r="QOO4388" s="379" t="s">
        <v>3783</v>
      </c>
      <c r="QOP4388" s="379" t="s">
        <v>3783</v>
      </c>
      <c r="QOQ4388" s="379" t="s">
        <v>3783</v>
      </c>
      <c r="QOR4388" s="379" t="s">
        <v>3783</v>
      </c>
      <c r="QOS4388" s="379" t="s">
        <v>3783</v>
      </c>
      <c r="QOT4388" s="379" t="s">
        <v>3783</v>
      </c>
      <c r="QOU4388" s="379" t="s">
        <v>3783</v>
      </c>
      <c r="QOV4388" s="379" t="s">
        <v>3783</v>
      </c>
      <c r="QOW4388" s="379" t="s">
        <v>3783</v>
      </c>
      <c r="QOX4388" s="379" t="s">
        <v>3783</v>
      </c>
      <c r="QOY4388" s="379" t="s">
        <v>3783</v>
      </c>
      <c r="QOZ4388" s="379" t="s">
        <v>3783</v>
      </c>
      <c r="QPA4388" s="379" t="s">
        <v>3783</v>
      </c>
      <c r="QPB4388" s="379" t="s">
        <v>3783</v>
      </c>
      <c r="QPC4388" s="379" t="s">
        <v>3783</v>
      </c>
      <c r="QPD4388" s="379" t="s">
        <v>3783</v>
      </c>
      <c r="QPE4388" s="379" t="s">
        <v>3783</v>
      </c>
      <c r="QPF4388" s="379" t="s">
        <v>3783</v>
      </c>
      <c r="QPG4388" s="379" t="s">
        <v>3783</v>
      </c>
      <c r="QPH4388" s="379" t="s">
        <v>3783</v>
      </c>
      <c r="QPI4388" s="379" t="s">
        <v>3783</v>
      </c>
      <c r="QPJ4388" s="379" t="s">
        <v>3783</v>
      </c>
      <c r="QPK4388" s="379" t="s">
        <v>3783</v>
      </c>
      <c r="QPL4388" s="379" t="s">
        <v>3783</v>
      </c>
      <c r="QPM4388" s="379" t="s">
        <v>3783</v>
      </c>
      <c r="QPN4388" s="379" t="s">
        <v>3783</v>
      </c>
      <c r="QPO4388" s="379" t="s">
        <v>3783</v>
      </c>
      <c r="QPP4388" s="379" t="s">
        <v>3783</v>
      </c>
      <c r="QPQ4388" s="379" t="s">
        <v>3783</v>
      </c>
      <c r="QPR4388" s="379" t="s">
        <v>3783</v>
      </c>
      <c r="QPS4388" s="379" t="s">
        <v>3783</v>
      </c>
      <c r="QPT4388" s="379" t="s">
        <v>3783</v>
      </c>
      <c r="QPU4388" s="379" t="s">
        <v>3783</v>
      </c>
      <c r="QPV4388" s="379" t="s">
        <v>3783</v>
      </c>
      <c r="QPW4388" s="379" t="s">
        <v>3783</v>
      </c>
      <c r="QPX4388" s="379" t="s">
        <v>3783</v>
      </c>
      <c r="QPY4388" s="379" t="s">
        <v>3783</v>
      </c>
      <c r="QPZ4388" s="379" t="s">
        <v>3783</v>
      </c>
      <c r="QQA4388" s="379" t="s">
        <v>3783</v>
      </c>
      <c r="QQB4388" s="379" t="s">
        <v>3783</v>
      </c>
      <c r="QQC4388" s="379" t="s">
        <v>3783</v>
      </c>
      <c r="QQD4388" s="379" t="s">
        <v>3783</v>
      </c>
      <c r="QQE4388" s="379" t="s">
        <v>3783</v>
      </c>
      <c r="QQF4388" s="379" t="s">
        <v>3783</v>
      </c>
      <c r="QQG4388" s="379" t="s">
        <v>3783</v>
      </c>
      <c r="QQH4388" s="379" t="s">
        <v>3783</v>
      </c>
      <c r="QQI4388" s="379" t="s">
        <v>3783</v>
      </c>
      <c r="QQJ4388" s="379" t="s">
        <v>3783</v>
      </c>
      <c r="QQK4388" s="379" t="s">
        <v>3783</v>
      </c>
      <c r="QQL4388" s="379" t="s">
        <v>3783</v>
      </c>
      <c r="QQM4388" s="379" t="s">
        <v>3783</v>
      </c>
      <c r="QQN4388" s="379" t="s">
        <v>3783</v>
      </c>
      <c r="QQO4388" s="379" t="s">
        <v>3783</v>
      </c>
      <c r="QQP4388" s="379" t="s">
        <v>3783</v>
      </c>
      <c r="QQQ4388" s="379" t="s">
        <v>3783</v>
      </c>
      <c r="QQR4388" s="379" t="s">
        <v>3783</v>
      </c>
      <c r="QQS4388" s="379" t="s">
        <v>3783</v>
      </c>
      <c r="QQT4388" s="379" t="s">
        <v>3783</v>
      </c>
      <c r="QQU4388" s="379" t="s">
        <v>3783</v>
      </c>
      <c r="QQV4388" s="379" t="s">
        <v>3783</v>
      </c>
      <c r="QQW4388" s="379" t="s">
        <v>3783</v>
      </c>
      <c r="QQX4388" s="379" t="s">
        <v>3783</v>
      </c>
      <c r="QQY4388" s="379" t="s">
        <v>3783</v>
      </c>
      <c r="QQZ4388" s="379" t="s">
        <v>3783</v>
      </c>
      <c r="QRA4388" s="379" t="s">
        <v>3783</v>
      </c>
      <c r="QRB4388" s="379" t="s">
        <v>3783</v>
      </c>
      <c r="QRC4388" s="379" t="s">
        <v>3783</v>
      </c>
      <c r="QRD4388" s="379" t="s">
        <v>3783</v>
      </c>
      <c r="QRE4388" s="379" t="s">
        <v>3783</v>
      </c>
      <c r="QRF4388" s="379" t="s">
        <v>3783</v>
      </c>
      <c r="QRG4388" s="379" t="s">
        <v>3783</v>
      </c>
      <c r="QRH4388" s="379" t="s">
        <v>3783</v>
      </c>
      <c r="QRI4388" s="379" t="s">
        <v>3783</v>
      </c>
      <c r="QRJ4388" s="379" t="s">
        <v>3783</v>
      </c>
      <c r="QRK4388" s="379" t="s">
        <v>3783</v>
      </c>
      <c r="QRL4388" s="379" t="s">
        <v>3783</v>
      </c>
      <c r="QRM4388" s="379" t="s">
        <v>3783</v>
      </c>
      <c r="QRN4388" s="379" t="s">
        <v>3783</v>
      </c>
      <c r="QRO4388" s="379" t="s">
        <v>3783</v>
      </c>
      <c r="QRP4388" s="379" t="s">
        <v>3783</v>
      </c>
      <c r="QRQ4388" s="379" t="s">
        <v>3783</v>
      </c>
      <c r="QRR4388" s="379" t="s">
        <v>3783</v>
      </c>
      <c r="QRS4388" s="379" t="s">
        <v>3783</v>
      </c>
      <c r="QRT4388" s="379" t="s">
        <v>3783</v>
      </c>
      <c r="QRU4388" s="379" t="s">
        <v>3783</v>
      </c>
      <c r="QRV4388" s="379" t="s">
        <v>3783</v>
      </c>
      <c r="QRW4388" s="379" t="s">
        <v>3783</v>
      </c>
      <c r="QRX4388" s="379" t="s">
        <v>3783</v>
      </c>
      <c r="QRY4388" s="379" t="s">
        <v>3783</v>
      </c>
      <c r="QRZ4388" s="379" t="s">
        <v>3783</v>
      </c>
      <c r="QSA4388" s="379" t="s">
        <v>3783</v>
      </c>
      <c r="QSB4388" s="379" t="s">
        <v>3783</v>
      </c>
      <c r="QSC4388" s="379" t="s">
        <v>3783</v>
      </c>
      <c r="QSD4388" s="379" t="s">
        <v>3783</v>
      </c>
      <c r="QSE4388" s="379" t="s">
        <v>3783</v>
      </c>
      <c r="QSF4388" s="379" t="s">
        <v>3783</v>
      </c>
      <c r="QSG4388" s="379" t="s">
        <v>3783</v>
      </c>
      <c r="QSH4388" s="379" t="s">
        <v>3783</v>
      </c>
      <c r="QSI4388" s="379" t="s">
        <v>3783</v>
      </c>
      <c r="QSJ4388" s="379" t="s">
        <v>3783</v>
      </c>
      <c r="QSK4388" s="379" t="s">
        <v>3783</v>
      </c>
      <c r="QSL4388" s="379" t="s">
        <v>3783</v>
      </c>
      <c r="QSM4388" s="379" t="s">
        <v>3783</v>
      </c>
      <c r="QSN4388" s="379" t="s">
        <v>3783</v>
      </c>
      <c r="QSO4388" s="379" t="s">
        <v>3783</v>
      </c>
      <c r="QSP4388" s="379" t="s">
        <v>3783</v>
      </c>
      <c r="QSQ4388" s="379" t="s">
        <v>3783</v>
      </c>
      <c r="QSR4388" s="379" t="s">
        <v>3783</v>
      </c>
      <c r="QSS4388" s="379" t="s">
        <v>3783</v>
      </c>
      <c r="QST4388" s="379" t="s">
        <v>3783</v>
      </c>
      <c r="QSU4388" s="379" t="s">
        <v>3783</v>
      </c>
      <c r="QSV4388" s="379" t="s">
        <v>3783</v>
      </c>
      <c r="QSW4388" s="379" t="s">
        <v>3783</v>
      </c>
      <c r="QSX4388" s="379" t="s">
        <v>3783</v>
      </c>
      <c r="QSY4388" s="379" t="s">
        <v>3783</v>
      </c>
      <c r="QSZ4388" s="379" t="s">
        <v>3783</v>
      </c>
      <c r="QTA4388" s="379" t="s">
        <v>3783</v>
      </c>
      <c r="QTB4388" s="379" t="s">
        <v>3783</v>
      </c>
      <c r="QTC4388" s="379" t="s">
        <v>3783</v>
      </c>
      <c r="QTD4388" s="379" t="s">
        <v>3783</v>
      </c>
      <c r="QTE4388" s="379" t="s">
        <v>3783</v>
      </c>
      <c r="QTF4388" s="379" t="s">
        <v>3783</v>
      </c>
      <c r="QTG4388" s="379" t="s">
        <v>3783</v>
      </c>
      <c r="QTH4388" s="379" t="s">
        <v>3783</v>
      </c>
      <c r="QTI4388" s="379" t="s">
        <v>3783</v>
      </c>
      <c r="QTJ4388" s="379" t="s">
        <v>3783</v>
      </c>
      <c r="QTK4388" s="379" t="s">
        <v>3783</v>
      </c>
      <c r="QTL4388" s="379" t="s">
        <v>3783</v>
      </c>
      <c r="QTM4388" s="379" t="s">
        <v>3783</v>
      </c>
      <c r="QTN4388" s="379" t="s">
        <v>3783</v>
      </c>
      <c r="QTO4388" s="379" t="s">
        <v>3783</v>
      </c>
      <c r="QTP4388" s="379" t="s">
        <v>3783</v>
      </c>
      <c r="QTQ4388" s="379" t="s">
        <v>3783</v>
      </c>
      <c r="QTR4388" s="379" t="s">
        <v>3783</v>
      </c>
      <c r="QTS4388" s="379" t="s">
        <v>3783</v>
      </c>
      <c r="QTT4388" s="379" t="s">
        <v>3783</v>
      </c>
      <c r="QTU4388" s="379" t="s">
        <v>3783</v>
      </c>
      <c r="QTV4388" s="379" t="s">
        <v>3783</v>
      </c>
      <c r="QTW4388" s="379" t="s">
        <v>3783</v>
      </c>
      <c r="QTX4388" s="379" t="s">
        <v>3783</v>
      </c>
      <c r="QTY4388" s="379" t="s">
        <v>3783</v>
      </c>
      <c r="QTZ4388" s="379" t="s">
        <v>3783</v>
      </c>
      <c r="QUA4388" s="379" t="s">
        <v>3783</v>
      </c>
      <c r="QUB4388" s="379" t="s">
        <v>3783</v>
      </c>
      <c r="QUC4388" s="379" t="s">
        <v>3783</v>
      </c>
      <c r="QUD4388" s="379" t="s">
        <v>3783</v>
      </c>
      <c r="QUE4388" s="379" t="s">
        <v>3783</v>
      </c>
      <c r="QUF4388" s="379" t="s">
        <v>3783</v>
      </c>
      <c r="QUG4388" s="379" t="s">
        <v>3783</v>
      </c>
      <c r="QUH4388" s="379" t="s">
        <v>3783</v>
      </c>
      <c r="QUI4388" s="379" t="s">
        <v>3783</v>
      </c>
      <c r="QUJ4388" s="379" t="s">
        <v>3783</v>
      </c>
      <c r="QUK4388" s="379" t="s">
        <v>3783</v>
      </c>
      <c r="QUL4388" s="379" t="s">
        <v>3783</v>
      </c>
      <c r="QUM4388" s="379" t="s">
        <v>3783</v>
      </c>
      <c r="QUN4388" s="379" t="s">
        <v>3783</v>
      </c>
      <c r="QUO4388" s="379" t="s">
        <v>3783</v>
      </c>
      <c r="QUP4388" s="379" t="s">
        <v>3783</v>
      </c>
      <c r="QUQ4388" s="379" t="s">
        <v>3783</v>
      </c>
      <c r="QUR4388" s="379" t="s">
        <v>3783</v>
      </c>
      <c r="QUS4388" s="379" t="s">
        <v>3783</v>
      </c>
      <c r="QUT4388" s="379" t="s">
        <v>3783</v>
      </c>
      <c r="QUU4388" s="379" t="s">
        <v>3783</v>
      </c>
      <c r="QUV4388" s="379" t="s">
        <v>3783</v>
      </c>
      <c r="QUW4388" s="379" t="s">
        <v>3783</v>
      </c>
      <c r="QUX4388" s="379" t="s">
        <v>3783</v>
      </c>
      <c r="QUY4388" s="379" t="s">
        <v>3783</v>
      </c>
      <c r="QUZ4388" s="379" t="s">
        <v>3783</v>
      </c>
      <c r="QVA4388" s="379" t="s">
        <v>3783</v>
      </c>
      <c r="QVB4388" s="379" t="s">
        <v>3783</v>
      </c>
      <c r="QVC4388" s="379" t="s">
        <v>3783</v>
      </c>
      <c r="QVD4388" s="379" t="s">
        <v>3783</v>
      </c>
      <c r="QVE4388" s="379" t="s">
        <v>3783</v>
      </c>
      <c r="QVF4388" s="379" t="s">
        <v>3783</v>
      </c>
      <c r="QVG4388" s="379" t="s">
        <v>3783</v>
      </c>
      <c r="QVH4388" s="379" t="s">
        <v>3783</v>
      </c>
      <c r="QVI4388" s="379" t="s">
        <v>3783</v>
      </c>
      <c r="QVJ4388" s="379" t="s">
        <v>3783</v>
      </c>
      <c r="QVK4388" s="379" t="s">
        <v>3783</v>
      </c>
      <c r="QVL4388" s="379" t="s">
        <v>3783</v>
      </c>
      <c r="QVM4388" s="379" t="s">
        <v>3783</v>
      </c>
      <c r="QVN4388" s="379" t="s">
        <v>3783</v>
      </c>
      <c r="QVO4388" s="379" t="s">
        <v>3783</v>
      </c>
      <c r="QVP4388" s="379" t="s">
        <v>3783</v>
      </c>
      <c r="QVQ4388" s="379" t="s">
        <v>3783</v>
      </c>
      <c r="QVR4388" s="379" t="s">
        <v>3783</v>
      </c>
      <c r="QVS4388" s="379" t="s">
        <v>3783</v>
      </c>
      <c r="QVT4388" s="379" t="s">
        <v>3783</v>
      </c>
      <c r="QVU4388" s="379" t="s">
        <v>3783</v>
      </c>
      <c r="QVV4388" s="379" t="s">
        <v>3783</v>
      </c>
      <c r="QVW4388" s="379" t="s">
        <v>3783</v>
      </c>
      <c r="QVX4388" s="379" t="s">
        <v>3783</v>
      </c>
      <c r="QVY4388" s="379" t="s">
        <v>3783</v>
      </c>
      <c r="QVZ4388" s="379" t="s">
        <v>3783</v>
      </c>
      <c r="QWA4388" s="379" t="s">
        <v>3783</v>
      </c>
      <c r="QWB4388" s="379" t="s">
        <v>3783</v>
      </c>
      <c r="QWC4388" s="379" t="s">
        <v>3783</v>
      </c>
      <c r="QWD4388" s="379" t="s">
        <v>3783</v>
      </c>
      <c r="QWE4388" s="379" t="s">
        <v>3783</v>
      </c>
      <c r="QWF4388" s="379" t="s">
        <v>3783</v>
      </c>
      <c r="QWG4388" s="379" t="s">
        <v>3783</v>
      </c>
      <c r="QWH4388" s="379" t="s">
        <v>3783</v>
      </c>
      <c r="QWI4388" s="379" t="s">
        <v>3783</v>
      </c>
      <c r="QWJ4388" s="379" t="s">
        <v>3783</v>
      </c>
      <c r="QWK4388" s="379" t="s">
        <v>3783</v>
      </c>
      <c r="QWL4388" s="379" t="s">
        <v>3783</v>
      </c>
      <c r="QWM4388" s="379" t="s">
        <v>3783</v>
      </c>
      <c r="QWN4388" s="379" t="s">
        <v>3783</v>
      </c>
      <c r="QWO4388" s="379" t="s">
        <v>3783</v>
      </c>
      <c r="QWP4388" s="379" t="s">
        <v>3783</v>
      </c>
      <c r="QWQ4388" s="379" t="s">
        <v>3783</v>
      </c>
      <c r="QWR4388" s="379" t="s">
        <v>3783</v>
      </c>
      <c r="QWS4388" s="379" t="s">
        <v>3783</v>
      </c>
      <c r="QWT4388" s="379" t="s">
        <v>3783</v>
      </c>
      <c r="QWU4388" s="379" t="s">
        <v>3783</v>
      </c>
      <c r="QWV4388" s="379" t="s">
        <v>3783</v>
      </c>
      <c r="QWW4388" s="379" t="s">
        <v>3783</v>
      </c>
      <c r="QWX4388" s="379" t="s">
        <v>3783</v>
      </c>
      <c r="QWY4388" s="379" t="s">
        <v>3783</v>
      </c>
      <c r="QWZ4388" s="379" t="s">
        <v>3783</v>
      </c>
      <c r="QXA4388" s="379" t="s">
        <v>3783</v>
      </c>
      <c r="QXB4388" s="379" t="s">
        <v>3783</v>
      </c>
      <c r="QXC4388" s="379" t="s">
        <v>3783</v>
      </c>
      <c r="QXD4388" s="379" t="s">
        <v>3783</v>
      </c>
      <c r="QXE4388" s="379" t="s">
        <v>3783</v>
      </c>
      <c r="QXF4388" s="379" t="s">
        <v>3783</v>
      </c>
      <c r="QXG4388" s="379" t="s">
        <v>3783</v>
      </c>
      <c r="QXH4388" s="379" t="s">
        <v>3783</v>
      </c>
      <c r="QXI4388" s="379" t="s">
        <v>3783</v>
      </c>
      <c r="QXJ4388" s="379" t="s">
        <v>3783</v>
      </c>
      <c r="QXK4388" s="379" t="s">
        <v>3783</v>
      </c>
      <c r="QXL4388" s="379" t="s">
        <v>3783</v>
      </c>
      <c r="QXM4388" s="379" t="s">
        <v>3783</v>
      </c>
      <c r="QXN4388" s="379" t="s">
        <v>3783</v>
      </c>
      <c r="QXO4388" s="379" t="s">
        <v>3783</v>
      </c>
      <c r="QXP4388" s="379" t="s">
        <v>3783</v>
      </c>
      <c r="QXQ4388" s="379" t="s">
        <v>3783</v>
      </c>
      <c r="QXR4388" s="379" t="s">
        <v>3783</v>
      </c>
      <c r="QXS4388" s="379" t="s">
        <v>3783</v>
      </c>
      <c r="QXT4388" s="379" t="s">
        <v>3783</v>
      </c>
      <c r="QXU4388" s="379" t="s">
        <v>3783</v>
      </c>
      <c r="QXV4388" s="379" t="s">
        <v>3783</v>
      </c>
      <c r="QXW4388" s="379" t="s">
        <v>3783</v>
      </c>
      <c r="QXX4388" s="379" t="s">
        <v>3783</v>
      </c>
      <c r="QXY4388" s="379" t="s">
        <v>3783</v>
      </c>
      <c r="QXZ4388" s="379" t="s">
        <v>3783</v>
      </c>
      <c r="QYA4388" s="379" t="s">
        <v>3783</v>
      </c>
      <c r="QYB4388" s="379" t="s">
        <v>3783</v>
      </c>
      <c r="QYC4388" s="379" t="s">
        <v>3783</v>
      </c>
      <c r="QYD4388" s="379" t="s">
        <v>3783</v>
      </c>
      <c r="QYE4388" s="379" t="s">
        <v>3783</v>
      </c>
      <c r="QYF4388" s="379" t="s">
        <v>3783</v>
      </c>
      <c r="QYG4388" s="379" t="s">
        <v>3783</v>
      </c>
      <c r="QYH4388" s="379" t="s">
        <v>3783</v>
      </c>
      <c r="QYI4388" s="379" t="s">
        <v>3783</v>
      </c>
      <c r="QYJ4388" s="379" t="s">
        <v>3783</v>
      </c>
      <c r="QYK4388" s="379" t="s">
        <v>3783</v>
      </c>
      <c r="QYL4388" s="379" t="s">
        <v>3783</v>
      </c>
      <c r="QYM4388" s="379" t="s">
        <v>3783</v>
      </c>
      <c r="QYN4388" s="379" t="s">
        <v>3783</v>
      </c>
      <c r="QYO4388" s="379" t="s">
        <v>3783</v>
      </c>
      <c r="QYP4388" s="379" t="s">
        <v>3783</v>
      </c>
      <c r="QYQ4388" s="379" t="s">
        <v>3783</v>
      </c>
      <c r="QYR4388" s="379" t="s">
        <v>3783</v>
      </c>
      <c r="QYS4388" s="379" t="s">
        <v>3783</v>
      </c>
      <c r="QYT4388" s="379" t="s">
        <v>3783</v>
      </c>
      <c r="QYU4388" s="379" t="s">
        <v>3783</v>
      </c>
      <c r="QYV4388" s="379" t="s">
        <v>3783</v>
      </c>
      <c r="QYW4388" s="379" t="s">
        <v>3783</v>
      </c>
      <c r="QYX4388" s="379" t="s">
        <v>3783</v>
      </c>
      <c r="QYY4388" s="379" t="s">
        <v>3783</v>
      </c>
      <c r="QYZ4388" s="379" t="s">
        <v>3783</v>
      </c>
      <c r="QZA4388" s="379" t="s">
        <v>3783</v>
      </c>
      <c r="QZB4388" s="379" t="s">
        <v>3783</v>
      </c>
      <c r="QZC4388" s="379" t="s">
        <v>3783</v>
      </c>
      <c r="QZD4388" s="379" t="s">
        <v>3783</v>
      </c>
      <c r="QZE4388" s="379" t="s">
        <v>3783</v>
      </c>
      <c r="QZF4388" s="379" t="s">
        <v>3783</v>
      </c>
      <c r="QZG4388" s="379" t="s">
        <v>3783</v>
      </c>
      <c r="QZH4388" s="379" t="s">
        <v>3783</v>
      </c>
      <c r="QZI4388" s="379" t="s">
        <v>3783</v>
      </c>
      <c r="QZJ4388" s="379" t="s">
        <v>3783</v>
      </c>
      <c r="QZK4388" s="379" t="s">
        <v>3783</v>
      </c>
      <c r="QZL4388" s="379" t="s">
        <v>3783</v>
      </c>
      <c r="QZM4388" s="379" t="s">
        <v>3783</v>
      </c>
      <c r="QZN4388" s="379" t="s">
        <v>3783</v>
      </c>
      <c r="QZO4388" s="379" t="s">
        <v>3783</v>
      </c>
      <c r="QZP4388" s="379" t="s">
        <v>3783</v>
      </c>
      <c r="QZQ4388" s="379" t="s">
        <v>3783</v>
      </c>
      <c r="QZR4388" s="379" t="s">
        <v>3783</v>
      </c>
      <c r="QZS4388" s="379" t="s">
        <v>3783</v>
      </c>
      <c r="QZT4388" s="379" t="s">
        <v>3783</v>
      </c>
      <c r="QZU4388" s="379" t="s">
        <v>3783</v>
      </c>
      <c r="QZV4388" s="379" t="s">
        <v>3783</v>
      </c>
      <c r="QZW4388" s="379" t="s">
        <v>3783</v>
      </c>
      <c r="QZX4388" s="379" t="s">
        <v>3783</v>
      </c>
      <c r="QZY4388" s="379" t="s">
        <v>3783</v>
      </c>
      <c r="QZZ4388" s="379" t="s">
        <v>3783</v>
      </c>
      <c r="RAA4388" s="379" t="s">
        <v>3783</v>
      </c>
      <c r="RAB4388" s="379" t="s">
        <v>3783</v>
      </c>
      <c r="RAC4388" s="379" t="s">
        <v>3783</v>
      </c>
      <c r="RAD4388" s="379" t="s">
        <v>3783</v>
      </c>
      <c r="RAE4388" s="379" t="s">
        <v>3783</v>
      </c>
      <c r="RAF4388" s="379" t="s">
        <v>3783</v>
      </c>
      <c r="RAG4388" s="379" t="s">
        <v>3783</v>
      </c>
      <c r="RAH4388" s="379" t="s">
        <v>3783</v>
      </c>
      <c r="RAI4388" s="379" t="s">
        <v>3783</v>
      </c>
      <c r="RAJ4388" s="379" t="s">
        <v>3783</v>
      </c>
      <c r="RAK4388" s="379" t="s">
        <v>3783</v>
      </c>
      <c r="RAL4388" s="379" t="s">
        <v>3783</v>
      </c>
      <c r="RAM4388" s="379" t="s">
        <v>3783</v>
      </c>
      <c r="RAN4388" s="379" t="s">
        <v>3783</v>
      </c>
      <c r="RAO4388" s="379" t="s">
        <v>3783</v>
      </c>
      <c r="RAP4388" s="379" t="s">
        <v>3783</v>
      </c>
      <c r="RAQ4388" s="379" t="s">
        <v>3783</v>
      </c>
      <c r="RAR4388" s="379" t="s">
        <v>3783</v>
      </c>
      <c r="RAS4388" s="379" t="s">
        <v>3783</v>
      </c>
      <c r="RAT4388" s="379" t="s">
        <v>3783</v>
      </c>
      <c r="RAU4388" s="379" t="s">
        <v>3783</v>
      </c>
      <c r="RAV4388" s="379" t="s">
        <v>3783</v>
      </c>
      <c r="RAW4388" s="379" t="s">
        <v>3783</v>
      </c>
      <c r="RAX4388" s="379" t="s">
        <v>3783</v>
      </c>
      <c r="RAY4388" s="379" t="s">
        <v>3783</v>
      </c>
      <c r="RAZ4388" s="379" t="s">
        <v>3783</v>
      </c>
      <c r="RBA4388" s="379" t="s">
        <v>3783</v>
      </c>
      <c r="RBB4388" s="379" t="s">
        <v>3783</v>
      </c>
      <c r="RBC4388" s="379" t="s">
        <v>3783</v>
      </c>
      <c r="RBD4388" s="379" t="s">
        <v>3783</v>
      </c>
      <c r="RBE4388" s="379" t="s">
        <v>3783</v>
      </c>
      <c r="RBF4388" s="379" t="s">
        <v>3783</v>
      </c>
      <c r="RBG4388" s="379" t="s">
        <v>3783</v>
      </c>
      <c r="RBH4388" s="379" t="s">
        <v>3783</v>
      </c>
      <c r="RBI4388" s="379" t="s">
        <v>3783</v>
      </c>
      <c r="RBJ4388" s="379" t="s">
        <v>3783</v>
      </c>
      <c r="RBK4388" s="379" t="s">
        <v>3783</v>
      </c>
      <c r="RBL4388" s="379" t="s">
        <v>3783</v>
      </c>
      <c r="RBM4388" s="379" t="s">
        <v>3783</v>
      </c>
      <c r="RBN4388" s="379" t="s">
        <v>3783</v>
      </c>
      <c r="RBO4388" s="379" t="s">
        <v>3783</v>
      </c>
      <c r="RBP4388" s="379" t="s">
        <v>3783</v>
      </c>
      <c r="RBQ4388" s="379" t="s">
        <v>3783</v>
      </c>
      <c r="RBR4388" s="379" t="s">
        <v>3783</v>
      </c>
      <c r="RBS4388" s="379" t="s">
        <v>3783</v>
      </c>
      <c r="RBT4388" s="379" t="s">
        <v>3783</v>
      </c>
      <c r="RBU4388" s="379" t="s">
        <v>3783</v>
      </c>
      <c r="RBV4388" s="379" t="s">
        <v>3783</v>
      </c>
      <c r="RBW4388" s="379" t="s">
        <v>3783</v>
      </c>
      <c r="RBX4388" s="379" t="s">
        <v>3783</v>
      </c>
      <c r="RBY4388" s="379" t="s">
        <v>3783</v>
      </c>
      <c r="RBZ4388" s="379" t="s">
        <v>3783</v>
      </c>
      <c r="RCA4388" s="379" t="s">
        <v>3783</v>
      </c>
      <c r="RCB4388" s="379" t="s">
        <v>3783</v>
      </c>
      <c r="RCC4388" s="379" t="s">
        <v>3783</v>
      </c>
      <c r="RCD4388" s="379" t="s">
        <v>3783</v>
      </c>
      <c r="RCE4388" s="379" t="s">
        <v>3783</v>
      </c>
      <c r="RCF4388" s="379" t="s">
        <v>3783</v>
      </c>
      <c r="RCG4388" s="379" t="s">
        <v>3783</v>
      </c>
      <c r="RCH4388" s="379" t="s">
        <v>3783</v>
      </c>
      <c r="RCI4388" s="379" t="s">
        <v>3783</v>
      </c>
      <c r="RCJ4388" s="379" t="s">
        <v>3783</v>
      </c>
      <c r="RCK4388" s="379" t="s">
        <v>3783</v>
      </c>
      <c r="RCL4388" s="379" t="s">
        <v>3783</v>
      </c>
      <c r="RCM4388" s="379" t="s">
        <v>3783</v>
      </c>
      <c r="RCN4388" s="379" t="s">
        <v>3783</v>
      </c>
      <c r="RCO4388" s="379" t="s">
        <v>3783</v>
      </c>
      <c r="RCP4388" s="379" t="s">
        <v>3783</v>
      </c>
      <c r="RCQ4388" s="379" t="s">
        <v>3783</v>
      </c>
      <c r="RCR4388" s="379" t="s">
        <v>3783</v>
      </c>
      <c r="RCS4388" s="379" t="s">
        <v>3783</v>
      </c>
      <c r="RCT4388" s="379" t="s">
        <v>3783</v>
      </c>
      <c r="RCU4388" s="379" t="s">
        <v>3783</v>
      </c>
      <c r="RCV4388" s="379" t="s">
        <v>3783</v>
      </c>
      <c r="RCW4388" s="379" t="s">
        <v>3783</v>
      </c>
      <c r="RCX4388" s="379" t="s">
        <v>3783</v>
      </c>
      <c r="RCY4388" s="379" t="s">
        <v>3783</v>
      </c>
      <c r="RCZ4388" s="379" t="s">
        <v>3783</v>
      </c>
      <c r="RDA4388" s="379" t="s">
        <v>3783</v>
      </c>
      <c r="RDB4388" s="379" t="s">
        <v>3783</v>
      </c>
      <c r="RDC4388" s="379" t="s">
        <v>3783</v>
      </c>
      <c r="RDD4388" s="379" t="s">
        <v>3783</v>
      </c>
      <c r="RDE4388" s="379" t="s">
        <v>3783</v>
      </c>
      <c r="RDF4388" s="379" t="s">
        <v>3783</v>
      </c>
      <c r="RDG4388" s="379" t="s">
        <v>3783</v>
      </c>
      <c r="RDH4388" s="379" t="s">
        <v>3783</v>
      </c>
      <c r="RDI4388" s="379" t="s">
        <v>3783</v>
      </c>
      <c r="RDJ4388" s="379" t="s">
        <v>3783</v>
      </c>
      <c r="RDK4388" s="379" t="s">
        <v>3783</v>
      </c>
      <c r="RDL4388" s="379" t="s">
        <v>3783</v>
      </c>
      <c r="RDM4388" s="379" t="s">
        <v>3783</v>
      </c>
      <c r="RDN4388" s="379" t="s">
        <v>3783</v>
      </c>
      <c r="RDO4388" s="379" t="s">
        <v>3783</v>
      </c>
      <c r="RDP4388" s="379" t="s">
        <v>3783</v>
      </c>
      <c r="RDQ4388" s="379" t="s">
        <v>3783</v>
      </c>
      <c r="RDR4388" s="379" t="s">
        <v>3783</v>
      </c>
      <c r="RDS4388" s="379" t="s">
        <v>3783</v>
      </c>
      <c r="RDT4388" s="379" t="s">
        <v>3783</v>
      </c>
      <c r="RDU4388" s="379" t="s">
        <v>3783</v>
      </c>
      <c r="RDV4388" s="379" t="s">
        <v>3783</v>
      </c>
      <c r="RDW4388" s="379" t="s">
        <v>3783</v>
      </c>
      <c r="RDX4388" s="379" t="s">
        <v>3783</v>
      </c>
      <c r="RDY4388" s="379" t="s">
        <v>3783</v>
      </c>
      <c r="RDZ4388" s="379" t="s">
        <v>3783</v>
      </c>
      <c r="REA4388" s="379" t="s">
        <v>3783</v>
      </c>
      <c r="REB4388" s="379" t="s">
        <v>3783</v>
      </c>
      <c r="REC4388" s="379" t="s">
        <v>3783</v>
      </c>
      <c r="RED4388" s="379" t="s">
        <v>3783</v>
      </c>
      <c r="REE4388" s="379" t="s">
        <v>3783</v>
      </c>
      <c r="REF4388" s="379" t="s">
        <v>3783</v>
      </c>
      <c r="REG4388" s="379" t="s">
        <v>3783</v>
      </c>
      <c r="REH4388" s="379" t="s">
        <v>3783</v>
      </c>
      <c r="REI4388" s="379" t="s">
        <v>3783</v>
      </c>
      <c r="REJ4388" s="379" t="s">
        <v>3783</v>
      </c>
      <c r="REK4388" s="379" t="s">
        <v>3783</v>
      </c>
      <c r="REL4388" s="379" t="s">
        <v>3783</v>
      </c>
      <c r="REM4388" s="379" t="s">
        <v>3783</v>
      </c>
      <c r="REN4388" s="379" t="s">
        <v>3783</v>
      </c>
      <c r="REO4388" s="379" t="s">
        <v>3783</v>
      </c>
      <c r="REP4388" s="379" t="s">
        <v>3783</v>
      </c>
      <c r="REQ4388" s="379" t="s">
        <v>3783</v>
      </c>
      <c r="RER4388" s="379" t="s">
        <v>3783</v>
      </c>
      <c r="RES4388" s="379" t="s">
        <v>3783</v>
      </c>
      <c r="RET4388" s="379" t="s">
        <v>3783</v>
      </c>
      <c r="REU4388" s="379" t="s">
        <v>3783</v>
      </c>
      <c r="REV4388" s="379" t="s">
        <v>3783</v>
      </c>
      <c r="REW4388" s="379" t="s">
        <v>3783</v>
      </c>
      <c r="REX4388" s="379" t="s">
        <v>3783</v>
      </c>
      <c r="REY4388" s="379" t="s">
        <v>3783</v>
      </c>
      <c r="REZ4388" s="379" t="s">
        <v>3783</v>
      </c>
      <c r="RFA4388" s="379" t="s">
        <v>3783</v>
      </c>
      <c r="RFB4388" s="379" t="s">
        <v>3783</v>
      </c>
      <c r="RFC4388" s="379" t="s">
        <v>3783</v>
      </c>
      <c r="RFD4388" s="379" t="s">
        <v>3783</v>
      </c>
      <c r="RFE4388" s="379" t="s">
        <v>3783</v>
      </c>
      <c r="RFF4388" s="379" t="s">
        <v>3783</v>
      </c>
      <c r="RFG4388" s="379" t="s">
        <v>3783</v>
      </c>
      <c r="RFH4388" s="379" t="s">
        <v>3783</v>
      </c>
      <c r="RFI4388" s="379" t="s">
        <v>3783</v>
      </c>
      <c r="RFJ4388" s="379" t="s">
        <v>3783</v>
      </c>
      <c r="RFK4388" s="379" t="s">
        <v>3783</v>
      </c>
      <c r="RFL4388" s="379" t="s">
        <v>3783</v>
      </c>
      <c r="RFM4388" s="379" t="s">
        <v>3783</v>
      </c>
      <c r="RFN4388" s="379" t="s">
        <v>3783</v>
      </c>
      <c r="RFO4388" s="379" t="s">
        <v>3783</v>
      </c>
      <c r="RFP4388" s="379" t="s">
        <v>3783</v>
      </c>
      <c r="RFQ4388" s="379" t="s">
        <v>3783</v>
      </c>
      <c r="RFR4388" s="379" t="s">
        <v>3783</v>
      </c>
      <c r="RFS4388" s="379" t="s">
        <v>3783</v>
      </c>
      <c r="RFT4388" s="379" t="s">
        <v>3783</v>
      </c>
      <c r="RFU4388" s="379" t="s">
        <v>3783</v>
      </c>
      <c r="RFV4388" s="379" t="s">
        <v>3783</v>
      </c>
      <c r="RFW4388" s="379" t="s">
        <v>3783</v>
      </c>
      <c r="RFX4388" s="379" t="s">
        <v>3783</v>
      </c>
      <c r="RFY4388" s="379" t="s">
        <v>3783</v>
      </c>
      <c r="RFZ4388" s="379" t="s">
        <v>3783</v>
      </c>
      <c r="RGA4388" s="379" t="s">
        <v>3783</v>
      </c>
      <c r="RGB4388" s="379" t="s">
        <v>3783</v>
      </c>
      <c r="RGC4388" s="379" t="s">
        <v>3783</v>
      </c>
      <c r="RGD4388" s="379" t="s">
        <v>3783</v>
      </c>
      <c r="RGE4388" s="379" t="s">
        <v>3783</v>
      </c>
      <c r="RGF4388" s="379" t="s">
        <v>3783</v>
      </c>
      <c r="RGG4388" s="379" t="s">
        <v>3783</v>
      </c>
      <c r="RGH4388" s="379" t="s">
        <v>3783</v>
      </c>
      <c r="RGI4388" s="379" t="s">
        <v>3783</v>
      </c>
      <c r="RGJ4388" s="379" t="s">
        <v>3783</v>
      </c>
      <c r="RGK4388" s="379" t="s">
        <v>3783</v>
      </c>
      <c r="RGL4388" s="379" t="s">
        <v>3783</v>
      </c>
      <c r="RGM4388" s="379" t="s">
        <v>3783</v>
      </c>
      <c r="RGN4388" s="379" t="s">
        <v>3783</v>
      </c>
      <c r="RGO4388" s="379" t="s">
        <v>3783</v>
      </c>
      <c r="RGP4388" s="379" t="s">
        <v>3783</v>
      </c>
      <c r="RGQ4388" s="379" t="s">
        <v>3783</v>
      </c>
      <c r="RGR4388" s="379" t="s">
        <v>3783</v>
      </c>
      <c r="RGS4388" s="379" t="s">
        <v>3783</v>
      </c>
      <c r="RGT4388" s="379" t="s">
        <v>3783</v>
      </c>
      <c r="RGU4388" s="379" t="s">
        <v>3783</v>
      </c>
      <c r="RGV4388" s="379" t="s">
        <v>3783</v>
      </c>
      <c r="RGW4388" s="379" t="s">
        <v>3783</v>
      </c>
      <c r="RGX4388" s="379" t="s">
        <v>3783</v>
      </c>
      <c r="RGY4388" s="379" t="s">
        <v>3783</v>
      </c>
      <c r="RGZ4388" s="379" t="s">
        <v>3783</v>
      </c>
      <c r="RHA4388" s="379" t="s">
        <v>3783</v>
      </c>
      <c r="RHB4388" s="379" t="s">
        <v>3783</v>
      </c>
      <c r="RHC4388" s="379" t="s">
        <v>3783</v>
      </c>
      <c r="RHD4388" s="379" t="s">
        <v>3783</v>
      </c>
      <c r="RHE4388" s="379" t="s">
        <v>3783</v>
      </c>
      <c r="RHF4388" s="379" t="s">
        <v>3783</v>
      </c>
      <c r="RHG4388" s="379" t="s">
        <v>3783</v>
      </c>
      <c r="RHH4388" s="379" t="s">
        <v>3783</v>
      </c>
      <c r="RHI4388" s="379" t="s">
        <v>3783</v>
      </c>
      <c r="RHJ4388" s="379" t="s">
        <v>3783</v>
      </c>
      <c r="RHK4388" s="379" t="s">
        <v>3783</v>
      </c>
      <c r="RHL4388" s="379" t="s">
        <v>3783</v>
      </c>
      <c r="RHM4388" s="379" t="s">
        <v>3783</v>
      </c>
      <c r="RHN4388" s="379" t="s">
        <v>3783</v>
      </c>
      <c r="RHO4388" s="379" t="s">
        <v>3783</v>
      </c>
      <c r="RHP4388" s="379" t="s">
        <v>3783</v>
      </c>
      <c r="RHQ4388" s="379" t="s">
        <v>3783</v>
      </c>
      <c r="RHR4388" s="379" t="s">
        <v>3783</v>
      </c>
      <c r="RHS4388" s="379" t="s">
        <v>3783</v>
      </c>
      <c r="RHT4388" s="379" t="s">
        <v>3783</v>
      </c>
      <c r="RHU4388" s="379" t="s">
        <v>3783</v>
      </c>
      <c r="RHV4388" s="379" t="s">
        <v>3783</v>
      </c>
      <c r="RHW4388" s="379" t="s">
        <v>3783</v>
      </c>
      <c r="RHX4388" s="379" t="s">
        <v>3783</v>
      </c>
      <c r="RHY4388" s="379" t="s">
        <v>3783</v>
      </c>
      <c r="RHZ4388" s="379" t="s">
        <v>3783</v>
      </c>
      <c r="RIA4388" s="379" t="s">
        <v>3783</v>
      </c>
      <c r="RIB4388" s="379" t="s">
        <v>3783</v>
      </c>
      <c r="RIC4388" s="379" t="s">
        <v>3783</v>
      </c>
      <c r="RID4388" s="379" t="s">
        <v>3783</v>
      </c>
      <c r="RIE4388" s="379" t="s">
        <v>3783</v>
      </c>
      <c r="RIF4388" s="379" t="s">
        <v>3783</v>
      </c>
      <c r="RIG4388" s="379" t="s">
        <v>3783</v>
      </c>
      <c r="RIH4388" s="379" t="s">
        <v>3783</v>
      </c>
      <c r="RII4388" s="379" t="s">
        <v>3783</v>
      </c>
      <c r="RIJ4388" s="379" t="s">
        <v>3783</v>
      </c>
      <c r="RIK4388" s="379" t="s">
        <v>3783</v>
      </c>
      <c r="RIL4388" s="379" t="s">
        <v>3783</v>
      </c>
      <c r="RIM4388" s="379" t="s">
        <v>3783</v>
      </c>
      <c r="RIN4388" s="379" t="s">
        <v>3783</v>
      </c>
      <c r="RIO4388" s="379" t="s">
        <v>3783</v>
      </c>
      <c r="RIP4388" s="379" t="s">
        <v>3783</v>
      </c>
      <c r="RIQ4388" s="379" t="s">
        <v>3783</v>
      </c>
      <c r="RIR4388" s="379" t="s">
        <v>3783</v>
      </c>
      <c r="RIS4388" s="379" t="s">
        <v>3783</v>
      </c>
      <c r="RIT4388" s="379" t="s">
        <v>3783</v>
      </c>
      <c r="RIU4388" s="379" t="s">
        <v>3783</v>
      </c>
      <c r="RIV4388" s="379" t="s">
        <v>3783</v>
      </c>
      <c r="RIW4388" s="379" t="s">
        <v>3783</v>
      </c>
      <c r="RIX4388" s="379" t="s">
        <v>3783</v>
      </c>
      <c r="RIY4388" s="379" t="s">
        <v>3783</v>
      </c>
      <c r="RIZ4388" s="379" t="s">
        <v>3783</v>
      </c>
      <c r="RJA4388" s="379" t="s">
        <v>3783</v>
      </c>
      <c r="RJB4388" s="379" t="s">
        <v>3783</v>
      </c>
      <c r="RJC4388" s="379" t="s">
        <v>3783</v>
      </c>
      <c r="RJD4388" s="379" t="s">
        <v>3783</v>
      </c>
      <c r="RJE4388" s="379" t="s">
        <v>3783</v>
      </c>
      <c r="RJF4388" s="379" t="s">
        <v>3783</v>
      </c>
      <c r="RJG4388" s="379" t="s">
        <v>3783</v>
      </c>
      <c r="RJH4388" s="379" t="s">
        <v>3783</v>
      </c>
      <c r="RJI4388" s="379" t="s">
        <v>3783</v>
      </c>
      <c r="RJJ4388" s="379" t="s">
        <v>3783</v>
      </c>
      <c r="RJK4388" s="379" t="s">
        <v>3783</v>
      </c>
      <c r="RJL4388" s="379" t="s">
        <v>3783</v>
      </c>
      <c r="RJM4388" s="379" t="s">
        <v>3783</v>
      </c>
      <c r="RJN4388" s="379" t="s">
        <v>3783</v>
      </c>
      <c r="RJO4388" s="379" t="s">
        <v>3783</v>
      </c>
      <c r="RJP4388" s="379" t="s">
        <v>3783</v>
      </c>
      <c r="RJQ4388" s="379" t="s">
        <v>3783</v>
      </c>
      <c r="RJR4388" s="379" t="s">
        <v>3783</v>
      </c>
      <c r="RJS4388" s="379" t="s">
        <v>3783</v>
      </c>
      <c r="RJT4388" s="379" t="s">
        <v>3783</v>
      </c>
      <c r="RJU4388" s="379" t="s">
        <v>3783</v>
      </c>
      <c r="RJV4388" s="379" t="s">
        <v>3783</v>
      </c>
      <c r="RJW4388" s="379" t="s">
        <v>3783</v>
      </c>
      <c r="RJX4388" s="379" t="s">
        <v>3783</v>
      </c>
      <c r="RJY4388" s="379" t="s">
        <v>3783</v>
      </c>
      <c r="RJZ4388" s="379" t="s">
        <v>3783</v>
      </c>
      <c r="RKA4388" s="379" t="s">
        <v>3783</v>
      </c>
      <c r="RKB4388" s="379" t="s">
        <v>3783</v>
      </c>
      <c r="RKC4388" s="379" t="s">
        <v>3783</v>
      </c>
      <c r="RKD4388" s="379" t="s">
        <v>3783</v>
      </c>
      <c r="RKE4388" s="379" t="s">
        <v>3783</v>
      </c>
      <c r="RKF4388" s="379" t="s">
        <v>3783</v>
      </c>
      <c r="RKG4388" s="379" t="s">
        <v>3783</v>
      </c>
      <c r="RKH4388" s="379" t="s">
        <v>3783</v>
      </c>
      <c r="RKI4388" s="379" t="s">
        <v>3783</v>
      </c>
      <c r="RKJ4388" s="379" t="s">
        <v>3783</v>
      </c>
      <c r="RKK4388" s="379" t="s">
        <v>3783</v>
      </c>
      <c r="RKL4388" s="379" t="s">
        <v>3783</v>
      </c>
      <c r="RKM4388" s="379" t="s">
        <v>3783</v>
      </c>
      <c r="RKN4388" s="379" t="s">
        <v>3783</v>
      </c>
      <c r="RKO4388" s="379" t="s">
        <v>3783</v>
      </c>
      <c r="RKP4388" s="379" t="s">
        <v>3783</v>
      </c>
      <c r="RKQ4388" s="379" t="s">
        <v>3783</v>
      </c>
      <c r="RKR4388" s="379" t="s">
        <v>3783</v>
      </c>
      <c r="RKS4388" s="379" t="s">
        <v>3783</v>
      </c>
      <c r="RKT4388" s="379" t="s">
        <v>3783</v>
      </c>
      <c r="RKU4388" s="379" t="s">
        <v>3783</v>
      </c>
      <c r="RKV4388" s="379" t="s">
        <v>3783</v>
      </c>
      <c r="RKW4388" s="379" t="s">
        <v>3783</v>
      </c>
      <c r="RKX4388" s="379" t="s">
        <v>3783</v>
      </c>
      <c r="RKY4388" s="379" t="s">
        <v>3783</v>
      </c>
      <c r="RKZ4388" s="379" t="s">
        <v>3783</v>
      </c>
      <c r="RLA4388" s="379" t="s">
        <v>3783</v>
      </c>
      <c r="RLB4388" s="379" t="s">
        <v>3783</v>
      </c>
      <c r="RLC4388" s="379" t="s">
        <v>3783</v>
      </c>
      <c r="RLD4388" s="379" t="s">
        <v>3783</v>
      </c>
      <c r="RLE4388" s="379" t="s">
        <v>3783</v>
      </c>
      <c r="RLF4388" s="379" t="s">
        <v>3783</v>
      </c>
      <c r="RLG4388" s="379" t="s">
        <v>3783</v>
      </c>
      <c r="RLH4388" s="379" t="s">
        <v>3783</v>
      </c>
      <c r="RLI4388" s="379" t="s">
        <v>3783</v>
      </c>
      <c r="RLJ4388" s="379" t="s">
        <v>3783</v>
      </c>
      <c r="RLK4388" s="379" t="s">
        <v>3783</v>
      </c>
      <c r="RLL4388" s="379" t="s">
        <v>3783</v>
      </c>
      <c r="RLM4388" s="379" t="s">
        <v>3783</v>
      </c>
      <c r="RLN4388" s="379" t="s">
        <v>3783</v>
      </c>
      <c r="RLO4388" s="379" t="s">
        <v>3783</v>
      </c>
      <c r="RLP4388" s="379" t="s">
        <v>3783</v>
      </c>
      <c r="RLQ4388" s="379" t="s">
        <v>3783</v>
      </c>
      <c r="RLR4388" s="379" t="s">
        <v>3783</v>
      </c>
      <c r="RLS4388" s="379" t="s">
        <v>3783</v>
      </c>
      <c r="RLT4388" s="379" t="s">
        <v>3783</v>
      </c>
      <c r="RLU4388" s="379" t="s">
        <v>3783</v>
      </c>
      <c r="RLV4388" s="379" t="s">
        <v>3783</v>
      </c>
      <c r="RLW4388" s="379" t="s">
        <v>3783</v>
      </c>
      <c r="RLX4388" s="379" t="s">
        <v>3783</v>
      </c>
      <c r="RLY4388" s="379" t="s">
        <v>3783</v>
      </c>
      <c r="RLZ4388" s="379" t="s">
        <v>3783</v>
      </c>
      <c r="RMA4388" s="379" t="s">
        <v>3783</v>
      </c>
      <c r="RMB4388" s="379" t="s">
        <v>3783</v>
      </c>
      <c r="RMC4388" s="379" t="s">
        <v>3783</v>
      </c>
      <c r="RMD4388" s="379" t="s">
        <v>3783</v>
      </c>
      <c r="RME4388" s="379" t="s">
        <v>3783</v>
      </c>
      <c r="RMF4388" s="379" t="s">
        <v>3783</v>
      </c>
      <c r="RMG4388" s="379" t="s">
        <v>3783</v>
      </c>
      <c r="RMH4388" s="379" t="s">
        <v>3783</v>
      </c>
      <c r="RMI4388" s="379" t="s">
        <v>3783</v>
      </c>
      <c r="RMJ4388" s="379" t="s">
        <v>3783</v>
      </c>
      <c r="RMK4388" s="379" t="s">
        <v>3783</v>
      </c>
      <c r="RML4388" s="379" t="s">
        <v>3783</v>
      </c>
      <c r="RMM4388" s="379" t="s">
        <v>3783</v>
      </c>
      <c r="RMN4388" s="379" t="s">
        <v>3783</v>
      </c>
      <c r="RMO4388" s="379" t="s">
        <v>3783</v>
      </c>
      <c r="RMP4388" s="379" t="s">
        <v>3783</v>
      </c>
      <c r="RMQ4388" s="379" t="s">
        <v>3783</v>
      </c>
      <c r="RMR4388" s="379" t="s">
        <v>3783</v>
      </c>
      <c r="RMS4388" s="379" t="s">
        <v>3783</v>
      </c>
      <c r="RMT4388" s="379" t="s">
        <v>3783</v>
      </c>
      <c r="RMU4388" s="379" t="s">
        <v>3783</v>
      </c>
      <c r="RMV4388" s="379" t="s">
        <v>3783</v>
      </c>
      <c r="RMW4388" s="379" t="s">
        <v>3783</v>
      </c>
      <c r="RMX4388" s="379" t="s">
        <v>3783</v>
      </c>
      <c r="RMY4388" s="379" t="s">
        <v>3783</v>
      </c>
      <c r="RMZ4388" s="379" t="s">
        <v>3783</v>
      </c>
      <c r="RNA4388" s="379" t="s">
        <v>3783</v>
      </c>
      <c r="RNB4388" s="379" t="s">
        <v>3783</v>
      </c>
      <c r="RNC4388" s="379" t="s">
        <v>3783</v>
      </c>
      <c r="RND4388" s="379" t="s">
        <v>3783</v>
      </c>
      <c r="RNE4388" s="379" t="s">
        <v>3783</v>
      </c>
      <c r="RNF4388" s="379" t="s">
        <v>3783</v>
      </c>
      <c r="RNG4388" s="379" t="s">
        <v>3783</v>
      </c>
      <c r="RNH4388" s="379" t="s">
        <v>3783</v>
      </c>
      <c r="RNI4388" s="379" t="s">
        <v>3783</v>
      </c>
      <c r="RNJ4388" s="379" t="s">
        <v>3783</v>
      </c>
      <c r="RNK4388" s="379" t="s">
        <v>3783</v>
      </c>
      <c r="RNL4388" s="379" t="s">
        <v>3783</v>
      </c>
      <c r="RNM4388" s="379" t="s">
        <v>3783</v>
      </c>
      <c r="RNN4388" s="379" t="s">
        <v>3783</v>
      </c>
      <c r="RNO4388" s="379" t="s">
        <v>3783</v>
      </c>
      <c r="RNP4388" s="379" t="s">
        <v>3783</v>
      </c>
      <c r="RNQ4388" s="379" t="s">
        <v>3783</v>
      </c>
      <c r="RNR4388" s="379" t="s">
        <v>3783</v>
      </c>
      <c r="RNS4388" s="379" t="s">
        <v>3783</v>
      </c>
      <c r="RNT4388" s="379" t="s">
        <v>3783</v>
      </c>
      <c r="RNU4388" s="379" t="s">
        <v>3783</v>
      </c>
      <c r="RNV4388" s="379" t="s">
        <v>3783</v>
      </c>
      <c r="RNW4388" s="379" t="s">
        <v>3783</v>
      </c>
      <c r="RNX4388" s="379" t="s">
        <v>3783</v>
      </c>
      <c r="RNY4388" s="379" t="s">
        <v>3783</v>
      </c>
      <c r="RNZ4388" s="379" t="s">
        <v>3783</v>
      </c>
      <c r="ROA4388" s="379" t="s">
        <v>3783</v>
      </c>
      <c r="ROB4388" s="379" t="s">
        <v>3783</v>
      </c>
      <c r="ROC4388" s="379" t="s">
        <v>3783</v>
      </c>
      <c r="ROD4388" s="379" t="s">
        <v>3783</v>
      </c>
      <c r="ROE4388" s="379" t="s">
        <v>3783</v>
      </c>
      <c r="ROF4388" s="379" t="s">
        <v>3783</v>
      </c>
      <c r="ROG4388" s="379" t="s">
        <v>3783</v>
      </c>
      <c r="ROH4388" s="379" t="s">
        <v>3783</v>
      </c>
      <c r="ROI4388" s="379" t="s">
        <v>3783</v>
      </c>
      <c r="ROJ4388" s="379" t="s">
        <v>3783</v>
      </c>
      <c r="ROK4388" s="379" t="s">
        <v>3783</v>
      </c>
      <c r="ROL4388" s="379" t="s">
        <v>3783</v>
      </c>
      <c r="ROM4388" s="379" t="s">
        <v>3783</v>
      </c>
      <c r="RON4388" s="379" t="s">
        <v>3783</v>
      </c>
      <c r="ROO4388" s="379" t="s">
        <v>3783</v>
      </c>
      <c r="ROP4388" s="379" t="s">
        <v>3783</v>
      </c>
      <c r="ROQ4388" s="379" t="s">
        <v>3783</v>
      </c>
      <c r="ROR4388" s="379" t="s">
        <v>3783</v>
      </c>
      <c r="ROS4388" s="379" t="s">
        <v>3783</v>
      </c>
      <c r="ROT4388" s="379" t="s">
        <v>3783</v>
      </c>
      <c r="ROU4388" s="379" t="s">
        <v>3783</v>
      </c>
      <c r="ROV4388" s="379" t="s">
        <v>3783</v>
      </c>
      <c r="ROW4388" s="379" t="s">
        <v>3783</v>
      </c>
      <c r="ROX4388" s="379" t="s">
        <v>3783</v>
      </c>
      <c r="ROY4388" s="379" t="s">
        <v>3783</v>
      </c>
      <c r="ROZ4388" s="379" t="s">
        <v>3783</v>
      </c>
      <c r="RPA4388" s="379" t="s">
        <v>3783</v>
      </c>
      <c r="RPB4388" s="379" t="s">
        <v>3783</v>
      </c>
      <c r="RPC4388" s="379" t="s">
        <v>3783</v>
      </c>
      <c r="RPD4388" s="379" t="s">
        <v>3783</v>
      </c>
      <c r="RPE4388" s="379" t="s">
        <v>3783</v>
      </c>
      <c r="RPF4388" s="379" t="s">
        <v>3783</v>
      </c>
      <c r="RPG4388" s="379" t="s">
        <v>3783</v>
      </c>
      <c r="RPH4388" s="379" t="s">
        <v>3783</v>
      </c>
      <c r="RPI4388" s="379" t="s">
        <v>3783</v>
      </c>
      <c r="RPJ4388" s="379" t="s">
        <v>3783</v>
      </c>
      <c r="RPK4388" s="379" t="s">
        <v>3783</v>
      </c>
      <c r="RPL4388" s="379" t="s">
        <v>3783</v>
      </c>
      <c r="RPM4388" s="379" t="s">
        <v>3783</v>
      </c>
      <c r="RPN4388" s="379" t="s">
        <v>3783</v>
      </c>
      <c r="RPO4388" s="379" t="s">
        <v>3783</v>
      </c>
      <c r="RPP4388" s="379" t="s">
        <v>3783</v>
      </c>
      <c r="RPQ4388" s="379" t="s">
        <v>3783</v>
      </c>
      <c r="RPR4388" s="379" t="s">
        <v>3783</v>
      </c>
      <c r="RPS4388" s="379" t="s">
        <v>3783</v>
      </c>
      <c r="RPT4388" s="379" t="s">
        <v>3783</v>
      </c>
      <c r="RPU4388" s="379" t="s">
        <v>3783</v>
      </c>
      <c r="RPV4388" s="379" t="s">
        <v>3783</v>
      </c>
      <c r="RPW4388" s="379" t="s">
        <v>3783</v>
      </c>
      <c r="RPX4388" s="379" t="s">
        <v>3783</v>
      </c>
      <c r="RPY4388" s="379" t="s">
        <v>3783</v>
      </c>
      <c r="RPZ4388" s="379" t="s">
        <v>3783</v>
      </c>
      <c r="RQA4388" s="379" t="s">
        <v>3783</v>
      </c>
      <c r="RQB4388" s="379" t="s">
        <v>3783</v>
      </c>
      <c r="RQC4388" s="379" t="s">
        <v>3783</v>
      </c>
      <c r="RQD4388" s="379" t="s">
        <v>3783</v>
      </c>
      <c r="RQE4388" s="379" t="s">
        <v>3783</v>
      </c>
      <c r="RQF4388" s="379" t="s">
        <v>3783</v>
      </c>
      <c r="RQG4388" s="379" t="s">
        <v>3783</v>
      </c>
      <c r="RQH4388" s="379" t="s">
        <v>3783</v>
      </c>
      <c r="RQI4388" s="379" t="s">
        <v>3783</v>
      </c>
      <c r="RQJ4388" s="379" t="s">
        <v>3783</v>
      </c>
      <c r="RQK4388" s="379" t="s">
        <v>3783</v>
      </c>
      <c r="RQL4388" s="379" t="s">
        <v>3783</v>
      </c>
      <c r="RQM4388" s="379" t="s">
        <v>3783</v>
      </c>
      <c r="RQN4388" s="379" t="s">
        <v>3783</v>
      </c>
      <c r="RQO4388" s="379" t="s">
        <v>3783</v>
      </c>
      <c r="RQP4388" s="379" t="s">
        <v>3783</v>
      </c>
      <c r="RQQ4388" s="379" t="s">
        <v>3783</v>
      </c>
      <c r="RQR4388" s="379" t="s">
        <v>3783</v>
      </c>
      <c r="RQS4388" s="379" t="s">
        <v>3783</v>
      </c>
      <c r="RQT4388" s="379" t="s">
        <v>3783</v>
      </c>
      <c r="RQU4388" s="379" t="s">
        <v>3783</v>
      </c>
      <c r="RQV4388" s="379" t="s">
        <v>3783</v>
      </c>
      <c r="RQW4388" s="379" t="s">
        <v>3783</v>
      </c>
      <c r="RQX4388" s="379" t="s">
        <v>3783</v>
      </c>
      <c r="RQY4388" s="379" t="s">
        <v>3783</v>
      </c>
      <c r="RQZ4388" s="379" t="s">
        <v>3783</v>
      </c>
      <c r="RRA4388" s="379" t="s">
        <v>3783</v>
      </c>
      <c r="RRB4388" s="379" t="s">
        <v>3783</v>
      </c>
      <c r="RRC4388" s="379" t="s">
        <v>3783</v>
      </c>
      <c r="RRD4388" s="379" t="s">
        <v>3783</v>
      </c>
      <c r="RRE4388" s="379" t="s">
        <v>3783</v>
      </c>
      <c r="RRF4388" s="379" t="s">
        <v>3783</v>
      </c>
      <c r="RRG4388" s="379" t="s">
        <v>3783</v>
      </c>
      <c r="RRH4388" s="379" t="s">
        <v>3783</v>
      </c>
      <c r="RRI4388" s="379" t="s">
        <v>3783</v>
      </c>
      <c r="RRJ4388" s="379" t="s">
        <v>3783</v>
      </c>
      <c r="RRK4388" s="379" t="s">
        <v>3783</v>
      </c>
      <c r="RRL4388" s="379" t="s">
        <v>3783</v>
      </c>
      <c r="RRM4388" s="379" t="s">
        <v>3783</v>
      </c>
      <c r="RRN4388" s="379" t="s">
        <v>3783</v>
      </c>
      <c r="RRO4388" s="379" t="s">
        <v>3783</v>
      </c>
      <c r="RRP4388" s="379" t="s">
        <v>3783</v>
      </c>
      <c r="RRQ4388" s="379" t="s">
        <v>3783</v>
      </c>
      <c r="RRR4388" s="379" t="s">
        <v>3783</v>
      </c>
      <c r="RRS4388" s="379" t="s">
        <v>3783</v>
      </c>
      <c r="RRT4388" s="379" t="s">
        <v>3783</v>
      </c>
      <c r="RRU4388" s="379" t="s">
        <v>3783</v>
      </c>
      <c r="RRV4388" s="379" t="s">
        <v>3783</v>
      </c>
      <c r="RRW4388" s="379" t="s">
        <v>3783</v>
      </c>
      <c r="RRX4388" s="379" t="s">
        <v>3783</v>
      </c>
      <c r="RRY4388" s="379" t="s">
        <v>3783</v>
      </c>
      <c r="RRZ4388" s="379" t="s">
        <v>3783</v>
      </c>
      <c r="RSA4388" s="379" t="s">
        <v>3783</v>
      </c>
      <c r="RSB4388" s="379" t="s">
        <v>3783</v>
      </c>
      <c r="RSC4388" s="379" t="s">
        <v>3783</v>
      </c>
      <c r="RSD4388" s="379" t="s">
        <v>3783</v>
      </c>
      <c r="RSE4388" s="379" t="s">
        <v>3783</v>
      </c>
      <c r="RSF4388" s="379" t="s">
        <v>3783</v>
      </c>
      <c r="RSG4388" s="379" t="s">
        <v>3783</v>
      </c>
      <c r="RSH4388" s="379" t="s">
        <v>3783</v>
      </c>
      <c r="RSI4388" s="379" t="s">
        <v>3783</v>
      </c>
      <c r="RSJ4388" s="379" t="s">
        <v>3783</v>
      </c>
      <c r="RSK4388" s="379" t="s">
        <v>3783</v>
      </c>
      <c r="RSL4388" s="379" t="s">
        <v>3783</v>
      </c>
      <c r="RSM4388" s="379" t="s">
        <v>3783</v>
      </c>
      <c r="RSN4388" s="379" t="s">
        <v>3783</v>
      </c>
      <c r="RSO4388" s="379" t="s">
        <v>3783</v>
      </c>
      <c r="RSP4388" s="379" t="s">
        <v>3783</v>
      </c>
      <c r="RSQ4388" s="379" t="s">
        <v>3783</v>
      </c>
      <c r="RSR4388" s="379" t="s">
        <v>3783</v>
      </c>
      <c r="RSS4388" s="379" t="s">
        <v>3783</v>
      </c>
      <c r="RST4388" s="379" t="s">
        <v>3783</v>
      </c>
      <c r="RSU4388" s="379" t="s">
        <v>3783</v>
      </c>
      <c r="RSV4388" s="379" t="s">
        <v>3783</v>
      </c>
      <c r="RSW4388" s="379" t="s">
        <v>3783</v>
      </c>
      <c r="RSX4388" s="379" t="s">
        <v>3783</v>
      </c>
      <c r="RSY4388" s="379" t="s">
        <v>3783</v>
      </c>
      <c r="RSZ4388" s="379" t="s">
        <v>3783</v>
      </c>
      <c r="RTA4388" s="379" t="s">
        <v>3783</v>
      </c>
      <c r="RTB4388" s="379" t="s">
        <v>3783</v>
      </c>
      <c r="RTC4388" s="379" t="s">
        <v>3783</v>
      </c>
      <c r="RTD4388" s="379" t="s">
        <v>3783</v>
      </c>
      <c r="RTE4388" s="379" t="s">
        <v>3783</v>
      </c>
      <c r="RTF4388" s="379" t="s">
        <v>3783</v>
      </c>
      <c r="RTG4388" s="379" t="s">
        <v>3783</v>
      </c>
      <c r="RTH4388" s="379" t="s">
        <v>3783</v>
      </c>
      <c r="RTI4388" s="379" t="s">
        <v>3783</v>
      </c>
      <c r="RTJ4388" s="379" t="s">
        <v>3783</v>
      </c>
      <c r="RTK4388" s="379" t="s">
        <v>3783</v>
      </c>
      <c r="RTL4388" s="379" t="s">
        <v>3783</v>
      </c>
      <c r="RTM4388" s="379" t="s">
        <v>3783</v>
      </c>
      <c r="RTN4388" s="379" t="s">
        <v>3783</v>
      </c>
      <c r="RTO4388" s="379" t="s">
        <v>3783</v>
      </c>
      <c r="RTP4388" s="379" t="s">
        <v>3783</v>
      </c>
      <c r="RTQ4388" s="379" t="s">
        <v>3783</v>
      </c>
      <c r="RTR4388" s="379" t="s">
        <v>3783</v>
      </c>
      <c r="RTS4388" s="379" t="s">
        <v>3783</v>
      </c>
      <c r="RTT4388" s="379" t="s">
        <v>3783</v>
      </c>
      <c r="RTU4388" s="379" t="s">
        <v>3783</v>
      </c>
      <c r="RTV4388" s="379" t="s">
        <v>3783</v>
      </c>
      <c r="RTW4388" s="379" t="s">
        <v>3783</v>
      </c>
      <c r="RTX4388" s="379" t="s">
        <v>3783</v>
      </c>
      <c r="RTY4388" s="379" t="s">
        <v>3783</v>
      </c>
      <c r="RTZ4388" s="379" t="s">
        <v>3783</v>
      </c>
      <c r="RUA4388" s="379" t="s">
        <v>3783</v>
      </c>
      <c r="RUB4388" s="379" t="s">
        <v>3783</v>
      </c>
      <c r="RUC4388" s="379" t="s">
        <v>3783</v>
      </c>
      <c r="RUD4388" s="379" t="s">
        <v>3783</v>
      </c>
      <c r="RUE4388" s="379" t="s">
        <v>3783</v>
      </c>
      <c r="RUF4388" s="379" t="s">
        <v>3783</v>
      </c>
      <c r="RUG4388" s="379" t="s">
        <v>3783</v>
      </c>
      <c r="RUH4388" s="379" t="s">
        <v>3783</v>
      </c>
      <c r="RUI4388" s="379" t="s">
        <v>3783</v>
      </c>
      <c r="RUJ4388" s="379" t="s">
        <v>3783</v>
      </c>
      <c r="RUK4388" s="379" t="s">
        <v>3783</v>
      </c>
      <c r="RUL4388" s="379" t="s">
        <v>3783</v>
      </c>
      <c r="RUM4388" s="379" t="s">
        <v>3783</v>
      </c>
      <c r="RUN4388" s="379" t="s">
        <v>3783</v>
      </c>
      <c r="RUO4388" s="379" t="s">
        <v>3783</v>
      </c>
      <c r="RUP4388" s="379" t="s">
        <v>3783</v>
      </c>
      <c r="RUQ4388" s="379" t="s">
        <v>3783</v>
      </c>
      <c r="RUR4388" s="379" t="s">
        <v>3783</v>
      </c>
      <c r="RUS4388" s="379" t="s">
        <v>3783</v>
      </c>
      <c r="RUT4388" s="379" t="s">
        <v>3783</v>
      </c>
      <c r="RUU4388" s="379" t="s">
        <v>3783</v>
      </c>
      <c r="RUV4388" s="379" t="s">
        <v>3783</v>
      </c>
      <c r="RUW4388" s="379" t="s">
        <v>3783</v>
      </c>
      <c r="RUX4388" s="379" t="s">
        <v>3783</v>
      </c>
      <c r="RUY4388" s="379" t="s">
        <v>3783</v>
      </c>
      <c r="RUZ4388" s="379" t="s">
        <v>3783</v>
      </c>
      <c r="RVA4388" s="379" t="s">
        <v>3783</v>
      </c>
      <c r="RVB4388" s="379" t="s">
        <v>3783</v>
      </c>
      <c r="RVC4388" s="379" t="s">
        <v>3783</v>
      </c>
      <c r="RVD4388" s="379" t="s">
        <v>3783</v>
      </c>
      <c r="RVE4388" s="379" t="s">
        <v>3783</v>
      </c>
      <c r="RVF4388" s="379" t="s">
        <v>3783</v>
      </c>
      <c r="RVG4388" s="379" t="s">
        <v>3783</v>
      </c>
      <c r="RVH4388" s="379" t="s">
        <v>3783</v>
      </c>
      <c r="RVI4388" s="379" t="s">
        <v>3783</v>
      </c>
      <c r="RVJ4388" s="379" t="s">
        <v>3783</v>
      </c>
      <c r="RVK4388" s="379" t="s">
        <v>3783</v>
      </c>
      <c r="RVL4388" s="379" t="s">
        <v>3783</v>
      </c>
      <c r="RVM4388" s="379" t="s">
        <v>3783</v>
      </c>
      <c r="RVN4388" s="379" t="s">
        <v>3783</v>
      </c>
      <c r="RVO4388" s="379" t="s">
        <v>3783</v>
      </c>
      <c r="RVP4388" s="379" t="s">
        <v>3783</v>
      </c>
      <c r="RVQ4388" s="379" t="s">
        <v>3783</v>
      </c>
      <c r="RVR4388" s="379" t="s">
        <v>3783</v>
      </c>
      <c r="RVS4388" s="379" t="s">
        <v>3783</v>
      </c>
      <c r="RVT4388" s="379" t="s">
        <v>3783</v>
      </c>
      <c r="RVU4388" s="379" t="s">
        <v>3783</v>
      </c>
      <c r="RVV4388" s="379" t="s">
        <v>3783</v>
      </c>
      <c r="RVW4388" s="379" t="s">
        <v>3783</v>
      </c>
      <c r="RVX4388" s="379" t="s">
        <v>3783</v>
      </c>
      <c r="RVY4388" s="379" t="s">
        <v>3783</v>
      </c>
      <c r="RVZ4388" s="379" t="s">
        <v>3783</v>
      </c>
      <c r="RWA4388" s="379" t="s">
        <v>3783</v>
      </c>
      <c r="RWB4388" s="379" t="s">
        <v>3783</v>
      </c>
      <c r="RWC4388" s="379" t="s">
        <v>3783</v>
      </c>
      <c r="RWD4388" s="379" t="s">
        <v>3783</v>
      </c>
      <c r="RWE4388" s="379" t="s">
        <v>3783</v>
      </c>
      <c r="RWF4388" s="379" t="s">
        <v>3783</v>
      </c>
      <c r="RWG4388" s="379" t="s">
        <v>3783</v>
      </c>
      <c r="RWH4388" s="379" t="s">
        <v>3783</v>
      </c>
      <c r="RWI4388" s="379" t="s">
        <v>3783</v>
      </c>
      <c r="RWJ4388" s="379" t="s">
        <v>3783</v>
      </c>
      <c r="RWK4388" s="379" t="s">
        <v>3783</v>
      </c>
      <c r="RWL4388" s="379" t="s">
        <v>3783</v>
      </c>
      <c r="RWM4388" s="379" t="s">
        <v>3783</v>
      </c>
      <c r="RWN4388" s="379" t="s">
        <v>3783</v>
      </c>
      <c r="RWO4388" s="379" t="s">
        <v>3783</v>
      </c>
      <c r="RWP4388" s="379" t="s">
        <v>3783</v>
      </c>
      <c r="RWQ4388" s="379" t="s">
        <v>3783</v>
      </c>
      <c r="RWR4388" s="379" t="s">
        <v>3783</v>
      </c>
      <c r="RWS4388" s="379" t="s">
        <v>3783</v>
      </c>
      <c r="RWT4388" s="379" t="s">
        <v>3783</v>
      </c>
      <c r="RWU4388" s="379" t="s">
        <v>3783</v>
      </c>
      <c r="RWV4388" s="379" t="s">
        <v>3783</v>
      </c>
      <c r="RWW4388" s="379" t="s">
        <v>3783</v>
      </c>
      <c r="RWX4388" s="379" t="s">
        <v>3783</v>
      </c>
      <c r="RWY4388" s="379" t="s">
        <v>3783</v>
      </c>
      <c r="RWZ4388" s="379" t="s">
        <v>3783</v>
      </c>
      <c r="RXA4388" s="379" t="s">
        <v>3783</v>
      </c>
      <c r="RXB4388" s="379" t="s">
        <v>3783</v>
      </c>
      <c r="RXC4388" s="379" t="s">
        <v>3783</v>
      </c>
      <c r="RXD4388" s="379" t="s">
        <v>3783</v>
      </c>
      <c r="RXE4388" s="379" t="s">
        <v>3783</v>
      </c>
      <c r="RXF4388" s="379" t="s">
        <v>3783</v>
      </c>
      <c r="RXG4388" s="379" t="s">
        <v>3783</v>
      </c>
      <c r="RXH4388" s="379" t="s">
        <v>3783</v>
      </c>
      <c r="RXI4388" s="379" t="s">
        <v>3783</v>
      </c>
      <c r="RXJ4388" s="379" t="s">
        <v>3783</v>
      </c>
      <c r="RXK4388" s="379" t="s">
        <v>3783</v>
      </c>
      <c r="RXL4388" s="379" t="s">
        <v>3783</v>
      </c>
      <c r="RXM4388" s="379" t="s">
        <v>3783</v>
      </c>
      <c r="RXN4388" s="379" t="s">
        <v>3783</v>
      </c>
      <c r="RXO4388" s="379" t="s">
        <v>3783</v>
      </c>
      <c r="RXP4388" s="379" t="s">
        <v>3783</v>
      </c>
      <c r="RXQ4388" s="379" t="s">
        <v>3783</v>
      </c>
      <c r="RXR4388" s="379" t="s">
        <v>3783</v>
      </c>
      <c r="RXS4388" s="379" t="s">
        <v>3783</v>
      </c>
      <c r="RXT4388" s="379" t="s">
        <v>3783</v>
      </c>
      <c r="RXU4388" s="379" t="s">
        <v>3783</v>
      </c>
      <c r="RXV4388" s="379" t="s">
        <v>3783</v>
      </c>
      <c r="RXW4388" s="379" t="s">
        <v>3783</v>
      </c>
      <c r="RXX4388" s="379" t="s">
        <v>3783</v>
      </c>
      <c r="RXY4388" s="379" t="s">
        <v>3783</v>
      </c>
      <c r="RXZ4388" s="379" t="s">
        <v>3783</v>
      </c>
      <c r="RYA4388" s="379" t="s">
        <v>3783</v>
      </c>
      <c r="RYB4388" s="379" t="s">
        <v>3783</v>
      </c>
      <c r="RYC4388" s="379" t="s">
        <v>3783</v>
      </c>
      <c r="RYD4388" s="379" t="s">
        <v>3783</v>
      </c>
      <c r="RYE4388" s="379" t="s">
        <v>3783</v>
      </c>
      <c r="RYF4388" s="379" t="s">
        <v>3783</v>
      </c>
      <c r="RYG4388" s="379" t="s">
        <v>3783</v>
      </c>
      <c r="RYH4388" s="379" t="s">
        <v>3783</v>
      </c>
      <c r="RYI4388" s="379" t="s">
        <v>3783</v>
      </c>
      <c r="RYJ4388" s="379" t="s">
        <v>3783</v>
      </c>
      <c r="RYK4388" s="379" t="s">
        <v>3783</v>
      </c>
      <c r="RYL4388" s="379" t="s">
        <v>3783</v>
      </c>
      <c r="RYM4388" s="379" t="s">
        <v>3783</v>
      </c>
      <c r="RYN4388" s="379" t="s">
        <v>3783</v>
      </c>
      <c r="RYO4388" s="379" t="s">
        <v>3783</v>
      </c>
      <c r="RYP4388" s="379" t="s">
        <v>3783</v>
      </c>
      <c r="RYQ4388" s="379" t="s">
        <v>3783</v>
      </c>
      <c r="RYR4388" s="379" t="s">
        <v>3783</v>
      </c>
      <c r="RYS4388" s="379" t="s">
        <v>3783</v>
      </c>
      <c r="RYT4388" s="379" t="s">
        <v>3783</v>
      </c>
      <c r="RYU4388" s="379" t="s">
        <v>3783</v>
      </c>
      <c r="RYV4388" s="379" t="s">
        <v>3783</v>
      </c>
      <c r="RYW4388" s="379" t="s">
        <v>3783</v>
      </c>
      <c r="RYX4388" s="379" t="s">
        <v>3783</v>
      </c>
      <c r="RYY4388" s="379" t="s">
        <v>3783</v>
      </c>
      <c r="RYZ4388" s="379" t="s">
        <v>3783</v>
      </c>
      <c r="RZA4388" s="379" t="s">
        <v>3783</v>
      </c>
      <c r="RZB4388" s="379" t="s">
        <v>3783</v>
      </c>
      <c r="RZC4388" s="379" t="s">
        <v>3783</v>
      </c>
      <c r="RZD4388" s="379" t="s">
        <v>3783</v>
      </c>
      <c r="RZE4388" s="379" t="s">
        <v>3783</v>
      </c>
      <c r="RZF4388" s="379" t="s">
        <v>3783</v>
      </c>
      <c r="RZG4388" s="379" t="s">
        <v>3783</v>
      </c>
      <c r="RZH4388" s="379" t="s">
        <v>3783</v>
      </c>
      <c r="RZI4388" s="379" t="s">
        <v>3783</v>
      </c>
      <c r="RZJ4388" s="379" t="s">
        <v>3783</v>
      </c>
      <c r="RZK4388" s="379" t="s">
        <v>3783</v>
      </c>
      <c r="RZL4388" s="379" t="s">
        <v>3783</v>
      </c>
      <c r="RZM4388" s="379" t="s">
        <v>3783</v>
      </c>
      <c r="RZN4388" s="379" t="s">
        <v>3783</v>
      </c>
      <c r="RZO4388" s="379" t="s">
        <v>3783</v>
      </c>
      <c r="RZP4388" s="379" t="s">
        <v>3783</v>
      </c>
      <c r="RZQ4388" s="379" t="s">
        <v>3783</v>
      </c>
      <c r="RZR4388" s="379" t="s">
        <v>3783</v>
      </c>
      <c r="RZS4388" s="379" t="s">
        <v>3783</v>
      </c>
      <c r="RZT4388" s="379" t="s">
        <v>3783</v>
      </c>
      <c r="RZU4388" s="379" t="s">
        <v>3783</v>
      </c>
      <c r="RZV4388" s="379" t="s">
        <v>3783</v>
      </c>
      <c r="RZW4388" s="379" t="s">
        <v>3783</v>
      </c>
      <c r="RZX4388" s="379" t="s">
        <v>3783</v>
      </c>
      <c r="RZY4388" s="379" t="s">
        <v>3783</v>
      </c>
      <c r="RZZ4388" s="379" t="s">
        <v>3783</v>
      </c>
      <c r="SAA4388" s="379" t="s">
        <v>3783</v>
      </c>
      <c r="SAB4388" s="379" t="s">
        <v>3783</v>
      </c>
      <c r="SAC4388" s="379" t="s">
        <v>3783</v>
      </c>
      <c r="SAD4388" s="379" t="s">
        <v>3783</v>
      </c>
      <c r="SAE4388" s="379" t="s">
        <v>3783</v>
      </c>
      <c r="SAF4388" s="379" t="s">
        <v>3783</v>
      </c>
      <c r="SAG4388" s="379" t="s">
        <v>3783</v>
      </c>
      <c r="SAH4388" s="379" t="s">
        <v>3783</v>
      </c>
      <c r="SAI4388" s="379" t="s">
        <v>3783</v>
      </c>
      <c r="SAJ4388" s="379" t="s">
        <v>3783</v>
      </c>
      <c r="SAK4388" s="379" t="s">
        <v>3783</v>
      </c>
      <c r="SAL4388" s="379" t="s">
        <v>3783</v>
      </c>
      <c r="SAM4388" s="379" t="s">
        <v>3783</v>
      </c>
      <c r="SAN4388" s="379" t="s">
        <v>3783</v>
      </c>
      <c r="SAO4388" s="379" t="s">
        <v>3783</v>
      </c>
      <c r="SAP4388" s="379" t="s">
        <v>3783</v>
      </c>
      <c r="SAQ4388" s="379" t="s">
        <v>3783</v>
      </c>
      <c r="SAR4388" s="379" t="s">
        <v>3783</v>
      </c>
      <c r="SAS4388" s="379" t="s">
        <v>3783</v>
      </c>
      <c r="SAT4388" s="379" t="s">
        <v>3783</v>
      </c>
      <c r="SAU4388" s="379" t="s">
        <v>3783</v>
      </c>
      <c r="SAV4388" s="379" t="s">
        <v>3783</v>
      </c>
      <c r="SAW4388" s="379" t="s">
        <v>3783</v>
      </c>
      <c r="SAX4388" s="379" t="s">
        <v>3783</v>
      </c>
      <c r="SAY4388" s="379" t="s">
        <v>3783</v>
      </c>
      <c r="SAZ4388" s="379" t="s">
        <v>3783</v>
      </c>
      <c r="SBA4388" s="379" t="s">
        <v>3783</v>
      </c>
      <c r="SBB4388" s="379" t="s">
        <v>3783</v>
      </c>
      <c r="SBC4388" s="379" t="s">
        <v>3783</v>
      </c>
      <c r="SBD4388" s="379" t="s">
        <v>3783</v>
      </c>
      <c r="SBE4388" s="379" t="s">
        <v>3783</v>
      </c>
      <c r="SBF4388" s="379" t="s">
        <v>3783</v>
      </c>
      <c r="SBG4388" s="379" t="s">
        <v>3783</v>
      </c>
      <c r="SBH4388" s="379" t="s">
        <v>3783</v>
      </c>
      <c r="SBI4388" s="379" t="s">
        <v>3783</v>
      </c>
      <c r="SBJ4388" s="379" t="s">
        <v>3783</v>
      </c>
      <c r="SBK4388" s="379" t="s">
        <v>3783</v>
      </c>
      <c r="SBL4388" s="379" t="s">
        <v>3783</v>
      </c>
      <c r="SBM4388" s="379" t="s">
        <v>3783</v>
      </c>
      <c r="SBN4388" s="379" t="s">
        <v>3783</v>
      </c>
      <c r="SBO4388" s="379" t="s">
        <v>3783</v>
      </c>
      <c r="SBP4388" s="379" t="s">
        <v>3783</v>
      </c>
      <c r="SBQ4388" s="379" t="s">
        <v>3783</v>
      </c>
      <c r="SBR4388" s="379" t="s">
        <v>3783</v>
      </c>
      <c r="SBS4388" s="379" t="s">
        <v>3783</v>
      </c>
      <c r="SBT4388" s="379" t="s">
        <v>3783</v>
      </c>
      <c r="SBU4388" s="379" t="s">
        <v>3783</v>
      </c>
      <c r="SBV4388" s="379" t="s">
        <v>3783</v>
      </c>
      <c r="SBW4388" s="379" t="s">
        <v>3783</v>
      </c>
      <c r="SBX4388" s="379" t="s">
        <v>3783</v>
      </c>
      <c r="SBY4388" s="379" t="s">
        <v>3783</v>
      </c>
      <c r="SBZ4388" s="379" t="s">
        <v>3783</v>
      </c>
      <c r="SCA4388" s="379" t="s">
        <v>3783</v>
      </c>
      <c r="SCB4388" s="379" t="s">
        <v>3783</v>
      </c>
      <c r="SCC4388" s="379" t="s">
        <v>3783</v>
      </c>
      <c r="SCD4388" s="379" t="s">
        <v>3783</v>
      </c>
      <c r="SCE4388" s="379" t="s">
        <v>3783</v>
      </c>
      <c r="SCF4388" s="379" t="s">
        <v>3783</v>
      </c>
      <c r="SCG4388" s="379" t="s">
        <v>3783</v>
      </c>
      <c r="SCH4388" s="379" t="s">
        <v>3783</v>
      </c>
      <c r="SCI4388" s="379" t="s">
        <v>3783</v>
      </c>
      <c r="SCJ4388" s="379" t="s">
        <v>3783</v>
      </c>
      <c r="SCK4388" s="379" t="s">
        <v>3783</v>
      </c>
      <c r="SCL4388" s="379" t="s">
        <v>3783</v>
      </c>
      <c r="SCM4388" s="379" t="s">
        <v>3783</v>
      </c>
      <c r="SCN4388" s="379" t="s">
        <v>3783</v>
      </c>
      <c r="SCO4388" s="379" t="s">
        <v>3783</v>
      </c>
      <c r="SCP4388" s="379" t="s">
        <v>3783</v>
      </c>
      <c r="SCQ4388" s="379" t="s">
        <v>3783</v>
      </c>
      <c r="SCR4388" s="379" t="s">
        <v>3783</v>
      </c>
      <c r="SCS4388" s="379" t="s">
        <v>3783</v>
      </c>
      <c r="SCT4388" s="379" t="s">
        <v>3783</v>
      </c>
      <c r="SCU4388" s="379" t="s">
        <v>3783</v>
      </c>
      <c r="SCV4388" s="379" t="s">
        <v>3783</v>
      </c>
      <c r="SCW4388" s="379" t="s">
        <v>3783</v>
      </c>
      <c r="SCX4388" s="379" t="s">
        <v>3783</v>
      </c>
      <c r="SCY4388" s="379" t="s">
        <v>3783</v>
      </c>
      <c r="SCZ4388" s="379" t="s">
        <v>3783</v>
      </c>
      <c r="SDA4388" s="379" t="s">
        <v>3783</v>
      </c>
      <c r="SDB4388" s="379" t="s">
        <v>3783</v>
      </c>
      <c r="SDC4388" s="379" t="s">
        <v>3783</v>
      </c>
      <c r="SDD4388" s="379" t="s">
        <v>3783</v>
      </c>
      <c r="SDE4388" s="379" t="s">
        <v>3783</v>
      </c>
      <c r="SDF4388" s="379" t="s">
        <v>3783</v>
      </c>
      <c r="SDG4388" s="379" t="s">
        <v>3783</v>
      </c>
      <c r="SDH4388" s="379" t="s">
        <v>3783</v>
      </c>
      <c r="SDI4388" s="379" t="s">
        <v>3783</v>
      </c>
      <c r="SDJ4388" s="379" t="s">
        <v>3783</v>
      </c>
      <c r="SDK4388" s="379" t="s">
        <v>3783</v>
      </c>
      <c r="SDL4388" s="379" t="s">
        <v>3783</v>
      </c>
      <c r="SDM4388" s="379" t="s">
        <v>3783</v>
      </c>
      <c r="SDN4388" s="379" t="s">
        <v>3783</v>
      </c>
      <c r="SDO4388" s="379" t="s">
        <v>3783</v>
      </c>
      <c r="SDP4388" s="379" t="s">
        <v>3783</v>
      </c>
      <c r="SDQ4388" s="379" t="s">
        <v>3783</v>
      </c>
      <c r="SDR4388" s="379" t="s">
        <v>3783</v>
      </c>
      <c r="SDS4388" s="379" t="s">
        <v>3783</v>
      </c>
      <c r="SDT4388" s="379" t="s">
        <v>3783</v>
      </c>
      <c r="SDU4388" s="379" t="s">
        <v>3783</v>
      </c>
      <c r="SDV4388" s="379" t="s">
        <v>3783</v>
      </c>
      <c r="SDW4388" s="379" t="s">
        <v>3783</v>
      </c>
      <c r="SDX4388" s="379" t="s">
        <v>3783</v>
      </c>
      <c r="SDY4388" s="379" t="s">
        <v>3783</v>
      </c>
      <c r="SDZ4388" s="379" t="s">
        <v>3783</v>
      </c>
      <c r="SEA4388" s="379" t="s">
        <v>3783</v>
      </c>
      <c r="SEB4388" s="379" t="s">
        <v>3783</v>
      </c>
      <c r="SEC4388" s="379" t="s">
        <v>3783</v>
      </c>
      <c r="SED4388" s="379" t="s">
        <v>3783</v>
      </c>
      <c r="SEE4388" s="379" t="s">
        <v>3783</v>
      </c>
      <c r="SEF4388" s="379" t="s">
        <v>3783</v>
      </c>
      <c r="SEG4388" s="379" t="s">
        <v>3783</v>
      </c>
      <c r="SEH4388" s="379" t="s">
        <v>3783</v>
      </c>
      <c r="SEI4388" s="379" t="s">
        <v>3783</v>
      </c>
      <c r="SEJ4388" s="379" t="s">
        <v>3783</v>
      </c>
      <c r="SEK4388" s="379" t="s">
        <v>3783</v>
      </c>
      <c r="SEL4388" s="379" t="s">
        <v>3783</v>
      </c>
      <c r="SEM4388" s="379" t="s">
        <v>3783</v>
      </c>
      <c r="SEN4388" s="379" t="s">
        <v>3783</v>
      </c>
      <c r="SEO4388" s="379" t="s">
        <v>3783</v>
      </c>
      <c r="SEP4388" s="379" t="s">
        <v>3783</v>
      </c>
      <c r="SEQ4388" s="379" t="s">
        <v>3783</v>
      </c>
      <c r="SER4388" s="379" t="s">
        <v>3783</v>
      </c>
      <c r="SES4388" s="379" t="s">
        <v>3783</v>
      </c>
      <c r="SET4388" s="379" t="s">
        <v>3783</v>
      </c>
      <c r="SEU4388" s="379" t="s">
        <v>3783</v>
      </c>
      <c r="SEV4388" s="379" t="s">
        <v>3783</v>
      </c>
      <c r="SEW4388" s="379" t="s">
        <v>3783</v>
      </c>
      <c r="SEX4388" s="379" t="s">
        <v>3783</v>
      </c>
      <c r="SEY4388" s="379" t="s">
        <v>3783</v>
      </c>
      <c r="SEZ4388" s="379" t="s">
        <v>3783</v>
      </c>
      <c r="SFA4388" s="379" t="s">
        <v>3783</v>
      </c>
      <c r="SFB4388" s="379" t="s">
        <v>3783</v>
      </c>
      <c r="SFC4388" s="379" t="s">
        <v>3783</v>
      </c>
      <c r="SFD4388" s="379" t="s">
        <v>3783</v>
      </c>
      <c r="SFE4388" s="379" t="s">
        <v>3783</v>
      </c>
      <c r="SFF4388" s="379" t="s">
        <v>3783</v>
      </c>
      <c r="SFG4388" s="379" t="s">
        <v>3783</v>
      </c>
      <c r="SFH4388" s="379" t="s">
        <v>3783</v>
      </c>
      <c r="SFI4388" s="379" t="s">
        <v>3783</v>
      </c>
      <c r="SFJ4388" s="379" t="s">
        <v>3783</v>
      </c>
      <c r="SFK4388" s="379" t="s">
        <v>3783</v>
      </c>
      <c r="SFL4388" s="379" t="s">
        <v>3783</v>
      </c>
      <c r="SFM4388" s="379" t="s">
        <v>3783</v>
      </c>
      <c r="SFN4388" s="379" t="s">
        <v>3783</v>
      </c>
      <c r="SFO4388" s="379" t="s">
        <v>3783</v>
      </c>
      <c r="SFP4388" s="379" t="s">
        <v>3783</v>
      </c>
      <c r="SFQ4388" s="379" t="s">
        <v>3783</v>
      </c>
      <c r="SFR4388" s="379" t="s">
        <v>3783</v>
      </c>
      <c r="SFS4388" s="379" t="s">
        <v>3783</v>
      </c>
      <c r="SFT4388" s="379" t="s">
        <v>3783</v>
      </c>
      <c r="SFU4388" s="379" t="s">
        <v>3783</v>
      </c>
      <c r="SFV4388" s="379" t="s">
        <v>3783</v>
      </c>
      <c r="SFW4388" s="379" t="s">
        <v>3783</v>
      </c>
      <c r="SFX4388" s="379" t="s">
        <v>3783</v>
      </c>
      <c r="SFY4388" s="379" t="s">
        <v>3783</v>
      </c>
      <c r="SFZ4388" s="379" t="s">
        <v>3783</v>
      </c>
      <c r="SGA4388" s="379" t="s">
        <v>3783</v>
      </c>
      <c r="SGB4388" s="379" t="s">
        <v>3783</v>
      </c>
      <c r="SGC4388" s="379" t="s">
        <v>3783</v>
      </c>
      <c r="SGD4388" s="379" t="s">
        <v>3783</v>
      </c>
      <c r="SGE4388" s="379" t="s">
        <v>3783</v>
      </c>
      <c r="SGF4388" s="379" t="s">
        <v>3783</v>
      </c>
      <c r="SGG4388" s="379" t="s">
        <v>3783</v>
      </c>
      <c r="SGH4388" s="379" t="s">
        <v>3783</v>
      </c>
      <c r="SGI4388" s="379" t="s">
        <v>3783</v>
      </c>
      <c r="SGJ4388" s="379" t="s">
        <v>3783</v>
      </c>
      <c r="SGK4388" s="379" t="s">
        <v>3783</v>
      </c>
      <c r="SGL4388" s="379" t="s">
        <v>3783</v>
      </c>
      <c r="SGM4388" s="379" t="s">
        <v>3783</v>
      </c>
      <c r="SGN4388" s="379" t="s">
        <v>3783</v>
      </c>
      <c r="SGO4388" s="379" t="s">
        <v>3783</v>
      </c>
      <c r="SGP4388" s="379" t="s">
        <v>3783</v>
      </c>
      <c r="SGQ4388" s="379" t="s">
        <v>3783</v>
      </c>
      <c r="SGR4388" s="379" t="s">
        <v>3783</v>
      </c>
      <c r="SGS4388" s="379" t="s">
        <v>3783</v>
      </c>
      <c r="SGT4388" s="379" t="s">
        <v>3783</v>
      </c>
      <c r="SGU4388" s="379" t="s">
        <v>3783</v>
      </c>
      <c r="SGV4388" s="379" t="s">
        <v>3783</v>
      </c>
      <c r="SGW4388" s="379" t="s">
        <v>3783</v>
      </c>
      <c r="SGX4388" s="379" t="s">
        <v>3783</v>
      </c>
      <c r="SGY4388" s="379" t="s">
        <v>3783</v>
      </c>
      <c r="SGZ4388" s="379" t="s">
        <v>3783</v>
      </c>
      <c r="SHA4388" s="379" t="s">
        <v>3783</v>
      </c>
      <c r="SHB4388" s="379" t="s">
        <v>3783</v>
      </c>
      <c r="SHC4388" s="379" t="s">
        <v>3783</v>
      </c>
      <c r="SHD4388" s="379" t="s">
        <v>3783</v>
      </c>
      <c r="SHE4388" s="379" t="s">
        <v>3783</v>
      </c>
      <c r="SHF4388" s="379" t="s">
        <v>3783</v>
      </c>
      <c r="SHG4388" s="379" t="s">
        <v>3783</v>
      </c>
      <c r="SHH4388" s="379" t="s">
        <v>3783</v>
      </c>
      <c r="SHI4388" s="379" t="s">
        <v>3783</v>
      </c>
      <c r="SHJ4388" s="379" t="s">
        <v>3783</v>
      </c>
      <c r="SHK4388" s="379" t="s">
        <v>3783</v>
      </c>
      <c r="SHL4388" s="379" t="s">
        <v>3783</v>
      </c>
      <c r="SHM4388" s="379" t="s">
        <v>3783</v>
      </c>
      <c r="SHN4388" s="379" t="s">
        <v>3783</v>
      </c>
      <c r="SHO4388" s="379" t="s">
        <v>3783</v>
      </c>
      <c r="SHP4388" s="379" t="s">
        <v>3783</v>
      </c>
      <c r="SHQ4388" s="379" t="s">
        <v>3783</v>
      </c>
      <c r="SHR4388" s="379" t="s">
        <v>3783</v>
      </c>
      <c r="SHS4388" s="379" t="s">
        <v>3783</v>
      </c>
      <c r="SHT4388" s="379" t="s">
        <v>3783</v>
      </c>
      <c r="SHU4388" s="379" t="s">
        <v>3783</v>
      </c>
      <c r="SHV4388" s="379" t="s">
        <v>3783</v>
      </c>
      <c r="SHW4388" s="379" t="s">
        <v>3783</v>
      </c>
      <c r="SHX4388" s="379" t="s">
        <v>3783</v>
      </c>
      <c r="SHY4388" s="379" t="s">
        <v>3783</v>
      </c>
      <c r="SHZ4388" s="379" t="s">
        <v>3783</v>
      </c>
      <c r="SIA4388" s="379" t="s">
        <v>3783</v>
      </c>
      <c r="SIB4388" s="379" t="s">
        <v>3783</v>
      </c>
      <c r="SIC4388" s="379" t="s">
        <v>3783</v>
      </c>
      <c r="SID4388" s="379" t="s">
        <v>3783</v>
      </c>
      <c r="SIE4388" s="379" t="s">
        <v>3783</v>
      </c>
      <c r="SIF4388" s="379" t="s">
        <v>3783</v>
      </c>
      <c r="SIG4388" s="379" t="s">
        <v>3783</v>
      </c>
      <c r="SIH4388" s="379" t="s">
        <v>3783</v>
      </c>
      <c r="SII4388" s="379" t="s">
        <v>3783</v>
      </c>
      <c r="SIJ4388" s="379" t="s">
        <v>3783</v>
      </c>
      <c r="SIK4388" s="379" t="s">
        <v>3783</v>
      </c>
      <c r="SIL4388" s="379" t="s">
        <v>3783</v>
      </c>
      <c r="SIM4388" s="379" t="s">
        <v>3783</v>
      </c>
      <c r="SIN4388" s="379" t="s">
        <v>3783</v>
      </c>
      <c r="SIO4388" s="379" t="s">
        <v>3783</v>
      </c>
      <c r="SIP4388" s="379" t="s">
        <v>3783</v>
      </c>
      <c r="SIQ4388" s="379" t="s">
        <v>3783</v>
      </c>
      <c r="SIR4388" s="379" t="s">
        <v>3783</v>
      </c>
      <c r="SIS4388" s="379" t="s">
        <v>3783</v>
      </c>
      <c r="SIT4388" s="379" t="s">
        <v>3783</v>
      </c>
      <c r="SIU4388" s="379" t="s">
        <v>3783</v>
      </c>
      <c r="SIV4388" s="379" t="s">
        <v>3783</v>
      </c>
      <c r="SIW4388" s="379" t="s">
        <v>3783</v>
      </c>
      <c r="SIX4388" s="379" t="s">
        <v>3783</v>
      </c>
      <c r="SIY4388" s="379" t="s">
        <v>3783</v>
      </c>
      <c r="SIZ4388" s="379" t="s">
        <v>3783</v>
      </c>
      <c r="SJA4388" s="379" t="s">
        <v>3783</v>
      </c>
      <c r="SJB4388" s="379" t="s">
        <v>3783</v>
      </c>
      <c r="SJC4388" s="379" t="s">
        <v>3783</v>
      </c>
      <c r="SJD4388" s="379" t="s">
        <v>3783</v>
      </c>
      <c r="SJE4388" s="379" t="s">
        <v>3783</v>
      </c>
      <c r="SJF4388" s="379" t="s">
        <v>3783</v>
      </c>
      <c r="SJG4388" s="379" t="s">
        <v>3783</v>
      </c>
      <c r="SJH4388" s="379" t="s">
        <v>3783</v>
      </c>
      <c r="SJI4388" s="379" t="s">
        <v>3783</v>
      </c>
      <c r="SJJ4388" s="379" t="s">
        <v>3783</v>
      </c>
      <c r="SJK4388" s="379" t="s">
        <v>3783</v>
      </c>
      <c r="SJL4388" s="379" t="s">
        <v>3783</v>
      </c>
      <c r="SJM4388" s="379" t="s">
        <v>3783</v>
      </c>
      <c r="SJN4388" s="379" t="s">
        <v>3783</v>
      </c>
      <c r="SJO4388" s="379" t="s">
        <v>3783</v>
      </c>
      <c r="SJP4388" s="379" t="s">
        <v>3783</v>
      </c>
      <c r="SJQ4388" s="379" t="s">
        <v>3783</v>
      </c>
      <c r="SJR4388" s="379" t="s">
        <v>3783</v>
      </c>
      <c r="SJS4388" s="379" t="s">
        <v>3783</v>
      </c>
      <c r="SJT4388" s="379" t="s">
        <v>3783</v>
      </c>
      <c r="SJU4388" s="379" t="s">
        <v>3783</v>
      </c>
      <c r="SJV4388" s="379" t="s">
        <v>3783</v>
      </c>
      <c r="SJW4388" s="379" t="s">
        <v>3783</v>
      </c>
      <c r="SJX4388" s="379" t="s">
        <v>3783</v>
      </c>
      <c r="SJY4388" s="379" t="s">
        <v>3783</v>
      </c>
      <c r="SJZ4388" s="379" t="s">
        <v>3783</v>
      </c>
      <c r="SKA4388" s="379" t="s">
        <v>3783</v>
      </c>
      <c r="SKB4388" s="379" t="s">
        <v>3783</v>
      </c>
      <c r="SKC4388" s="379" t="s">
        <v>3783</v>
      </c>
      <c r="SKD4388" s="379" t="s">
        <v>3783</v>
      </c>
      <c r="SKE4388" s="379" t="s">
        <v>3783</v>
      </c>
      <c r="SKF4388" s="379" t="s">
        <v>3783</v>
      </c>
      <c r="SKG4388" s="379" t="s">
        <v>3783</v>
      </c>
      <c r="SKH4388" s="379" t="s">
        <v>3783</v>
      </c>
      <c r="SKI4388" s="379" t="s">
        <v>3783</v>
      </c>
      <c r="SKJ4388" s="379" t="s">
        <v>3783</v>
      </c>
      <c r="SKK4388" s="379" t="s">
        <v>3783</v>
      </c>
      <c r="SKL4388" s="379" t="s">
        <v>3783</v>
      </c>
      <c r="SKM4388" s="379" t="s">
        <v>3783</v>
      </c>
      <c r="SKN4388" s="379" t="s">
        <v>3783</v>
      </c>
      <c r="SKO4388" s="379" t="s">
        <v>3783</v>
      </c>
      <c r="SKP4388" s="379" t="s">
        <v>3783</v>
      </c>
      <c r="SKQ4388" s="379" t="s">
        <v>3783</v>
      </c>
      <c r="SKR4388" s="379" t="s">
        <v>3783</v>
      </c>
      <c r="SKS4388" s="379" t="s">
        <v>3783</v>
      </c>
      <c r="SKT4388" s="379" t="s">
        <v>3783</v>
      </c>
      <c r="SKU4388" s="379" t="s">
        <v>3783</v>
      </c>
      <c r="SKV4388" s="379" t="s">
        <v>3783</v>
      </c>
      <c r="SKW4388" s="379" t="s">
        <v>3783</v>
      </c>
      <c r="SKX4388" s="379" t="s">
        <v>3783</v>
      </c>
      <c r="SKY4388" s="379" t="s">
        <v>3783</v>
      </c>
      <c r="SKZ4388" s="379" t="s">
        <v>3783</v>
      </c>
      <c r="SLA4388" s="379" t="s">
        <v>3783</v>
      </c>
      <c r="SLB4388" s="379" t="s">
        <v>3783</v>
      </c>
      <c r="SLC4388" s="379" t="s">
        <v>3783</v>
      </c>
      <c r="SLD4388" s="379" t="s">
        <v>3783</v>
      </c>
      <c r="SLE4388" s="379" t="s">
        <v>3783</v>
      </c>
      <c r="SLF4388" s="379" t="s">
        <v>3783</v>
      </c>
      <c r="SLG4388" s="379" t="s">
        <v>3783</v>
      </c>
      <c r="SLH4388" s="379" t="s">
        <v>3783</v>
      </c>
      <c r="SLI4388" s="379" t="s">
        <v>3783</v>
      </c>
      <c r="SLJ4388" s="379" t="s">
        <v>3783</v>
      </c>
      <c r="SLK4388" s="379" t="s">
        <v>3783</v>
      </c>
      <c r="SLL4388" s="379" t="s">
        <v>3783</v>
      </c>
      <c r="SLM4388" s="379" t="s">
        <v>3783</v>
      </c>
      <c r="SLN4388" s="379" t="s">
        <v>3783</v>
      </c>
      <c r="SLO4388" s="379" t="s">
        <v>3783</v>
      </c>
      <c r="SLP4388" s="379" t="s">
        <v>3783</v>
      </c>
      <c r="SLQ4388" s="379" t="s">
        <v>3783</v>
      </c>
      <c r="SLR4388" s="379" t="s">
        <v>3783</v>
      </c>
      <c r="SLS4388" s="379" t="s">
        <v>3783</v>
      </c>
      <c r="SLT4388" s="379" t="s">
        <v>3783</v>
      </c>
      <c r="SLU4388" s="379" t="s">
        <v>3783</v>
      </c>
      <c r="SLV4388" s="379" t="s">
        <v>3783</v>
      </c>
      <c r="SLW4388" s="379" t="s">
        <v>3783</v>
      </c>
      <c r="SLX4388" s="379" t="s">
        <v>3783</v>
      </c>
      <c r="SLY4388" s="379" t="s">
        <v>3783</v>
      </c>
      <c r="SLZ4388" s="379" t="s">
        <v>3783</v>
      </c>
      <c r="SMA4388" s="379" t="s">
        <v>3783</v>
      </c>
      <c r="SMB4388" s="379" t="s">
        <v>3783</v>
      </c>
      <c r="SMC4388" s="379" t="s">
        <v>3783</v>
      </c>
      <c r="SMD4388" s="379" t="s">
        <v>3783</v>
      </c>
      <c r="SME4388" s="379" t="s">
        <v>3783</v>
      </c>
      <c r="SMF4388" s="379" t="s">
        <v>3783</v>
      </c>
      <c r="SMG4388" s="379" t="s">
        <v>3783</v>
      </c>
      <c r="SMH4388" s="379" t="s">
        <v>3783</v>
      </c>
      <c r="SMI4388" s="379" t="s">
        <v>3783</v>
      </c>
      <c r="SMJ4388" s="379" t="s">
        <v>3783</v>
      </c>
      <c r="SMK4388" s="379" t="s">
        <v>3783</v>
      </c>
      <c r="SML4388" s="379" t="s">
        <v>3783</v>
      </c>
      <c r="SMM4388" s="379" t="s">
        <v>3783</v>
      </c>
      <c r="SMN4388" s="379" t="s">
        <v>3783</v>
      </c>
      <c r="SMO4388" s="379" t="s">
        <v>3783</v>
      </c>
      <c r="SMP4388" s="379" t="s">
        <v>3783</v>
      </c>
      <c r="SMQ4388" s="379" t="s">
        <v>3783</v>
      </c>
      <c r="SMR4388" s="379" t="s">
        <v>3783</v>
      </c>
      <c r="SMS4388" s="379" t="s">
        <v>3783</v>
      </c>
      <c r="SMT4388" s="379" t="s">
        <v>3783</v>
      </c>
      <c r="SMU4388" s="379" t="s">
        <v>3783</v>
      </c>
      <c r="SMV4388" s="379" t="s">
        <v>3783</v>
      </c>
      <c r="SMW4388" s="379" t="s">
        <v>3783</v>
      </c>
      <c r="SMX4388" s="379" t="s">
        <v>3783</v>
      </c>
      <c r="SMY4388" s="379" t="s">
        <v>3783</v>
      </c>
      <c r="SMZ4388" s="379" t="s">
        <v>3783</v>
      </c>
      <c r="SNA4388" s="379" t="s">
        <v>3783</v>
      </c>
      <c r="SNB4388" s="379" t="s">
        <v>3783</v>
      </c>
      <c r="SNC4388" s="379" t="s">
        <v>3783</v>
      </c>
      <c r="SND4388" s="379" t="s">
        <v>3783</v>
      </c>
      <c r="SNE4388" s="379" t="s">
        <v>3783</v>
      </c>
      <c r="SNF4388" s="379" t="s">
        <v>3783</v>
      </c>
      <c r="SNG4388" s="379" t="s">
        <v>3783</v>
      </c>
      <c r="SNH4388" s="379" t="s">
        <v>3783</v>
      </c>
      <c r="SNI4388" s="379" t="s">
        <v>3783</v>
      </c>
      <c r="SNJ4388" s="379" t="s">
        <v>3783</v>
      </c>
      <c r="SNK4388" s="379" t="s">
        <v>3783</v>
      </c>
      <c r="SNL4388" s="379" t="s">
        <v>3783</v>
      </c>
      <c r="SNM4388" s="379" t="s">
        <v>3783</v>
      </c>
      <c r="SNN4388" s="379" t="s">
        <v>3783</v>
      </c>
      <c r="SNO4388" s="379" t="s">
        <v>3783</v>
      </c>
      <c r="SNP4388" s="379" t="s">
        <v>3783</v>
      </c>
      <c r="SNQ4388" s="379" t="s">
        <v>3783</v>
      </c>
      <c r="SNR4388" s="379" t="s">
        <v>3783</v>
      </c>
      <c r="SNS4388" s="379" t="s">
        <v>3783</v>
      </c>
      <c r="SNT4388" s="379" t="s">
        <v>3783</v>
      </c>
      <c r="SNU4388" s="379" t="s">
        <v>3783</v>
      </c>
      <c r="SNV4388" s="379" t="s">
        <v>3783</v>
      </c>
      <c r="SNW4388" s="379" t="s">
        <v>3783</v>
      </c>
      <c r="SNX4388" s="379" t="s">
        <v>3783</v>
      </c>
      <c r="SNY4388" s="379" t="s">
        <v>3783</v>
      </c>
      <c r="SNZ4388" s="379" t="s">
        <v>3783</v>
      </c>
      <c r="SOA4388" s="379" t="s">
        <v>3783</v>
      </c>
      <c r="SOB4388" s="379" t="s">
        <v>3783</v>
      </c>
      <c r="SOC4388" s="379" t="s">
        <v>3783</v>
      </c>
      <c r="SOD4388" s="379" t="s">
        <v>3783</v>
      </c>
      <c r="SOE4388" s="379" t="s">
        <v>3783</v>
      </c>
      <c r="SOF4388" s="379" t="s">
        <v>3783</v>
      </c>
      <c r="SOG4388" s="379" t="s">
        <v>3783</v>
      </c>
      <c r="SOH4388" s="379" t="s">
        <v>3783</v>
      </c>
      <c r="SOI4388" s="379" t="s">
        <v>3783</v>
      </c>
      <c r="SOJ4388" s="379" t="s">
        <v>3783</v>
      </c>
      <c r="SOK4388" s="379" t="s">
        <v>3783</v>
      </c>
      <c r="SOL4388" s="379" t="s">
        <v>3783</v>
      </c>
      <c r="SOM4388" s="379" t="s">
        <v>3783</v>
      </c>
      <c r="SON4388" s="379" t="s">
        <v>3783</v>
      </c>
      <c r="SOO4388" s="379" t="s">
        <v>3783</v>
      </c>
      <c r="SOP4388" s="379" t="s">
        <v>3783</v>
      </c>
      <c r="SOQ4388" s="379" t="s">
        <v>3783</v>
      </c>
      <c r="SOR4388" s="379" t="s">
        <v>3783</v>
      </c>
      <c r="SOS4388" s="379" t="s">
        <v>3783</v>
      </c>
      <c r="SOT4388" s="379" t="s">
        <v>3783</v>
      </c>
      <c r="SOU4388" s="379" t="s">
        <v>3783</v>
      </c>
      <c r="SOV4388" s="379" t="s">
        <v>3783</v>
      </c>
      <c r="SOW4388" s="379" t="s">
        <v>3783</v>
      </c>
      <c r="SOX4388" s="379" t="s">
        <v>3783</v>
      </c>
      <c r="SOY4388" s="379" t="s">
        <v>3783</v>
      </c>
      <c r="SOZ4388" s="379" t="s">
        <v>3783</v>
      </c>
      <c r="SPA4388" s="379" t="s">
        <v>3783</v>
      </c>
      <c r="SPB4388" s="379" t="s">
        <v>3783</v>
      </c>
      <c r="SPC4388" s="379" t="s">
        <v>3783</v>
      </c>
      <c r="SPD4388" s="379" t="s">
        <v>3783</v>
      </c>
      <c r="SPE4388" s="379" t="s">
        <v>3783</v>
      </c>
      <c r="SPF4388" s="379" t="s">
        <v>3783</v>
      </c>
      <c r="SPG4388" s="379" t="s">
        <v>3783</v>
      </c>
      <c r="SPH4388" s="379" t="s">
        <v>3783</v>
      </c>
      <c r="SPI4388" s="379" t="s">
        <v>3783</v>
      </c>
      <c r="SPJ4388" s="379" t="s">
        <v>3783</v>
      </c>
      <c r="SPK4388" s="379" t="s">
        <v>3783</v>
      </c>
      <c r="SPL4388" s="379" t="s">
        <v>3783</v>
      </c>
      <c r="SPM4388" s="379" t="s">
        <v>3783</v>
      </c>
      <c r="SPN4388" s="379" t="s">
        <v>3783</v>
      </c>
      <c r="SPO4388" s="379" t="s">
        <v>3783</v>
      </c>
      <c r="SPP4388" s="379" t="s">
        <v>3783</v>
      </c>
      <c r="SPQ4388" s="379" t="s">
        <v>3783</v>
      </c>
      <c r="SPR4388" s="379" t="s">
        <v>3783</v>
      </c>
      <c r="SPS4388" s="379" t="s">
        <v>3783</v>
      </c>
      <c r="SPT4388" s="379" t="s">
        <v>3783</v>
      </c>
      <c r="SPU4388" s="379" t="s">
        <v>3783</v>
      </c>
      <c r="SPV4388" s="379" t="s">
        <v>3783</v>
      </c>
      <c r="SPW4388" s="379" t="s">
        <v>3783</v>
      </c>
      <c r="SPX4388" s="379" t="s">
        <v>3783</v>
      </c>
      <c r="SPY4388" s="379" t="s">
        <v>3783</v>
      </c>
      <c r="SPZ4388" s="379" t="s">
        <v>3783</v>
      </c>
      <c r="SQA4388" s="379" t="s">
        <v>3783</v>
      </c>
      <c r="SQB4388" s="379" t="s">
        <v>3783</v>
      </c>
      <c r="SQC4388" s="379" t="s">
        <v>3783</v>
      </c>
      <c r="SQD4388" s="379" t="s">
        <v>3783</v>
      </c>
      <c r="SQE4388" s="379" t="s">
        <v>3783</v>
      </c>
      <c r="SQF4388" s="379" t="s">
        <v>3783</v>
      </c>
      <c r="SQG4388" s="379" t="s">
        <v>3783</v>
      </c>
      <c r="SQH4388" s="379" t="s">
        <v>3783</v>
      </c>
      <c r="SQI4388" s="379" t="s">
        <v>3783</v>
      </c>
      <c r="SQJ4388" s="379" t="s">
        <v>3783</v>
      </c>
      <c r="SQK4388" s="379" t="s">
        <v>3783</v>
      </c>
      <c r="SQL4388" s="379" t="s">
        <v>3783</v>
      </c>
      <c r="SQM4388" s="379" t="s">
        <v>3783</v>
      </c>
      <c r="SQN4388" s="379" t="s">
        <v>3783</v>
      </c>
      <c r="SQO4388" s="379" t="s">
        <v>3783</v>
      </c>
      <c r="SQP4388" s="379" t="s">
        <v>3783</v>
      </c>
      <c r="SQQ4388" s="379" t="s">
        <v>3783</v>
      </c>
      <c r="SQR4388" s="379" t="s">
        <v>3783</v>
      </c>
      <c r="SQS4388" s="379" t="s">
        <v>3783</v>
      </c>
      <c r="SQT4388" s="379" t="s">
        <v>3783</v>
      </c>
      <c r="SQU4388" s="379" t="s">
        <v>3783</v>
      </c>
      <c r="SQV4388" s="379" t="s">
        <v>3783</v>
      </c>
      <c r="SQW4388" s="379" t="s">
        <v>3783</v>
      </c>
      <c r="SQX4388" s="379" t="s">
        <v>3783</v>
      </c>
      <c r="SQY4388" s="379" t="s">
        <v>3783</v>
      </c>
      <c r="SQZ4388" s="379" t="s">
        <v>3783</v>
      </c>
      <c r="SRA4388" s="379" t="s">
        <v>3783</v>
      </c>
      <c r="SRB4388" s="379" t="s">
        <v>3783</v>
      </c>
      <c r="SRC4388" s="379" t="s">
        <v>3783</v>
      </c>
      <c r="SRD4388" s="379" t="s">
        <v>3783</v>
      </c>
      <c r="SRE4388" s="379" t="s">
        <v>3783</v>
      </c>
      <c r="SRF4388" s="379" t="s">
        <v>3783</v>
      </c>
      <c r="SRG4388" s="379" t="s">
        <v>3783</v>
      </c>
      <c r="SRH4388" s="379" t="s">
        <v>3783</v>
      </c>
      <c r="SRI4388" s="379" t="s">
        <v>3783</v>
      </c>
      <c r="SRJ4388" s="379" t="s">
        <v>3783</v>
      </c>
      <c r="SRK4388" s="379" t="s">
        <v>3783</v>
      </c>
      <c r="SRL4388" s="379" t="s">
        <v>3783</v>
      </c>
      <c r="SRM4388" s="379" t="s">
        <v>3783</v>
      </c>
      <c r="SRN4388" s="379" t="s">
        <v>3783</v>
      </c>
      <c r="SRO4388" s="379" t="s">
        <v>3783</v>
      </c>
      <c r="SRP4388" s="379" t="s">
        <v>3783</v>
      </c>
      <c r="SRQ4388" s="379" t="s">
        <v>3783</v>
      </c>
      <c r="SRR4388" s="379" t="s">
        <v>3783</v>
      </c>
      <c r="SRS4388" s="379" t="s">
        <v>3783</v>
      </c>
      <c r="SRT4388" s="379" t="s">
        <v>3783</v>
      </c>
      <c r="SRU4388" s="379" t="s">
        <v>3783</v>
      </c>
      <c r="SRV4388" s="379" t="s">
        <v>3783</v>
      </c>
      <c r="SRW4388" s="379" t="s">
        <v>3783</v>
      </c>
      <c r="SRX4388" s="379" t="s">
        <v>3783</v>
      </c>
      <c r="SRY4388" s="379" t="s">
        <v>3783</v>
      </c>
      <c r="SRZ4388" s="379" t="s">
        <v>3783</v>
      </c>
      <c r="SSA4388" s="379" t="s">
        <v>3783</v>
      </c>
      <c r="SSB4388" s="379" t="s">
        <v>3783</v>
      </c>
      <c r="SSC4388" s="379" t="s">
        <v>3783</v>
      </c>
      <c r="SSD4388" s="379" t="s">
        <v>3783</v>
      </c>
      <c r="SSE4388" s="379" t="s">
        <v>3783</v>
      </c>
      <c r="SSF4388" s="379" t="s">
        <v>3783</v>
      </c>
      <c r="SSG4388" s="379" t="s">
        <v>3783</v>
      </c>
      <c r="SSH4388" s="379" t="s">
        <v>3783</v>
      </c>
      <c r="SSI4388" s="379" t="s">
        <v>3783</v>
      </c>
      <c r="SSJ4388" s="379" t="s">
        <v>3783</v>
      </c>
      <c r="SSK4388" s="379" t="s">
        <v>3783</v>
      </c>
      <c r="SSL4388" s="379" t="s">
        <v>3783</v>
      </c>
      <c r="SSM4388" s="379" t="s">
        <v>3783</v>
      </c>
      <c r="SSN4388" s="379" t="s">
        <v>3783</v>
      </c>
      <c r="SSO4388" s="379" t="s">
        <v>3783</v>
      </c>
      <c r="SSP4388" s="379" t="s">
        <v>3783</v>
      </c>
      <c r="SSQ4388" s="379" t="s">
        <v>3783</v>
      </c>
      <c r="SSR4388" s="379" t="s">
        <v>3783</v>
      </c>
      <c r="SSS4388" s="379" t="s">
        <v>3783</v>
      </c>
      <c r="SST4388" s="379" t="s">
        <v>3783</v>
      </c>
      <c r="SSU4388" s="379" t="s">
        <v>3783</v>
      </c>
      <c r="SSV4388" s="379" t="s">
        <v>3783</v>
      </c>
      <c r="SSW4388" s="379" t="s">
        <v>3783</v>
      </c>
      <c r="SSX4388" s="379" t="s">
        <v>3783</v>
      </c>
      <c r="SSY4388" s="379" t="s">
        <v>3783</v>
      </c>
      <c r="SSZ4388" s="379" t="s">
        <v>3783</v>
      </c>
      <c r="STA4388" s="379" t="s">
        <v>3783</v>
      </c>
      <c r="STB4388" s="379" t="s">
        <v>3783</v>
      </c>
      <c r="STC4388" s="379" t="s">
        <v>3783</v>
      </c>
      <c r="STD4388" s="379" t="s">
        <v>3783</v>
      </c>
      <c r="STE4388" s="379" t="s">
        <v>3783</v>
      </c>
      <c r="STF4388" s="379" t="s">
        <v>3783</v>
      </c>
      <c r="STG4388" s="379" t="s">
        <v>3783</v>
      </c>
      <c r="STH4388" s="379" t="s">
        <v>3783</v>
      </c>
      <c r="STI4388" s="379" t="s">
        <v>3783</v>
      </c>
      <c r="STJ4388" s="379" t="s">
        <v>3783</v>
      </c>
      <c r="STK4388" s="379" t="s">
        <v>3783</v>
      </c>
      <c r="STL4388" s="379" t="s">
        <v>3783</v>
      </c>
      <c r="STM4388" s="379" t="s">
        <v>3783</v>
      </c>
      <c r="STN4388" s="379" t="s">
        <v>3783</v>
      </c>
      <c r="STO4388" s="379" t="s">
        <v>3783</v>
      </c>
      <c r="STP4388" s="379" t="s">
        <v>3783</v>
      </c>
      <c r="STQ4388" s="379" t="s">
        <v>3783</v>
      </c>
      <c r="STR4388" s="379" t="s">
        <v>3783</v>
      </c>
      <c r="STS4388" s="379" t="s">
        <v>3783</v>
      </c>
      <c r="STT4388" s="379" t="s">
        <v>3783</v>
      </c>
      <c r="STU4388" s="379" t="s">
        <v>3783</v>
      </c>
      <c r="STV4388" s="379" t="s">
        <v>3783</v>
      </c>
      <c r="STW4388" s="379" t="s">
        <v>3783</v>
      </c>
      <c r="STX4388" s="379" t="s">
        <v>3783</v>
      </c>
      <c r="STY4388" s="379" t="s">
        <v>3783</v>
      </c>
      <c r="STZ4388" s="379" t="s">
        <v>3783</v>
      </c>
      <c r="SUA4388" s="379" t="s">
        <v>3783</v>
      </c>
      <c r="SUB4388" s="379" t="s">
        <v>3783</v>
      </c>
      <c r="SUC4388" s="379" t="s">
        <v>3783</v>
      </c>
      <c r="SUD4388" s="379" t="s">
        <v>3783</v>
      </c>
      <c r="SUE4388" s="379" t="s">
        <v>3783</v>
      </c>
      <c r="SUF4388" s="379" t="s">
        <v>3783</v>
      </c>
      <c r="SUG4388" s="379" t="s">
        <v>3783</v>
      </c>
      <c r="SUH4388" s="379" t="s">
        <v>3783</v>
      </c>
      <c r="SUI4388" s="379" t="s">
        <v>3783</v>
      </c>
      <c r="SUJ4388" s="379" t="s">
        <v>3783</v>
      </c>
      <c r="SUK4388" s="379" t="s">
        <v>3783</v>
      </c>
      <c r="SUL4388" s="379" t="s">
        <v>3783</v>
      </c>
      <c r="SUM4388" s="379" t="s">
        <v>3783</v>
      </c>
      <c r="SUN4388" s="379" t="s">
        <v>3783</v>
      </c>
      <c r="SUO4388" s="379" t="s">
        <v>3783</v>
      </c>
      <c r="SUP4388" s="379" t="s">
        <v>3783</v>
      </c>
      <c r="SUQ4388" s="379" t="s">
        <v>3783</v>
      </c>
      <c r="SUR4388" s="379" t="s">
        <v>3783</v>
      </c>
      <c r="SUS4388" s="379" t="s">
        <v>3783</v>
      </c>
      <c r="SUT4388" s="379" t="s">
        <v>3783</v>
      </c>
      <c r="SUU4388" s="379" t="s">
        <v>3783</v>
      </c>
      <c r="SUV4388" s="379" t="s">
        <v>3783</v>
      </c>
      <c r="SUW4388" s="379" t="s">
        <v>3783</v>
      </c>
      <c r="SUX4388" s="379" t="s">
        <v>3783</v>
      </c>
      <c r="SUY4388" s="379" t="s">
        <v>3783</v>
      </c>
      <c r="SUZ4388" s="379" t="s">
        <v>3783</v>
      </c>
      <c r="SVA4388" s="379" t="s">
        <v>3783</v>
      </c>
      <c r="SVB4388" s="379" t="s">
        <v>3783</v>
      </c>
      <c r="SVC4388" s="379" t="s">
        <v>3783</v>
      </c>
      <c r="SVD4388" s="379" t="s">
        <v>3783</v>
      </c>
      <c r="SVE4388" s="379" t="s">
        <v>3783</v>
      </c>
      <c r="SVF4388" s="379" t="s">
        <v>3783</v>
      </c>
      <c r="SVG4388" s="379" t="s">
        <v>3783</v>
      </c>
      <c r="SVH4388" s="379" t="s">
        <v>3783</v>
      </c>
      <c r="SVI4388" s="379" t="s">
        <v>3783</v>
      </c>
      <c r="SVJ4388" s="379" t="s">
        <v>3783</v>
      </c>
      <c r="SVK4388" s="379" t="s">
        <v>3783</v>
      </c>
      <c r="SVL4388" s="379" t="s">
        <v>3783</v>
      </c>
      <c r="SVM4388" s="379" t="s">
        <v>3783</v>
      </c>
      <c r="SVN4388" s="379" t="s">
        <v>3783</v>
      </c>
      <c r="SVO4388" s="379" t="s">
        <v>3783</v>
      </c>
      <c r="SVP4388" s="379" t="s">
        <v>3783</v>
      </c>
      <c r="SVQ4388" s="379" t="s">
        <v>3783</v>
      </c>
      <c r="SVR4388" s="379" t="s">
        <v>3783</v>
      </c>
      <c r="SVS4388" s="379" t="s">
        <v>3783</v>
      </c>
      <c r="SVT4388" s="379" t="s">
        <v>3783</v>
      </c>
      <c r="SVU4388" s="379" t="s">
        <v>3783</v>
      </c>
      <c r="SVV4388" s="379" t="s">
        <v>3783</v>
      </c>
      <c r="SVW4388" s="379" t="s">
        <v>3783</v>
      </c>
      <c r="SVX4388" s="379" t="s">
        <v>3783</v>
      </c>
      <c r="SVY4388" s="379" t="s">
        <v>3783</v>
      </c>
      <c r="SVZ4388" s="379" t="s">
        <v>3783</v>
      </c>
      <c r="SWA4388" s="379" t="s">
        <v>3783</v>
      </c>
      <c r="SWB4388" s="379" t="s">
        <v>3783</v>
      </c>
      <c r="SWC4388" s="379" t="s">
        <v>3783</v>
      </c>
      <c r="SWD4388" s="379" t="s">
        <v>3783</v>
      </c>
      <c r="SWE4388" s="379" t="s">
        <v>3783</v>
      </c>
      <c r="SWF4388" s="379" t="s">
        <v>3783</v>
      </c>
      <c r="SWG4388" s="379" t="s">
        <v>3783</v>
      </c>
      <c r="SWH4388" s="379" t="s">
        <v>3783</v>
      </c>
      <c r="SWI4388" s="379" t="s">
        <v>3783</v>
      </c>
      <c r="SWJ4388" s="379" t="s">
        <v>3783</v>
      </c>
      <c r="SWK4388" s="379" t="s">
        <v>3783</v>
      </c>
      <c r="SWL4388" s="379" t="s">
        <v>3783</v>
      </c>
      <c r="SWM4388" s="379" t="s">
        <v>3783</v>
      </c>
      <c r="SWN4388" s="379" t="s">
        <v>3783</v>
      </c>
      <c r="SWO4388" s="379" t="s">
        <v>3783</v>
      </c>
      <c r="SWP4388" s="379" t="s">
        <v>3783</v>
      </c>
      <c r="SWQ4388" s="379" t="s">
        <v>3783</v>
      </c>
      <c r="SWR4388" s="379" t="s">
        <v>3783</v>
      </c>
      <c r="SWS4388" s="379" t="s">
        <v>3783</v>
      </c>
      <c r="SWT4388" s="379" t="s">
        <v>3783</v>
      </c>
      <c r="SWU4388" s="379" t="s">
        <v>3783</v>
      </c>
      <c r="SWV4388" s="379" t="s">
        <v>3783</v>
      </c>
      <c r="SWW4388" s="379" t="s">
        <v>3783</v>
      </c>
      <c r="SWX4388" s="379" t="s">
        <v>3783</v>
      </c>
      <c r="SWY4388" s="379" t="s">
        <v>3783</v>
      </c>
      <c r="SWZ4388" s="379" t="s">
        <v>3783</v>
      </c>
      <c r="SXA4388" s="379" t="s">
        <v>3783</v>
      </c>
      <c r="SXB4388" s="379" t="s">
        <v>3783</v>
      </c>
      <c r="SXC4388" s="379" t="s">
        <v>3783</v>
      </c>
      <c r="SXD4388" s="379" t="s">
        <v>3783</v>
      </c>
      <c r="SXE4388" s="379" t="s">
        <v>3783</v>
      </c>
      <c r="SXF4388" s="379" t="s">
        <v>3783</v>
      </c>
      <c r="SXG4388" s="379" t="s">
        <v>3783</v>
      </c>
      <c r="SXH4388" s="379" t="s">
        <v>3783</v>
      </c>
      <c r="SXI4388" s="379" t="s">
        <v>3783</v>
      </c>
      <c r="SXJ4388" s="379" t="s">
        <v>3783</v>
      </c>
      <c r="SXK4388" s="379" t="s">
        <v>3783</v>
      </c>
      <c r="SXL4388" s="379" t="s">
        <v>3783</v>
      </c>
      <c r="SXM4388" s="379" t="s">
        <v>3783</v>
      </c>
      <c r="SXN4388" s="379" t="s">
        <v>3783</v>
      </c>
      <c r="SXO4388" s="379" t="s">
        <v>3783</v>
      </c>
      <c r="SXP4388" s="379" t="s">
        <v>3783</v>
      </c>
      <c r="SXQ4388" s="379" t="s">
        <v>3783</v>
      </c>
      <c r="SXR4388" s="379" t="s">
        <v>3783</v>
      </c>
      <c r="SXS4388" s="379" t="s">
        <v>3783</v>
      </c>
      <c r="SXT4388" s="379" t="s">
        <v>3783</v>
      </c>
      <c r="SXU4388" s="379" t="s">
        <v>3783</v>
      </c>
      <c r="SXV4388" s="379" t="s">
        <v>3783</v>
      </c>
      <c r="SXW4388" s="379" t="s">
        <v>3783</v>
      </c>
      <c r="SXX4388" s="379" t="s">
        <v>3783</v>
      </c>
      <c r="SXY4388" s="379" t="s">
        <v>3783</v>
      </c>
      <c r="SXZ4388" s="379" t="s">
        <v>3783</v>
      </c>
      <c r="SYA4388" s="379" t="s">
        <v>3783</v>
      </c>
      <c r="SYB4388" s="379" t="s">
        <v>3783</v>
      </c>
      <c r="SYC4388" s="379" t="s">
        <v>3783</v>
      </c>
      <c r="SYD4388" s="379" t="s">
        <v>3783</v>
      </c>
      <c r="SYE4388" s="379" t="s">
        <v>3783</v>
      </c>
      <c r="SYF4388" s="379" t="s">
        <v>3783</v>
      </c>
      <c r="SYG4388" s="379" t="s">
        <v>3783</v>
      </c>
      <c r="SYH4388" s="379" t="s">
        <v>3783</v>
      </c>
      <c r="SYI4388" s="379" t="s">
        <v>3783</v>
      </c>
      <c r="SYJ4388" s="379" t="s">
        <v>3783</v>
      </c>
      <c r="SYK4388" s="379" t="s">
        <v>3783</v>
      </c>
      <c r="SYL4388" s="379" t="s">
        <v>3783</v>
      </c>
      <c r="SYM4388" s="379" t="s">
        <v>3783</v>
      </c>
      <c r="SYN4388" s="379" t="s">
        <v>3783</v>
      </c>
      <c r="SYO4388" s="379" t="s">
        <v>3783</v>
      </c>
      <c r="SYP4388" s="379" t="s">
        <v>3783</v>
      </c>
      <c r="SYQ4388" s="379" t="s">
        <v>3783</v>
      </c>
      <c r="SYR4388" s="379" t="s">
        <v>3783</v>
      </c>
      <c r="SYS4388" s="379" t="s">
        <v>3783</v>
      </c>
      <c r="SYT4388" s="379" t="s">
        <v>3783</v>
      </c>
      <c r="SYU4388" s="379" t="s">
        <v>3783</v>
      </c>
      <c r="SYV4388" s="379" t="s">
        <v>3783</v>
      </c>
      <c r="SYW4388" s="379" t="s">
        <v>3783</v>
      </c>
      <c r="SYX4388" s="379" t="s">
        <v>3783</v>
      </c>
      <c r="SYY4388" s="379" t="s">
        <v>3783</v>
      </c>
      <c r="SYZ4388" s="379" t="s">
        <v>3783</v>
      </c>
      <c r="SZA4388" s="379" t="s">
        <v>3783</v>
      </c>
      <c r="SZB4388" s="379" t="s">
        <v>3783</v>
      </c>
      <c r="SZC4388" s="379" t="s">
        <v>3783</v>
      </c>
      <c r="SZD4388" s="379" t="s">
        <v>3783</v>
      </c>
      <c r="SZE4388" s="379" t="s">
        <v>3783</v>
      </c>
      <c r="SZF4388" s="379" t="s">
        <v>3783</v>
      </c>
      <c r="SZG4388" s="379" t="s">
        <v>3783</v>
      </c>
      <c r="SZH4388" s="379" t="s">
        <v>3783</v>
      </c>
      <c r="SZI4388" s="379" t="s">
        <v>3783</v>
      </c>
      <c r="SZJ4388" s="379" t="s">
        <v>3783</v>
      </c>
      <c r="SZK4388" s="379" t="s">
        <v>3783</v>
      </c>
      <c r="SZL4388" s="379" t="s">
        <v>3783</v>
      </c>
      <c r="SZM4388" s="379" t="s">
        <v>3783</v>
      </c>
      <c r="SZN4388" s="379" t="s">
        <v>3783</v>
      </c>
      <c r="SZO4388" s="379" t="s">
        <v>3783</v>
      </c>
      <c r="SZP4388" s="379" t="s">
        <v>3783</v>
      </c>
      <c r="SZQ4388" s="379" t="s">
        <v>3783</v>
      </c>
      <c r="SZR4388" s="379" t="s">
        <v>3783</v>
      </c>
      <c r="SZS4388" s="379" t="s">
        <v>3783</v>
      </c>
      <c r="SZT4388" s="379" t="s">
        <v>3783</v>
      </c>
      <c r="SZU4388" s="379" t="s">
        <v>3783</v>
      </c>
      <c r="SZV4388" s="379" t="s">
        <v>3783</v>
      </c>
      <c r="SZW4388" s="379" t="s">
        <v>3783</v>
      </c>
      <c r="SZX4388" s="379" t="s">
        <v>3783</v>
      </c>
      <c r="SZY4388" s="379" t="s">
        <v>3783</v>
      </c>
      <c r="SZZ4388" s="379" t="s">
        <v>3783</v>
      </c>
      <c r="TAA4388" s="379" t="s">
        <v>3783</v>
      </c>
      <c r="TAB4388" s="379" t="s">
        <v>3783</v>
      </c>
      <c r="TAC4388" s="379" t="s">
        <v>3783</v>
      </c>
      <c r="TAD4388" s="379" t="s">
        <v>3783</v>
      </c>
      <c r="TAE4388" s="379" t="s">
        <v>3783</v>
      </c>
      <c r="TAF4388" s="379" t="s">
        <v>3783</v>
      </c>
      <c r="TAG4388" s="379" t="s">
        <v>3783</v>
      </c>
      <c r="TAH4388" s="379" t="s">
        <v>3783</v>
      </c>
      <c r="TAI4388" s="379" t="s">
        <v>3783</v>
      </c>
      <c r="TAJ4388" s="379" t="s">
        <v>3783</v>
      </c>
      <c r="TAK4388" s="379" t="s">
        <v>3783</v>
      </c>
      <c r="TAL4388" s="379" t="s">
        <v>3783</v>
      </c>
      <c r="TAM4388" s="379" t="s">
        <v>3783</v>
      </c>
      <c r="TAN4388" s="379" t="s">
        <v>3783</v>
      </c>
      <c r="TAO4388" s="379" t="s">
        <v>3783</v>
      </c>
      <c r="TAP4388" s="379" t="s">
        <v>3783</v>
      </c>
      <c r="TAQ4388" s="379" t="s">
        <v>3783</v>
      </c>
      <c r="TAR4388" s="379" t="s">
        <v>3783</v>
      </c>
      <c r="TAS4388" s="379" t="s">
        <v>3783</v>
      </c>
      <c r="TAT4388" s="379" t="s">
        <v>3783</v>
      </c>
      <c r="TAU4388" s="379" t="s">
        <v>3783</v>
      </c>
      <c r="TAV4388" s="379" t="s">
        <v>3783</v>
      </c>
      <c r="TAW4388" s="379" t="s">
        <v>3783</v>
      </c>
      <c r="TAX4388" s="379" t="s">
        <v>3783</v>
      </c>
      <c r="TAY4388" s="379" t="s">
        <v>3783</v>
      </c>
      <c r="TAZ4388" s="379" t="s">
        <v>3783</v>
      </c>
      <c r="TBA4388" s="379" t="s">
        <v>3783</v>
      </c>
      <c r="TBB4388" s="379" t="s">
        <v>3783</v>
      </c>
      <c r="TBC4388" s="379" t="s">
        <v>3783</v>
      </c>
      <c r="TBD4388" s="379" t="s">
        <v>3783</v>
      </c>
      <c r="TBE4388" s="379" t="s">
        <v>3783</v>
      </c>
      <c r="TBF4388" s="379" t="s">
        <v>3783</v>
      </c>
      <c r="TBG4388" s="379" t="s">
        <v>3783</v>
      </c>
      <c r="TBH4388" s="379" t="s">
        <v>3783</v>
      </c>
      <c r="TBI4388" s="379" t="s">
        <v>3783</v>
      </c>
      <c r="TBJ4388" s="379" t="s">
        <v>3783</v>
      </c>
      <c r="TBK4388" s="379" t="s">
        <v>3783</v>
      </c>
      <c r="TBL4388" s="379" t="s">
        <v>3783</v>
      </c>
      <c r="TBM4388" s="379" t="s">
        <v>3783</v>
      </c>
      <c r="TBN4388" s="379" t="s">
        <v>3783</v>
      </c>
      <c r="TBO4388" s="379" t="s">
        <v>3783</v>
      </c>
      <c r="TBP4388" s="379" t="s">
        <v>3783</v>
      </c>
      <c r="TBQ4388" s="379" t="s">
        <v>3783</v>
      </c>
      <c r="TBR4388" s="379" t="s">
        <v>3783</v>
      </c>
      <c r="TBS4388" s="379" t="s">
        <v>3783</v>
      </c>
      <c r="TBT4388" s="379" t="s">
        <v>3783</v>
      </c>
      <c r="TBU4388" s="379" t="s">
        <v>3783</v>
      </c>
      <c r="TBV4388" s="379" t="s">
        <v>3783</v>
      </c>
      <c r="TBW4388" s="379" t="s">
        <v>3783</v>
      </c>
      <c r="TBX4388" s="379" t="s">
        <v>3783</v>
      </c>
      <c r="TBY4388" s="379" t="s">
        <v>3783</v>
      </c>
      <c r="TBZ4388" s="379" t="s">
        <v>3783</v>
      </c>
      <c r="TCA4388" s="379" t="s">
        <v>3783</v>
      </c>
      <c r="TCB4388" s="379" t="s">
        <v>3783</v>
      </c>
      <c r="TCC4388" s="379" t="s">
        <v>3783</v>
      </c>
      <c r="TCD4388" s="379" t="s">
        <v>3783</v>
      </c>
      <c r="TCE4388" s="379" t="s">
        <v>3783</v>
      </c>
      <c r="TCF4388" s="379" t="s">
        <v>3783</v>
      </c>
      <c r="TCG4388" s="379" t="s">
        <v>3783</v>
      </c>
      <c r="TCH4388" s="379" t="s">
        <v>3783</v>
      </c>
      <c r="TCI4388" s="379" t="s">
        <v>3783</v>
      </c>
      <c r="TCJ4388" s="379" t="s">
        <v>3783</v>
      </c>
      <c r="TCK4388" s="379" t="s">
        <v>3783</v>
      </c>
      <c r="TCL4388" s="379" t="s">
        <v>3783</v>
      </c>
      <c r="TCM4388" s="379" t="s">
        <v>3783</v>
      </c>
      <c r="TCN4388" s="379" t="s">
        <v>3783</v>
      </c>
      <c r="TCO4388" s="379" t="s">
        <v>3783</v>
      </c>
      <c r="TCP4388" s="379" t="s">
        <v>3783</v>
      </c>
      <c r="TCQ4388" s="379" t="s">
        <v>3783</v>
      </c>
      <c r="TCR4388" s="379" t="s">
        <v>3783</v>
      </c>
      <c r="TCS4388" s="379" t="s">
        <v>3783</v>
      </c>
      <c r="TCT4388" s="379" t="s">
        <v>3783</v>
      </c>
      <c r="TCU4388" s="379" t="s">
        <v>3783</v>
      </c>
      <c r="TCV4388" s="379" t="s">
        <v>3783</v>
      </c>
      <c r="TCW4388" s="379" t="s">
        <v>3783</v>
      </c>
      <c r="TCX4388" s="379" t="s">
        <v>3783</v>
      </c>
      <c r="TCY4388" s="379" t="s">
        <v>3783</v>
      </c>
      <c r="TCZ4388" s="379" t="s">
        <v>3783</v>
      </c>
      <c r="TDA4388" s="379" t="s">
        <v>3783</v>
      </c>
      <c r="TDB4388" s="379" t="s">
        <v>3783</v>
      </c>
      <c r="TDC4388" s="379" t="s">
        <v>3783</v>
      </c>
      <c r="TDD4388" s="379" t="s">
        <v>3783</v>
      </c>
      <c r="TDE4388" s="379" t="s">
        <v>3783</v>
      </c>
      <c r="TDF4388" s="379" t="s">
        <v>3783</v>
      </c>
      <c r="TDG4388" s="379" t="s">
        <v>3783</v>
      </c>
      <c r="TDH4388" s="379" t="s">
        <v>3783</v>
      </c>
      <c r="TDI4388" s="379" t="s">
        <v>3783</v>
      </c>
      <c r="TDJ4388" s="379" t="s">
        <v>3783</v>
      </c>
      <c r="TDK4388" s="379" t="s">
        <v>3783</v>
      </c>
      <c r="TDL4388" s="379" t="s">
        <v>3783</v>
      </c>
      <c r="TDM4388" s="379" t="s">
        <v>3783</v>
      </c>
      <c r="TDN4388" s="379" t="s">
        <v>3783</v>
      </c>
      <c r="TDO4388" s="379" t="s">
        <v>3783</v>
      </c>
      <c r="TDP4388" s="379" t="s">
        <v>3783</v>
      </c>
      <c r="TDQ4388" s="379" t="s">
        <v>3783</v>
      </c>
      <c r="TDR4388" s="379" t="s">
        <v>3783</v>
      </c>
      <c r="TDS4388" s="379" t="s">
        <v>3783</v>
      </c>
      <c r="TDT4388" s="379" t="s">
        <v>3783</v>
      </c>
      <c r="TDU4388" s="379" t="s">
        <v>3783</v>
      </c>
      <c r="TDV4388" s="379" t="s">
        <v>3783</v>
      </c>
      <c r="TDW4388" s="379" t="s">
        <v>3783</v>
      </c>
      <c r="TDX4388" s="379" t="s">
        <v>3783</v>
      </c>
      <c r="TDY4388" s="379" t="s">
        <v>3783</v>
      </c>
      <c r="TDZ4388" s="379" t="s">
        <v>3783</v>
      </c>
      <c r="TEA4388" s="379" t="s">
        <v>3783</v>
      </c>
      <c r="TEB4388" s="379" t="s">
        <v>3783</v>
      </c>
      <c r="TEC4388" s="379" t="s">
        <v>3783</v>
      </c>
      <c r="TED4388" s="379" t="s">
        <v>3783</v>
      </c>
      <c r="TEE4388" s="379" t="s">
        <v>3783</v>
      </c>
      <c r="TEF4388" s="379" t="s">
        <v>3783</v>
      </c>
      <c r="TEG4388" s="379" t="s">
        <v>3783</v>
      </c>
      <c r="TEH4388" s="379" t="s">
        <v>3783</v>
      </c>
      <c r="TEI4388" s="379" t="s">
        <v>3783</v>
      </c>
      <c r="TEJ4388" s="379" t="s">
        <v>3783</v>
      </c>
      <c r="TEK4388" s="379" t="s">
        <v>3783</v>
      </c>
      <c r="TEL4388" s="379" t="s">
        <v>3783</v>
      </c>
      <c r="TEM4388" s="379" t="s">
        <v>3783</v>
      </c>
      <c r="TEN4388" s="379" t="s">
        <v>3783</v>
      </c>
      <c r="TEO4388" s="379" t="s">
        <v>3783</v>
      </c>
      <c r="TEP4388" s="379" t="s">
        <v>3783</v>
      </c>
      <c r="TEQ4388" s="379" t="s">
        <v>3783</v>
      </c>
      <c r="TER4388" s="379" t="s">
        <v>3783</v>
      </c>
      <c r="TES4388" s="379" t="s">
        <v>3783</v>
      </c>
      <c r="TET4388" s="379" t="s">
        <v>3783</v>
      </c>
      <c r="TEU4388" s="379" t="s">
        <v>3783</v>
      </c>
      <c r="TEV4388" s="379" t="s">
        <v>3783</v>
      </c>
      <c r="TEW4388" s="379" t="s">
        <v>3783</v>
      </c>
      <c r="TEX4388" s="379" t="s">
        <v>3783</v>
      </c>
      <c r="TEY4388" s="379" t="s">
        <v>3783</v>
      </c>
      <c r="TEZ4388" s="379" t="s">
        <v>3783</v>
      </c>
      <c r="TFA4388" s="379" t="s">
        <v>3783</v>
      </c>
      <c r="TFB4388" s="379" t="s">
        <v>3783</v>
      </c>
      <c r="TFC4388" s="379" t="s">
        <v>3783</v>
      </c>
      <c r="TFD4388" s="379" t="s">
        <v>3783</v>
      </c>
      <c r="TFE4388" s="379" t="s">
        <v>3783</v>
      </c>
      <c r="TFF4388" s="379" t="s">
        <v>3783</v>
      </c>
      <c r="TFG4388" s="379" t="s">
        <v>3783</v>
      </c>
      <c r="TFH4388" s="379" t="s">
        <v>3783</v>
      </c>
      <c r="TFI4388" s="379" t="s">
        <v>3783</v>
      </c>
      <c r="TFJ4388" s="379" t="s">
        <v>3783</v>
      </c>
      <c r="TFK4388" s="379" t="s">
        <v>3783</v>
      </c>
      <c r="TFL4388" s="379" t="s">
        <v>3783</v>
      </c>
      <c r="TFM4388" s="379" t="s">
        <v>3783</v>
      </c>
      <c r="TFN4388" s="379" t="s">
        <v>3783</v>
      </c>
      <c r="TFO4388" s="379" t="s">
        <v>3783</v>
      </c>
      <c r="TFP4388" s="379" t="s">
        <v>3783</v>
      </c>
      <c r="TFQ4388" s="379" t="s">
        <v>3783</v>
      </c>
      <c r="TFR4388" s="379" t="s">
        <v>3783</v>
      </c>
      <c r="TFS4388" s="379" t="s">
        <v>3783</v>
      </c>
      <c r="TFT4388" s="379" t="s">
        <v>3783</v>
      </c>
      <c r="TFU4388" s="379" t="s">
        <v>3783</v>
      </c>
      <c r="TFV4388" s="379" t="s">
        <v>3783</v>
      </c>
      <c r="TFW4388" s="379" t="s">
        <v>3783</v>
      </c>
      <c r="TFX4388" s="379" t="s">
        <v>3783</v>
      </c>
      <c r="TFY4388" s="379" t="s">
        <v>3783</v>
      </c>
      <c r="TFZ4388" s="379" t="s">
        <v>3783</v>
      </c>
      <c r="TGA4388" s="379" t="s">
        <v>3783</v>
      </c>
      <c r="TGB4388" s="379" t="s">
        <v>3783</v>
      </c>
      <c r="TGC4388" s="379" t="s">
        <v>3783</v>
      </c>
      <c r="TGD4388" s="379" t="s">
        <v>3783</v>
      </c>
      <c r="TGE4388" s="379" t="s">
        <v>3783</v>
      </c>
      <c r="TGF4388" s="379" t="s">
        <v>3783</v>
      </c>
      <c r="TGG4388" s="379" t="s">
        <v>3783</v>
      </c>
      <c r="TGH4388" s="379" t="s">
        <v>3783</v>
      </c>
      <c r="TGI4388" s="379" t="s">
        <v>3783</v>
      </c>
      <c r="TGJ4388" s="379" t="s">
        <v>3783</v>
      </c>
      <c r="TGK4388" s="379" t="s">
        <v>3783</v>
      </c>
      <c r="TGL4388" s="379" t="s">
        <v>3783</v>
      </c>
      <c r="TGM4388" s="379" t="s">
        <v>3783</v>
      </c>
      <c r="TGN4388" s="379" t="s">
        <v>3783</v>
      </c>
      <c r="TGO4388" s="379" t="s">
        <v>3783</v>
      </c>
      <c r="TGP4388" s="379" t="s">
        <v>3783</v>
      </c>
      <c r="TGQ4388" s="379" t="s">
        <v>3783</v>
      </c>
      <c r="TGR4388" s="379" t="s">
        <v>3783</v>
      </c>
      <c r="TGS4388" s="379" t="s">
        <v>3783</v>
      </c>
      <c r="TGT4388" s="379" t="s">
        <v>3783</v>
      </c>
      <c r="TGU4388" s="379" t="s">
        <v>3783</v>
      </c>
      <c r="TGV4388" s="379" t="s">
        <v>3783</v>
      </c>
      <c r="TGW4388" s="379" t="s">
        <v>3783</v>
      </c>
      <c r="TGX4388" s="379" t="s">
        <v>3783</v>
      </c>
      <c r="TGY4388" s="379" t="s">
        <v>3783</v>
      </c>
      <c r="TGZ4388" s="379" t="s">
        <v>3783</v>
      </c>
      <c r="THA4388" s="379" t="s">
        <v>3783</v>
      </c>
      <c r="THB4388" s="379" t="s">
        <v>3783</v>
      </c>
      <c r="THC4388" s="379" t="s">
        <v>3783</v>
      </c>
      <c r="THD4388" s="379" t="s">
        <v>3783</v>
      </c>
      <c r="THE4388" s="379" t="s">
        <v>3783</v>
      </c>
      <c r="THF4388" s="379" t="s">
        <v>3783</v>
      </c>
      <c r="THG4388" s="379" t="s">
        <v>3783</v>
      </c>
      <c r="THH4388" s="379" t="s">
        <v>3783</v>
      </c>
      <c r="THI4388" s="379" t="s">
        <v>3783</v>
      </c>
      <c r="THJ4388" s="379" t="s">
        <v>3783</v>
      </c>
      <c r="THK4388" s="379" t="s">
        <v>3783</v>
      </c>
      <c r="THL4388" s="379" t="s">
        <v>3783</v>
      </c>
      <c r="THM4388" s="379" t="s">
        <v>3783</v>
      </c>
      <c r="THN4388" s="379" t="s">
        <v>3783</v>
      </c>
      <c r="THO4388" s="379" t="s">
        <v>3783</v>
      </c>
      <c r="THP4388" s="379" t="s">
        <v>3783</v>
      </c>
      <c r="THQ4388" s="379" t="s">
        <v>3783</v>
      </c>
      <c r="THR4388" s="379" t="s">
        <v>3783</v>
      </c>
      <c r="THS4388" s="379" t="s">
        <v>3783</v>
      </c>
      <c r="THT4388" s="379" t="s">
        <v>3783</v>
      </c>
      <c r="THU4388" s="379" t="s">
        <v>3783</v>
      </c>
      <c r="THV4388" s="379" t="s">
        <v>3783</v>
      </c>
      <c r="THW4388" s="379" t="s">
        <v>3783</v>
      </c>
      <c r="THX4388" s="379" t="s">
        <v>3783</v>
      </c>
      <c r="THY4388" s="379" t="s">
        <v>3783</v>
      </c>
      <c r="THZ4388" s="379" t="s">
        <v>3783</v>
      </c>
      <c r="TIA4388" s="379" t="s">
        <v>3783</v>
      </c>
      <c r="TIB4388" s="379" t="s">
        <v>3783</v>
      </c>
      <c r="TIC4388" s="379" t="s">
        <v>3783</v>
      </c>
      <c r="TID4388" s="379" t="s">
        <v>3783</v>
      </c>
      <c r="TIE4388" s="379" t="s">
        <v>3783</v>
      </c>
      <c r="TIF4388" s="379" t="s">
        <v>3783</v>
      </c>
      <c r="TIG4388" s="379" t="s">
        <v>3783</v>
      </c>
      <c r="TIH4388" s="379" t="s">
        <v>3783</v>
      </c>
      <c r="TII4388" s="379" t="s">
        <v>3783</v>
      </c>
      <c r="TIJ4388" s="379" t="s">
        <v>3783</v>
      </c>
      <c r="TIK4388" s="379" t="s">
        <v>3783</v>
      </c>
      <c r="TIL4388" s="379" t="s">
        <v>3783</v>
      </c>
      <c r="TIM4388" s="379" t="s">
        <v>3783</v>
      </c>
      <c r="TIN4388" s="379" t="s">
        <v>3783</v>
      </c>
      <c r="TIO4388" s="379" t="s">
        <v>3783</v>
      </c>
      <c r="TIP4388" s="379" t="s">
        <v>3783</v>
      </c>
      <c r="TIQ4388" s="379" t="s">
        <v>3783</v>
      </c>
      <c r="TIR4388" s="379" t="s">
        <v>3783</v>
      </c>
      <c r="TIS4388" s="379" t="s">
        <v>3783</v>
      </c>
      <c r="TIT4388" s="379" t="s">
        <v>3783</v>
      </c>
      <c r="TIU4388" s="379" t="s">
        <v>3783</v>
      </c>
      <c r="TIV4388" s="379" t="s">
        <v>3783</v>
      </c>
      <c r="TIW4388" s="379" t="s">
        <v>3783</v>
      </c>
      <c r="TIX4388" s="379" t="s">
        <v>3783</v>
      </c>
      <c r="TIY4388" s="379" t="s">
        <v>3783</v>
      </c>
      <c r="TIZ4388" s="379" t="s">
        <v>3783</v>
      </c>
      <c r="TJA4388" s="379" t="s">
        <v>3783</v>
      </c>
      <c r="TJB4388" s="379" t="s">
        <v>3783</v>
      </c>
      <c r="TJC4388" s="379" t="s">
        <v>3783</v>
      </c>
      <c r="TJD4388" s="379" t="s">
        <v>3783</v>
      </c>
      <c r="TJE4388" s="379" t="s">
        <v>3783</v>
      </c>
      <c r="TJF4388" s="379" t="s">
        <v>3783</v>
      </c>
      <c r="TJG4388" s="379" t="s">
        <v>3783</v>
      </c>
      <c r="TJH4388" s="379" t="s">
        <v>3783</v>
      </c>
      <c r="TJI4388" s="379" t="s">
        <v>3783</v>
      </c>
      <c r="TJJ4388" s="379" t="s">
        <v>3783</v>
      </c>
      <c r="TJK4388" s="379" t="s">
        <v>3783</v>
      </c>
      <c r="TJL4388" s="379" t="s">
        <v>3783</v>
      </c>
      <c r="TJM4388" s="379" t="s">
        <v>3783</v>
      </c>
      <c r="TJN4388" s="379" t="s">
        <v>3783</v>
      </c>
      <c r="TJO4388" s="379" t="s">
        <v>3783</v>
      </c>
      <c r="TJP4388" s="379" t="s">
        <v>3783</v>
      </c>
      <c r="TJQ4388" s="379" t="s">
        <v>3783</v>
      </c>
      <c r="TJR4388" s="379" t="s">
        <v>3783</v>
      </c>
      <c r="TJS4388" s="379" t="s">
        <v>3783</v>
      </c>
      <c r="TJT4388" s="379" t="s">
        <v>3783</v>
      </c>
      <c r="TJU4388" s="379" t="s">
        <v>3783</v>
      </c>
      <c r="TJV4388" s="379" t="s">
        <v>3783</v>
      </c>
      <c r="TJW4388" s="379" t="s">
        <v>3783</v>
      </c>
      <c r="TJX4388" s="379" t="s">
        <v>3783</v>
      </c>
      <c r="TJY4388" s="379" t="s">
        <v>3783</v>
      </c>
      <c r="TJZ4388" s="379" t="s">
        <v>3783</v>
      </c>
      <c r="TKA4388" s="379" t="s">
        <v>3783</v>
      </c>
      <c r="TKB4388" s="379" t="s">
        <v>3783</v>
      </c>
      <c r="TKC4388" s="379" t="s">
        <v>3783</v>
      </c>
      <c r="TKD4388" s="379" t="s">
        <v>3783</v>
      </c>
      <c r="TKE4388" s="379" t="s">
        <v>3783</v>
      </c>
      <c r="TKF4388" s="379" t="s">
        <v>3783</v>
      </c>
      <c r="TKG4388" s="379" t="s">
        <v>3783</v>
      </c>
      <c r="TKH4388" s="379" t="s">
        <v>3783</v>
      </c>
      <c r="TKI4388" s="379" t="s">
        <v>3783</v>
      </c>
      <c r="TKJ4388" s="379" t="s">
        <v>3783</v>
      </c>
      <c r="TKK4388" s="379" t="s">
        <v>3783</v>
      </c>
      <c r="TKL4388" s="379" t="s">
        <v>3783</v>
      </c>
      <c r="TKM4388" s="379" t="s">
        <v>3783</v>
      </c>
      <c r="TKN4388" s="379" t="s">
        <v>3783</v>
      </c>
      <c r="TKO4388" s="379" t="s">
        <v>3783</v>
      </c>
      <c r="TKP4388" s="379" t="s">
        <v>3783</v>
      </c>
      <c r="TKQ4388" s="379" t="s">
        <v>3783</v>
      </c>
      <c r="TKR4388" s="379" t="s">
        <v>3783</v>
      </c>
      <c r="TKS4388" s="379" t="s">
        <v>3783</v>
      </c>
      <c r="TKT4388" s="379" t="s">
        <v>3783</v>
      </c>
      <c r="TKU4388" s="379" t="s">
        <v>3783</v>
      </c>
      <c r="TKV4388" s="379" t="s">
        <v>3783</v>
      </c>
      <c r="TKW4388" s="379" t="s">
        <v>3783</v>
      </c>
      <c r="TKX4388" s="379" t="s">
        <v>3783</v>
      </c>
      <c r="TKY4388" s="379" t="s">
        <v>3783</v>
      </c>
      <c r="TKZ4388" s="379" t="s">
        <v>3783</v>
      </c>
      <c r="TLA4388" s="379" t="s">
        <v>3783</v>
      </c>
      <c r="TLB4388" s="379" t="s">
        <v>3783</v>
      </c>
      <c r="TLC4388" s="379" t="s">
        <v>3783</v>
      </c>
      <c r="TLD4388" s="379" t="s">
        <v>3783</v>
      </c>
      <c r="TLE4388" s="379" t="s">
        <v>3783</v>
      </c>
      <c r="TLF4388" s="379" t="s">
        <v>3783</v>
      </c>
      <c r="TLG4388" s="379" t="s">
        <v>3783</v>
      </c>
      <c r="TLH4388" s="379" t="s">
        <v>3783</v>
      </c>
      <c r="TLI4388" s="379" t="s">
        <v>3783</v>
      </c>
      <c r="TLJ4388" s="379" t="s">
        <v>3783</v>
      </c>
      <c r="TLK4388" s="379" t="s">
        <v>3783</v>
      </c>
      <c r="TLL4388" s="379" t="s">
        <v>3783</v>
      </c>
      <c r="TLM4388" s="379" t="s">
        <v>3783</v>
      </c>
      <c r="TLN4388" s="379" t="s">
        <v>3783</v>
      </c>
      <c r="TLO4388" s="379" t="s">
        <v>3783</v>
      </c>
      <c r="TLP4388" s="379" t="s">
        <v>3783</v>
      </c>
      <c r="TLQ4388" s="379" t="s">
        <v>3783</v>
      </c>
      <c r="TLR4388" s="379" t="s">
        <v>3783</v>
      </c>
      <c r="TLS4388" s="379" t="s">
        <v>3783</v>
      </c>
      <c r="TLT4388" s="379" t="s">
        <v>3783</v>
      </c>
      <c r="TLU4388" s="379" t="s">
        <v>3783</v>
      </c>
      <c r="TLV4388" s="379" t="s">
        <v>3783</v>
      </c>
      <c r="TLW4388" s="379" t="s">
        <v>3783</v>
      </c>
      <c r="TLX4388" s="379" t="s">
        <v>3783</v>
      </c>
      <c r="TLY4388" s="379" t="s">
        <v>3783</v>
      </c>
      <c r="TLZ4388" s="379" t="s">
        <v>3783</v>
      </c>
      <c r="TMA4388" s="379" t="s">
        <v>3783</v>
      </c>
      <c r="TMB4388" s="379" t="s">
        <v>3783</v>
      </c>
      <c r="TMC4388" s="379" t="s">
        <v>3783</v>
      </c>
      <c r="TMD4388" s="379" t="s">
        <v>3783</v>
      </c>
      <c r="TME4388" s="379" t="s">
        <v>3783</v>
      </c>
      <c r="TMF4388" s="379" t="s">
        <v>3783</v>
      </c>
      <c r="TMG4388" s="379" t="s">
        <v>3783</v>
      </c>
      <c r="TMH4388" s="379" t="s">
        <v>3783</v>
      </c>
      <c r="TMI4388" s="379" t="s">
        <v>3783</v>
      </c>
      <c r="TMJ4388" s="379" t="s">
        <v>3783</v>
      </c>
      <c r="TMK4388" s="379" t="s">
        <v>3783</v>
      </c>
      <c r="TML4388" s="379" t="s">
        <v>3783</v>
      </c>
      <c r="TMM4388" s="379" t="s">
        <v>3783</v>
      </c>
      <c r="TMN4388" s="379" t="s">
        <v>3783</v>
      </c>
      <c r="TMO4388" s="379" t="s">
        <v>3783</v>
      </c>
      <c r="TMP4388" s="379" t="s">
        <v>3783</v>
      </c>
      <c r="TMQ4388" s="379" t="s">
        <v>3783</v>
      </c>
      <c r="TMR4388" s="379" t="s">
        <v>3783</v>
      </c>
      <c r="TMS4388" s="379" t="s">
        <v>3783</v>
      </c>
      <c r="TMT4388" s="379" t="s">
        <v>3783</v>
      </c>
      <c r="TMU4388" s="379" t="s">
        <v>3783</v>
      </c>
      <c r="TMV4388" s="379" t="s">
        <v>3783</v>
      </c>
      <c r="TMW4388" s="379" t="s">
        <v>3783</v>
      </c>
      <c r="TMX4388" s="379" t="s">
        <v>3783</v>
      </c>
      <c r="TMY4388" s="379" t="s">
        <v>3783</v>
      </c>
      <c r="TMZ4388" s="379" t="s">
        <v>3783</v>
      </c>
      <c r="TNA4388" s="379" t="s">
        <v>3783</v>
      </c>
      <c r="TNB4388" s="379" t="s">
        <v>3783</v>
      </c>
      <c r="TNC4388" s="379" t="s">
        <v>3783</v>
      </c>
      <c r="TND4388" s="379" t="s">
        <v>3783</v>
      </c>
      <c r="TNE4388" s="379" t="s">
        <v>3783</v>
      </c>
      <c r="TNF4388" s="379" t="s">
        <v>3783</v>
      </c>
      <c r="TNG4388" s="379" t="s">
        <v>3783</v>
      </c>
      <c r="TNH4388" s="379" t="s">
        <v>3783</v>
      </c>
      <c r="TNI4388" s="379" t="s">
        <v>3783</v>
      </c>
      <c r="TNJ4388" s="379" t="s">
        <v>3783</v>
      </c>
      <c r="TNK4388" s="379" t="s">
        <v>3783</v>
      </c>
      <c r="TNL4388" s="379" t="s">
        <v>3783</v>
      </c>
      <c r="TNM4388" s="379" t="s">
        <v>3783</v>
      </c>
      <c r="TNN4388" s="379" t="s">
        <v>3783</v>
      </c>
      <c r="TNO4388" s="379" t="s">
        <v>3783</v>
      </c>
      <c r="TNP4388" s="379" t="s">
        <v>3783</v>
      </c>
      <c r="TNQ4388" s="379" t="s">
        <v>3783</v>
      </c>
      <c r="TNR4388" s="379" t="s">
        <v>3783</v>
      </c>
      <c r="TNS4388" s="379" t="s">
        <v>3783</v>
      </c>
      <c r="TNT4388" s="379" t="s">
        <v>3783</v>
      </c>
      <c r="TNU4388" s="379" t="s">
        <v>3783</v>
      </c>
      <c r="TNV4388" s="379" t="s">
        <v>3783</v>
      </c>
      <c r="TNW4388" s="379" t="s">
        <v>3783</v>
      </c>
      <c r="TNX4388" s="379" t="s">
        <v>3783</v>
      </c>
      <c r="TNY4388" s="379" t="s">
        <v>3783</v>
      </c>
      <c r="TNZ4388" s="379" t="s">
        <v>3783</v>
      </c>
      <c r="TOA4388" s="379" t="s">
        <v>3783</v>
      </c>
      <c r="TOB4388" s="379" t="s">
        <v>3783</v>
      </c>
      <c r="TOC4388" s="379" t="s">
        <v>3783</v>
      </c>
      <c r="TOD4388" s="379" t="s">
        <v>3783</v>
      </c>
      <c r="TOE4388" s="379" t="s">
        <v>3783</v>
      </c>
      <c r="TOF4388" s="379" t="s">
        <v>3783</v>
      </c>
      <c r="TOG4388" s="379" t="s">
        <v>3783</v>
      </c>
      <c r="TOH4388" s="379" t="s">
        <v>3783</v>
      </c>
      <c r="TOI4388" s="379" t="s">
        <v>3783</v>
      </c>
      <c r="TOJ4388" s="379" t="s">
        <v>3783</v>
      </c>
      <c r="TOK4388" s="379" t="s">
        <v>3783</v>
      </c>
      <c r="TOL4388" s="379" t="s">
        <v>3783</v>
      </c>
      <c r="TOM4388" s="379" t="s">
        <v>3783</v>
      </c>
      <c r="TON4388" s="379" t="s">
        <v>3783</v>
      </c>
      <c r="TOO4388" s="379" t="s">
        <v>3783</v>
      </c>
      <c r="TOP4388" s="379" t="s">
        <v>3783</v>
      </c>
      <c r="TOQ4388" s="379" t="s">
        <v>3783</v>
      </c>
      <c r="TOR4388" s="379" t="s">
        <v>3783</v>
      </c>
      <c r="TOS4388" s="379" t="s">
        <v>3783</v>
      </c>
      <c r="TOT4388" s="379" t="s">
        <v>3783</v>
      </c>
      <c r="TOU4388" s="379" t="s">
        <v>3783</v>
      </c>
      <c r="TOV4388" s="379" t="s">
        <v>3783</v>
      </c>
      <c r="TOW4388" s="379" t="s">
        <v>3783</v>
      </c>
      <c r="TOX4388" s="379" t="s">
        <v>3783</v>
      </c>
      <c r="TOY4388" s="379" t="s">
        <v>3783</v>
      </c>
      <c r="TOZ4388" s="379" t="s">
        <v>3783</v>
      </c>
      <c r="TPA4388" s="379" t="s">
        <v>3783</v>
      </c>
      <c r="TPB4388" s="379" t="s">
        <v>3783</v>
      </c>
      <c r="TPC4388" s="379" t="s">
        <v>3783</v>
      </c>
      <c r="TPD4388" s="379" t="s">
        <v>3783</v>
      </c>
      <c r="TPE4388" s="379" t="s">
        <v>3783</v>
      </c>
      <c r="TPF4388" s="379" t="s">
        <v>3783</v>
      </c>
      <c r="TPG4388" s="379" t="s">
        <v>3783</v>
      </c>
      <c r="TPH4388" s="379" t="s">
        <v>3783</v>
      </c>
      <c r="TPI4388" s="379" t="s">
        <v>3783</v>
      </c>
      <c r="TPJ4388" s="379" t="s">
        <v>3783</v>
      </c>
      <c r="TPK4388" s="379" t="s">
        <v>3783</v>
      </c>
      <c r="TPL4388" s="379" t="s">
        <v>3783</v>
      </c>
      <c r="TPM4388" s="379" t="s">
        <v>3783</v>
      </c>
      <c r="TPN4388" s="379" t="s">
        <v>3783</v>
      </c>
      <c r="TPO4388" s="379" t="s">
        <v>3783</v>
      </c>
      <c r="TPP4388" s="379" t="s">
        <v>3783</v>
      </c>
      <c r="TPQ4388" s="379" t="s">
        <v>3783</v>
      </c>
      <c r="TPR4388" s="379" t="s">
        <v>3783</v>
      </c>
      <c r="TPS4388" s="379" t="s">
        <v>3783</v>
      </c>
      <c r="TPT4388" s="379" t="s">
        <v>3783</v>
      </c>
      <c r="TPU4388" s="379" t="s">
        <v>3783</v>
      </c>
      <c r="TPV4388" s="379" t="s">
        <v>3783</v>
      </c>
      <c r="TPW4388" s="379" t="s">
        <v>3783</v>
      </c>
      <c r="TPX4388" s="379" t="s">
        <v>3783</v>
      </c>
      <c r="TPY4388" s="379" t="s">
        <v>3783</v>
      </c>
      <c r="TPZ4388" s="379" t="s">
        <v>3783</v>
      </c>
      <c r="TQA4388" s="379" t="s">
        <v>3783</v>
      </c>
      <c r="TQB4388" s="379" t="s">
        <v>3783</v>
      </c>
      <c r="TQC4388" s="379" t="s">
        <v>3783</v>
      </c>
      <c r="TQD4388" s="379" t="s">
        <v>3783</v>
      </c>
      <c r="TQE4388" s="379" t="s">
        <v>3783</v>
      </c>
      <c r="TQF4388" s="379" t="s">
        <v>3783</v>
      </c>
      <c r="TQG4388" s="379" t="s">
        <v>3783</v>
      </c>
      <c r="TQH4388" s="379" t="s">
        <v>3783</v>
      </c>
      <c r="TQI4388" s="379" t="s">
        <v>3783</v>
      </c>
      <c r="TQJ4388" s="379" t="s">
        <v>3783</v>
      </c>
      <c r="TQK4388" s="379" t="s">
        <v>3783</v>
      </c>
      <c r="TQL4388" s="379" t="s">
        <v>3783</v>
      </c>
      <c r="TQM4388" s="379" t="s">
        <v>3783</v>
      </c>
      <c r="TQN4388" s="379" t="s">
        <v>3783</v>
      </c>
      <c r="TQO4388" s="379" t="s">
        <v>3783</v>
      </c>
      <c r="TQP4388" s="379" t="s">
        <v>3783</v>
      </c>
      <c r="TQQ4388" s="379" t="s">
        <v>3783</v>
      </c>
      <c r="TQR4388" s="379" t="s">
        <v>3783</v>
      </c>
      <c r="TQS4388" s="379" t="s">
        <v>3783</v>
      </c>
      <c r="TQT4388" s="379" t="s">
        <v>3783</v>
      </c>
      <c r="TQU4388" s="379" t="s">
        <v>3783</v>
      </c>
      <c r="TQV4388" s="379" t="s">
        <v>3783</v>
      </c>
      <c r="TQW4388" s="379" t="s">
        <v>3783</v>
      </c>
      <c r="TQX4388" s="379" t="s">
        <v>3783</v>
      </c>
      <c r="TQY4388" s="379" t="s">
        <v>3783</v>
      </c>
      <c r="TQZ4388" s="379" t="s">
        <v>3783</v>
      </c>
      <c r="TRA4388" s="379" t="s">
        <v>3783</v>
      </c>
      <c r="TRB4388" s="379" t="s">
        <v>3783</v>
      </c>
      <c r="TRC4388" s="379" t="s">
        <v>3783</v>
      </c>
      <c r="TRD4388" s="379" t="s">
        <v>3783</v>
      </c>
      <c r="TRE4388" s="379" t="s">
        <v>3783</v>
      </c>
      <c r="TRF4388" s="379" t="s">
        <v>3783</v>
      </c>
      <c r="TRG4388" s="379" t="s">
        <v>3783</v>
      </c>
      <c r="TRH4388" s="379" t="s">
        <v>3783</v>
      </c>
      <c r="TRI4388" s="379" t="s">
        <v>3783</v>
      </c>
      <c r="TRJ4388" s="379" t="s">
        <v>3783</v>
      </c>
      <c r="TRK4388" s="379" t="s">
        <v>3783</v>
      </c>
      <c r="TRL4388" s="379" t="s">
        <v>3783</v>
      </c>
      <c r="TRM4388" s="379" t="s">
        <v>3783</v>
      </c>
      <c r="TRN4388" s="379" t="s">
        <v>3783</v>
      </c>
      <c r="TRO4388" s="379" t="s">
        <v>3783</v>
      </c>
      <c r="TRP4388" s="379" t="s">
        <v>3783</v>
      </c>
      <c r="TRQ4388" s="379" t="s">
        <v>3783</v>
      </c>
      <c r="TRR4388" s="379" t="s">
        <v>3783</v>
      </c>
      <c r="TRS4388" s="379" t="s">
        <v>3783</v>
      </c>
      <c r="TRT4388" s="379" t="s">
        <v>3783</v>
      </c>
      <c r="TRU4388" s="379" t="s">
        <v>3783</v>
      </c>
      <c r="TRV4388" s="379" t="s">
        <v>3783</v>
      </c>
      <c r="TRW4388" s="379" t="s">
        <v>3783</v>
      </c>
      <c r="TRX4388" s="379" t="s">
        <v>3783</v>
      </c>
      <c r="TRY4388" s="379" t="s">
        <v>3783</v>
      </c>
      <c r="TRZ4388" s="379" t="s">
        <v>3783</v>
      </c>
      <c r="TSA4388" s="379" t="s">
        <v>3783</v>
      </c>
      <c r="TSB4388" s="379" t="s">
        <v>3783</v>
      </c>
      <c r="TSC4388" s="379" t="s">
        <v>3783</v>
      </c>
      <c r="TSD4388" s="379" t="s">
        <v>3783</v>
      </c>
      <c r="TSE4388" s="379" t="s">
        <v>3783</v>
      </c>
      <c r="TSF4388" s="379" t="s">
        <v>3783</v>
      </c>
      <c r="TSG4388" s="379" t="s">
        <v>3783</v>
      </c>
      <c r="TSH4388" s="379" t="s">
        <v>3783</v>
      </c>
      <c r="TSI4388" s="379" t="s">
        <v>3783</v>
      </c>
      <c r="TSJ4388" s="379" t="s">
        <v>3783</v>
      </c>
      <c r="TSK4388" s="379" t="s">
        <v>3783</v>
      </c>
      <c r="TSL4388" s="379" t="s">
        <v>3783</v>
      </c>
      <c r="TSM4388" s="379" t="s">
        <v>3783</v>
      </c>
      <c r="TSN4388" s="379" t="s">
        <v>3783</v>
      </c>
      <c r="TSO4388" s="379" t="s">
        <v>3783</v>
      </c>
      <c r="TSP4388" s="379" t="s">
        <v>3783</v>
      </c>
      <c r="TSQ4388" s="379" t="s">
        <v>3783</v>
      </c>
      <c r="TSR4388" s="379" t="s">
        <v>3783</v>
      </c>
      <c r="TSS4388" s="379" t="s">
        <v>3783</v>
      </c>
      <c r="TST4388" s="379" t="s">
        <v>3783</v>
      </c>
      <c r="TSU4388" s="379" t="s">
        <v>3783</v>
      </c>
      <c r="TSV4388" s="379" t="s">
        <v>3783</v>
      </c>
      <c r="TSW4388" s="379" t="s">
        <v>3783</v>
      </c>
      <c r="TSX4388" s="379" t="s">
        <v>3783</v>
      </c>
      <c r="TSY4388" s="379" t="s">
        <v>3783</v>
      </c>
      <c r="TSZ4388" s="379" t="s">
        <v>3783</v>
      </c>
      <c r="TTA4388" s="379" t="s">
        <v>3783</v>
      </c>
      <c r="TTB4388" s="379" t="s">
        <v>3783</v>
      </c>
      <c r="TTC4388" s="379" t="s">
        <v>3783</v>
      </c>
      <c r="TTD4388" s="379" t="s">
        <v>3783</v>
      </c>
      <c r="TTE4388" s="379" t="s">
        <v>3783</v>
      </c>
      <c r="TTF4388" s="379" t="s">
        <v>3783</v>
      </c>
      <c r="TTG4388" s="379" t="s">
        <v>3783</v>
      </c>
      <c r="TTH4388" s="379" t="s">
        <v>3783</v>
      </c>
      <c r="TTI4388" s="379" t="s">
        <v>3783</v>
      </c>
      <c r="TTJ4388" s="379" t="s">
        <v>3783</v>
      </c>
      <c r="TTK4388" s="379" t="s">
        <v>3783</v>
      </c>
      <c r="TTL4388" s="379" t="s">
        <v>3783</v>
      </c>
      <c r="TTM4388" s="379" t="s">
        <v>3783</v>
      </c>
      <c r="TTN4388" s="379" t="s">
        <v>3783</v>
      </c>
      <c r="TTO4388" s="379" t="s">
        <v>3783</v>
      </c>
      <c r="TTP4388" s="379" t="s">
        <v>3783</v>
      </c>
      <c r="TTQ4388" s="379" t="s">
        <v>3783</v>
      </c>
      <c r="TTR4388" s="379" t="s">
        <v>3783</v>
      </c>
      <c r="TTS4388" s="379" t="s">
        <v>3783</v>
      </c>
      <c r="TTT4388" s="379" t="s">
        <v>3783</v>
      </c>
      <c r="TTU4388" s="379" t="s">
        <v>3783</v>
      </c>
      <c r="TTV4388" s="379" t="s">
        <v>3783</v>
      </c>
      <c r="TTW4388" s="379" t="s">
        <v>3783</v>
      </c>
      <c r="TTX4388" s="379" t="s">
        <v>3783</v>
      </c>
      <c r="TTY4388" s="379" t="s">
        <v>3783</v>
      </c>
      <c r="TTZ4388" s="379" t="s">
        <v>3783</v>
      </c>
      <c r="TUA4388" s="379" t="s">
        <v>3783</v>
      </c>
      <c r="TUB4388" s="379" t="s">
        <v>3783</v>
      </c>
      <c r="TUC4388" s="379" t="s">
        <v>3783</v>
      </c>
      <c r="TUD4388" s="379" t="s">
        <v>3783</v>
      </c>
      <c r="TUE4388" s="379" t="s">
        <v>3783</v>
      </c>
      <c r="TUF4388" s="379" t="s">
        <v>3783</v>
      </c>
      <c r="TUG4388" s="379" t="s">
        <v>3783</v>
      </c>
      <c r="TUH4388" s="379" t="s">
        <v>3783</v>
      </c>
      <c r="TUI4388" s="379" t="s">
        <v>3783</v>
      </c>
      <c r="TUJ4388" s="379" t="s">
        <v>3783</v>
      </c>
      <c r="TUK4388" s="379" t="s">
        <v>3783</v>
      </c>
      <c r="TUL4388" s="379" t="s">
        <v>3783</v>
      </c>
      <c r="TUM4388" s="379" t="s">
        <v>3783</v>
      </c>
      <c r="TUN4388" s="379" t="s">
        <v>3783</v>
      </c>
      <c r="TUO4388" s="379" t="s">
        <v>3783</v>
      </c>
      <c r="TUP4388" s="379" t="s">
        <v>3783</v>
      </c>
      <c r="TUQ4388" s="379" t="s">
        <v>3783</v>
      </c>
      <c r="TUR4388" s="379" t="s">
        <v>3783</v>
      </c>
      <c r="TUS4388" s="379" t="s">
        <v>3783</v>
      </c>
      <c r="TUT4388" s="379" t="s">
        <v>3783</v>
      </c>
      <c r="TUU4388" s="379" t="s">
        <v>3783</v>
      </c>
      <c r="TUV4388" s="379" t="s">
        <v>3783</v>
      </c>
      <c r="TUW4388" s="379" t="s">
        <v>3783</v>
      </c>
      <c r="TUX4388" s="379" t="s">
        <v>3783</v>
      </c>
      <c r="TUY4388" s="379" t="s">
        <v>3783</v>
      </c>
      <c r="TUZ4388" s="379" t="s">
        <v>3783</v>
      </c>
      <c r="TVA4388" s="379" t="s">
        <v>3783</v>
      </c>
      <c r="TVB4388" s="379" t="s">
        <v>3783</v>
      </c>
      <c r="TVC4388" s="379" t="s">
        <v>3783</v>
      </c>
      <c r="TVD4388" s="379" t="s">
        <v>3783</v>
      </c>
      <c r="TVE4388" s="379" t="s">
        <v>3783</v>
      </c>
      <c r="TVF4388" s="379" t="s">
        <v>3783</v>
      </c>
      <c r="TVG4388" s="379" t="s">
        <v>3783</v>
      </c>
      <c r="TVH4388" s="379" t="s">
        <v>3783</v>
      </c>
      <c r="TVI4388" s="379" t="s">
        <v>3783</v>
      </c>
      <c r="TVJ4388" s="379" t="s">
        <v>3783</v>
      </c>
      <c r="TVK4388" s="379" t="s">
        <v>3783</v>
      </c>
      <c r="TVL4388" s="379" t="s">
        <v>3783</v>
      </c>
      <c r="TVM4388" s="379" t="s">
        <v>3783</v>
      </c>
      <c r="TVN4388" s="379" t="s">
        <v>3783</v>
      </c>
      <c r="TVO4388" s="379" t="s">
        <v>3783</v>
      </c>
      <c r="TVP4388" s="379" t="s">
        <v>3783</v>
      </c>
      <c r="TVQ4388" s="379" t="s">
        <v>3783</v>
      </c>
      <c r="TVR4388" s="379" t="s">
        <v>3783</v>
      </c>
      <c r="TVS4388" s="379" t="s">
        <v>3783</v>
      </c>
      <c r="TVT4388" s="379" t="s">
        <v>3783</v>
      </c>
      <c r="TVU4388" s="379" t="s">
        <v>3783</v>
      </c>
      <c r="TVV4388" s="379" t="s">
        <v>3783</v>
      </c>
      <c r="TVW4388" s="379" t="s">
        <v>3783</v>
      </c>
      <c r="TVX4388" s="379" t="s">
        <v>3783</v>
      </c>
      <c r="TVY4388" s="379" t="s">
        <v>3783</v>
      </c>
      <c r="TVZ4388" s="379" t="s">
        <v>3783</v>
      </c>
      <c r="TWA4388" s="379" t="s">
        <v>3783</v>
      </c>
      <c r="TWB4388" s="379" t="s">
        <v>3783</v>
      </c>
      <c r="TWC4388" s="379" t="s">
        <v>3783</v>
      </c>
      <c r="TWD4388" s="379" t="s">
        <v>3783</v>
      </c>
      <c r="TWE4388" s="379" t="s">
        <v>3783</v>
      </c>
      <c r="TWF4388" s="379" t="s">
        <v>3783</v>
      </c>
      <c r="TWG4388" s="379" t="s">
        <v>3783</v>
      </c>
      <c r="TWH4388" s="379" t="s">
        <v>3783</v>
      </c>
      <c r="TWI4388" s="379" t="s">
        <v>3783</v>
      </c>
      <c r="TWJ4388" s="379" t="s">
        <v>3783</v>
      </c>
      <c r="TWK4388" s="379" t="s">
        <v>3783</v>
      </c>
      <c r="TWL4388" s="379" t="s">
        <v>3783</v>
      </c>
      <c r="TWM4388" s="379" t="s">
        <v>3783</v>
      </c>
      <c r="TWN4388" s="379" t="s">
        <v>3783</v>
      </c>
      <c r="TWO4388" s="379" t="s">
        <v>3783</v>
      </c>
      <c r="TWP4388" s="379" t="s">
        <v>3783</v>
      </c>
      <c r="TWQ4388" s="379" t="s">
        <v>3783</v>
      </c>
      <c r="TWR4388" s="379" t="s">
        <v>3783</v>
      </c>
      <c r="TWS4388" s="379" t="s">
        <v>3783</v>
      </c>
      <c r="TWT4388" s="379" t="s">
        <v>3783</v>
      </c>
      <c r="TWU4388" s="379" t="s">
        <v>3783</v>
      </c>
      <c r="TWV4388" s="379" t="s">
        <v>3783</v>
      </c>
      <c r="TWW4388" s="379" t="s">
        <v>3783</v>
      </c>
      <c r="TWX4388" s="379" t="s">
        <v>3783</v>
      </c>
      <c r="TWY4388" s="379" t="s">
        <v>3783</v>
      </c>
      <c r="TWZ4388" s="379" t="s">
        <v>3783</v>
      </c>
      <c r="TXA4388" s="379" t="s">
        <v>3783</v>
      </c>
      <c r="TXB4388" s="379" t="s">
        <v>3783</v>
      </c>
      <c r="TXC4388" s="379" t="s">
        <v>3783</v>
      </c>
      <c r="TXD4388" s="379" t="s">
        <v>3783</v>
      </c>
      <c r="TXE4388" s="379" t="s">
        <v>3783</v>
      </c>
      <c r="TXF4388" s="379" t="s">
        <v>3783</v>
      </c>
      <c r="TXG4388" s="379" t="s">
        <v>3783</v>
      </c>
      <c r="TXH4388" s="379" t="s">
        <v>3783</v>
      </c>
      <c r="TXI4388" s="379" t="s">
        <v>3783</v>
      </c>
      <c r="TXJ4388" s="379" t="s">
        <v>3783</v>
      </c>
      <c r="TXK4388" s="379" t="s">
        <v>3783</v>
      </c>
      <c r="TXL4388" s="379" t="s">
        <v>3783</v>
      </c>
      <c r="TXM4388" s="379" t="s">
        <v>3783</v>
      </c>
      <c r="TXN4388" s="379" t="s">
        <v>3783</v>
      </c>
      <c r="TXO4388" s="379" t="s">
        <v>3783</v>
      </c>
      <c r="TXP4388" s="379" t="s">
        <v>3783</v>
      </c>
      <c r="TXQ4388" s="379" t="s">
        <v>3783</v>
      </c>
      <c r="TXR4388" s="379" t="s">
        <v>3783</v>
      </c>
      <c r="TXS4388" s="379" t="s">
        <v>3783</v>
      </c>
      <c r="TXT4388" s="379" t="s">
        <v>3783</v>
      </c>
      <c r="TXU4388" s="379" t="s">
        <v>3783</v>
      </c>
      <c r="TXV4388" s="379" t="s">
        <v>3783</v>
      </c>
      <c r="TXW4388" s="379" t="s">
        <v>3783</v>
      </c>
      <c r="TXX4388" s="379" t="s">
        <v>3783</v>
      </c>
      <c r="TXY4388" s="379" t="s">
        <v>3783</v>
      </c>
      <c r="TXZ4388" s="379" t="s">
        <v>3783</v>
      </c>
      <c r="TYA4388" s="379" t="s">
        <v>3783</v>
      </c>
      <c r="TYB4388" s="379" t="s">
        <v>3783</v>
      </c>
      <c r="TYC4388" s="379" t="s">
        <v>3783</v>
      </c>
      <c r="TYD4388" s="379" t="s">
        <v>3783</v>
      </c>
      <c r="TYE4388" s="379" t="s">
        <v>3783</v>
      </c>
      <c r="TYF4388" s="379" t="s">
        <v>3783</v>
      </c>
      <c r="TYG4388" s="379" t="s">
        <v>3783</v>
      </c>
      <c r="TYH4388" s="379" t="s">
        <v>3783</v>
      </c>
      <c r="TYI4388" s="379" t="s">
        <v>3783</v>
      </c>
      <c r="TYJ4388" s="379" t="s">
        <v>3783</v>
      </c>
      <c r="TYK4388" s="379" t="s">
        <v>3783</v>
      </c>
      <c r="TYL4388" s="379" t="s">
        <v>3783</v>
      </c>
      <c r="TYM4388" s="379" t="s">
        <v>3783</v>
      </c>
      <c r="TYN4388" s="379" t="s">
        <v>3783</v>
      </c>
      <c r="TYO4388" s="379" t="s">
        <v>3783</v>
      </c>
      <c r="TYP4388" s="379" t="s">
        <v>3783</v>
      </c>
      <c r="TYQ4388" s="379" t="s">
        <v>3783</v>
      </c>
      <c r="TYR4388" s="379" t="s">
        <v>3783</v>
      </c>
      <c r="TYS4388" s="379" t="s">
        <v>3783</v>
      </c>
      <c r="TYT4388" s="379" t="s">
        <v>3783</v>
      </c>
      <c r="TYU4388" s="379" t="s">
        <v>3783</v>
      </c>
      <c r="TYV4388" s="379" t="s">
        <v>3783</v>
      </c>
      <c r="TYW4388" s="379" t="s">
        <v>3783</v>
      </c>
      <c r="TYX4388" s="379" t="s">
        <v>3783</v>
      </c>
      <c r="TYY4388" s="379" t="s">
        <v>3783</v>
      </c>
      <c r="TYZ4388" s="379" t="s">
        <v>3783</v>
      </c>
      <c r="TZA4388" s="379" t="s">
        <v>3783</v>
      </c>
      <c r="TZB4388" s="379" t="s">
        <v>3783</v>
      </c>
      <c r="TZC4388" s="379" t="s">
        <v>3783</v>
      </c>
      <c r="TZD4388" s="379" t="s">
        <v>3783</v>
      </c>
      <c r="TZE4388" s="379" t="s">
        <v>3783</v>
      </c>
      <c r="TZF4388" s="379" t="s">
        <v>3783</v>
      </c>
      <c r="TZG4388" s="379" t="s">
        <v>3783</v>
      </c>
      <c r="TZH4388" s="379" t="s">
        <v>3783</v>
      </c>
      <c r="TZI4388" s="379" t="s">
        <v>3783</v>
      </c>
      <c r="TZJ4388" s="379" t="s">
        <v>3783</v>
      </c>
      <c r="TZK4388" s="379" t="s">
        <v>3783</v>
      </c>
      <c r="TZL4388" s="379" t="s">
        <v>3783</v>
      </c>
      <c r="TZM4388" s="379" t="s">
        <v>3783</v>
      </c>
      <c r="TZN4388" s="379" t="s">
        <v>3783</v>
      </c>
      <c r="TZO4388" s="379" t="s">
        <v>3783</v>
      </c>
      <c r="TZP4388" s="379" t="s">
        <v>3783</v>
      </c>
      <c r="TZQ4388" s="379" t="s">
        <v>3783</v>
      </c>
      <c r="TZR4388" s="379" t="s">
        <v>3783</v>
      </c>
      <c r="TZS4388" s="379" t="s">
        <v>3783</v>
      </c>
      <c r="TZT4388" s="379" t="s">
        <v>3783</v>
      </c>
      <c r="TZU4388" s="379" t="s">
        <v>3783</v>
      </c>
      <c r="TZV4388" s="379" t="s">
        <v>3783</v>
      </c>
      <c r="TZW4388" s="379" t="s">
        <v>3783</v>
      </c>
      <c r="TZX4388" s="379" t="s">
        <v>3783</v>
      </c>
      <c r="TZY4388" s="379" t="s">
        <v>3783</v>
      </c>
      <c r="TZZ4388" s="379" t="s">
        <v>3783</v>
      </c>
      <c r="UAA4388" s="379" t="s">
        <v>3783</v>
      </c>
      <c r="UAB4388" s="379" t="s">
        <v>3783</v>
      </c>
      <c r="UAC4388" s="379" t="s">
        <v>3783</v>
      </c>
      <c r="UAD4388" s="379" t="s">
        <v>3783</v>
      </c>
      <c r="UAE4388" s="379" t="s">
        <v>3783</v>
      </c>
      <c r="UAF4388" s="379" t="s">
        <v>3783</v>
      </c>
      <c r="UAG4388" s="379" t="s">
        <v>3783</v>
      </c>
      <c r="UAH4388" s="379" t="s">
        <v>3783</v>
      </c>
      <c r="UAI4388" s="379" t="s">
        <v>3783</v>
      </c>
      <c r="UAJ4388" s="379" t="s">
        <v>3783</v>
      </c>
      <c r="UAK4388" s="379" t="s">
        <v>3783</v>
      </c>
      <c r="UAL4388" s="379" t="s">
        <v>3783</v>
      </c>
      <c r="UAM4388" s="379" t="s">
        <v>3783</v>
      </c>
      <c r="UAN4388" s="379" t="s">
        <v>3783</v>
      </c>
      <c r="UAO4388" s="379" t="s">
        <v>3783</v>
      </c>
      <c r="UAP4388" s="379" t="s">
        <v>3783</v>
      </c>
      <c r="UAQ4388" s="379" t="s">
        <v>3783</v>
      </c>
      <c r="UAR4388" s="379" t="s">
        <v>3783</v>
      </c>
      <c r="UAS4388" s="379" t="s">
        <v>3783</v>
      </c>
      <c r="UAT4388" s="379" t="s">
        <v>3783</v>
      </c>
      <c r="UAU4388" s="379" t="s">
        <v>3783</v>
      </c>
      <c r="UAV4388" s="379" t="s">
        <v>3783</v>
      </c>
      <c r="UAW4388" s="379" t="s">
        <v>3783</v>
      </c>
      <c r="UAX4388" s="379" t="s">
        <v>3783</v>
      </c>
      <c r="UAY4388" s="379" t="s">
        <v>3783</v>
      </c>
      <c r="UAZ4388" s="379" t="s">
        <v>3783</v>
      </c>
      <c r="UBA4388" s="379" t="s">
        <v>3783</v>
      </c>
      <c r="UBB4388" s="379" t="s">
        <v>3783</v>
      </c>
      <c r="UBC4388" s="379" t="s">
        <v>3783</v>
      </c>
      <c r="UBD4388" s="379" t="s">
        <v>3783</v>
      </c>
      <c r="UBE4388" s="379" t="s">
        <v>3783</v>
      </c>
      <c r="UBF4388" s="379" t="s">
        <v>3783</v>
      </c>
      <c r="UBG4388" s="379" t="s">
        <v>3783</v>
      </c>
      <c r="UBH4388" s="379" t="s">
        <v>3783</v>
      </c>
      <c r="UBI4388" s="379" t="s">
        <v>3783</v>
      </c>
      <c r="UBJ4388" s="379" t="s">
        <v>3783</v>
      </c>
      <c r="UBK4388" s="379" t="s">
        <v>3783</v>
      </c>
      <c r="UBL4388" s="379" t="s">
        <v>3783</v>
      </c>
      <c r="UBM4388" s="379" t="s">
        <v>3783</v>
      </c>
      <c r="UBN4388" s="379" t="s">
        <v>3783</v>
      </c>
      <c r="UBO4388" s="379" t="s">
        <v>3783</v>
      </c>
      <c r="UBP4388" s="379" t="s">
        <v>3783</v>
      </c>
      <c r="UBQ4388" s="379" t="s">
        <v>3783</v>
      </c>
      <c r="UBR4388" s="379" t="s">
        <v>3783</v>
      </c>
      <c r="UBS4388" s="379" t="s">
        <v>3783</v>
      </c>
      <c r="UBT4388" s="379" t="s">
        <v>3783</v>
      </c>
      <c r="UBU4388" s="379" t="s">
        <v>3783</v>
      </c>
      <c r="UBV4388" s="379" t="s">
        <v>3783</v>
      </c>
      <c r="UBW4388" s="379" t="s">
        <v>3783</v>
      </c>
      <c r="UBX4388" s="379" t="s">
        <v>3783</v>
      </c>
      <c r="UBY4388" s="379" t="s">
        <v>3783</v>
      </c>
      <c r="UBZ4388" s="379" t="s">
        <v>3783</v>
      </c>
      <c r="UCA4388" s="379" t="s">
        <v>3783</v>
      </c>
      <c r="UCB4388" s="379" t="s">
        <v>3783</v>
      </c>
      <c r="UCC4388" s="379" t="s">
        <v>3783</v>
      </c>
      <c r="UCD4388" s="379" t="s">
        <v>3783</v>
      </c>
      <c r="UCE4388" s="379" t="s">
        <v>3783</v>
      </c>
      <c r="UCF4388" s="379" t="s">
        <v>3783</v>
      </c>
      <c r="UCG4388" s="379" t="s">
        <v>3783</v>
      </c>
      <c r="UCH4388" s="379" t="s">
        <v>3783</v>
      </c>
      <c r="UCI4388" s="379" t="s">
        <v>3783</v>
      </c>
      <c r="UCJ4388" s="379" t="s">
        <v>3783</v>
      </c>
      <c r="UCK4388" s="379" t="s">
        <v>3783</v>
      </c>
      <c r="UCL4388" s="379" t="s">
        <v>3783</v>
      </c>
      <c r="UCM4388" s="379" t="s">
        <v>3783</v>
      </c>
      <c r="UCN4388" s="379" t="s">
        <v>3783</v>
      </c>
      <c r="UCO4388" s="379" t="s">
        <v>3783</v>
      </c>
      <c r="UCP4388" s="379" t="s">
        <v>3783</v>
      </c>
      <c r="UCQ4388" s="379" t="s">
        <v>3783</v>
      </c>
      <c r="UCR4388" s="379" t="s">
        <v>3783</v>
      </c>
      <c r="UCS4388" s="379" t="s">
        <v>3783</v>
      </c>
      <c r="UCT4388" s="379" t="s">
        <v>3783</v>
      </c>
      <c r="UCU4388" s="379" t="s">
        <v>3783</v>
      </c>
      <c r="UCV4388" s="379" t="s">
        <v>3783</v>
      </c>
      <c r="UCW4388" s="379" t="s">
        <v>3783</v>
      </c>
      <c r="UCX4388" s="379" t="s">
        <v>3783</v>
      </c>
      <c r="UCY4388" s="379" t="s">
        <v>3783</v>
      </c>
      <c r="UCZ4388" s="379" t="s">
        <v>3783</v>
      </c>
      <c r="UDA4388" s="379" t="s">
        <v>3783</v>
      </c>
      <c r="UDB4388" s="379" t="s">
        <v>3783</v>
      </c>
      <c r="UDC4388" s="379" t="s">
        <v>3783</v>
      </c>
      <c r="UDD4388" s="379" t="s">
        <v>3783</v>
      </c>
      <c r="UDE4388" s="379" t="s">
        <v>3783</v>
      </c>
      <c r="UDF4388" s="379" t="s">
        <v>3783</v>
      </c>
      <c r="UDG4388" s="379" t="s">
        <v>3783</v>
      </c>
      <c r="UDH4388" s="379" t="s">
        <v>3783</v>
      </c>
      <c r="UDI4388" s="379" t="s">
        <v>3783</v>
      </c>
      <c r="UDJ4388" s="379" t="s">
        <v>3783</v>
      </c>
      <c r="UDK4388" s="379" t="s">
        <v>3783</v>
      </c>
      <c r="UDL4388" s="379" t="s">
        <v>3783</v>
      </c>
      <c r="UDM4388" s="379" t="s">
        <v>3783</v>
      </c>
      <c r="UDN4388" s="379" t="s">
        <v>3783</v>
      </c>
      <c r="UDO4388" s="379" t="s">
        <v>3783</v>
      </c>
      <c r="UDP4388" s="379" t="s">
        <v>3783</v>
      </c>
      <c r="UDQ4388" s="379" t="s">
        <v>3783</v>
      </c>
      <c r="UDR4388" s="379" t="s">
        <v>3783</v>
      </c>
      <c r="UDS4388" s="379" t="s">
        <v>3783</v>
      </c>
      <c r="UDT4388" s="379" t="s">
        <v>3783</v>
      </c>
      <c r="UDU4388" s="379" t="s">
        <v>3783</v>
      </c>
      <c r="UDV4388" s="379" t="s">
        <v>3783</v>
      </c>
      <c r="UDW4388" s="379" t="s">
        <v>3783</v>
      </c>
      <c r="UDX4388" s="379" t="s">
        <v>3783</v>
      </c>
      <c r="UDY4388" s="379" t="s">
        <v>3783</v>
      </c>
      <c r="UDZ4388" s="379" t="s">
        <v>3783</v>
      </c>
      <c r="UEA4388" s="379" t="s">
        <v>3783</v>
      </c>
      <c r="UEB4388" s="379" t="s">
        <v>3783</v>
      </c>
      <c r="UEC4388" s="379" t="s">
        <v>3783</v>
      </c>
      <c r="UED4388" s="379" t="s">
        <v>3783</v>
      </c>
      <c r="UEE4388" s="379" t="s">
        <v>3783</v>
      </c>
      <c r="UEF4388" s="379" t="s">
        <v>3783</v>
      </c>
      <c r="UEG4388" s="379" t="s">
        <v>3783</v>
      </c>
      <c r="UEH4388" s="379" t="s">
        <v>3783</v>
      </c>
      <c r="UEI4388" s="379" t="s">
        <v>3783</v>
      </c>
      <c r="UEJ4388" s="379" t="s">
        <v>3783</v>
      </c>
      <c r="UEK4388" s="379" t="s">
        <v>3783</v>
      </c>
      <c r="UEL4388" s="379" t="s">
        <v>3783</v>
      </c>
      <c r="UEM4388" s="379" t="s">
        <v>3783</v>
      </c>
      <c r="UEN4388" s="379" t="s">
        <v>3783</v>
      </c>
      <c r="UEO4388" s="379" t="s">
        <v>3783</v>
      </c>
      <c r="UEP4388" s="379" t="s">
        <v>3783</v>
      </c>
      <c r="UEQ4388" s="379" t="s">
        <v>3783</v>
      </c>
      <c r="UER4388" s="379" t="s">
        <v>3783</v>
      </c>
      <c r="UES4388" s="379" t="s">
        <v>3783</v>
      </c>
      <c r="UET4388" s="379" t="s">
        <v>3783</v>
      </c>
      <c r="UEU4388" s="379" t="s">
        <v>3783</v>
      </c>
      <c r="UEV4388" s="379" t="s">
        <v>3783</v>
      </c>
      <c r="UEW4388" s="379" t="s">
        <v>3783</v>
      </c>
      <c r="UEX4388" s="379" t="s">
        <v>3783</v>
      </c>
      <c r="UEY4388" s="379" t="s">
        <v>3783</v>
      </c>
      <c r="UEZ4388" s="379" t="s">
        <v>3783</v>
      </c>
      <c r="UFA4388" s="379" t="s">
        <v>3783</v>
      </c>
      <c r="UFB4388" s="379" t="s">
        <v>3783</v>
      </c>
      <c r="UFC4388" s="379" t="s">
        <v>3783</v>
      </c>
      <c r="UFD4388" s="379" t="s">
        <v>3783</v>
      </c>
      <c r="UFE4388" s="379" t="s">
        <v>3783</v>
      </c>
      <c r="UFF4388" s="379" t="s">
        <v>3783</v>
      </c>
      <c r="UFG4388" s="379" t="s">
        <v>3783</v>
      </c>
      <c r="UFH4388" s="379" t="s">
        <v>3783</v>
      </c>
      <c r="UFI4388" s="379" t="s">
        <v>3783</v>
      </c>
      <c r="UFJ4388" s="379" t="s">
        <v>3783</v>
      </c>
      <c r="UFK4388" s="379" t="s">
        <v>3783</v>
      </c>
      <c r="UFL4388" s="379" t="s">
        <v>3783</v>
      </c>
      <c r="UFM4388" s="379" t="s">
        <v>3783</v>
      </c>
      <c r="UFN4388" s="379" t="s">
        <v>3783</v>
      </c>
      <c r="UFO4388" s="379" t="s">
        <v>3783</v>
      </c>
      <c r="UFP4388" s="379" t="s">
        <v>3783</v>
      </c>
      <c r="UFQ4388" s="379" t="s">
        <v>3783</v>
      </c>
      <c r="UFR4388" s="379" t="s">
        <v>3783</v>
      </c>
      <c r="UFS4388" s="379" t="s">
        <v>3783</v>
      </c>
      <c r="UFT4388" s="379" t="s">
        <v>3783</v>
      </c>
      <c r="UFU4388" s="379" t="s">
        <v>3783</v>
      </c>
      <c r="UFV4388" s="379" t="s">
        <v>3783</v>
      </c>
      <c r="UFW4388" s="379" t="s">
        <v>3783</v>
      </c>
      <c r="UFX4388" s="379" t="s">
        <v>3783</v>
      </c>
      <c r="UFY4388" s="379" t="s">
        <v>3783</v>
      </c>
      <c r="UFZ4388" s="379" t="s">
        <v>3783</v>
      </c>
      <c r="UGA4388" s="379" t="s">
        <v>3783</v>
      </c>
      <c r="UGB4388" s="379" t="s">
        <v>3783</v>
      </c>
      <c r="UGC4388" s="379" t="s">
        <v>3783</v>
      </c>
      <c r="UGD4388" s="379" t="s">
        <v>3783</v>
      </c>
      <c r="UGE4388" s="379" t="s">
        <v>3783</v>
      </c>
      <c r="UGF4388" s="379" t="s">
        <v>3783</v>
      </c>
      <c r="UGG4388" s="379" t="s">
        <v>3783</v>
      </c>
      <c r="UGH4388" s="379" t="s">
        <v>3783</v>
      </c>
      <c r="UGI4388" s="379" t="s">
        <v>3783</v>
      </c>
      <c r="UGJ4388" s="379" t="s">
        <v>3783</v>
      </c>
      <c r="UGK4388" s="379" t="s">
        <v>3783</v>
      </c>
      <c r="UGL4388" s="379" t="s">
        <v>3783</v>
      </c>
      <c r="UGM4388" s="379" t="s">
        <v>3783</v>
      </c>
      <c r="UGN4388" s="379" t="s">
        <v>3783</v>
      </c>
      <c r="UGO4388" s="379" t="s">
        <v>3783</v>
      </c>
      <c r="UGP4388" s="379" t="s">
        <v>3783</v>
      </c>
      <c r="UGQ4388" s="379" t="s">
        <v>3783</v>
      </c>
      <c r="UGR4388" s="379" t="s">
        <v>3783</v>
      </c>
      <c r="UGS4388" s="379" t="s">
        <v>3783</v>
      </c>
      <c r="UGT4388" s="379" t="s">
        <v>3783</v>
      </c>
      <c r="UGU4388" s="379" t="s">
        <v>3783</v>
      </c>
      <c r="UGV4388" s="379" t="s">
        <v>3783</v>
      </c>
      <c r="UGW4388" s="379" t="s">
        <v>3783</v>
      </c>
      <c r="UGX4388" s="379" t="s">
        <v>3783</v>
      </c>
      <c r="UGY4388" s="379" t="s">
        <v>3783</v>
      </c>
      <c r="UGZ4388" s="379" t="s">
        <v>3783</v>
      </c>
      <c r="UHA4388" s="379" t="s">
        <v>3783</v>
      </c>
      <c r="UHB4388" s="379" t="s">
        <v>3783</v>
      </c>
      <c r="UHC4388" s="379" t="s">
        <v>3783</v>
      </c>
      <c r="UHD4388" s="379" t="s">
        <v>3783</v>
      </c>
      <c r="UHE4388" s="379" t="s">
        <v>3783</v>
      </c>
      <c r="UHF4388" s="379" t="s">
        <v>3783</v>
      </c>
      <c r="UHG4388" s="379" t="s">
        <v>3783</v>
      </c>
      <c r="UHH4388" s="379" t="s">
        <v>3783</v>
      </c>
      <c r="UHI4388" s="379" t="s">
        <v>3783</v>
      </c>
      <c r="UHJ4388" s="379" t="s">
        <v>3783</v>
      </c>
      <c r="UHK4388" s="379" t="s">
        <v>3783</v>
      </c>
      <c r="UHL4388" s="379" t="s">
        <v>3783</v>
      </c>
      <c r="UHM4388" s="379" t="s">
        <v>3783</v>
      </c>
      <c r="UHN4388" s="379" t="s">
        <v>3783</v>
      </c>
      <c r="UHO4388" s="379" t="s">
        <v>3783</v>
      </c>
      <c r="UHP4388" s="379" t="s">
        <v>3783</v>
      </c>
      <c r="UHQ4388" s="379" t="s">
        <v>3783</v>
      </c>
      <c r="UHR4388" s="379" t="s">
        <v>3783</v>
      </c>
      <c r="UHS4388" s="379" t="s">
        <v>3783</v>
      </c>
      <c r="UHT4388" s="379" t="s">
        <v>3783</v>
      </c>
      <c r="UHU4388" s="379" t="s">
        <v>3783</v>
      </c>
      <c r="UHV4388" s="379" t="s">
        <v>3783</v>
      </c>
      <c r="UHW4388" s="379" t="s">
        <v>3783</v>
      </c>
      <c r="UHX4388" s="379" t="s">
        <v>3783</v>
      </c>
      <c r="UHY4388" s="379" t="s">
        <v>3783</v>
      </c>
      <c r="UHZ4388" s="379" t="s">
        <v>3783</v>
      </c>
      <c r="UIA4388" s="379" t="s">
        <v>3783</v>
      </c>
      <c r="UIB4388" s="379" t="s">
        <v>3783</v>
      </c>
      <c r="UIC4388" s="379" t="s">
        <v>3783</v>
      </c>
      <c r="UID4388" s="379" t="s">
        <v>3783</v>
      </c>
      <c r="UIE4388" s="379" t="s">
        <v>3783</v>
      </c>
      <c r="UIF4388" s="379" t="s">
        <v>3783</v>
      </c>
      <c r="UIG4388" s="379" t="s">
        <v>3783</v>
      </c>
      <c r="UIH4388" s="379" t="s">
        <v>3783</v>
      </c>
      <c r="UII4388" s="379" t="s">
        <v>3783</v>
      </c>
      <c r="UIJ4388" s="379" t="s">
        <v>3783</v>
      </c>
      <c r="UIK4388" s="379" t="s">
        <v>3783</v>
      </c>
      <c r="UIL4388" s="379" t="s">
        <v>3783</v>
      </c>
      <c r="UIM4388" s="379" t="s">
        <v>3783</v>
      </c>
      <c r="UIN4388" s="379" t="s">
        <v>3783</v>
      </c>
      <c r="UIO4388" s="379" t="s">
        <v>3783</v>
      </c>
      <c r="UIP4388" s="379" t="s">
        <v>3783</v>
      </c>
      <c r="UIQ4388" s="379" t="s">
        <v>3783</v>
      </c>
      <c r="UIR4388" s="379" t="s">
        <v>3783</v>
      </c>
      <c r="UIS4388" s="379" t="s">
        <v>3783</v>
      </c>
      <c r="UIT4388" s="379" t="s">
        <v>3783</v>
      </c>
      <c r="UIU4388" s="379" t="s">
        <v>3783</v>
      </c>
      <c r="UIV4388" s="379" t="s">
        <v>3783</v>
      </c>
      <c r="UIW4388" s="379" t="s">
        <v>3783</v>
      </c>
      <c r="UIX4388" s="379" t="s">
        <v>3783</v>
      </c>
      <c r="UIY4388" s="379" t="s">
        <v>3783</v>
      </c>
      <c r="UIZ4388" s="379" t="s">
        <v>3783</v>
      </c>
      <c r="UJA4388" s="379" t="s">
        <v>3783</v>
      </c>
      <c r="UJB4388" s="379" t="s">
        <v>3783</v>
      </c>
      <c r="UJC4388" s="379" t="s">
        <v>3783</v>
      </c>
      <c r="UJD4388" s="379" t="s">
        <v>3783</v>
      </c>
      <c r="UJE4388" s="379" t="s">
        <v>3783</v>
      </c>
      <c r="UJF4388" s="379" t="s">
        <v>3783</v>
      </c>
      <c r="UJG4388" s="379" t="s">
        <v>3783</v>
      </c>
      <c r="UJH4388" s="379" t="s">
        <v>3783</v>
      </c>
      <c r="UJI4388" s="379" t="s">
        <v>3783</v>
      </c>
      <c r="UJJ4388" s="379" t="s">
        <v>3783</v>
      </c>
      <c r="UJK4388" s="379" t="s">
        <v>3783</v>
      </c>
      <c r="UJL4388" s="379" t="s">
        <v>3783</v>
      </c>
      <c r="UJM4388" s="379" t="s">
        <v>3783</v>
      </c>
      <c r="UJN4388" s="379" t="s">
        <v>3783</v>
      </c>
      <c r="UJO4388" s="379" t="s">
        <v>3783</v>
      </c>
      <c r="UJP4388" s="379" t="s">
        <v>3783</v>
      </c>
      <c r="UJQ4388" s="379" t="s">
        <v>3783</v>
      </c>
      <c r="UJR4388" s="379" t="s">
        <v>3783</v>
      </c>
      <c r="UJS4388" s="379" t="s">
        <v>3783</v>
      </c>
      <c r="UJT4388" s="379" t="s">
        <v>3783</v>
      </c>
      <c r="UJU4388" s="379" t="s">
        <v>3783</v>
      </c>
      <c r="UJV4388" s="379" t="s">
        <v>3783</v>
      </c>
      <c r="UJW4388" s="379" t="s">
        <v>3783</v>
      </c>
      <c r="UJX4388" s="379" t="s">
        <v>3783</v>
      </c>
      <c r="UJY4388" s="379" t="s">
        <v>3783</v>
      </c>
      <c r="UJZ4388" s="379" t="s">
        <v>3783</v>
      </c>
      <c r="UKA4388" s="379" t="s">
        <v>3783</v>
      </c>
      <c r="UKB4388" s="379" t="s">
        <v>3783</v>
      </c>
      <c r="UKC4388" s="379" t="s">
        <v>3783</v>
      </c>
      <c r="UKD4388" s="379" t="s">
        <v>3783</v>
      </c>
      <c r="UKE4388" s="379" t="s">
        <v>3783</v>
      </c>
      <c r="UKF4388" s="379" t="s">
        <v>3783</v>
      </c>
      <c r="UKG4388" s="379" t="s">
        <v>3783</v>
      </c>
      <c r="UKH4388" s="379" t="s">
        <v>3783</v>
      </c>
      <c r="UKI4388" s="379" t="s">
        <v>3783</v>
      </c>
      <c r="UKJ4388" s="379" t="s">
        <v>3783</v>
      </c>
      <c r="UKK4388" s="379" t="s">
        <v>3783</v>
      </c>
      <c r="UKL4388" s="379" t="s">
        <v>3783</v>
      </c>
      <c r="UKM4388" s="379" t="s">
        <v>3783</v>
      </c>
      <c r="UKN4388" s="379" t="s">
        <v>3783</v>
      </c>
      <c r="UKO4388" s="379" t="s">
        <v>3783</v>
      </c>
      <c r="UKP4388" s="379" t="s">
        <v>3783</v>
      </c>
      <c r="UKQ4388" s="379" t="s">
        <v>3783</v>
      </c>
      <c r="UKR4388" s="379" t="s">
        <v>3783</v>
      </c>
      <c r="UKS4388" s="379" t="s">
        <v>3783</v>
      </c>
      <c r="UKT4388" s="379" t="s">
        <v>3783</v>
      </c>
      <c r="UKU4388" s="379" t="s">
        <v>3783</v>
      </c>
      <c r="UKV4388" s="379" t="s">
        <v>3783</v>
      </c>
      <c r="UKW4388" s="379" t="s">
        <v>3783</v>
      </c>
      <c r="UKX4388" s="379" t="s">
        <v>3783</v>
      </c>
      <c r="UKY4388" s="379" t="s">
        <v>3783</v>
      </c>
      <c r="UKZ4388" s="379" t="s">
        <v>3783</v>
      </c>
      <c r="ULA4388" s="379" t="s">
        <v>3783</v>
      </c>
      <c r="ULB4388" s="379" t="s">
        <v>3783</v>
      </c>
      <c r="ULC4388" s="379" t="s">
        <v>3783</v>
      </c>
      <c r="ULD4388" s="379" t="s">
        <v>3783</v>
      </c>
      <c r="ULE4388" s="379" t="s">
        <v>3783</v>
      </c>
      <c r="ULF4388" s="379" t="s">
        <v>3783</v>
      </c>
      <c r="ULG4388" s="379" t="s">
        <v>3783</v>
      </c>
      <c r="ULH4388" s="379" t="s">
        <v>3783</v>
      </c>
      <c r="ULI4388" s="379" t="s">
        <v>3783</v>
      </c>
      <c r="ULJ4388" s="379" t="s">
        <v>3783</v>
      </c>
      <c r="ULK4388" s="379" t="s">
        <v>3783</v>
      </c>
      <c r="ULL4388" s="379" t="s">
        <v>3783</v>
      </c>
      <c r="ULM4388" s="379" t="s">
        <v>3783</v>
      </c>
      <c r="ULN4388" s="379" t="s">
        <v>3783</v>
      </c>
      <c r="ULO4388" s="379" t="s">
        <v>3783</v>
      </c>
      <c r="ULP4388" s="379" t="s">
        <v>3783</v>
      </c>
      <c r="ULQ4388" s="379" t="s">
        <v>3783</v>
      </c>
      <c r="ULR4388" s="379" t="s">
        <v>3783</v>
      </c>
      <c r="ULS4388" s="379" t="s">
        <v>3783</v>
      </c>
      <c r="ULT4388" s="379" t="s">
        <v>3783</v>
      </c>
      <c r="ULU4388" s="379" t="s">
        <v>3783</v>
      </c>
      <c r="ULV4388" s="379" t="s">
        <v>3783</v>
      </c>
      <c r="ULW4388" s="379" t="s">
        <v>3783</v>
      </c>
      <c r="ULX4388" s="379" t="s">
        <v>3783</v>
      </c>
      <c r="ULY4388" s="379" t="s">
        <v>3783</v>
      </c>
      <c r="ULZ4388" s="379" t="s">
        <v>3783</v>
      </c>
      <c r="UMA4388" s="379" t="s">
        <v>3783</v>
      </c>
      <c r="UMB4388" s="379" t="s">
        <v>3783</v>
      </c>
      <c r="UMC4388" s="379" t="s">
        <v>3783</v>
      </c>
      <c r="UMD4388" s="379" t="s">
        <v>3783</v>
      </c>
      <c r="UME4388" s="379" t="s">
        <v>3783</v>
      </c>
      <c r="UMF4388" s="379" t="s">
        <v>3783</v>
      </c>
      <c r="UMG4388" s="379" t="s">
        <v>3783</v>
      </c>
      <c r="UMH4388" s="379" t="s">
        <v>3783</v>
      </c>
      <c r="UMI4388" s="379" t="s">
        <v>3783</v>
      </c>
      <c r="UMJ4388" s="379" t="s">
        <v>3783</v>
      </c>
      <c r="UMK4388" s="379" t="s">
        <v>3783</v>
      </c>
      <c r="UML4388" s="379" t="s">
        <v>3783</v>
      </c>
      <c r="UMM4388" s="379" t="s">
        <v>3783</v>
      </c>
      <c r="UMN4388" s="379" t="s">
        <v>3783</v>
      </c>
      <c r="UMO4388" s="379" t="s">
        <v>3783</v>
      </c>
      <c r="UMP4388" s="379" t="s">
        <v>3783</v>
      </c>
      <c r="UMQ4388" s="379" t="s">
        <v>3783</v>
      </c>
      <c r="UMR4388" s="379" t="s">
        <v>3783</v>
      </c>
      <c r="UMS4388" s="379" t="s">
        <v>3783</v>
      </c>
      <c r="UMT4388" s="379" t="s">
        <v>3783</v>
      </c>
      <c r="UMU4388" s="379" t="s">
        <v>3783</v>
      </c>
      <c r="UMV4388" s="379" t="s">
        <v>3783</v>
      </c>
      <c r="UMW4388" s="379" t="s">
        <v>3783</v>
      </c>
      <c r="UMX4388" s="379" t="s">
        <v>3783</v>
      </c>
      <c r="UMY4388" s="379" t="s">
        <v>3783</v>
      </c>
      <c r="UMZ4388" s="379" t="s">
        <v>3783</v>
      </c>
      <c r="UNA4388" s="379" t="s">
        <v>3783</v>
      </c>
      <c r="UNB4388" s="379" t="s">
        <v>3783</v>
      </c>
      <c r="UNC4388" s="379" t="s">
        <v>3783</v>
      </c>
      <c r="UND4388" s="379" t="s">
        <v>3783</v>
      </c>
      <c r="UNE4388" s="379" t="s">
        <v>3783</v>
      </c>
      <c r="UNF4388" s="379" t="s">
        <v>3783</v>
      </c>
      <c r="UNG4388" s="379" t="s">
        <v>3783</v>
      </c>
      <c r="UNH4388" s="379" t="s">
        <v>3783</v>
      </c>
      <c r="UNI4388" s="379" t="s">
        <v>3783</v>
      </c>
      <c r="UNJ4388" s="379" t="s">
        <v>3783</v>
      </c>
      <c r="UNK4388" s="379" t="s">
        <v>3783</v>
      </c>
      <c r="UNL4388" s="379" t="s">
        <v>3783</v>
      </c>
      <c r="UNM4388" s="379" t="s">
        <v>3783</v>
      </c>
      <c r="UNN4388" s="379" t="s">
        <v>3783</v>
      </c>
      <c r="UNO4388" s="379" t="s">
        <v>3783</v>
      </c>
      <c r="UNP4388" s="379" t="s">
        <v>3783</v>
      </c>
      <c r="UNQ4388" s="379" t="s">
        <v>3783</v>
      </c>
      <c r="UNR4388" s="379" t="s">
        <v>3783</v>
      </c>
      <c r="UNS4388" s="379" t="s">
        <v>3783</v>
      </c>
      <c r="UNT4388" s="379" t="s">
        <v>3783</v>
      </c>
      <c r="UNU4388" s="379" t="s">
        <v>3783</v>
      </c>
      <c r="UNV4388" s="379" t="s">
        <v>3783</v>
      </c>
      <c r="UNW4388" s="379" t="s">
        <v>3783</v>
      </c>
      <c r="UNX4388" s="379" t="s">
        <v>3783</v>
      </c>
      <c r="UNY4388" s="379" t="s">
        <v>3783</v>
      </c>
      <c r="UNZ4388" s="379" t="s">
        <v>3783</v>
      </c>
      <c r="UOA4388" s="379" t="s">
        <v>3783</v>
      </c>
      <c r="UOB4388" s="379" t="s">
        <v>3783</v>
      </c>
      <c r="UOC4388" s="379" t="s">
        <v>3783</v>
      </c>
      <c r="UOD4388" s="379" t="s">
        <v>3783</v>
      </c>
      <c r="UOE4388" s="379" t="s">
        <v>3783</v>
      </c>
      <c r="UOF4388" s="379" t="s">
        <v>3783</v>
      </c>
      <c r="UOG4388" s="379" t="s">
        <v>3783</v>
      </c>
      <c r="UOH4388" s="379" t="s">
        <v>3783</v>
      </c>
      <c r="UOI4388" s="379" t="s">
        <v>3783</v>
      </c>
      <c r="UOJ4388" s="379" t="s">
        <v>3783</v>
      </c>
      <c r="UOK4388" s="379" t="s">
        <v>3783</v>
      </c>
      <c r="UOL4388" s="379" t="s">
        <v>3783</v>
      </c>
      <c r="UOM4388" s="379" t="s">
        <v>3783</v>
      </c>
      <c r="UON4388" s="379" t="s">
        <v>3783</v>
      </c>
      <c r="UOO4388" s="379" t="s">
        <v>3783</v>
      </c>
      <c r="UOP4388" s="379" t="s">
        <v>3783</v>
      </c>
      <c r="UOQ4388" s="379" t="s">
        <v>3783</v>
      </c>
      <c r="UOR4388" s="379" t="s">
        <v>3783</v>
      </c>
      <c r="UOS4388" s="379" t="s">
        <v>3783</v>
      </c>
      <c r="UOT4388" s="379" t="s">
        <v>3783</v>
      </c>
      <c r="UOU4388" s="379" t="s">
        <v>3783</v>
      </c>
      <c r="UOV4388" s="379" t="s">
        <v>3783</v>
      </c>
      <c r="UOW4388" s="379" t="s">
        <v>3783</v>
      </c>
      <c r="UOX4388" s="379" t="s">
        <v>3783</v>
      </c>
      <c r="UOY4388" s="379" t="s">
        <v>3783</v>
      </c>
      <c r="UOZ4388" s="379" t="s">
        <v>3783</v>
      </c>
      <c r="UPA4388" s="379" t="s">
        <v>3783</v>
      </c>
      <c r="UPB4388" s="379" t="s">
        <v>3783</v>
      </c>
      <c r="UPC4388" s="379" t="s">
        <v>3783</v>
      </c>
      <c r="UPD4388" s="379" t="s">
        <v>3783</v>
      </c>
      <c r="UPE4388" s="379" t="s">
        <v>3783</v>
      </c>
      <c r="UPF4388" s="379" t="s">
        <v>3783</v>
      </c>
      <c r="UPG4388" s="379" t="s">
        <v>3783</v>
      </c>
      <c r="UPH4388" s="379" t="s">
        <v>3783</v>
      </c>
      <c r="UPI4388" s="379" t="s">
        <v>3783</v>
      </c>
      <c r="UPJ4388" s="379" t="s">
        <v>3783</v>
      </c>
      <c r="UPK4388" s="379" t="s">
        <v>3783</v>
      </c>
      <c r="UPL4388" s="379" t="s">
        <v>3783</v>
      </c>
      <c r="UPM4388" s="379" t="s">
        <v>3783</v>
      </c>
      <c r="UPN4388" s="379" t="s">
        <v>3783</v>
      </c>
      <c r="UPO4388" s="379" t="s">
        <v>3783</v>
      </c>
      <c r="UPP4388" s="379" t="s">
        <v>3783</v>
      </c>
      <c r="UPQ4388" s="379" t="s">
        <v>3783</v>
      </c>
      <c r="UPR4388" s="379" t="s">
        <v>3783</v>
      </c>
      <c r="UPS4388" s="379" t="s">
        <v>3783</v>
      </c>
      <c r="UPT4388" s="379" t="s">
        <v>3783</v>
      </c>
      <c r="UPU4388" s="379" t="s">
        <v>3783</v>
      </c>
      <c r="UPV4388" s="379" t="s">
        <v>3783</v>
      </c>
      <c r="UPW4388" s="379" t="s">
        <v>3783</v>
      </c>
      <c r="UPX4388" s="379" t="s">
        <v>3783</v>
      </c>
      <c r="UPY4388" s="379" t="s">
        <v>3783</v>
      </c>
      <c r="UPZ4388" s="379" t="s">
        <v>3783</v>
      </c>
      <c r="UQA4388" s="379" t="s">
        <v>3783</v>
      </c>
      <c r="UQB4388" s="379" t="s">
        <v>3783</v>
      </c>
      <c r="UQC4388" s="379" t="s">
        <v>3783</v>
      </c>
      <c r="UQD4388" s="379" t="s">
        <v>3783</v>
      </c>
      <c r="UQE4388" s="379" t="s">
        <v>3783</v>
      </c>
      <c r="UQF4388" s="379" t="s">
        <v>3783</v>
      </c>
      <c r="UQG4388" s="379" t="s">
        <v>3783</v>
      </c>
      <c r="UQH4388" s="379" t="s">
        <v>3783</v>
      </c>
      <c r="UQI4388" s="379" t="s">
        <v>3783</v>
      </c>
      <c r="UQJ4388" s="379" t="s">
        <v>3783</v>
      </c>
      <c r="UQK4388" s="379" t="s">
        <v>3783</v>
      </c>
      <c r="UQL4388" s="379" t="s">
        <v>3783</v>
      </c>
      <c r="UQM4388" s="379" t="s">
        <v>3783</v>
      </c>
      <c r="UQN4388" s="379" t="s">
        <v>3783</v>
      </c>
      <c r="UQO4388" s="379" t="s">
        <v>3783</v>
      </c>
      <c r="UQP4388" s="379" t="s">
        <v>3783</v>
      </c>
      <c r="UQQ4388" s="379" t="s">
        <v>3783</v>
      </c>
      <c r="UQR4388" s="379" t="s">
        <v>3783</v>
      </c>
      <c r="UQS4388" s="379" t="s">
        <v>3783</v>
      </c>
      <c r="UQT4388" s="379" t="s">
        <v>3783</v>
      </c>
      <c r="UQU4388" s="379" t="s">
        <v>3783</v>
      </c>
      <c r="UQV4388" s="379" t="s">
        <v>3783</v>
      </c>
      <c r="UQW4388" s="379" t="s">
        <v>3783</v>
      </c>
      <c r="UQX4388" s="379" t="s">
        <v>3783</v>
      </c>
      <c r="UQY4388" s="379" t="s">
        <v>3783</v>
      </c>
      <c r="UQZ4388" s="379" t="s">
        <v>3783</v>
      </c>
      <c r="URA4388" s="379" t="s">
        <v>3783</v>
      </c>
      <c r="URB4388" s="379" t="s">
        <v>3783</v>
      </c>
      <c r="URC4388" s="379" t="s">
        <v>3783</v>
      </c>
      <c r="URD4388" s="379" t="s">
        <v>3783</v>
      </c>
      <c r="URE4388" s="379" t="s">
        <v>3783</v>
      </c>
      <c r="URF4388" s="379" t="s">
        <v>3783</v>
      </c>
      <c r="URG4388" s="379" t="s">
        <v>3783</v>
      </c>
      <c r="URH4388" s="379" t="s">
        <v>3783</v>
      </c>
      <c r="URI4388" s="379" t="s">
        <v>3783</v>
      </c>
      <c r="URJ4388" s="379" t="s">
        <v>3783</v>
      </c>
      <c r="URK4388" s="379" t="s">
        <v>3783</v>
      </c>
      <c r="URL4388" s="379" t="s">
        <v>3783</v>
      </c>
      <c r="URM4388" s="379" t="s">
        <v>3783</v>
      </c>
      <c r="URN4388" s="379" t="s">
        <v>3783</v>
      </c>
      <c r="URO4388" s="379" t="s">
        <v>3783</v>
      </c>
      <c r="URP4388" s="379" t="s">
        <v>3783</v>
      </c>
      <c r="URQ4388" s="379" t="s">
        <v>3783</v>
      </c>
      <c r="URR4388" s="379" t="s">
        <v>3783</v>
      </c>
      <c r="URS4388" s="379" t="s">
        <v>3783</v>
      </c>
      <c r="URT4388" s="379" t="s">
        <v>3783</v>
      </c>
      <c r="URU4388" s="379" t="s">
        <v>3783</v>
      </c>
      <c r="URV4388" s="379" t="s">
        <v>3783</v>
      </c>
      <c r="URW4388" s="379" t="s">
        <v>3783</v>
      </c>
      <c r="URX4388" s="379" t="s">
        <v>3783</v>
      </c>
      <c r="URY4388" s="379" t="s">
        <v>3783</v>
      </c>
      <c r="URZ4388" s="379" t="s">
        <v>3783</v>
      </c>
      <c r="USA4388" s="379" t="s">
        <v>3783</v>
      </c>
      <c r="USB4388" s="379" t="s">
        <v>3783</v>
      </c>
      <c r="USC4388" s="379" t="s">
        <v>3783</v>
      </c>
      <c r="USD4388" s="379" t="s">
        <v>3783</v>
      </c>
      <c r="USE4388" s="379" t="s">
        <v>3783</v>
      </c>
      <c r="USF4388" s="379" t="s">
        <v>3783</v>
      </c>
      <c r="USG4388" s="379" t="s">
        <v>3783</v>
      </c>
      <c r="USH4388" s="379" t="s">
        <v>3783</v>
      </c>
      <c r="USI4388" s="379" t="s">
        <v>3783</v>
      </c>
      <c r="USJ4388" s="379" t="s">
        <v>3783</v>
      </c>
      <c r="USK4388" s="379" t="s">
        <v>3783</v>
      </c>
      <c r="USL4388" s="379" t="s">
        <v>3783</v>
      </c>
      <c r="USM4388" s="379" t="s">
        <v>3783</v>
      </c>
      <c r="USN4388" s="379" t="s">
        <v>3783</v>
      </c>
      <c r="USO4388" s="379" t="s">
        <v>3783</v>
      </c>
      <c r="USP4388" s="379" t="s">
        <v>3783</v>
      </c>
      <c r="USQ4388" s="379" t="s">
        <v>3783</v>
      </c>
      <c r="USR4388" s="379" t="s">
        <v>3783</v>
      </c>
      <c r="USS4388" s="379" t="s">
        <v>3783</v>
      </c>
      <c r="UST4388" s="379" t="s">
        <v>3783</v>
      </c>
      <c r="USU4388" s="379" t="s">
        <v>3783</v>
      </c>
      <c r="USV4388" s="379" t="s">
        <v>3783</v>
      </c>
      <c r="USW4388" s="379" t="s">
        <v>3783</v>
      </c>
      <c r="USX4388" s="379" t="s">
        <v>3783</v>
      </c>
      <c r="USY4388" s="379" t="s">
        <v>3783</v>
      </c>
      <c r="USZ4388" s="379" t="s">
        <v>3783</v>
      </c>
      <c r="UTA4388" s="379" t="s">
        <v>3783</v>
      </c>
      <c r="UTB4388" s="379" t="s">
        <v>3783</v>
      </c>
      <c r="UTC4388" s="379" t="s">
        <v>3783</v>
      </c>
      <c r="UTD4388" s="379" t="s">
        <v>3783</v>
      </c>
      <c r="UTE4388" s="379" t="s">
        <v>3783</v>
      </c>
      <c r="UTF4388" s="379" t="s">
        <v>3783</v>
      </c>
      <c r="UTG4388" s="379" t="s">
        <v>3783</v>
      </c>
      <c r="UTH4388" s="379" t="s">
        <v>3783</v>
      </c>
      <c r="UTI4388" s="379" t="s">
        <v>3783</v>
      </c>
      <c r="UTJ4388" s="379" t="s">
        <v>3783</v>
      </c>
      <c r="UTK4388" s="379" t="s">
        <v>3783</v>
      </c>
      <c r="UTL4388" s="379" t="s">
        <v>3783</v>
      </c>
      <c r="UTM4388" s="379" t="s">
        <v>3783</v>
      </c>
      <c r="UTN4388" s="379" t="s">
        <v>3783</v>
      </c>
      <c r="UTO4388" s="379" t="s">
        <v>3783</v>
      </c>
      <c r="UTP4388" s="379" t="s">
        <v>3783</v>
      </c>
      <c r="UTQ4388" s="379" t="s">
        <v>3783</v>
      </c>
      <c r="UTR4388" s="379" t="s">
        <v>3783</v>
      </c>
      <c r="UTS4388" s="379" t="s">
        <v>3783</v>
      </c>
      <c r="UTT4388" s="379" t="s">
        <v>3783</v>
      </c>
      <c r="UTU4388" s="379" t="s">
        <v>3783</v>
      </c>
      <c r="UTV4388" s="379" t="s">
        <v>3783</v>
      </c>
      <c r="UTW4388" s="379" t="s">
        <v>3783</v>
      </c>
      <c r="UTX4388" s="379" t="s">
        <v>3783</v>
      </c>
      <c r="UTY4388" s="379" t="s">
        <v>3783</v>
      </c>
      <c r="UTZ4388" s="379" t="s">
        <v>3783</v>
      </c>
      <c r="UUA4388" s="379" t="s">
        <v>3783</v>
      </c>
      <c r="UUB4388" s="379" t="s">
        <v>3783</v>
      </c>
      <c r="UUC4388" s="379" t="s">
        <v>3783</v>
      </c>
      <c r="UUD4388" s="379" t="s">
        <v>3783</v>
      </c>
      <c r="UUE4388" s="379" t="s">
        <v>3783</v>
      </c>
      <c r="UUF4388" s="379" t="s">
        <v>3783</v>
      </c>
      <c r="UUG4388" s="379" t="s">
        <v>3783</v>
      </c>
      <c r="UUH4388" s="379" t="s">
        <v>3783</v>
      </c>
      <c r="UUI4388" s="379" t="s">
        <v>3783</v>
      </c>
      <c r="UUJ4388" s="379" t="s">
        <v>3783</v>
      </c>
      <c r="UUK4388" s="379" t="s">
        <v>3783</v>
      </c>
      <c r="UUL4388" s="379" t="s">
        <v>3783</v>
      </c>
      <c r="UUM4388" s="379" t="s">
        <v>3783</v>
      </c>
      <c r="UUN4388" s="379" t="s">
        <v>3783</v>
      </c>
      <c r="UUO4388" s="379" t="s">
        <v>3783</v>
      </c>
      <c r="UUP4388" s="379" t="s">
        <v>3783</v>
      </c>
      <c r="UUQ4388" s="379" t="s">
        <v>3783</v>
      </c>
      <c r="UUR4388" s="379" t="s">
        <v>3783</v>
      </c>
      <c r="UUS4388" s="379" t="s">
        <v>3783</v>
      </c>
      <c r="UUT4388" s="379" t="s">
        <v>3783</v>
      </c>
      <c r="UUU4388" s="379" t="s">
        <v>3783</v>
      </c>
      <c r="UUV4388" s="379" t="s">
        <v>3783</v>
      </c>
      <c r="UUW4388" s="379" t="s">
        <v>3783</v>
      </c>
      <c r="UUX4388" s="379" t="s">
        <v>3783</v>
      </c>
      <c r="UUY4388" s="379" t="s">
        <v>3783</v>
      </c>
      <c r="UUZ4388" s="379" t="s">
        <v>3783</v>
      </c>
      <c r="UVA4388" s="379" t="s">
        <v>3783</v>
      </c>
      <c r="UVB4388" s="379" t="s">
        <v>3783</v>
      </c>
      <c r="UVC4388" s="379" t="s">
        <v>3783</v>
      </c>
      <c r="UVD4388" s="379" t="s">
        <v>3783</v>
      </c>
      <c r="UVE4388" s="379" t="s">
        <v>3783</v>
      </c>
      <c r="UVF4388" s="379" t="s">
        <v>3783</v>
      </c>
      <c r="UVG4388" s="379" t="s">
        <v>3783</v>
      </c>
      <c r="UVH4388" s="379" t="s">
        <v>3783</v>
      </c>
      <c r="UVI4388" s="379" t="s">
        <v>3783</v>
      </c>
      <c r="UVJ4388" s="379" t="s">
        <v>3783</v>
      </c>
      <c r="UVK4388" s="379" t="s">
        <v>3783</v>
      </c>
      <c r="UVL4388" s="379" t="s">
        <v>3783</v>
      </c>
      <c r="UVM4388" s="379" t="s">
        <v>3783</v>
      </c>
      <c r="UVN4388" s="379" t="s">
        <v>3783</v>
      </c>
      <c r="UVO4388" s="379" t="s">
        <v>3783</v>
      </c>
      <c r="UVP4388" s="379" t="s">
        <v>3783</v>
      </c>
      <c r="UVQ4388" s="379" t="s">
        <v>3783</v>
      </c>
      <c r="UVR4388" s="379" t="s">
        <v>3783</v>
      </c>
      <c r="UVS4388" s="379" t="s">
        <v>3783</v>
      </c>
      <c r="UVT4388" s="379" t="s">
        <v>3783</v>
      </c>
      <c r="UVU4388" s="379" t="s">
        <v>3783</v>
      </c>
      <c r="UVV4388" s="379" t="s">
        <v>3783</v>
      </c>
      <c r="UVW4388" s="379" t="s">
        <v>3783</v>
      </c>
      <c r="UVX4388" s="379" t="s">
        <v>3783</v>
      </c>
      <c r="UVY4388" s="379" t="s">
        <v>3783</v>
      </c>
      <c r="UVZ4388" s="379" t="s">
        <v>3783</v>
      </c>
      <c r="UWA4388" s="379" t="s">
        <v>3783</v>
      </c>
      <c r="UWB4388" s="379" t="s">
        <v>3783</v>
      </c>
      <c r="UWC4388" s="379" t="s">
        <v>3783</v>
      </c>
      <c r="UWD4388" s="379" t="s">
        <v>3783</v>
      </c>
      <c r="UWE4388" s="379" t="s">
        <v>3783</v>
      </c>
      <c r="UWF4388" s="379" t="s">
        <v>3783</v>
      </c>
      <c r="UWG4388" s="379" t="s">
        <v>3783</v>
      </c>
      <c r="UWH4388" s="379" t="s">
        <v>3783</v>
      </c>
      <c r="UWI4388" s="379" t="s">
        <v>3783</v>
      </c>
      <c r="UWJ4388" s="379" t="s">
        <v>3783</v>
      </c>
      <c r="UWK4388" s="379" t="s">
        <v>3783</v>
      </c>
      <c r="UWL4388" s="379" t="s">
        <v>3783</v>
      </c>
      <c r="UWM4388" s="379" t="s">
        <v>3783</v>
      </c>
      <c r="UWN4388" s="379" t="s">
        <v>3783</v>
      </c>
      <c r="UWO4388" s="379" t="s">
        <v>3783</v>
      </c>
      <c r="UWP4388" s="379" t="s">
        <v>3783</v>
      </c>
      <c r="UWQ4388" s="379" t="s">
        <v>3783</v>
      </c>
      <c r="UWR4388" s="379" t="s">
        <v>3783</v>
      </c>
      <c r="UWS4388" s="379" t="s">
        <v>3783</v>
      </c>
      <c r="UWT4388" s="379" t="s">
        <v>3783</v>
      </c>
      <c r="UWU4388" s="379" t="s">
        <v>3783</v>
      </c>
      <c r="UWV4388" s="379" t="s">
        <v>3783</v>
      </c>
      <c r="UWW4388" s="379" t="s">
        <v>3783</v>
      </c>
      <c r="UWX4388" s="379" t="s">
        <v>3783</v>
      </c>
      <c r="UWY4388" s="379" t="s">
        <v>3783</v>
      </c>
      <c r="UWZ4388" s="379" t="s">
        <v>3783</v>
      </c>
      <c r="UXA4388" s="379" t="s">
        <v>3783</v>
      </c>
      <c r="UXB4388" s="379" t="s">
        <v>3783</v>
      </c>
      <c r="UXC4388" s="379" t="s">
        <v>3783</v>
      </c>
      <c r="UXD4388" s="379" t="s">
        <v>3783</v>
      </c>
      <c r="UXE4388" s="379" t="s">
        <v>3783</v>
      </c>
      <c r="UXF4388" s="379" t="s">
        <v>3783</v>
      </c>
      <c r="UXG4388" s="379" t="s">
        <v>3783</v>
      </c>
      <c r="UXH4388" s="379" t="s">
        <v>3783</v>
      </c>
      <c r="UXI4388" s="379" t="s">
        <v>3783</v>
      </c>
      <c r="UXJ4388" s="379" t="s">
        <v>3783</v>
      </c>
      <c r="UXK4388" s="379" t="s">
        <v>3783</v>
      </c>
      <c r="UXL4388" s="379" t="s">
        <v>3783</v>
      </c>
      <c r="UXM4388" s="379" t="s">
        <v>3783</v>
      </c>
      <c r="UXN4388" s="379" t="s">
        <v>3783</v>
      </c>
      <c r="UXO4388" s="379" t="s">
        <v>3783</v>
      </c>
      <c r="UXP4388" s="379" t="s">
        <v>3783</v>
      </c>
      <c r="UXQ4388" s="379" t="s">
        <v>3783</v>
      </c>
      <c r="UXR4388" s="379" t="s">
        <v>3783</v>
      </c>
      <c r="UXS4388" s="379" t="s">
        <v>3783</v>
      </c>
      <c r="UXT4388" s="379" t="s">
        <v>3783</v>
      </c>
      <c r="UXU4388" s="379" t="s">
        <v>3783</v>
      </c>
      <c r="UXV4388" s="379" t="s">
        <v>3783</v>
      </c>
      <c r="UXW4388" s="379" t="s">
        <v>3783</v>
      </c>
      <c r="UXX4388" s="379" t="s">
        <v>3783</v>
      </c>
      <c r="UXY4388" s="379" t="s">
        <v>3783</v>
      </c>
      <c r="UXZ4388" s="379" t="s">
        <v>3783</v>
      </c>
      <c r="UYA4388" s="379" t="s">
        <v>3783</v>
      </c>
      <c r="UYB4388" s="379" t="s">
        <v>3783</v>
      </c>
      <c r="UYC4388" s="379" t="s">
        <v>3783</v>
      </c>
      <c r="UYD4388" s="379" t="s">
        <v>3783</v>
      </c>
      <c r="UYE4388" s="379" t="s">
        <v>3783</v>
      </c>
      <c r="UYF4388" s="379" t="s">
        <v>3783</v>
      </c>
      <c r="UYG4388" s="379" t="s">
        <v>3783</v>
      </c>
      <c r="UYH4388" s="379" t="s">
        <v>3783</v>
      </c>
      <c r="UYI4388" s="379" t="s">
        <v>3783</v>
      </c>
      <c r="UYJ4388" s="379" t="s">
        <v>3783</v>
      </c>
      <c r="UYK4388" s="379" t="s">
        <v>3783</v>
      </c>
      <c r="UYL4388" s="379" t="s">
        <v>3783</v>
      </c>
      <c r="UYM4388" s="379" t="s">
        <v>3783</v>
      </c>
      <c r="UYN4388" s="379" t="s">
        <v>3783</v>
      </c>
      <c r="UYO4388" s="379" t="s">
        <v>3783</v>
      </c>
      <c r="UYP4388" s="379" t="s">
        <v>3783</v>
      </c>
      <c r="UYQ4388" s="379" t="s">
        <v>3783</v>
      </c>
      <c r="UYR4388" s="379" t="s">
        <v>3783</v>
      </c>
      <c r="UYS4388" s="379" t="s">
        <v>3783</v>
      </c>
      <c r="UYT4388" s="379" t="s">
        <v>3783</v>
      </c>
      <c r="UYU4388" s="379" t="s">
        <v>3783</v>
      </c>
      <c r="UYV4388" s="379" t="s">
        <v>3783</v>
      </c>
      <c r="UYW4388" s="379" t="s">
        <v>3783</v>
      </c>
      <c r="UYX4388" s="379" t="s">
        <v>3783</v>
      </c>
      <c r="UYY4388" s="379" t="s">
        <v>3783</v>
      </c>
      <c r="UYZ4388" s="379" t="s">
        <v>3783</v>
      </c>
      <c r="UZA4388" s="379" t="s">
        <v>3783</v>
      </c>
      <c r="UZB4388" s="379" t="s">
        <v>3783</v>
      </c>
      <c r="UZC4388" s="379" t="s">
        <v>3783</v>
      </c>
      <c r="UZD4388" s="379" t="s">
        <v>3783</v>
      </c>
      <c r="UZE4388" s="379" t="s">
        <v>3783</v>
      </c>
      <c r="UZF4388" s="379" t="s">
        <v>3783</v>
      </c>
      <c r="UZG4388" s="379" t="s">
        <v>3783</v>
      </c>
      <c r="UZH4388" s="379" t="s">
        <v>3783</v>
      </c>
      <c r="UZI4388" s="379" t="s">
        <v>3783</v>
      </c>
      <c r="UZJ4388" s="379" t="s">
        <v>3783</v>
      </c>
      <c r="UZK4388" s="379" t="s">
        <v>3783</v>
      </c>
      <c r="UZL4388" s="379" t="s">
        <v>3783</v>
      </c>
      <c r="UZM4388" s="379" t="s">
        <v>3783</v>
      </c>
      <c r="UZN4388" s="379" t="s">
        <v>3783</v>
      </c>
      <c r="UZO4388" s="379" t="s">
        <v>3783</v>
      </c>
      <c r="UZP4388" s="379" t="s">
        <v>3783</v>
      </c>
      <c r="UZQ4388" s="379" t="s">
        <v>3783</v>
      </c>
      <c r="UZR4388" s="379" t="s">
        <v>3783</v>
      </c>
      <c r="UZS4388" s="379" t="s">
        <v>3783</v>
      </c>
      <c r="UZT4388" s="379" t="s">
        <v>3783</v>
      </c>
      <c r="UZU4388" s="379" t="s">
        <v>3783</v>
      </c>
      <c r="UZV4388" s="379" t="s">
        <v>3783</v>
      </c>
      <c r="UZW4388" s="379" t="s">
        <v>3783</v>
      </c>
      <c r="UZX4388" s="379" t="s">
        <v>3783</v>
      </c>
      <c r="UZY4388" s="379" t="s">
        <v>3783</v>
      </c>
      <c r="UZZ4388" s="379" t="s">
        <v>3783</v>
      </c>
      <c r="VAA4388" s="379" t="s">
        <v>3783</v>
      </c>
      <c r="VAB4388" s="379" t="s">
        <v>3783</v>
      </c>
      <c r="VAC4388" s="379" t="s">
        <v>3783</v>
      </c>
      <c r="VAD4388" s="379" t="s">
        <v>3783</v>
      </c>
      <c r="VAE4388" s="379" t="s">
        <v>3783</v>
      </c>
      <c r="VAF4388" s="379" t="s">
        <v>3783</v>
      </c>
      <c r="VAG4388" s="379" t="s">
        <v>3783</v>
      </c>
      <c r="VAH4388" s="379" t="s">
        <v>3783</v>
      </c>
      <c r="VAI4388" s="379" t="s">
        <v>3783</v>
      </c>
      <c r="VAJ4388" s="379" t="s">
        <v>3783</v>
      </c>
      <c r="VAK4388" s="379" t="s">
        <v>3783</v>
      </c>
      <c r="VAL4388" s="379" t="s">
        <v>3783</v>
      </c>
      <c r="VAM4388" s="379" t="s">
        <v>3783</v>
      </c>
      <c r="VAN4388" s="379" t="s">
        <v>3783</v>
      </c>
      <c r="VAO4388" s="379" t="s">
        <v>3783</v>
      </c>
      <c r="VAP4388" s="379" t="s">
        <v>3783</v>
      </c>
      <c r="VAQ4388" s="379" t="s">
        <v>3783</v>
      </c>
      <c r="VAR4388" s="379" t="s">
        <v>3783</v>
      </c>
      <c r="VAS4388" s="379" t="s">
        <v>3783</v>
      </c>
      <c r="VAT4388" s="379" t="s">
        <v>3783</v>
      </c>
      <c r="VAU4388" s="379" t="s">
        <v>3783</v>
      </c>
      <c r="VAV4388" s="379" t="s">
        <v>3783</v>
      </c>
      <c r="VAW4388" s="379" t="s">
        <v>3783</v>
      </c>
      <c r="VAX4388" s="379" t="s">
        <v>3783</v>
      </c>
      <c r="VAY4388" s="379" t="s">
        <v>3783</v>
      </c>
      <c r="VAZ4388" s="379" t="s">
        <v>3783</v>
      </c>
      <c r="VBA4388" s="379" t="s">
        <v>3783</v>
      </c>
      <c r="VBB4388" s="379" t="s">
        <v>3783</v>
      </c>
      <c r="VBC4388" s="379" t="s">
        <v>3783</v>
      </c>
      <c r="VBD4388" s="379" t="s">
        <v>3783</v>
      </c>
      <c r="VBE4388" s="379" t="s">
        <v>3783</v>
      </c>
      <c r="VBF4388" s="379" t="s">
        <v>3783</v>
      </c>
      <c r="VBG4388" s="379" t="s">
        <v>3783</v>
      </c>
      <c r="VBH4388" s="379" t="s">
        <v>3783</v>
      </c>
      <c r="VBI4388" s="379" t="s">
        <v>3783</v>
      </c>
      <c r="VBJ4388" s="379" t="s">
        <v>3783</v>
      </c>
      <c r="VBK4388" s="379" t="s">
        <v>3783</v>
      </c>
      <c r="VBL4388" s="379" t="s">
        <v>3783</v>
      </c>
      <c r="VBM4388" s="379" t="s">
        <v>3783</v>
      </c>
      <c r="VBN4388" s="379" t="s">
        <v>3783</v>
      </c>
      <c r="VBO4388" s="379" t="s">
        <v>3783</v>
      </c>
      <c r="VBP4388" s="379" t="s">
        <v>3783</v>
      </c>
      <c r="VBQ4388" s="379" t="s">
        <v>3783</v>
      </c>
      <c r="VBR4388" s="379" t="s">
        <v>3783</v>
      </c>
      <c r="VBS4388" s="379" t="s">
        <v>3783</v>
      </c>
      <c r="VBT4388" s="379" t="s">
        <v>3783</v>
      </c>
      <c r="VBU4388" s="379" t="s">
        <v>3783</v>
      </c>
      <c r="VBV4388" s="379" t="s">
        <v>3783</v>
      </c>
      <c r="VBW4388" s="379" t="s">
        <v>3783</v>
      </c>
      <c r="VBX4388" s="379" t="s">
        <v>3783</v>
      </c>
      <c r="VBY4388" s="379" t="s">
        <v>3783</v>
      </c>
      <c r="VBZ4388" s="379" t="s">
        <v>3783</v>
      </c>
      <c r="VCA4388" s="379" t="s">
        <v>3783</v>
      </c>
      <c r="VCB4388" s="379" t="s">
        <v>3783</v>
      </c>
      <c r="VCC4388" s="379" t="s">
        <v>3783</v>
      </c>
      <c r="VCD4388" s="379" t="s">
        <v>3783</v>
      </c>
      <c r="VCE4388" s="379" t="s">
        <v>3783</v>
      </c>
      <c r="VCF4388" s="379" t="s">
        <v>3783</v>
      </c>
      <c r="VCG4388" s="379" t="s">
        <v>3783</v>
      </c>
      <c r="VCH4388" s="379" t="s">
        <v>3783</v>
      </c>
      <c r="VCI4388" s="379" t="s">
        <v>3783</v>
      </c>
      <c r="VCJ4388" s="379" t="s">
        <v>3783</v>
      </c>
      <c r="VCK4388" s="379" t="s">
        <v>3783</v>
      </c>
      <c r="VCL4388" s="379" t="s">
        <v>3783</v>
      </c>
      <c r="VCM4388" s="379" t="s">
        <v>3783</v>
      </c>
      <c r="VCN4388" s="379" t="s">
        <v>3783</v>
      </c>
      <c r="VCO4388" s="379" t="s">
        <v>3783</v>
      </c>
      <c r="VCP4388" s="379" t="s">
        <v>3783</v>
      </c>
      <c r="VCQ4388" s="379" t="s">
        <v>3783</v>
      </c>
      <c r="VCR4388" s="379" t="s">
        <v>3783</v>
      </c>
      <c r="VCS4388" s="379" t="s">
        <v>3783</v>
      </c>
      <c r="VCT4388" s="379" t="s">
        <v>3783</v>
      </c>
      <c r="VCU4388" s="379" t="s">
        <v>3783</v>
      </c>
      <c r="VCV4388" s="379" t="s">
        <v>3783</v>
      </c>
      <c r="VCW4388" s="379" t="s">
        <v>3783</v>
      </c>
      <c r="VCX4388" s="379" t="s">
        <v>3783</v>
      </c>
      <c r="VCY4388" s="379" t="s">
        <v>3783</v>
      </c>
      <c r="VCZ4388" s="379" t="s">
        <v>3783</v>
      </c>
      <c r="VDA4388" s="379" t="s">
        <v>3783</v>
      </c>
      <c r="VDB4388" s="379" t="s">
        <v>3783</v>
      </c>
      <c r="VDC4388" s="379" t="s">
        <v>3783</v>
      </c>
      <c r="VDD4388" s="379" t="s">
        <v>3783</v>
      </c>
      <c r="VDE4388" s="379" t="s">
        <v>3783</v>
      </c>
      <c r="VDF4388" s="379" t="s">
        <v>3783</v>
      </c>
      <c r="VDG4388" s="379" t="s">
        <v>3783</v>
      </c>
      <c r="VDH4388" s="379" t="s">
        <v>3783</v>
      </c>
      <c r="VDI4388" s="379" t="s">
        <v>3783</v>
      </c>
      <c r="VDJ4388" s="379" t="s">
        <v>3783</v>
      </c>
      <c r="VDK4388" s="379" t="s">
        <v>3783</v>
      </c>
      <c r="VDL4388" s="379" t="s">
        <v>3783</v>
      </c>
      <c r="VDM4388" s="379" t="s">
        <v>3783</v>
      </c>
      <c r="VDN4388" s="379" t="s">
        <v>3783</v>
      </c>
      <c r="VDO4388" s="379" t="s">
        <v>3783</v>
      </c>
      <c r="VDP4388" s="379" t="s">
        <v>3783</v>
      </c>
      <c r="VDQ4388" s="379" t="s">
        <v>3783</v>
      </c>
      <c r="VDR4388" s="379" t="s">
        <v>3783</v>
      </c>
      <c r="VDS4388" s="379" t="s">
        <v>3783</v>
      </c>
      <c r="VDT4388" s="379" t="s">
        <v>3783</v>
      </c>
      <c r="VDU4388" s="379" t="s">
        <v>3783</v>
      </c>
      <c r="VDV4388" s="379" t="s">
        <v>3783</v>
      </c>
      <c r="VDW4388" s="379" t="s">
        <v>3783</v>
      </c>
      <c r="VDX4388" s="379" t="s">
        <v>3783</v>
      </c>
      <c r="VDY4388" s="379" t="s">
        <v>3783</v>
      </c>
      <c r="VDZ4388" s="379" t="s">
        <v>3783</v>
      </c>
      <c r="VEA4388" s="379" t="s">
        <v>3783</v>
      </c>
      <c r="VEB4388" s="379" t="s">
        <v>3783</v>
      </c>
      <c r="VEC4388" s="379" t="s">
        <v>3783</v>
      </c>
      <c r="VED4388" s="379" t="s">
        <v>3783</v>
      </c>
      <c r="VEE4388" s="379" t="s">
        <v>3783</v>
      </c>
      <c r="VEF4388" s="379" t="s">
        <v>3783</v>
      </c>
      <c r="VEG4388" s="379" t="s">
        <v>3783</v>
      </c>
      <c r="VEH4388" s="379" t="s">
        <v>3783</v>
      </c>
      <c r="VEI4388" s="379" t="s">
        <v>3783</v>
      </c>
      <c r="VEJ4388" s="379" t="s">
        <v>3783</v>
      </c>
      <c r="VEK4388" s="379" t="s">
        <v>3783</v>
      </c>
      <c r="VEL4388" s="379" t="s">
        <v>3783</v>
      </c>
      <c r="VEM4388" s="379" t="s">
        <v>3783</v>
      </c>
      <c r="VEN4388" s="379" t="s">
        <v>3783</v>
      </c>
      <c r="VEO4388" s="379" t="s">
        <v>3783</v>
      </c>
      <c r="VEP4388" s="379" t="s">
        <v>3783</v>
      </c>
      <c r="VEQ4388" s="379" t="s">
        <v>3783</v>
      </c>
      <c r="VER4388" s="379" t="s">
        <v>3783</v>
      </c>
      <c r="VES4388" s="379" t="s">
        <v>3783</v>
      </c>
      <c r="VET4388" s="379" t="s">
        <v>3783</v>
      </c>
      <c r="VEU4388" s="379" t="s">
        <v>3783</v>
      </c>
      <c r="VEV4388" s="379" t="s">
        <v>3783</v>
      </c>
      <c r="VEW4388" s="379" t="s">
        <v>3783</v>
      </c>
      <c r="VEX4388" s="379" t="s">
        <v>3783</v>
      </c>
      <c r="VEY4388" s="379" t="s">
        <v>3783</v>
      </c>
      <c r="VEZ4388" s="379" t="s">
        <v>3783</v>
      </c>
      <c r="VFA4388" s="379" t="s">
        <v>3783</v>
      </c>
      <c r="VFB4388" s="379" t="s">
        <v>3783</v>
      </c>
      <c r="VFC4388" s="379" t="s">
        <v>3783</v>
      </c>
      <c r="VFD4388" s="379" t="s">
        <v>3783</v>
      </c>
      <c r="VFE4388" s="379" t="s">
        <v>3783</v>
      </c>
      <c r="VFF4388" s="379" t="s">
        <v>3783</v>
      </c>
      <c r="VFG4388" s="379" t="s">
        <v>3783</v>
      </c>
      <c r="VFH4388" s="379" t="s">
        <v>3783</v>
      </c>
      <c r="VFI4388" s="379" t="s">
        <v>3783</v>
      </c>
      <c r="VFJ4388" s="379" t="s">
        <v>3783</v>
      </c>
      <c r="VFK4388" s="379" t="s">
        <v>3783</v>
      </c>
      <c r="VFL4388" s="379" t="s">
        <v>3783</v>
      </c>
      <c r="VFM4388" s="379" t="s">
        <v>3783</v>
      </c>
      <c r="VFN4388" s="379" t="s">
        <v>3783</v>
      </c>
      <c r="VFO4388" s="379" t="s">
        <v>3783</v>
      </c>
      <c r="VFP4388" s="379" t="s">
        <v>3783</v>
      </c>
      <c r="VFQ4388" s="379" t="s">
        <v>3783</v>
      </c>
      <c r="VFR4388" s="379" t="s">
        <v>3783</v>
      </c>
      <c r="VFS4388" s="379" t="s">
        <v>3783</v>
      </c>
      <c r="VFT4388" s="379" t="s">
        <v>3783</v>
      </c>
      <c r="VFU4388" s="379" t="s">
        <v>3783</v>
      </c>
      <c r="VFV4388" s="379" t="s">
        <v>3783</v>
      </c>
      <c r="VFW4388" s="379" t="s">
        <v>3783</v>
      </c>
      <c r="VFX4388" s="379" t="s">
        <v>3783</v>
      </c>
      <c r="VFY4388" s="379" t="s">
        <v>3783</v>
      </c>
      <c r="VFZ4388" s="379" t="s">
        <v>3783</v>
      </c>
      <c r="VGA4388" s="379" t="s">
        <v>3783</v>
      </c>
      <c r="VGB4388" s="379" t="s">
        <v>3783</v>
      </c>
      <c r="VGC4388" s="379" t="s">
        <v>3783</v>
      </c>
      <c r="VGD4388" s="379" t="s">
        <v>3783</v>
      </c>
      <c r="VGE4388" s="379" t="s">
        <v>3783</v>
      </c>
      <c r="VGF4388" s="379" t="s">
        <v>3783</v>
      </c>
      <c r="VGG4388" s="379" t="s">
        <v>3783</v>
      </c>
      <c r="VGH4388" s="379" t="s">
        <v>3783</v>
      </c>
      <c r="VGI4388" s="379" t="s">
        <v>3783</v>
      </c>
      <c r="VGJ4388" s="379" t="s">
        <v>3783</v>
      </c>
      <c r="VGK4388" s="379" t="s">
        <v>3783</v>
      </c>
      <c r="VGL4388" s="379" t="s">
        <v>3783</v>
      </c>
      <c r="VGM4388" s="379" t="s">
        <v>3783</v>
      </c>
      <c r="VGN4388" s="379" t="s">
        <v>3783</v>
      </c>
      <c r="VGO4388" s="379" t="s">
        <v>3783</v>
      </c>
      <c r="VGP4388" s="379" t="s">
        <v>3783</v>
      </c>
      <c r="VGQ4388" s="379" t="s">
        <v>3783</v>
      </c>
      <c r="VGR4388" s="379" t="s">
        <v>3783</v>
      </c>
      <c r="VGS4388" s="379" t="s">
        <v>3783</v>
      </c>
      <c r="VGT4388" s="379" t="s">
        <v>3783</v>
      </c>
      <c r="VGU4388" s="379" t="s">
        <v>3783</v>
      </c>
      <c r="VGV4388" s="379" t="s">
        <v>3783</v>
      </c>
      <c r="VGW4388" s="379" t="s">
        <v>3783</v>
      </c>
      <c r="VGX4388" s="379" t="s">
        <v>3783</v>
      </c>
      <c r="VGY4388" s="379" t="s">
        <v>3783</v>
      </c>
      <c r="VGZ4388" s="379" t="s">
        <v>3783</v>
      </c>
      <c r="VHA4388" s="379" t="s">
        <v>3783</v>
      </c>
      <c r="VHB4388" s="379" t="s">
        <v>3783</v>
      </c>
      <c r="VHC4388" s="379" t="s">
        <v>3783</v>
      </c>
      <c r="VHD4388" s="379" t="s">
        <v>3783</v>
      </c>
      <c r="VHE4388" s="379" t="s">
        <v>3783</v>
      </c>
      <c r="VHF4388" s="379" t="s">
        <v>3783</v>
      </c>
      <c r="VHG4388" s="379" t="s">
        <v>3783</v>
      </c>
      <c r="VHH4388" s="379" t="s">
        <v>3783</v>
      </c>
      <c r="VHI4388" s="379" t="s">
        <v>3783</v>
      </c>
      <c r="VHJ4388" s="379" t="s">
        <v>3783</v>
      </c>
      <c r="VHK4388" s="379" t="s">
        <v>3783</v>
      </c>
      <c r="VHL4388" s="379" t="s">
        <v>3783</v>
      </c>
      <c r="VHM4388" s="379" t="s">
        <v>3783</v>
      </c>
      <c r="VHN4388" s="379" t="s">
        <v>3783</v>
      </c>
      <c r="VHO4388" s="379" t="s">
        <v>3783</v>
      </c>
      <c r="VHP4388" s="379" t="s">
        <v>3783</v>
      </c>
      <c r="VHQ4388" s="379" t="s">
        <v>3783</v>
      </c>
      <c r="VHR4388" s="379" t="s">
        <v>3783</v>
      </c>
      <c r="VHS4388" s="379" t="s">
        <v>3783</v>
      </c>
      <c r="VHT4388" s="379" t="s">
        <v>3783</v>
      </c>
      <c r="VHU4388" s="379" t="s">
        <v>3783</v>
      </c>
      <c r="VHV4388" s="379" t="s">
        <v>3783</v>
      </c>
      <c r="VHW4388" s="379" t="s">
        <v>3783</v>
      </c>
      <c r="VHX4388" s="379" t="s">
        <v>3783</v>
      </c>
      <c r="VHY4388" s="379" t="s">
        <v>3783</v>
      </c>
      <c r="VHZ4388" s="379" t="s">
        <v>3783</v>
      </c>
      <c r="VIA4388" s="379" t="s">
        <v>3783</v>
      </c>
      <c r="VIB4388" s="379" t="s">
        <v>3783</v>
      </c>
      <c r="VIC4388" s="379" t="s">
        <v>3783</v>
      </c>
      <c r="VID4388" s="379" t="s">
        <v>3783</v>
      </c>
      <c r="VIE4388" s="379" t="s">
        <v>3783</v>
      </c>
      <c r="VIF4388" s="379" t="s">
        <v>3783</v>
      </c>
      <c r="VIG4388" s="379" t="s">
        <v>3783</v>
      </c>
      <c r="VIH4388" s="379" t="s">
        <v>3783</v>
      </c>
      <c r="VII4388" s="379" t="s">
        <v>3783</v>
      </c>
      <c r="VIJ4388" s="379" t="s">
        <v>3783</v>
      </c>
      <c r="VIK4388" s="379" t="s">
        <v>3783</v>
      </c>
      <c r="VIL4388" s="379" t="s">
        <v>3783</v>
      </c>
      <c r="VIM4388" s="379" t="s">
        <v>3783</v>
      </c>
      <c r="VIN4388" s="379" t="s">
        <v>3783</v>
      </c>
      <c r="VIO4388" s="379" t="s">
        <v>3783</v>
      </c>
      <c r="VIP4388" s="379" t="s">
        <v>3783</v>
      </c>
      <c r="VIQ4388" s="379" t="s">
        <v>3783</v>
      </c>
      <c r="VIR4388" s="379" t="s">
        <v>3783</v>
      </c>
      <c r="VIS4388" s="379" t="s">
        <v>3783</v>
      </c>
      <c r="VIT4388" s="379" t="s">
        <v>3783</v>
      </c>
      <c r="VIU4388" s="379" t="s">
        <v>3783</v>
      </c>
      <c r="VIV4388" s="379" t="s">
        <v>3783</v>
      </c>
      <c r="VIW4388" s="379" t="s">
        <v>3783</v>
      </c>
      <c r="VIX4388" s="379" t="s">
        <v>3783</v>
      </c>
      <c r="VIY4388" s="379" t="s">
        <v>3783</v>
      </c>
      <c r="VIZ4388" s="379" t="s">
        <v>3783</v>
      </c>
      <c r="VJA4388" s="379" t="s">
        <v>3783</v>
      </c>
      <c r="VJB4388" s="379" t="s">
        <v>3783</v>
      </c>
      <c r="VJC4388" s="379" t="s">
        <v>3783</v>
      </c>
      <c r="VJD4388" s="379" t="s">
        <v>3783</v>
      </c>
      <c r="VJE4388" s="379" t="s">
        <v>3783</v>
      </c>
      <c r="VJF4388" s="379" t="s">
        <v>3783</v>
      </c>
      <c r="VJG4388" s="379" t="s">
        <v>3783</v>
      </c>
      <c r="VJH4388" s="379" t="s">
        <v>3783</v>
      </c>
      <c r="VJI4388" s="379" t="s">
        <v>3783</v>
      </c>
      <c r="VJJ4388" s="379" t="s">
        <v>3783</v>
      </c>
      <c r="VJK4388" s="379" t="s">
        <v>3783</v>
      </c>
      <c r="VJL4388" s="379" t="s">
        <v>3783</v>
      </c>
      <c r="VJM4388" s="379" t="s">
        <v>3783</v>
      </c>
      <c r="VJN4388" s="379" t="s">
        <v>3783</v>
      </c>
      <c r="VJO4388" s="379" t="s">
        <v>3783</v>
      </c>
      <c r="VJP4388" s="379" t="s">
        <v>3783</v>
      </c>
      <c r="VJQ4388" s="379" t="s">
        <v>3783</v>
      </c>
      <c r="VJR4388" s="379" t="s">
        <v>3783</v>
      </c>
      <c r="VJS4388" s="379" t="s">
        <v>3783</v>
      </c>
      <c r="VJT4388" s="379" t="s">
        <v>3783</v>
      </c>
      <c r="VJU4388" s="379" t="s">
        <v>3783</v>
      </c>
      <c r="VJV4388" s="379" t="s">
        <v>3783</v>
      </c>
      <c r="VJW4388" s="379" t="s">
        <v>3783</v>
      </c>
      <c r="VJX4388" s="379" t="s">
        <v>3783</v>
      </c>
      <c r="VJY4388" s="379" t="s">
        <v>3783</v>
      </c>
      <c r="VJZ4388" s="379" t="s">
        <v>3783</v>
      </c>
      <c r="VKA4388" s="379" t="s">
        <v>3783</v>
      </c>
      <c r="VKB4388" s="379" t="s">
        <v>3783</v>
      </c>
      <c r="VKC4388" s="379" t="s">
        <v>3783</v>
      </c>
      <c r="VKD4388" s="379" t="s">
        <v>3783</v>
      </c>
      <c r="VKE4388" s="379" t="s">
        <v>3783</v>
      </c>
      <c r="VKF4388" s="379" t="s">
        <v>3783</v>
      </c>
      <c r="VKG4388" s="379" t="s">
        <v>3783</v>
      </c>
      <c r="VKH4388" s="379" t="s">
        <v>3783</v>
      </c>
      <c r="VKI4388" s="379" t="s">
        <v>3783</v>
      </c>
      <c r="VKJ4388" s="379" t="s">
        <v>3783</v>
      </c>
      <c r="VKK4388" s="379" t="s">
        <v>3783</v>
      </c>
      <c r="VKL4388" s="379" t="s">
        <v>3783</v>
      </c>
      <c r="VKM4388" s="379" t="s">
        <v>3783</v>
      </c>
      <c r="VKN4388" s="379" t="s">
        <v>3783</v>
      </c>
      <c r="VKO4388" s="379" t="s">
        <v>3783</v>
      </c>
      <c r="VKP4388" s="379" t="s">
        <v>3783</v>
      </c>
      <c r="VKQ4388" s="379" t="s">
        <v>3783</v>
      </c>
      <c r="VKR4388" s="379" t="s">
        <v>3783</v>
      </c>
      <c r="VKS4388" s="379" t="s">
        <v>3783</v>
      </c>
      <c r="VKT4388" s="379" t="s">
        <v>3783</v>
      </c>
      <c r="VKU4388" s="379" t="s">
        <v>3783</v>
      </c>
      <c r="VKV4388" s="379" t="s">
        <v>3783</v>
      </c>
      <c r="VKW4388" s="379" t="s">
        <v>3783</v>
      </c>
      <c r="VKX4388" s="379" t="s">
        <v>3783</v>
      </c>
      <c r="VKY4388" s="379" t="s">
        <v>3783</v>
      </c>
      <c r="VKZ4388" s="379" t="s">
        <v>3783</v>
      </c>
      <c r="VLA4388" s="379" t="s">
        <v>3783</v>
      </c>
      <c r="VLB4388" s="379" t="s">
        <v>3783</v>
      </c>
      <c r="VLC4388" s="379" t="s">
        <v>3783</v>
      </c>
      <c r="VLD4388" s="379" t="s">
        <v>3783</v>
      </c>
      <c r="VLE4388" s="379" t="s">
        <v>3783</v>
      </c>
      <c r="VLF4388" s="379" t="s">
        <v>3783</v>
      </c>
      <c r="VLG4388" s="379" t="s">
        <v>3783</v>
      </c>
      <c r="VLH4388" s="379" t="s">
        <v>3783</v>
      </c>
      <c r="VLI4388" s="379" t="s">
        <v>3783</v>
      </c>
      <c r="VLJ4388" s="379" t="s">
        <v>3783</v>
      </c>
      <c r="VLK4388" s="379" t="s">
        <v>3783</v>
      </c>
      <c r="VLL4388" s="379" t="s">
        <v>3783</v>
      </c>
      <c r="VLM4388" s="379" t="s">
        <v>3783</v>
      </c>
      <c r="VLN4388" s="379" t="s">
        <v>3783</v>
      </c>
      <c r="VLO4388" s="379" t="s">
        <v>3783</v>
      </c>
      <c r="VLP4388" s="379" t="s">
        <v>3783</v>
      </c>
      <c r="VLQ4388" s="379" t="s">
        <v>3783</v>
      </c>
      <c r="VLR4388" s="379" t="s">
        <v>3783</v>
      </c>
      <c r="VLS4388" s="379" t="s">
        <v>3783</v>
      </c>
      <c r="VLT4388" s="379" t="s">
        <v>3783</v>
      </c>
      <c r="VLU4388" s="379" t="s">
        <v>3783</v>
      </c>
      <c r="VLV4388" s="379" t="s">
        <v>3783</v>
      </c>
      <c r="VLW4388" s="379" t="s">
        <v>3783</v>
      </c>
      <c r="VLX4388" s="379" t="s">
        <v>3783</v>
      </c>
      <c r="VLY4388" s="379" t="s">
        <v>3783</v>
      </c>
      <c r="VLZ4388" s="379" t="s">
        <v>3783</v>
      </c>
      <c r="VMA4388" s="379" t="s">
        <v>3783</v>
      </c>
      <c r="VMB4388" s="379" t="s">
        <v>3783</v>
      </c>
      <c r="VMC4388" s="379" t="s">
        <v>3783</v>
      </c>
      <c r="VMD4388" s="379" t="s">
        <v>3783</v>
      </c>
      <c r="VME4388" s="379" t="s">
        <v>3783</v>
      </c>
      <c r="VMF4388" s="379" t="s">
        <v>3783</v>
      </c>
      <c r="VMG4388" s="379" t="s">
        <v>3783</v>
      </c>
      <c r="VMH4388" s="379" t="s">
        <v>3783</v>
      </c>
      <c r="VMI4388" s="379" t="s">
        <v>3783</v>
      </c>
      <c r="VMJ4388" s="379" t="s">
        <v>3783</v>
      </c>
      <c r="VMK4388" s="379" t="s">
        <v>3783</v>
      </c>
      <c r="VML4388" s="379" t="s">
        <v>3783</v>
      </c>
      <c r="VMM4388" s="379" t="s">
        <v>3783</v>
      </c>
      <c r="VMN4388" s="379" t="s">
        <v>3783</v>
      </c>
      <c r="VMO4388" s="379" t="s">
        <v>3783</v>
      </c>
      <c r="VMP4388" s="379" t="s">
        <v>3783</v>
      </c>
      <c r="VMQ4388" s="379" t="s">
        <v>3783</v>
      </c>
      <c r="VMR4388" s="379" t="s">
        <v>3783</v>
      </c>
      <c r="VMS4388" s="379" t="s">
        <v>3783</v>
      </c>
      <c r="VMT4388" s="379" t="s">
        <v>3783</v>
      </c>
      <c r="VMU4388" s="379" t="s">
        <v>3783</v>
      </c>
      <c r="VMV4388" s="379" t="s">
        <v>3783</v>
      </c>
      <c r="VMW4388" s="379" t="s">
        <v>3783</v>
      </c>
      <c r="VMX4388" s="379" t="s">
        <v>3783</v>
      </c>
      <c r="VMY4388" s="379" t="s">
        <v>3783</v>
      </c>
      <c r="VMZ4388" s="379" t="s">
        <v>3783</v>
      </c>
      <c r="VNA4388" s="379" t="s">
        <v>3783</v>
      </c>
      <c r="VNB4388" s="379" t="s">
        <v>3783</v>
      </c>
      <c r="VNC4388" s="379" t="s">
        <v>3783</v>
      </c>
      <c r="VND4388" s="379" t="s">
        <v>3783</v>
      </c>
      <c r="VNE4388" s="379" t="s">
        <v>3783</v>
      </c>
      <c r="VNF4388" s="379" t="s">
        <v>3783</v>
      </c>
      <c r="VNG4388" s="379" t="s">
        <v>3783</v>
      </c>
      <c r="VNH4388" s="379" t="s">
        <v>3783</v>
      </c>
      <c r="VNI4388" s="379" t="s">
        <v>3783</v>
      </c>
      <c r="VNJ4388" s="379" t="s">
        <v>3783</v>
      </c>
      <c r="VNK4388" s="379" t="s">
        <v>3783</v>
      </c>
      <c r="VNL4388" s="379" t="s">
        <v>3783</v>
      </c>
      <c r="VNM4388" s="379" t="s">
        <v>3783</v>
      </c>
      <c r="VNN4388" s="379" t="s">
        <v>3783</v>
      </c>
      <c r="VNO4388" s="379" t="s">
        <v>3783</v>
      </c>
      <c r="VNP4388" s="379" t="s">
        <v>3783</v>
      </c>
      <c r="VNQ4388" s="379" t="s">
        <v>3783</v>
      </c>
      <c r="VNR4388" s="379" t="s">
        <v>3783</v>
      </c>
      <c r="VNS4388" s="379" t="s">
        <v>3783</v>
      </c>
      <c r="VNT4388" s="379" t="s">
        <v>3783</v>
      </c>
      <c r="VNU4388" s="379" t="s">
        <v>3783</v>
      </c>
      <c r="VNV4388" s="379" t="s">
        <v>3783</v>
      </c>
      <c r="VNW4388" s="379" t="s">
        <v>3783</v>
      </c>
      <c r="VNX4388" s="379" t="s">
        <v>3783</v>
      </c>
      <c r="VNY4388" s="379" t="s">
        <v>3783</v>
      </c>
      <c r="VNZ4388" s="379" t="s">
        <v>3783</v>
      </c>
      <c r="VOA4388" s="379" t="s">
        <v>3783</v>
      </c>
      <c r="VOB4388" s="379" t="s">
        <v>3783</v>
      </c>
      <c r="VOC4388" s="379" t="s">
        <v>3783</v>
      </c>
      <c r="VOD4388" s="379" t="s">
        <v>3783</v>
      </c>
      <c r="VOE4388" s="379" t="s">
        <v>3783</v>
      </c>
      <c r="VOF4388" s="379" t="s">
        <v>3783</v>
      </c>
      <c r="VOG4388" s="379" t="s">
        <v>3783</v>
      </c>
      <c r="VOH4388" s="379" t="s">
        <v>3783</v>
      </c>
      <c r="VOI4388" s="379" t="s">
        <v>3783</v>
      </c>
      <c r="VOJ4388" s="379" t="s">
        <v>3783</v>
      </c>
      <c r="VOK4388" s="379" t="s">
        <v>3783</v>
      </c>
      <c r="VOL4388" s="379" t="s">
        <v>3783</v>
      </c>
      <c r="VOM4388" s="379" t="s">
        <v>3783</v>
      </c>
      <c r="VON4388" s="379" t="s">
        <v>3783</v>
      </c>
      <c r="VOO4388" s="379" t="s">
        <v>3783</v>
      </c>
      <c r="VOP4388" s="379" t="s">
        <v>3783</v>
      </c>
      <c r="VOQ4388" s="379" t="s">
        <v>3783</v>
      </c>
      <c r="VOR4388" s="379" t="s">
        <v>3783</v>
      </c>
      <c r="VOS4388" s="379" t="s">
        <v>3783</v>
      </c>
      <c r="VOT4388" s="379" t="s">
        <v>3783</v>
      </c>
      <c r="VOU4388" s="379" t="s">
        <v>3783</v>
      </c>
      <c r="VOV4388" s="379" t="s">
        <v>3783</v>
      </c>
      <c r="VOW4388" s="379" t="s">
        <v>3783</v>
      </c>
      <c r="VOX4388" s="379" t="s">
        <v>3783</v>
      </c>
      <c r="VOY4388" s="379" t="s">
        <v>3783</v>
      </c>
      <c r="VOZ4388" s="379" t="s">
        <v>3783</v>
      </c>
      <c r="VPA4388" s="379" t="s">
        <v>3783</v>
      </c>
      <c r="VPB4388" s="379" t="s">
        <v>3783</v>
      </c>
      <c r="VPC4388" s="379" t="s">
        <v>3783</v>
      </c>
      <c r="VPD4388" s="379" t="s">
        <v>3783</v>
      </c>
      <c r="VPE4388" s="379" t="s">
        <v>3783</v>
      </c>
      <c r="VPF4388" s="379" t="s">
        <v>3783</v>
      </c>
      <c r="VPG4388" s="379" t="s">
        <v>3783</v>
      </c>
      <c r="VPH4388" s="379" t="s">
        <v>3783</v>
      </c>
      <c r="VPI4388" s="379" t="s">
        <v>3783</v>
      </c>
      <c r="VPJ4388" s="379" t="s">
        <v>3783</v>
      </c>
      <c r="VPK4388" s="379" t="s">
        <v>3783</v>
      </c>
      <c r="VPL4388" s="379" t="s">
        <v>3783</v>
      </c>
      <c r="VPM4388" s="379" t="s">
        <v>3783</v>
      </c>
      <c r="VPN4388" s="379" t="s">
        <v>3783</v>
      </c>
      <c r="VPO4388" s="379" t="s">
        <v>3783</v>
      </c>
      <c r="VPP4388" s="379" t="s">
        <v>3783</v>
      </c>
      <c r="VPQ4388" s="379" t="s">
        <v>3783</v>
      </c>
      <c r="VPR4388" s="379" t="s">
        <v>3783</v>
      </c>
      <c r="VPS4388" s="379" t="s">
        <v>3783</v>
      </c>
      <c r="VPT4388" s="379" t="s">
        <v>3783</v>
      </c>
      <c r="VPU4388" s="379" t="s">
        <v>3783</v>
      </c>
      <c r="VPV4388" s="379" t="s">
        <v>3783</v>
      </c>
      <c r="VPW4388" s="379" t="s">
        <v>3783</v>
      </c>
      <c r="VPX4388" s="379" t="s">
        <v>3783</v>
      </c>
      <c r="VPY4388" s="379" t="s">
        <v>3783</v>
      </c>
      <c r="VPZ4388" s="379" t="s">
        <v>3783</v>
      </c>
      <c r="VQA4388" s="379" t="s">
        <v>3783</v>
      </c>
      <c r="VQB4388" s="379" t="s">
        <v>3783</v>
      </c>
      <c r="VQC4388" s="379" t="s">
        <v>3783</v>
      </c>
      <c r="VQD4388" s="379" t="s">
        <v>3783</v>
      </c>
      <c r="VQE4388" s="379" t="s">
        <v>3783</v>
      </c>
      <c r="VQF4388" s="379" t="s">
        <v>3783</v>
      </c>
      <c r="VQG4388" s="379" t="s">
        <v>3783</v>
      </c>
      <c r="VQH4388" s="379" t="s">
        <v>3783</v>
      </c>
      <c r="VQI4388" s="379" t="s">
        <v>3783</v>
      </c>
      <c r="VQJ4388" s="379" t="s">
        <v>3783</v>
      </c>
      <c r="VQK4388" s="379" t="s">
        <v>3783</v>
      </c>
      <c r="VQL4388" s="379" t="s">
        <v>3783</v>
      </c>
      <c r="VQM4388" s="379" t="s">
        <v>3783</v>
      </c>
      <c r="VQN4388" s="379" t="s">
        <v>3783</v>
      </c>
      <c r="VQO4388" s="379" t="s">
        <v>3783</v>
      </c>
      <c r="VQP4388" s="379" t="s">
        <v>3783</v>
      </c>
      <c r="VQQ4388" s="379" t="s">
        <v>3783</v>
      </c>
      <c r="VQR4388" s="379" t="s">
        <v>3783</v>
      </c>
      <c r="VQS4388" s="379" t="s">
        <v>3783</v>
      </c>
      <c r="VQT4388" s="379" t="s">
        <v>3783</v>
      </c>
      <c r="VQU4388" s="379" t="s">
        <v>3783</v>
      </c>
      <c r="VQV4388" s="379" t="s">
        <v>3783</v>
      </c>
      <c r="VQW4388" s="379" t="s">
        <v>3783</v>
      </c>
      <c r="VQX4388" s="379" t="s">
        <v>3783</v>
      </c>
      <c r="VQY4388" s="379" t="s">
        <v>3783</v>
      </c>
      <c r="VQZ4388" s="379" t="s">
        <v>3783</v>
      </c>
      <c r="VRA4388" s="379" t="s">
        <v>3783</v>
      </c>
      <c r="VRB4388" s="379" t="s">
        <v>3783</v>
      </c>
      <c r="VRC4388" s="379" t="s">
        <v>3783</v>
      </c>
      <c r="VRD4388" s="379" t="s">
        <v>3783</v>
      </c>
      <c r="VRE4388" s="379" t="s">
        <v>3783</v>
      </c>
      <c r="VRF4388" s="379" t="s">
        <v>3783</v>
      </c>
      <c r="VRG4388" s="379" t="s">
        <v>3783</v>
      </c>
      <c r="VRH4388" s="379" t="s">
        <v>3783</v>
      </c>
      <c r="VRI4388" s="379" t="s">
        <v>3783</v>
      </c>
      <c r="VRJ4388" s="379" t="s">
        <v>3783</v>
      </c>
      <c r="VRK4388" s="379" t="s">
        <v>3783</v>
      </c>
      <c r="VRL4388" s="379" t="s">
        <v>3783</v>
      </c>
      <c r="VRM4388" s="379" t="s">
        <v>3783</v>
      </c>
      <c r="VRN4388" s="379" t="s">
        <v>3783</v>
      </c>
      <c r="VRO4388" s="379" t="s">
        <v>3783</v>
      </c>
      <c r="VRP4388" s="379" t="s">
        <v>3783</v>
      </c>
      <c r="VRQ4388" s="379" t="s">
        <v>3783</v>
      </c>
      <c r="VRR4388" s="379" t="s">
        <v>3783</v>
      </c>
      <c r="VRS4388" s="379" t="s">
        <v>3783</v>
      </c>
      <c r="VRT4388" s="379" t="s">
        <v>3783</v>
      </c>
      <c r="VRU4388" s="379" t="s">
        <v>3783</v>
      </c>
      <c r="VRV4388" s="379" t="s">
        <v>3783</v>
      </c>
      <c r="VRW4388" s="379" t="s">
        <v>3783</v>
      </c>
      <c r="VRX4388" s="379" t="s">
        <v>3783</v>
      </c>
      <c r="VRY4388" s="379" t="s">
        <v>3783</v>
      </c>
      <c r="VRZ4388" s="379" t="s">
        <v>3783</v>
      </c>
      <c r="VSA4388" s="379" t="s">
        <v>3783</v>
      </c>
      <c r="VSB4388" s="379" t="s">
        <v>3783</v>
      </c>
      <c r="VSC4388" s="379" t="s">
        <v>3783</v>
      </c>
      <c r="VSD4388" s="379" t="s">
        <v>3783</v>
      </c>
      <c r="VSE4388" s="379" t="s">
        <v>3783</v>
      </c>
      <c r="VSF4388" s="379" t="s">
        <v>3783</v>
      </c>
      <c r="VSG4388" s="379" t="s">
        <v>3783</v>
      </c>
      <c r="VSH4388" s="379" t="s">
        <v>3783</v>
      </c>
      <c r="VSI4388" s="379" t="s">
        <v>3783</v>
      </c>
      <c r="VSJ4388" s="379" t="s">
        <v>3783</v>
      </c>
      <c r="VSK4388" s="379" t="s">
        <v>3783</v>
      </c>
      <c r="VSL4388" s="379" t="s">
        <v>3783</v>
      </c>
      <c r="VSM4388" s="379" t="s">
        <v>3783</v>
      </c>
      <c r="VSN4388" s="379" t="s">
        <v>3783</v>
      </c>
      <c r="VSO4388" s="379" t="s">
        <v>3783</v>
      </c>
      <c r="VSP4388" s="379" t="s">
        <v>3783</v>
      </c>
      <c r="VSQ4388" s="379" t="s">
        <v>3783</v>
      </c>
      <c r="VSR4388" s="379" t="s">
        <v>3783</v>
      </c>
      <c r="VSS4388" s="379" t="s">
        <v>3783</v>
      </c>
      <c r="VST4388" s="379" t="s">
        <v>3783</v>
      </c>
      <c r="VSU4388" s="379" t="s">
        <v>3783</v>
      </c>
      <c r="VSV4388" s="379" t="s">
        <v>3783</v>
      </c>
      <c r="VSW4388" s="379" t="s">
        <v>3783</v>
      </c>
      <c r="VSX4388" s="379" t="s">
        <v>3783</v>
      </c>
      <c r="VSY4388" s="379" t="s">
        <v>3783</v>
      </c>
      <c r="VSZ4388" s="379" t="s">
        <v>3783</v>
      </c>
      <c r="VTA4388" s="379" t="s">
        <v>3783</v>
      </c>
      <c r="VTB4388" s="379" t="s">
        <v>3783</v>
      </c>
      <c r="VTC4388" s="379" t="s">
        <v>3783</v>
      </c>
      <c r="VTD4388" s="379" t="s">
        <v>3783</v>
      </c>
      <c r="VTE4388" s="379" t="s">
        <v>3783</v>
      </c>
      <c r="VTF4388" s="379" t="s">
        <v>3783</v>
      </c>
      <c r="VTG4388" s="379" t="s">
        <v>3783</v>
      </c>
      <c r="VTH4388" s="379" t="s">
        <v>3783</v>
      </c>
      <c r="VTI4388" s="379" t="s">
        <v>3783</v>
      </c>
      <c r="VTJ4388" s="379" t="s">
        <v>3783</v>
      </c>
      <c r="VTK4388" s="379" t="s">
        <v>3783</v>
      </c>
      <c r="VTL4388" s="379" t="s">
        <v>3783</v>
      </c>
      <c r="VTM4388" s="379" t="s">
        <v>3783</v>
      </c>
      <c r="VTN4388" s="379" t="s">
        <v>3783</v>
      </c>
      <c r="VTO4388" s="379" t="s">
        <v>3783</v>
      </c>
      <c r="VTP4388" s="379" t="s">
        <v>3783</v>
      </c>
      <c r="VTQ4388" s="379" t="s">
        <v>3783</v>
      </c>
      <c r="VTR4388" s="379" t="s">
        <v>3783</v>
      </c>
      <c r="VTS4388" s="379" t="s">
        <v>3783</v>
      </c>
      <c r="VTT4388" s="379" t="s">
        <v>3783</v>
      </c>
      <c r="VTU4388" s="379" t="s">
        <v>3783</v>
      </c>
      <c r="VTV4388" s="379" t="s">
        <v>3783</v>
      </c>
      <c r="VTW4388" s="379" t="s">
        <v>3783</v>
      </c>
      <c r="VTX4388" s="379" t="s">
        <v>3783</v>
      </c>
      <c r="VTY4388" s="379" t="s">
        <v>3783</v>
      </c>
      <c r="VTZ4388" s="379" t="s">
        <v>3783</v>
      </c>
      <c r="VUA4388" s="379" t="s">
        <v>3783</v>
      </c>
      <c r="VUB4388" s="379" t="s">
        <v>3783</v>
      </c>
      <c r="VUC4388" s="379" t="s">
        <v>3783</v>
      </c>
      <c r="VUD4388" s="379" t="s">
        <v>3783</v>
      </c>
      <c r="VUE4388" s="379" t="s">
        <v>3783</v>
      </c>
      <c r="VUF4388" s="379" t="s">
        <v>3783</v>
      </c>
      <c r="VUG4388" s="379" t="s">
        <v>3783</v>
      </c>
      <c r="VUH4388" s="379" t="s">
        <v>3783</v>
      </c>
      <c r="VUI4388" s="379" t="s">
        <v>3783</v>
      </c>
      <c r="VUJ4388" s="379" t="s">
        <v>3783</v>
      </c>
      <c r="VUK4388" s="379" t="s">
        <v>3783</v>
      </c>
      <c r="VUL4388" s="379" t="s">
        <v>3783</v>
      </c>
      <c r="VUM4388" s="379" t="s">
        <v>3783</v>
      </c>
      <c r="VUN4388" s="379" t="s">
        <v>3783</v>
      </c>
      <c r="VUO4388" s="379" t="s">
        <v>3783</v>
      </c>
      <c r="VUP4388" s="379" t="s">
        <v>3783</v>
      </c>
      <c r="VUQ4388" s="379" t="s">
        <v>3783</v>
      </c>
      <c r="VUR4388" s="379" t="s">
        <v>3783</v>
      </c>
      <c r="VUS4388" s="379" t="s">
        <v>3783</v>
      </c>
      <c r="VUT4388" s="379" t="s">
        <v>3783</v>
      </c>
      <c r="VUU4388" s="379" t="s">
        <v>3783</v>
      </c>
      <c r="VUV4388" s="379" t="s">
        <v>3783</v>
      </c>
      <c r="VUW4388" s="379" t="s">
        <v>3783</v>
      </c>
      <c r="VUX4388" s="379" t="s">
        <v>3783</v>
      </c>
      <c r="VUY4388" s="379" t="s">
        <v>3783</v>
      </c>
      <c r="VUZ4388" s="379" t="s">
        <v>3783</v>
      </c>
      <c r="VVA4388" s="379" t="s">
        <v>3783</v>
      </c>
      <c r="VVB4388" s="379" t="s">
        <v>3783</v>
      </c>
      <c r="VVC4388" s="379" t="s">
        <v>3783</v>
      </c>
      <c r="VVD4388" s="379" t="s">
        <v>3783</v>
      </c>
      <c r="VVE4388" s="379" t="s">
        <v>3783</v>
      </c>
      <c r="VVF4388" s="379" t="s">
        <v>3783</v>
      </c>
      <c r="VVG4388" s="379" t="s">
        <v>3783</v>
      </c>
      <c r="VVH4388" s="379" t="s">
        <v>3783</v>
      </c>
      <c r="VVI4388" s="379" t="s">
        <v>3783</v>
      </c>
      <c r="VVJ4388" s="379" t="s">
        <v>3783</v>
      </c>
      <c r="VVK4388" s="379" t="s">
        <v>3783</v>
      </c>
      <c r="VVL4388" s="379" t="s">
        <v>3783</v>
      </c>
      <c r="VVM4388" s="379" t="s">
        <v>3783</v>
      </c>
      <c r="VVN4388" s="379" t="s">
        <v>3783</v>
      </c>
      <c r="VVO4388" s="379" t="s">
        <v>3783</v>
      </c>
      <c r="VVP4388" s="379" t="s">
        <v>3783</v>
      </c>
      <c r="VVQ4388" s="379" t="s">
        <v>3783</v>
      </c>
      <c r="VVR4388" s="379" t="s">
        <v>3783</v>
      </c>
      <c r="VVS4388" s="379" t="s">
        <v>3783</v>
      </c>
      <c r="VVT4388" s="379" t="s">
        <v>3783</v>
      </c>
      <c r="VVU4388" s="379" t="s">
        <v>3783</v>
      </c>
      <c r="VVV4388" s="379" t="s">
        <v>3783</v>
      </c>
      <c r="VVW4388" s="379" t="s">
        <v>3783</v>
      </c>
      <c r="VVX4388" s="379" t="s">
        <v>3783</v>
      </c>
      <c r="VVY4388" s="379" t="s">
        <v>3783</v>
      </c>
      <c r="VVZ4388" s="379" t="s">
        <v>3783</v>
      </c>
      <c r="VWA4388" s="379" t="s">
        <v>3783</v>
      </c>
      <c r="VWB4388" s="379" t="s">
        <v>3783</v>
      </c>
      <c r="VWC4388" s="379" t="s">
        <v>3783</v>
      </c>
      <c r="VWD4388" s="379" t="s">
        <v>3783</v>
      </c>
      <c r="VWE4388" s="379" t="s">
        <v>3783</v>
      </c>
      <c r="VWF4388" s="379" t="s">
        <v>3783</v>
      </c>
      <c r="VWG4388" s="379" t="s">
        <v>3783</v>
      </c>
      <c r="VWH4388" s="379" t="s">
        <v>3783</v>
      </c>
      <c r="VWI4388" s="379" t="s">
        <v>3783</v>
      </c>
      <c r="VWJ4388" s="379" t="s">
        <v>3783</v>
      </c>
      <c r="VWK4388" s="379" t="s">
        <v>3783</v>
      </c>
      <c r="VWL4388" s="379" t="s">
        <v>3783</v>
      </c>
      <c r="VWM4388" s="379" t="s">
        <v>3783</v>
      </c>
      <c r="VWN4388" s="379" t="s">
        <v>3783</v>
      </c>
      <c r="VWO4388" s="379" t="s">
        <v>3783</v>
      </c>
      <c r="VWP4388" s="379" t="s">
        <v>3783</v>
      </c>
      <c r="VWQ4388" s="379" t="s">
        <v>3783</v>
      </c>
      <c r="VWR4388" s="379" t="s">
        <v>3783</v>
      </c>
      <c r="VWS4388" s="379" t="s">
        <v>3783</v>
      </c>
      <c r="VWT4388" s="379" t="s">
        <v>3783</v>
      </c>
      <c r="VWU4388" s="379" t="s">
        <v>3783</v>
      </c>
      <c r="VWV4388" s="379" t="s">
        <v>3783</v>
      </c>
      <c r="VWW4388" s="379" t="s">
        <v>3783</v>
      </c>
      <c r="VWX4388" s="379" t="s">
        <v>3783</v>
      </c>
      <c r="VWY4388" s="379" t="s">
        <v>3783</v>
      </c>
      <c r="VWZ4388" s="379" t="s">
        <v>3783</v>
      </c>
      <c r="VXA4388" s="379" t="s">
        <v>3783</v>
      </c>
      <c r="VXB4388" s="379" t="s">
        <v>3783</v>
      </c>
      <c r="VXC4388" s="379" t="s">
        <v>3783</v>
      </c>
      <c r="VXD4388" s="379" t="s">
        <v>3783</v>
      </c>
      <c r="VXE4388" s="379" t="s">
        <v>3783</v>
      </c>
      <c r="VXF4388" s="379" t="s">
        <v>3783</v>
      </c>
      <c r="VXG4388" s="379" t="s">
        <v>3783</v>
      </c>
      <c r="VXH4388" s="379" t="s">
        <v>3783</v>
      </c>
      <c r="VXI4388" s="379" t="s">
        <v>3783</v>
      </c>
      <c r="VXJ4388" s="379" t="s">
        <v>3783</v>
      </c>
      <c r="VXK4388" s="379" t="s">
        <v>3783</v>
      </c>
      <c r="VXL4388" s="379" t="s">
        <v>3783</v>
      </c>
      <c r="VXM4388" s="379" t="s">
        <v>3783</v>
      </c>
      <c r="VXN4388" s="379" t="s">
        <v>3783</v>
      </c>
      <c r="VXO4388" s="379" t="s">
        <v>3783</v>
      </c>
      <c r="VXP4388" s="379" t="s">
        <v>3783</v>
      </c>
      <c r="VXQ4388" s="379" t="s">
        <v>3783</v>
      </c>
      <c r="VXR4388" s="379" t="s">
        <v>3783</v>
      </c>
      <c r="VXS4388" s="379" t="s">
        <v>3783</v>
      </c>
      <c r="VXT4388" s="379" t="s">
        <v>3783</v>
      </c>
      <c r="VXU4388" s="379" t="s">
        <v>3783</v>
      </c>
      <c r="VXV4388" s="379" t="s">
        <v>3783</v>
      </c>
      <c r="VXW4388" s="379" t="s">
        <v>3783</v>
      </c>
      <c r="VXX4388" s="379" t="s">
        <v>3783</v>
      </c>
      <c r="VXY4388" s="379" t="s">
        <v>3783</v>
      </c>
      <c r="VXZ4388" s="379" t="s">
        <v>3783</v>
      </c>
      <c r="VYA4388" s="379" t="s">
        <v>3783</v>
      </c>
      <c r="VYB4388" s="379" t="s">
        <v>3783</v>
      </c>
      <c r="VYC4388" s="379" t="s">
        <v>3783</v>
      </c>
      <c r="VYD4388" s="379" t="s">
        <v>3783</v>
      </c>
      <c r="VYE4388" s="379" t="s">
        <v>3783</v>
      </c>
      <c r="VYF4388" s="379" t="s">
        <v>3783</v>
      </c>
      <c r="VYG4388" s="379" t="s">
        <v>3783</v>
      </c>
      <c r="VYH4388" s="379" t="s">
        <v>3783</v>
      </c>
      <c r="VYI4388" s="379" t="s">
        <v>3783</v>
      </c>
      <c r="VYJ4388" s="379" t="s">
        <v>3783</v>
      </c>
      <c r="VYK4388" s="379" t="s">
        <v>3783</v>
      </c>
      <c r="VYL4388" s="379" t="s">
        <v>3783</v>
      </c>
      <c r="VYM4388" s="379" t="s">
        <v>3783</v>
      </c>
      <c r="VYN4388" s="379" t="s">
        <v>3783</v>
      </c>
      <c r="VYO4388" s="379" t="s">
        <v>3783</v>
      </c>
      <c r="VYP4388" s="379" t="s">
        <v>3783</v>
      </c>
      <c r="VYQ4388" s="379" t="s">
        <v>3783</v>
      </c>
      <c r="VYR4388" s="379" t="s">
        <v>3783</v>
      </c>
      <c r="VYS4388" s="379" t="s">
        <v>3783</v>
      </c>
      <c r="VYT4388" s="379" t="s">
        <v>3783</v>
      </c>
      <c r="VYU4388" s="379" t="s">
        <v>3783</v>
      </c>
      <c r="VYV4388" s="379" t="s">
        <v>3783</v>
      </c>
      <c r="VYW4388" s="379" t="s">
        <v>3783</v>
      </c>
      <c r="VYX4388" s="379" t="s">
        <v>3783</v>
      </c>
      <c r="VYY4388" s="379" t="s">
        <v>3783</v>
      </c>
      <c r="VYZ4388" s="379" t="s">
        <v>3783</v>
      </c>
      <c r="VZA4388" s="379" t="s">
        <v>3783</v>
      </c>
      <c r="VZB4388" s="379" t="s">
        <v>3783</v>
      </c>
      <c r="VZC4388" s="379" t="s">
        <v>3783</v>
      </c>
      <c r="VZD4388" s="379" t="s">
        <v>3783</v>
      </c>
      <c r="VZE4388" s="379" t="s">
        <v>3783</v>
      </c>
      <c r="VZF4388" s="379" t="s">
        <v>3783</v>
      </c>
      <c r="VZG4388" s="379" t="s">
        <v>3783</v>
      </c>
      <c r="VZH4388" s="379" t="s">
        <v>3783</v>
      </c>
      <c r="VZI4388" s="379" t="s">
        <v>3783</v>
      </c>
      <c r="VZJ4388" s="379" t="s">
        <v>3783</v>
      </c>
      <c r="VZK4388" s="379" t="s">
        <v>3783</v>
      </c>
      <c r="VZL4388" s="379" t="s">
        <v>3783</v>
      </c>
      <c r="VZM4388" s="379" t="s">
        <v>3783</v>
      </c>
      <c r="VZN4388" s="379" t="s">
        <v>3783</v>
      </c>
      <c r="VZO4388" s="379" t="s">
        <v>3783</v>
      </c>
      <c r="VZP4388" s="379" t="s">
        <v>3783</v>
      </c>
      <c r="VZQ4388" s="379" t="s">
        <v>3783</v>
      </c>
      <c r="VZR4388" s="379" t="s">
        <v>3783</v>
      </c>
      <c r="VZS4388" s="379" t="s">
        <v>3783</v>
      </c>
      <c r="VZT4388" s="379" t="s">
        <v>3783</v>
      </c>
      <c r="VZU4388" s="379" t="s">
        <v>3783</v>
      </c>
      <c r="VZV4388" s="379" t="s">
        <v>3783</v>
      </c>
      <c r="VZW4388" s="379" t="s">
        <v>3783</v>
      </c>
      <c r="VZX4388" s="379" t="s">
        <v>3783</v>
      </c>
      <c r="VZY4388" s="379" t="s">
        <v>3783</v>
      </c>
      <c r="VZZ4388" s="379" t="s">
        <v>3783</v>
      </c>
      <c r="WAA4388" s="379" t="s">
        <v>3783</v>
      </c>
      <c r="WAB4388" s="379" t="s">
        <v>3783</v>
      </c>
      <c r="WAC4388" s="379" t="s">
        <v>3783</v>
      </c>
      <c r="WAD4388" s="379" t="s">
        <v>3783</v>
      </c>
      <c r="WAE4388" s="379" t="s">
        <v>3783</v>
      </c>
      <c r="WAF4388" s="379" t="s">
        <v>3783</v>
      </c>
      <c r="WAG4388" s="379" t="s">
        <v>3783</v>
      </c>
      <c r="WAH4388" s="379" t="s">
        <v>3783</v>
      </c>
      <c r="WAI4388" s="379" t="s">
        <v>3783</v>
      </c>
      <c r="WAJ4388" s="379" t="s">
        <v>3783</v>
      </c>
      <c r="WAK4388" s="379" t="s">
        <v>3783</v>
      </c>
      <c r="WAL4388" s="379" t="s">
        <v>3783</v>
      </c>
      <c r="WAM4388" s="379" t="s">
        <v>3783</v>
      </c>
      <c r="WAN4388" s="379" t="s">
        <v>3783</v>
      </c>
      <c r="WAO4388" s="379" t="s">
        <v>3783</v>
      </c>
      <c r="WAP4388" s="379" t="s">
        <v>3783</v>
      </c>
      <c r="WAQ4388" s="379" t="s">
        <v>3783</v>
      </c>
      <c r="WAR4388" s="379" t="s">
        <v>3783</v>
      </c>
      <c r="WAS4388" s="379" t="s">
        <v>3783</v>
      </c>
      <c r="WAT4388" s="379" t="s">
        <v>3783</v>
      </c>
      <c r="WAU4388" s="379" t="s">
        <v>3783</v>
      </c>
      <c r="WAV4388" s="379" t="s">
        <v>3783</v>
      </c>
      <c r="WAW4388" s="379" t="s">
        <v>3783</v>
      </c>
      <c r="WAX4388" s="379" t="s">
        <v>3783</v>
      </c>
      <c r="WAY4388" s="379" t="s">
        <v>3783</v>
      </c>
      <c r="WAZ4388" s="379" t="s">
        <v>3783</v>
      </c>
      <c r="WBA4388" s="379" t="s">
        <v>3783</v>
      </c>
      <c r="WBB4388" s="379" t="s">
        <v>3783</v>
      </c>
      <c r="WBC4388" s="379" t="s">
        <v>3783</v>
      </c>
      <c r="WBD4388" s="379" t="s">
        <v>3783</v>
      </c>
      <c r="WBE4388" s="379" t="s">
        <v>3783</v>
      </c>
      <c r="WBF4388" s="379" t="s">
        <v>3783</v>
      </c>
      <c r="WBG4388" s="379" t="s">
        <v>3783</v>
      </c>
      <c r="WBH4388" s="379" t="s">
        <v>3783</v>
      </c>
      <c r="WBI4388" s="379" t="s">
        <v>3783</v>
      </c>
      <c r="WBJ4388" s="379" t="s">
        <v>3783</v>
      </c>
      <c r="WBK4388" s="379" t="s">
        <v>3783</v>
      </c>
      <c r="WBL4388" s="379" t="s">
        <v>3783</v>
      </c>
      <c r="WBM4388" s="379" t="s">
        <v>3783</v>
      </c>
      <c r="WBN4388" s="379" t="s">
        <v>3783</v>
      </c>
      <c r="WBO4388" s="379" t="s">
        <v>3783</v>
      </c>
      <c r="WBP4388" s="379" t="s">
        <v>3783</v>
      </c>
      <c r="WBQ4388" s="379" t="s">
        <v>3783</v>
      </c>
      <c r="WBR4388" s="379" t="s">
        <v>3783</v>
      </c>
      <c r="WBS4388" s="379" t="s">
        <v>3783</v>
      </c>
      <c r="WBT4388" s="379" t="s">
        <v>3783</v>
      </c>
      <c r="WBU4388" s="379" t="s">
        <v>3783</v>
      </c>
      <c r="WBV4388" s="379" t="s">
        <v>3783</v>
      </c>
      <c r="WBW4388" s="379" t="s">
        <v>3783</v>
      </c>
      <c r="WBX4388" s="379" t="s">
        <v>3783</v>
      </c>
      <c r="WBY4388" s="379" t="s">
        <v>3783</v>
      </c>
      <c r="WBZ4388" s="379" t="s">
        <v>3783</v>
      </c>
      <c r="WCA4388" s="379" t="s">
        <v>3783</v>
      </c>
      <c r="WCB4388" s="379" t="s">
        <v>3783</v>
      </c>
      <c r="WCC4388" s="379" t="s">
        <v>3783</v>
      </c>
      <c r="WCD4388" s="379" t="s">
        <v>3783</v>
      </c>
      <c r="WCE4388" s="379" t="s">
        <v>3783</v>
      </c>
      <c r="WCF4388" s="379" t="s">
        <v>3783</v>
      </c>
      <c r="WCG4388" s="379" t="s">
        <v>3783</v>
      </c>
      <c r="WCH4388" s="379" t="s">
        <v>3783</v>
      </c>
      <c r="WCI4388" s="379" t="s">
        <v>3783</v>
      </c>
      <c r="WCJ4388" s="379" t="s">
        <v>3783</v>
      </c>
      <c r="WCK4388" s="379" t="s">
        <v>3783</v>
      </c>
      <c r="WCL4388" s="379" t="s">
        <v>3783</v>
      </c>
      <c r="WCM4388" s="379" t="s">
        <v>3783</v>
      </c>
      <c r="WCN4388" s="379" t="s">
        <v>3783</v>
      </c>
      <c r="WCO4388" s="379" t="s">
        <v>3783</v>
      </c>
      <c r="WCP4388" s="379" t="s">
        <v>3783</v>
      </c>
      <c r="WCQ4388" s="379" t="s">
        <v>3783</v>
      </c>
      <c r="WCR4388" s="379" t="s">
        <v>3783</v>
      </c>
      <c r="WCS4388" s="379" t="s">
        <v>3783</v>
      </c>
      <c r="WCT4388" s="379" t="s">
        <v>3783</v>
      </c>
      <c r="WCU4388" s="379" t="s">
        <v>3783</v>
      </c>
      <c r="WCV4388" s="379" t="s">
        <v>3783</v>
      </c>
      <c r="WCW4388" s="379" t="s">
        <v>3783</v>
      </c>
      <c r="WCX4388" s="379" t="s">
        <v>3783</v>
      </c>
      <c r="WCY4388" s="379" t="s">
        <v>3783</v>
      </c>
      <c r="WCZ4388" s="379" t="s">
        <v>3783</v>
      </c>
      <c r="WDA4388" s="379" t="s">
        <v>3783</v>
      </c>
      <c r="WDB4388" s="379" t="s">
        <v>3783</v>
      </c>
      <c r="WDC4388" s="379" t="s">
        <v>3783</v>
      </c>
      <c r="WDD4388" s="379" t="s">
        <v>3783</v>
      </c>
      <c r="WDE4388" s="379" t="s">
        <v>3783</v>
      </c>
      <c r="WDF4388" s="379" t="s">
        <v>3783</v>
      </c>
      <c r="WDG4388" s="379" t="s">
        <v>3783</v>
      </c>
      <c r="WDH4388" s="379" t="s">
        <v>3783</v>
      </c>
      <c r="WDI4388" s="379" t="s">
        <v>3783</v>
      </c>
      <c r="WDJ4388" s="379" t="s">
        <v>3783</v>
      </c>
      <c r="WDK4388" s="379" t="s">
        <v>3783</v>
      </c>
      <c r="WDL4388" s="379" t="s">
        <v>3783</v>
      </c>
      <c r="WDM4388" s="379" t="s">
        <v>3783</v>
      </c>
      <c r="WDN4388" s="379" t="s">
        <v>3783</v>
      </c>
      <c r="WDO4388" s="379" t="s">
        <v>3783</v>
      </c>
      <c r="WDP4388" s="379" t="s">
        <v>3783</v>
      </c>
      <c r="WDQ4388" s="379" t="s">
        <v>3783</v>
      </c>
      <c r="WDR4388" s="379" t="s">
        <v>3783</v>
      </c>
      <c r="WDS4388" s="379" t="s">
        <v>3783</v>
      </c>
      <c r="WDT4388" s="379" t="s">
        <v>3783</v>
      </c>
      <c r="WDU4388" s="379" t="s">
        <v>3783</v>
      </c>
      <c r="WDV4388" s="379" t="s">
        <v>3783</v>
      </c>
      <c r="WDW4388" s="379" t="s">
        <v>3783</v>
      </c>
      <c r="WDX4388" s="379" t="s">
        <v>3783</v>
      </c>
      <c r="WDY4388" s="379" t="s">
        <v>3783</v>
      </c>
      <c r="WDZ4388" s="379" t="s">
        <v>3783</v>
      </c>
      <c r="WEA4388" s="379" t="s">
        <v>3783</v>
      </c>
      <c r="WEB4388" s="379" t="s">
        <v>3783</v>
      </c>
      <c r="WEC4388" s="379" t="s">
        <v>3783</v>
      </c>
      <c r="WED4388" s="379" t="s">
        <v>3783</v>
      </c>
      <c r="WEE4388" s="379" t="s">
        <v>3783</v>
      </c>
      <c r="WEF4388" s="379" t="s">
        <v>3783</v>
      </c>
      <c r="WEG4388" s="379" t="s">
        <v>3783</v>
      </c>
      <c r="WEH4388" s="379" t="s">
        <v>3783</v>
      </c>
      <c r="WEI4388" s="379" t="s">
        <v>3783</v>
      </c>
      <c r="WEJ4388" s="379" t="s">
        <v>3783</v>
      </c>
      <c r="WEK4388" s="379" t="s">
        <v>3783</v>
      </c>
      <c r="WEL4388" s="379" t="s">
        <v>3783</v>
      </c>
      <c r="WEM4388" s="379" t="s">
        <v>3783</v>
      </c>
      <c r="WEN4388" s="379" t="s">
        <v>3783</v>
      </c>
      <c r="WEO4388" s="379" t="s">
        <v>3783</v>
      </c>
      <c r="WEP4388" s="379" t="s">
        <v>3783</v>
      </c>
      <c r="WEQ4388" s="379" t="s">
        <v>3783</v>
      </c>
      <c r="WER4388" s="379" t="s">
        <v>3783</v>
      </c>
      <c r="WES4388" s="379" t="s">
        <v>3783</v>
      </c>
      <c r="WET4388" s="379" t="s">
        <v>3783</v>
      </c>
      <c r="WEU4388" s="379" t="s">
        <v>3783</v>
      </c>
      <c r="WEV4388" s="379" t="s">
        <v>3783</v>
      </c>
      <c r="WEW4388" s="379" t="s">
        <v>3783</v>
      </c>
      <c r="WEX4388" s="379" t="s">
        <v>3783</v>
      </c>
      <c r="WEY4388" s="379" t="s">
        <v>3783</v>
      </c>
      <c r="WEZ4388" s="379" t="s">
        <v>3783</v>
      </c>
      <c r="WFA4388" s="379" t="s">
        <v>3783</v>
      </c>
      <c r="WFB4388" s="379" t="s">
        <v>3783</v>
      </c>
      <c r="WFC4388" s="379" t="s">
        <v>3783</v>
      </c>
      <c r="WFD4388" s="379" t="s">
        <v>3783</v>
      </c>
      <c r="WFE4388" s="379" t="s">
        <v>3783</v>
      </c>
      <c r="WFF4388" s="379" t="s">
        <v>3783</v>
      </c>
      <c r="WFG4388" s="379" t="s">
        <v>3783</v>
      </c>
      <c r="WFH4388" s="379" t="s">
        <v>3783</v>
      </c>
      <c r="WFI4388" s="379" t="s">
        <v>3783</v>
      </c>
      <c r="WFJ4388" s="379" t="s">
        <v>3783</v>
      </c>
      <c r="WFK4388" s="379" t="s">
        <v>3783</v>
      </c>
      <c r="WFL4388" s="379" t="s">
        <v>3783</v>
      </c>
      <c r="WFM4388" s="379" t="s">
        <v>3783</v>
      </c>
      <c r="WFN4388" s="379" t="s">
        <v>3783</v>
      </c>
      <c r="WFO4388" s="379" t="s">
        <v>3783</v>
      </c>
      <c r="WFP4388" s="379" t="s">
        <v>3783</v>
      </c>
      <c r="WFQ4388" s="379" t="s">
        <v>3783</v>
      </c>
      <c r="WFR4388" s="379" t="s">
        <v>3783</v>
      </c>
      <c r="WFS4388" s="379" t="s">
        <v>3783</v>
      </c>
      <c r="WFT4388" s="379" t="s">
        <v>3783</v>
      </c>
      <c r="WFU4388" s="379" t="s">
        <v>3783</v>
      </c>
      <c r="WFV4388" s="379" t="s">
        <v>3783</v>
      </c>
      <c r="WFW4388" s="379" t="s">
        <v>3783</v>
      </c>
      <c r="WFX4388" s="379" t="s">
        <v>3783</v>
      </c>
      <c r="WFY4388" s="379" t="s">
        <v>3783</v>
      </c>
      <c r="WFZ4388" s="379" t="s">
        <v>3783</v>
      </c>
      <c r="WGA4388" s="379" t="s">
        <v>3783</v>
      </c>
      <c r="WGB4388" s="379" t="s">
        <v>3783</v>
      </c>
      <c r="WGC4388" s="379" t="s">
        <v>3783</v>
      </c>
      <c r="WGD4388" s="379" t="s">
        <v>3783</v>
      </c>
      <c r="WGE4388" s="379" t="s">
        <v>3783</v>
      </c>
      <c r="WGF4388" s="379" t="s">
        <v>3783</v>
      </c>
      <c r="WGG4388" s="379" t="s">
        <v>3783</v>
      </c>
      <c r="WGH4388" s="379" t="s">
        <v>3783</v>
      </c>
      <c r="WGI4388" s="379" t="s">
        <v>3783</v>
      </c>
      <c r="WGJ4388" s="379" t="s">
        <v>3783</v>
      </c>
      <c r="WGK4388" s="379" t="s">
        <v>3783</v>
      </c>
      <c r="WGL4388" s="379" t="s">
        <v>3783</v>
      </c>
      <c r="WGM4388" s="379" t="s">
        <v>3783</v>
      </c>
      <c r="WGN4388" s="379" t="s">
        <v>3783</v>
      </c>
      <c r="WGO4388" s="379" t="s">
        <v>3783</v>
      </c>
      <c r="WGP4388" s="379" t="s">
        <v>3783</v>
      </c>
      <c r="WGQ4388" s="379" t="s">
        <v>3783</v>
      </c>
      <c r="WGR4388" s="379" t="s">
        <v>3783</v>
      </c>
      <c r="WGS4388" s="379" t="s">
        <v>3783</v>
      </c>
      <c r="WGT4388" s="379" t="s">
        <v>3783</v>
      </c>
      <c r="WGU4388" s="379" t="s">
        <v>3783</v>
      </c>
      <c r="WGV4388" s="379" t="s">
        <v>3783</v>
      </c>
      <c r="WGW4388" s="379" t="s">
        <v>3783</v>
      </c>
      <c r="WGX4388" s="379" t="s">
        <v>3783</v>
      </c>
      <c r="WGY4388" s="379" t="s">
        <v>3783</v>
      </c>
      <c r="WGZ4388" s="379" t="s">
        <v>3783</v>
      </c>
      <c r="WHA4388" s="379" t="s">
        <v>3783</v>
      </c>
      <c r="WHB4388" s="379" t="s">
        <v>3783</v>
      </c>
      <c r="WHC4388" s="379" t="s">
        <v>3783</v>
      </c>
      <c r="WHD4388" s="379" t="s">
        <v>3783</v>
      </c>
      <c r="WHE4388" s="379" t="s">
        <v>3783</v>
      </c>
      <c r="WHF4388" s="379" t="s">
        <v>3783</v>
      </c>
      <c r="WHG4388" s="379" t="s">
        <v>3783</v>
      </c>
      <c r="WHH4388" s="379" t="s">
        <v>3783</v>
      </c>
      <c r="WHI4388" s="379" t="s">
        <v>3783</v>
      </c>
      <c r="WHJ4388" s="379" t="s">
        <v>3783</v>
      </c>
      <c r="WHK4388" s="379" t="s">
        <v>3783</v>
      </c>
      <c r="WHL4388" s="379" t="s">
        <v>3783</v>
      </c>
      <c r="WHM4388" s="379" t="s">
        <v>3783</v>
      </c>
      <c r="WHN4388" s="379" t="s">
        <v>3783</v>
      </c>
      <c r="WHO4388" s="379" t="s">
        <v>3783</v>
      </c>
      <c r="WHP4388" s="379" t="s">
        <v>3783</v>
      </c>
      <c r="WHQ4388" s="379" t="s">
        <v>3783</v>
      </c>
      <c r="WHR4388" s="379" t="s">
        <v>3783</v>
      </c>
      <c r="WHS4388" s="379" t="s">
        <v>3783</v>
      </c>
      <c r="WHT4388" s="379" t="s">
        <v>3783</v>
      </c>
      <c r="WHU4388" s="379" t="s">
        <v>3783</v>
      </c>
      <c r="WHV4388" s="379" t="s">
        <v>3783</v>
      </c>
      <c r="WHW4388" s="379" t="s">
        <v>3783</v>
      </c>
      <c r="WHX4388" s="379" t="s">
        <v>3783</v>
      </c>
      <c r="WHY4388" s="379" t="s">
        <v>3783</v>
      </c>
      <c r="WHZ4388" s="379" t="s">
        <v>3783</v>
      </c>
      <c r="WIA4388" s="379" t="s">
        <v>3783</v>
      </c>
      <c r="WIB4388" s="379" t="s">
        <v>3783</v>
      </c>
      <c r="WIC4388" s="379" t="s">
        <v>3783</v>
      </c>
      <c r="WID4388" s="379" t="s">
        <v>3783</v>
      </c>
      <c r="WIE4388" s="379" t="s">
        <v>3783</v>
      </c>
      <c r="WIF4388" s="379" t="s">
        <v>3783</v>
      </c>
      <c r="WIG4388" s="379" t="s">
        <v>3783</v>
      </c>
      <c r="WIH4388" s="379" t="s">
        <v>3783</v>
      </c>
      <c r="WII4388" s="379" t="s">
        <v>3783</v>
      </c>
      <c r="WIJ4388" s="379" t="s">
        <v>3783</v>
      </c>
      <c r="WIK4388" s="379" t="s">
        <v>3783</v>
      </c>
      <c r="WIL4388" s="379" t="s">
        <v>3783</v>
      </c>
      <c r="WIM4388" s="379" t="s">
        <v>3783</v>
      </c>
      <c r="WIN4388" s="379" t="s">
        <v>3783</v>
      </c>
      <c r="WIO4388" s="379" t="s">
        <v>3783</v>
      </c>
      <c r="WIP4388" s="379" t="s">
        <v>3783</v>
      </c>
      <c r="WIQ4388" s="379" t="s">
        <v>3783</v>
      </c>
      <c r="WIR4388" s="379" t="s">
        <v>3783</v>
      </c>
      <c r="WIS4388" s="379" t="s">
        <v>3783</v>
      </c>
      <c r="WIT4388" s="379" t="s">
        <v>3783</v>
      </c>
      <c r="WIU4388" s="379" t="s">
        <v>3783</v>
      </c>
      <c r="WIV4388" s="379" t="s">
        <v>3783</v>
      </c>
      <c r="WIW4388" s="379" t="s">
        <v>3783</v>
      </c>
      <c r="WIX4388" s="379" t="s">
        <v>3783</v>
      </c>
      <c r="WIY4388" s="379" t="s">
        <v>3783</v>
      </c>
      <c r="WIZ4388" s="379" t="s">
        <v>3783</v>
      </c>
      <c r="WJA4388" s="379" t="s">
        <v>3783</v>
      </c>
      <c r="WJB4388" s="379" t="s">
        <v>3783</v>
      </c>
      <c r="WJC4388" s="379" t="s">
        <v>3783</v>
      </c>
      <c r="WJD4388" s="379" t="s">
        <v>3783</v>
      </c>
      <c r="WJE4388" s="379" t="s">
        <v>3783</v>
      </c>
      <c r="WJF4388" s="379" t="s">
        <v>3783</v>
      </c>
      <c r="WJG4388" s="379" t="s">
        <v>3783</v>
      </c>
      <c r="WJH4388" s="379" t="s">
        <v>3783</v>
      </c>
      <c r="WJI4388" s="379" t="s">
        <v>3783</v>
      </c>
      <c r="WJJ4388" s="379" t="s">
        <v>3783</v>
      </c>
      <c r="WJK4388" s="379" t="s">
        <v>3783</v>
      </c>
      <c r="WJL4388" s="379" t="s">
        <v>3783</v>
      </c>
      <c r="WJM4388" s="379" t="s">
        <v>3783</v>
      </c>
      <c r="WJN4388" s="379" t="s">
        <v>3783</v>
      </c>
      <c r="WJO4388" s="379" t="s">
        <v>3783</v>
      </c>
      <c r="WJP4388" s="379" t="s">
        <v>3783</v>
      </c>
      <c r="WJQ4388" s="379" t="s">
        <v>3783</v>
      </c>
      <c r="WJR4388" s="379" t="s">
        <v>3783</v>
      </c>
      <c r="WJS4388" s="379" t="s">
        <v>3783</v>
      </c>
      <c r="WJT4388" s="379" t="s">
        <v>3783</v>
      </c>
      <c r="WJU4388" s="379" t="s">
        <v>3783</v>
      </c>
      <c r="WJV4388" s="379" t="s">
        <v>3783</v>
      </c>
      <c r="WJW4388" s="379" t="s">
        <v>3783</v>
      </c>
      <c r="WJX4388" s="379" t="s">
        <v>3783</v>
      </c>
      <c r="WJY4388" s="379" t="s">
        <v>3783</v>
      </c>
      <c r="WJZ4388" s="379" t="s">
        <v>3783</v>
      </c>
      <c r="WKA4388" s="379" t="s">
        <v>3783</v>
      </c>
      <c r="WKB4388" s="379" t="s">
        <v>3783</v>
      </c>
      <c r="WKC4388" s="379" t="s">
        <v>3783</v>
      </c>
      <c r="WKD4388" s="379" t="s">
        <v>3783</v>
      </c>
      <c r="WKE4388" s="379" t="s">
        <v>3783</v>
      </c>
      <c r="WKF4388" s="379" t="s">
        <v>3783</v>
      </c>
      <c r="WKG4388" s="379" t="s">
        <v>3783</v>
      </c>
      <c r="WKH4388" s="379" t="s">
        <v>3783</v>
      </c>
      <c r="WKI4388" s="379" t="s">
        <v>3783</v>
      </c>
      <c r="WKJ4388" s="379" t="s">
        <v>3783</v>
      </c>
      <c r="WKK4388" s="379" t="s">
        <v>3783</v>
      </c>
      <c r="WKL4388" s="379" t="s">
        <v>3783</v>
      </c>
      <c r="WKM4388" s="379" t="s">
        <v>3783</v>
      </c>
      <c r="WKN4388" s="379" t="s">
        <v>3783</v>
      </c>
      <c r="WKO4388" s="379" t="s">
        <v>3783</v>
      </c>
      <c r="WKP4388" s="379" t="s">
        <v>3783</v>
      </c>
      <c r="WKQ4388" s="379" t="s">
        <v>3783</v>
      </c>
      <c r="WKR4388" s="379" t="s">
        <v>3783</v>
      </c>
      <c r="WKS4388" s="379" t="s">
        <v>3783</v>
      </c>
      <c r="WKT4388" s="379" t="s">
        <v>3783</v>
      </c>
      <c r="WKU4388" s="379" t="s">
        <v>3783</v>
      </c>
      <c r="WKV4388" s="379" t="s">
        <v>3783</v>
      </c>
      <c r="WKW4388" s="379" t="s">
        <v>3783</v>
      </c>
      <c r="WKX4388" s="379" t="s">
        <v>3783</v>
      </c>
      <c r="WKY4388" s="379" t="s">
        <v>3783</v>
      </c>
      <c r="WKZ4388" s="379" t="s">
        <v>3783</v>
      </c>
      <c r="WLA4388" s="379" t="s">
        <v>3783</v>
      </c>
      <c r="WLB4388" s="379" t="s">
        <v>3783</v>
      </c>
      <c r="WLC4388" s="379" t="s">
        <v>3783</v>
      </c>
      <c r="WLD4388" s="379" t="s">
        <v>3783</v>
      </c>
      <c r="WLE4388" s="379" t="s">
        <v>3783</v>
      </c>
      <c r="WLF4388" s="379" t="s">
        <v>3783</v>
      </c>
      <c r="WLG4388" s="379" t="s">
        <v>3783</v>
      </c>
      <c r="WLH4388" s="379" t="s">
        <v>3783</v>
      </c>
      <c r="WLI4388" s="379" t="s">
        <v>3783</v>
      </c>
      <c r="WLJ4388" s="379" t="s">
        <v>3783</v>
      </c>
      <c r="WLK4388" s="379" t="s">
        <v>3783</v>
      </c>
      <c r="WLL4388" s="379" t="s">
        <v>3783</v>
      </c>
      <c r="WLM4388" s="379" t="s">
        <v>3783</v>
      </c>
      <c r="WLN4388" s="379" t="s">
        <v>3783</v>
      </c>
      <c r="WLO4388" s="379" t="s">
        <v>3783</v>
      </c>
      <c r="WLP4388" s="379" t="s">
        <v>3783</v>
      </c>
      <c r="WLQ4388" s="379" t="s">
        <v>3783</v>
      </c>
      <c r="WLR4388" s="379" t="s">
        <v>3783</v>
      </c>
      <c r="WLS4388" s="379" t="s">
        <v>3783</v>
      </c>
      <c r="WLT4388" s="379" t="s">
        <v>3783</v>
      </c>
      <c r="WLU4388" s="379" t="s">
        <v>3783</v>
      </c>
      <c r="WLV4388" s="379" t="s">
        <v>3783</v>
      </c>
      <c r="WLW4388" s="379" t="s">
        <v>3783</v>
      </c>
      <c r="WLX4388" s="379" t="s">
        <v>3783</v>
      </c>
      <c r="WLY4388" s="379" t="s">
        <v>3783</v>
      </c>
      <c r="WLZ4388" s="379" t="s">
        <v>3783</v>
      </c>
      <c r="WMA4388" s="379" t="s">
        <v>3783</v>
      </c>
      <c r="WMB4388" s="379" t="s">
        <v>3783</v>
      </c>
      <c r="WMC4388" s="379" t="s">
        <v>3783</v>
      </c>
      <c r="WMD4388" s="379" t="s">
        <v>3783</v>
      </c>
      <c r="WME4388" s="379" t="s">
        <v>3783</v>
      </c>
      <c r="WMF4388" s="379" t="s">
        <v>3783</v>
      </c>
      <c r="WMG4388" s="379" t="s">
        <v>3783</v>
      </c>
      <c r="WMH4388" s="379" t="s">
        <v>3783</v>
      </c>
      <c r="WMI4388" s="379" t="s">
        <v>3783</v>
      </c>
      <c r="WMJ4388" s="379" t="s">
        <v>3783</v>
      </c>
      <c r="WMK4388" s="379" t="s">
        <v>3783</v>
      </c>
      <c r="WML4388" s="379" t="s">
        <v>3783</v>
      </c>
      <c r="WMM4388" s="379" t="s">
        <v>3783</v>
      </c>
      <c r="WMN4388" s="379" t="s">
        <v>3783</v>
      </c>
      <c r="WMO4388" s="379" t="s">
        <v>3783</v>
      </c>
      <c r="WMP4388" s="379" t="s">
        <v>3783</v>
      </c>
      <c r="WMQ4388" s="379" t="s">
        <v>3783</v>
      </c>
      <c r="WMR4388" s="379" t="s">
        <v>3783</v>
      </c>
      <c r="WMS4388" s="379" t="s">
        <v>3783</v>
      </c>
      <c r="WMT4388" s="379" t="s">
        <v>3783</v>
      </c>
      <c r="WMU4388" s="379" t="s">
        <v>3783</v>
      </c>
      <c r="WMV4388" s="379" t="s">
        <v>3783</v>
      </c>
      <c r="WMW4388" s="379" t="s">
        <v>3783</v>
      </c>
      <c r="WMX4388" s="379" t="s">
        <v>3783</v>
      </c>
      <c r="WMY4388" s="379" t="s">
        <v>3783</v>
      </c>
      <c r="WMZ4388" s="379" t="s">
        <v>3783</v>
      </c>
      <c r="WNA4388" s="379" t="s">
        <v>3783</v>
      </c>
      <c r="WNB4388" s="379" t="s">
        <v>3783</v>
      </c>
      <c r="WNC4388" s="379" t="s">
        <v>3783</v>
      </c>
      <c r="WND4388" s="379" t="s">
        <v>3783</v>
      </c>
      <c r="WNE4388" s="379" t="s">
        <v>3783</v>
      </c>
      <c r="WNF4388" s="379" t="s">
        <v>3783</v>
      </c>
      <c r="WNG4388" s="379" t="s">
        <v>3783</v>
      </c>
      <c r="WNH4388" s="379" t="s">
        <v>3783</v>
      </c>
      <c r="WNI4388" s="379" t="s">
        <v>3783</v>
      </c>
      <c r="WNJ4388" s="379" t="s">
        <v>3783</v>
      </c>
      <c r="WNK4388" s="379" t="s">
        <v>3783</v>
      </c>
      <c r="WNL4388" s="379" t="s">
        <v>3783</v>
      </c>
      <c r="WNM4388" s="379" t="s">
        <v>3783</v>
      </c>
      <c r="WNN4388" s="379" t="s">
        <v>3783</v>
      </c>
      <c r="WNO4388" s="379" t="s">
        <v>3783</v>
      </c>
      <c r="WNP4388" s="379" t="s">
        <v>3783</v>
      </c>
      <c r="WNQ4388" s="379" t="s">
        <v>3783</v>
      </c>
      <c r="WNR4388" s="379" t="s">
        <v>3783</v>
      </c>
      <c r="WNS4388" s="379" t="s">
        <v>3783</v>
      </c>
      <c r="WNT4388" s="379" t="s">
        <v>3783</v>
      </c>
      <c r="WNU4388" s="379" t="s">
        <v>3783</v>
      </c>
      <c r="WNV4388" s="379" t="s">
        <v>3783</v>
      </c>
      <c r="WNW4388" s="379" t="s">
        <v>3783</v>
      </c>
      <c r="WNX4388" s="379" t="s">
        <v>3783</v>
      </c>
      <c r="WNY4388" s="379" t="s">
        <v>3783</v>
      </c>
      <c r="WNZ4388" s="379" t="s">
        <v>3783</v>
      </c>
      <c r="WOA4388" s="379" t="s">
        <v>3783</v>
      </c>
      <c r="WOB4388" s="379" t="s">
        <v>3783</v>
      </c>
      <c r="WOC4388" s="379" t="s">
        <v>3783</v>
      </c>
      <c r="WOD4388" s="379" t="s">
        <v>3783</v>
      </c>
      <c r="WOE4388" s="379" t="s">
        <v>3783</v>
      </c>
      <c r="WOF4388" s="379" t="s">
        <v>3783</v>
      </c>
      <c r="WOG4388" s="379" t="s">
        <v>3783</v>
      </c>
      <c r="WOH4388" s="379" t="s">
        <v>3783</v>
      </c>
      <c r="WOI4388" s="379" t="s">
        <v>3783</v>
      </c>
      <c r="WOJ4388" s="379" t="s">
        <v>3783</v>
      </c>
      <c r="WOK4388" s="379" t="s">
        <v>3783</v>
      </c>
      <c r="WOL4388" s="379" t="s">
        <v>3783</v>
      </c>
      <c r="WOM4388" s="379" t="s">
        <v>3783</v>
      </c>
      <c r="WON4388" s="379" t="s">
        <v>3783</v>
      </c>
      <c r="WOO4388" s="379" t="s">
        <v>3783</v>
      </c>
      <c r="WOP4388" s="379" t="s">
        <v>3783</v>
      </c>
      <c r="WOQ4388" s="379" t="s">
        <v>3783</v>
      </c>
      <c r="WOR4388" s="379" t="s">
        <v>3783</v>
      </c>
      <c r="WOS4388" s="379" t="s">
        <v>3783</v>
      </c>
      <c r="WOT4388" s="379" t="s">
        <v>3783</v>
      </c>
      <c r="WOU4388" s="379" t="s">
        <v>3783</v>
      </c>
      <c r="WOV4388" s="379" t="s">
        <v>3783</v>
      </c>
      <c r="WOW4388" s="379" t="s">
        <v>3783</v>
      </c>
      <c r="WOX4388" s="379" t="s">
        <v>3783</v>
      </c>
      <c r="WOY4388" s="379" t="s">
        <v>3783</v>
      </c>
      <c r="WOZ4388" s="379" t="s">
        <v>3783</v>
      </c>
      <c r="WPA4388" s="379" t="s">
        <v>3783</v>
      </c>
      <c r="WPB4388" s="379" t="s">
        <v>3783</v>
      </c>
      <c r="WPC4388" s="379" t="s">
        <v>3783</v>
      </c>
      <c r="WPD4388" s="379" t="s">
        <v>3783</v>
      </c>
      <c r="WPE4388" s="379" t="s">
        <v>3783</v>
      </c>
      <c r="WPF4388" s="379" t="s">
        <v>3783</v>
      </c>
      <c r="WPG4388" s="379" t="s">
        <v>3783</v>
      </c>
      <c r="WPH4388" s="379" t="s">
        <v>3783</v>
      </c>
      <c r="WPI4388" s="379" t="s">
        <v>3783</v>
      </c>
      <c r="WPJ4388" s="379" t="s">
        <v>3783</v>
      </c>
      <c r="WPK4388" s="379" t="s">
        <v>3783</v>
      </c>
      <c r="WPL4388" s="379" t="s">
        <v>3783</v>
      </c>
      <c r="WPM4388" s="379" t="s">
        <v>3783</v>
      </c>
      <c r="WPN4388" s="379" t="s">
        <v>3783</v>
      </c>
      <c r="WPO4388" s="379" t="s">
        <v>3783</v>
      </c>
      <c r="WPP4388" s="379" t="s">
        <v>3783</v>
      </c>
      <c r="WPQ4388" s="379" t="s">
        <v>3783</v>
      </c>
      <c r="WPR4388" s="379" t="s">
        <v>3783</v>
      </c>
      <c r="WPS4388" s="379" t="s">
        <v>3783</v>
      </c>
      <c r="WPT4388" s="379" t="s">
        <v>3783</v>
      </c>
      <c r="WPU4388" s="379" t="s">
        <v>3783</v>
      </c>
      <c r="WPV4388" s="379" t="s">
        <v>3783</v>
      </c>
      <c r="WPW4388" s="379" t="s">
        <v>3783</v>
      </c>
      <c r="WPX4388" s="379" t="s">
        <v>3783</v>
      </c>
      <c r="WPY4388" s="379" t="s">
        <v>3783</v>
      </c>
      <c r="WPZ4388" s="379" t="s">
        <v>3783</v>
      </c>
      <c r="WQA4388" s="379" t="s">
        <v>3783</v>
      </c>
      <c r="WQB4388" s="379" t="s">
        <v>3783</v>
      </c>
      <c r="WQC4388" s="379" t="s">
        <v>3783</v>
      </c>
      <c r="WQD4388" s="379" t="s">
        <v>3783</v>
      </c>
      <c r="WQE4388" s="379" t="s">
        <v>3783</v>
      </c>
      <c r="WQF4388" s="379" t="s">
        <v>3783</v>
      </c>
      <c r="WQG4388" s="379" t="s">
        <v>3783</v>
      </c>
      <c r="WQH4388" s="379" t="s">
        <v>3783</v>
      </c>
      <c r="WQI4388" s="379" t="s">
        <v>3783</v>
      </c>
      <c r="WQJ4388" s="379" t="s">
        <v>3783</v>
      </c>
      <c r="WQK4388" s="379" t="s">
        <v>3783</v>
      </c>
      <c r="WQL4388" s="379" t="s">
        <v>3783</v>
      </c>
      <c r="WQM4388" s="379" t="s">
        <v>3783</v>
      </c>
      <c r="WQN4388" s="379" t="s">
        <v>3783</v>
      </c>
      <c r="WQO4388" s="379" t="s">
        <v>3783</v>
      </c>
      <c r="WQP4388" s="379" t="s">
        <v>3783</v>
      </c>
      <c r="WQQ4388" s="379" t="s">
        <v>3783</v>
      </c>
      <c r="WQR4388" s="379" t="s">
        <v>3783</v>
      </c>
      <c r="WQS4388" s="379" t="s">
        <v>3783</v>
      </c>
      <c r="WQT4388" s="379" t="s">
        <v>3783</v>
      </c>
      <c r="WQU4388" s="379" t="s">
        <v>3783</v>
      </c>
      <c r="WQV4388" s="379" t="s">
        <v>3783</v>
      </c>
      <c r="WQW4388" s="379" t="s">
        <v>3783</v>
      </c>
      <c r="WQX4388" s="379" t="s">
        <v>3783</v>
      </c>
      <c r="WQY4388" s="379" t="s">
        <v>3783</v>
      </c>
      <c r="WQZ4388" s="379" t="s">
        <v>3783</v>
      </c>
      <c r="WRA4388" s="379" t="s">
        <v>3783</v>
      </c>
      <c r="WRB4388" s="379" t="s">
        <v>3783</v>
      </c>
      <c r="WRC4388" s="379" t="s">
        <v>3783</v>
      </c>
      <c r="WRD4388" s="379" t="s">
        <v>3783</v>
      </c>
      <c r="WRE4388" s="379" t="s">
        <v>3783</v>
      </c>
      <c r="WRF4388" s="379" t="s">
        <v>3783</v>
      </c>
      <c r="WRG4388" s="379" t="s">
        <v>3783</v>
      </c>
      <c r="WRH4388" s="379" t="s">
        <v>3783</v>
      </c>
      <c r="WRI4388" s="379" t="s">
        <v>3783</v>
      </c>
      <c r="WRJ4388" s="379" t="s">
        <v>3783</v>
      </c>
      <c r="WRK4388" s="379" t="s">
        <v>3783</v>
      </c>
      <c r="WRL4388" s="379" t="s">
        <v>3783</v>
      </c>
      <c r="WRM4388" s="379" t="s">
        <v>3783</v>
      </c>
      <c r="WRN4388" s="379" t="s">
        <v>3783</v>
      </c>
      <c r="WRO4388" s="379" t="s">
        <v>3783</v>
      </c>
      <c r="WRP4388" s="379" t="s">
        <v>3783</v>
      </c>
      <c r="WRQ4388" s="379" t="s">
        <v>3783</v>
      </c>
      <c r="WRR4388" s="379" t="s">
        <v>3783</v>
      </c>
      <c r="WRS4388" s="379" t="s">
        <v>3783</v>
      </c>
      <c r="WRT4388" s="379" t="s">
        <v>3783</v>
      </c>
      <c r="WRU4388" s="379" t="s">
        <v>3783</v>
      </c>
      <c r="WRV4388" s="379" t="s">
        <v>3783</v>
      </c>
      <c r="WRW4388" s="379" t="s">
        <v>3783</v>
      </c>
      <c r="WRX4388" s="379" t="s">
        <v>3783</v>
      </c>
      <c r="WRY4388" s="379" t="s">
        <v>3783</v>
      </c>
      <c r="WRZ4388" s="379" t="s">
        <v>3783</v>
      </c>
      <c r="WSA4388" s="379" t="s">
        <v>3783</v>
      </c>
      <c r="WSB4388" s="379" t="s">
        <v>3783</v>
      </c>
      <c r="WSC4388" s="379" t="s">
        <v>3783</v>
      </c>
      <c r="WSD4388" s="379" t="s">
        <v>3783</v>
      </c>
      <c r="WSE4388" s="379" t="s">
        <v>3783</v>
      </c>
      <c r="WSF4388" s="379" t="s">
        <v>3783</v>
      </c>
      <c r="WSG4388" s="379" t="s">
        <v>3783</v>
      </c>
      <c r="WSH4388" s="379" t="s">
        <v>3783</v>
      </c>
      <c r="WSI4388" s="379" t="s">
        <v>3783</v>
      </c>
      <c r="WSJ4388" s="379" t="s">
        <v>3783</v>
      </c>
      <c r="WSK4388" s="379" t="s">
        <v>3783</v>
      </c>
      <c r="WSL4388" s="379" t="s">
        <v>3783</v>
      </c>
      <c r="WSM4388" s="379" t="s">
        <v>3783</v>
      </c>
      <c r="WSN4388" s="379" t="s">
        <v>3783</v>
      </c>
      <c r="WSO4388" s="379" t="s">
        <v>3783</v>
      </c>
      <c r="WSP4388" s="379" t="s">
        <v>3783</v>
      </c>
      <c r="WSQ4388" s="379" t="s">
        <v>3783</v>
      </c>
      <c r="WSR4388" s="379" t="s">
        <v>3783</v>
      </c>
      <c r="WSS4388" s="379" t="s">
        <v>3783</v>
      </c>
      <c r="WST4388" s="379" t="s">
        <v>3783</v>
      </c>
      <c r="WSU4388" s="379" t="s">
        <v>3783</v>
      </c>
      <c r="WSV4388" s="379" t="s">
        <v>3783</v>
      </c>
      <c r="WSW4388" s="379" t="s">
        <v>3783</v>
      </c>
      <c r="WSX4388" s="379" t="s">
        <v>3783</v>
      </c>
      <c r="WSY4388" s="379" t="s">
        <v>3783</v>
      </c>
      <c r="WSZ4388" s="379" t="s">
        <v>3783</v>
      </c>
      <c r="WTA4388" s="379" t="s">
        <v>3783</v>
      </c>
      <c r="WTB4388" s="379" t="s">
        <v>3783</v>
      </c>
      <c r="WTC4388" s="379" t="s">
        <v>3783</v>
      </c>
      <c r="WTD4388" s="379" t="s">
        <v>3783</v>
      </c>
      <c r="WTE4388" s="379" t="s">
        <v>3783</v>
      </c>
      <c r="WTF4388" s="379" t="s">
        <v>3783</v>
      </c>
      <c r="WTG4388" s="379" t="s">
        <v>3783</v>
      </c>
      <c r="WTH4388" s="379" t="s">
        <v>3783</v>
      </c>
      <c r="WTI4388" s="379" t="s">
        <v>3783</v>
      </c>
      <c r="WTJ4388" s="379" t="s">
        <v>3783</v>
      </c>
      <c r="WTK4388" s="379" t="s">
        <v>3783</v>
      </c>
      <c r="WTL4388" s="379" t="s">
        <v>3783</v>
      </c>
      <c r="WTM4388" s="379" t="s">
        <v>3783</v>
      </c>
      <c r="WTN4388" s="379" t="s">
        <v>3783</v>
      </c>
      <c r="WTO4388" s="379" t="s">
        <v>3783</v>
      </c>
      <c r="WTP4388" s="379" t="s">
        <v>3783</v>
      </c>
      <c r="WTQ4388" s="379" t="s">
        <v>3783</v>
      </c>
      <c r="WTR4388" s="379" t="s">
        <v>3783</v>
      </c>
      <c r="WTS4388" s="379" t="s">
        <v>3783</v>
      </c>
      <c r="WTT4388" s="379" t="s">
        <v>3783</v>
      </c>
      <c r="WTU4388" s="379" t="s">
        <v>3783</v>
      </c>
      <c r="WTV4388" s="379" t="s">
        <v>3783</v>
      </c>
      <c r="WTW4388" s="379" t="s">
        <v>3783</v>
      </c>
      <c r="WTX4388" s="379" t="s">
        <v>3783</v>
      </c>
      <c r="WTY4388" s="379" t="s">
        <v>3783</v>
      </c>
      <c r="WTZ4388" s="379" t="s">
        <v>3783</v>
      </c>
      <c r="WUA4388" s="379" t="s">
        <v>3783</v>
      </c>
      <c r="WUB4388" s="379" t="s">
        <v>3783</v>
      </c>
      <c r="WUC4388" s="379" t="s">
        <v>3783</v>
      </c>
      <c r="WUD4388" s="379" t="s">
        <v>3783</v>
      </c>
      <c r="WUE4388" s="379" t="s">
        <v>3783</v>
      </c>
      <c r="WUF4388" s="379" t="s">
        <v>3783</v>
      </c>
      <c r="WUG4388" s="379" t="s">
        <v>3783</v>
      </c>
      <c r="WUH4388" s="379" t="s">
        <v>3783</v>
      </c>
      <c r="WUI4388" s="379" t="s">
        <v>3783</v>
      </c>
      <c r="WUJ4388" s="379" t="s">
        <v>3783</v>
      </c>
      <c r="WUK4388" s="379" t="s">
        <v>3783</v>
      </c>
      <c r="WUL4388" s="379" t="s">
        <v>3783</v>
      </c>
      <c r="WUM4388" s="379" t="s">
        <v>3783</v>
      </c>
      <c r="WUN4388" s="379" t="s">
        <v>3783</v>
      </c>
      <c r="WUO4388" s="379" t="s">
        <v>3783</v>
      </c>
      <c r="WUP4388" s="379" t="s">
        <v>3783</v>
      </c>
      <c r="WUQ4388" s="379" t="s">
        <v>3783</v>
      </c>
      <c r="WUR4388" s="379" t="s">
        <v>3783</v>
      </c>
      <c r="WUS4388" s="379" t="s">
        <v>3783</v>
      </c>
      <c r="WUT4388" s="379" t="s">
        <v>3783</v>
      </c>
      <c r="WUU4388" s="379" t="s">
        <v>3783</v>
      </c>
      <c r="WUV4388" s="379" t="s">
        <v>3783</v>
      </c>
      <c r="WUW4388" s="379" t="s">
        <v>3783</v>
      </c>
      <c r="WUX4388" s="379" t="s">
        <v>3783</v>
      </c>
      <c r="WUY4388" s="379" t="s">
        <v>3783</v>
      </c>
      <c r="WUZ4388" s="379" t="s">
        <v>3783</v>
      </c>
      <c r="WVA4388" s="379" t="s">
        <v>3783</v>
      </c>
      <c r="WVB4388" s="379" t="s">
        <v>3783</v>
      </c>
      <c r="WVC4388" s="379" t="s">
        <v>3783</v>
      </c>
      <c r="WVD4388" s="379" t="s">
        <v>3783</v>
      </c>
      <c r="WVE4388" s="379" t="s">
        <v>3783</v>
      </c>
      <c r="WVF4388" s="379" t="s">
        <v>3783</v>
      </c>
      <c r="WVG4388" s="379" t="s">
        <v>3783</v>
      </c>
      <c r="WVH4388" s="379" t="s">
        <v>3783</v>
      </c>
      <c r="WVI4388" s="379" t="s">
        <v>3783</v>
      </c>
      <c r="WVJ4388" s="379" t="s">
        <v>3783</v>
      </c>
      <c r="WVK4388" s="379" t="s">
        <v>3783</v>
      </c>
      <c r="WVL4388" s="379" t="s">
        <v>3783</v>
      </c>
      <c r="WVM4388" s="379" t="s">
        <v>3783</v>
      </c>
      <c r="WVN4388" s="379" t="s">
        <v>3783</v>
      </c>
      <c r="WVO4388" s="379" t="s">
        <v>3783</v>
      </c>
      <c r="WVP4388" s="379" t="s">
        <v>3783</v>
      </c>
      <c r="WVQ4388" s="379" t="s">
        <v>3783</v>
      </c>
      <c r="WVR4388" s="379" t="s">
        <v>3783</v>
      </c>
      <c r="WVS4388" s="379" t="s">
        <v>3783</v>
      </c>
      <c r="WVT4388" s="379" t="s">
        <v>3783</v>
      </c>
      <c r="WVU4388" s="379" t="s">
        <v>3783</v>
      </c>
      <c r="WVV4388" s="379" t="s">
        <v>3783</v>
      </c>
      <c r="WVW4388" s="379" t="s">
        <v>3783</v>
      </c>
      <c r="WVX4388" s="379" t="s">
        <v>3783</v>
      </c>
      <c r="WVY4388" s="379" t="s">
        <v>3783</v>
      </c>
      <c r="WVZ4388" s="379" t="s">
        <v>3783</v>
      </c>
      <c r="WWA4388" s="379" t="s">
        <v>3783</v>
      </c>
      <c r="WWB4388" s="379" t="s">
        <v>3783</v>
      </c>
      <c r="WWC4388" s="379" t="s">
        <v>3783</v>
      </c>
      <c r="WWD4388" s="379" t="s">
        <v>3783</v>
      </c>
      <c r="WWE4388" s="379" t="s">
        <v>3783</v>
      </c>
      <c r="WWF4388" s="379" t="s">
        <v>3783</v>
      </c>
      <c r="WWG4388" s="379" t="s">
        <v>3783</v>
      </c>
      <c r="WWH4388" s="379" t="s">
        <v>3783</v>
      </c>
      <c r="WWI4388" s="379" t="s">
        <v>3783</v>
      </c>
      <c r="WWJ4388" s="379" t="s">
        <v>3783</v>
      </c>
      <c r="WWK4388" s="379" t="s">
        <v>3783</v>
      </c>
      <c r="WWL4388" s="379" t="s">
        <v>3783</v>
      </c>
      <c r="WWM4388" s="379" t="s">
        <v>3783</v>
      </c>
      <c r="WWN4388" s="379" t="s">
        <v>3783</v>
      </c>
      <c r="WWO4388" s="379" t="s">
        <v>3783</v>
      </c>
      <c r="WWP4388" s="379" t="s">
        <v>3783</v>
      </c>
      <c r="WWQ4388" s="379" t="s">
        <v>3783</v>
      </c>
      <c r="WWR4388" s="379" t="s">
        <v>3783</v>
      </c>
      <c r="WWS4388" s="379" t="s">
        <v>3783</v>
      </c>
      <c r="WWT4388" s="379" t="s">
        <v>3783</v>
      </c>
      <c r="WWU4388" s="379" t="s">
        <v>3783</v>
      </c>
      <c r="WWV4388" s="379" t="s">
        <v>3783</v>
      </c>
      <c r="WWW4388" s="379" t="s">
        <v>3783</v>
      </c>
      <c r="WWX4388" s="379" t="s">
        <v>3783</v>
      </c>
      <c r="WWY4388" s="379" t="s">
        <v>3783</v>
      </c>
      <c r="WWZ4388" s="379" t="s">
        <v>3783</v>
      </c>
      <c r="WXA4388" s="379" t="s">
        <v>3783</v>
      </c>
      <c r="WXB4388" s="379" t="s">
        <v>3783</v>
      </c>
      <c r="WXC4388" s="379" t="s">
        <v>3783</v>
      </c>
      <c r="WXD4388" s="379" t="s">
        <v>3783</v>
      </c>
      <c r="WXE4388" s="379" t="s">
        <v>3783</v>
      </c>
      <c r="WXF4388" s="379" t="s">
        <v>3783</v>
      </c>
      <c r="WXG4388" s="379" t="s">
        <v>3783</v>
      </c>
      <c r="WXH4388" s="379" t="s">
        <v>3783</v>
      </c>
      <c r="WXI4388" s="379" t="s">
        <v>3783</v>
      </c>
      <c r="WXJ4388" s="379" t="s">
        <v>3783</v>
      </c>
      <c r="WXK4388" s="379" t="s">
        <v>3783</v>
      </c>
      <c r="WXL4388" s="379" t="s">
        <v>3783</v>
      </c>
      <c r="WXM4388" s="379" t="s">
        <v>3783</v>
      </c>
      <c r="WXN4388" s="379" t="s">
        <v>3783</v>
      </c>
      <c r="WXO4388" s="379" t="s">
        <v>3783</v>
      </c>
      <c r="WXP4388" s="379" t="s">
        <v>3783</v>
      </c>
      <c r="WXQ4388" s="379" t="s">
        <v>3783</v>
      </c>
      <c r="WXR4388" s="379" t="s">
        <v>3783</v>
      </c>
      <c r="WXS4388" s="379" t="s">
        <v>3783</v>
      </c>
      <c r="WXT4388" s="379" t="s">
        <v>3783</v>
      </c>
      <c r="WXU4388" s="379" t="s">
        <v>3783</v>
      </c>
      <c r="WXV4388" s="379" t="s">
        <v>3783</v>
      </c>
      <c r="WXW4388" s="379" t="s">
        <v>3783</v>
      </c>
      <c r="WXX4388" s="379" t="s">
        <v>3783</v>
      </c>
      <c r="WXY4388" s="379" t="s">
        <v>3783</v>
      </c>
      <c r="WXZ4388" s="379" t="s">
        <v>3783</v>
      </c>
      <c r="WYA4388" s="379" t="s">
        <v>3783</v>
      </c>
      <c r="WYB4388" s="379" t="s">
        <v>3783</v>
      </c>
      <c r="WYC4388" s="379" t="s">
        <v>3783</v>
      </c>
      <c r="WYD4388" s="379" t="s">
        <v>3783</v>
      </c>
      <c r="WYE4388" s="379" t="s">
        <v>3783</v>
      </c>
      <c r="WYF4388" s="379" t="s">
        <v>3783</v>
      </c>
      <c r="WYG4388" s="379" t="s">
        <v>3783</v>
      </c>
      <c r="WYH4388" s="379" t="s">
        <v>3783</v>
      </c>
      <c r="WYI4388" s="379" t="s">
        <v>3783</v>
      </c>
      <c r="WYJ4388" s="379" t="s">
        <v>3783</v>
      </c>
      <c r="WYK4388" s="379" t="s">
        <v>3783</v>
      </c>
      <c r="WYL4388" s="379" t="s">
        <v>3783</v>
      </c>
      <c r="WYM4388" s="379" t="s">
        <v>3783</v>
      </c>
      <c r="WYN4388" s="379" t="s">
        <v>3783</v>
      </c>
      <c r="WYO4388" s="379" t="s">
        <v>3783</v>
      </c>
      <c r="WYP4388" s="379" t="s">
        <v>3783</v>
      </c>
      <c r="WYQ4388" s="379" t="s">
        <v>3783</v>
      </c>
      <c r="WYR4388" s="379" t="s">
        <v>3783</v>
      </c>
      <c r="WYS4388" s="379" t="s">
        <v>3783</v>
      </c>
      <c r="WYT4388" s="379" t="s">
        <v>3783</v>
      </c>
      <c r="WYU4388" s="379" t="s">
        <v>3783</v>
      </c>
      <c r="WYV4388" s="379" t="s">
        <v>3783</v>
      </c>
      <c r="WYW4388" s="379" t="s">
        <v>3783</v>
      </c>
      <c r="WYX4388" s="379" t="s">
        <v>3783</v>
      </c>
      <c r="WYY4388" s="379" t="s">
        <v>3783</v>
      </c>
      <c r="WYZ4388" s="379" t="s">
        <v>3783</v>
      </c>
      <c r="WZA4388" s="379" t="s">
        <v>3783</v>
      </c>
      <c r="WZB4388" s="379" t="s">
        <v>3783</v>
      </c>
      <c r="WZC4388" s="379" t="s">
        <v>3783</v>
      </c>
      <c r="WZD4388" s="379" t="s">
        <v>3783</v>
      </c>
      <c r="WZE4388" s="379" t="s">
        <v>3783</v>
      </c>
      <c r="WZF4388" s="379" t="s">
        <v>3783</v>
      </c>
      <c r="WZG4388" s="379" t="s">
        <v>3783</v>
      </c>
      <c r="WZH4388" s="379" t="s">
        <v>3783</v>
      </c>
      <c r="WZI4388" s="379" t="s">
        <v>3783</v>
      </c>
      <c r="WZJ4388" s="379" t="s">
        <v>3783</v>
      </c>
      <c r="WZK4388" s="379" t="s">
        <v>3783</v>
      </c>
      <c r="WZL4388" s="379" t="s">
        <v>3783</v>
      </c>
      <c r="WZM4388" s="379" t="s">
        <v>3783</v>
      </c>
      <c r="WZN4388" s="379" t="s">
        <v>3783</v>
      </c>
      <c r="WZO4388" s="379" t="s">
        <v>3783</v>
      </c>
      <c r="WZP4388" s="379" t="s">
        <v>3783</v>
      </c>
      <c r="WZQ4388" s="379" t="s">
        <v>3783</v>
      </c>
      <c r="WZR4388" s="379" t="s">
        <v>3783</v>
      </c>
      <c r="WZS4388" s="379" t="s">
        <v>3783</v>
      </c>
      <c r="WZT4388" s="379" t="s">
        <v>3783</v>
      </c>
      <c r="WZU4388" s="379" t="s">
        <v>3783</v>
      </c>
      <c r="WZV4388" s="379" t="s">
        <v>3783</v>
      </c>
      <c r="WZW4388" s="379" t="s">
        <v>3783</v>
      </c>
      <c r="WZX4388" s="379" t="s">
        <v>3783</v>
      </c>
      <c r="WZY4388" s="379" t="s">
        <v>3783</v>
      </c>
      <c r="WZZ4388" s="379" t="s">
        <v>3783</v>
      </c>
      <c r="XAA4388" s="379" t="s">
        <v>3783</v>
      </c>
      <c r="XAB4388" s="379" t="s">
        <v>3783</v>
      </c>
      <c r="XAC4388" s="379" t="s">
        <v>3783</v>
      </c>
      <c r="XAD4388" s="379" t="s">
        <v>3783</v>
      </c>
      <c r="XAE4388" s="379" t="s">
        <v>3783</v>
      </c>
      <c r="XAF4388" s="379" t="s">
        <v>3783</v>
      </c>
      <c r="XAG4388" s="379" t="s">
        <v>3783</v>
      </c>
      <c r="XAH4388" s="379" t="s">
        <v>3783</v>
      </c>
      <c r="XAI4388" s="379" t="s">
        <v>3783</v>
      </c>
      <c r="XAJ4388" s="379" t="s">
        <v>3783</v>
      </c>
      <c r="XAK4388" s="379" t="s">
        <v>3783</v>
      </c>
      <c r="XAL4388" s="379" t="s">
        <v>3783</v>
      </c>
      <c r="XAM4388" s="379" t="s">
        <v>3783</v>
      </c>
      <c r="XAN4388" s="379" t="s">
        <v>3783</v>
      </c>
      <c r="XAO4388" s="379" t="s">
        <v>3783</v>
      </c>
      <c r="XAP4388" s="379" t="s">
        <v>3783</v>
      </c>
      <c r="XAQ4388" s="379" t="s">
        <v>3783</v>
      </c>
      <c r="XAR4388" s="379" t="s">
        <v>3783</v>
      </c>
      <c r="XAS4388" s="379" t="s">
        <v>3783</v>
      </c>
      <c r="XAT4388" s="379" t="s">
        <v>3783</v>
      </c>
      <c r="XAU4388" s="379" t="s">
        <v>3783</v>
      </c>
      <c r="XAV4388" s="379" t="s">
        <v>3783</v>
      </c>
      <c r="XAW4388" s="379" t="s">
        <v>3783</v>
      </c>
      <c r="XAX4388" s="379" t="s">
        <v>3783</v>
      </c>
      <c r="XAY4388" s="379" t="s">
        <v>3783</v>
      </c>
      <c r="XAZ4388" s="379" t="s">
        <v>3783</v>
      </c>
      <c r="XBA4388" s="379" t="s">
        <v>3783</v>
      </c>
      <c r="XBB4388" s="379" t="s">
        <v>3783</v>
      </c>
      <c r="XBC4388" s="379" t="s">
        <v>3783</v>
      </c>
      <c r="XBD4388" s="379" t="s">
        <v>3783</v>
      </c>
      <c r="XBE4388" s="379" t="s">
        <v>3783</v>
      </c>
      <c r="XBF4388" s="379" t="s">
        <v>3783</v>
      </c>
      <c r="XBG4388" s="379" t="s">
        <v>3783</v>
      </c>
      <c r="XBH4388" s="379" t="s">
        <v>3783</v>
      </c>
      <c r="XBI4388" s="379" t="s">
        <v>3783</v>
      </c>
      <c r="XBJ4388" s="379" t="s">
        <v>3783</v>
      </c>
      <c r="XBK4388" s="379" t="s">
        <v>3783</v>
      </c>
      <c r="XBL4388" s="379" t="s">
        <v>3783</v>
      </c>
      <c r="XBM4388" s="379" t="s">
        <v>3783</v>
      </c>
      <c r="XBN4388" s="379" t="s">
        <v>3783</v>
      </c>
      <c r="XBO4388" s="379" t="s">
        <v>3783</v>
      </c>
      <c r="XBP4388" s="379" t="s">
        <v>3783</v>
      </c>
      <c r="XBQ4388" s="379" t="s">
        <v>3783</v>
      </c>
      <c r="XBR4388" s="379" t="s">
        <v>3783</v>
      </c>
      <c r="XBS4388" s="379" t="s">
        <v>3783</v>
      </c>
      <c r="XBT4388" s="379" t="s">
        <v>3783</v>
      </c>
      <c r="XBU4388" s="379" t="s">
        <v>3783</v>
      </c>
      <c r="XBV4388" s="379" t="s">
        <v>3783</v>
      </c>
      <c r="XBW4388" s="379" t="s">
        <v>3783</v>
      </c>
      <c r="XBX4388" s="379" t="s">
        <v>3783</v>
      </c>
      <c r="XBY4388" s="379" t="s">
        <v>3783</v>
      </c>
      <c r="XBZ4388" s="379" t="s">
        <v>3783</v>
      </c>
      <c r="XCA4388" s="379" t="s">
        <v>3783</v>
      </c>
      <c r="XCB4388" s="379" t="s">
        <v>3783</v>
      </c>
      <c r="XCC4388" s="379" t="s">
        <v>3783</v>
      </c>
      <c r="XCD4388" s="379" t="s">
        <v>3783</v>
      </c>
      <c r="XCE4388" s="379" t="s">
        <v>3783</v>
      </c>
      <c r="XCF4388" s="379" t="s">
        <v>3783</v>
      </c>
      <c r="XCG4388" s="379" t="s">
        <v>3783</v>
      </c>
      <c r="XCH4388" s="379" t="s">
        <v>3783</v>
      </c>
      <c r="XCI4388" s="379" t="s">
        <v>3783</v>
      </c>
      <c r="XCJ4388" s="379" t="s">
        <v>3783</v>
      </c>
      <c r="XCK4388" s="379" t="s">
        <v>3783</v>
      </c>
      <c r="XCL4388" s="379" t="s">
        <v>3783</v>
      </c>
      <c r="XCM4388" s="379" t="s">
        <v>3783</v>
      </c>
      <c r="XCN4388" s="379" t="s">
        <v>3783</v>
      </c>
      <c r="XCO4388" s="379" t="s">
        <v>3783</v>
      </c>
      <c r="XCP4388" s="379" t="s">
        <v>3783</v>
      </c>
      <c r="XCQ4388" s="379" t="s">
        <v>3783</v>
      </c>
      <c r="XCR4388" s="379" t="s">
        <v>3783</v>
      </c>
      <c r="XCS4388" s="379" t="s">
        <v>3783</v>
      </c>
      <c r="XCT4388" s="379" t="s">
        <v>3783</v>
      </c>
      <c r="XCU4388" s="379" t="s">
        <v>3783</v>
      </c>
      <c r="XCV4388" s="379" t="s">
        <v>3783</v>
      </c>
      <c r="XCW4388" s="379" t="s">
        <v>3783</v>
      </c>
      <c r="XCX4388" s="379" t="s">
        <v>3783</v>
      </c>
      <c r="XCY4388" s="379" t="s">
        <v>3783</v>
      </c>
      <c r="XCZ4388" s="379" t="s">
        <v>3783</v>
      </c>
      <c r="XDA4388" s="379" t="s">
        <v>3783</v>
      </c>
      <c r="XDB4388" s="379" t="s">
        <v>3783</v>
      </c>
      <c r="XDC4388" s="379" t="s">
        <v>3783</v>
      </c>
      <c r="XDD4388" s="379" t="s">
        <v>3783</v>
      </c>
      <c r="XDE4388" s="379" t="s">
        <v>3783</v>
      </c>
      <c r="XDF4388" s="379" t="s">
        <v>3783</v>
      </c>
      <c r="XDG4388" s="379" t="s">
        <v>3783</v>
      </c>
      <c r="XDH4388" s="379" t="s">
        <v>3783</v>
      </c>
      <c r="XDI4388" s="379" t="s">
        <v>3783</v>
      </c>
      <c r="XDJ4388" s="379" t="s">
        <v>3783</v>
      </c>
      <c r="XDK4388" s="379" t="s">
        <v>3783</v>
      </c>
      <c r="XDL4388" s="379" t="s">
        <v>3783</v>
      </c>
      <c r="XDM4388" s="379" t="s">
        <v>3783</v>
      </c>
      <c r="XDN4388" s="379" t="s">
        <v>3783</v>
      </c>
      <c r="XDO4388" s="379" t="s">
        <v>3783</v>
      </c>
      <c r="XDP4388" s="379" t="s">
        <v>3783</v>
      </c>
      <c r="XDQ4388" s="379" t="s">
        <v>3783</v>
      </c>
      <c r="XDR4388" s="379" t="s">
        <v>3783</v>
      </c>
      <c r="XDS4388" s="379" t="s">
        <v>3783</v>
      </c>
      <c r="XDT4388" s="379" t="s">
        <v>3783</v>
      </c>
      <c r="XDU4388" s="379" t="s">
        <v>3783</v>
      </c>
      <c r="XDV4388" s="379" t="s">
        <v>3783</v>
      </c>
      <c r="XDW4388" s="379" t="s">
        <v>3783</v>
      </c>
      <c r="XDX4388" s="379" t="s">
        <v>3783</v>
      </c>
      <c r="XDY4388" s="379" t="s">
        <v>3783</v>
      </c>
      <c r="XDZ4388" s="379" t="s">
        <v>3783</v>
      </c>
      <c r="XEA4388" s="379" t="s">
        <v>3783</v>
      </c>
      <c r="XEB4388" s="379" t="s">
        <v>3783</v>
      </c>
      <c r="XEC4388" s="379" t="s">
        <v>3783</v>
      </c>
      <c r="XED4388" s="379" t="s">
        <v>3783</v>
      </c>
      <c r="XEE4388" s="379" t="s">
        <v>3783</v>
      </c>
      <c r="XEF4388" s="379" t="s">
        <v>3783</v>
      </c>
      <c r="XEG4388" s="379" t="s">
        <v>3783</v>
      </c>
      <c r="XEH4388" s="379" t="s">
        <v>3783</v>
      </c>
      <c r="XEI4388" s="379" t="s">
        <v>3783</v>
      </c>
      <c r="XEJ4388" s="379" t="s">
        <v>3783</v>
      </c>
      <c r="XEK4388" s="379" t="s">
        <v>3783</v>
      </c>
      <c r="XEL4388" s="379" t="s">
        <v>3783</v>
      </c>
      <c r="XEM4388" s="379" t="s">
        <v>3783</v>
      </c>
      <c r="XEN4388" s="379" t="s">
        <v>3783</v>
      </c>
      <c r="XEO4388" s="379" t="s">
        <v>3783</v>
      </c>
      <c r="XEP4388" s="379" t="s">
        <v>3783</v>
      </c>
      <c r="XEQ4388" s="379" t="s">
        <v>3783</v>
      </c>
      <c r="XER4388" s="379" t="s">
        <v>3783</v>
      </c>
      <c r="XES4388" s="379" t="s">
        <v>3783</v>
      </c>
      <c r="XET4388" s="379" t="s">
        <v>3783</v>
      </c>
    </row>
    <row r="4389" spans="1:16374" ht="30.75" hidden="1" customHeight="1" x14ac:dyDescent="0.25">
      <c r="B4389" s="441"/>
      <c r="C4389" s="2494" t="s">
        <v>3785</v>
      </c>
      <c r="D4389" s="4066">
        <v>817500000</v>
      </c>
      <c r="E4389" s="3216">
        <v>682820000</v>
      </c>
      <c r="F4389" s="2690">
        <f t="shared" si="339"/>
        <v>83.525382262996942</v>
      </c>
      <c r="G4389" s="3216">
        <v>85</v>
      </c>
      <c r="H4389" s="1463"/>
    </row>
    <row r="4390" spans="1:16374" ht="18" hidden="1" customHeight="1" x14ac:dyDescent="0.25">
      <c r="B4390" s="441"/>
      <c r="C4390" s="2494" t="s">
        <v>3786</v>
      </c>
      <c r="D4390" s="4066">
        <v>1440000000</v>
      </c>
      <c r="E4390" s="4066">
        <v>1435390000</v>
      </c>
      <c r="F4390" s="2690">
        <f t="shared" si="339"/>
        <v>99.679861111111109</v>
      </c>
      <c r="G4390" s="4066">
        <v>100</v>
      </c>
      <c r="H4390" s="1463"/>
    </row>
    <row r="4391" spans="1:16374" ht="17.25" hidden="1" customHeight="1" x14ac:dyDescent="0.25">
      <c r="B4391" s="441"/>
      <c r="C4391" s="2494" t="s">
        <v>3787</v>
      </c>
      <c r="D4391" s="4066">
        <v>999100000</v>
      </c>
      <c r="E4391" s="4066">
        <v>982660000</v>
      </c>
      <c r="F4391" s="2690">
        <f t="shared" si="339"/>
        <v>98.354519067160439</v>
      </c>
      <c r="G4391" s="4066">
        <v>99</v>
      </c>
      <c r="H4391" s="1463"/>
    </row>
    <row r="4392" spans="1:16374" ht="27" hidden="1" customHeight="1" x14ac:dyDescent="0.25">
      <c r="B4392" s="441"/>
      <c r="C4392" s="2494" t="s">
        <v>3788</v>
      </c>
      <c r="D4392" s="4283" t="s">
        <v>3317</v>
      </c>
      <c r="E4392" s="3660" t="s">
        <v>3317</v>
      </c>
      <c r="F4392" s="3660" t="s">
        <v>3317</v>
      </c>
      <c r="G4392" s="3660" t="s">
        <v>3317</v>
      </c>
      <c r="H4392" s="1463"/>
    </row>
    <row r="4393" spans="1:16374" ht="15.75" hidden="1" customHeight="1" x14ac:dyDescent="0.25">
      <c r="B4393" s="441"/>
      <c r="C4393" s="2494" t="s">
        <v>3789</v>
      </c>
      <c r="D4393" s="4066">
        <v>219725000</v>
      </c>
      <c r="E4393" s="4066">
        <v>218000000</v>
      </c>
      <c r="F4393" s="2690">
        <f t="shared" ref="F4393:F4396" si="340">SUM(E4393/D4393*100)</f>
        <v>99.21492775059734</v>
      </c>
      <c r="G4393" s="4066">
        <v>100</v>
      </c>
      <c r="H4393" s="1463"/>
    </row>
    <row r="4394" spans="1:16374" ht="19.5" hidden="1" customHeight="1" x14ac:dyDescent="0.25">
      <c r="B4394" s="441"/>
      <c r="C4394" s="2494" t="s">
        <v>3790</v>
      </c>
      <c r="D4394" s="4066">
        <v>15275000</v>
      </c>
      <c r="E4394" s="4066">
        <v>15250000</v>
      </c>
      <c r="F4394" s="2690">
        <f t="shared" si="340"/>
        <v>99.836333878887075</v>
      </c>
      <c r="G4394" s="4066">
        <v>100</v>
      </c>
      <c r="H4394" s="1463"/>
    </row>
    <row r="4395" spans="1:16374" ht="10.5" hidden="1" customHeight="1" x14ac:dyDescent="0.25">
      <c r="B4395" s="441"/>
      <c r="C4395" s="2506"/>
      <c r="D4395" s="4290"/>
      <c r="E4395" s="3035"/>
      <c r="F4395" s="3035"/>
      <c r="G4395" s="3035"/>
      <c r="H4395" s="1463"/>
    </row>
    <row r="4396" spans="1:16374" ht="17.25" customHeight="1" x14ac:dyDescent="0.25">
      <c r="B4396" s="441"/>
      <c r="C4396" s="2491" t="s">
        <v>2815</v>
      </c>
      <c r="D4396" s="4159">
        <f>SUM(D4397:D4401)</f>
        <v>1960900000</v>
      </c>
      <c r="E4396" s="2813">
        <f>SUM(E4397:E4401)</f>
        <v>1124818000</v>
      </c>
      <c r="F4396" s="2695">
        <f t="shared" si="340"/>
        <v>57.362333622316285</v>
      </c>
      <c r="G4396" s="2695">
        <f>SUM(G4397:G4401)/5</f>
        <v>60</v>
      </c>
      <c r="H4396" s="1463"/>
    </row>
    <row r="4397" spans="1:16374" ht="18" hidden="1" customHeight="1" x14ac:dyDescent="0.25">
      <c r="B4397" s="441"/>
      <c r="C4397" s="2494" t="s">
        <v>2816</v>
      </c>
      <c r="D4397" s="4066">
        <v>359400000</v>
      </c>
      <c r="E4397" s="4066">
        <v>358818000</v>
      </c>
      <c r="F4397" s="4066">
        <f t="shared" ref="F4397:F4401" si="341">E4397/D4397*100</f>
        <v>99.83806343906511</v>
      </c>
      <c r="G4397" s="4066">
        <v>100</v>
      </c>
      <c r="H4397" s="1463"/>
    </row>
    <row r="4398" spans="1:16374" ht="14.25" hidden="1" customHeight="1" x14ac:dyDescent="0.25">
      <c r="B4398" s="441"/>
      <c r="C4398" s="2494" t="s">
        <v>2817</v>
      </c>
      <c r="D4398" s="4066">
        <v>961500000</v>
      </c>
      <c r="E4398" s="4066">
        <v>366000000</v>
      </c>
      <c r="F4398" s="4066">
        <f t="shared" si="341"/>
        <v>38.065522620904837</v>
      </c>
      <c r="G4398" s="4066">
        <v>100</v>
      </c>
      <c r="H4398" s="1463"/>
    </row>
    <row r="4399" spans="1:16374" ht="16.5" hidden="1" customHeight="1" x14ac:dyDescent="0.25">
      <c r="B4399" s="441"/>
      <c r="C4399" s="2494" t="s">
        <v>2818</v>
      </c>
      <c r="D4399" s="4066">
        <v>60000000</v>
      </c>
      <c r="E4399" s="3216">
        <v>0</v>
      </c>
      <c r="F4399" s="3216">
        <v>0</v>
      </c>
      <c r="G4399" s="3216">
        <v>0</v>
      </c>
      <c r="H4399" s="1463"/>
    </row>
    <row r="4400" spans="1:16374" ht="14.25" hidden="1" customHeight="1" x14ac:dyDescent="0.25">
      <c r="B4400" s="441"/>
      <c r="C4400" s="2494" t="s">
        <v>2819</v>
      </c>
      <c r="D4400" s="4066">
        <v>180000000</v>
      </c>
      <c r="E4400" s="3216">
        <v>0</v>
      </c>
      <c r="F4400" s="3216">
        <v>0</v>
      </c>
      <c r="G4400" s="3216">
        <v>0</v>
      </c>
      <c r="H4400" s="1463"/>
    </row>
    <row r="4401" spans="2:8" ht="15" hidden="1" customHeight="1" x14ac:dyDescent="0.25">
      <c r="B4401" s="441"/>
      <c r="C4401" s="2494" t="s">
        <v>2820</v>
      </c>
      <c r="D4401" s="4066">
        <v>400000000</v>
      </c>
      <c r="E4401" s="4066">
        <v>400000000</v>
      </c>
      <c r="F4401" s="4066">
        <f t="shared" si="341"/>
        <v>100</v>
      </c>
      <c r="G4401" s="4066">
        <v>100</v>
      </c>
      <c r="H4401" s="1463"/>
    </row>
    <row r="4402" spans="2:8" ht="12" hidden="1" customHeight="1" x14ac:dyDescent="0.25">
      <c r="B4402" s="441"/>
      <c r="C4402" s="2494"/>
      <c r="D4402" s="4299"/>
      <c r="E4402" s="3035"/>
      <c r="F4402" s="3035"/>
      <c r="G4402" s="3035"/>
      <c r="H4402" s="1463"/>
    </row>
    <row r="4403" spans="2:8" ht="17.25" customHeight="1" x14ac:dyDescent="0.25">
      <c r="B4403" s="441"/>
      <c r="C4403" s="2491" t="s">
        <v>2821</v>
      </c>
      <c r="D4403" s="4159">
        <f>SUM(D4404:D4405)</f>
        <v>500000000</v>
      </c>
      <c r="E4403" s="2813">
        <f>SUM(E4404:E4405)</f>
        <v>499700000</v>
      </c>
      <c r="F4403" s="2695">
        <f t="shared" ref="F4403" si="342">SUM(E4403/D4403*100)</f>
        <v>99.94</v>
      </c>
      <c r="G4403" s="2695">
        <f>SUM(G4404:G4405)/2</f>
        <v>100</v>
      </c>
      <c r="H4403" s="1463"/>
    </row>
    <row r="4404" spans="2:8" ht="15" hidden="1" customHeight="1" x14ac:dyDescent="0.25">
      <c r="B4404" s="441"/>
      <c r="C4404" s="2494" t="s">
        <v>2822</v>
      </c>
      <c r="D4404" s="4066">
        <v>250000000</v>
      </c>
      <c r="E4404" s="3216">
        <v>250000000</v>
      </c>
      <c r="F4404" s="4066">
        <f t="shared" ref="F4404:F4405" si="343">E4404/D4404*100</f>
        <v>100</v>
      </c>
      <c r="G4404" s="3216">
        <v>100</v>
      </c>
      <c r="H4404" s="1463"/>
    </row>
    <row r="4405" spans="2:8" ht="15" hidden="1" customHeight="1" x14ac:dyDescent="0.25">
      <c r="B4405" s="441"/>
      <c r="C4405" s="2494" t="s">
        <v>2823</v>
      </c>
      <c r="D4405" s="4066">
        <v>250000000</v>
      </c>
      <c r="E4405" s="4066">
        <v>249700000</v>
      </c>
      <c r="F4405" s="4066">
        <f t="shared" si="343"/>
        <v>99.88</v>
      </c>
      <c r="G4405" s="4066">
        <v>100</v>
      </c>
      <c r="H4405" s="1463"/>
    </row>
    <row r="4406" spans="2:8" ht="12" hidden="1" customHeight="1" x14ac:dyDescent="0.25">
      <c r="B4406" s="444"/>
      <c r="C4406" s="2494"/>
      <c r="D4406" s="3704"/>
      <c r="E4406" s="3035"/>
      <c r="F4406" s="2695"/>
      <c r="G4406" s="3035"/>
      <c r="H4406" s="1463"/>
    </row>
    <row r="4407" spans="2:8" ht="15.75" customHeight="1" x14ac:dyDescent="0.25">
      <c r="B4407" s="441"/>
      <c r="C4407" s="2491" t="s">
        <v>2824</v>
      </c>
      <c r="D4407" s="4159">
        <f>SUM(D4408:D4409)</f>
        <v>645000000</v>
      </c>
      <c r="E4407" s="2813">
        <f>SUM(E4408:E4409)</f>
        <v>72000000</v>
      </c>
      <c r="F4407" s="2695">
        <f t="shared" ref="F4407" si="344">SUM(E4407/D4407*100)</f>
        <v>11.162790697674419</v>
      </c>
      <c r="G4407" s="2695">
        <f>SUM(G4408:G4409)/2</f>
        <v>25</v>
      </c>
      <c r="H4407" s="1463"/>
    </row>
    <row r="4408" spans="2:8" ht="15.75" hidden="1" customHeight="1" x14ac:dyDescent="0.25">
      <c r="B4408" s="441"/>
      <c r="C4408" s="2494" t="s">
        <v>2825</v>
      </c>
      <c r="D4408" s="4066">
        <v>495000000</v>
      </c>
      <c r="E4408" s="2685">
        <v>0</v>
      </c>
      <c r="F4408" s="2685">
        <v>0</v>
      </c>
      <c r="G4408" s="2685">
        <v>0</v>
      </c>
      <c r="H4408" s="1463"/>
    </row>
    <row r="4409" spans="2:8" ht="15.75" hidden="1" customHeight="1" x14ac:dyDescent="0.25">
      <c r="B4409" s="441"/>
      <c r="C4409" s="2494" t="s">
        <v>2826</v>
      </c>
      <c r="D4409" s="4066">
        <v>150000000</v>
      </c>
      <c r="E4409" s="2685">
        <v>72000000</v>
      </c>
      <c r="F4409" s="4066">
        <f t="shared" ref="F4409" si="345">E4409/D4409*100</f>
        <v>48</v>
      </c>
      <c r="G4409" s="2685">
        <v>50</v>
      </c>
      <c r="H4409" s="1463"/>
    </row>
    <row r="4410" spans="2:8" ht="12" hidden="1" customHeight="1" x14ac:dyDescent="0.25">
      <c r="B4410" s="441"/>
      <c r="C4410" s="2528"/>
      <c r="D4410" s="4285"/>
      <c r="E4410" s="3035"/>
      <c r="F4410" s="2690"/>
      <c r="G4410" s="3035"/>
      <c r="H4410" s="1463"/>
    </row>
    <row r="4411" spans="2:8" ht="18.75" customHeight="1" x14ac:dyDescent="0.25">
      <c r="B4411" s="441"/>
      <c r="C4411" s="2491" t="s">
        <v>2827</v>
      </c>
      <c r="D4411" s="4159">
        <f>SUM(D4412:D4413)</f>
        <v>349400000</v>
      </c>
      <c r="E4411" s="2813">
        <f>SUM(E4412:E4413)</f>
        <v>345000000</v>
      </c>
      <c r="F4411" s="2695">
        <f t="shared" ref="F4411" si="346">SUM(E4411/D4411*100)</f>
        <v>98.740698340011448</v>
      </c>
      <c r="G4411" s="3217">
        <f>SUM(G4413)/1</f>
        <v>99</v>
      </c>
      <c r="H4411" s="1463"/>
    </row>
    <row r="4412" spans="2:8" ht="14.25" hidden="1" customHeight="1" x14ac:dyDescent="0.25">
      <c r="B4412" s="441"/>
      <c r="C4412" s="2494" t="s">
        <v>2828</v>
      </c>
      <c r="D4412" s="4283" t="s">
        <v>3317</v>
      </c>
      <c r="E4412" s="3660" t="s">
        <v>3317</v>
      </c>
      <c r="F4412" s="3660" t="s">
        <v>3317</v>
      </c>
      <c r="G4412" s="3660" t="s">
        <v>3317</v>
      </c>
      <c r="H4412" s="1463"/>
    </row>
    <row r="4413" spans="2:8" ht="14.25" hidden="1" customHeight="1" x14ac:dyDescent="0.25">
      <c r="B4413" s="441"/>
      <c r="C4413" s="2494" t="s">
        <v>2829</v>
      </c>
      <c r="D4413" s="4066">
        <v>349400000</v>
      </c>
      <c r="E4413" s="3216">
        <v>345000000</v>
      </c>
      <c r="F4413" s="4066">
        <f t="shared" ref="F4413" si="347">E4413/D4413*100</f>
        <v>98.740698340011448</v>
      </c>
      <c r="G4413" s="3216">
        <v>99</v>
      </c>
      <c r="H4413" s="1463"/>
    </row>
    <row r="4414" spans="2:8" ht="11.25" hidden="1" customHeight="1" x14ac:dyDescent="0.25">
      <c r="B4414" s="441"/>
      <c r="C4414" s="2528"/>
      <c r="D4414" s="4276"/>
      <c r="E4414" s="2778"/>
      <c r="F4414" s="2710"/>
      <c r="G4414" s="2778"/>
      <c r="H4414" s="1463"/>
    </row>
    <row r="4415" spans="2:8" ht="29.25" customHeight="1" x14ac:dyDescent="0.25">
      <c r="B4415" s="441"/>
      <c r="C4415" s="2474" t="s">
        <v>2830</v>
      </c>
      <c r="D4415" s="4159">
        <f>SUM(D4416:D4418)</f>
        <v>8847414000</v>
      </c>
      <c r="E4415" s="2813">
        <f>SUM(E4416:E4418)</f>
        <v>5550816761</v>
      </c>
      <c r="F4415" s="2695">
        <f t="shared" ref="F4415" si="348">SUM(E4415/D4415*100)</f>
        <v>62.739426017591128</v>
      </c>
      <c r="G4415" s="2695">
        <f>SUM(G4416:G4418)/3</f>
        <v>74.666666666666671</v>
      </c>
      <c r="H4415" s="1463"/>
    </row>
    <row r="4416" spans="2:8" ht="15.75" hidden="1" customHeight="1" x14ac:dyDescent="0.25">
      <c r="B4416" s="441"/>
      <c r="C4416" s="2494" t="s">
        <v>2831</v>
      </c>
      <c r="D4416" s="4066">
        <v>3076814000</v>
      </c>
      <c r="E4416" s="4066">
        <v>2683607761</v>
      </c>
      <c r="F4416" s="4066">
        <f t="shared" ref="F4416:F4418" si="349">E4416/D4416*100</f>
        <v>87.220344193701678</v>
      </c>
      <c r="G4416" s="4066">
        <v>90</v>
      </c>
      <c r="H4416" s="1463"/>
    </row>
    <row r="4417" spans="2:8" ht="17.25" hidden="1" customHeight="1" x14ac:dyDescent="0.25">
      <c r="B4417" s="441"/>
      <c r="C4417" s="2494" t="s">
        <v>2832</v>
      </c>
      <c r="D4417" s="4066">
        <v>1453050000</v>
      </c>
      <c r="E4417" s="4066">
        <v>1436200700</v>
      </c>
      <c r="F4417" s="4066">
        <f t="shared" si="349"/>
        <v>98.840418430198554</v>
      </c>
      <c r="G4417" s="4066">
        <v>99</v>
      </c>
      <c r="H4417" s="1463"/>
    </row>
    <row r="4418" spans="2:8" ht="30" hidden="1" customHeight="1" x14ac:dyDescent="0.25">
      <c r="B4418" s="441"/>
      <c r="C4418" s="2494" t="s">
        <v>2833</v>
      </c>
      <c r="D4418" s="4066">
        <f>4350000000-32450000</f>
        <v>4317550000</v>
      </c>
      <c r="E4418" s="4066">
        <v>1431008300</v>
      </c>
      <c r="F4418" s="4066">
        <f t="shared" si="349"/>
        <v>33.143989067874138</v>
      </c>
      <c r="G4418" s="4066">
        <v>35</v>
      </c>
      <c r="H4418" s="1463"/>
    </row>
    <row r="4419" spans="2:8" ht="12.75" hidden="1" customHeight="1" x14ac:dyDescent="0.25">
      <c r="B4419" s="441"/>
      <c r="C4419" s="2494"/>
      <c r="D4419" s="3704"/>
      <c r="E4419" s="3035"/>
      <c r="F4419" s="2690"/>
      <c r="G4419" s="3035"/>
      <c r="H4419" s="1463"/>
    </row>
    <row r="4420" spans="2:8" ht="15" customHeight="1" x14ac:dyDescent="0.25">
      <c r="B4420" s="441"/>
      <c r="C4420" s="2491" t="s">
        <v>2834</v>
      </c>
      <c r="D4420" s="4159">
        <f>SUM(D4421:D4433)</f>
        <v>3547911000</v>
      </c>
      <c r="E4420" s="2813">
        <f>SUM(E4421:E4433)</f>
        <v>3415135023</v>
      </c>
      <c r="F4420" s="2695">
        <f t="shared" ref="F4420" si="350">SUM(E4420/D4420*100)</f>
        <v>96.257629433207313</v>
      </c>
      <c r="G4420" s="2695">
        <f>SUM(G4421:G4433)/13</f>
        <v>95.15384615384616</v>
      </c>
      <c r="H4420" s="1463"/>
    </row>
    <row r="4421" spans="2:8" ht="20.25" hidden="1" customHeight="1" x14ac:dyDescent="0.25">
      <c r="B4421" s="441"/>
      <c r="C4421" s="2494" t="s">
        <v>2835</v>
      </c>
      <c r="D4421" s="4066">
        <v>249090000</v>
      </c>
      <c r="E4421" s="4066">
        <v>249090000</v>
      </c>
      <c r="F4421" s="4066">
        <f t="shared" ref="F4421:F4433" si="351">E4421/D4421*100</f>
        <v>100</v>
      </c>
      <c r="G4421" s="4066">
        <v>100</v>
      </c>
      <c r="H4421" s="1463"/>
    </row>
    <row r="4422" spans="2:8" ht="13.5" hidden="1" customHeight="1" x14ac:dyDescent="0.25">
      <c r="B4422" s="441"/>
      <c r="C4422" s="2494" t="s">
        <v>2836</v>
      </c>
      <c r="D4422" s="4066">
        <v>350000000</v>
      </c>
      <c r="E4422" s="4066">
        <v>349780000</v>
      </c>
      <c r="F4422" s="4066">
        <f t="shared" si="351"/>
        <v>99.937142857142859</v>
      </c>
      <c r="G4422" s="4066">
        <v>100</v>
      </c>
      <c r="H4422" s="1463"/>
    </row>
    <row r="4423" spans="2:8" ht="15.75" hidden="1" customHeight="1" x14ac:dyDescent="0.25">
      <c r="B4423" s="441"/>
      <c r="C4423" s="2494" t="s">
        <v>2837</v>
      </c>
      <c r="D4423" s="4066">
        <v>249550000</v>
      </c>
      <c r="E4423" s="4066">
        <v>247950000</v>
      </c>
      <c r="F4423" s="4066">
        <f t="shared" si="351"/>
        <v>99.358845922660791</v>
      </c>
      <c r="G4423" s="4066">
        <v>100</v>
      </c>
      <c r="H4423" s="1463"/>
    </row>
    <row r="4424" spans="2:8" ht="15.75" hidden="1" customHeight="1" x14ac:dyDescent="0.25">
      <c r="B4424" s="441"/>
      <c r="C4424" s="2506" t="s">
        <v>2838</v>
      </c>
      <c r="D4424" s="4066">
        <v>319490000</v>
      </c>
      <c r="E4424" s="4066">
        <v>319490000</v>
      </c>
      <c r="F4424" s="4066">
        <f t="shared" si="351"/>
        <v>100</v>
      </c>
      <c r="G4424" s="4066">
        <v>100</v>
      </c>
      <c r="H4424" s="1463"/>
    </row>
    <row r="4425" spans="2:8" ht="15.75" hidden="1" customHeight="1" x14ac:dyDescent="0.25">
      <c r="B4425" s="441"/>
      <c r="C4425" s="2494" t="s">
        <v>2839</v>
      </c>
      <c r="D4425" s="4066">
        <v>150000000</v>
      </c>
      <c r="E4425" s="3216">
        <v>150000000</v>
      </c>
      <c r="F4425" s="4066">
        <f t="shared" si="351"/>
        <v>100</v>
      </c>
      <c r="G4425" s="4066">
        <v>100</v>
      </c>
      <c r="H4425" s="1463"/>
    </row>
    <row r="4426" spans="2:8" ht="15.75" hidden="1" customHeight="1" x14ac:dyDescent="0.25">
      <c r="B4426" s="441"/>
      <c r="C4426" s="2494" t="s">
        <v>2840</v>
      </c>
      <c r="D4426" s="4066">
        <v>169870000</v>
      </c>
      <c r="E4426" s="4066">
        <v>169870000</v>
      </c>
      <c r="F4426" s="4066">
        <f t="shared" si="351"/>
        <v>100</v>
      </c>
      <c r="G4426" s="4066">
        <v>100</v>
      </c>
      <c r="H4426" s="1463"/>
    </row>
    <row r="4427" spans="2:8" ht="15.75" hidden="1" customHeight="1" x14ac:dyDescent="0.25">
      <c r="B4427" s="441"/>
      <c r="C4427" s="2494" t="s">
        <v>2841</v>
      </c>
      <c r="D4427" s="4066">
        <v>169970000</v>
      </c>
      <c r="E4427" s="4066">
        <v>152984023</v>
      </c>
      <c r="F4427" s="4066">
        <f t="shared" si="351"/>
        <v>90.006485262105073</v>
      </c>
      <c r="G4427" s="4066">
        <v>93</v>
      </c>
      <c r="H4427" s="1463"/>
    </row>
    <row r="4428" spans="2:8" ht="15.75" hidden="1" customHeight="1" x14ac:dyDescent="0.25">
      <c r="B4428" s="441"/>
      <c r="C4428" s="2494" t="s">
        <v>2842</v>
      </c>
      <c r="D4428" s="4066">
        <v>169941000</v>
      </c>
      <c r="E4428" s="3216">
        <v>169941000</v>
      </c>
      <c r="F4428" s="4066">
        <f t="shared" si="351"/>
        <v>100</v>
      </c>
      <c r="G4428" s="3216">
        <v>100</v>
      </c>
      <c r="H4428" s="1463"/>
    </row>
    <row r="4429" spans="2:8" ht="15.75" hidden="1" customHeight="1" x14ac:dyDescent="0.25">
      <c r="B4429" s="441"/>
      <c r="C4429" s="2494" t="s">
        <v>2843</v>
      </c>
      <c r="D4429" s="4066">
        <v>400000000</v>
      </c>
      <c r="E4429" s="4066">
        <v>370650000</v>
      </c>
      <c r="F4429" s="4066">
        <f t="shared" si="351"/>
        <v>92.662500000000009</v>
      </c>
      <c r="G4429" s="4066">
        <v>95</v>
      </c>
      <c r="H4429" s="1463"/>
    </row>
    <row r="4430" spans="2:8" ht="15.75" hidden="1" customHeight="1" x14ac:dyDescent="0.25">
      <c r="B4430" s="441"/>
      <c r="C4430" s="3672" t="s">
        <v>3794</v>
      </c>
      <c r="D4430" s="4066">
        <v>1000000000</v>
      </c>
      <c r="E4430" s="4066">
        <v>965150000</v>
      </c>
      <c r="F4430" s="4066">
        <f t="shared" si="351"/>
        <v>96.515000000000001</v>
      </c>
      <c r="G4430" s="4066">
        <v>99</v>
      </c>
      <c r="H4430" s="1463"/>
    </row>
    <row r="4431" spans="2:8" ht="15.75" hidden="1" customHeight="1" x14ac:dyDescent="0.25">
      <c r="B4431" s="441"/>
      <c r="C4431" s="2494" t="s">
        <v>3791</v>
      </c>
      <c r="D4431" s="4066">
        <v>120000000</v>
      </c>
      <c r="E4431" s="4066">
        <v>120000000</v>
      </c>
      <c r="F4431" s="4066">
        <f t="shared" si="351"/>
        <v>100</v>
      </c>
      <c r="G4431" s="4066">
        <v>100</v>
      </c>
      <c r="H4431" s="1463"/>
    </row>
    <row r="4432" spans="2:8" ht="15.75" hidden="1" customHeight="1" x14ac:dyDescent="0.25">
      <c r="B4432" s="441"/>
      <c r="C4432" s="2494" t="s">
        <v>3792</v>
      </c>
      <c r="D4432" s="4066">
        <v>80000000</v>
      </c>
      <c r="E4432" s="4066">
        <v>30230000</v>
      </c>
      <c r="F4432" s="4066">
        <f t="shared" si="351"/>
        <v>37.787500000000001</v>
      </c>
      <c r="G4432" s="4066">
        <v>50</v>
      </c>
      <c r="H4432" s="1463"/>
    </row>
    <row r="4433" spans="2:8" ht="15.75" hidden="1" customHeight="1" x14ac:dyDescent="0.25">
      <c r="B4433" s="441"/>
      <c r="C4433" s="2494" t="s">
        <v>3793</v>
      </c>
      <c r="D4433" s="4066">
        <v>120000000</v>
      </c>
      <c r="E4433" s="4066">
        <v>120000000</v>
      </c>
      <c r="F4433" s="4066">
        <f t="shared" si="351"/>
        <v>100</v>
      </c>
      <c r="G4433" s="4066">
        <v>100</v>
      </c>
      <c r="H4433" s="1463"/>
    </row>
    <row r="4434" spans="2:8" ht="12" hidden="1" customHeight="1" x14ac:dyDescent="0.25">
      <c r="B4434" s="441"/>
      <c r="C4434" s="2528"/>
      <c r="D4434" s="4290"/>
      <c r="E4434" s="3060"/>
      <c r="F4434" s="2752"/>
      <c r="G4434" s="2784"/>
      <c r="H4434" s="1463"/>
    </row>
    <row r="4435" spans="2:8" ht="17.25" customHeight="1" x14ac:dyDescent="0.25">
      <c r="B4435" s="440"/>
      <c r="C4435" s="2497" t="s">
        <v>252</v>
      </c>
      <c r="D4435" s="4080">
        <f>SUM(D4439+D4450+D4453+D4458+D4464+D4470+D4473+D4483+D4486+D4489+D4492)</f>
        <v>7770040500</v>
      </c>
      <c r="E4435" s="2786">
        <f>SUM(E4439+E4450+E4453+E4458+E4464+E4470+E4473+E4483+E4486+E4489+E4492)</f>
        <v>7436197000</v>
      </c>
      <c r="F4435" s="2786">
        <f>SUM(E4435/D4435*100)</f>
        <v>95.703452253562901</v>
      </c>
      <c r="G4435" s="2672">
        <f>SUM(G4439+G4453+G4458+G4464+G4470+G4473+G4483+G4486+G4489+G4492)/10</f>
        <v>97.75</v>
      </c>
      <c r="H4435" s="1463"/>
    </row>
    <row r="4436" spans="2:8" ht="16.5" customHeight="1" x14ac:dyDescent="0.25">
      <c r="B4436" s="441"/>
      <c r="C4436" s="2491" t="s">
        <v>2665</v>
      </c>
      <c r="D4436" s="4159">
        <v>0</v>
      </c>
      <c r="E4436" s="4159">
        <v>0</v>
      </c>
      <c r="F4436" s="4159">
        <v>0</v>
      </c>
      <c r="G4436" s="4159">
        <v>0</v>
      </c>
      <c r="H4436" s="1463"/>
    </row>
    <row r="4437" spans="2:8" ht="19.5" hidden="1" customHeight="1" x14ac:dyDescent="0.25">
      <c r="B4437" s="441"/>
      <c r="C4437" s="2506" t="s">
        <v>2844</v>
      </c>
      <c r="D4437" s="4283" t="s">
        <v>3317</v>
      </c>
      <c r="E4437" s="3660" t="s">
        <v>3317</v>
      </c>
      <c r="F4437" s="3660" t="s">
        <v>3317</v>
      </c>
      <c r="G4437" s="3660" t="s">
        <v>3317</v>
      </c>
      <c r="H4437" s="1463"/>
    </row>
    <row r="4438" spans="2:8" ht="13.5" hidden="1" customHeight="1" x14ac:dyDescent="0.25">
      <c r="B4438" s="441"/>
      <c r="C4438" s="2494"/>
      <c r="D4438" s="3704"/>
      <c r="E4438" s="3035"/>
      <c r="F4438" s="2690"/>
      <c r="G4438" s="3035"/>
      <c r="H4438" s="1463"/>
    </row>
    <row r="4439" spans="2:8" ht="19.5" customHeight="1" x14ac:dyDescent="0.25">
      <c r="B4439" s="441"/>
      <c r="C4439" s="2491" t="s">
        <v>2845</v>
      </c>
      <c r="D4439" s="4159">
        <f>SUM(D4440:D4448)</f>
        <v>1182352000</v>
      </c>
      <c r="E4439" s="2813">
        <f>SUM(E4440:E4448)</f>
        <v>1182352000</v>
      </c>
      <c r="F4439" s="2695">
        <f t="shared" ref="F4439" si="352">SUM(E4439/D4439*100)</f>
        <v>100</v>
      </c>
      <c r="G4439" s="2695">
        <f>SUM(G4440:G4448)/8</f>
        <v>100</v>
      </c>
      <c r="H4439" s="1463"/>
    </row>
    <row r="4440" spans="2:8" ht="18" hidden="1" customHeight="1" x14ac:dyDescent="0.25">
      <c r="B4440" s="441"/>
      <c r="C4440" s="2494" t="s">
        <v>4100</v>
      </c>
      <c r="D4440" s="4066">
        <v>95882000</v>
      </c>
      <c r="E4440" s="4066">
        <v>95882000</v>
      </c>
      <c r="F4440" s="4066">
        <f t="shared" ref="F4440:F4448" si="353">E4440/D4440*100</f>
        <v>100</v>
      </c>
      <c r="G4440" s="4066">
        <v>100</v>
      </c>
      <c r="H4440" s="1463"/>
    </row>
    <row r="4441" spans="2:8" ht="17.25" hidden="1" customHeight="1" x14ac:dyDescent="0.25">
      <c r="B4441" s="441"/>
      <c r="C4441" s="2494" t="s">
        <v>3135</v>
      </c>
      <c r="D4441" s="4066">
        <v>70180000</v>
      </c>
      <c r="E4441" s="4066">
        <v>70180000</v>
      </c>
      <c r="F4441" s="4066">
        <f t="shared" si="353"/>
        <v>100</v>
      </c>
      <c r="G4441" s="4066">
        <v>100</v>
      </c>
      <c r="H4441" s="1463"/>
    </row>
    <row r="4442" spans="2:8" ht="16.5" hidden="1" customHeight="1" x14ac:dyDescent="0.25">
      <c r="B4442" s="441"/>
      <c r="C4442" s="2494" t="s">
        <v>3136</v>
      </c>
      <c r="D4442" s="4066">
        <v>52470000</v>
      </c>
      <c r="E4442" s="2685">
        <v>52470000</v>
      </c>
      <c r="F4442" s="4066">
        <f t="shared" si="353"/>
        <v>100</v>
      </c>
      <c r="G4442" s="4066">
        <v>100</v>
      </c>
      <c r="H4442" s="1463"/>
    </row>
    <row r="4443" spans="2:8" ht="14.25" hidden="1" customHeight="1" x14ac:dyDescent="0.25">
      <c r="B4443" s="441"/>
      <c r="C4443" s="2494" t="s">
        <v>3137</v>
      </c>
      <c r="D4443" s="4283" t="s">
        <v>3317</v>
      </c>
      <c r="E4443" s="3660" t="s">
        <v>3317</v>
      </c>
      <c r="F4443" s="3660" t="s">
        <v>3317</v>
      </c>
      <c r="G4443" s="3660" t="s">
        <v>3317</v>
      </c>
      <c r="H4443" s="1463"/>
    </row>
    <row r="4444" spans="2:8" ht="15.75" hidden="1" customHeight="1" x14ac:dyDescent="0.25">
      <c r="B4444" s="441"/>
      <c r="C4444" s="2494" t="s">
        <v>3138</v>
      </c>
      <c r="D4444" s="4066">
        <v>100000000</v>
      </c>
      <c r="E4444" s="2685">
        <v>100000000</v>
      </c>
      <c r="F4444" s="4066">
        <f t="shared" si="353"/>
        <v>100</v>
      </c>
      <c r="G4444" s="2685">
        <v>100</v>
      </c>
      <c r="H4444" s="1463"/>
    </row>
    <row r="4445" spans="2:8" ht="15" hidden="1" customHeight="1" x14ac:dyDescent="0.25">
      <c r="B4445" s="441"/>
      <c r="C4445" s="2494" t="s">
        <v>3139</v>
      </c>
      <c r="D4445" s="4066">
        <v>331750000</v>
      </c>
      <c r="E4445" s="2685">
        <v>331750000</v>
      </c>
      <c r="F4445" s="4066">
        <f t="shared" si="353"/>
        <v>100</v>
      </c>
      <c r="G4445" s="2685">
        <v>100</v>
      </c>
      <c r="H4445" s="1463"/>
    </row>
    <row r="4446" spans="2:8" ht="13.5" hidden="1" customHeight="1" x14ac:dyDescent="0.25">
      <c r="B4446" s="441"/>
      <c r="C4446" s="2494" t="s">
        <v>3140</v>
      </c>
      <c r="D4446" s="4066">
        <v>202070000</v>
      </c>
      <c r="E4446" s="2685">
        <v>202070000</v>
      </c>
      <c r="F4446" s="4066">
        <f t="shared" si="353"/>
        <v>100</v>
      </c>
      <c r="G4446" s="2685">
        <v>100</v>
      </c>
      <c r="H4446" s="1463"/>
    </row>
    <row r="4447" spans="2:8" ht="15.75" hidden="1" customHeight="1" x14ac:dyDescent="0.25">
      <c r="B4447" s="441"/>
      <c r="C4447" s="2494" t="s">
        <v>3141</v>
      </c>
      <c r="D4447" s="4066">
        <v>250000000</v>
      </c>
      <c r="E4447" s="4066">
        <v>250000000</v>
      </c>
      <c r="F4447" s="4066">
        <f t="shared" si="353"/>
        <v>100</v>
      </c>
      <c r="G4447" s="2685">
        <v>100</v>
      </c>
      <c r="H4447" s="1463"/>
    </row>
    <row r="4448" spans="2:8" ht="14.25" hidden="1" customHeight="1" x14ac:dyDescent="0.25">
      <c r="B4448" s="444"/>
      <c r="C4448" s="2494" t="s">
        <v>3142</v>
      </c>
      <c r="D4448" s="4066">
        <v>80000000</v>
      </c>
      <c r="E4448" s="4066">
        <v>80000000</v>
      </c>
      <c r="F4448" s="4066">
        <f t="shared" si="353"/>
        <v>100</v>
      </c>
      <c r="G4448" s="4066">
        <v>100</v>
      </c>
      <c r="H4448" s="1463"/>
    </row>
    <row r="4449" spans="2:8" ht="12" hidden="1" customHeight="1" x14ac:dyDescent="0.25">
      <c r="B4449" s="441"/>
      <c r="C4449" s="2494"/>
      <c r="D4449" s="3704"/>
      <c r="E4449" s="2690"/>
      <c r="F4449" s="2690"/>
      <c r="G4449" s="2690"/>
      <c r="H4449" s="1463"/>
    </row>
    <row r="4450" spans="2:8" ht="18" customHeight="1" x14ac:dyDescent="0.25">
      <c r="B4450" s="441"/>
      <c r="C4450" s="2491" t="s">
        <v>2846</v>
      </c>
      <c r="D4450" s="4159">
        <f>SUM(D4451)</f>
        <v>61400000</v>
      </c>
      <c r="E4450" s="2813">
        <f>SUM(E4451)</f>
        <v>61400000</v>
      </c>
      <c r="F4450" s="2695">
        <f t="shared" ref="F4450" si="354">SUM(E4450/D4450*100)</f>
        <v>100</v>
      </c>
      <c r="G4450" s="2679">
        <f>G4451</f>
        <v>100</v>
      </c>
      <c r="H4450" s="1463"/>
    </row>
    <row r="4451" spans="2:8" ht="17.25" hidden="1" customHeight="1" x14ac:dyDescent="0.25">
      <c r="B4451" s="441"/>
      <c r="C4451" s="2494" t="s">
        <v>2847</v>
      </c>
      <c r="D4451" s="3704">
        <v>61400000</v>
      </c>
      <c r="E4451" s="2685">
        <v>61400000</v>
      </c>
      <c r="F4451" s="4066">
        <f t="shared" ref="F4451" si="355">E4451/D4451*100</f>
        <v>100</v>
      </c>
      <c r="G4451" s="2685">
        <v>100</v>
      </c>
      <c r="H4451" s="1463"/>
    </row>
    <row r="4452" spans="2:8" ht="12.75" hidden="1" customHeight="1" x14ac:dyDescent="0.25">
      <c r="B4452" s="441"/>
      <c r="C4452" s="2494"/>
      <c r="D4452" s="3704"/>
      <c r="E4452" s="2679"/>
      <c r="F4452" s="2695"/>
      <c r="G4452" s="2695"/>
      <c r="H4452" s="1463"/>
    </row>
    <row r="4453" spans="2:8" ht="17.25" customHeight="1" x14ac:dyDescent="0.25">
      <c r="B4453" s="441"/>
      <c r="C4453" s="2491" t="s">
        <v>2848</v>
      </c>
      <c r="D4453" s="4159">
        <f>SUM(D4454:D4456)</f>
        <v>450500000</v>
      </c>
      <c r="E4453" s="2813">
        <f>SUM(E4454:E4456)</f>
        <v>450500000</v>
      </c>
      <c r="F4453" s="2695">
        <f t="shared" ref="F4453" si="356">SUM(E4453/D4453*100)</f>
        <v>100</v>
      </c>
      <c r="G4453" s="2695">
        <f>SUM(G4454:G4456)/3</f>
        <v>100</v>
      </c>
      <c r="H4453" s="1463"/>
    </row>
    <row r="4454" spans="2:8" ht="15" hidden="1" customHeight="1" x14ac:dyDescent="0.25">
      <c r="B4454" s="441"/>
      <c r="C4454" s="2494" t="s">
        <v>2849</v>
      </c>
      <c r="D4454" s="4066">
        <v>190000000</v>
      </c>
      <c r="E4454" s="2685">
        <v>190000000</v>
      </c>
      <c r="F4454" s="4066">
        <f t="shared" ref="F4454:F4456" si="357">E4454/D4454*100</f>
        <v>100</v>
      </c>
      <c r="G4454" s="2685">
        <v>100</v>
      </c>
      <c r="H4454" s="1463"/>
    </row>
    <row r="4455" spans="2:8" ht="15" hidden="1" customHeight="1" x14ac:dyDescent="0.25">
      <c r="B4455" s="441"/>
      <c r="C4455" s="2494" t="s">
        <v>2850</v>
      </c>
      <c r="D4455" s="4066">
        <v>71000000</v>
      </c>
      <c r="E4455" s="4066">
        <v>71000000</v>
      </c>
      <c r="F4455" s="4066">
        <f t="shared" si="357"/>
        <v>100</v>
      </c>
      <c r="G4455" s="4066">
        <v>100</v>
      </c>
      <c r="H4455" s="1463"/>
    </row>
    <row r="4456" spans="2:8" ht="15" hidden="1" customHeight="1" x14ac:dyDescent="0.25">
      <c r="B4456" s="441"/>
      <c r="C4456" s="2494" t="s">
        <v>2851</v>
      </c>
      <c r="D4456" s="4066">
        <v>189500000</v>
      </c>
      <c r="E4456" s="4066">
        <v>189500000</v>
      </c>
      <c r="F4456" s="4066">
        <f t="shared" si="357"/>
        <v>100</v>
      </c>
      <c r="G4456" s="4066">
        <v>100</v>
      </c>
      <c r="H4456" s="1463"/>
    </row>
    <row r="4457" spans="2:8" ht="13.5" hidden="1" customHeight="1" x14ac:dyDescent="0.25">
      <c r="B4457" s="441"/>
      <c r="C4457" s="2494"/>
      <c r="D4457" s="3704"/>
      <c r="E4457" s="2679"/>
      <c r="F4457" s="2695"/>
      <c r="G4457" s="2695"/>
      <c r="H4457" s="1463"/>
    </row>
    <row r="4458" spans="2:8" ht="18" customHeight="1" x14ac:dyDescent="0.25">
      <c r="B4458" s="441"/>
      <c r="C4458" s="2491" t="s">
        <v>2852</v>
      </c>
      <c r="D4458" s="4159">
        <f>SUM(D4459:D4462)</f>
        <v>1136455000</v>
      </c>
      <c r="E4458" s="2813">
        <f>SUM(E4459:E4462)</f>
        <v>1136455000</v>
      </c>
      <c r="F4458" s="2695">
        <f t="shared" ref="F4458" si="358">SUM(E4458/D4458*100)</f>
        <v>100</v>
      </c>
      <c r="G4458" s="2695">
        <f>SUM(G4459:G4462)/4</f>
        <v>100</v>
      </c>
      <c r="H4458" s="1463"/>
    </row>
    <row r="4459" spans="2:8" ht="14.25" hidden="1" customHeight="1" x14ac:dyDescent="0.25">
      <c r="B4459" s="441"/>
      <c r="C4459" s="2494" t="s">
        <v>2853</v>
      </c>
      <c r="D4459" s="4066">
        <v>174000000</v>
      </c>
      <c r="E4459" s="4066">
        <v>174000000</v>
      </c>
      <c r="F4459" s="4066">
        <f t="shared" ref="F4459:F4462" si="359">E4459/D4459*100</f>
        <v>100</v>
      </c>
      <c r="G4459" s="4066">
        <v>100</v>
      </c>
      <c r="H4459" s="1463"/>
    </row>
    <row r="4460" spans="2:8" ht="15" hidden="1" customHeight="1" x14ac:dyDescent="0.25">
      <c r="B4460" s="441"/>
      <c r="C4460" s="2494" t="s">
        <v>2854</v>
      </c>
      <c r="D4460" s="4066">
        <v>516800000</v>
      </c>
      <c r="E4460" s="4066">
        <v>516800000</v>
      </c>
      <c r="F4460" s="4066">
        <f t="shared" si="359"/>
        <v>100</v>
      </c>
      <c r="G4460" s="4066">
        <v>100</v>
      </c>
      <c r="H4460" s="1463"/>
    </row>
    <row r="4461" spans="2:8" ht="30" hidden="1" customHeight="1" x14ac:dyDescent="0.25">
      <c r="B4461" s="441"/>
      <c r="C4461" s="2494" t="s">
        <v>2855</v>
      </c>
      <c r="D4461" s="4066">
        <v>208150000</v>
      </c>
      <c r="E4461" s="4066">
        <v>208150000</v>
      </c>
      <c r="F4461" s="4066">
        <f t="shared" si="359"/>
        <v>100</v>
      </c>
      <c r="G4461" s="4066">
        <v>100</v>
      </c>
      <c r="H4461" s="1463"/>
    </row>
    <row r="4462" spans="2:8" ht="19.5" hidden="1" customHeight="1" x14ac:dyDescent="0.25">
      <c r="B4462" s="441"/>
      <c r="C4462" s="2494" t="s">
        <v>2856</v>
      </c>
      <c r="D4462" s="4066">
        <v>237505000</v>
      </c>
      <c r="E4462" s="4066">
        <v>237505000</v>
      </c>
      <c r="F4462" s="4066">
        <f t="shared" si="359"/>
        <v>100</v>
      </c>
      <c r="G4462" s="4066">
        <v>100</v>
      </c>
      <c r="H4462" s="1463"/>
    </row>
    <row r="4463" spans="2:8" ht="15.75" hidden="1" customHeight="1" x14ac:dyDescent="0.25">
      <c r="B4463" s="441"/>
      <c r="C4463" s="2494"/>
      <c r="D4463" s="3704"/>
      <c r="E4463" s="2679"/>
      <c r="F4463" s="2695"/>
      <c r="G4463" s="2695"/>
      <c r="H4463" s="1463"/>
    </row>
    <row r="4464" spans="2:8" ht="21.75" customHeight="1" x14ac:dyDescent="0.25">
      <c r="B4464" s="441"/>
      <c r="C4464" s="2491" t="s">
        <v>2857</v>
      </c>
      <c r="D4464" s="4159">
        <f>SUM(D4465:D4468)</f>
        <v>738423500</v>
      </c>
      <c r="E4464" s="2813">
        <f>SUM(E4465:E4468)</f>
        <v>738280000</v>
      </c>
      <c r="F4464" s="2695">
        <f t="shared" ref="F4464" si="360">SUM(E4464/D4464*100)</f>
        <v>99.980566707316328</v>
      </c>
      <c r="G4464" s="2679">
        <f>SUM(G4465:G4468)/4</f>
        <v>100</v>
      </c>
      <c r="H4464" s="1463"/>
    </row>
    <row r="4465" spans="2:8" ht="16.5" hidden="1" customHeight="1" x14ac:dyDescent="0.25">
      <c r="B4465" s="441"/>
      <c r="C4465" s="2494" t="s">
        <v>2858</v>
      </c>
      <c r="D4465" s="4066">
        <v>174900000</v>
      </c>
      <c r="E4465" s="4066">
        <v>174900000</v>
      </c>
      <c r="F4465" s="4066">
        <f t="shared" ref="F4465:F4468" si="361">E4465/D4465*100</f>
        <v>100</v>
      </c>
      <c r="G4465" s="4066">
        <v>100</v>
      </c>
      <c r="H4465" s="1463"/>
    </row>
    <row r="4466" spans="2:8" ht="16.5" hidden="1" customHeight="1" x14ac:dyDescent="0.25">
      <c r="B4466" s="441"/>
      <c r="C4466" s="2494" t="s">
        <v>2859</v>
      </c>
      <c r="D4466" s="4066">
        <v>265063500</v>
      </c>
      <c r="E4466" s="2685">
        <v>264920000</v>
      </c>
      <c r="F4466" s="4066">
        <f t="shared" si="361"/>
        <v>99.945862029287326</v>
      </c>
      <c r="G4466" s="4066">
        <v>100</v>
      </c>
      <c r="H4466" s="1463"/>
    </row>
    <row r="4467" spans="2:8" ht="15.75" hidden="1" customHeight="1" x14ac:dyDescent="0.25">
      <c r="B4467" s="441"/>
      <c r="C4467" s="2494" t="s">
        <v>2860</v>
      </c>
      <c r="D4467" s="4066">
        <v>179400000</v>
      </c>
      <c r="E4467" s="4066">
        <v>179400000</v>
      </c>
      <c r="F4467" s="4066">
        <f t="shared" si="361"/>
        <v>100</v>
      </c>
      <c r="G4467" s="4066">
        <v>100</v>
      </c>
      <c r="H4467" s="1463"/>
    </row>
    <row r="4468" spans="2:8" ht="15" hidden="1" customHeight="1" x14ac:dyDescent="0.25">
      <c r="B4468" s="441"/>
      <c r="C4468" s="2494" t="s">
        <v>2861</v>
      </c>
      <c r="D4468" s="4066">
        <v>119060000</v>
      </c>
      <c r="E4468" s="2685">
        <v>119060000</v>
      </c>
      <c r="F4468" s="4066">
        <f t="shared" si="361"/>
        <v>100</v>
      </c>
      <c r="G4468" s="4066">
        <v>100</v>
      </c>
      <c r="H4468" s="1463"/>
    </row>
    <row r="4469" spans="2:8" ht="18" hidden="1" customHeight="1" x14ac:dyDescent="0.25">
      <c r="B4469" s="441"/>
      <c r="C4469" s="2494"/>
      <c r="D4469" s="3704"/>
      <c r="E4469" s="2685"/>
      <c r="F4469" s="2685"/>
      <c r="G4469" s="2685"/>
      <c r="H4469" s="1463"/>
    </row>
    <row r="4470" spans="2:8" ht="27.75" customHeight="1" x14ac:dyDescent="0.25">
      <c r="B4470" s="441"/>
      <c r="C4470" s="2491" t="s">
        <v>2862</v>
      </c>
      <c r="D4470" s="4159">
        <f>D4471</f>
        <v>770000000</v>
      </c>
      <c r="E4470" s="2679">
        <f>E4471</f>
        <v>767100000</v>
      </c>
      <c r="F4470" s="2695">
        <f t="shared" ref="F4470" si="362">SUM(E4470/D4470*100)</f>
        <v>99.623376623376629</v>
      </c>
      <c r="G4470" s="2695">
        <f>SUM(G4471)/1</f>
        <v>100</v>
      </c>
      <c r="H4470" s="1463"/>
    </row>
    <row r="4471" spans="2:8" ht="16.5" hidden="1" customHeight="1" x14ac:dyDescent="0.25">
      <c r="B4471" s="441"/>
      <c r="C4471" s="2494" t="s">
        <v>2863</v>
      </c>
      <c r="D4471" s="4066">
        <v>770000000</v>
      </c>
      <c r="E4471" s="4066">
        <v>767100000</v>
      </c>
      <c r="F4471" s="4066">
        <f t="shared" ref="F4471" si="363">E4471/D4471*100</f>
        <v>99.623376623376629</v>
      </c>
      <c r="G4471" s="4066">
        <v>100</v>
      </c>
      <c r="H4471" s="1463"/>
    </row>
    <row r="4472" spans="2:8" ht="13.5" hidden="1" customHeight="1" x14ac:dyDescent="0.25">
      <c r="B4472" s="441"/>
      <c r="C4472" s="2528"/>
      <c r="D4472" s="4276"/>
      <c r="E4472" s="2685"/>
      <c r="F4472" s="2685"/>
      <c r="G4472" s="2685"/>
      <c r="H4472" s="1463"/>
    </row>
    <row r="4473" spans="2:8" ht="20.25" customHeight="1" x14ac:dyDescent="0.25">
      <c r="B4473" s="441"/>
      <c r="C4473" s="2491" t="s">
        <v>2864</v>
      </c>
      <c r="D4473" s="4159">
        <f>SUM(D4474:D4481)</f>
        <v>1223510000</v>
      </c>
      <c r="E4473" s="2813">
        <f>SUM(E4474:E4481)</f>
        <v>1159710000</v>
      </c>
      <c r="F4473" s="2695">
        <f t="shared" ref="F4473" si="364">SUM(E4473/D4473*100)</f>
        <v>94.78549419293671</v>
      </c>
      <c r="G4473" s="2695">
        <f>SUM(G4474:G4481)/8</f>
        <v>97.5</v>
      </c>
      <c r="H4473" s="1463"/>
    </row>
    <row r="4474" spans="2:8" ht="13.5" hidden="1" customHeight="1" x14ac:dyDescent="0.25">
      <c r="B4474" s="441"/>
      <c r="C4474" s="2494" t="s">
        <v>2865</v>
      </c>
      <c r="D4474" s="4066">
        <v>230530000</v>
      </c>
      <c r="E4474" s="4066">
        <v>230530000</v>
      </c>
      <c r="F4474" s="4066">
        <f t="shared" ref="F4474:F4481" si="365">E4474/D4474*100</f>
        <v>100</v>
      </c>
      <c r="G4474" s="4066">
        <v>100</v>
      </c>
      <c r="H4474" s="1463"/>
    </row>
    <row r="4475" spans="2:8" ht="15.75" hidden="1" customHeight="1" x14ac:dyDescent="0.25">
      <c r="B4475" s="441"/>
      <c r="C4475" s="2494" t="s">
        <v>2866</v>
      </c>
      <c r="D4475" s="4066">
        <v>264430000</v>
      </c>
      <c r="E4475" s="4066">
        <v>200630000</v>
      </c>
      <c r="F4475" s="4066">
        <f t="shared" si="365"/>
        <v>75.872631698370071</v>
      </c>
      <c r="G4475" s="4066">
        <v>80</v>
      </c>
      <c r="H4475" s="1463"/>
    </row>
    <row r="4476" spans="2:8" ht="15" hidden="1" customHeight="1" x14ac:dyDescent="0.25">
      <c r="B4476" s="441"/>
      <c r="C4476" s="2494" t="s">
        <v>2867</v>
      </c>
      <c r="D4476" s="4066">
        <v>62120000</v>
      </c>
      <c r="E4476" s="4066">
        <v>62120000</v>
      </c>
      <c r="F4476" s="4066">
        <f t="shared" si="365"/>
        <v>100</v>
      </c>
      <c r="G4476" s="4066">
        <v>100</v>
      </c>
      <c r="H4476" s="1463"/>
    </row>
    <row r="4477" spans="2:8" ht="14.25" hidden="1" customHeight="1" x14ac:dyDescent="0.25">
      <c r="B4477" s="441"/>
      <c r="C4477" s="2494" t="s">
        <v>2868</v>
      </c>
      <c r="D4477" s="4066">
        <v>283180000</v>
      </c>
      <c r="E4477" s="2685">
        <v>283180000</v>
      </c>
      <c r="F4477" s="4066">
        <f t="shared" si="365"/>
        <v>100</v>
      </c>
      <c r="G4477" s="4066">
        <v>100</v>
      </c>
      <c r="H4477" s="1463"/>
    </row>
    <row r="4478" spans="2:8" ht="15" hidden="1" customHeight="1" x14ac:dyDescent="0.25">
      <c r="B4478" s="441"/>
      <c r="C4478" s="2494" t="s">
        <v>2869</v>
      </c>
      <c r="D4478" s="4066">
        <v>98750000</v>
      </c>
      <c r="E4478" s="2685">
        <v>98750000</v>
      </c>
      <c r="F4478" s="4066">
        <f t="shared" si="365"/>
        <v>100</v>
      </c>
      <c r="G4478" s="4066">
        <v>100</v>
      </c>
      <c r="H4478" s="1463"/>
    </row>
    <row r="4479" spans="2:8" ht="15" hidden="1" customHeight="1" x14ac:dyDescent="0.25">
      <c r="B4479" s="441"/>
      <c r="C4479" s="2494" t="s">
        <v>2870</v>
      </c>
      <c r="D4479" s="4066">
        <v>35450000</v>
      </c>
      <c r="E4479" s="2685">
        <v>35450000</v>
      </c>
      <c r="F4479" s="4066">
        <f t="shared" si="365"/>
        <v>100</v>
      </c>
      <c r="G4479" s="4066">
        <v>100</v>
      </c>
      <c r="H4479" s="1463"/>
    </row>
    <row r="4480" spans="2:8" ht="15" hidden="1" customHeight="1" x14ac:dyDescent="0.25">
      <c r="B4480" s="441"/>
      <c r="C4480" s="2494" t="s">
        <v>2871</v>
      </c>
      <c r="D4480" s="4066">
        <v>182560000</v>
      </c>
      <c r="E4480" s="4066">
        <v>182560000</v>
      </c>
      <c r="F4480" s="4066">
        <f t="shared" si="365"/>
        <v>100</v>
      </c>
      <c r="G4480" s="4066">
        <v>100</v>
      </c>
      <c r="H4480" s="1463"/>
    </row>
    <row r="4481" spans="2:8" ht="17.25" hidden="1" customHeight="1" x14ac:dyDescent="0.25">
      <c r="B4481" s="441"/>
      <c r="C4481" s="2494" t="s">
        <v>2872</v>
      </c>
      <c r="D4481" s="4066">
        <v>66490000</v>
      </c>
      <c r="E4481" s="2685">
        <v>66490000</v>
      </c>
      <c r="F4481" s="4066">
        <f t="shared" si="365"/>
        <v>100</v>
      </c>
      <c r="G4481" s="4066">
        <v>100</v>
      </c>
      <c r="H4481" s="1463"/>
    </row>
    <row r="4482" spans="2:8" ht="14.25" hidden="1" customHeight="1" x14ac:dyDescent="0.25">
      <c r="B4482" s="441"/>
      <c r="C4482" s="2528"/>
      <c r="D4482" s="4299"/>
      <c r="E4482" s="4277"/>
      <c r="F4482" s="2710"/>
      <c r="G4482" s="2778"/>
      <c r="H4482" s="1463"/>
    </row>
    <row r="4483" spans="2:8" ht="28.5" customHeight="1" x14ac:dyDescent="0.25">
      <c r="B4483" s="441"/>
      <c r="C4483" s="2525" t="s">
        <v>2873</v>
      </c>
      <c r="D4483" s="4065">
        <f>D4484</f>
        <v>49500000</v>
      </c>
      <c r="E4483" s="2695">
        <f>E4484</f>
        <v>49500000</v>
      </c>
      <c r="F4483" s="2695">
        <f t="shared" ref="F4483" si="366">SUM(E4483/D4483*100)</f>
        <v>100</v>
      </c>
      <c r="G4483" s="2695">
        <f>G4484/1</f>
        <v>100</v>
      </c>
      <c r="H4483" s="1463"/>
    </row>
    <row r="4484" spans="2:8" ht="22.5" hidden="1" customHeight="1" x14ac:dyDescent="0.25">
      <c r="B4484" s="441"/>
      <c r="C4484" s="2524" t="s">
        <v>2874</v>
      </c>
      <c r="D4484" s="4066">
        <v>49500000</v>
      </c>
      <c r="E4484" s="4066">
        <v>49500000</v>
      </c>
      <c r="F4484" s="4066">
        <f t="shared" ref="F4484" si="367">E4484/D4484*100</f>
        <v>100</v>
      </c>
      <c r="G4484" s="4066">
        <v>100</v>
      </c>
      <c r="H4484" s="1463"/>
    </row>
    <row r="4485" spans="2:8" ht="12.75" hidden="1" customHeight="1" x14ac:dyDescent="0.25">
      <c r="B4485" s="441"/>
      <c r="C4485" s="2527"/>
      <c r="D4485" s="4276"/>
      <c r="E4485" s="3874"/>
      <c r="F4485" s="2690"/>
      <c r="G4485" s="3035"/>
      <c r="H4485" s="1463"/>
    </row>
    <row r="4486" spans="2:8" ht="18" customHeight="1" x14ac:dyDescent="0.25">
      <c r="B4486" s="441"/>
      <c r="C4486" s="2525" t="s">
        <v>2875</v>
      </c>
      <c r="D4486" s="4065">
        <f>D4487</f>
        <v>380000000</v>
      </c>
      <c r="E4486" s="3116">
        <f>E4487</f>
        <v>380000000</v>
      </c>
      <c r="F4486" s="2695">
        <f t="shared" ref="F4486" si="368">SUM(E4486/D4486*100)</f>
        <v>100</v>
      </c>
      <c r="G4486" s="3217">
        <f>G4487</f>
        <v>100</v>
      </c>
      <c r="H4486" s="1463"/>
    </row>
    <row r="4487" spans="2:8" ht="18.75" hidden="1" customHeight="1" x14ac:dyDescent="0.25">
      <c r="B4487" s="441"/>
      <c r="C4487" s="2524" t="s">
        <v>2876</v>
      </c>
      <c r="D4487" s="4066">
        <v>380000000</v>
      </c>
      <c r="E4487" s="3216">
        <v>380000000</v>
      </c>
      <c r="F4487" s="4066">
        <f t="shared" ref="F4487" si="369">E4487/D4487*100</f>
        <v>100</v>
      </c>
      <c r="G4487" s="3216">
        <v>100</v>
      </c>
      <c r="H4487" s="1463"/>
    </row>
    <row r="4488" spans="2:8" ht="12" hidden="1" customHeight="1" x14ac:dyDescent="0.25">
      <c r="B4488" s="441"/>
      <c r="C4488" s="2524"/>
      <c r="D4488" s="4276"/>
      <c r="E4488" s="3874"/>
      <c r="F4488" s="2690"/>
      <c r="G4488" s="3035"/>
      <c r="H4488" s="1463"/>
    </row>
    <row r="4489" spans="2:8" ht="19.5" customHeight="1" x14ac:dyDescent="0.25">
      <c r="B4489" s="441"/>
      <c r="C4489" s="3674" t="s">
        <v>3143</v>
      </c>
      <c r="D4489" s="4065">
        <f>D4490</f>
        <v>348500000</v>
      </c>
      <c r="E4489" s="3116">
        <f>E4490</f>
        <v>348500000</v>
      </c>
      <c r="F4489" s="2695">
        <f t="shared" ref="F4489" si="370">SUM(E4489/D4489*100)</f>
        <v>100</v>
      </c>
      <c r="G4489" s="2695">
        <f>G4490</f>
        <v>100</v>
      </c>
      <c r="H4489" s="1463"/>
    </row>
    <row r="4490" spans="2:8" ht="15" hidden="1" customHeight="1" x14ac:dyDescent="0.25">
      <c r="B4490" s="441"/>
      <c r="C4490" s="3672" t="s">
        <v>3134</v>
      </c>
      <c r="D4490" s="4066">
        <v>348500000</v>
      </c>
      <c r="E4490" s="4066">
        <v>348500000</v>
      </c>
      <c r="F4490" s="4066">
        <f t="shared" ref="F4490" si="371">E4490/D4490*100</f>
        <v>100</v>
      </c>
      <c r="G4490" s="4066">
        <v>100</v>
      </c>
      <c r="H4490" s="1463"/>
    </row>
    <row r="4491" spans="2:8" ht="13.5" hidden="1" customHeight="1" x14ac:dyDescent="0.25">
      <c r="B4491" s="444"/>
      <c r="C4491" s="2527"/>
      <c r="D4491" s="4276"/>
      <c r="E4491" s="3035"/>
      <c r="F4491" s="2690"/>
      <c r="G4491" s="3035"/>
      <c r="H4491" s="1463"/>
    </row>
    <row r="4492" spans="2:8" ht="15.75" customHeight="1" x14ac:dyDescent="0.25">
      <c r="B4492" s="441"/>
      <c r="C4492" s="2525" t="s">
        <v>3144</v>
      </c>
      <c r="D4492" s="4065">
        <f>SUM(D4493:D4497)</f>
        <v>1429400000</v>
      </c>
      <c r="E4492" s="2695">
        <f>SUM(E4493:E4497)</f>
        <v>1162400000</v>
      </c>
      <c r="F4492" s="2695">
        <f t="shared" ref="F4492" si="372">SUM(E4492/D4492*100)</f>
        <v>81.320833916328525</v>
      </c>
      <c r="G4492" s="2695">
        <f>SUM(G4493:G4497)/5</f>
        <v>80</v>
      </c>
      <c r="H4492" s="1463"/>
    </row>
    <row r="4493" spans="2:8" ht="15.75" hidden="1" customHeight="1" x14ac:dyDescent="0.25">
      <c r="B4493" s="441"/>
      <c r="C4493" s="2524" t="s">
        <v>3145</v>
      </c>
      <c r="D4493" s="4066">
        <v>267000000</v>
      </c>
      <c r="E4493" s="3216">
        <v>0</v>
      </c>
      <c r="F4493" s="3216">
        <v>0</v>
      </c>
      <c r="G4493" s="3216">
        <v>0</v>
      </c>
      <c r="H4493" s="1463"/>
    </row>
    <row r="4494" spans="2:8" ht="15" hidden="1" customHeight="1" x14ac:dyDescent="0.25">
      <c r="B4494" s="441"/>
      <c r="C4494" s="2524" t="s">
        <v>3146</v>
      </c>
      <c r="D4494" s="4066">
        <v>397500000</v>
      </c>
      <c r="E4494" s="4066">
        <v>397500000</v>
      </c>
      <c r="F4494" s="4066">
        <f t="shared" ref="F4494:F4497" si="373">E4494/D4494*100</f>
        <v>100</v>
      </c>
      <c r="G4494" s="4066">
        <v>100</v>
      </c>
      <c r="H4494" s="1463"/>
    </row>
    <row r="4495" spans="2:8" ht="15" hidden="1" customHeight="1" x14ac:dyDescent="0.25">
      <c r="B4495" s="441"/>
      <c r="C4495" s="2524" t="s">
        <v>3147</v>
      </c>
      <c r="D4495" s="4066">
        <v>250000000</v>
      </c>
      <c r="E4495" s="3216">
        <v>250000000</v>
      </c>
      <c r="F4495" s="4066">
        <f t="shared" si="373"/>
        <v>100</v>
      </c>
      <c r="G4495" s="4066">
        <v>100</v>
      </c>
      <c r="H4495" s="1463"/>
    </row>
    <row r="4496" spans="2:8" ht="15" hidden="1" customHeight="1" x14ac:dyDescent="0.25">
      <c r="B4496" s="441"/>
      <c r="C4496" s="2524" t="s">
        <v>3148</v>
      </c>
      <c r="D4496" s="4066">
        <v>480000000</v>
      </c>
      <c r="E4496" s="4066">
        <v>480000000</v>
      </c>
      <c r="F4496" s="4066">
        <f t="shared" si="373"/>
        <v>100</v>
      </c>
      <c r="G4496" s="4066">
        <v>100</v>
      </c>
      <c r="H4496" s="1463"/>
    </row>
    <row r="4497" spans="1:11" ht="15.75" hidden="1" customHeight="1" x14ac:dyDescent="0.25">
      <c r="B4497" s="441"/>
      <c r="C4497" s="2524" t="s">
        <v>3149</v>
      </c>
      <c r="D4497" s="4066">
        <v>34900000</v>
      </c>
      <c r="E4497" s="4066">
        <v>34900000</v>
      </c>
      <c r="F4497" s="4066">
        <f t="shared" si="373"/>
        <v>100</v>
      </c>
      <c r="G4497" s="4066">
        <v>100</v>
      </c>
      <c r="H4497" s="1463"/>
    </row>
    <row r="4498" spans="1:11" ht="13.5" hidden="1" customHeight="1" x14ac:dyDescent="0.25">
      <c r="B4498" s="441"/>
      <c r="C4498" s="2533"/>
      <c r="D4498" s="4285"/>
      <c r="E4498" s="2778"/>
      <c r="F4498" s="2710"/>
      <c r="G4498" s="2778"/>
      <c r="H4498" s="1463"/>
    </row>
    <row r="4499" spans="1:11" ht="15.75" customHeight="1" x14ac:dyDescent="0.25">
      <c r="B4499" s="440"/>
      <c r="C4499" s="2532" t="s">
        <v>2877</v>
      </c>
      <c r="D4499" s="4106">
        <f>D4500</f>
        <v>600000000</v>
      </c>
      <c r="E4499" s="4041">
        <f>E4500</f>
        <v>600000000</v>
      </c>
      <c r="F4499" s="2672">
        <f>E4499/D4499*100</f>
        <v>100</v>
      </c>
      <c r="G4499" s="2672">
        <f>G4500/1</f>
        <v>100</v>
      </c>
      <c r="H4499" s="1462"/>
    </row>
    <row r="4500" spans="1:11" ht="16.5" customHeight="1" x14ac:dyDescent="0.25">
      <c r="B4500" s="441"/>
      <c r="C4500" s="2538" t="s">
        <v>2878</v>
      </c>
      <c r="D4500" s="4072">
        <f>D4501</f>
        <v>600000000</v>
      </c>
      <c r="E4500" s="2734">
        <f>E4501</f>
        <v>600000000</v>
      </c>
      <c r="F4500" s="4065">
        <f t="shared" ref="F4500:F4501" si="374">E4500/D4500*100</f>
        <v>100</v>
      </c>
      <c r="G4500" s="2734">
        <f>G4501</f>
        <v>100</v>
      </c>
      <c r="H4500" s="1463"/>
    </row>
    <row r="4501" spans="1:11" ht="13.5" hidden="1" customHeight="1" x14ac:dyDescent="0.25">
      <c r="B4501" s="441"/>
      <c r="C4501" s="2524" t="s">
        <v>2879</v>
      </c>
      <c r="D4501" s="4066">
        <v>600000000</v>
      </c>
      <c r="E4501" s="4066">
        <v>600000000</v>
      </c>
      <c r="F4501" s="4066">
        <f t="shared" si="374"/>
        <v>100</v>
      </c>
      <c r="G4501" s="4066">
        <v>100</v>
      </c>
      <c r="H4501" s="1463"/>
    </row>
    <row r="4502" spans="1:11" ht="15.75" hidden="1" customHeight="1" x14ac:dyDescent="0.25">
      <c r="B4502" s="441"/>
      <c r="C4502" s="2533"/>
      <c r="D4502" s="4285"/>
      <c r="E4502" s="2778"/>
      <c r="F4502" s="2710"/>
      <c r="G4502" s="2778"/>
      <c r="H4502" s="1463"/>
    </row>
    <row r="4503" spans="1:11" ht="20.25" customHeight="1" x14ac:dyDescent="0.25">
      <c r="B4503" s="440"/>
      <c r="C4503" s="2532" t="s">
        <v>2880</v>
      </c>
      <c r="D4503" s="4106">
        <f>D4504</f>
        <v>400000000</v>
      </c>
      <c r="E4503" s="4041">
        <f>E4504</f>
        <v>400000000</v>
      </c>
      <c r="F4503" s="2672">
        <f>F4504</f>
        <v>100</v>
      </c>
      <c r="G4503" s="2672">
        <f>G4504/1</f>
        <v>100</v>
      </c>
      <c r="H4503" s="1463"/>
    </row>
    <row r="4504" spans="1:11" ht="16.5" customHeight="1" x14ac:dyDescent="0.25">
      <c r="B4504" s="441"/>
      <c r="C4504" s="2538" t="s">
        <v>2881</v>
      </c>
      <c r="D4504" s="4072">
        <f>D4505</f>
        <v>400000000</v>
      </c>
      <c r="E4504" s="4042">
        <f>E4505</f>
        <v>400000000</v>
      </c>
      <c r="F4504" s="4065">
        <f t="shared" ref="F4504:F4505" si="375">E4504/D4504*100</f>
        <v>100</v>
      </c>
      <c r="G4504" s="2734">
        <f>G4505</f>
        <v>100</v>
      </c>
      <c r="H4504" s="1463"/>
    </row>
    <row r="4505" spans="1:11" ht="13.5" hidden="1" customHeight="1" x14ac:dyDescent="0.25">
      <c r="B4505" s="441"/>
      <c r="C4505" s="2524" t="s">
        <v>2882</v>
      </c>
      <c r="D4505" s="4066">
        <v>400000000</v>
      </c>
      <c r="E4505" s="4066">
        <v>400000000</v>
      </c>
      <c r="F4505" s="4066">
        <f t="shared" si="375"/>
        <v>100</v>
      </c>
      <c r="G4505" s="4066">
        <v>100</v>
      </c>
      <c r="H4505" s="1463"/>
    </row>
    <row r="4506" spans="1:11" ht="15.75" hidden="1" customHeight="1" x14ac:dyDescent="0.25">
      <c r="B4506" s="441"/>
      <c r="C4506" s="2533"/>
      <c r="D4506" s="4285"/>
      <c r="E4506" s="2778"/>
      <c r="F4506" s="2710"/>
      <c r="G4506" s="2778"/>
      <c r="H4506" s="1463"/>
    </row>
    <row r="4507" spans="1:11" ht="15.75" customHeight="1" x14ac:dyDescent="0.25">
      <c r="B4507" s="440"/>
      <c r="C4507" s="2532" t="s">
        <v>2883</v>
      </c>
      <c r="D4507" s="4106">
        <f>D4508</f>
        <v>800000000</v>
      </c>
      <c r="E4507" s="4041">
        <f>E4508</f>
        <v>800000000</v>
      </c>
      <c r="F4507" s="2672">
        <f>F4508</f>
        <v>100</v>
      </c>
      <c r="G4507" s="2672">
        <f>G4508</f>
        <v>100</v>
      </c>
      <c r="H4507" s="1463"/>
    </row>
    <row r="4508" spans="1:11" ht="18.75" customHeight="1" x14ac:dyDescent="0.25">
      <c r="B4508" s="441"/>
      <c r="C4508" s="2538" t="s">
        <v>2884</v>
      </c>
      <c r="D4508" s="4072">
        <f>D4509</f>
        <v>800000000</v>
      </c>
      <c r="E4508" s="4042">
        <f>E4509</f>
        <v>800000000</v>
      </c>
      <c r="F4508" s="4065">
        <f t="shared" ref="F4508:F4509" si="376">E4508/D4508*100</f>
        <v>100</v>
      </c>
      <c r="G4508" s="2734">
        <f>G4509</f>
        <v>100</v>
      </c>
      <c r="H4508" s="1463"/>
    </row>
    <row r="4509" spans="1:11" ht="19.5" hidden="1" customHeight="1" x14ac:dyDescent="0.25">
      <c r="B4509" s="441"/>
      <c r="C4509" s="2524" t="s">
        <v>3086</v>
      </c>
      <c r="D4509" s="4066">
        <v>800000000</v>
      </c>
      <c r="E4509" s="4066">
        <v>800000000</v>
      </c>
      <c r="F4509" s="4066">
        <f t="shared" si="376"/>
        <v>100</v>
      </c>
      <c r="G4509" s="4066">
        <v>100</v>
      </c>
      <c r="H4509" s="1463"/>
    </row>
    <row r="4510" spans="1:11" ht="17.25" hidden="1" customHeight="1" x14ac:dyDescent="0.25">
      <c r="B4510" s="441"/>
      <c r="C4510" s="2533"/>
      <c r="D4510" s="4285"/>
      <c r="E4510" s="2778"/>
      <c r="F4510" s="2710"/>
      <c r="G4510" s="2778"/>
      <c r="H4510" s="1463"/>
    </row>
    <row r="4511" spans="1:11" s="32" customFormat="1" ht="15.75" customHeight="1" x14ac:dyDescent="0.25">
      <c r="A4511" s="1"/>
      <c r="B4511" s="440"/>
      <c r="C4511" s="2532" t="s">
        <v>2885</v>
      </c>
      <c r="D4511" s="4106">
        <f>D4512</f>
        <v>550000000</v>
      </c>
      <c r="E4511" s="4041">
        <f>E4512</f>
        <v>550000000</v>
      </c>
      <c r="F4511" s="2672">
        <f>F4512</f>
        <v>100</v>
      </c>
      <c r="G4511" s="2672">
        <f>G4512</f>
        <v>100</v>
      </c>
      <c r="H4511" s="1462"/>
      <c r="J4511" s="1208"/>
      <c r="K4511" s="1208"/>
    </row>
    <row r="4512" spans="1:11" s="32" customFormat="1" ht="16.5" customHeight="1" x14ac:dyDescent="0.25">
      <c r="A4512" s="1"/>
      <c r="B4512" s="441"/>
      <c r="C4512" s="2538" t="s">
        <v>2886</v>
      </c>
      <c r="D4512" s="4072">
        <f>D4513</f>
        <v>550000000</v>
      </c>
      <c r="E4512" s="4042">
        <f>E4513</f>
        <v>550000000</v>
      </c>
      <c r="F4512" s="4065">
        <f t="shared" ref="F4512:F4513" si="377">E4512/D4512*100</f>
        <v>100</v>
      </c>
      <c r="G4512" s="2734">
        <f>G4513</f>
        <v>100</v>
      </c>
      <c r="H4512" s="1462"/>
      <c r="J4512" s="1208"/>
      <c r="K4512" s="1208"/>
    </row>
    <row r="4513" spans="1:11" ht="17.25" hidden="1" customHeight="1" x14ac:dyDescent="0.25">
      <c r="B4513" s="441"/>
      <c r="C4513" s="2524" t="s">
        <v>2887</v>
      </c>
      <c r="D4513" s="4066">
        <v>550000000</v>
      </c>
      <c r="E4513" s="4066">
        <v>550000000</v>
      </c>
      <c r="F4513" s="4066">
        <f t="shared" si="377"/>
        <v>100</v>
      </c>
      <c r="G4513" s="4066">
        <v>100</v>
      </c>
      <c r="H4513" s="1463"/>
    </row>
    <row r="4514" spans="1:11" ht="16.5" hidden="1" customHeight="1" x14ac:dyDescent="0.25">
      <c r="B4514" s="441"/>
      <c r="C4514" s="2533"/>
      <c r="D4514" s="4285"/>
      <c r="E4514" s="2778"/>
      <c r="F4514" s="2710"/>
      <c r="G4514" s="2778"/>
      <c r="H4514" s="1463"/>
    </row>
    <row r="4515" spans="1:11" s="32" customFormat="1" ht="16.5" customHeight="1" x14ac:dyDescent="0.25">
      <c r="A4515" s="1"/>
      <c r="B4515" s="440"/>
      <c r="C4515" s="2532" t="s">
        <v>2888</v>
      </c>
      <c r="D4515" s="4106">
        <f>D4516</f>
        <v>500000000</v>
      </c>
      <c r="E4515" s="4041">
        <f>E4516</f>
        <v>500000000</v>
      </c>
      <c r="F4515" s="2672">
        <f>F4516</f>
        <v>100</v>
      </c>
      <c r="G4515" s="2672">
        <f>G4516</f>
        <v>100</v>
      </c>
      <c r="H4515" s="1462"/>
      <c r="J4515" s="1208"/>
      <c r="K4515" s="1208"/>
    </row>
    <row r="4516" spans="1:11" s="32" customFormat="1" ht="15.75" customHeight="1" x14ac:dyDescent="0.25">
      <c r="A4516" s="1"/>
      <c r="B4516" s="441"/>
      <c r="C4516" s="2538" t="s">
        <v>2889</v>
      </c>
      <c r="D4516" s="4072">
        <f>D4517</f>
        <v>500000000</v>
      </c>
      <c r="E4516" s="4042">
        <f>E4517</f>
        <v>500000000</v>
      </c>
      <c r="F4516" s="4065">
        <f t="shared" ref="F4516:F4517" si="378">E4516/D4516*100</f>
        <v>100</v>
      </c>
      <c r="G4516" s="2734">
        <f>G4517</f>
        <v>100</v>
      </c>
      <c r="H4516" s="1462"/>
      <c r="J4516" s="1208"/>
      <c r="K4516" s="1208"/>
    </row>
    <row r="4517" spans="1:11" ht="24" hidden="1" customHeight="1" x14ac:dyDescent="0.25">
      <c r="B4517" s="441"/>
      <c r="C4517" s="2524" t="s">
        <v>2890</v>
      </c>
      <c r="D4517" s="4066">
        <v>500000000</v>
      </c>
      <c r="E4517" s="4066">
        <v>500000000</v>
      </c>
      <c r="F4517" s="4066">
        <f t="shared" si="378"/>
        <v>100</v>
      </c>
      <c r="G4517" s="4066">
        <v>100</v>
      </c>
      <c r="H4517" s="1463"/>
    </row>
    <row r="4518" spans="1:11" ht="12.75" hidden="1" customHeight="1" x14ac:dyDescent="0.25">
      <c r="B4518" s="441"/>
      <c r="C4518" s="2533"/>
      <c r="D4518" s="4285"/>
      <c r="E4518" s="2778"/>
      <c r="F4518" s="2710"/>
      <c r="G4518" s="2778"/>
      <c r="H4518" s="1463"/>
    </row>
    <row r="4519" spans="1:11" s="32" customFormat="1" ht="15.75" customHeight="1" x14ac:dyDescent="0.25">
      <c r="A4519" s="1"/>
      <c r="B4519" s="440"/>
      <c r="C4519" s="2532" t="s">
        <v>2891</v>
      </c>
      <c r="D4519" s="4106">
        <f>D4520</f>
        <v>700000000</v>
      </c>
      <c r="E4519" s="4041">
        <f>E4520</f>
        <v>699920625</v>
      </c>
      <c r="F4519" s="2672">
        <f>F4520</f>
        <v>99.988660714285714</v>
      </c>
      <c r="G4519" s="2672">
        <f>G4520</f>
        <v>100</v>
      </c>
      <c r="H4519" s="1462"/>
      <c r="J4519" s="1208"/>
      <c r="K4519" s="1208"/>
    </row>
    <row r="4520" spans="1:11" s="32" customFormat="1" ht="13.5" customHeight="1" x14ac:dyDescent="0.25">
      <c r="A4520" s="1"/>
      <c r="B4520" s="441"/>
      <c r="C4520" s="2538" t="s">
        <v>2892</v>
      </c>
      <c r="D4520" s="4072">
        <f>D4521</f>
        <v>700000000</v>
      </c>
      <c r="E4520" s="4042">
        <f>E4521</f>
        <v>699920625</v>
      </c>
      <c r="F4520" s="4065">
        <f t="shared" ref="F4520:F4521" si="379">E4520/D4520*100</f>
        <v>99.988660714285714</v>
      </c>
      <c r="G4520" s="2734">
        <f>G4521</f>
        <v>100</v>
      </c>
      <c r="H4520" s="1462"/>
      <c r="J4520" s="1208"/>
      <c r="K4520" s="1208"/>
    </row>
    <row r="4521" spans="1:11" ht="18.75" hidden="1" customHeight="1" x14ac:dyDescent="0.25">
      <c r="B4521" s="441"/>
      <c r="C4521" s="2524" t="s">
        <v>2893</v>
      </c>
      <c r="D4521" s="4066">
        <v>700000000</v>
      </c>
      <c r="E4521" s="4066">
        <v>699920625</v>
      </c>
      <c r="F4521" s="4066">
        <f t="shared" si="379"/>
        <v>99.988660714285714</v>
      </c>
      <c r="G4521" s="4066">
        <v>100</v>
      </c>
      <c r="H4521" s="1463"/>
    </row>
    <row r="4522" spans="1:11" ht="12.75" hidden="1" customHeight="1" x14ac:dyDescent="0.25">
      <c r="B4522" s="441"/>
      <c r="C4522" s="2533"/>
      <c r="D4522" s="4285"/>
      <c r="E4522" s="2778"/>
      <c r="F4522" s="2710"/>
      <c r="G4522" s="2778"/>
      <c r="H4522" s="1463"/>
    </row>
    <row r="4523" spans="1:11" s="32" customFormat="1" ht="18" customHeight="1" x14ac:dyDescent="0.25">
      <c r="A4523" s="1"/>
      <c r="B4523" s="440"/>
      <c r="C4523" s="2532" t="s">
        <v>2894</v>
      </c>
      <c r="D4523" s="4106">
        <f>D4524</f>
        <v>300000000</v>
      </c>
      <c r="E4523" s="4041">
        <f>E4524</f>
        <v>300000000</v>
      </c>
      <c r="F4523" s="2672">
        <f>F4524</f>
        <v>100</v>
      </c>
      <c r="G4523" s="2672">
        <f>G4524</f>
        <v>100</v>
      </c>
      <c r="H4523" s="1462"/>
      <c r="J4523" s="1208"/>
      <c r="K4523" s="1208"/>
    </row>
    <row r="4524" spans="1:11" s="32" customFormat="1" ht="16.5" customHeight="1" x14ac:dyDescent="0.25">
      <c r="A4524" s="1"/>
      <c r="B4524" s="441"/>
      <c r="C4524" s="2538" t="s">
        <v>2895</v>
      </c>
      <c r="D4524" s="4072">
        <f>D4525</f>
        <v>300000000</v>
      </c>
      <c r="E4524" s="4042">
        <f>E4525</f>
        <v>300000000</v>
      </c>
      <c r="F4524" s="4065">
        <f t="shared" ref="F4524:F4525" si="380">E4524/D4524*100</f>
        <v>100</v>
      </c>
      <c r="G4524" s="2734">
        <f>G4525</f>
        <v>100</v>
      </c>
      <c r="H4524" s="1462"/>
      <c r="J4524" s="1208"/>
      <c r="K4524" s="1208"/>
    </row>
    <row r="4525" spans="1:11" ht="13.5" hidden="1" customHeight="1" x14ac:dyDescent="0.25">
      <c r="B4525" s="441"/>
      <c r="C4525" s="2524" t="s">
        <v>2896</v>
      </c>
      <c r="D4525" s="4066">
        <v>300000000</v>
      </c>
      <c r="E4525" s="4066">
        <v>300000000</v>
      </c>
      <c r="F4525" s="4066">
        <f t="shared" si="380"/>
        <v>100</v>
      </c>
      <c r="G4525" s="4066">
        <v>100</v>
      </c>
      <c r="H4525" s="1463"/>
    </row>
    <row r="4526" spans="1:11" ht="13.5" hidden="1" customHeight="1" x14ac:dyDescent="0.25">
      <c r="B4526" s="441"/>
      <c r="C4526" s="2533"/>
      <c r="D4526" s="4285"/>
      <c r="E4526" s="2778"/>
      <c r="F4526" s="2710"/>
      <c r="G4526" s="2778"/>
      <c r="H4526" s="1463"/>
    </row>
    <row r="4527" spans="1:11" s="32" customFormat="1" ht="17.25" customHeight="1" x14ac:dyDescent="0.25">
      <c r="A4527" s="1"/>
      <c r="B4527" s="440"/>
      <c r="C4527" s="2532" t="s">
        <v>2897</v>
      </c>
      <c r="D4527" s="4106">
        <f>D4528</f>
        <v>400000000</v>
      </c>
      <c r="E4527" s="4041">
        <f>E4528</f>
        <v>400000000</v>
      </c>
      <c r="F4527" s="2672">
        <f>F4528</f>
        <v>100</v>
      </c>
      <c r="G4527" s="2672">
        <f>G4528</f>
        <v>100</v>
      </c>
      <c r="H4527" s="1462"/>
      <c r="J4527" s="1208"/>
      <c r="K4527" s="1208"/>
    </row>
    <row r="4528" spans="1:11" s="32" customFormat="1" ht="18.75" customHeight="1" x14ac:dyDescent="0.25">
      <c r="A4528" s="1"/>
      <c r="B4528" s="441"/>
      <c r="C4528" s="2538" t="s">
        <v>2898</v>
      </c>
      <c r="D4528" s="4072">
        <f>D4529</f>
        <v>400000000</v>
      </c>
      <c r="E4528" s="4042">
        <f>E4529</f>
        <v>400000000</v>
      </c>
      <c r="F4528" s="4065">
        <f t="shared" ref="F4528:F4529" si="381">E4528/D4528*100</f>
        <v>100</v>
      </c>
      <c r="G4528" s="2734">
        <f>G4529</f>
        <v>100</v>
      </c>
      <c r="H4528" s="1462"/>
      <c r="J4528" s="1208"/>
      <c r="K4528" s="1208"/>
    </row>
    <row r="4529" spans="1:11" ht="13.5" hidden="1" customHeight="1" x14ac:dyDescent="0.25">
      <c r="B4529" s="441"/>
      <c r="C4529" s="2524" t="s">
        <v>2899</v>
      </c>
      <c r="D4529" s="4066">
        <v>400000000</v>
      </c>
      <c r="E4529" s="4066">
        <v>400000000</v>
      </c>
      <c r="F4529" s="4066">
        <f t="shared" si="381"/>
        <v>100</v>
      </c>
      <c r="G4529" s="4066">
        <v>100</v>
      </c>
      <c r="H4529" s="1463"/>
    </row>
    <row r="4530" spans="1:11" ht="13.5" hidden="1" customHeight="1" x14ac:dyDescent="0.25">
      <c r="B4530" s="441"/>
      <c r="C4530" s="2533"/>
      <c r="D4530" s="4285"/>
      <c r="E4530" s="2778"/>
      <c r="F4530" s="2710"/>
      <c r="G4530" s="2778"/>
      <c r="H4530" s="1463"/>
    </row>
    <row r="4531" spans="1:11" s="32" customFormat="1" ht="16.5" customHeight="1" x14ac:dyDescent="0.25">
      <c r="A4531" s="1"/>
      <c r="B4531" s="440"/>
      <c r="C4531" s="2532" t="s">
        <v>2900</v>
      </c>
      <c r="D4531" s="4106">
        <f>D4532</f>
        <v>380000000</v>
      </c>
      <c r="E4531" s="4041">
        <f>E4532</f>
        <v>380000000</v>
      </c>
      <c r="F4531" s="2672">
        <f>E4531/D4531*100</f>
        <v>100</v>
      </c>
      <c r="G4531" s="2672">
        <f>G4532</f>
        <v>100</v>
      </c>
      <c r="H4531" s="1462"/>
      <c r="J4531" s="1208"/>
      <c r="K4531" s="1208"/>
    </row>
    <row r="4532" spans="1:11" s="32" customFormat="1" ht="18" customHeight="1" x14ac:dyDescent="0.25">
      <c r="A4532" s="1"/>
      <c r="B4532" s="441"/>
      <c r="C4532" s="2538" t="s">
        <v>2901</v>
      </c>
      <c r="D4532" s="4072">
        <f>D4533</f>
        <v>380000000</v>
      </c>
      <c r="E4532" s="4042">
        <f>E4533</f>
        <v>380000000</v>
      </c>
      <c r="F4532" s="4065">
        <f t="shared" ref="F4532:F4533" si="382">E4532/D4532*100</f>
        <v>100</v>
      </c>
      <c r="G4532" s="2734">
        <f>G4533</f>
        <v>100</v>
      </c>
      <c r="H4532" s="1462"/>
      <c r="J4532" s="1208"/>
      <c r="K4532" s="1208"/>
    </row>
    <row r="4533" spans="1:11" ht="21" hidden="1" customHeight="1" x14ac:dyDescent="0.25">
      <c r="B4533" s="441"/>
      <c r="C4533" s="2524" t="s">
        <v>2902</v>
      </c>
      <c r="D4533" s="4066">
        <v>380000000</v>
      </c>
      <c r="E4533" s="4066">
        <v>380000000</v>
      </c>
      <c r="F4533" s="4066">
        <f t="shared" si="382"/>
        <v>100</v>
      </c>
      <c r="G4533" s="4066">
        <v>100</v>
      </c>
      <c r="H4533" s="1463"/>
    </row>
    <row r="4534" spans="1:11" ht="12.75" hidden="1" customHeight="1" x14ac:dyDescent="0.25">
      <c r="B4534" s="441"/>
      <c r="C4534" s="2533"/>
      <c r="D4534" s="4285"/>
      <c r="E4534" s="2778"/>
      <c r="F4534" s="2710"/>
      <c r="G4534" s="2778"/>
      <c r="H4534" s="1463"/>
    </row>
    <row r="4535" spans="1:11" s="32" customFormat="1" ht="20.25" customHeight="1" x14ac:dyDescent="0.25">
      <c r="A4535" s="1"/>
      <c r="B4535" s="440"/>
      <c r="C4535" s="2532" t="s">
        <v>2903</v>
      </c>
      <c r="D4535" s="4106">
        <f>D4536</f>
        <v>400000000</v>
      </c>
      <c r="E4535" s="4041">
        <f>E4536</f>
        <v>400000000</v>
      </c>
      <c r="F4535" s="2672">
        <f>E4535/D4535*100</f>
        <v>100</v>
      </c>
      <c r="G4535" s="2672">
        <f>G4536</f>
        <v>100</v>
      </c>
      <c r="H4535" s="1462"/>
      <c r="J4535" s="1208"/>
      <c r="K4535" s="1208"/>
    </row>
    <row r="4536" spans="1:11" s="32" customFormat="1" ht="15.75" customHeight="1" x14ac:dyDescent="0.25">
      <c r="A4536" s="1"/>
      <c r="B4536" s="441"/>
      <c r="C4536" s="2538" t="s">
        <v>2904</v>
      </c>
      <c r="D4536" s="4072">
        <f>D4537</f>
        <v>400000000</v>
      </c>
      <c r="E4536" s="4042">
        <f>E4537</f>
        <v>400000000</v>
      </c>
      <c r="F4536" s="4065">
        <f t="shared" ref="F4536:F4537" si="383">E4536/D4536*100</f>
        <v>100</v>
      </c>
      <c r="G4536" s="2734">
        <f>G4537</f>
        <v>100</v>
      </c>
      <c r="H4536" s="1462"/>
      <c r="J4536" s="1208"/>
      <c r="K4536" s="1208"/>
    </row>
    <row r="4537" spans="1:11" s="196" customFormat="1" ht="16.5" hidden="1" customHeight="1" x14ac:dyDescent="0.25">
      <c r="A4537" s="12"/>
      <c r="B4537" s="448"/>
      <c r="C4537" s="2524" t="s">
        <v>2905</v>
      </c>
      <c r="D4537" s="4066">
        <v>400000000</v>
      </c>
      <c r="E4537" s="4066">
        <v>400000000</v>
      </c>
      <c r="F4537" s="4066">
        <f t="shared" si="383"/>
        <v>100</v>
      </c>
      <c r="G4537" s="4066">
        <v>100</v>
      </c>
      <c r="H4537" s="3715"/>
      <c r="J4537" s="1212"/>
      <c r="K4537" s="1212"/>
    </row>
    <row r="4538" spans="1:11" s="196" customFormat="1" ht="15" hidden="1" customHeight="1" x14ac:dyDescent="0.25">
      <c r="A4538" s="12"/>
      <c r="B4538" s="448"/>
      <c r="C4538" s="2533"/>
      <c r="D4538" s="4071"/>
      <c r="E4538" s="2710"/>
      <c r="F4538" s="2710"/>
      <c r="G4538" s="2710"/>
      <c r="H4538" s="3715"/>
      <c r="J4538" s="1212"/>
      <c r="K4538" s="1212"/>
    </row>
    <row r="4539" spans="1:11" s="32" customFormat="1" ht="18" customHeight="1" x14ac:dyDescent="0.25">
      <c r="A4539" s="1"/>
      <c r="B4539" s="440"/>
      <c r="C4539" s="2532" t="s">
        <v>2906</v>
      </c>
      <c r="D4539" s="4106">
        <f>D4540</f>
        <v>335000000</v>
      </c>
      <c r="E4539" s="4041">
        <f>E4540</f>
        <v>335000000</v>
      </c>
      <c r="F4539" s="2672">
        <f>E4539/D4539*100</f>
        <v>100</v>
      </c>
      <c r="G4539" s="2672">
        <f>G4540</f>
        <v>100</v>
      </c>
      <c r="H4539" s="1462"/>
      <c r="J4539" s="1208"/>
      <c r="K4539" s="1208"/>
    </row>
    <row r="4540" spans="1:11" s="32" customFormat="1" ht="16.5" customHeight="1" x14ac:dyDescent="0.25">
      <c r="A4540" s="1"/>
      <c r="B4540" s="441"/>
      <c r="C4540" s="2538" t="s">
        <v>2907</v>
      </c>
      <c r="D4540" s="4072">
        <f>D4541</f>
        <v>335000000</v>
      </c>
      <c r="E4540" s="4042">
        <f>E4541</f>
        <v>335000000</v>
      </c>
      <c r="F4540" s="4065">
        <f t="shared" ref="F4540:F4541" si="384">E4540/D4540*100</f>
        <v>100</v>
      </c>
      <c r="G4540" s="2734">
        <f>G4541</f>
        <v>100</v>
      </c>
      <c r="H4540" s="1462"/>
      <c r="J4540" s="1208"/>
      <c r="K4540" s="1208"/>
    </row>
    <row r="4541" spans="1:11" s="196" customFormat="1" ht="15.75" hidden="1" customHeight="1" x14ac:dyDescent="0.25">
      <c r="A4541" s="12"/>
      <c r="B4541" s="448"/>
      <c r="C4541" s="2524" t="s">
        <v>2908</v>
      </c>
      <c r="D4541" s="4066">
        <v>335000000</v>
      </c>
      <c r="E4541" s="4066">
        <v>335000000</v>
      </c>
      <c r="F4541" s="4066">
        <f t="shared" si="384"/>
        <v>100</v>
      </c>
      <c r="G4541" s="4066">
        <v>100</v>
      </c>
      <c r="H4541" s="3715"/>
      <c r="J4541" s="1212"/>
      <c r="K4541" s="1212"/>
    </row>
    <row r="4542" spans="1:11" ht="16.5" hidden="1" customHeight="1" x14ac:dyDescent="0.25">
      <c r="B4542" s="441"/>
      <c r="C4542" s="2528"/>
      <c r="D4542" s="4299"/>
      <c r="E4542" s="2784"/>
      <c r="F4542" s="2752"/>
      <c r="G4542" s="2784"/>
      <c r="H4542" s="1463"/>
    </row>
    <row r="4543" spans="1:11" s="32" customFormat="1" ht="15.75" customHeight="1" x14ac:dyDescent="0.25">
      <c r="A4543" s="1"/>
      <c r="B4543" s="440"/>
      <c r="C4543" s="2532" t="s">
        <v>2909</v>
      </c>
      <c r="D4543" s="4106">
        <f>D4544</f>
        <v>335000000</v>
      </c>
      <c r="E4543" s="2672">
        <f>E4544</f>
        <v>335000000</v>
      </c>
      <c r="F4543" s="2672">
        <f>E4543/D4543*100</f>
        <v>100</v>
      </c>
      <c r="G4543" s="2672">
        <f>G4544</f>
        <v>100</v>
      </c>
      <c r="H4543" s="1462"/>
      <c r="J4543" s="1208"/>
      <c r="K4543" s="1208"/>
    </row>
    <row r="4544" spans="1:11" s="32" customFormat="1" ht="14.25" customHeight="1" x14ac:dyDescent="0.25">
      <c r="A4544" s="1"/>
      <c r="B4544" s="441"/>
      <c r="C4544" s="2521" t="s">
        <v>2910</v>
      </c>
      <c r="D4544" s="4305">
        <f>D4545</f>
        <v>335000000</v>
      </c>
      <c r="E4544" s="2785">
        <f>E4545</f>
        <v>335000000</v>
      </c>
      <c r="F4544" s="4065">
        <f t="shared" ref="F4544:F4545" si="385">E4544/D4544*100</f>
        <v>100</v>
      </c>
      <c r="G4544" s="2785">
        <f>G4545</f>
        <v>100</v>
      </c>
      <c r="H4544" s="1462"/>
      <c r="J4544" s="1208"/>
      <c r="K4544" s="1208"/>
    </row>
    <row r="4545" spans="1:11" s="196" customFormat="1" ht="18" hidden="1" customHeight="1" x14ac:dyDescent="0.25">
      <c r="A4545" s="12"/>
      <c r="B4545" s="448"/>
      <c r="C4545" s="2524" t="s">
        <v>2911</v>
      </c>
      <c r="D4545" s="4066">
        <v>335000000</v>
      </c>
      <c r="E4545" s="4066">
        <v>335000000</v>
      </c>
      <c r="F4545" s="4066">
        <f t="shared" si="385"/>
        <v>100</v>
      </c>
      <c r="G4545" s="4066">
        <v>100</v>
      </c>
      <c r="H4545" s="3715"/>
      <c r="J4545" s="1212"/>
      <c r="K4545" s="1212"/>
    </row>
    <row r="4546" spans="1:11" ht="16.5" hidden="1" customHeight="1" x14ac:dyDescent="0.25">
      <c r="B4546" s="441"/>
      <c r="C4546" s="2528"/>
      <c r="D4546" s="4299"/>
      <c r="E4546" s="2784"/>
      <c r="F4546" s="2752"/>
      <c r="G4546" s="2784"/>
      <c r="H4546" s="1463"/>
    </row>
    <row r="4547" spans="1:11" s="32" customFormat="1" ht="18.75" customHeight="1" x14ac:dyDescent="0.25">
      <c r="A4547" s="1"/>
      <c r="B4547" s="440"/>
      <c r="C4547" s="2532" t="s">
        <v>2912</v>
      </c>
      <c r="D4547" s="4106">
        <f>D4548</f>
        <v>300000000</v>
      </c>
      <c r="E4547" s="4041">
        <f>E4548</f>
        <v>300000000</v>
      </c>
      <c r="F4547" s="2672">
        <f>E4547/D4547*100</f>
        <v>100</v>
      </c>
      <c r="G4547" s="2672">
        <f>G4548</f>
        <v>100</v>
      </c>
      <c r="H4547" s="1462"/>
      <c r="J4547" s="1208"/>
      <c r="K4547" s="1208"/>
    </row>
    <row r="4548" spans="1:11" s="32" customFormat="1" ht="19.5" customHeight="1" x14ac:dyDescent="0.25">
      <c r="A4548" s="1"/>
      <c r="B4548" s="441"/>
      <c r="C4548" s="2521" t="s">
        <v>2913</v>
      </c>
      <c r="D4548" s="4305">
        <f>D4549</f>
        <v>300000000</v>
      </c>
      <c r="E4548" s="4120">
        <f>E4549</f>
        <v>300000000</v>
      </c>
      <c r="F4548" s="4065">
        <f t="shared" ref="F4548:F4549" si="386">E4548/D4548*100</f>
        <v>100</v>
      </c>
      <c r="G4548" s="2785">
        <f>G4549</f>
        <v>100</v>
      </c>
      <c r="H4548" s="1462"/>
      <c r="J4548" s="1208"/>
      <c r="K4548" s="1208"/>
    </row>
    <row r="4549" spans="1:11" ht="21.75" hidden="1" customHeight="1" x14ac:dyDescent="0.25">
      <c r="B4549" s="441"/>
      <c r="C4549" s="2524" t="s">
        <v>2914</v>
      </c>
      <c r="D4549" s="4066">
        <v>300000000</v>
      </c>
      <c r="E4549" s="4066">
        <v>300000000</v>
      </c>
      <c r="F4549" s="4066">
        <f t="shared" si="386"/>
        <v>100</v>
      </c>
      <c r="G4549" s="4066">
        <v>100</v>
      </c>
      <c r="H4549" s="1463"/>
    </row>
    <row r="4550" spans="1:11" ht="13.5" hidden="1" customHeight="1" x14ac:dyDescent="0.25">
      <c r="B4550" s="441"/>
      <c r="C4550" s="2528"/>
      <c r="D4550" s="4299"/>
      <c r="E4550" s="2784"/>
      <c r="F4550" s="2752"/>
      <c r="G4550" s="2784"/>
      <c r="H4550" s="1463"/>
    </row>
    <row r="4551" spans="1:11" ht="15.75" customHeight="1" x14ac:dyDescent="0.25">
      <c r="B4551" s="440"/>
      <c r="C4551" s="2497" t="s">
        <v>2915</v>
      </c>
      <c r="D4551" s="4080">
        <f>SUM(D4552+D4555)</f>
        <v>8044000000</v>
      </c>
      <c r="E4551" s="2786">
        <f>SUM(E4552+E4555)</f>
        <v>8018502884</v>
      </c>
      <c r="F4551" s="2672">
        <f>SUM(E4551/D4551)*100</f>
        <v>99.683029388363991</v>
      </c>
      <c r="G4551" s="2672">
        <f>SUM(G4552+G4555)/2</f>
        <v>99.95</v>
      </c>
      <c r="H4551" s="1463"/>
    </row>
    <row r="4552" spans="1:11" ht="20.25" customHeight="1" x14ac:dyDescent="0.25">
      <c r="B4552" s="463"/>
      <c r="C4552" s="2482" t="s">
        <v>2916</v>
      </c>
      <c r="D4552" s="4280">
        <f>D4553</f>
        <v>4376000000</v>
      </c>
      <c r="E4552" s="2722">
        <f>E4553</f>
        <v>4351840933</v>
      </c>
      <c r="F4552" s="4065">
        <f t="shared" ref="F4552:F4553" si="387">E4552/D4552*100</f>
        <v>99.447918944241323</v>
      </c>
      <c r="G4552" s="2785">
        <f>G4553</f>
        <v>99.9</v>
      </c>
      <c r="H4552" s="1463"/>
    </row>
    <row r="4553" spans="1:11" ht="15" hidden="1" customHeight="1" x14ac:dyDescent="0.25">
      <c r="B4553" s="441"/>
      <c r="C4553" s="2494" t="s">
        <v>2917</v>
      </c>
      <c r="D4553" s="4066">
        <v>4376000000</v>
      </c>
      <c r="E4553" s="4066">
        <v>4351840933</v>
      </c>
      <c r="F4553" s="4066">
        <f t="shared" si="387"/>
        <v>99.447918944241323</v>
      </c>
      <c r="G4553" s="4066">
        <v>99.9</v>
      </c>
      <c r="H4553" s="1463"/>
    </row>
    <row r="4554" spans="1:11" ht="8.25" hidden="1" customHeight="1" x14ac:dyDescent="0.25">
      <c r="B4554" s="441"/>
      <c r="C4554" s="2494"/>
      <c r="D4554" s="3704"/>
      <c r="E4554" s="3035"/>
      <c r="F4554" s="2690"/>
      <c r="G4554" s="3035"/>
      <c r="H4554" s="1463"/>
    </row>
    <row r="4555" spans="1:11" ht="30.75" customHeight="1" x14ac:dyDescent="0.25">
      <c r="B4555" s="441"/>
      <c r="C4555" s="2491" t="s">
        <v>2918</v>
      </c>
      <c r="D4555" s="4159">
        <f>SUM(D4556:D4558)</f>
        <v>3668000000</v>
      </c>
      <c r="E4555" s="3217">
        <f>SUM(E4556:E4558)</f>
        <v>3666661951</v>
      </c>
      <c r="F4555" s="2695">
        <f>E4555/D4555*100</f>
        <v>99.963521019629226</v>
      </c>
      <c r="G4555" s="2695">
        <f>SUM(G4556:G4558)/3</f>
        <v>100</v>
      </c>
      <c r="H4555" s="1463"/>
    </row>
    <row r="4556" spans="1:11" ht="15.75" hidden="1" customHeight="1" x14ac:dyDescent="0.25">
      <c r="B4556" s="441"/>
      <c r="C4556" s="2494" t="s">
        <v>2919</v>
      </c>
      <c r="D4556" s="4066">
        <v>2700000000</v>
      </c>
      <c r="E4556" s="4066">
        <v>2699299751</v>
      </c>
      <c r="F4556" s="4066">
        <f t="shared" ref="F4556:F4558" si="388">E4556/D4556*100</f>
        <v>99.97406485185185</v>
      </c>
      <c r="G4556" s="4066">
        <v>100</v>
      </c>
      <c r="H4556" s="1463"/>
    </row>
    <row r="4557" spans="1:11" ht="15.75" hidden="1" customHeight="1" x14ac:dyDescent="0.25">
      <c r="B4557" s="441"/>
      <c r="C4557" s="3672" t="s">
        <v>3796</v>
      </c>
      <c r="D4557" s="4066">
        <v>568000000</v>
      </c>
      <c r="E4557" s="4066">
        <v>567369200</v>
      </c>
      <c r="F4557" s="4066">
        <f t="shared" si="388"/>
        <v>99.888943661971837</v>
      </c>
      <c r="G4557" s="4066">
        <v>100</v>
      </c>
      <c r="H4557" s="1463"/>
    </row>
    <row r="4558" spans="1:11" ht="15.75" hidden="1" customHeight="1" x14ac:dyDescent="0.25">
      <c r="B4558" s="441"/>
      <c r="C4558" s="2494" t="s">
        <v>3795</v>
      </c>
      <c r="D4558" s="4066">
        <v>400000000</v>
      </c>
      <c r="E4558" s="3556">
        <v>399993000</v>
      </c>
      <c r="F4558" s="4066">
        <f t="shared" si="388"/>
        <v>99.998249999999999</v>
      </c>
      <c r="G4558" s="4066">
        <v>100</v>
      </c>
      <c r="H4558" s="1463"/>
    </row>
    <row r="4559" spans="1:11" ht="16.5" hidden="1" customHeight="1" x14ac:dyDescent="0.25">
      <c r="B4559" s="459"/>
      <c r="C4559" s="2506"/>
      <c r="D4559" s="4290"/>
      <c r="E4559" s="3496"/>
      <c r="F4559" s="2752"/>
      <c r="G4559" s="2784"/>
      <c r="H4559" s="1463"/>
    </row>
    <row r="4560" spans="1:11" ht="28.5" customHeight="1" x14ac:dyDescent="0.25">
      <c r="B4560" s="441"/>
      <c r="C4560" s="2497" t="s">
        <v>2920</v>
      </c>
      <c r="D4560" s="4080">
        <f>SUM(D4561+D4570+D4575)</f>
        <v>29030200000</v>
      </c>
      <c r="E4560" s="2786">
        <f>SUM(E4561+E4570+E4575)</f>
        <v>25907414200</v>
      </c>
      <c r="F4560" s="3550">
        <f>E4560/D4560*100</f>
        <v>89.242975246467466</v>
      </c>
      <c r="G4560" s="3550">
        <f>SUM(G4561+G4570+G4575)/3</f>
        <v>98.858888888888899</v>
      </c>
      <c r="H4560" s="1463"/>
    </row>
    <row r="4561" spans="2:8" ht="18.75" customHeight="1" x14ac:dyDescent="0.25">
      <c r="B4561" s="463"/>
      <c r="C4561" s="2482" t="s">
        <v>2921</v>
      </c>
      <c r="D4561" s="4280">
        <f>SUM(D4562:D4568)</f>
        <v>496200000</v>
      </c>
      <c r="E4561" s="2801">
        <f>SUM(E4562:E4568)</f>
        <v>481380000</v>
      </c>
      <c r="F4561" s="3522">
        <f>E4561/D4561*100</f>
        <v>97.01330108827085</v>
      </c>
      <c r="G4561" s="3522">
        <f>SUM(G4562:G4568)/6</f>
        <v>96.666666666666671</v>
      </c>
      <c r="H4561" s="1463"/>
    </row>
    <row r="4562" spans="2:8" ht="18.75" hidden="1" customHeight="1" x14ac:dyDescent="0.25">
      <c r="B4562" s="441"/>
      <c r="C4562" s="3672" t="s">
        <v>3797</v>
      </c>
      <c r="D4562" s="4066">
        <v>40200000</v>
      </c>
      <c r="E4562" s="3556">
        <v>27600000</v>
      </c>
      <c r="F4562" s="4066">
        <f t="shared" ref="F4562:F4563" si="389">E4562/D4562*100</f>
        <v>68.656716417910445</v>
      </c>
      <c r="G4562" s="3556">
        <v>80</v>
      </c>
      <c r="H4562" s="1463"/>
    </row>
    <row r="4563" spans="2:8" ht="18" hidden="1" customHeight="1" x14ac:dyDescent="0.25">
      <c r="B4563" s="441"/>
      <c r="C4563" s="2494" t="s">
        <v>3798</v>
      </c>
      <c r="D4563" s="4066">
        <v>344000000</v>
      </c>
      <c r="E4563" s="3556">
        <v>343200000</v>
      </c>
      <c r="F4563" s="4066">
        <f t="shared" si="389"/>
        <v>99.767441860465112</v>
      </c>
      <c r="G4563" s="3556">
        <v>100</v>
      </c>
      <c r="H4563" s="1463"/>
    </row>
    <row r="4564" spans="2:8" ht="18.75" hidden="1" customHeight="1" x14ac:dyDescent="0.25">
      <c r="B4564" s="441"/>
      <c r="C4564" s="2494" t="s">
        <v>3799</v>
      </c>
      <c r="D4564" s="4374" t="s">
        <v>3317</v>
      </c>
      <c r="E4564" s="4275" t="s">
        <v>3317</v>
      </c>
      <c r="F4564" s="4275" t="s">
        <v>3317</v>
      </c>
      <c r="G4564" s="4275" t="s">
        <v>3317</v>
      </c>
      <c r="H4564" s="1463"/>
    </row>
    <row r="4565" spans="2:8" ht="15.75" hidden="1" customHeight="1" x14ac:dyDescent="0.25">
      <c r="B4565" s="441"/>
      <c r="C4565" s="2494" t="s">
        <v>3800</v>
      </c>
      <c r="D4565" s="4066">
        <v>31500000</v>
      </c>
      <c r="E4565" s="4066">
        <v>31000000</v>
      </c>
      <c r="F4565" s="4066">
        <f t="shared" ref="F4565:F4568" si="390">E4565/D4565*100</f>
        <v>98.412698412698404</v>
      </c>
      <c r="G4565" s="4066">
        <v>100</v>
      </c>
      <c r="H4565" s="1463"/>
    </row>
    <row r="4566" spans="2:8" ht="21" hidden="1" customHeight="1" x14ac:dyDescent="0.25">
      <c r="B4566" s="441"/>
      <c r="C4566" s="2494" t="s">
        <v>3801</v>
      </c>
      <c r="D4566" s="4066">
        <v>24500000</v>
      </c>
      <c r="E4566" s="3556">
        <v>24400000</v>
      </c>
      <c r="F4566" s="4066">
        <f t="shared" si="390"/>
        <v>99.591836734693871</v>
      </c>
      <c r="G4566" s="4066">
        <v>100</v>
      </c>
      <c r="H4566" s="1463"/>
    </row>
    <row r="4567" spans="2:8" ht="16.5" hidden="1" customHeight="1" x14ac:dyDescent="0.25">
      <c r="B4567" s="441"/>
      <c r="C4567" s="2494" t="s">
        <v>3802</v>
      </c>
      <c r="D4567" s="4066">
        <v>31500000</v>
      </c>
      <c r="E4567" s="4066">
        <v>30880000</v>
      </c>
      <c r="F4567" s="4066">
        <f t="shared" si="390"/>
        <v>98.031746031746039</v>
      </c>
      <c r="G4567" s="4066">
        <v>100</v>
      </c>
      <c r="H4567" s="1463"/>
    </row>
    <row r="4568" spans="2:8" ht="18" hidden="1" customHeight="1" x14ac:dyDescent="0.25">
      <c r="B4568" s="441"/>
      <c r="C4568" s="2494" t="s">
        <v>3803</v>
      </c>
      <c r="D4568" s="4066">
        <v>24500000</v>
      </c>
      <c r="E4568" s="3556">
        <v>24300000</v>
      </c>
      <c r="F4568" s="4066">
        <f t="shared" si="390"/>
        <v>99.183673469387756</v>
      </c>
      <c r="G4568" s="4066">
        <v>100</v>
      </c>
      <c r="H4568" s="1463"/>
    </row>
    <row r="4569" spans="2:8" ht="9" hidden="1" customHeight="1" x14ac:dyDescent="0.25">
      <c r="B4569" s="441"/>
      <c r="C4569" s="2494"/>
      <c r="D4569" s="4290"/>
      <c r="E4569" s="4157"/>
      <c r="F4569" s="2685"/>
      <c r="G4569" s="2685"/>
      <c r="H4569" s="1463"/>
    </row>
    <row r="4570" spans="2:8" ht="17.25" customHeight="1" x14ac:dyDescent="0.25">
      <c r="B4570" s="441"/>
      <c r="C4570" s="2491" t="s">
        <v>2922</v>
      </c>
      <c r="D4570" s="4159">
        <f>SUM(D4571:D4573)</f>
        <v>534000000</v>
      </c>
      <c r="E4570" s="2813">
        <f>SUM(E4571:E4573)</f>
        <v>532100000</v>
      </c>
      <c r="F4570" s="2695">
        <f>E4570/D4570*100</f>
        <v>99.644194756554299</v>
      </c>
      <c r="G4570" s="2695">
        <f>SUM(G4571:G4573)/3</f>
        <v>100</v>
      </c>
      <c r="H4570" s="1463"/>
    </row>
    <row r="4571" spans="2:8" ht="15.75" hidden="1" customHeight="1" x14ac:dyDescent="0.25">
      <c r="B4571" s="441"/>
      <c r="C4571" s="2494" t="s">
        <v>2923</v>
      </c>
      <c r="D4571" s="4066">
        <v>470000000</v>
      </c>
      <c r="E4571" s="4066">
        <v>468900000</v>
      </c>
      <c r="F4571" s="4066">
        <f t="shared" ref="F4571:F4573" si="391">E4571/D4571*100</f>
        <v>99.7659574468085</v>
      </c>
      <c r="G4571" s="4066">
        <v>100</v>
      </c>
      <c r="H4571" s="1463"/>
    </row>
    <row r="4572" spans="2:8" ht="16.5" hidden="1" customHeight="1" x14ac:dyDescent="0.25">
      <c r="B4572" s="441"/>
      <c r="C4572" s="2494" t="s">
        <v>2924</v>
      </c>
      <c r="D4572" s="4066">
        <v>36000000</v>
      </c>
      <c r="E4572" s="4066">
        <v>35700000</v>
      </c>
      <c r="F4572" s="4066">
        <f t="shared" si="391"/>
        <v>99.166666666666671</v>
      </c>
      <c r="G4572" s="4066">
        <v>100</v>
      </c>
      <c r="H4572" s="1463"/>
    </row>
    <row r="4573" spans="2:8" ht="16.5" hidden="1" customHeight="1" x14ac:dyDescent="0.25">
      <c r="B4573" s="441"/>
      <c r="C4573" s="2473" t="s">
        <v>2925</v>
      </c>
      <c r="D4573" s="4066">
        <v>28000000</v>
      </c>
      <c r="E4573" s="3556">
        <v>27500000</v>
      </c>
      <c r="F4573" s="4066">
        <f t="shared" si="391"/>
        <v>98.214285714285708</v>
      </c>
      <c r="G4573" s="4066">
        <v>100</v>
      </c>
      <c r="H4573" s="1463"/>
    </row>
    <row r="4574" spans="2:8" ht="11.25" hidden="1" customHeight="1" x14ac:dyDescent="0.25">
      <c r="B4574" s="444"/>
      <c r="C4574" s="2494"/>
      <c r="D4574" s="4290"/>
      <c r="E4574" s="3035"/>
      <c r="F4574" s="3035"/>
      <c r="G4574" s="3035"/>
      <c r="H4574" s="1463"/>
    </row>
    <row r="4575" spans="2:8" ht="16.5" customHeight="1" x14ac:dyDescent="0.25">
      <c r="B4575" s="441"/>
      <c r="C4575" s="2491" t="s">
        <v>2926</v>
      </c>
      <c r="D4575" s="4159">
        <f>D4576</f>
        <v>28000000000</v>
      </c>
      <c r="E4575" s="2679">
        <f>E4576</f>
        <v>24893934200</v>
      </c>
      <c r="F4575" s="2695">
        <f>F4576</f>
        <v>88.906907857142855</v>
      </c>
      <c r="G4575" s="2695">
        <f>G4576</f>
        <v>99.91</v>
      </c>
      <c r="H4575" s="1463"/>
    </row>
    <row r="4576" spans="2:8" ht="17.25" hidden="1" customHeight="1" x14ac:dyDescent="0.25">
      <c r="B4576" s="441"/>
      <c r="C4576" s="2494" t="s">
        <v>2927</v>
      </c>
      <c r="D4576" s="4066">
        <v>28000000000</v>
      </c>
      <c r="E4576" s="4066">
        <v>24893934200</v>
      </c>
      <c r="F4576" s="4066">
        <f t="shared" ref="F4576" si="392">E4576/D4576*100</f>
        <v>88.906907857142855</v>
      </c>
      <c r="G4576" s="4066">
        <v>99.91</v>
      </c>
      <c r="H4576" s="1463"/>
    </row>
    <row r="4577" spans="2:8" ht="15.75" hidden="1" customHeight="1" x14ac:dyDescent="0.25">
      <c r="B4577" s="441"/>
      <c r="C4577" s="2506"/>
      <c r="D4577" s="4290"/>
      <c r="E4577" s="2784"/>
      <c r="F4577" s="2784"/>
      <c r="G4577" s="2784"/>
      <c r="H4577" s="1463"/>
    </row>
    <row r="4578" spans="2:8" ht="16.5" customHeight="1" x14ac:dyDescent="0.25">
      <c r="B4578" s="440"/>
      <c r="C4578" s="2497" t="s">
        <v>2928</v>
      </c>
      <c r="D4578" s="4080">
        <f>D4579</f>
        <v>500000000</v>
      </c>
      <c r="E4578" s="2719">
        <f>E4579</f>
        <v>499957200</v>
      </c>
      <c r="F4578" s="3550">
        <f>E4578/D4578*100</f>
        <v>99.991439999999997</v>
      </c>
      <c r="G4578" s="2672">
        <f>G4579</f>
        <v>100</v>
      </c>
      <c r="H4578" s="1463"/>
    </row>
    <row r="4579" spans="2:8" ht="18.75" customHeight="1" x14ac:dyDescent="0.25">
      <c r="B4579" s="441"/>
      <c r="C4579" s="2478" t="s">
        <v>2929</v>
      </c>
      <c r="D4579" s="4159">
        <f>D4580</f>
        <v>500000000</v>
      </c>
      <c r="E4579" s="2679">
        <f>E4580</f>
        <v>499957200</v>
      </c>
      <c r="F4579" s="3522">
        <f>E4579/D4579*100</f>
        <v>99.991439999999997</v>
      </c>
      <c r="G4579" s="2695">
        <f>G4580</f>
        <v>100</v>
      </c>
      <c r="H4579" s="1463"/>
    </row>
    <row r="4580" spans="2:8" ht="18" hidden="1" customHeight="1" x14ac:dyDescent="0.25">
      <c r="B4580" s="441"/>
      <c r="C4580" s="2524" t="s">
        <v>2930</v>
      </c>
      <c r="D4580" s="4066">
        <v>500000000</v>
      </c>
      <c r="E4580" s="4066">
        <v>499957200</v>
      </c>
      <c r="F4580" s="4066">
        <f t="shared" ref="F4580" si="393">E4580/D4580*100</f>
        <v>99.991439999999997</v>
      </c>
      <c r="G4580" s="4066">
        <v>100</v>
      </c>
      <c r="H4580" s="1463"/>
    </row>
    <row r="4581" spans="2:8" ht="17.25" hidden="1" customHeight="1" x14ac:dyDescent="0.25">
      <c r="B4581" s="441"/>
      <c r="C4581" s="2475"/>
      <c r="D4581" s="4312"/>
      <c r="E4581" s="3060"/>
      <c r="F4581" s="2752"/>
      <c r="G4581" s="3036"/>
      <c r="H4581" s="1463"/>
    </row>
    <row r="4582" spans="2:8" ht="16.5" customHeight="1" x14ac:dyDescent="0.25">
      <c r="B4582" s="440"/>
      <c r="C4582" s="2632" t="s">
        <v>2931</v>
      </c>
      <c r="D4582" s="4106">
        <f>SUM(D4583+D4589+D4596+D4600)</f>
        <v>4397470000</v>
      </c>
      <c r="E4582" s="2672">
        <f>SUM(E4583+E4589+E4596+E4600)</f>
        <v>2291528500</v>
      </c>
      <c r="F4582" s="2672">
        <f>E4582/D4582*100</f>
        <v>52.110156521818226</v>
      </c>
      <c r="G4582" s="2670">
        <f>SUM(G4583+G4589+G4596+G4600)/4</f>
        <v>93.75</v>
      </c>
      <c r="H4582" s="1463"/>
    </row>
    <row r="4583" spans="2:8" ht="33.75" customHeight="1" x14ac:dyDescent="0.25">
      <c r="B4583" s="441"/>
      <c r="C4583" s="2521" t="s">
        <v>2932</v>
      </c>
      <c r="D4583" s="4158">
        <f>SUM(D4584:D4587)</f>
        <v>2582500000</v>
      </c>
      <c r="E4583" s="2725">
        <f>SUM(E4584:E4587)</f>
        <v>482100000</v>
      </c>
      <c r="F4583" s="2734">
        <f>E4583/D4583*100</f>
        <v>18.667957405614715</v>
      </c>
      <c r="G4583" s="2677">
        <f>SUM(G4584:G4587)/4</f>
        <v>75</v>
      </c>
      <c r="H4583" s="1463"/>
    </row>
    <row r="4584" spans="2:8" ht="18.75" hidden="1" customHeight="1" x14ac:dyDescent="0.25">
      <c r="B4584" s="441"/>
      <c r="C4584" s="3672" t="s">
        <v>3804</v>
      </c>
      <c r="D4584" s="4066">
        <v>2100000000</v>
      </c>
      <c r="E4584" s="3216">
        <v>0</v>
      </c>
      <c r="F4584" s="3216">
        <v>0</v>
      </c>
      <c r="G4584" s="3216">
        <v>0</v>
      </c>
      <c r="H4584" s="1463"/>
    </row>
    <row r="4585" spans="2:8" ht="21" hidden="1" customHeight="1" x14ac:dyDescent="0.25">
      <c r="B4585" s="441"/>
      <c r="C4585" s="2494" t="s">
        <v>3805</v>
      </c>
      <c r="D4585" s="4066">
        <v>191725000</v>
      </c>
      <c r="E4585" s="4066">
        <v>191725000</v>
      </c>
      <c r="F4585" s="4066">
        <f t="shared" ref="F4585:F4587" si="394">E4585/D4585*100</f>
        <v>100</v>
      </c>
      <c r="G4585" s="4066">
        <v>100</v>
      </c>
      <c r="H4585" s="1463"/>
    </row>
    <row r="4586" spans="2:8" ht="21.75" hidden="1" customHeight="1" x14ac:dyDescent="0.25">
      <c r="B4586" s="441"/>
      <c r="C4586" s="2494" t="s">
        <v>3806</v>
      </c>
      <c r="D4586" s="4066">
        <v>123750000</v>
      </c>
      <c r="E4586" s="4066">
        <v>123350000</v>
      </c>
      <c r="F4586" s="4066">
        <f t="shared" si="394"/>
        <v>99.676767676767668</v>
      </c>
      <c r="G4586" s="4066">
        <v>100</v>
      </c>
      <c r="H4586" s="1463"/>
    </row>
    <row r="4587" spans="2:8" ht="21" hidden="1" customHeight="1" x14ac:dyDescent="0.25">
      <c r="B4587" s="441"/>
      <c r="C4587" s="2494" t="s">
        <v>3807</v>
      </c>
      <c r="D4587" s="4066">
        <v>167025000</v>
      </c>
      <c r="E4587" s="4066">
        <v>167025000</v>
      </c>
      <c r="F4587" s="4066">
        <f t="shared" si="394"/>
        <v>100</v>
      </c>
      <c r="G4587" s="4066">
        <v>100</v>
      </c>
      <c r="H4587" s="1463"/>
    </row>
    <row r="4588" spans="2:8" ht="9.75" hidden="1" customHeight="1" x14ac:dyDescent="0.25">
      <c r="B4588" s="441"/>
      <c r="C4588" s="2494"/>
      <c r="D4588" s="3704"/>
      <c r="E4588" s="3217"/>
      <c r="F4588" s="2695"/>
      <c r="G4588" s="2969"/>
      <c r="H4588" s="1463"/>
    </row>
    <row r="4589" spans="2:8" ht="20.25" customHeight="1" x14ac:dyDescent="0.25">
      <c r="B4589" s="441"/>
      <c r="C4589" s="2491" t="s">
        <v>2933</v>
      </c>
      <c r="D4589" s="4159">
        <f>SUM(D4590:D4594)</f>
        <v>1354170000</v>
      </c>
      <c r="E4589" s="3217">
        <f>SUM(E4590:E4594)</f>
        <v>1350266000</v>
      </c>
      <c r="F4589" s="2695">
        <f>E4589/D4589*100</f>
        <v>99.711705325033051</v>
      </c>
      <c r="G4589" s="2969">
        <f>SUM(G4590:G4594)/5</f>
        <v>100</v>
      </c>
      <c r="H4589" s="1463"/>
    </row>
    <row r="4590" spans="2:8" ht="16.5" hidden="1" customHeight="1" x14ac:dyDescent="0.25">
      <c r="B4590" s="441"/>
      <c r="C4590" s="3672" t="s">
        <v>3808</v>
      </c>
      <c r="D4590" s="4066">
        <v>119970000</v>
      </c>
      <c r="E4590" s="4066">
        <v>119670000</v>
      </c>
      <c r="F4590" s="4066">
        <f t="shared" ref="F4590:F4594" si="395">E4590/D4590*100</f>
        <v>99.749937484371088</v>
      </c>
      <c r="G4590" s="4066">
        <v>100</v>
      </c>
      <c r="H4590" s="1463"/>
    </row>
    <row r="4591" spans="2:8" ht="17.25" hidden="1" customHeight="1" x14ac:dyDescent="0.25">
      <c r="B4591" s="441"/>
      <c r="C4591" s="2494" t="s">
        <v>3809</v>
      </c>
      <c r="D4591" s="4066">
        <v>500000000</v>
      </c>
      <c r="E4591" s="4066">
        <v>499661000</v>
      </c>
      <c r="F4591" s="4066">
        <f t="shared" si="395"/>
        <v>99.932200000000009</v>
      </c>
      <c r="G4591" s="4066">
        <v>100</v>
      </c>
      <c r="H4591" s="1463"/>
    </row>
    <row r="4592" spans="2:8" ht="14.25" hidden="1" customHeight="1" x14ac:dyDescent="0.25">
      <c r="B4592" s="441"/>
      <c r="C4592" s="2494" t="s">
        <v>3810</v>
      </c>
      <c r="D4592" s="4066">
        <v>450000000</v>
      </c>
      <c r="E4592" s="4066">
        <v>447550000</v>
      </c>
      <c r="F4592" s="4066">
        <f t="shared" si="395"/>
        <v>99.455555555555549</v>
      </c>
      <c r="G4592" s="4066">
        <v>100</v>
      </c>
      <c r="H4592" s="1463"/>
    </row>
    <row r="4593" spans="1:11" ht="17.25" hidden="1" customHeight="1" x14ac:dyDescent="0.25">
      <c r="B4593" s="441"/>
      <c r="C4593" s="2494" t="s">
        <v>3811</v>
      </c>
      <c r="D4593" s="4066">
        <v>125000000</v>
      </c>
      <c r="E4593" s="4066">
        <v>124365000</v>
      </c>
      <c r="F4593" s="4066">
        <f t="shared" si="395"/>
        <v>99.492000000000004</v>
      </c>
      <c r="G4593" s="4066">
        <v>100</v>
      </c>
      <c r="H4593" s="1463"/>
    </row>
    <row r="4594" spans="1:11" ht="18" hidden="1" customHeight="1" x14ac:dyDescent="0.25">
      <c r="B4594" s="441"/>
      <c r="C4594" s="2494" t="s">
        <v>3812</v>
      </c>
      <c r="D4594" s="4066">
        <v>159200000</v>
      </c>
      <c r="E4594" s="4066">
        <v>159020000</v>
      </c>
      <c r="F4594" s="4066">
        <f t="shared" si="395"/>
        <v>99.886934673366838</v>
      </c>
      <c r="G4594" s="4066">
        <v>100</v>
      </c>
      <c r="H4594" s="1463"/>
    </row>
    <row r="4595" spans="1:11" ht="12" hidden="1" customHeight="1" x14ac:dyDescent="0.25">
      <c r="B4595" s="441"/>
      <c r="C4595" s="2494"/>
      <c r="D4595" s="3704"/>
      <c r="E4595" s="3216"/>
      <c r="F4595" s="3216"/>
      <c r="G4595" s="2685"/>
      <c r="H4595" s="1463"/>
    </row>
    <row r="4596" spans="1:11" ht="15.75" customHeight="1" x14ac:dyDescent="0.25">
      <c r="B4596" s="441"/>
      <c r="C4596" s="2491" t="s">
        <v>2934</v>
      </c>
      <c r="D4596" s="4159">
        <f>SUM(D4597:D4598)</f>
        <v>298800000</v>
      </c>
      <c r="E4596" s="2813">
        <f>SUM(E4597:E4598)</f>
        <v>297724500</v>
      </c>
      <c r="F4596" s="2695">
        <f>E4596/D4596*100</f>
        <v>99.640060240963862</v>
      </c>
      <c r="G4596" s="2969">
        <f>SUM(G4597:G4598)/2</f>
        <v>100</v>
      </c>
      <c r="H4596" s="1463"/>
    </row>
    <row r="4597" spans="1:11" ht="19.5" hidden="1" customHeight="1" x14ac:dyDescent="0.25">
      <c r="B4597" s="441"/>
      <c r="C4597" s="2494" t="s">
        <v>2935</v>
      </c>
      <c r="D4597" s="4066">
        <v>88800000</v>
      </c>
      <c r="E4597" s="4066">
        <v>88274500</v>
      </c>
      <c r="F4597" s="4066">
        <f t="shared" ref="F4597:F4598" si="396">E4597/D4597*100</f>
        <v>99.40822072072072</v>
      </c>
      <c r="G4597" s="4066">
        <v>100</v>
      </c>
      <c r="H4597" s="1463"/>
    </row>
    <row r="4598" spans="1:11" ht="17.25" hidden="1" customHeight="1" x14ac:dyDescent="0.25">
      <c r="B4598" s="441"/>
      <c r="C4598" s="2494" t="s">
        <v>2936</v>
      </c>
      <c r="D4598" s="4066">
        <v>210000000</v>
      </c>
      <c r="E4598" s="4066">
        <v>209450000</v>
      </c>
      <c r="F4598" s="4066">
        <f t="shared" si="396"/>
        <v>99.738095238095241</v>
      </c>
      <c r="G4598" s="4066">
        <v>100</v>
      </c>
      <c r="H4598" s="1463"/>
    </row>
    <row r="4599" spans="1:11" ht="12" hidden="1" customHeight="1" x14ac:dyDescent="0.25">
      <c r="B4599" s="441"/>
      <c r="C4599" s="2494"/>
      <c r="D4599" s="3704"/>
      <c r="E4599" s="2830"/>
      <c r="F4599" s="2690"/>
      <c r="G4599" s="2967"/>
      <c r="H4599" s="1463"/>
    </row>
    <row r="4600" spans="1:11" ht="15.75" customHeight="1" x14ac:dyDescent="0.25">
      <c r="B4600" s="441"/>
      <c r="C4600" s="2491" t="s">
        <v>2937</v>
      </c>
      <c r="D4600" s="4159">
        <f>D4601</f>
        <v>162000000</v>
      </c>
      <c r="E4600" s="3217">
        <f>E4601</f>
        <v>161438000</v>
      </c>
      <c r="F4600" s="2821">
        <f>F4601</f>
        <v>99.653086419753095</v>
      </c>
      <c r="G4600" s="2976">
        <f>G4601</f>
        <v>100</v>
      </c>
      <c r="H4600" s="1463"/>
    </row>
    <row r="4601" spans="1:11" ht="16.5" hidden="1" customHeight="1" x14ac:dyDescent="0.25">
      <c r="B4601" s="441"/>
      <c r="C4601" s="2494" t="s">
        <v>2938</v>
      </c>
      <c r="D4601" s="4066">
        <v>162000000</v>
      </c>
      <c r="E4601" s="4066">
        <v>161438000</v>
      </c>
      <c r="F4601" s="4066">
        <f t="shared" ref="F4601" si="397">E4601/D4601*100</f>
        <v>99.653086419753095</v>
      </c>
      <c r="G4601" s="4066">
        <v>100</v>
      </c>
      <c r="H4601" s="1463"/>
    </row>
    <row r="4602" spans="1:11" ht="20.25" hidden="1" customHeight="1" x14ac:dyDescent="0.25">
      <c r="B4602" s="441"/>
      <c r="C4602" s="2528"/>
      <c r="D4602" s="4290"/>
      <c r="E4602" s="3060"/>
      <c r="F4602" s="2752"/>
      <c r="G4602" s="3036"/>
      <c r="H4602" s="1463"/>
    </row>
    <row r="4603" spans="1:11" s="20" customFormat="1" ht="30" customHeight="1" x14ac:dyDescent="0.25">
      <c r="A4603" s="963"/>
      <c r="B4603" s="440"/>
      <c r="C4603" s="2497" t="s">
        <v>2939</v>
      </c>
      <c r="D4603" s="4080">
        <f>SUM(D4604+D4607+D4615+D4623)</f>
        <v>1962396300</v>
      </c>
      <c r="E4603" s="2786">
        <f>SUM(E4604+E4607+E4615+E4623)</f>
        <v>1961846300</v>
      </c>
      <c r="F4603" s="2672">
        <f>E4603/D4603*100</f>
        <v>99.971973041327075</v>
      </c>
      <c r="G4603" s="2670">
        <f>SUM(G4604+G4607+G4615+G4623)/4</f>
        <v>100</v>
      </c>
      <c r="H4603" s="1463"/>
      <c r="J4603" s="536"/>
      <c r="K4603" s="536"/>
    </row>
    <row r="4604" spans="1:11" ht="19.5" customHeight="1" x14ac:dyDescent="0.25">
      <c r="B4604" s="441"/>
      <c r="C4604" s="2525" t="s">
        <v>2940</v>
      </c>
      <c r="D4604" s="4159">
        <f>D4605</f>
        <v>173000000</v>
      </c>
      <c r="E4604" s="2679">
        <f>E4605</f>
        <v>172610000</v>
      </c>
      <c r="F4604" s="2821">
        <f>F4605</f>
        <v>99.774566473988429</v>
      </c>
      <c r="G4604" s="3217">
        <f>G4605</f>
        <v>100</v>
      </c>
      <c r="H4604" s="1463"/>
    </row>
    <row r="4605" spans="1:11" ht="30.75" hidden="1" customHeight="1" x14ac:dyDescent="0.25">
      <c r="B4605" s="441"/>
      <c r="C4605" s="2524" t="s">
        <v>2941</v>
      </c>
      <c r="D4605" s="4066">
        <v>173000000</v>
      </c>
      <c r="E4605" s="3216">
        <v>172610000</v>
      </c>
      <c r="F4605" s="4066">
        <f t="shared" ref="F4605" si="398">E4605/D4605*100</f>
        <v>99.774566473988429</v>
      </c>
      <c r="G4605" s="3216">
        <v>100</v>
      </c>
      <c r="H4605" s="1463"/>
    </row>
    <row r="4606" spans="1:11" ht="11.25" hidden="1" customHeight="1" x14ac:dyDescent="0.25">
      <c r="B4606" s="441"/>
      <c r="C4606" s="2527"/>
      <c r="D4606" s="3704"/>
      <c r="E4606" s="3216"/>
      <c r="F4606" s="2690"/>
      <c r="G4606" s="2967"/>
      <c r="H4606" s="1463"/>
    </row>
    <row r="4607" spans="1:11" ht="20.25" customHeight="1" x14ac:dyDescent="0.25">
      <c r="B4607" s="441"/>
      <c r="C4607" s="2521" t="s">
        <v>2942</v>
      </c>
      <c r="D4607" s="4291">
        <f>SUM(D4608:D4613)</f>
        <v>782044900</v>
      </c>
      <c r="E4607" s="2873">
        <f>SUM(E4608:E4613)</f>
        <v>781894900</v>
      </c>
      <c r="F4607" s="2695">
        <f>E4607/D4607*100</f>
        <v>99.980819515605816</v>
      </c>
      <c r="G4607" s="2677">
        <f>SUM(G4608:G4613)/6</f>
        <v>100</v>
      </c>
      <c r="H4607" s="1463"/>
    </row>
    <row r="4608" spans="1:11" ht="33.75" hidden="1" customHeight="1" x14ac:dyDescent="0.25">
      <c r="B4608" s="444"/>
      <c r="C4608" s="2524" t="s">
        <v>2943</v>
      </c>
      <c r="D4608" s="4066">
        <v>197112900</v>
      </c>
      <c r="E4608" s="3216">
        <v>197112900</v>
      </c>
      <c r="F4608" s="4066">
        <f t="shared" ref="F4608:F4613" si="399">E4608/D4608*100</f>
        <v>100</v>
      </c>
      <c r="G4608" s="3216">
        <v>100</v>
      </c>
      <c r="H4608" s="1463"/>
    </row>
    <row r="4609" spans="2:8" ht="21" hidden="1" customHeight="1" x14ac:dyDescent="0.25">
      <c r="B4609" s="441"/>
      <c r="C4609" s="2524" t="s">
        <v>2944</v>
      </c>
      <c r="D4609" s="4066">
        <v>100000000</v>
      </c>
      <c r="E4609" s="3216">
        <v>99850000</v>
      </c>
      <c r="F4609" s="4066">
        <f t="shared" si="399"/>
        <v>99.850000000000009</v>
      </c>
      <c r="G4609" s="3216">
        <v>100</v>
      </c>
      <c r="H4609" s="1463"/>
    </row>
    <row r="4610" spans="2:8" ht="33.75" hidden="1" customHeight="1" x14ac:dyDescent="0.25">
      <c r="B4610" s="441"/>
      <c r="C4610" s="2524" t="s">
        <v>2945</v>
      </c>
      <c r="D4610" s="4066">
        <v>182823600</v>
      </c>
      <c r="E4610" s="4066">
        <v>182823600</v>
      </c>
      <c r="F4610" s="4066">
        <f t="shared" si="399"/>
        <v>100</v>
      </c>
      <c r="G4610" s="4066">
        <v>100</v>
      </c>
      <c r="H4610" s="1463"/>
    </row>
    <row r="4611" spans="2:8" ht="21" hidden="1" customHeight="1" x14ac:dyDescent="0.25">
      <c r="B4611" s="441"/>
      <c r="C4611" s="2524" t="s">
        <v>2946</v>
      </c>
      <c r="D4611" s="4066">
        <v>91125000</v>
      </c>
      <c r="E4611" s="4066">
        <v>91125000</v>
      </c>
      <c r="F4611" s="4066">
        <f t="shared" si="399"/>
        <v>100</v>
      </c>
      <c r="G4611" s="4066">
        <v>100</v>
      </c>
      <c r="H4611" s="1463"/>
    </row>
    <row r="4612" spans="2:8" ht="18.75" hidden="1" customHeight="1" x14ac:dyDescent="0.25">
      <c r="B4612" s="441"/>
      <c r="C4612" s="2524" t="s">
        <v>3813</v>
      </c>
      <c r="D4612" s="4066">
        <v>91754000</v>
      </c>
      <c r="E4612" s="4066">
        <v>91754000</v>
      </c>
      <c r="F4612" s="4066">
        <f t="shared" si="399"/>
        <v>100</v>
      </c>
      <c r="G4612" s="4066">
        <v>100</v>
      </c>
      <c r="H4612" s="1463"/>
    </row>
    <row r="4613" spans="2:8" ht="32.25" hidden="1" customHeight="1" x14ac:dyDescent="0.25">
      <c r="B4613" s="441"/>
      <c r="C4613" s="3672" t="s">
        <v>3133</v>
      </c>
      <c r="D4613" s="4066">
        <v>119229400</v>
      </c>
      <c r="E4613" s="4066">
        <v>119229400</v>
      </c>
      <c r="F4613" s="4066">
        <f t="shared" si="399"/>
        <v>100</v>
      </c>
      <c r="G4613" s="4066">
        <v>100</v>
      </c>
      <c r="H4613" s="1463"/>
    </row>
    <row r="4614" spans="2:8" ht="9" hidden="1" customHeight="1" x14ac:dyDescent="0.25">
      <c r="B4614" s="441"/>
      <c r="C4614" s="2527"/>
      <c r="D4614" s="3704"/>
      <c r="E4614" s="3216"/>
      <c r="F4614" s="2690"/>
      <c r="G4614" s="2967"/>
      <c r="H4614" s="1463"/>
    </row>
    <row r="4615" spans="2:8" ht="24" customHeight="1" x14ac:dyDescent="0.25">
      <c r="B4615" s="441"/>
      <c r="C4615" s="2525" t="s">
        <v>2947</v>
      </c>
      <c r="D4615" s="4159">
        <f>SUM(D4616:D4621)</f>
        <v>807351400</v>
      </c>
      <c r="E4615" s="2813">
        <f>SUM(E4616:E4621)</f>
        <v>807341400</v>
      </c>
      <c r="F4615" s="2695">
        <f>E4615/D4615*100</f>
        <v>99.998761381970724</v>
      </c>
      <c r="G4615" s="2677">
        <f>SUM(G4616:G4621)/6</f>
        <v>100</v>
      </c>
      <c r="H4615" s="1463"/>
    </row>
    <row r="4616" spans="2:8" ht="15" hidden="1" customHeight="1" x14ac:dyDescent="0.25">
      <c r="B4616" s="441"/>
      <c r="C4616" s="2524" t="s">
        <v>2948</v>
      </c>
      <c r="D4616" s="4066">
        <v>250000000</v>
      </c>
      <c r="E4616" s="4066">
        <v>250000000</v>
      </c>
      <c r="F4616" s="4066">
        <f t="shared" ref="F4616:F4621" si="400">E4616/D4616*100</f>
        <v>100</v>
      </c>
      <c r="G4616" s="4066">
        <v>100</v>
      </c>
      <c r="H4616" s="1463"/>
    </row>
    <row r="4617" spans="2:8" ht="18.75" hidden="1" customHeight="1" x14ac:dyDescent="0.25">
      <c r="B4617" s="441"/>
      <c r="C4617" s="2524" t="s">
        <v>2949</v>
      </c>
      <c r="D4617" s="4066">
        <v>122321400</v>
      </c>
      <c r="E4617" s="4066">
        <v>122321400</v>
      </c>
      <c r="F4617" s="4066">
        <f t="shared" si="400"/>
        <v>100</v>
      </c>
      <c r="G4617" s="4066">
        <v>100</v>
      </c>
      <c r="H4617" s="1463"/>
    </row>
    <row r="4618" spans="2:8" ht="16.5" hidden="1" customHeight="1" x14ac:dyDescent="0.25">
      <c r="B4618" s="441"/>
      <c r="C4618" s="2524" t="s">
        <v>2950</v>
      </c>
      <c r="D4618" s="4066">
        <v>98152000</v>
      </c>
      <c r="E4618" s="4066">
        <v>98152000</v>
      </c>
      <c r="F4618" s="4066">
        <f t="shared" si="400"/>
        <v>100</v>
      </c>
      <c r="G4618" s="4066">
        <v>100</v>
      </c>
      <c r="H4618" s="1463"/>
    </row>
    <row r="4619" spans="2:8" ht="18" hidden="1" customHeight="1" x14ac:dyDescent="0.25">
      <c r="B4619" s="441"/>
      <c r="C4619" s="2524" t="s">
        <v>2951</v>
      </c>
      <c r="D4619" s="4066">
        <v>102917000</v>
      </c>
      <c r="E4619" s="4066">
        <v>102917000</v>
      </c>
      <c r="F4619" s="4066">
        <f t="shared" si="400"/>
        <v>100</v>
      </c>
      <c r="G4619" s="4066">
        <v>100</v>
      </c>
      <c r="H4619" s="1463"/>
    </row>
    <row r="4620" spans="2:8" ht="15.75" hidden="1" customHeight="1" x14ac:dyDescent="0.25">
      <c r="B4620" s="441"/>
      <c r="C4620" s="2524" t="s">
        <v>2952</v>
      </c>
      <c r="D4620" s="4066">
        <v>86706000</v>
      </c>
      <c r="E4620" s="4066">
        <v>86706000</v>
      </c>
      <c r="F4620" s="4066">
        <f t="shared" si="400"/>
        <v>100</v>
      </c>
      <c r="G4620" s="4066">
        <v>100</v>
      </c>
      <c r="H4620" s="1463"/>
    </row>
    <row r="4621" spans="2:8" ht="27.75" hidden="1" customHeight="1" x14ac:dyDescent="0.25">
      <c r="B4621" s="441"/>
      <c r="C4621" s="2524" t="s">
        <v>2953</v>
      </c>
      <c r="D4621" s="4066">
        <v>147255000</v>
      </c>
      <c r="E4621" s="3216">
        <v>147245000</v>
      </c>
      <c r="F4621" s="4066">
        <f t="shared" si="400"/>
        <v>99.993209059115145</v>
      </c>
      <c r="G4621" s="3216">
        <v>100</v>
      </c>
      <c r="H4621" s="1463"/>
    </row>
    <row r="4622" spans="2:8" ht="11.25" hidden="1" customHeight="1" x14ac:dyDescent="0.25">
      <c r="B4622" s="441"/>
      <c r="C4622" s="2527"/>
      <c r="D4622" s="3704"/>
      <c r="E4622" s="2778"/>
      <c r="F4622" s="2778"/>
      <c r="G4622" s="3027"/>
      <c r="H4622" s="1463"/>
    </row>
    <row r="4623" spans="2:8" ht="18.75" customHeight="1" x14ac:dyDescent="0.25">
      <c r="B4623" s="441"/>
      <c r="C4623" s="2525" t="s">
        <v>2954</v>
      </c>
      <c r="D4623" s="4159">
        <f>D4624</f>
        <v>200000000</v>
      </c>
      <c r="E4623" s="3217">
        <f>E4624</f>
        <v>200000000</v>
      </c>
      <c r="F4623" s="2695">
        <f>E4623/D4623*100</f>
        <v>100</v>
      </c>
      <c r="G4623" s="2969">
        <f>G4624</f>
        <v>100</v>
      </c>
      <c r="H4623" s="1463"/>
    </row>
    <row r="4624" spans="2:8" ht="18.75" hidden="1" customHeight="1" x14ac:dyDescent="0.25">
      <c r="B4624" s="441"/>
      <c r="C4624" s="2524" t="s">
        <v>2955</v>
      </c>
      <c r="D4624" s="4066">
        <v>200000000</v>
      </c>
      <c r="E4624" s="4066">
        <v>200000000</v>
      </c>
      <c r="F4624" s="4066">
        <f t="shared" ref="F4624" si="401">E4624/D4624*100</f>
        <v>100</v>
      </c>
      <c r="G4624" s="4066">
        <v>100</v>
      </c>
      <c r="H4624" s="1463"/>
    </row>
    <row r="4625" spans="2:8" ht="17.25" hidden="1" customHeight="1" x14ac:dyDescent="0.25">
      <c r="B4625" s="441"/>
      <c r="C4625" s="2626"/>
      <c r="D4625" s="4299"/>
      <c r="E4625" s="2778"/>
      <c r="F4625" s="2784"/>
      <c r="G4625" s="3036"/>
      <c r="H4625" s="1463"/>
    </row>
    <row r="4626" spans="2:8" ht="17.25" customHeight="1" x14ac:dyDescent="0.25">
      <c r="B4626" s="440"/>
      <c r="C4626" s="2497" t="s">
        <v>2956</v>
      </c>
      <c r="D4626" s="4080">
        <f>D4627</f>
        <v>286995200</v>
      </c>
      <c r="E4626" s="2719">
        <f>E4627</f>
        <v>286665200</v>
      </c>
      <c r="F4626" s="2672">
        <f>E4626/D4626*100</f>
        <v>99.885015498517049</v>
      </c>
      <c r="G4626" s="2670">
        <f>G4627</f>
        <v>100</v>
      </c>
      <c r="H4626" s="1463"/>
    </row>
    <row r="4627" spans="2:8" ht="16.5" customHeight="1" x14ac:dyDescent="0.25">
      <c r="B4627" s="441"/>
      <c r="C4627" s="2525" t="s">
        <v>2957</v>
      </c>
      <c r="D4627" s="4159">
        <f>SUM(D4628:D4630)</f>
        <v>286995200</v>
      </c>
      <c r="E4627" s="2813">
        <f>SUM(E4628:E4630)</f>
        <v>286665200</v>
      </c>
      <c r="F4627" s="2734">
        <f>E4627/D4627*100</f>
        <v>99.885015498517049</v>
      </c>
      <c r="G4627" s="2677">
        <f>SUM(G4628:G4630)/3</f>
        <v>100</v>
      </c>
      <c r="H4627" s="1463"/>
    </row>
    <row r="4628" spans="2:8" ht="15.75" hidden="1" customHeight="1" x14ac:dyDescent="0.25">
      <c r="B4628" s="441"/>
      <c r="C4628" s="2524" t="s">
        <v>2958</v>
      </c>
      <c r="D4628" s="4066">
        <v>179885800</v>
      </c>
      <c r="E4628" s="4066">
        <v>179885800</v>
      </c>
      <c r="F4628" s="4066">
        <f t="shared" ref="F4628:F4630" si="402">E4628/D4628*100</f>
        <v>100</v>
      </c>
      <c r="G4628" s="4066">
        <v>100</v>
      </c>
      <c r="H4628" s="1463"/>
    </row>
    <row r="4629" spans="2:8" ht="16.5" hidden="1" customHeight="1" x14ac:dyDescent="0.25">
      <c r="B4629" s="441"/>
      <c r="C4629" s="2524" t="s">
        <v>2959</v>
      </c>
      <c r="D4629" s="4066">
        <v>53980000</v>
      </c>
      <c r="E4629" s="3216">
        <v>53650000</v>
      </c>
      <c r="F4629" s="4066">
        <f t="shared" si="402"/>
        <v>99.388662467580588</v>
      </c>
      <c r="G4629" s="4066">
        <v>100</v>
      </c>
      <c r="H4629" s="1463"/>
    </row>
    <row r="4630" spans="2:8" ht="15.75" hidden="1" customHeight="1" x14ac:dyDescent="0.25">
      <c r="B4630" s="441"/>
      <c r="C4630" s="2524" t="s">
        <v>2960</v>
      </c>
      <c r="D4630" s="4066">
        <v>53129400</v>
      </c>
      <c r="E4630" s="3216">
        <v>53129400</v>
      </c>
      <c r="F4630" s="4066">
        <f t="shared" si="402"/>
        <v>100</v>
      </c>
      <c r="G4630" s="4066">
        <v>100</v>
      </c>
      <c r="H4630" s="1463"/>
    </row>
    <row r="4631" spans="2:8" ht="17.25" hidden="1" customHeight="1" x14ac:dyDescent="0.25">
      <c r="B4631" s="441"/>
      <c r="C4631" s="2535"/>
      <c r="D4631" s="4299"/>
      <c r="E4631" s="3035"/>
      <c r="F4631" s="2710"/>
      <c r="G4631" s="3027"/>
      <c r="H4631" s="1463"/>
    </row>
    <row r="4632" spans="2:8" ht="18" customHeight="1" x14ac:dyDescent="0.25">
      <c r="B4632" s="440"/>
      <c r="C4632" s="2497" t="s">
        <v>2961</v>
      </c>
      <c r="D4632" s="4080">
        <f>SUM(D4636+D4640+D4643+D4647)</f>
        <v>2287400000</v>
      </c>
      <c r="E4632" s="2786">
        <f>SUM(E4633+E4636+E4640+E4643+E4647)</f>
        <v>2287400000</v>
      </c>
      <c r="F4632" s="2672">
        <f>E4632/D4632*100</f>
        <v>100</v>
      </c>
      <c r="G4632" s="2670">
        <f>SUM(G4636+G4640+G4643+G4647)/4</f>
        <v>100</v>
      </c>
      <c r="H4632" s="1463"/>
    </row>
    <row r="4633" spans="2:8" ht="15.75" customHeight="1" x14ac:dyDescent="0.25">
      <c r="B4633" s="441"/>
      <c r="C4633" s="2525" t="s">
        <v>2962</v>
      </c>
      <c r="D4633" s="4158">
        <v>0</v>
      </c>
      <c r="E4633" s="3522">
        <v>0</v>
      </c>
      <c r="F4633" s="3522">
        <v>0</v>
      </c>
      <c r="G4633" s="3522">
        <v>0</v>
      </c>
      <c r="H4633" s="1463"/>
    </row>
    <row r="4634" spans="2:8" ht="15.75" hidden="1" customHeight="1" x14ac:dyDescent="0.25">
      <c r="B4634" s="441"/>
      <c r="C4634" s="2524" t="s">
        <v>2963</v>
      </c>
      <c r="D4634" s="4374" t="s">
        <v>3317</v>
      </c>
      <c r="E4634" s="4275" t="s">
        <v>3317</v>
      </c>
      <c r="F4634" s="4275" t="s">
        <v>3317</v>
      </c>
      <c r="G4634" s="4275" t="s">
        <v>3317</v>
      </c>
      <c r="H4634" s="1463"/>
    </row>
    <row r="4635" spans="2:8" ht="12" hidden="1" customHeight="1" x14ac:dyDescent="0.25">
      <c r="B4635" s="441"/>
      <c r="C4635" s="2527"/>
      <c r="D4635" s="3704"/>
      <c r="E4635" s="3216"/>
      <c r="F4635" s="3216"/>
      <c r="G4635" s="2685"/>
      <c r="H4635" s="1463"/>
    </row>
    <row r="4636" spans="2:8" ht="16.5" customHeight="1" x14ac:dyDescent="0.25">
      <c r="B4636" s="441"/>
      <c r="C4636" s="2525" t="s">
        <v>2964</v>
      </c>
      <c r="D4636" s="4159">
        <f>SUM(D4637:D4638)</f>
        <v>429900000</v>
      </c>
      <c r="E4636" s="4159">
        <f>SUM(E4637:E4638)</f>
        <v>429900000</v>
      </c>
      <c r="F4636" s="3217">
        <f>SUM(E4636/D4636*100)</f>
        <v>100</v>
      </c>
      <c r="G4636" s="2677">
        <f>SUM(G4637:G4638)/2</f>
        <v>100</v>
      </c>
      <c r="H4636" s="1463"/>
    </row>
    <row r="4637" spans="2:8" ht="28.5" hidden="1" customHeight="1" x14ac:dyDescent="0.25">
      <c r="B4637" s="441"/>
      <c r="C4637" s="2524" t="s">
        <v>2965</v>
      </c>
      <c r="D4637" s="4066">
        <v>239300000</v>
      </c>
      <c r="E4637" s="3541">
        <v>239300000</v>
      </c>
      <c r="F4637" s="3541">
        <f>SUM(E4637/D4637)*100</f>
        <v>100</v>
      </c>
      <c r="G4637" s="2967">
        <v>100</v>
      </c>
      <c r="H4637" s="1463"/>
    </row>
    <row r="4638" spans="2:8" ht="20.25" hidden="1" customHeight="1" x14ac:dyDescent="0.25">
      <c r="B4638" s="441"/>
      <c r="C4638" s="2524" t="s">
        <v>2966</v>
      </c>
      <c r="D4638" s="3704">
        <v>190600000</v>
      </c>
      <c r="E4638" s="3556">
        <v>190600000</v>
      </c>
      <c r="F4638" s="3541">
        <f>SUM(E4638/D4638)*100</f>
        <v>100</v>
      </c>
      <c r="G4638" s="3556">
        <v>100</v>
      </c>
      <c r="H4638" s="1463"/>
    </row>
    <row r="4639" spans="2:8" ht="10.5" hidden="1" customHeight="1" x14ac:dyDescent="0.25">
      <c r="B4639" s="441"/>
      <c r="C4639" s="2527"/>
      <c r="D4639" s="3704"/>
      <c r="E4639" s="3216"/>
      <c r="F4639" s="2810"/>
      <c r="G4639" s="2967"/>
      <c r="H4639" s="1463"/>
    </row>
    <row r="4640" spans="2:8" ht="18" customHeight="1" x14ac:dyDescent="0.25">
      <c r="B4640" s="441"/>
      <c r="C4640" s="2525" t="s">
        <v>2967</v>
      </c>
      <c r="D4640" s="4159">
        <f>SUM(D4641)</f>
        <v>215000000</v>
      </c>
      <c r="E4640" s="2813">
        <f>SUM(E4641)</f>
        <v>215000000</v>
      </c>
      <c r="F4640" s="3217">
        <f>SUM(E4640/D4640*100)</f>
        <v>100</v>
      </c>
      <c r="G4640" s="3522">
        <f>G4641</f>
        <v>100</v>
      </c>
      <c r="H4640" s="1463"/>
    </row>
    <row r="4641" spans="2:8" ht="15.75" hidden="1" customHeight="1" x14ac:dyDescent="0.25">
      <c r="B4641" s="441"/>
      <c r="C4641" s="2524" t="s">
        <v>2968</v>
      </c>
      <c r="D4641" s="3704">
        <v>215000000</v>
      </c>
      <c r="E4641" s="3556">
        <v>215000000</v>
      </c>
      <c r="F4641" s="3541">
        <f>SUM(E4641/D4641)*100</f>
        <v>100</v>
      </c>
      <c r="G4641" s="3556">
        <v>100</v>
      </c>
      <c r="H4641" s="1463"/>
    </row>
    <row r="4642" spans="2:8" ht="11.25" hidden="1" customHeight="1" x14ac:dyDescent="0.25">
      <c r="B4642" s="441"/>
      <c r="C4642" s="2527"/>
      <c r="D4642" s="3704"/>
      <c r="E4642" s="3556"/>
      <c r="F4642" s="3556"/>
      <c r="G4642" s="3556"/>
      <c r="H4642" s="1463"/>
    </row>
    <row r="4643" spans="2:8" ht="18" customHeight="1" x14ac:dyDescent="0.25">
      <c r="B4643" s="441"/>
      <c r="C4643" s="2521" t="s">
        <v>2969</v>
      </c>
      <c r="D4643" s="4159">
        <f>SUM(D4644:D4645)</f>
        <v>442500000</v>
      </c>
      <c r="E4643" s="2813">
        <f>SUM(E4644:E4645)</f>
        <v>442500000</v>
      </c>
      <c r="F4643" s="3217">
        <f>SUM(E4643/D4643*100)</f>
        <v>100</v>
      </c>
      <c r="G4643" s="3522">
        <f>SUM(G4644:G4645)/2</f>
        <v>100</v>
      </c>
      <c r="H4643" s="1463"/>
    </row>
    <row r="4644" spans="2:8" ht="18" hidden="1" customHeight="1" x14ac:dyDescent="0.25">
      <c r="B4644" s="441"/>
      <c r="C4644" s="2524" t="s">
        <v>2970</v>
      </c>
      <c r="D4644" s="3704">
        <v>286000000</v>
      </c>
      <c r="E4644" s="3556">
        <v>286000000</v>
      </c>
      <c r="F4644" s="3541">
        <f>SUM(E4644/D4644)*100</f>
        <v>100</v>
      </c>
      <c r="G4644" s="3556">
        <v>100</v>
      </c>
      <c r="H4644" s="1463"/>
    </row>
    <row r="4645" spans="2:8" ht="15.75" hidden="1" customHeight="1" x14ac:dyDescent="0.25">
      <c r="B4645" s="441"/>
      <c r="C4645" s="2524" t="s">
        <v>2971</v>
      </c>
      <c r="D4645" s="4066">
        <v>156500000</v>
      </c>
      <c r="E4645" s="3556">
        <v>156500000</v>
      </c>
      <c r="F4645" s="3541">
        <f>SUM(E4645/D4645)*100</f>
        <v>100</v>
      </c>
      <c r="G4645" s="3556">
        <v>100</v>
      </c>
      <c r="H4645" s="1463"/>
    </row>
    <row r="4646" spans="2:8" ht="8.25" hidden="1" customHeight="1" x14ac:dyDescent="0.25">
      <c r="B4646" s="444"/>
      <c r="C4646" s="2526"/>
      <c r="D4646" s="4286"/>
      <c r="E4646" s="2708"/>
      <c r="F4646" s="2708"/>
      <c r="G4646" s="2708"/>
      <c r="H4646" s="1463"/>
    </row>
    <row r="4647" spans="2:8" ht="15.75" customHeight="1" x14ac:dyDescent="0.25">
      <c r="B4647" s="441"/>
      <c r="C4647" s="2525" t="s">
        <v>3150</v>
      </c>
      <c r="D4647" s="4291">
        <f>D4648</f>
        <v>1200000000</v>
      </c>
      <c r="E4647" s="3553">
        <f>E4648</f>
        <v>1200000000</v>
      </c>
      <c r="F4647" s="3217">
        <f>SUM(E4647/D4647*100)</f>
        <v>100</v>
      </c>
      <c r="G4647" s="2934">
        <f>G4648</f>
        <v>100</v>
      </c>
      <c r="H4647" s="1463"/>
    </row>
    <row r="4648" spans="2:8" ht="18" hidden="1" customHeight="1" x14ac:dyDescent="0.25">
      <c r="B4648" s="441"/>
      <c r="C4648" s="2524" t="s">
        <v>3180</v>
      </c>
      <c r="D4648" s="4066">
        <v>1200000000</v>
      </c>
      <c r="E4648" s="4066">
        <v>1200000000</v>
      </c>
      <c r="F4648" s="3541">
        <f>SUM(E4648/D4648)*100</f>
        <v>100</v>
      </c>
      <c r="G4648" s="4066">
        <v>100</v>
      </c>
      <c r="H4648" s="1463"/>
    </row>
    <row r="4649" spans="2:8" ht="12" hidden="1" customHeight="1" x14ac:dyDescent="0.25">
      <c r="B4649" s="441"/>
      <c r="C4649" s="2528"/>
      <c r="D4649" s="4286"/>
      <c r="E4649" s="2934"/>
      <c r="F4649" s="2934"/>
      <c r="G4649" s="2934"/>
      <c r="H4649" s="1463"/>
    </row>
    <row r="4650" spans="2:8" ht="16.5" customHeight="1" x14ac:dyDescent="0.25">
      <c r="B4650" s="440"/>
      <c r="C4650" s="2497" t="s">
        <v>2972</v>
      </c>
      <c r="D4650" s="4080">
        <f>SUM(D4651+D4659)</f>
        <v>4685000000</v>
      </c>
      <c r="E4650" s="2786">
        <f>SUM(E4651+E4659)</f>
        <v>4672460999</v>
      </c>
      <c r="F4650" s="2786">
        <f>E4650/D4650*100</f>
        <v>99.732358569903951</v>
      </c>
      <c r="G4650" s="2670">
        <f>SUM(G4651+G4659)/2</f>
        <v>100</v>
      </c>
      <c r="H4650" s="1463"/>
    </row>
    <row r="4651" spans="2:8" ht="21" customHeight="1" x14ac:dyDescent="0.25">
      <c r="B4651" s="441"/>
      <c r="C4651" s="2525" t="s">
        <v>2973</v>
      </c>
      <c r="D4651" s="4159">
        <f>SUM(D4652+D4653+D4654+D4655+D4656+D4657)</f>
        <v>4425000000</v>
      </c>
      <c r="E4651" s="2813">
        <f>SUM(E4652+E4653+E4654+E4655+E4656+E4657)</f>
        <v>4421960999</v>
      </c>
      <c r="F4651" s="2813">
        <f>E4651/D4651*100</f>
        <v>99.931322011299443</v>
      </c>
      <c r="G4651" s="2969">
        <f>SUM(G4652:G4657)/6</f>
        <v>100</v>
      </c>
      <c r="H4651" s="1463"/>
    </row>
    <row r="4652" spans="2:8" ht="15.75" hidden="1" customHeight="1" x14ac:dyDescent="0.25">
      <c r="B4652" s="441"/>
      <c r="C4652" s="2524" t="s">
        <v>2974</v>
      </c>
      <c r="D4652" s="4066">
        <v>1500000000</v>
      </c>
      <c r="E4652" s="4066">
        <v>1499861000</v>
      </c>
      <c r="F4652" s="4066">
        <f t="shared" ref="F4652:F4657" si="403">E4652/D4652*100</f>
        <v>99.990733333333338</v>
      </c>
      <c r="G4652" s="4066">
        <v>100</v>
      </c>
      <c r="H4652" s="1463"/>
    </row>
    <row r="4653" spans="2:8" ht="15.75" hidden="1" customHeight="1" x14ac:dyDescent="0.25">
      <c r="B4653" s="441"/>
      <c r="C4653" s="2526" t="s">
        <v>2975</v>
      </c>
      <c r="D4653" s="4066">
        <v>2500000000</v>
      </c>
      <c r="E4653" s="4066">
        <v>2499779999</v>
      </c>
      <c r="F4653" s="4066">
        <f t="shared" si="403"/>
        <v>99.991199960000003</v>
      </c>
      <c r="G4653" s="4066">
        <v>100</v>
      </c>
      <c r="H4653" s="1463"/>
    </row>
    <row r="4654" spans="2:8" ht="18" hidden="1" customHeight="1" x14ac:dyDescent="0.25">
      <c r="B4654" s="441"/>
      <c r="C4654" s="2524" t="s">
        <v>2976</v>
      </c>
      <c r="D4654" s="4066">
        <v>100000000</v>
      </c>
      <c r="E4654" s="4066">
        <v>99400000</v>
      </c>
      <c r="F4654" s="4066">
        <f t="shared" si="403"/>
        <v>99.4</v>
      </c>
      <c r="G4654" s="4066">
        <v>100</v>
      </c>
      <c r="H4654" s="1463"/>
    </row>
    <row r="4655" spans="2:8" ht="15.75" hidden="1" customHeight="1" x14ac:dyDescent="0.25">
      <c r="B4655" s="441"/>
      <c r="C4655" s="2524" t="s">
        <v>2977</v>
      </c>
      <c r="D4655" s="4066">
        <v>80000000</v>
      </c>
      <c r="E4655" s="3556">
        <v>79820000</v>
      </c>
      <c r="F4655" s="4066">
        <f t="shared" si="403"/>
        <v>99.775000000000006</v>
      </c>
      <c r="G4655" s="4066">
        <v>100</v>
      </c>
      <c r="H4655" s="1463"/>
    </row>
    <row r="4656" spans="2:8" ht="15.75" hidden="1" customHeight="1" x14ac:dyDescent="0.25">
      <c r="B4656" s="441"/>
      <c r="C4656" s="3672" t="s">
        <v>3151</v>
      </c>
      <c r="D4656" s="4066">
        <v>145000000</v>
      </c>
      <c r="E4656" s="4066">
        <v>144100000</v>
      </c>
      <c r="F4656" s="4066">
        <f t="shared" si="403"/>
        <v>99.379310344827587</v>
      </c>
      <c r="G4656" s="4066">
        <v>100</v>
      </c>
      <c r="H4656" s="1463"/>
    </row>
    <row r="4657" spans="2:8" ht="15.75" hidden="1" customHeight="1" x14ac:dyDescent="0.25">
      <c r="B4657" s="441"/>
      <c r="C4657" s="3672" t="s">
        <v>3152</v>
      </c>
      <c r="D4657" s="4066">
        <v>100000000</v>
      </c>
      <c r="E4657" s="4066">
        <v>99000000</v>
      </c>
      <c r="F4657" s="4066">
        <f t="shared" si="403"/>
        <v>99</v>
      </c>
      <c r="G4657" s="4066">
        <v>100</v>
      </c>
      <c r="H4657" s="1463"/>
    </row>
    <row r="4658" spans="2:8" ht="12" hidden="1" customHeight="1" x14ac:dyDescent="0.25">
      <c r="B4658" s="441"/>
      <c r="C4658" s="2524"/>
      <c r="D4658" s="3704"/>
      <c r="E4658" s="3977"/>
      <c r="F4658" s="2810"/>
      <c r="G4658" s="3037"/>
      <c r="H4658" s="1463"/>
    </row>
    <row r="4659" spans="2:8" ht="15.75" customHeight="1" x14ac:dyDescent="0.25">
      <c r="B4659" s="441"/>
      <c r="C4659" s="2525" t="s">
        <v>2978</v>
      </c>
      <c r="D4659" s="4159">
        <f>SUM(D4660:D4662)</f>
        <v>260000000</v>
      </c>
      <c r="E4659" s="2813">
        <f>SUM(E4660:E4662)</f>
        <v>250500000</v>
      </c>
      <c r="F4659" s="2813">
        <f>E4659/D4659*100</f>
        <v>96.346153846153854</v>
      </c>
      <c r="G4659" s="2969">
        <f>SUM(G4660:G4662)/3</f>
        <v>100</v>
      </c>
      <c r="H4659" s="1463"/>
    </row>
    <row r="4660" spans="2:8" ht="15.75" hidden="1" customHeight="1" x14ac:dyDescent="0.25">
      <c r="B4660" s="441"/>
      <c r="C4660" s="2524" t="s">
        <v>2979</v>
      </c>
      <c r="D4660" s="4066">
        <v>100000000</v>
      </c>
      <c r="E4660" s="4066">
        <v>99000000</v>
      </c>
      <c r="F4660" s="4066">
        <f t="shared" ref="F4660:F4662" si="404">E4660/D4660*100</f>
        <v>99</v>
      </c>
      <c r="G4660" s="4066">
        <v>100</v>
      </c>
      <c r="H4660" s="1463"/>
    </row>
    <row r="4661" spans="2:8" ht="15.75" hidden="1" customHeight="1" x14ac:dyDescent="0.25">
      <c r="B4661" s="441"/>
      <c r="C4661" s="2524" t="s">
        <v>2980</v>
      </c>
      <c r="D4661" s="4066">
        <v>110000000</v>
      </c>
      <c r="E4661" s="3556">
        <v>110000000</v>
      </c>
      <c r="F4661" s="4066">
        <f t="shared" si="404"/>
        <v>100</v>
      </c>
      <c r="G4661" s="4066">
        <v>100</v>
      </c>
      <c r="H4661" s="1463"/>
    </row>
    <row r="4662" spans="2:8" ht="15.75" hidden="1" customHeight="1" x14ac:dyDescent="0.25">
      <c r="B4662" s="441"/>
      <c r="C4662" s="2524" t="s">
        <v>2981</v>
      </c>
      <c r="D4662" s="4066">
        <v>50000000</v>
      </c>
      <c r="E4662" s="4066">
        <v>41500000</v>
      </c>
      <c r="F4662" s="4066">
        <f t="shared" si="404"/>
        <v>83</v>
      </c>
      <c r="G4662" s="4066">
        <v>100</v>
      </c>
      <c r="H4662" s="1463"/>
    </row>
    <row r="4663" spans="2:8" ht="12" hidden="1" customHeight="1" x14ac:dyDescent="0.25">
      <c r="B4663" s="441"/>
      <c r="C4663" s="2528"/>
      <c r="D4663" s="4290">
        <v>4722213330</v>
      </c>
      <c r="E4663" s="2784">
        <v>3369452500</v>
      </c>
      <c r="F4663" s="2840"/>
      <c r="G4663" s="3036"/>
      <c r="H4663" s="1463"/>
    </row>
    <row r="4664" spans="2:8" ht="17.25" customHeight="1" x14ac:dyDescent="0.25">
      <c r="B4664" s="440"/>
      <c r="C4664" s="3751" t="s">
        <v>2982</v>
      </c>
      <c r="D4664" s="4080">
        <f>SUM(D4665+D4669+D4673+D4679+D4684)</f>
        <v>4754663330</v>
      </c>
      <c r="E4664" s="2786">
        <f>SUM(E4665+E4669+E4673+E4679+E4684)</f>
        <v>3399452500</v>
      </c>
      <c r="F4664" s="2786">
        <f>E4664/D4664*100</f>
        <v>71.497228385253521</v>
      </c>
      <c r="G4664" s="2670">
        <f>SUM(G4665+G4669+G4673+G4679+G4684)/5</f>
        <v>86.933333333333323</v>
      </c>
      <c r="H4664" s="1463"/>
    </row>
    <row r="4665" spans="2:8" ht="18.75" customHeight="1" x14ac:dyDescent="0.25">
      <c r="B4665" s="441"/>
      <c r="C4665" s="2525" t="s">
        <v>2983</v>
      </c>
      <c r="D4665" s="4159">
        <f>SUM(D4666:D4667)</f>
        <v>182450000</v>
      </c>
      <c r="E4665" s="2813">
        <f>SUM(E4666:E4667)</f>
        <v>180000000</v>
      </c>
      <c r="F4665" s="2813">
        <f>E4665/D4665*100</f>
        <v>98.657166346944365</v>
      </c>
      <c r="G4665" s="3522">
        <f>SUM(G4666:G4667)/2</f>
        <v>100</v>
      </c>
      <c r="H4665" s="1463"/>
    </row>
    <row r="4666" spans="2:8" ht="31.5" hidden="1" customHeight="1" x14ac:dyDescent="0.25">
      <c r="B4666" s="441"/>
      <c r="C4666" s="2524" t="s">
        <v>2984</v>
      </c>
      <c r="D4666" s="4066">
        <v>150000000</v>
      </c>
      <c r="E4666" s="3556">
        <v>150000000</v>
      </c>
      <c r="F4666" s="4066">
        <f t="shared" ref="F4666:F4667" si="405">E4666/D4666*100</f>
        <v>100</v>
      </c>
      <c r="G4666" s="3556">
        <v>100</v>
      </c>
      <c r="H4666" s="1463"/>
    </row>
    <row r="4667" spans="2:8" ht="29.25" hidden="1" customHeight="1" x14ac:dyDescent="0.25">
      <c r="B4667" s="441"/>
      <c r="C4667" s="2524" t="s">
        <v>2985</v>
      </c>
      <c r="D4667" s="4287">
        <v>32450000</v>
      </c>
      <c r="E4667" s="3556">
        <v>30000000</v>
      </c>
      <c r="F4667" s="4066">
        <f t="shared" si="405"/>
        <v>92.449922958397536</v>
      </c>
      <c r="G4667" s="3556">
        <v>100</v>
      </c>
      <c r="H4667" s="1463"/>
    </row>
    <row r="4668" spans="2:8" ht="12" hidden="1" customHeight="1" x14ac:dyDescent="0.25">
      <c r="B4668" s="441"/>
      <c r="C4668" s="2527"/>
      <c r="D4668" s="3704"/>
      <c r="E4668" s="2690"/>
      <c r="F4668" s="2810"/>
      <c r="G4668" s="2968"/>
      <c r="H4668" s="1463"/>
    </row>
    <row r="4669" spans="2:8" ht="18" customHeight="1" x14ac:dyDescent="0.25">
      <c r="B4669" s="441"/>
      <c r="C4669" s="2525" t="s">
        <v>2986</v>
      </c>
      <c r="D4669" s="4159">
        <f>SUM(D4670:D4671)</f>
        <v>1592357500</v>
      </c>
      <c r="E4669" s="2813">
        <f>SUM(E4670:E4671)</f>
        <v>595957500</v>
      </c>
      <c r="F4669" s="2813">
        <f>E4669/D4669*100</f>
        <v>37.426111912682927</v>
      </c>
      <c r="G4669" s="3217">
        <f>SUM(G4670:G4671)/2</f>
        <v>75</v>
      </c>
      <c r="H4669" s="1463"/>
    </row>
    <row r="4670" spans="2:8" ht="28.5" hidden="1" customHeight="1" x14ac:dyDescent="0.25">
      <c r="B4670" s="441"/>
      <c r="C4670" s="2524" t="s">
        <v>2987</v>
      </c>
      <c r="D4670" s="3704">
        <v>95957500</v>
      </c>
      <c r="E4670" s="3216">
        <v>95957500</v>
      </c>
      <c r="F4670" s="4066">
        <f t="shared" ref="F4670:F4671" si="406">E4670/D4670*100</f>
        <v>100</v>
      </c>
      <c r="G4670" s="3216">
        <v>100</v>
      </c>
      <c r="H4670" s="1463"/>
    </row>
    <row r="4671" spans="2:8" ht="21.75" hidden="1" customHeight="1" x14ac:dyDescent="0.25">
      <c r="B4671" s="441"/>
      <c r="C4671" s="2524" t="s">
        <v>2988</v>
      </c>
      <c r="D4671" s="3704">
        <v>1496400000</v>
      </c>
      <c r="E4671" s="3216">
        <v>500000000</v>
      </c>
      <c r="F4671" s="4066">
        <f t="shared" si="406"/>
        <v>33.413525795241917</v>
      </c>
      <c r="G4671" s="3216">
        <v>50</v>
      </c>
      <c r="H4671" s="1463"/>
    </row>
    <row r="4672" spans="2:8" ht="12" hidden="1" customHeight="1" x14ac:dyDescent="0.25">
      <c r="B4672" s="441"/>
      <c r="C4672" s="2527"/>
      <c r="D4672" s="3704"/>
      <c r="E4672" s="3217"/>
      <c r="F4672" s="3217"/>
      <c r="G4672" s="2679"/>
      <c r="H4672" s="1463"/>
    </row>
    <row r="4673" spans="2:8" ht="17.25" customHeight="1" x14ac:dyDescent="0.25">
      <c r="B4673" s="441"/>
      <c r="C4673" s="2521" t="s">
        <v>2989</v>
      </c>
      <c r="D4673" s="4159">
        <f>SUM(D4674:D4677)</f>
        <v>892500000</v>
      </c>
      <c r="E4673" s="2813">
        <f>SUM(E4674:E4677)</f>
        <v>791152000</v>
      </c>
      <c r="F4673" s="3217">
        <f>E4673/D4673*100</f>
        <v>88.644481792717087</v>
      </c>
      <c r="G4673" s="2679">
        <f>SUM(G4674:G4677)/4</f>
        <v>95</v>
      </c>
      <c r="H4673" s="1463"/>
    </row>
    <row r="4674" spans="2:8" ht="21" hidden="1" customHeight="1" x14ac:dyDescent="0.25">
      <c r="B4674" s="441"/>
      <c r="C4674" s="2524" t="s">
        <v>4096</v>
      </c>
      <c r="D4674" s="4066">
        <v>250000000</v>
      </c>
      <c r="E4674" s="3216">
        <v>199182000</v>
      </c>
      <c r="F4674" s="4066">
        <f t="shared" ref="F4674:F4677" si="407">E4674/D4674*100</f>
        <v>79.672799999999995</v>
      </c>
      <c r="G4674" s="3216">
        <v>90</v>
      </c>
      <c r="H4674" s="1463"/>
    </row>
    <row r="4675" spans="2:8" ht="20.25" hidden="1" customHeight="1" x14ac:dyDescent="0.25">
      <c r="B4675" s="441"/>
      <c r="C4675" s="3672" t="s">
        <v>3818</v>
      </c>
      <c r="D4675" s="4066">
        <v>250000000</v>
      </c>
      <c r="E4675" s="3216">
        <v>199850000</v>
      </c>
      <c r="F4675" s="4066">
        <f t="shared" si="407"/>
        <v>79.94</v>
      </c>
      <c r="G4675" s="3216">
        <v>90</v>
      </c>
      <c r="H4675" s="1463"/>
    </row>
    <row r="4676" spans="2:8" ht="21" hidden="1" customHeight="1" x14ac:dyDescent="0.25">
      <c r="B4676" s="441"/>
      <c r="C4676" s="2524" t="s">
        <v>3819</v>
      </c>
      <c r="D4676" s="4066">
        <v>194500000</v>
      </c>
      <c r="E4676" s="4066">
        <v>194120000</v>
      </c>
      <c r="F4676" s="4066">
        <f t="shared" si="407"/>
        <v>99.804627249357324</v>
      </c>
      <c r="G4676" s="4066">
        <v>100</v>
      </c>
      <c r="H4676" s="1463"/>
    </row>
    <row r="4677" spans="2:8" ht="18.75" hidden="1" customHeight="1" x14ac:dyDescent="0.25">
      <c r="B4677" s="441"/>
      <c r="C4677" s="3672" t="s">
        <v>3153</v>
      </c>
      <c r="D4677" s="4066">
        <v>198000000</v>
      </c>
      <c r="E4677" s="3216">
        <v>198000000</v>
      </c>
      <c r="F4677" s="4066">
        <f t="shared" si="407"/>
        <v>100</v>
      </c>
      <c r="G4677" s="3216">
        <v>100</v>
      </c>
      <c r="H4677" s="1463"/>
    </row>
    <row r="4678" spans="2:8" ht="10.5" hidden="1" customHeight="1" x14ac:dyDescent="0.25">
      <c r="B4678" s="441"/>
      <c r="C4678" s="2524"/>
      <c r="D4678" s="3704"/>
      <c r="E4678" s="3216"/>
      <c r="F4678" s="3216"/>
      <c r="G4678" s="3037"/>
      <c r="H4678" s="1463"/>
    </row>
    <row r="4679" spans="2:8" ht="15.75" customHeight="1" x14ac:dyDescent="0.25">
      <c r="B4679" s="441"/>
      <c r="C4679" s="2521" t="s">
        <v>2990</v>
      </c>
      <c r="D4679" s="4159">
        <f>SUM(D4680+D4681+D4682)</f>
        <v>1525000000</v>
      </c>
      <c r="E4679" s="2813">
        <f>SUM(E4680+E4681+E4682)</f>
        <v>1480083000</v>
      </c>
      <c r="F4679" s="2695">
        <f>E4679/D4679*100</f>
        <v>97.054622950819663</v>
      </c>
      <c r="G4679" s="2969">
        <f>SUM(G4680:G4682)/3</f>
        <v>99.333333333333329</v>
      </c>
      <c r="H4679" s="1463"/>
    </row>
    <row r="4680" spans="2:8" ht="19.5" hidden="1" customHeight="1" x14ac:dyDescent="0.25">
      <c r="B4680" s="441"/>
      <c r="C4680" s="2524" t="s">
        <v>2991</v>
      </c>
      <c r="D4680" s="4066">
        <v>225000000</v>
      </c>
      <c r="E4680" s="4066">
        <v>223530000</v>
      </c>
      <c r="F4680" s="4066">
        <f t="shared" ref="F4680:F4682" si="408">E4680/D4680*100</f>
        <v>99.346666666666678</v>
      </c>
      <c r="G4680" s="4066">
        <v>100</v>
      </c>
      <c r="H4680" s="1463"/>
    </row>
    <row r="4681" spans="2:8" ht="17.25" hidden="1" customHeight="1" x14ac:dyDescent="0.25">
      <c r="B4681" s="441"/>
      <c r="C4681" s="3672" t="s">
        <v>3154</v>
      </c>
      <c r="D4681" s="4066">
        <v>1000000000</v>
      </c>
      <c r="E4681" s="4066">
        <v>957823000</v>
      </c>
      <c r="F4681" s="4066">
        <f t="shared" si="408"/>
        <v>95.782299999999992</v>
      </c>
      <c r="G4681" s="4066">
        <v>98</v>
      </c>
      <c r="H4681" s="1463"/>
    </row>
    <row r="4682" spans="2:8" ht="19.5" hidden="1" customHeight="1" x14ac:dyDescent="0.25">
      <c r="B4682" s="441"/>
      <c r="C4682" s="3672" t="s">
        <v>3820</v>
      </c>
      <c r="D4682" s="4066">
        <v>300000000</v>
      </c>
      <c r="E4682" s="3216">
        <v>298730000</v>
      </c>
      <c r="F4682" s="4066">
        <f t="shared" si="408"/>
        <v>99.576666666666668</v>
      </c>
      <c r="G4682" s="3216">
        <v>100</v>
      </c>
      <c r="H4682" s="1463"/>
    </row>
    <row r="4683" spans="2:8" ht="12" hidden="1" customHeight="1" x14ac:dyDescent="0.25">
      <c r="B4683" s="441"/>
      <c r="C4683" s="2528"/>
      <c r="D4683" s="3704"/>
      <c r="E4683" s="3035"/>
      <c r="F4683" s="3035"/>
      <c r="G4683" s="3036"/>
      <c r="H4683" s="1463"/>
    </row>
    <row r="4684" spans="2:8" ht="15" customHeight="1" x14ac:dyDescent="0.25">
      <c r="B4684" s="441"/>
      <c r="C4684" s="3701" t="s">
        <v>3814</v>
      </c>
      <c r="D4684" s="4158">
        <f>SUM(D4685:D4687)</f>
        <v>562355830</v>
      </c>
      <c r="E4684" s="3841">
        <f>SUM(E4685:E4687)</f>
        <v>352260000</v>
      </c>
      <c r="F4684" s="4158">
        <f t="shared" ref="F4684:F4687" si="409">E4684/D4684*100</f>
        <v>62.640054785241581</v>
      </c>
      <c r="G4684" s="4159">
        <f>SUM(G4685:G4687)/3</f>
        <v>65.333333333333329</v>
      </c>
      <c r="H4684" s="1463"/>
    </row>
    <row r="4685" spans="2:8" ht="18" hidden="1" customHeight="1" x14ac:dyDescent="0.25">
      <c r="B4685" s="444"/>
      <c r="C4685" s="3703" t="s">
        <v>3815</v>
      </c>
      <c r="D4685" s="3704">
        <v>187500000</v>
      </c>
      <c r="E4685" s="3216">
        <v>0</v>
      </c>
      <c r="F4685" s="3216">
        <v>0</v>
      </c>
      <c r="G4685" s="3216">
        <v>0</v>
      </c>
      <c r="H4685" s="1463"/>
    </row>
    <row r="4686" spans="2:8" ht="16.5" hidden="1" customHeight="1" x14ac:dyDescent="0.25">
      <c r="B4686" s="441"/>
      <c r="C4686" s="3703" t="s">
        <v>3816</v>
      </c>
      <c r="D4686" s="3704">
        <v>175000000</v>
      </c>
      <c r="E4686" s="3704">
        <v>166060000</v>
      </c>
      <c r="F4686" s="3704">
        <f t="shared" si="409"/>
        <v>94.891428571428577</v>
      </c>
      <c r="G4686" s="3704">
        <v>98</v>
      </c>
      <c r="H4686" s="1463"/>
    </row>
    <row r="4687" spans="2:8" ht="21.75" hidden="1" customHeight="1" x14ac:dyDescent="0.25">
      <c r="B4687" s="441"/>
      <c r="C4687" s="3703" t="s">
        <v>3817</v>
      </c>
      <c r="D4687" s="3704">
        <v>199855830</v>
      </c>
      <c r="E4687" s="3704">
        <v>186200000</v>
      </c>
      <c r="F4687" s="3704">
        <f t="shared" si="409"/>
        <v>93.167159546959425</v>
      </c>
      <c r="G4687" s="3704">
        <v>98</v>
      </c>
      <c r="H4687" s="1463"/>
    </row>
    <row r="4688" spans="2:8" ht="12" hidden="1" customHeight="1" x14ac:dyDescent="0.25">
      <c r="B4688" s="441"/>
      <c r="C4688" s="2528"/>
      <c r="D4688" s="4290"/>
      <c r="E4688" s="3060"/>
      <c r="F4688" s="3496"/>
      <c r="G4688" s="3036"/>
      <c r="H4688" s="1463"/>
    </row>
    <row r="4689" spans="2:8" ht="17.25" customHeight="1" x14ac:dyDescent="0.25">
      <c r="B4689" s="440"/>
      <c r="C4689" s="2497" t="s">
        <v>2992</v>
      </c>
      <c r="D4689" s="4080">
        <f>D4690</f>
        <v>471000000</v>
      </c>
      <c r="E4689" s="2719">
        <f>E4690</f>
        <v>470900000</v>
      </c>
      <c r="F4689" s="2672">
        <f>E4689/D4689*100</f>
        <v>99.978768577494691</v>
      </c>
      <c r="G4689" s="2670">
        <f>G4690</f>
        <v>100</v>
      </c>
      <c r="H4689" s="1463"/>
    </row>
    <row r="4690" spans="2:8" ht="15.75" customHeight="1" x14ac:dyDescent="0.25">
      <c r="B4690" s="449"/>
      <c r="C4690" s="2525" t="s">
        <v>2993</v>
      </c>
      <c r="D4690" s="4280">
        <f>D4691</f>
        <v>471000000</v>
      </c>
      <c r="E4690" s="2722">
        <f>E4691</f>
        <v>470900000</v>
      </c>
      <c r="F4690" s="2695">
        <f>E4690/D4690*100</f>
        <v>99.978768577494691</v>
      </c>
      <c r="G4690" s="2969">
        <f>G4691</f>
        <v>100</v>
      </c>
      <c r="H4690" s="1463"/>
    </row>
    <row r="4691" spans="2:8" ht="16.5" hidden="1" customHeight="1" x14ac:dyDescent="0.25">
      <c r="B4691" s="449"/>
      <c r="C4691" s="2524" t="s">
        <v>2994</v>
      </c>
      <c r="D4691" s="4066">
        <v>471000000</v>
      </c>
      <c r="E4691" s="4066">
        <v>470900000</v>
      </c>
      <c r="F4691" s="4066">
        <f t="shared" ref="F4691" si="410">E4691/D4691*100</f>
        <v>99.978768577494691</v>
      </c>
      <c r="G4691" s="4066">
        <v>100</v>
      </c>
      <c r="H4691" s="1463"/>
    </row>
    <row r="4692" spans="2:8" ht="12" hidden="1" customHeight="1" x14ac:dyDescent="0.25">
      <c r="B4692" s="445"/>
      <c r="C4692" s="2528"/>
      <c r="D4692" s="4290"/>
      <c r="E4692" s="4160"/>
      <c r="F4692" s="3060"/>
      <c r="G4692" s="3058"/>
      <c r="H4692" s="1463"/>
    </row>
    <row r="4693" spans="2:8" ht="15" customHeight="1" x14ac:dyDescent="0.25">
      <c r="B4693" s="440"/>
      <c r="C4693" s="2497" t="s">
        <v>2995</v>
      </c>
      <c r="D4693" s="4080">
        <f>SUM(D4694+D4699+D4710+D4707+D4714)</f>
        <v>2218054000</v>
      </c>
      <c r="E4693" s="2786">
        <f>SUM(E4694+E4699+E4707+E4710+E4714)</f>
        <v>2189786700</v>
      </c>
      <c r="F4693" s="2672">
        <f>E4693/D4693*100</f>
        <v>98.72558107241754</v>
      </c>
      <c r="G4693" s="2670">
        <f>SUM(G4694+G4699+G4707+G4710+G4714)/5</f>
        <v>98.881249999999994</v>
      </c>
      <c r="H4693" s="1463"/>
    </row>
    <row r="4694" spans="2:8" ht="18" customHeight="1" x14ac:dyDescent="0.25">
      <c r="B4694" s="441"/>
      <c r="C4694" s="2525" t="s">
        <v>2996</v>
      </c>
      <c r="D4694" s="4158">
        <f>SUM(D4695:D4697)</f>
        <v>510000000</v>
      </c>
      <c r="E4694" s="3214">
        <f>SUM(E4695:E4697)</f>
        <v>507874000</v>
      </c>
      <c r="F4694" s="2695">
        <f>E4694/D4694*100</f>
        <v>99.58313725490197</v>
      </c>
      <c r="G4694" s="2969">
        <f>SUM(G4695:G4697)/2</f>
        <v>99.95</v>
      </c>
      <c r="H4694" s="1463"/>
    </row>
    <row r="4695" spans="2:8" ht="15" hidden="1" customHeight="1" x14ac:dyDescent="0.25">
      <c r="B4695" s="441"/>
      <c r="C4695" s="2524" t="s">
        <v>2997</v>
      </c>
      <c r="D4695" s="4283" t="s">
        <v>3317</v>
      </c>
      <c r="E4695" s="3660" t="s">
        <v>3317</v>
      </c>
      <c r="F4695" s="3660" t="s">
        <v>3317</v>
      </c>
      <c r="G4695" s="3660" t="s">
        <v>3317</v>
      </c>
      <c r="H4695" s="1463"/>
    </row>
    <row r="4696" spans="2:8" ht="16.5" hidden="1" customHeight="1" x14ac:dyDescent="0.25">
      <c r="B4696" s="441"/>
      <c r="C4696" s="2524" t="s">
        <v>2998</v>
      </c>
      <c r="D4696" s="4066">
        <v>270000000</v>
      </c>
      <c r="E4696" s="4066">
        <v>269874000</v>
      </c>
      <c r="F4696" s="4066">
        <f t="shared" ref="F4696:F4697" si="411">E4696/D4696*100</f>
        <v>99.953333333333333</v>
      </c>
      <c r="G4696" s="4066">
        <v>100</v>
      </c>
      <c r="H4696" s="1463"/>
    </row>
    <row r="4697" spans="2:8" ht="17.25" hidden="1" customHeight="1" x14ac:dyDescent="0.25">
      <c r="B4697" s="441"/>
      <c r="C4697" s="2524" t="s">
        <v>2999</v>
      </c>
      <c r="D4697" s="4066">
        <v>240000000</v>
      </c>
      <c r="E4697" s="4066">
        <v>238000000</v>
      </c>
      <c r="F4697" s="4066">
        <f t="shared" si="411"/>
        <v>99.166666666666671</v>
      </c>
      <c r="G4697" s="4066">
        <v>99.9</v>
      </c>
      <c r="H4697" s="1463"/>
    </row>
    <row r="4698" spans="2:8" ht="8.25" hidden="1" customHeight="1" x14ac:dyDescent="0.25">
      <c r="B4698" s="441"/>
      <c r="C4698" s="2527"/>
      <c r="D4698" s="3704"/>
      <c r="E4698" s="3035"/>
      <c r="F4698" s="3035"/>
      <c r="G4698" s="3037"/>
      <c r="H4698" s="1463"/>
    </row>
    <row r="4699" spans="2:8" ht="17.25" customHeight="1" x14ac:dyDescent="0.25">
      <c r="B4699" s="441"/>
      <c r="C4699" s="2525" t="s">
        <v>3000</v>
      </c>
      <c r="D4699" s="4159">
        <f>SUM(D4700:D4705)</f>
        <v>908054000</v>
      </c>
      <c r="E4699" s="2679">
        <f>SUM(E4700:E4705)</f>
        <v>898797700</v>
      </c>
      <c r="F4699" s="3217">
        <f>E4699/D4699*100</f>
        <v>98.980644322914713</v>
      </c>
      <c r="G4699" s="2969">
        <f>SUM(G4701:G4705)/4</f>
        <v>99.456249999999997</v>
      </c>
      <c r="H4699" s="1463"/>
    </row>
    <row r="4700" spans="2:8" ht="16.5" hidden="1" customHeight="1" x14ac:dyDescent="0.25">
      <c r="B4700" s="441"/>
      <c r="C4700" s="2524" t="s">
        <v>3001</v>
      </c>
      <c r="D4700" s="4283" t="s">
        <v>3317</v>
      </c>
      <c r="E4700" s="3660" t="s">
        <v>3317</v>
      </c>
      <c r="F4700" s="3660" t="s">
        <v>3317</v>
      </c>
      <c r="G4700" s="3660" t="s">
        <v>3317</v>
      </c>
      <c r="H4700" s="1463"/>
    </row>
    <row r="4701" spans="2:8" ht="18" hidden="1" customHeight="1" x14ac:dyDescent="0.25">
      <c r="B4701" s="441"/>
      <c r="C4701" s="2524" t="s">
        <v>3002</v>
      </c>
      <c r="D4701" s="4066">
        <v>140000000</v>
      </c>
      <c r="E4701" s="4066">
        <v>139755000</v>
      </c>
      <c r="F4701" s="4066">
        <f t="shared" ref="F4701:F4705" si="412">E4701/D4701*100</f>
        <v>99.825000000000003</v>
      </c>
      <c r="G4701" s="4066">
        <v>99.825000000000003</v>
      </c>
      <c r="H4701" s="1463"/>
    </row>
    <row r="4702" spans="2:8" ht="17.25" hidden="1" customHeight="1" x14ac:dyDescent="0.25">
      <c r="B4702" s="441"/>
      <c r="C4702" s="2524" t="s">
        <v>3821</v>
      </c>
      <c r="D4702" s="4066">
        <v>168027000</v>
      </c>
      <c r="E4702" s="3216">
        <v>159529700</v>
      </c>
      <c r="F4702" s="4066">
        <f t="shared" si="412"/>
        <v>94.942896082177271</v>
      </c>
      <c r="G4702" s="3216">
        <v>98</v>
      </c>
      <c r="H4702" s="1463"/>
    </row>
    <row r="4703" spans="2:8" ht="17.25" hidden="1" customHeight="1" x14ac:dyDescent="0.25">
      <c r="B4703" s="441"/>
      <c r="C4703" s="2524" t="s">
        <v>3822</v>
      </c>
      <c r="D4703" s="4066">
        <v>150000000</v>
      </c>
      <c r="E4703" s="3216">
        <v>149910000</v>
      </c>
      <c r="F4703" s="4066">
        <f t="shared" si="412"/>
        <v>99.94</v>
      </c>
      <c r="G4703" s="3216">
        <v>100</v>
      </c>
      <c r="H4703" s="1463"/>
    </row>
    <row r="4704" spans="2:8" ht="17.25" hidden="1" customHeight="1" x14ac:dyDescent="0.25">
      <c r="B4704" s="441"/>
      <c r="C4704" s="2524" t="s">
        <v>3823</v>
      </c>
      <c r="D4704" s="3704" t="s">
        <v>3317</v>
      </c>
      <c r="E4704" s="3216" t="s">
        <v>3317</v>
      </c>
      <c r="F4704" s="3216" t="s">
        <v>3317</v>
      </c>
      <c r="G4704" s="3216" t="s">
        <v>3317</v>
      </c>
      <c r="H4704" s="1463"/>
    </row>
    <row r="4705" spans="2:8" ht="14.25" hidden="1" customHeight="1" x14ac:dyDescent="0.25">
      <c r="B4705" s="441"/>
      <c r="C4705" s="3672" t="s">
        <v>3824</v>
      </c>
      <c r="D4705" s="4066">
        <v>450027000</v>
      </c>
      <c r="E4705" s="3216">
        <v>449603000</v>
      </c>
      <c r="F4705" s="4066">
        <f t="shared" si="412"/>
        <v>99.905783430771933</v>
      </c>
      <c r="G4705" s="3216">
        <v>100</v>
      </c>
      <c r="H4705" s="1463"/>
    </row>
    <row r="4706" spans="2:8" ht="11.25" hidden="1" customHeight="1" x14ac:dyDescent="0.25">
      <c r="B4706" s="441"/>
      <c r="C4706" s="3672"/>
      <c r="D4706" s="4286"/>
      <c r="E4706" s="3542"/>
      <c r="F4706" s="3542"/>
      <c r="G4706" s="3036"/>
      <c r="H4706" s="1463"/>
    </row>
    <row r="4707" spans="2:8" ht="18.75" customHeight="1" x14ac:dyDescent="0.25">
      <c r="B4707" s="441"/>
      <c r="C4707" s="3674" t="s">
        <v>3825</v>
      </c>
      <c r="D4707" s="4291">
        <f>D4708</f>
        <v>200000000</v>
      </c>
      <c r="E4707" s="2934">
        <f>E4708</f>
        <v>199870000</v>
      </c>
      <c r="F4707" s="3217">
        <f>E4707/D4707*100</f>
        <v>99.935000000000002</v>
      </c>
      <c r="G4707" s="3002">
        <f>G4708</f>
        <v>100</v>
      </c>
      <c r="H4707" s="1463"/>
    </row>
    <row r="4708" spans="2:8" ht="14.25" hidden="1" customHeight="1" x14ac:dyDescent="0.25">
      <c r="B4708" s="441"/>
      <c r="C4708" s="3672" t="s">
        <v>3826</v>
      </c>
      <c r="D4708" s="4066">
        <v>200000000</v>
      </c>
      <c r="E4708" s="4066">
        <v>199870000</v>
      </c>
      <c r="F4708" s="4066">
        <f t="shared" ref="F4708" si="413">E4708/D4708*100</f>
        <v>99.935000000000002</v>
      </c>
      <c r="G4708" s="4066">
        <v>100</v>
      </c>
      <c r="H4708" s="1463"/>
    </row>
    <row r="4709" spans="2:8" ht="14.25" hidden="1" customHeight="1" x14ac:dyDescent="0.25">
      <c r="B4709" s="441"/>
      <c r="C4709" s="3672"/>
      <c r="D4709" s="4286"/>
      <c r="E4709" s="3542"/>
      <c r="F4709" s="3542"/>
      <c r="G4709" s="3036"/>
      <c r="H4709" s="1463"/>
    </row>
    <row r="4710" spans="2:8" ht="17.25" customHeight="1" x14ac:dyDescent="0.25">
      <c r="B4710" s="441"/>
      <c r="C4710" s="2525" t="s">
        <v>3003</v>
      </c>
      <c r="D4710" s="4159">
        <f>SUM(D4711:D4712)</f>
        <v>200000000</v>
      </c>
      <c r="E4710" s="2813">
        <f>SUM(E4711:E4712)</f>
        <v>183560000</v>
      </c>
      <c r="F4710" s="3217">
        <f>E4710/D4710*100</f>
        <v>91.78</v>
      </c>
      <c r="G4710" s="2969">
        <f>SUM(G4711:G4712)/2</f>
        <v>95</v>
      </c>
      <c r="H4710" s="1463"/>
    </row>
    <row r="4711" spans="2:8" ht="30.75" hidden="1" customHeight="1" x14ac:dyDescent="0.25">
      <c r="B4711" s="441"/>
      <c r="C4711" s="2524" t="s">
        <v>3004</v>
      </c>
      <c r="D4711" s="4301">
        <v>100000000</v>
      </c>
      <c r="E4711" s="3216">
        <v>100000000</v>
      </c>
      <c r="F4711" s="4066">
        <f t="shared" ref="F4711:F4712" si="414">E4711/D4711*100</f>
        <v>100</v>
      </c>
      <c r="G4711" s="3216">
        <v>100</v>
      </c>
      <c r="H4711" s="1463"/>
    </row>
    <row r="4712" spans="2:8" ht="29.25" hidden="1" customHeight="1" x14ac:dyDescent="0.25">
      <c r="B4712" s="441"/>
      <c r="C4712" s="2524" t="s">
        <v>3005</v>
      </c>
      <c r="D4712" s="3704">
        <v>100000000</v>
      </c>
      <c r="E4712" s="3216">
        <v>83560000</v>
      </c>
      <c r="F4712" s="4066">
        <f t="shared" si="414"/>
        <v>83.56</v>
      </c>
      <c r="G4712" s="2967">
        <v>90</v>
      </c>
      <c r="H4712" s="1463"/>
    </row>
    <row r="4713" spans="2:8" ht="12.75" hidden="1" customHeight="1" x14ac:dyDescent="0.25">
      <c r="B4713" s="441"/>
      <c r="C4713" s="2524"/>
      <c r="D4713" s="3704"/>
      <c r="E4713" s="3216"/>
      <c r="F4713" s="3216"/>
      <c r="G4713" s="3037"/>
      <c r="H4713" s="1463"/>
    </row>
    <row r="4714" spans="2:8" ht="20.25" customHeight="1" x14ac:dyDescent="0.25">
      <c r="B4714" s="441"/>
      <c r="C4714" s="2525" t="s">
        <v>3006</v>
      </c>
      <c r="D4714" s="4159">
        <f>SUM(D4715:D4716)</f>
        <v>400000000</v>
      </c>
      <c r="E4714" s="2679">
        <f>SUM(E4715:E4716)</f>
        <v>399685000</v>
      </c>
      <c r="F4714" s="3217">
        <f>E4714/D4714*100</f>
        <v>99.921250000000001</v>
      </c>
      <c r="G4714" s="4023">
        <f>SUM(G4715:G4716)/2</f>
        <v>100</v>
      </c>
      <c r="H4714" s="1463"/>
    </row>
    <row r="4715" spans="2:8" ht="17.25" hidden="1" customHeight="1" x14ac:dyDescent="0.25">
      <c r="B4715" s="441"/>
      <c r="C4715" s="2524" t="s">
        <v>3007</v>
      </c>
      <c r="D4715" s="4066">
        <v>100000000</v>
      </c>
      <c r="E4715" s="4066">
        <v>99825000</v>
      </c>
      <c r="F4715" s="4066">
        <f t="shared" ref="F4715:F4716" si="415">E4715/D4715*100</f>
        <v>99.825000000000003</v>
      </c>
      <c r="G4715" s="4066">
        <v>100</v>
      </c>
      <c r="H4715" s="1463"/>
    </row>
    <row r="4716" spans="2:8" ht="18" hidden="1" customHeight="1" x14ac:dyDescent="0.25">
      <c r="B4716" s="441"/>
      <c r="C4716" s="3672" t="s">
        <v>3827</v>
      </c>
      <c r="D4716" s="4066">
        <v>300000000</v>
      </c>
      <c r="E4716" s="4066">
        <v>299860000</v>
      </c>
      <c r="F4716" s="4066">
        <f t="shared" si="415"/>
        <v>99.953333333333333</v>
      </c>
      <c r="G4716" s="4066">
        <v>100</v>
      </c>
      <c r="H4716" s="1463"/>
    </row>
    <row r="4717" spans="2:8" ht="12" hidden="1" customHeight="1" x14ac:dyDescent="0.25">
      <c r="B4717" s="441"/>
      <c r="C4717" s="3745"/>
      <c r="D4717" s="4290"/>
      <c r="E4717" s="2784"/>
      <c r="F4717" s="2784"/>
      <c r="G4717" s="3036"/>
      <c r="H4717" s="1463"/>
    </row>
    <row r="4718" spans="2:8" ht="18.75" customHeight="1" x14ac:dyDescent="0.25">
      <c r="B4718" s="440"/>
      <c r="C4718" s="2497" t="s">
        <v>3008</v>
      </c>
      <c r="D4718" s="4080">
        <v>0</v>
      </c>
      <c r="E4718" s="4080">
        <v>0</v>
      </c>
      <c r="F4718" s="4080">
        <v>0</v>
      </c>
      <c r="G4718" s="4080">
        <v>0</v>
      </c>
      <c r="H4718" s="1463"/>
    </row>
    <row r="4719" spans="2:8" ht="15.75" customHeight="1" x14ac:dyDescent="0.25">
      <c r="B4719" s="445"/>
      <c r="C4719" s="2525" t="s">
        <v>3009</v>
      </c>
      <c r="D4719" s="4159">
        <v>0</v>
      </c>
      <c r="E4719" s="4159">
        <v>0</v>
      </c>
      <c r="F4719" s="4159">
        <v>0</v>
      </c>
      <c r="G4719" s="4159">
        <v>0</v>
      </c>
      <c r="H4719" s="1463"/>
    </row>
    <row r="4720" spans="2:8" ht="17.25" hidden="1" customHeight="1" x14ac:dyDescent="0.25">
      <c r="B4720" s="441"/>
      <c r="C4720" s="2524" t="s">
        <v>3010</v>
      </c>
      <c r="D4720" s="3704">
        <v>0</v>
      </c>
      <c r="E4720" s="3704">
        <v>0</v>
      </c>
      <c r="F4720" s="3704">
        <v>0</v>
      </c>
      <c r="G4720" s="3704">
        <v>0</v>
      </c>
      <c r="H4720" s="1463"/>
    </row>
    <row r="4721" spans="2:8" ht="16.5" hidden="1" customHeight="1" x14ac:dyDescent="0.25">
      <c r="B4721" s="441"/>
      <c r="C4721" s="2524" t="s">
        <v>3011</v>
      </c>
      <c r="D4721" s="3704">
        <v>0</v>
      </c>
      <c r="E4721" s="3704">
        <v>0</v>
      </c>
      <c r="F4721" s="3704">
        <v>0</v>
      </c>
      <c r="G4721" s="3704">
        <v>0</v>
      </c>
      <c r="H4721" s="1463"/>
    </row>
    <row r="4722" spans="2:8" ht="12" hidden="1" customHeight="1" x14ac:dyDescent="0.25">
      <c r="B4722" s="441"/>
      <c r="C4722" s="2528"/>
      <c r="D4722" s="4290"/>
      <c r="E4722" s="3060"/>
      <c r="F4722" s="2784"/>
      <c r="G4722" s="3036"/>
      <c r="H4722" s="1463"/>
    </row>
    <row r="4723" spans="2:8" ht="18" customHeight="1" x14ac:dyDescent="0.25">
      <c r="B4723" s="440"/>
      <c r="C4723" s="2497" t="s">
        <v>3012</v>
      </c>
      <c r="D4723" s="4080">
        <f>SUM(D4724+D4730+D4745+D4741+D4749+D4752+D4756+D4761)</f>
        <v>3729792000</v>
      </c>
      <c r="E4723" s="2786">
        <f>SUM(E4724+E4730+E4745+E4741+E4749+E4752+E4756+E4761)</f>
        <v>3657159731</v>
      </c>
      <c r="F4723" s="3550">
        <f>E4723/D4723*100</f>
        <v>98.052645589888115</v>
      </c>
      <c r="G4723" s="3550">
        <f>SUM(G4724+G4730+G4741+G4745+G4752+G4756+G4761)/7</f>
        <v>92.753571428571419</v>
      </c>
      <c r="H4723" s="2786"/>
    </row>
    <row r="4724" spans="2:8" ht="19.5" customHeight="1" x14ac:dyDescent="0.25">
      <c r="B4724" s="441"/>
      <c r="C4724" s="2525" t="s">
        <v>3013</v>
      </c>
      <c r="D4724" s="4280">
        <f>SUM(D4725:D4728)</f>
        <v>300000000</v>
      </c>
      <c r="E4724" s="2801">
        <f>SUM(E4725:E4728)</f>
        <v>249179131</v>
      </c>
      <c r="F4724" s="4072">
        <f t="shared" ref="F4724:F4725" si="416">E4724/D4724*100</f>
        <v>83.059710333333342</v>
      </c>
      <c r="G4724" s="3217">
        <f>SUM(G4725)/2</f>
        <v>50</v>
      </c>
      <c r="H4724" s="1463"/>
    </row>
    <row r="4725" spans="2:8" ht="14.25" hidden="1" customHeight="1" x14ac:dyDescent="0.25">
      <c r="B4725" s="441"/>
      <c r="C4725" s="2524" t="s">
        <v>3014</v>
      </c>
      <c r="D4725" s="4164">
        <v>250000000</v>
      </c>
      <c r="E4725" s="3216">
        <v>249179131</v>
      </c>
      <c r="F4725" s="4066">
        <f t="shared" si="416"/>
        <v>99.671652399999999</v>
      </c>
      <c r="G4725" s="3216">
        <v>100</v>
      </c>
      <c r="H4725" s="1463"/>
    </row>
    <row r="4726" spans="2:8" ht="15.75" hidden="1" customHeight="1" x14ac:dyDescent="0.25">
      <c r="B4726" s="441"/>
      <c r="C4726" s="2524" t="s">
        <v>3015</v>
      </c>
      <c r="D4726" s="4283" t="s">
        <v>3317</v>
      </c>
      <c r="E4726" s="3660" t="s">
        <v>3317</v>
      </c>
      <c r="F4726" s="3660" t="s">
        <v>3317</v>
      </c>
      <c r="G4726" s="3660" t="s">
        <v>3317</v>
      </c>
      <c r="H4726" s="1463"/>
    </row>
    <row r="4727" spans="2:8" ht="16.5" hidden="1" customHeight="1" x14ac:dyDescent="0.25">
      <c r="B4727" s="441"/>
      <c r="C4727" s="2524" t="s">
        <v>3016</v>
      </c>
      <c r="D4727" s="4283" t="s">
        <v>3317</v>
      </c>
      <c r="E4727" s="3660" t="s">
        <v>3317</v>
      </c>
      <c r="F4727" s="3660" t="s">
        <v>3317</v>
      </c>
      <c r="G4727" s="3660" t="s">
        <v>3317</v>
      </c>
      <c r="H4727" s="1463"/>
    </row>
    <row r="4728" spans="2:8" ht="16.5" hidden="1" customHeight="1" x14ac:dyDescent="0.25">
      <c r="B4728" s="441"/>
      <c r="C4728" s="2526" t="s">
        <v>3828</v>
      </c>
      <c r="D4728" s="4373">
        <v>50000000</v>
      </c>
      <c r="E4728" s="3216">
        <v>0</v>
      </c>
      <c r="F4728" s="3216">
        <v>0</v>
      </c>
      <c r="G4728" s="3216">
        <v>0</v>
      </c>
      <c r="H4728" s="1463"/>
    </row>
    <row r="4729" spans="2:8" ht="12.75" hidden="1" customHeight="1" x14ac:dyDescent="0.25">
      <c r="B4729" s="444"/>
      <c r="C4729" s="2524"/>
      <c r="D4729" s="4373"/>
      <c r="E4729" s="4161"/>
      <c r="F4729" s="2818"/>
      <c r="G4729" s="2985"/>
      <c r="H4729" s="1463"/>
    </row>
    <row r="4730" spans="2:8" ht="16.5" customHeight="1" x14ac:dyDescent="0.25">
      <c r="B4730" s="441"/>
      <c r="C4730" s="2525" t="s">
        <v>3017</v>
      </c>
      <c r="D4730" s="4159">
        <f>SUM(D4731:D4739)</f>
        <v>1202950000</v>
      </c>
      <c r="E4730" s="2813">
        <f>SUM(E4731:E4739)</f>
        <v>1196805600</v>
      </c>
      <c r="F4730" s="4072">
        <f t="shared" ref="F4730:F4742" si="417">E4730/D4730*100</f>
        <v>99.48922232844258</v>
      </c>
      <c r="G4730" s="3217">
        <f>SUM(G4731:G4739)/8</f>
        <v>99.875</v>
      </c>
      <c r="H4730" s="1463"/>
    </row>
    <row r="4731" spans="2:8" ht="16.5" hidden="1" customHeight="1" x14ac:dyDescent="0.25">
      <c r="B4731" s="441"/>
      <c r="C4731" s="2524" t="s">
        <v>3018</v>
      </c>
      <c r="D4731" s="4164">
        <v>30000000</v>
      </c>
      <c r="E4731" s="3216">
        <v>30000000</v>
      </c>
      <c r="F4731" s="4066">
        <f t="shared" si="417"/>
        <v>100</v>
      </c>
      <c r="G4731" s="3216">
        <v>100</v>
      </c>
      <c r="H4731" s="1463"/>
    </row>
    <row r="4732" spans="2:8" ht="16.5" hidden="1" customHeight="1" x14ac:dyDescent="0.25">
      <c r="B4732" s="441"/>
      <c r="C4732" s="2524" t="s">
        <v>3019</v>
      </c>
      <c r="D4732" s="4164">
        <v>170000000</v>
      </c>
      <c r="E4732" s="3216">
        <v>170000000</v>
      </c>
      <c r="F4732" s="4066">
        <f t="shared" si="417"/>
        <v>100</v>
      </c>
      <c r="G4732" s="3216">
        <v>100</v>
      </c>
      <c r="H4732" s="1463"/>
    </row>
    <row r="4733" spans="2:8" ht="16.5" hidden="1" customHeight="1" x14ac:dyDescent="0.25">
      <c r="B4733" s="441"/>
      <c r="C4733" s="2524" t="s">
        <v>3020</v>
      </c>
      <c r="D4733" s="3704" t="s">
        <v>3317</v>
      </c>
      <c r="E4733" s="3216" t="s">
        <v>3317</v>
      </c>
      <c r="F4733" s="3216" t="s">
        <v>3317</v>
      </c>
      <c r="G4733" s="3216" t="s">
        <v>3317</v>
      </c>
      <c r="H4733" s="1463"/>
    </row>
    <row r="4734" spans="2:8" ht="16.5" hidden="1" customHeight="1" x14ac:dyDescent="0.25">
      <c r="B4734" s="441"/>
      <c r="C4734" s="2524" t="s">
        <v>3829</v>
      </c>
      <c r="D4734" s="4164">
        <v>100000000</v>
      </c>
      <c r="E4734" s="3216">
        <v>95800000</v>
      </c>
      <c r="F4734" s="4066">
        <f t="shared" si="417"/>
        <v>95.8</v>
      </c>
      <c r="G4734" s="3216">
        <v>99</v>
      </c>
      <c r="H4734" s="1463"/>
    </row>
    <row r="4735" spans="2:8" ht="18.75" hidden="1" customHeight="1" x14ac:dyDescent="0.25">
      <c r="B4735" s="441"/>
      <c r="C4735" s="2524" t="s">
        <v>3830</v>
      </c>
      <c r="D4735" s="4164">
        <v>150000000</v>
      </c>
      <c r="E4735" s="3216">
        <v>150000000</v>
      </c>
      <c r="F4735" s="4066">
        <f t="shared" si="417"/>
        <v>100</v>
      </c>
      <c r="G4735" s="3216">
        <v>100</v>
      </c>
      <c r="H4735" s="1463"/>
    </row>
    <row r="4736" spans="2:8" ht="16.5" hidden="1" customHeight="1" x14ac:dyDescent="0.25">
      <c r="B4736" s="441"/>
      <c r="C4736" s="2524" t="s">
        <v>3021</v>
      </c>
      <c r="D4736" s="4164">
        <v>500000000</v>
      </c>
      <c r="E4736" s="3216">
        <v>498055600</v>
      </c>
      <c r="F4736" s="4066">
        <f t="shared" si="417"/>
        <v>99.61112</v>
      </c>
      <c r="G4736" s="3216">
        <v>100</v>
      </c>
      <c r="H4736" s="1463"/>
    </row>
    <row r="4737" spans="2:8" ht="15.75" hidden="1" customHeight="1" x14ac:dyDescent="0.25">
      <c r="B4737" s="441"/>
      <c r="C4737" s="2524" t="s">
        <v>3831</v>
      </c>
      <c r="D4737" s="4164">
        <v>100000000</v>
      </c>
      <c r="E4737" s="3216">
        <v>100000000</v>
      </c>
      <c r="F4737" s="4066">
        <f t="shared" si="417"/>
        <v>100</v>
      </c>
      <c r="G4737" s="3216">
        <v>100</v>
      </c>
      <c r="H4737" s="1463"/>
    </row>
    <row r="4738" spans="2:8" ht="18" hidden="1" customHeight="1" x14ac:dyDescent="0.25">
      <c r="B4738" s="441"/>
      <c r="C4738" s="2524" t="s">
        <v>3832</v>
      </c>
      <c r="D4738" s="4164">
        <v>100000000</v>
      </c>
      <c r="E4738" s="3216">
        <v>100000000</v>
      </c>
      <c r="F4738" s="4066">
        <f t="shared" si="417"/>
        <v>100</v>
      </c>
      <c r="G4738" s="3216">
        <v>100</v>
      </c>
      <c r="H4738" s="1463"/>
    </row>
    <row r="4739" spans="2:8" ht="18" hidden="1" customHeight="1" x14ac:dyDescent="0.25">
      <c r="B4739" s="441"/>
      <c r="C4739" s="2524" t="s">
        <v>3833</v>
      </c>
      <c r="D4739" s="4164">
        <v>52950000</v>
      </c>
      <c r="E4739" s="3216">
        <v>52950000</v>
      </c>
      <c r="F4739" s="4066">
        <f t="shared" si="417"/>
        <v>100</v>
      </c>
      <c r="G4739" s="3216">
        <v>100</v>
      </c>
      <c r="H4739" s="1463"/>
    </row>
    <row r="4740" spans="2:8" ht="12" hidden="1" customHeight="1" x14ac:dyDescent="0.25">
      <c r="B4740" s="441"/>
      <c r="C4740" s="2524"/>
      <c r="D4740" s="4164"/>
      <c r="E4740" s="4161"/>
      <c r="F4740" s="2818"/>
      <c r="G4740" s="2985"/>
      <c r="H4740" s="1463"/>
    </row>
    <row r="4741" spans="2:8" ht="21" customHeight="1" x14ac:dyDescent="0.25">
      <c r="B4741" s="441"/>
      <c r="C4741" s="2525" t="s">
        <v>3022</v>
      </c>
      <c r="D4741" s="4159">
        <f>SUM(D4742:D4743)</f>
        <v>186800000</v>
      </c>
      <c r="E4741" s="2813">
        <f>SUM(E4742:E4743)</f>
        <v>185613000</v>
      </c>
      <c r="F4741" s="4072">
        <f t="shared" si="417"/>
        <v>99.364561027837254</v>
      </c>
      <c r="G4741" s="3217">
        <f>G4742</f>
        <v>99.9</v>
      </c>
      <c r="H4741" s="1463"/>
    </row>
    <row r="4742" spans="2:8" ht="17.25" hidden="1" customHeight="1" x14ac:dyDescent="0.25">
      <c r="B4742" s="441"/>
      <c r="C4742" s="2524" t="s">
        <v>3023</v>
      </c>
      <c r="D4742" s="4066">
        <v>186800000</v>
      </c>
      <c r="E4742" s="3216">
        <v>185613000</v>
      </c>
      <c r="F4742" s="4066">
        <f t="shared" si="417"/>
        <v>99.364561027837254</v>
      </c>
      <c r="G4742" s="3216">
        <v>99.9</v>
      </c>
      <c r="H4742" s="1463"/>
    </row>
    <row r="4743" spans="2:8" ht="20.25" hidden="1" customHeight="1" x14ac:dyDescent="0.25">
      <c r="B4743" s="441"/>
      <c r="C4743" s="2524" t="s">
        <v>3024</v>
      </c>
      <c r="D4743" s="3704" t="s">
        <v>3317</v>
      </c>
      <c r="E4743" s="3216" t="s">
        <v>3317</v>
      </c>
      <c r="F4743" s="3216" t="s">
        <v>3317</v>
      </c>
      <c r="G4743" s="3216" t="s">
        <v>3317</v>
      </c>
      <c r="H4743" s="1463"/>
    </row>
    <row r="4744" spans="2:8" ht="10.5" hidden="1" customHeight="1" x14ac:dyDescent="0.25">
      <c r="B4744" s="441"/>
      <c r="C4744" s="2525"/>
      <c r="D4744" s="4164"/>
      <c r="E4744" s="4161"/>
      <c r="F4744" s="2818"/>
      <c r="G4744" s="2985"/>
      <c r="H4744" s="1463"/>
    </row>
    <row r="4745" spans="2:8" ht="17.25" customHeight="1" x14ac:dyDescent="0.25">
      <c r="B4745" s="441"/>
      <c r="C4745" s="2525" t="s">
        <v>3834</v>
      </c>
      <c r="D4745" s="4375">
        <f>SUM(D4746:D4747)</f>
        <v>1091550000</v>
      </c>
      <c r="E4745" s="4162">
        <f>SUM(E4746:E4747)</f>
        <v>1077070000</v>
      </c>
      <c r="F4745" s="4072">
        <f t="shared" ref="F4745:F4747" si="418">E4745/D4745*100</f>
        <v>98.67344601713161</v>
      </c>
      <c r="G4745" s="3217">
        <f>SUM(G4746:G4747)/2</f>
        <v>99.5</v>
      </c>
      <c r="H4745" s="1463"/>
    </row>
    <row r="4746" spans="2:8" ht="17.25" hidden="1" customHeight="1" x14ac:dyDescent="0.25">
      <c r="B4746" s="441"/>
      <c r="C4746" s="2524" t="s">
        <v>3835</v>
      </c>
      <c r="D4746" s="4066">
        <v>45150000</v>
      </c>
      <c r="E4746" s="3216">
        <v>45150000</v>
      </c>
      <c r="F4746" s="4066">
        <f t="shared" si="418"/>
        <v>100</v>
      </c>
      <c r="G4746" s="3216">
        <v>100</v>
      </c>
      <c r="H4746" s="1463"/>
    </row>
    <row r="4747" spans="2:8" ht="18" hidden="1" customHeight="1" x14ac:dyDescent="0.25">
      <c r="B4747" s="441"/>
      <c r="C4747" s="2524" t="s">
        <v>3836</v>
      </c>
      <c r="D4747" s="4066">
        <v>1046400000</v>
      </c>
      <c r="E4747" s="3216">
        <v>1031920000</v>
      </c>
      <c r="F4747" s="4066">
        <f t="shared" si="418"/>
        <v>98.616207951070336</v>
      </c>
      <c r="G4747" s="3216">
        <v>99</v>
      </c>
      <c r="H4747" s="1463"/>
    </row>
    <row r="4748" spans="2:8" ht="10.5" hidden="1" customHeight="1" x14ac:dyDescent="0.25">
      <c r="B4748" s="441"/>
      <c r="C4748" s="2525"/>
      <c r="D4748" s="4164"/>
      <c r="E4748" s="4161"/>
      <c r="F4748" s="2818"/>
      <c r="G4748" s="2985"/>
      <c r="H4748" s="1463"/>
    </row>
    <row r="4749" spans="2:8" ht="16.5" customHeight="1" x14ac:dyDescent="0.25">
      <c r="B4749" s="441"/>
      <c r="C4749" s="2525" t="s">
        <v>3838</v>
      </c>
      <c r="D4749" s="3704"/>
      <c r="E4749" s="3216"/>
      <c r="F4749" s="3216"/>
      <c r="G4749" s="3216"/>
      <c r="H4749" s="1463"/>
    </row>
    <row r="4750" spans="2:8" ht="16.5" hidden="1" customHeight="1" x14ac:dyDescent="0.25">
      <c r="B4750" s="441"/>
      <c r="C4750" s="2524" t="s">
        <v>3839</v>
      </c>
      <c r="D4750" s="3704" t="s">
        <v>3317</v>
      </c>
      <c r="E4750" s="3216" t="s">
        <v>3317</v>
      </c>
      <c r="F4750" s="3216" t="s">
        <v>3317</v>
      </c>
      <c r="G4750" s="3216" t="s">
        <v>3317</v>
      </c>
      <c r="H4750" s="1463"/>
    </row>
    <row r="4751" spans="2:8" ht="9.75" hidden="1" customHeight="1" x14ac:dyDescent="0.25">
      <c r="B4751" s="441"/>
      <c r="C4751" s="2525"/>
      <c r="D4751" s="4164"/>
      <c r="E4751" s="4161"/>
      <c r="F4751" s="2818"/>
      <c r="G4751" s="2985"/>
      <c r="H4751" s="1463"/>
    </row>
    <row r="4752" spans="2:8" ht="18.75" customHeight="1" x14ac:dyDescent="0.25">
      <c r="B4752" s="441"/>
      <c r="C4752" s="2525" t="s">
        <v>5557</v>
      </c>
      <c r="D4752" s="4159">
        <f>SUM(D4753:D4754)</f>
        <v>120000000</v>
      </c>
      <c r="E4752" s="2813">
        <f>SUM(E4753:E4754)</f>
        <v>120000000</v>
      </c>
      <c r="F4752" s="4072">
        <f t="shared" ref="F4752:F4753" si="419">E4752/D4752*100</f>
        <v>100</v>
      </c>
      <c r="G4752" s="3217">
        <f>G4753</f>
        <v>100</v>
      </c>
      <c r="H4752" s="1463"/>
    </row>
    <row r="4753" spans="1:11" ht="16.5" hidden="1" customHeight="1" x14ac:dyDescent="0.25">
      <c r="B4753" s="441"/>
      <c r="C4753" s="2524" t="s">
        <v>3841</v>
      </c>
      <c r="D4753" s="4066">
        <v>120000000</v>
      </c>
      <c r="E4753" s="3216">
        <v>120000000</v>
      </c>
      <c r="F4753" s="4066">
        <f t="shared" si="419"/>
        <v>100</v>
      </c>
      <c r="G4753" s="3216">
        <v>100</v>
      </c>
      <c r="H4753" s="1463"/>
    </row>
    <row r="4754" spans="1:11" ht="16.5" hidden="1" customHeight="1" x14ac:dyDescent="0.25">
      <c r="B4754" s="441"/>
      <c r="C4754" s="2524" t="s">
        <v>3837</v>
      </c>
      <c r="D4754" s="3704" t="s">
        <v>3317</v>
      </c>
      <c r="E4754" s="3216" t="s">
        <v>3317</v>
      </c>
      <c r="F4754" s="3216" t="s">
        <v>3317</v>
      </c>
      <c r="G4754" s="3216" t="s">
        <v>3317</v>
      </c>
      <c r="H4754" s="1463"/>
    </row>
    <row r="4755" spans="1:11" ht="11.25" hidden="1" customHeight="1" x14ac:dyDescent="0.25">
      <c r="B4755" s="441"/>
      <c r="C4755" s="2535"/>
      <c r="D4755" s="4286"/>
      <c r="E4755" s="2778"/>
      <c r="F4755" s="2778"/>
      <c r="G4755" s="3027"/>
      <c r="H4755" s="1463"/>
    </row>
    <row r="4756" spans="1:11" s="210" customFormat="1" ht="20.25" customHeight="1" x14ac:dyDescent="0.25">
      <c r="A4756" s="1466"/>
      <c r="B4756" s="449"/>
      <c r="C4756" s="2525" t="s">
        <v>3842</v>
      </c>
      <c r="D4756" s="4159">
        <f>SUM(D4757:D4759)</f>
        <v>422392000</v>
      </c>
      <c r="E4756" s="2679">
        <f>SUM(E4757:E4759)</f>
        <v>422392000</v>
      </c>
      <c r="F4756" s="4072">
        <f t="shared" ref="F4756:F4765" si="420">E4756/D4756*100</f>
        <v>100</v>
      </c>
      <c r="G4756" s="3217">
        <f>SUM(G4757:G4759)/3</f>
        <v>100</v>
      </c>
      <c r="H4756" s="1463"/>
      <c r="I4756" s="421"/>
      <c r="J4756" s="1216"/>
      <c r="K4756" s="1216"/>
    </row>
    <row r="4757" spans="1:11" s="210" customFormat="1" ht="21.75" hidden="1" customHeight="1" x14ac:dyDescent="0.25">
      <c r="A4757" s="1466"/>
      <c r="B4757" s="449"/>
      <c r="C4757" s="2524" t="s">
        <v>3843</v>
      </c>
      <c r="D4757" s="3704">
        <v>199775000</v>
      </c>
      <c r="E4757" s="3216">
        <v>199775000</v>
      </c>
      <c r="F4757" s="4066">
        <f t="shared" si="420"/>
        <v>100</v>
      </c>
      <c r="G4757" s="3216">
        <v>100</v>
      </c>
      <c r="H4757" s="1463"/>
      <c r="I4757" s="421"/>
      <c r="J4757" s="1216"/>
      <c r="K4757" s="1216"/>
    </row>
    <row r="4758" spans="1:11" s="210" customFormat="1" ht="15.75" hidden="1" customHeight="1" x14ac:dyDescent="0.25">
      <c r="A4758" s="1466"/>
      <c r="B4758" s="449"/>
      <c r="C4758" s="2524" t="s">
        <v>3844</v>
      </c>
      <c r="D4758" s="3704">
        <v>85732000</v>
      </c>
      <c r="E4758" s="3216">
        <v>85732000</v>
      </c>
      <c r="F4758" s="4066">
        <f t="shared" si="420"/>
        <v>100</v>
      </c>
      <c r="G4758" s="3216">
        <v>100</v>
      </c>
      <c r="H4758" s="1463"/>
      <c r="I4758" s="421"/>
      <c r="J4758" s="1216"/>
      <c r="K4758" s="1216"/>
    </row>
    <row r="4759" spans="1:11" s="210" customFormat="1" ht="22.5" hidden="1" customHeight="1" x14ac:dyDescent="0.25">
      <c r="A4759" s="1466"/>
      <c r="B4759" s="449"/>
      <c r="C4759" s="2524" t="s">
        <v>3845</v>
      </c>
      <c r="D4759" s="3704">
        <v>136885000</v>
      </c>
      <c r="E4759" s="3216">
        <v>136885000</v>
      </c>
      <c r="F4759" s="4066">
        <f t="shared" si="420"/>
        <v>100</v>
      </c>
      <c r="G4759" s="3216">
        <v>100</v>
      </c>
      <c r="H4759" s="1463"/>
      <c r="I4759" s="421"/>
      <c r="J4759" s="1216"/>
      <c r="K4759" s="1216"/>
    </row>
    <row r="4760" spans="1:11" s="526" customFormat="1" ht="12" hidden="1" customHeight="1" x14ac:dyDescent="0.25">
      <c r="A4760" s="3727"/>
      <c r="B4760" s="445"/>
      <c r="C4760" s="2535"/>
      <c r="D4760" s="4286"/>
      <c r="E4760" s="2778"/>
      <c r="F4760" s="2778"/>
      <c r="G4760" s="3027"/>
      <c r="H4760" s="1463"/>
      <c r="I4760" s="545"/>
      <c r="J4760" s="1219"/>
      <c r="K4760" s="1219"/>
    </row>
    <row r="4761" spans="1:11" s="212" customFormat="1" ht="15.75" customHeight="1" x14ac:dyDescent="0.25">
      <c r="A4761" s="527"/>
      <c r="B4761" s="441"/>
      <c r="C4761" s="2525" t="s">
        <v>3846</v>
      </c>
      <c r="D4761" s="4159">
        <f>SUM(D4762:D4765)</f>
        <v>406100000</v>
      </c>
      <c r="E4761" s="2679">
        <f>SUM(E4762:E4765)</f>
        <v>406100000</v>
      </c>
      <c r="F4761" s="4072">
        <f t="shared" si="420"/>
        <v>100</v>
      </c>
      <c r="G4761" s="3217">
        <f>SUM(G4762:G4765)/4</f>
        <v>100</v>
      </c>
      <c r="H4761" s="1463"/>
      <c r="J4761" s="1220"/>
      <c r="K4761" s="1220"/>
    </row>
    <row r="4762" spans="1:11" s="212" customFormat="1" ht="15.75" hidden="1" customHeight="1" x14ac:dyDescent="0.25">
      <c r="A4762" s="527"/>
      <c r="B4762" s="441"/>
      <c r="C4762" s="2524" t="s">
        <v>3847</v>
      </c>
      <c r="D4762" s="3704">
        <v>50000000</v>
      </c>
      <c r="E4762" s="3216">
        <v>50000000</v>
      </c>
      <c r="F4762" s="4066">
        <f t="shared" si="420"/>
        <v>100</v>
      </c>
      <c r="G4762" s="3216">
        <v>100</v>
      </c>
      <c r="H4762" s="1463"/>
      <c r="J4762" s="1220"/>
      <c r="K4762" s="1220"/>
    </row>
    <row r="4763" spans="1:11" s="212" customFormat="1" ht="15.75" hidden="1" customHeight="1" x14ac:dyDescent="0.25">
      <c r="A4763" s="527"/>
      <c r="B4763" s="441"/>
      <c r="C4763" s="2524" t="s">
        <v>3848</v>
      </c>
      <c r="D4763" s="3704">
        <v>98286000</v>
      </c>
      <c r="E4763" s="3216">
        <v>98286000</v>
      </c>
      <c r="F4763" s="4066">
        <f t="shared" si="420"/>
        <v>100</v>
      </c>
      <c r="G4763" s="3216">
        <v>100</v>
      </c>
      <c r="H4763" s="1463"/>
      <c r="J4763" s="1220"/>
      <c r="K4763" s="1220"/>
    </row>
    <row r="4764" spans="1:11" s="212" customFormat="1" ht="15.75" hidden="1" customHeight="1" x14ac:dyDescent="0.25">
      <c r="A4764" s="527"/>
      <c r="B4764" s="441"/>
      <c r="C4764" s="2524" t="s">
        <v>3849</v>
      </c>
      <c r="D4764" s="3704">
        <v>107814000</v>
      </c>
      <c r="E4764" s="3216">
        <v>107814000</v>
      </c>
      <c r="F4764" s="4066">
        <f t="shared" si="420"/>
        <v>100</v>
      </c>
      <c r="G4764" s="3216">
        <v>100</v>
      </c>
      <c r="H4764" s="1463"/>
      <c r="J4764" s="1220"/>
      <c r="K4764" s="1220"/>
    </row>
    <row r="4765" spans="1:11" s="212" customFormat="1" ht="15.75" hidden="1" customHeight="1" x14ac:dyDescent="0.25">
      <c r="A4765" s="527"/>
      <c r="B4765" s="441"/>
      <c r="C4765" s="2524" t="s">
        <v>3850</v>
      </c>
      <c r="D4765" s="3704">
        <v>150000000</v>
      </c>
      <c r="E4765" s="3216">
        <v>150000000</v>
      </c>
      <c r="F4765" s="4066">
        <f t="shared" si="420"/>
        <v>100</v>
      </c>
      <c r="G4765" s="3216">
        <v>100</v>
      </c>
      <c r="H4765" s="1463"/>
      <c r="J4765" s="1220"/>
      <c r="K4765" s="1220"/>
    </row>
    <row r="4766" spans="1:11" s="212" customFormat="1" ht="15.75" hidden="1" customHeight="1" x14ac:dyDescent="0.25">
      <c r="A4766" s="527"/>
      <c r="B4766" s="441"/>
      <c r="C4766" s="2559"/>
      <c r="D4766" s="4317"/>
      <c r="E4766" s="2784"/>
      <c r="F4766" s="2784"/>
      <c r="G4766" s="3036"/>
      <c r="H4766" s="1463"/>
      <c r="J4766" s="1220"/>
      <c r="K4766" s="1220"/>
    </row>
    <row r="4767" spans="1:11" ht="18.75" customHeight="1" x14ac:dyDescent="0.25">
      <c r="B4767" s="440"/>
      <c r="C4767" s="2497" t="s">
        <v>3025</v>
      </c>
      <c r="D4767" s="4080">
        <f>SUM(D4768+D4771+D4777+D4781+D4784+D4787)</f>
        <v>4915250000</v>
      </c>
      <c r="E4767" s="2786">
        <f>SUM(E4768+E4771+E4777+E4781+E4784+E4787)</f>
        <v>4571847252</v>
      </c>
      <c r="F4767" s="2786">
        <f>E4767/D4767*100</f>
        <v>93.01352427648645</v>
      </c>
      <c r="G4767" s="2670">
        <f>SUM(G4768+G4771+G4777+G4781+G4784+G4787)/6</f>
        <v>91.566666666666663</v>
      </c>
      <c r="H4767" s="1463"/>
    </row>
    <row r="4768" spans="1:11" ht="21.75" customHeight="1" x14ac:dyDescent="0.25">
      <c r="B4768" s="441"/>
      <c r="C4768" s="2525" t="s">
        <v>3026</v>
      </c>
      <c r="D4768" s="4158">
        <f>D4769</f>
        <v>802500000</v>
      </c>
      <c r="E4768" s="2725">
        <f>E4769</f>
        <v>794700000</v>
      </c>
      <c r="F4768" s="2725">
        <f>E4768/D4768*100</f>
        <v>99.028037383177576</v>
      </c>
      <c r="G4768" s="2725">
        <f>G4769</f>
        <v>99.9</v>
      </c>
      <c r="H4768" s="1463"/>
    </row>
    <row r="4769" spans="2:11" ht="16.5" hidden="1" customHeight="1" x14ac:dyDescent="0.25">
      <c r="B4769" s="441"/>
      <c r="C4769" s="2524" t="s">
        <v>3027</v>
      </c>
      <c r="D4769" s="4164">
        <v>802500000</v>
      </c>
      <c r="E4769" s="4161">
        <v>794700000</v>
      </c>
      <c r="F4769" s="2804">
        <f>E4769/D4769*100</f>
        <v>99.028037383177576</v>
      </c>
      <c r="G4769" s="2685">
        <v>99.9</v>
      </c>
      <c r="H4769" s="1463"/>
    </row>
    <row r="4770" spans="2:11" ht="10.5" hidden="1" customHeight="1" x14ac:dyDescent="0.25">
      <c r="B4770" s="441"/>
      <c r="C4770" s="2524"/>
      <c r="D4770" s="4164"/>
      <c r="E4770" s="4161"/>
      <c r="F4770" s="2810"/>
      <c r="G4770" s="2967"/>
      <c r="H4770" s="1463"/>
    </row>
    <row r="4771" spans="2:11" ht="18.75" customHeight="1" x14ac:dyDescent="0.25">
      <c r="B4771" s="441"/>
      <c r="C4771" s="2521" t="s">
        <v>3028</v>
      </c>
      <c r="D4771" s="4159">
        <f>SUM(D4772:D4775)</f>
        <v>800000000</v>
      </c>
      <c r="E4771" s="2813">
        <f>SUM(E4772:E4775)</f>
        <v>800000000</v>
      </c>
      <c r="F4771" s="2813">
        <f>E4771/D4771*100</f>
        <v>100</v>
      </c>
      <c r="G4771" s="2969">
        <f>SUM(G4772:G4775)/4</f>
        <v>100</v>
      </c>
      <c r="H4771" s="1463"/>
    </row>
    <row r="4772" spans="2:11" ht="17.25" hidden="1" customHeight="1" x14ac:dyDescent="0.25">
      <c r="B4772" s="441"/>
      <c r="C4772" s="2524" t="s">
        <v>3029</v>
      </c>
      <c r="D4772" s="3704">
        <v>150000000</v>
      </c>
      <c r="E4772" s="3216">
        <v>150000000</v>
      </c>
      <c r="F4772" s="2804">
        <f>E4772/D4772*100</f>
        <v>100</v>
      </c>
      <c r="G4772" s="2685">
        <v>100</v>
      </c>
      <c r="H4772" s="1463"/>
    </row>
    <row r="4773" spans="2:11" ht="17.25" hidden="1" customHeight="1" x14ac:dyDescent="0.25">
      <c r="B4773" s="441"/>
      <c r="C4773" s="2524" t="s">
        <v>3030</v>
      </c>
      <c r="D4773" s="4164">
        <v>100000000</v>
      </c>
      <c r="E4773" s="3216">
        <v>100000000</v>
      </c>
      <c r="F4773" s="2804">
        <f t="shared" ref="F4773:F4774" si="421">E4773/D4773*100</f>
        <v>100</v>
      </c>
      <c r="G4773" s="2685">
        <v>100</v>
      </c>
      <c r="H4773" s="1463"/>
    </row>
    <row r="4774" spans="2:11" ht="15.75" hidden="1" customHeight="1" x14ac:dyDescent="0.25">
      <c r="B4774" s="441"/>
      <c r="C4774" s="2524" t="s">
        <v>3031</v>
      </c>
      <c r="D4774" s="4164">
        <v>50000000</v>
      </c>
      <c r="E4774" s="3216">
        <v>50000000</v>
      </c>
      <c r="F4774" s="2804">
        <f t="shared" si="421"/>
        <v>100</v>
      </c>
      <c r="G4774" s="2685">
        <v>100</v>
      </c>
      <c r="H4774" s="1463"/>
    </row>
    <row r="4775" spans="2:11" ht="15.75" hidden="1" customHeight="1" x14ac:dyDescent="0.25">
      <c r="B4775" s="441"/>
      <c r="C4775" s="2524" t="s">
        <v>3032</v>
      </c>
      <c r="D4775" s="4164">
        <v>500000000</v>
      </c>
      <c r="E4775" s="4163">
        <v>500000000</v>
      </c>
      <c r="F4775" s="2804">
        <f>E4775/D4775*100</f>
        <v>100</v>
      </c>
      <c r="G4775" s="2685">
        <v>100</v>
      </c>
      <c r="H4775" s="1463"/>
    </row>
    <row r="4776" spans="2:11" ht="9" hidden="1" customHeight="1" x14ac:dyDescent="0.25">
      <c r="B4776" s="441"/>
      <c r="C4776" s="2527"/>
      <c r="D4776" s="3704"/>
      <c r="E4776" s="2690"/>
      <c r="F4776" s="2810"/>
      <c r="G4776" s="2967"/>
      <c r="H4776" s="1463"/>
    </row>
    <row r="4777" spans="2:11" ht="15.75" customHeight="1" x14ac:dyDescent="0.25">
      <c r="B4777" s="441"/>
      <c r="C4777" s="2525" t="s">
        <v>3033</v>
      </c>
      <c r="D4777" s="4159">
        <f>SUM(D4778:D4779)</f>
        <v>200000000</v>
      </c>
      <c r="E4777" s="2813">
        <f>SUM(E4778:E4779)</f>
        <v>185000000</v>
      </c>
      <c r="F4777" s="2813">
        <f>E4777/D4777*100</f>
        <v>92.5</v>
      </c>
      <c r="G4777" s="2969">
        <f>SUM(G4778:G4779)/2</f>
        <v>92.5</v>
      </c>
      <c r="H4777" s="1463"/>
    </row>
    <row r="4778" spans="2:11" ht="17.25" hidden="1" customHeight="1" x14ac:dyDescent="0.25">
      <c r="B4778" s="441"/>
      <c r="C4778" s="2524" t="s">
        <v>3034</v>
      </c>
      <c r="D4778" s="3704">
        <v>100000000</v>
      </c>
      <c r="E4778" s="3216">
        <v>85000000</v>
      </c>
      <c r="F4778" s="2804">
        <f>E4778/D4778*100</f>
        <v>85</v>
      </c>
      <c r="G4778" s="3216">
        <v>85</v>
      </c>
      <c r="H4778" s="1463"/>
    </row>
    <row r="4779" spans="2:11" ht="16.5" hidden="1" customHeight="1" x14ac:dyDescent="0.25">
      <c r="B4779" s="441"/>
      <c r="C4779" s="2524" t="s">
        <v>3035</v>
      </c>
      <c r="D4779" s="4290">
        <v>100000000</v>
      </c>
      <c r="E4779" s="4163">
        <v>100000000</v>
      </c>
      <c r="F4779" s="2804">
        <f>E4779/D4779*100</f>
        <v>100</v>
      </c>
      <c r="G4779" s="2967">
        <v>100</v>
      </c>
      <c r="H4779" s="1463"/>
    </row>
    <row r="4780" spans="2:11" s="1" customFormat="1" ht="10.5" hidden="1" customHeight="1" x14ac:dyDescent="0.25">
      <c r="B4780" s="441"/>
      <c r="C4780" s="2524"/>
      <c r="D4780" s="3704"/>
      <c r="E4780" s="3216"/>
      <c r="F4780" s="3216"/>
      <c r="G4780" s="3216"/>
      <c r="H4780" s="1462"/>
      <c r="J4780" s="535"/>
      <c r="K4780" s="535"/>
    </row>
    <row r="4781" spans="2:11" ht="18" customHeight="1" x14ac:dyDescent="0.25">
      <c r="B4781" s="441"/>
      <c r="C4781" s="2525" t="s">
        <v>3036</v>
      </c>
      <c r="D4781" s="4375">
        <f>D4782</f>
        <v>2598000000</v>
      </c>
      <c r="E4781" s="4162">
        <f>E4782</f>
        <v>2497404252</v>
      </c>
      <c r="F4781" s="2813">
        <f>E4781/D4781*100</f>
        <v>96.127954272517329</v>
      </c>
      <c r="G4781" s="2679">
        <f>G4782</f>
        <v>97</v>
      </c>
      <c r="H4781" s="1463"/>
    </row>
    <row r="4782" spans="2:11" ht="17.25" hidden="1" customHeight="1" x14ac:dyDescent="0.25">
      <c r="B4782" s="441"/>
      <c r="C4782" s="2526" t="s">
        <v>3037</v>
      </c>
      <c r="D4782" s="4376">
        <v>2598000000</v>
      </c>
      <c r="E4782" s="4160">
        <v>2497404252</v>
      </c>
      <c r="F4782" s="2804">
        <f>E4782/D4782*100</f>
        <v>96.127954272517329</v>
      </c>
      <c r="G4782" s="2708">
        <v>97</v>
      </c>
      <c r="H4782" s="1463"/>
    </row>
    <row r="4783" spans="2:11" ht="9" hidden="1" customHeight="1" x14ac:dyDescent="0.25">
      <c r="B4783" s="441"/>
      <c r="C4783" s="2524"/>
      <c r="D4783" s="4164"/>
      <c r="E4783" s="4161"/>
      <c r="F4783" s="2685"/>
      <c r="G4783" s="2685"/>
      <c r="H4783" s="1463"/>
    </row>
    <row r="4784" spans="2:11" ht="15.75" customHeight="1" x14ac:dyDescent="0.25">
      <c r="B4784" s="441"/>
      <c r="C4784" s="2525" t="s">
        <v>3038</v>
      </c>
      <c r="D4784" s="4375">
        <f>D4785</f>
        <v>91100000</v>
      </c>
      <c r="E4784" s="4162">
        <f t="shared" ref="E4784:G4784" si="422">E4785</f>
        <v>91100000</v>
      </c>
      <c r="F4784" s="2813">
        <f>E4784/D4784*100</f>
        <v>100</v>
      </c>
      <c r="G4784" s="4162">
        <f t="shared" si="422"/>
        <v>100</v>
      </c>
      <c r="H4784" s="1463"/>
    </row>
    <row r="4785" spans="1:11" ht="15.75" hidden="1" customHeight="1" x14ac:dyDescent="0.25">
      <c r="B4785" s="441"/>
      <c r="C4785" s="2524" t="s">
        <v>3039</v>
      </c>
      <c r="D4785" s="4164">
        <v>91100000</v>
      </c>
      <c r="E4785" s="4161">
        <v>91100000</v>
      </c>
      <c r="F4785" s="2804">
        <f>E4785/D4785*100</f>
        <v>100</v>
      </c>
      <c r="G4785" s="2685">
        <v>100</v>
      </c>
      <c r="H4785" s="1463"/>
    </row>
    <row r="4786" spans="1:11" ht="8.25" hidden="1" customHeight="1" x14ac:dyDescent="0.25">
      <c r="B4786" s="441"/>
      <c r="C4786" s="2525"/>
      <c r="D4786" s="4164"/>
      <c r="E4786" s="4161"/>
      <c r="F4786" s="2685"/>
      <c r="G4786" s="2685"/>
      <c r="H4786" s="1463"/>
    </row>
    <row r="4787" spans="1:11" ht="15.75" customHeight="1" x14ac:dyDescent="0.25">
      <c r="B4787" s="441"/>
      <c r="C4787" s="2525" t="s">
        <v>3040</v>
      </c>
      <c r="D4787" s="4375">
        <f>D4788</f>
        <v>423650000</v>
      </c>
      <c r="E4787" s="4162">
        <f>E4788</f>
        <v>203643000</v>
      </c>
      <c r="F4787" s="2813">
        <f>E4787/D4787*100</f>
        <v>48.068688776112353</v>
      </c>
      <c r="G4787" s="4162">
        <f t="shared" ref="G4787" si="423">G4788</f>
        <v>60</v>
      </c>
      <c r="H4787" s="1463"/>
    </row>
    <row r="4788" spans="1:11" ht="22.5" hidden="1" customHeight="1" x14ac:dyDescent="0.25">
      <c r="B4788" s="441"/>
      <c r="C4788" s="2524" t="s">
        <v>3041</v>
      </c>
      <c r="D4788" s="4164">
        <v>423650000</v>
      </c>
      <c r="E4788" s="4161">
        <v>203643000</v>
      </c>
      <c r="F4788" s="2804">
        <f>E4788/D4788*100</f>
        <v>48.068688776112353</v>
      </c>
      <c r="G4788" s="2685">
        <v>60</v>
      </c>
      <c r="H4788" s="1463"/>
    </row>
    <row r="4789" spans="1:11" ht="12" hidden="1" customHeight="1" x14ac:dyDescent="0.25">
      <c r="B4789" s="441"/>
      <c r="C4789" s="2528"/>
      <c r="D4789" s="4299"/>
      <c r="E4789" s="3185"/>
      <c r="F4789" s="2784"/>
      <c r="G4789" s="3036"/>
      <c r="H4789" s="1463"/>
    </row>
    <row r="4790" spans="1:11" ht="21" customHeight="1" x14ac:dyDescent="0.25">
      <c r="B4790" s="440"/>
      <c r="C4790" s="2497" t="s">
        <v>3042</v>
      </c>
      <c r="D4790" s="4080">
        <f>D4791</f>
        <v>497500000</v>
      </c>
      <c r="E4790" s="2719">
        <f>E4791</f>
        <v>495847795</v>
      </c>
      <c r="F4790" s="2786">
        <f>E4790/D4790*100</f>
        <v>99.667898492462314</v>
      </c>
      <c r="G4790" s="2670">
        <f>G4791</f>
        <v>100</v>
      </c>
      <c r="H4790" s="1463"/>
    </row>
    <row r="4791" spans="1:11" ht="18" customHeight="1" x14ac:dyDescent="0.25">
      <c r="B4791" s="441"/>
      <c r="C4791" s="2525" t="s">
        <v>3043</v>
      </c>
      <c r="D4791" s="4159">
        <f>SUM(D4792:D4795)</f>
        <v>497500000</v>
      </c>
      <c r="E4791" s="2813">
        <f>SUM(E4792:E4795)</f>
        <v>495847795</v>
      </c>
      <c r="F4791" s="2813">
        <f>E4791/D4791*100</f>
        <v>99.667898492462314</v>
      </c>
      <c r="G4791" s="2969">
        <f>SUM(G4792:G4795)/4</f>
        <v>100</v>
      </c>
      <c r="H4791" s="1463"/>
    </row>
    <row r="4792" spans="1:11" ht="17.25" hidden="1" customHeight="1" x14ac:dyDescent="0.25">
      <c r="B4792" s="441"/>
      <c r="C4792" s="2524" t="s">
        <v>3044</v>
      </c>
      <c r="D4792" s="4164">
        <v>147500000</v>
      </c>
      <c r="E4792" s="4165">
        <v>146347795</v>
      </c>
      <c r="F4792" s="2810">
        <f t="shared" ref="F4792:F4795" si="424">E4792/D4792*100</f>
        <v>99.21884406779661</v>
      </c>
      <c r="G4792" s="4066">
        <v>100</v>
      </c>
      <c r="H4792" s="1463"/>
    </row>
    <row r="4793" spans="1:11" ht="15" hidden="1" customHeight="1" x14ac:dyDescent="0.25">
      <c r="B4793" s="441"/>
      <c r="C4793" s="2524" t="s">
        <v>3045</v>
      </c>
      <c r="D4793" s="4164">
        <v>150000000</v>
      </c>
      <c r="E4793" s="3704">
        <v>149500000</v>
      </c>
      <c r="F4793" s="2810">
        <f t="shared" si="424"/>
        <v>99.666666666666671</v>
      </c>
      <c r="G4793" s="3704">
        <v>100</v>
      </c>
      <c r="H4793" s="1463"/>
    </row>
    <row r="4794" spans="1:11" ht="14.25" hidden="1" customHeight="1" x14ac:dyDescent="0.25">
      <c r="B4794" s="441"/>
      <c r="C4794" s="2524" t="s">
        <v>3046</v>
      </c>
      <c r="D4794" s="4154">
        <v>100000000</v>
      </c>
      <c r="E4794" s="4066">
        <v>100000000</v>
      </c>
      <c r="F4794" s="2810">
        <f t="shared" si="424"/>
        <v>100</v>
      </c>
      <c r="G4794" s="4066">
        <v>100</v>
      </c>
      <c r="H4794" s="1463"/>
    </row>
    <row r="4795" spans="1:11" s="196" customFormat="1" ht="15.75" hidden="1" customHeight="1" x14ac:dyDescent="0.25">
      <c r="A4795" s="12"/>
      <c r="B4795" s="442"/>
      <c r="C4795" s="2524" t="s">
        <v>3047</v>
      </c>
      <c r="D4795" s="3704">
        <v>100000000</v>
      </c>
      <c r="E4795" s="3704">
        <v>100000000</v>
      </c>
      <c r="F4795" s="2810">
        <f t="shared" si="424"/>
        <v>100</v>
      </c>
      <c r="G4795" s="4066">
        <v>100</v>
      </c>
      <c r="H4795" s="3715"/>
      <c r="J4795" s="1212"/>
      <c r="K4795" s="1212"/>
    </row>
    <row r="4796" spans="1:11" ht="19.5" hidden="1" customHeight="1" x14ac:dyDescent="0.25">
      <c r="B4796" s="441"/>
      <c r="C4796" s="2528"/>
      <c r="D4796" s="4290"/>
      <c r="E4796" s="3035"/>
      <c r="F4796" s="2778"/>
      <c r="G4796" s="3027"/>
      <c r="H4796" s="1463"/>
    </row>
    <row r="4797" spans="1:11" ht="18" customHeight="1" x14ac:dyDescent="0.25">
      <c r="B4797" s="440"/>
      <c r="C4797" s="2497" t="s">
        <v>3048</v>
      </c>
      <c r="D4797" s="4080">
        <f>SUM(D4798+D4806+D4809)</f>
        <v>1233290000</v>
      </c>
      <c r="E4797" s="2786">
        <f>SUM(E4798+E4806+E4809)</f>
        <v>1034549000</v>
      </c>
      <c r="F4797" s="2786">
        <f>E4797/D4797*100</f>
        <v>83.885298672656063</v>
      </c>
      <c r="G4797" s="2670">
        <f>SUM(G4798+G4806+G4809)/3</f>
        <v>97.616567797249772</v>
      </c>
      <c r="H4797" s="1463"/>
    </row>
    <row r="4798" spans="1:11" x14ac:dyDescent="0.25">
      <c r="B4798" s="441"/>
      <c r="C4798" s="2525" t="s">
        <v>3049</v>
      </c>
      <c r="D4798" s="4065">
        <f>SUM(D4799:D4804)</f>
        <v>953647000</v>
      </c>
      <c r="E4798" s="2695">
        <f>SUM(E4799:E4804)</f>
        <v>755534000</v>
      </c>
      <c r="F4798" s="2722">
        <f>E4798/D4798*100</f>
        <v>79.225751247579041</v>
      </c>
      <c r="G4798" s="2722">
        <f>SUM(G4799:G4804)/6</f>
        <v>92.849703391749316</v>
      </c>
      <c r="H4798" s="1463"/>
    </row>
    <row r="4799" spans="1:11" ht="16.5" hidden="1" customHeight="1" x14ac:dyDescent="0.25">
      <c r="B4799" s="441"/>
      <c r="C4799" s="2524" t="s">
        <v>3050</v>
      </c>
      <c r="D4799" s="4164">
        <v>73610000</v>
      </c>
      <c r="E4799" s="4161">
        <v>71474000</v>
      </c>
      <c r="F4799" s="2830">
        <f t="shared" ref="F4799:F4804" si="425">E4799/D4799*100</f>
        <v>97.098220350495851</v>
      </c>
      <c r="G4799" s="2685">
        <v>97.098220350495851</v>
      </c>
      <c r="H4799" s="1463"/>
    </row>
    <row r="4800" spans="1:11" ht="15" hidden="1" customHeight="1" x14ac:dyDescent="0.25">
      <c r="B4800" s="441"/>
      <c r="C4800" s="2524" t="s">
        <v>3051</v>
      </c>
      <c r="D4800" s="4164">
        <v>34392000</v>
      </c>
      <c r="E4800" s="4161">
        <v>33814000</v>
      </c>
      <c r="F4800" s="2830">
        <f t="shared" si="425"/>
        <v>98.319376599209122</v>
      </c>
      <c r="G4800" s="2967">
        <v>100</v>
      </c>
      <c r="H4800" s="1463"/>
    </row>
    <row r="4801" spans="2:8" ht="14.25" hidden="1" customHeight="1" x14ac:dyDescent="0.25">
      <c r="B4801" s="441"/>
      <c r="C4801" s="2524" t="s">
        <v>3181</v>
      </c>
      <c r="D4801" s="4066">
        <v>368092000</v>
      </c>
      <c r="E4801" s="3216">
        <v>341648500</v>
      </c>
      <c r="F4801" s="2685">
        <f t="shared" si="425"/>
        <v>92.81606228877564</v>
      </c>
      <c r="G4801" s="2967">
        <v>100</v>
      </c>
      <c r="H4801" s="1463"/>
    </row>
    <row r="4802" spans="2:8" ht="18.75" hidden="1" customHeight="1" x14ac:dyDescent="0.25">
      <c r="B4802" s="441"/>
      <c r="C4802" s="2524" t="s">
        <v>3851</v>
      </c>
      <c r="D4802" s="4066">
        <v>88041000</v>
      </c>
      <c r="E4802" s="3216">
        <v>85719500</v>
      </c>
      <c r="F4802" s="2685">
        <f t="shared" si="425"/>
        <v>97.363160345748</v>
      </c>
      <c r="G4802" s="2967">
        <v>100</v>
      </c>
      <c r="H4802" s="1463"/>
    </row>
    <row r="4803" spans="2:8" ht="17.25" hidden="1" customHeight="1" x14ac:dyDescent="0.25">
      <c r="B4803" s="441"/>
      <c r="C4803" s="2524" t="s">
        <v>3852</v>
      </c>
      <c r="D4803" s="4066">
        <v>353667000</v>
      </c>
      <c r="E4803" s="3216">
        <v>187033000</v>
      </c>
      <c r="F4803" s="2685">
        <f t="shared" si="425"/>
        <v>52.883927536354825</v>
      </c>
      <c r="G4803" s="2967">
        <v>60</v>
      </c>
      <c r="H4803" s="1463"/>
    </row>
    <row r="4804" spans="2:8" ht="15" hidden="1" customHeight="1" x14ac:dyDescent="0.25">
      <c r="B4804" s="441"/>
      <c r="C4804" s="2524" t="s">
        <v>3853</v>
      </c>
      <c r="D4804" s="4066">
        <v>35845000</v>
      </c>
      <c r="E4804" s="3216">
        <v>35845000</v>
      </c>
      <c r="F4804" s="2830">
        <f t="shared" si="425"/>
        <v>100</v>
      </c>
      <c r="G4804" s="2967">
        <v>100</v>
      </c>
      <c r="H4804" s="1463"/>
    </row>
    <row r="4805" spans="2:8" ht="12" hidden="1" customHeight="1" x14ac:dyDescent="0.25">
      <c r="B4805" s="441"/>
      <c r="C4805" s="2524"/>
      <c r="D4805" s="4066"/>
      <c r="E4805" s="3217"/>
      <c r="F4805" s="2813"/>
      <c r="G4805" s="2969"/>
      <c r="H4805" s="1463"/>
    </row>
    <row r="4806" spans="2:8" ht="30.75" customHeight="1" x14ac:dyDescent="0.25">
      <c r="B4806" s="441"/>
      <c r="C4806" s="2525" t="s">
        <v>3052</v>
      </c>
      <c r="D4806" s="4065">
        <f>SUM(D4807)</f>
        <v>35015000</v>
      </c>
      <c r="E4806" s="2679">
        <f>E4807</f>
        <v>34387000</v>
      </c>
      <c r="F4806" s="2679">
        <f>E4806/D4806*100</f>
        <v>98.206482935884623</v>
      </c>
      <c r="G4806" s="2969">
        <f>G4807</f>
        <v>100</v>
      </c>
      <c r="H4806" s="1463"/>
    </row>
    <row r="4807" spans="2:8" ht="16.5" hidden="1" customHeight="1" x14ac:dyDescent="0.25">
      <c r="B4807" s="441"/>
      <c r="C4807" s="2524" t="s">
        <v>3053</v>
      </c>
      <c r="D4807" s="4066">
        <v>35015000</v>
      </c>
      <c r="E4807" s="2685">
        <v>34387000</v>
      </c>
      <c r="F4807" s="2685">
        <f>E4807/D4807*100</f>
        <v>98.206482935884623</v>
      </c>
      <c r="G4807" s="2685">
        <v>100</v>
      </c>
      <c r="H4807" s="1463"/>
    </row>
    <row r="4808" spans="2:8" ht="8.25" hidden="1" customHeight="1" x14ac:dyDescent="0.25">
      <c r="B4808" s="441"/>
      <c r="C4808" s="2527"/>
      <c r="D4808" s="4276"/>
      <c r="E4808" s="3035"/>
      <c r="F4808" s="3035"/>
      <c r="G4808" s="3037"/>
      <c r="H4808" s="1463"/>
    </row>
    <row r="4809" spans="2:8" ht="18" customHeight="1" x14ac:dyDescent="0.25">
      <c r="B4809" s="441"/>
      <c r="C4809" s="2525" t="s">
        <v>3054</v>
      </c>
      <c r="D4809" s="4065">
        <f>SUM(D4810:D4812)</f>
        <v>244628000</v>
      </c>
      <c r="E4809" s="2695">
        <f>SUM(E4810:E4812)</f>
        <v>244628000</v>
      </c>
      <c r="F4809" s="2679">
        <f>E4809/D4809*100</f>
        <v>100</v>
      </c>
      <c r="G4809" s="2679">
        <f>SUM(G4810:G4812)/3</f>
        <v>100</v>
      </c>
      <c r="H4809" s="1463"/>
    </row>
    <row r="4810" spans="2:8" ht="15.75" hidden="1" customHeight="1" x14ac:dyDescent="0.25">
      <c r="B4810" s="441"/>
      <c r="C4810" s="2524" t="s">
        <v>3055</v>
      </c>
      <c r="D4810" s="4066">
        <v>64997000</v>
      </c>
      <c r="E4810" s="3216">
        <v>64997000</v>
      </c>
      <c r="F4810" s="2685">
        <f t="shared" ref="F4810:F4812" si="426">E4810/D4810*100</f>
        <v>100</v>
      </c>
      <c r="G4810" s="2967">
        <v>100</v>
      </c>
      <c r="H4810" s="1463"/>
    </row>
    <row r="4811" spans="2:8" ht="15" hidden="1" customHeight="1" x14ac:dyDescent="0.25">
      <c r="B4811" s="441"/>
      <c r="C4811" s="2524" t="s">
        <v>3056</v>
      </c>
      <c r="D4811" s="4066">
        <v>75484000</v>
      </c>
      <c r="E4811" s="2690">
        <v>75484000</v>
      </c>
      <c r="F4811" s="2685">
        <f t="shared" si="426"/>
        <v>100</v>
      </c>
      <c r="G4811" s="2685">
        <v>100</v>
      </c>
      <c r="H4811" s="1463"/>
    </row>
    <row r="4812" spans="2:8" ht="18.75" hidden="1" customHeight="1" x14ac:dyDescent="0.25">
      <c r="B4812" s="441"/>
      <c r="C4812" s="2524" t="s">
        <v>3057</v>
      </c>
      <c r="D4812" s="4066">
        <v>104147000</v>
      </c>
      <c r="E4812" s="2690">
        <v>104147000</v>
      </c>
      <c r="F4812" s="2685">
        <f t="shared" si="426"/>
        <v>100</v>
      </c>
      <c r="G4812" s="2685">
        <v>100</v>
      </c>
      <c r="H4812" s="1463"/>
    </row>
    <row r="4813" spans="2:8" ht="12" hidden="1" customHeight="1" x14ac:dyDescent="0.25">
      <c r="B4813" s="441"/>
      <c r="C4813" s="2528"/>
      <c r="D4813" s="3704"/>
      <c r="E4813" s="2685"/>
      <c r="F4813" s="2685"/>
      <c r="G4813" s="3036"/>
      <c r="H4813" s="1463"/>
    </row>
    <row r="4814" spans="2:8" ht="18" customHeight="1" x14ac:dyDescent="0.25">
      <c r="B4814" s="440"/>
      <c r="C4814" s="2497" t="s">
        <v>3183</v>
      </c>
      <c r="D4814" s="4080">
        <f>D4815</f>
        <v>20937515670</v>
      </c>
      <c r="E4814" s="2719">
        <f>E4815</f>
        <v>18978615670</v>
      </c>
      <c r="F4814" s="2786">
        <f>E4814/D4814*100</f>
        <v>90.644066703640576</v>
      </c>
      <c r="G4814" s="2670">
        <f>G4815/1</f>
        <v>93.333333333333329</v>
      </c>
      <c r="H4814" s="1463"/>
    </row>
    <row r="4815" spans="2:8" ht="18.75" customHeight="1" x14ac:dyDescent="0.25">
      <c r="B4815" s="441"/>
      <c r="C4815" s="2525" t="s">
        <v>3184</v>
      </c>
      <c r="D4815" s="4159">
        <f>SUM(D4816+D4817+D4818)</f>
        <v>20937515670</v>
      </c>
      <c r="E4815" s="2813">
        <f>SUM(E4816+E4817+E4818)</f>
        <v>18978615670</v>
      </c>
      <c r="F4815" s="2722">
        <f>E4815/D4815*100</f>
        <v>90.644066703640576</v>
      </c>
      <c r="G4815" s="2677">
        <f>SUM(G4816:G4818)/3</f>
        <v>93.333333333333329</v>
      </c>
      <c r="H4815" s="1463"/>
    </row>
    <row r="4816" spans="2:8" ht="15" hidden="1" customHeight="1" x14ac:dyDescent="0.25">
      <c r="B4816" s="441"/>
      <c r="C4816" s="2524" t="s">
        <v>3185</v>
      </c>
      <c r="D4816" s="3704">
        <v>10477515670</v>
      </c>
      <c r="E4816" s="2685">
        <v>10477515670</v>
      </c>
      <c r="F4816" s="2830">
        <f>E4816/D4816*100</f>
        <v>100</v>
      </c>
      <c r="G4816" s="2683">
        <v>100</v>
      </c>
      <c r="H4816" s="1463"/>
    </row>
    <row r="4817" spans="1:11" ht="18" hidden="1" customHeight="1" x14ac:dyDescent="0.25">
      <c r="B4817" s="441"/>
      <c r="C4817" s="2494" t="s">
        <v>3059</v>
      </c>
      <c r="D4817" s="4164">
        <v>6710000000</v>
      </c>
      <c r="E4817" s="4161">
        <v>4751100000</v>
      </c>
      <c r="F4817" s="2830">
        <f>E4817/D4817*100</f>
        <v>70.806259314456028</v>
      </c>
      <c r="G4817" s="2968">
        <v>80</v>
      </c>
      <c r="H4817" s="1463"/>
    </row>
    <row r="4818" spans="1:11" ht="17.25" hidden="1" customHeight="1" x14ac:dyDescent="0.25">
      <c r="B4818" s="441"/>
      <c r="C4818" s="2494" t="s">
        <v>3182</v>
      </c>
      <c r="D4818" s="4164">
        <v>3750000000</v>
      </c>
      <c r="E4818" s="4161">
        <v>3750000000</v>
      </c>
      <c r="F4818" s="2830">
        <f>E4818/D4818*100</f>
        <v>100</v>
      </c>
      <c r="G4818" s="2967">
        <v>100</v>
      </c>
      <c r="H4818" s="1463"/>
    </row>
    <row r="4819" spans="1:11" ht="14.1" hidden="1" customHeight="1" x14ac:dyDescent="0.25">
      <c r="B4819" s="443"/>
      <c r="C4819" s="2478"/>
      <c r="D4819" s="4285"/>
      <c r="E4819" s="3352"/>
      <c r="F4819" s="3352"/>
      <c r="G4819" s="3966"/>
      <c r="H4819" s="3724"/>
    </row>
    <row r="4820" spans="1:11" ht="18" customHeight="1" x14ac:dyDescent="0.25">
      <c r="B4820" s="511" t="s">
        <v>3779</v>
      </c>
      <c r="C4820" s="3705" t="s">
        <v>3060</v>
      </c>
      <c r="D4820" s="4166">
        <v>250724149600</v>
      </c>
      <c r="E4820" s="4166">
        <v>188043112200</v>
      </c>
      <c r="F4820" s="4167">
        <f>E4820/D4820*100</f>
        <v>75</v>
      </c>
      <c r="G4820" s="3707">
        <v>75</v>
      </c>
      <c r="H4820" s="3724"/>
    </row>
    <row r="4821" spans="1:11" ht="14.1" hidden="1" customHeight="1" x14ac:dyDescent="0.25">
      <c r="B4821" s="443"/>
      <c r="C4821" s="2474"/>
      <c r="D4821" s="4065"/>
      <c r="E4821" s="3334"/>
      <c r="F4821" s="3334"/>
      <c r="G4821" s="3965"/>
      <c r="H4821" s="3724"/>
    </row>
    <row r="4822" spans="1:11" ht="17.25" customHeight="1" x14ac:dyDescent="0.25">
      <c r="B4822" s="511" t="s">
        <v>3781</v>
      </c>
      <c r="C4822" s="3705" t="s">
        <v>3782</v>
      </c>
      <c r="D4822" s="4166">
        <v>24818166660</v>
      </c>
      <c r="E4822" s="4166">
        <v>24818166660</v>
      </c>
      <c r="F4822" s="3707">
        <f t="shared" ref="F4822" si="427">(E4822/D4822)*100</f>
        <v>100</v>
      </c>
      <c r="G4822" s="3707">
        <v>100</v>
      </c>
      <c r="H4822" s="3724"/>
      <c r="K4822" s="536">
        <v>250724149600</v>
      </c>
    </row>
    <row r="4823" spans="1:11" ht="14.1" customHeight="1" thickBot="1" x14ac:dyDescent="0.3">
      <c r="B4823" s="443"/>
      <c r="C4823" s="2478"/>
      <c r="D4823" s="4299"/>
      <c r="E4823" s="3341"/>
      <c r="F4823" s="3341"/>
      <c r="G4823" s="4082"/>
      <c r="H4823" s="3725"/>
      <c r="K4823" s="536">
        <v>24818166660</v>
      </c>
    </row>
    <row r="4824" spans="1:11" s="37" customFormat="1" ht="24" customHeight="1" thickTop="1" thickBot="1" x14ac:dyDescent="0.3">
      <c r="A4824" s="963"/>
      <c r="B4824" s="3564"/>
      <c r="C4824" s="2633" t="s">
        <v>3061</v>
      </c>
      <c r="D4824" s="4377">
        <f>D12+D262+D4820+D4822</f>
        <v>2507241496000</v>
      </c>
      <c r="E4824" s="4168">
        <f>E12+E262+E4820+E4822</f>
        <v>2240801437827</v>
      </c>
      <c r="F4824" s="3568">
        <f>E4824/D4824*100</f>
        <v>89.373179304902507</v>
      </c>
      <c r="G4824" s="3566">
        <f>SUM(G12+G262+G4820+G4822)/4</f>
        <v>88.649584906509034</v>
      </c>
      <c r="H4824" s="3752"/>
      <c r="J4824" s="1202"/>
      <c r="K4824" s="1202">
        <f>SUM(K4822:K4823)</f>
        <v>275542316260</v>
      </c>
    </row>
    <row r="4825" spans="1:11" ht="14.1" customHeight="1" x14ac:dyDescent="0.25">
      <c r="B4825" s="4736"/>
      <c r="C4825" s="3802"/>
      <c r="D4825" s="4378"/>
      <c r="E4825" s="4169"/>
      <c r="F4825" s="4169"/>
      <c r="G4825" s="4169"/>
      <c r="H4825" s="4660"/>
      <c r="K4825" s="1221">
        <v>366025166660</v>
      </c>
    </row>
    <row r="4826" spans="1:11" ht="14.1" customHeight="1" x14ac:dyDescent="0.25">
      <c r="B4826" s="4736"/>
      <c r="C4826" s="4661"/>
      <c r="D4826" s="4378"/>
      <c r="E4826" s="4169"/>
      <c r="F4826" s="4169"/>
      <c r="G4826" s="4169"/>
      <c r="H4826" s="4660"/>
    </row>
    <row r="4827" spans="1:11" ht="14.1" customHeight="1" x14ac:dyDescent="0.25">
      <c r="B4827" s="4736"/>
      <c r="C4827" s="4661"/>
      <c r="D4827" s="4378"/>
      <c r="E4827" s="4169"/>
      <c r="F4827" s="4169"/>
      <c r="G4827" s="4169"/>
      <c r="H4827" s="4660"/>
      <c r="K4827" s="536">
        <f>SUM(K4825-K4824)</f>
        <v>90482850400</v>
      </c>
    </row>
    <row r="4828" spans="1:11" ht="14.1" customHeight="1" x14ac:dyDescent="0.25">
      <c r="B4828" s="4736"/>
      <c r="C4828" s="4661"/>
      <c r="D4828" s="4999" t="s">
        <v>7953</v>
      </c>
      <c r="E4828" s="4999"/>
      <c r="F4828" s="4999"/>
      <c r="G4828" s="4999"/>
      <c r="H4828" s="4662"/>
    </row>
    <row r="4829" spans="1:11" ht="20.100000000000001" customHeight="1" x14ac:dyDescent="0.25">
      <c r="B4829" s="4663"/>
      <c r="C4829" s="2636"/>
      <c r="D4829" s="4999" t="s">
        <v>3078</v>
      </c>
      <c r="E4829" s="4999"/>
      <c r="F4829" s="4999"/>
      <c r="G4829" s="4999"/>
      <c r="H4829" s="4662"/>
    </row>
    <row r="4830" spans="1:11" ht="15" customHeight="1" x14ac:dyDescent="0.25">
      <c r="B4830" s="4736"/>
      <c r="C4830" s="3802"/>
      <c r="D4830" s="4999" t="s">
        <v>3063</v>
      </c>
      <c r="E4830" s="4999"/>
      <c r="F4830" s="4999"/>
      <c r="G4830" s="4999"/>
      <c r="H4830" s="4662"/>
    </row>
    <row r="4831" spans="1:11" x14ac:dyDescent="0.25">
      <c r="B4831" s="5000"/>
      <c r="C4831" s="5001"/>
      <c r="D4831" s="4378"/>
      <c r="E4831" s="4664"/>
      <c r="F4831" s="4169"/>
      <c r="G4831" s="4508"/>
      <c r="H4831" s="4662"/>
    </row>
    <row r="4832" spans="1:11" x14ac:dyDescent="0.25">
      <c r="B4832" s="5002"/>
      <c r="C4832" s="5003"/>
      <c r="D4832" s="4378"/>
      <c r="E4832" s="4664"/>
      <c r="F4832" s="4169"/>
      <c r="G4832" s="4665"/>
      <c r="H4832" s="4666"/>
    </row>
    <row r="4833" spans="2:9" x14ac:dyDescent="0.25">
      <c r="B4833" s="4736"/>
      <c r="C4833" s="3802"/>
      <c r="D4833" s="4378"/>
      <c r="E4833" s="4664"/>
      <c r="F4833" s="4169"/>
      <c r="G4833" s="4665"/>
      <c r="H4833" s="4666"/>
    </row>
    <row r="4834" spans="2:9" x14ac:dyDescent="0.25">
      <c r="B4834" s="4736"/>
      <c r="C4834" s="3802"/>
      <c r="D4834" s="4378"/>
      <c r="E4834" s="4664"/>
      <c r="F4834" s="4169"/>
      <c r="G4834" s="4665"/>
      <c r="H4834" s="4666"/>
    </row>
    <row r="4835" spans="2:9" x14ac:dyDescent="0.25">
      <c r="B4835" s="4736"/>
      <c r="C4835" s="3802"/>
      <c r="D4835" s="4984" t="s">
        <v>3064</v>
      </c>
      <c r="E4835" s="4984"/>
      <c r="F4835" s="4984"/>
      <c r="G4835" s="4984"/>
      <c r="H4835" s="4662"/>
      <c r="I4835" s="226"/>
    </row>
    <row r="4836" spans="2:9" ht="15" customHeight="1" x14ac:dyDescent="0.25">
      <c r="B4836" s="4736"/>
      <c r="C4836" s="3802"/>
      <c r="D4836" s="4982" t="s">
        <v>3778</v>
      </c>
      <c r="E4836" s="4982"/>
      <c r="F4836" s="4982"/>
      <c r="G4836" s="4982"/>
      <c r="H4836" s="4662"/>
    </row>
    <row r="4837" spans="2:9" x14ac:dyDescent="0.25">
      <c r="B4837" s="4736"/>
      <c r="C4837" s="3802"/>
      <c r="D4837" s="4983" t="s">
        <v>3065</v>
      </c>
      <c r="E4837" s="4983"/>
      <c r="F4837" s="4983"/>
      <c r="G4837" s="4983"/>
      <c r="H4837" s="4660"/>
    </row>
    <row r="4838" spans="2:9" x14ac:dyDescent="0.25">
      <c r="B4838" s="4736"/>
      <c r="C4838" s="3802"/>
      <c r="D4838" s="4378"/>
      <c r="E4838" s="4169"/>
      <c r="F4838" s="4169"/>
      <c r="G4838" s="4169"/>
      <c r="H4838" s="4660"/>
    </row>
    <row r="4839" spans="2:9" x14ac:dyDescent="0.25">
      <c r="B4839" s="4736"/>
      <c r="C4839" s="3802"/>
      <c r="D4839" s="4378"/>
      <c r="E4839" s="4169"/>
      <c r="F4839" s="4169"/>
      <c r="G4839" s="4978"/>
      <c r="H4839" s="4979"/>
    </row>
    <row r="4840" spans="2:9" x14ac:dyDescent="0.25">
      <c r="B4840" s="4736"/>
      <c r="C4840" s="3802"/>
      <c r="D4840" s="4378"/>
      <c r="E4840" s="4169"/>
      <c r="F4840" s="4169"/>
      <c r="G4840" s="4978"/>
      <c r="H4840" s="4979"/>
    </row>
    <row r="4841" spans="2:9" x14ac:dyDescent="0.25">
      <c r="B4841" s="4736"/>
      <c r="C4841" s="3802"/>
      <c r="D4841" s="4378"/>
      <c r="E4841" s="4169"/>
      <c r="F4841" s="4169"/>
      <c r="G4841" s="4978"/>
      <c r="H4841" s="4979"/>
    </row>
    <row r="4842" spans="2:9" x14ac:dyDescent="0.25">
      <c r="B4842" s="4736"/>
      <c r="C4842" s="3802"/>
      <c r="D4842" s="4378"/>
      <c r="E4842" s="4169"/>
      <c r="F4842" s="4169"/>
      <c r="G4842" s="4978"/>
      <c r="H4842" s="4979"/>
    </row>
    <row r="4843" spans="2:9" x14ac:dyDescent="0.25">
      <c r="B4843" s="4736"/>
      <c r="C4843" s="3802"/>
      <c r="D4843" s="4378"/>
      <c r="E4843" s="4169"/>
      <c r="F4843" s="4169"/>
      <c r="G4843" s="4665"/>
      <c r="H4843" s="4666"/>
    </row>
    <row r="4844" spans="2:9" x14ac:dyDescent="0.25">
      <c r="B4844" s="4736"/>
      <c r="C4844" s="3802"/>
      <c r="D4844" s="4378"/>
      <c r="E4844" s="4169"/>
      <c r="F4844" s="4169"/>
      <c r="G4844" s="4665"/>
      <c r="H4844" s="4666"/>
    </row>
    <row r="4845" spans="2:9" x14ac:dyDescent="0.25">
      <c r="B4845" s="4736"/>
      <c r="C4845" s="3802"/>
      <c r="D4845" s="4378"/>
      <c r="E4845" s="4169"/>
      <c r="F4845" s="4169"/>
      <c r="G4845" s="4665"/>
      <c r="H4845" s="4666"/>
    </row>
    <row r="4846" spans="2:9" x14ac:dyDescent="0.25">
      <c r="B4846" s="4736"/>
      <c r="C4846" s="3802"/>
      <c r="D4846" s="4378"/>
      <c r="E4846" s="4169"/>
      <c r="F4846" s="4169"/>
      <c r="G4846" s="4978"/>
      <c r="H4846" s="4979"/>
    </row>
    <row r="4847" spans="2:9" ht="16.5" thickBot="1" x14ac:dyDescent="0.3">
      <c r="B4847" s="4667"/>
      <c r="C4847" s="4668"/>
      <c r="D4847" s="4669"/>
      <c r="E4847" s="4670"/>
      <c r="F4847" s="4670"/>
      <c r="G4847" s="4980"/>
      <c r="H4847" s="4981"/>
    </row>
  </sheetData>
  <mergeCells count="23">
    <mergeCell ref="D4835:G4835"/>
    <mergeCell ref="B1:H1"/>
    <mergeCell ref="B2:H2"/>
    <mergeCell ref="A3:H3"/>
    <mergeCell ref="B5:H5"/>
    <mergeCell ref="B8:B10"/>
    <mergeCell ref="C8:C10"/>
    <mergeCell ref="D8:G8"/>
    <mergeCell ref="H8:H10"/>
    <mergeCell ref="D9:G9"/>
    <mergeCell ref="D4828:G4828"/>
    <mergeCell ref="D4829:G4829"/>
    <mergeCell ref="D4830:G4830"/>
    <mergeCell ref="B4831:C4831"/>
    <mergeCell ref="B4832:C4832"/>
    <mergeCell ref="G4846:H4846"/>
    <mergeCell ref="G4847:H4847"/>
    <mergeCell ref="D4836:G4836"/>
    <mergeCell ref="D4837:G4837"/>
    <mergeCell ref="G4839:H4839"/>
    <mergeCell ref="G4840:H4840"/>
    <mergeCell ref="G4841:H4841"/>
    <mergeCell ref="G4842:H4842"/>
  </mergeCells>
  <printOptions horizontalCentered="1"/>
  <pageMargins left="0.23622047244094491" right="0.23622047244094491" top="0.74803149606299213" bottom="0.74803149606299213" header="0.31496062992125984" footer="0.31496062992125984"/>
  <pageSetup paperSize="258" scale="65" fitToHeight="0" orientation="landscape" r:id="rId1"/>
  <headerFooter>
    <oddFooter>&amp;RHal &amp;P dari &amp;N</oddFooter>
  </headerFooter>
  <rowBreaks count="59" manualBreakCount="59">
    <brk id="43" min="1" max="7" man="1"/>
    <brk id="84" min="1" max="7" man="1"/>
    <brk id="120" min="1" max="7" man="1"/>
    <brk id="158" min="1" max="7" man="1"/>
    <brk id="203" min="1" max="7" man="1"/>
    <brk id="241" min="1" max="7" man="1"/>
    <brk id="407" min="1" max="7" man="1"/>
    <brk id="532" min="1" max="7" man="1"/>
    <brk id="572" min="1" max="7" man="1"/>
    <brk id="614" min="1" max="7" man="1"/>
    <brk id="658" min="1" max="7" man="1"/>
    <brk id="696" min="1" max="7" man="1"/>
    <brk id="741" min="1" max="7" man="1"/>
    <brk id="784" min="1" max="7" man="1"/>
    <brk id="829" min="1" max="7" man="1"/>
    <brk id="872" min="1" max="7" man="1"/>
    <brk id="912" min="1" max="7" man="1"/>
    <brk id="957" min="1" max="7" man="1"/>
    <brk id="999" min="1" max="7" man="1"/>
    <brk id="1044" min="1" max="7" man="1"/>
    <brk id="1083" min="1" max="7" man="1"/>
    <brk id="1122" min="1" max="7" man="1"/>
    <brk id="1205" min="1" max="7" man="1"/>
    <brk id="1244" min="1" max="7" man="1"/>
    <brk id="1328" min="1" max="7" man="1"/>
    <brk id="1372" min="1" max="7" man="1"/>
    <brk id="1412" min="1" max="7" man="1"/>
    <brk id="1455" min="1" max="7" man="1"/>
    <brk id="1496" min="1" max="7" man="1"/>
    <brk id="1615" min="1" max="7" man="1"/>
    <brk id="1828" min="1" max="7" man="1"/>
    <brk id="1871" min="1" max="7" man="1"/>
    <brk id="1910" min="1" max="7" man="1"/>
    <brk id="1934" min="1" max="7" man="1"/>
    <brk id="1956" min="1" max="7" man="1"/>
    <brk id="1995" max="16383" man="1"/>
    <brk id="2262" min="1" max="7" man="1"/>
    <brk id="2309" min="1" max="7" man="1"/>
    <brk id="2422" min="1" max="7" man="1"/>
    <brk id="2478" min="1" max="7" man="1"/>
    <brk id="2863" min="1" max="7" man="1"/>
    <brk id="2906" min="1" max="7" man="1"/>
    <brk id="3349" min="1" max="7" man="1"/>
    <brk id="3388" min="1" max="7" man="1"/>
    <brk id="3430" min="1" max="7" man="1"/>
    <brk id="3479" min="1" max="7" man="1"/>
    <brk id="3524" min="1" max="7" man="1"/>
    <brk id="3768" min="1" max="7" man="1"/>
    <brk id="3906" min="1" max="7" man="1"/>
    <brk id="4201" min="1" max="7" man="1"/>
    <brk id="4239" min="1" max="7" man="1"/>
    <brk id="4324" min="1" max="7" man="1"/>
    <brk id="4366" min="1" max="7" man="1"/>
    <brk id="4406" min="1" max="7" man="1"/>
    <brk id="4534" min="1" max="7" man="1"/>
    <brk id="4574" min="1" max="7" man="1"/>
    <brk id="4646" min="1" max="7" man="1"/>
    <brk id="4766" min="1" max="7" man="1"/>
    <brk id="4812" min="1" max="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XEU1221"/>
  <sheetViews>
    <sheetView view="pageBreakPreview" zoomScale="82" zoomScaleNormal="90" zoomScaleSheetLayoutView="82" workbookViewId="0">
      <selection activeCell="B11" sqref="B11:H1200"/>
    </sheetView>
  </sheetViews>
  <sheetFormatPr defaultColWidth="8.85546875" defaultRowHeight="15.75" x14ac:dyDescent="0.25"/>
  <cols>
    <col min="1" max="1" width="3.28515625" style="1002" customWidth="1"/>
    <col min="2" max="2" width="4.7109375" style="40" customWidth="1"/>
    <col min="3" max="3" width="40.7109375" style="345" customWidth="1"/>
    <col min="4" max="4" width="23" style="2376" customWidth="1"/>
    <col min="5" max="6" width="24" style="2376" customWidth="1"/>
    <col min="7" max="7" width="12.42578125" style="2376" customWidth="1"/>
    <col min="8" max="8" width="10" style="2376" customWidth="1"/>
    <col min="9" max="9" width="20.42578125" style="1221" customWidth="1"/>
    <col min="10" max="10" width="17.85546875" style="4865" bestFit="1" customWidth="1"/>
    <col min="11" max="11" width="15.85546875" bestFit="1" customWidth="1"/>
  </cols>
  <sheetData>
    <row r="1" spans="1:11" ht="14.1" customHeight="1" x14ac:dyDescent="0.25">
      <c r="B1" s="5005"/>
      <c r="C1" s="5005"/>
      <c r="D1" s="5005"/>
      <c r="E1" s="5005"/>
      <c r="F1" s="5005"/>
      <c r="G1" s="5005"/>
      <c r="H1" s="5005"/>
    </row>
    <row r="2" spans="1:11" s="37" customFormat="1" ht="21.75" customHeight="1" x14ac:dyDescent="0.35">
      <c r="A2" s="4636"/>
      <c r="B2" s="5006" t="s">
        <v>3066</v>
      </c>
      <c r="C2" s="5006"/>
      <c r="D2" s="5006"/>
      <c r="E2" s="5006"/>
      <c r="F2" s="5006"/>
      <c r="G2" s="5006"/>
      <c r="H2" s="5006"/>
      <c r="I2" s="4866"/>
      <c r="J2" s="4867"/>
    </row>
    <row r="3" spans="1:11" ht="21.75" customHeight="1" x14ac:dyDescent="0.35">
      <c r="A3" s="4636"/>
      <c r="B3" s="5007" t="s">
        <v>3067</v>
      </c>
      <c r="C3" s="5007"/>
      <c r="D3" s="5007"/>
      <c r="E3" s="5007"/>
      <c r="F3" s="5007"/>
      <c r="G3" s="5007"/>
      <c r="H3" s="5007"/>
    </row>
    <row r="4" spans="1:11" ht="21.75" customHeight="1" x14ac:dyDescent="0.35">
      <c r="A4" s="5008" t="s">
        <v>2</v>
      </c>
      <c r="B4" s="5008"/>
      <c r="C4" s="5008"/>
      <c r="D4" s="5008"/>
      <c r="E4" s="5008"/>
      <c r="F4" s="5008"/>
      <c r="G4" s="5008"/>
      <c r="H4" s="5008"/>
    </row>
    <row r="5" spans="1:11" ht="14.1" customHeight="1" x14ac:dyDescent="0.25">
      <c r="B5" s="1004"/>
      <c r="C5" s="1884"/>
      <c r="D5" s="408"/>
      <c r="E5" s="408"/>
      <c r="F5" s="408"/>
      <c r="G5" s="408"/>
      <c r="H5" s="408"/>
    </row>
    <row r="6" spans="1:11" ht="14.1" customHeight="1" x14ac:dyDescent="0.25">
      <c r="B6" s="1004"/>
      <c r="C6" s="1884"/>
      <c r="D6" s="408"/>
      <c r="E6" s="408"/>
      <c r="F6" s="408"/>
      <c r="G6" s="408"/>
      <c r="H6" s="408"/>
    </row>
    <row r="7" spans="1:11" ht="14.1" customHeight="1" x14ac:dyDescent="0.25">
      <c r="B7" s="5009" t="s">
        <v>7839</v>
      </c>
      <c r="C7" s="5009"/>
      <c r="D7" s="5009"/>
      <c r="E7" s="5009"/>
      <c r="F7" s="5009"/>
      <c r="G7" s="5009"/>
      <c r="H7" s="5009"/>
    </row>
    <row r="8" spans="1:11" ht="22.5" customHeight="1" x14ac:dyDescent="0.35">
      <c r="B8" s="5004" t="s">
        <v>5</v>
      </c>
      <c r="C8" s="5004"/>
      <c r="D8" s="5004"/>
      <c r="E8" s="408"/>
      <c r="F8" s="408"/>
      <c r="G8" s="408"/>
      <c r="H8" s="5007" t="s">
        <v>4112</v>
      </c>
      <c r="I8" s="5007"/>
      <c r="J8" s="4868"/>
    </row>
    <row r="9" spans="1:11" ht="14.1" customHeight="1" thickBot="1" x14ac:dyDescent="0.3">
      <c r="B9" s="4513"/>
      <c r="C9" s="42"/>
    </row>
    <row r="10" spans="1:11" ht="18.75" customHeight="1" thickBot="1" x14ac:dyDescent="0.3">
      <c r="B10" s="4938" t="s">
        <v>6</v>
      </c>
      <c r="C10" s="4937" t="s">
        <v>7</v>
      </c>
      <c r="D10" s="5011" t="s">
        <v>8</v>
      </c>
      <c r="E10" s="5011"/>
      <c r="F10" s="5011"/>
      <c r="G10" s="5011"/>
      <c r="H10" s="5011"/>
      <c r="I10" s="5012" t="s">
        <v>11</v>
      </c>
      <c r="J10" s="4857"/>
    </row>
    <row r="11" spans="1:11" s="45" customFormat="1" ht="82.5" customHeight="1" thickBot="1" x14ac:dyDescent="0.3">
      <c r="A11" s="999"/>
      <c r="B11" s="4938" t="s">
        <v>6</v>
      </c>
      <c r="C11" s="4858" t="s">
        <v>7</v>
      </c>
      <c r="D11" s="1479" t="s">
        <v>12</v>
      </c>
      <c r="E11" s="1479" t="s">
        <v>17</v>
      </c>
      <c r="F11" s="1479" t="s">
        <v>7961</v>
      </c>
      <c r="G11" s="1479" t="s">
        <v>15</v>
      </c>
      <c r="H11" s="1479" t="s">
        <v>18</v>
      </c>
      <c r="I11" s="5013"/>
      <c r="J11" s="4869"/>
    </row>
    <row r="12" spans="1:11" ht="20.100000000000001" hidden="1" customHeight="1" thickTop="1" thickBot="1" x14ac:dyDescent="0.3">
      <c r="B12" s="1011" t="s">
        <v>19</v>
      </c>
      <c r="C12" s="47" t="s">
        <v>20</v>
      </c>
      <c r="D12" s="48" t="s">
        <v>21</v>
      </c>
      <c r="E12" s="1011" t="s">
        <v>22</v>
      </c>
      <c r="F12" s="1011"/>
      <c r="G12" s="48" t="s">
        <v>23</v>
      </c>
      <c r="H12" s="1011" t="s">
        <v>24</v>
      </c>
      <c r="I12" s="4870" t="s">
        <v>25</v>
      </c>
      <c r="J12" s="4857"/>
    </row>
    <row r="13" spans="1:11" s="1" customFormat="1" ht="17.25" customHeight="1" thickTop="1" x14ac:dyDescent="0.25">
      <c r="A13" s="1015"/>
      <c r="B13" s="1897" t="s">
        <v>32</v>
      </c>
      <c r="C13" s="1898" t="s">
        <v>33</v>
      </c>
      <c r="D13" s="1900">
        <f>SUM(D14,D77,D85)</f>
        <v>152569988360</v>
      </c>
      <c r="E13" s="1900">
        <f>SUM(E14,E77,E85)</f>
        <v>143677793566</v>
      </c>
      <c r="F13" s="1900">
        <f>D13-E13</f>
        <v>8892194794</v>
      </c>
      <c r="G13" s="1902">
        <f>E13/D13*100</f>
        <v>94.171727421897529</v>
      </c>
      <c r="H13" s="1900">
        <f>SUM(H14+H77+H85)/3</f>
        <v>88.198549534756424</v>
      </c>
      <c r="I13" s="4871"/>
      <c r="J13" s="4763"/>
      <c r="K13" s="535"/>
    </row>
    <row r="14" spans="1:11" s="4" customFormat="1" ht="20.25" hidden="1" customHeight="1" x14ac:dyDescent="0.25">
      <c r="A14" s="1022"/>
      <c r="B14" s="1904" t="s">
        <v>34</v>
      </c>
      <c r="C14" s="56" t="s">
        <v>35</v>
      </c>
      <c r="D14" s="78">
        <f>SUM(D15+D18+D55+D59+D63+D74)</f>
        <v>78664021700</v>
      </c>
      <c r="E14" s="78">
        <f>SUM(E15+E18+E55+E59+E63+E74)</f>
        <v>73491587865</v>
      </c>
      <c r="F14" s="78"/>
      <c r="G14" s="200">
        <f>E14/D14*100</f>
        <v>93.42465116425646</v>
      </c>
      <c r="H14" s="988">
        <f>SUM(H18+H55+H59+H63)/4</f>
        <v>71.262315270935957</v>
      </c>
      <c r="I14" s="4872"/>
      <c r="J14" s="4855"/>
      <c r="K14" s="1204"/>
    </row>
    <row r="15" spans="1:11" s="4" customFormat="1" ht="15.75" hidden="1" customHeight="1" x14ac:dyDescent="0.25">
      <c r="A15" s="1022"/>
      <c r="B15" s="1024"/>
      <c r="C15" s="69" t="s">
        <v>36</v>
      </c>
      <c r="D15" s="2377"/>
      <c r="E15" s="234"/>
      <c r="F15" s="234"/>
      <c r="G15" s="234"/>
      <c r="H15" s="234"/>
      <c r="I15" s="4641"/>
      <c r="J15" s="4855"/>
    </row>
    <row r="16" spans="1:11" s="5" customFormat="1" ht="18" hidden="1" customHeight="1" x14ac:dyDescent="0.25">
      <c r="A16" s="2453"/>
      <c r="B16" s="1097"/>
      <c r="C16" s="61" t="s">
        <v>37</v>
      </c>
      <c r="D16" s="989"/>
      <c r="E16" s="989"/>
      <c r="F16" s="989"/>
      <c r="G16" s="989" t="s">
        <v>3317</v>
      </c>
      <c r="H16" s="140"/>
      <c r="I16" s="4643"/>
      <c r="J16" s="4873"/>
    </row>
    <row r="17" spans="1:10" s="5" customFormat="1" ht="11.25" hidden="1" customHeight="1" x14ac:dyDescent="0.25">
      <c r="A17" s="2453"/>
      <c r="B17" s="1097"/>
      <c r="C17" s="61"/>
      <c r="D17" s="169"/>
      <c r="E17" s="201"/>
      <c r="F17" s="201"/>
      <c r="G17" s="201"/>
      <c r="H17" s="169"/>
      <c r="I17" s="4643"/>
      <c r="J17" s="4873"/>
    </row>
    <row r="18" spans="1:10" s="4" customFormat="1" hidden="1" x14ac:dyDescent="0.25">
      <c r="A18" s="1022"/>
      <c r="B18" s="1024"/>
      <c r="C18" s="63" t="s">
        <v>38</v>
      </c>
      <c r="D18" s="84">
        <f>SUM(D19:D53)</f>
        <v>30813944337</v>
      </c>
      <c r="E18" s="84">
        <f>SUM(E19:E53)</f>
        <v>29953256202</v>
      </c>
      <c r="F18" s="84"/>
      <c r="G18" s="202">
        <f>E18/D18*100</f>
        <v>97.206822581403429</v>
      </c>
      <c r="H18" s="1931">
        <f>SUM(H22:H53)/29</f>
        <v>98.620689655172413</v>
      </c>
      <c r="I18" s="4641"/>
      <c r="J18" s="4855"/>
    </row>
    <row r="19" spans="1:10" s="27" customFormat="1" ht="15.75" hidden="1" customHeight="1" x14ac:dyDescent="0.25">
      <c r="A19" s="1027"/>
      <c r="B19" s="1914"/>
      <c r="C19" s="61" t="s">
        <v>39</v>
      </c>
      <c r="D19" s="989" t="s">
        <v>3317</v>
      </c>
      <c r="E19" s="989" t="s">
        <v>3317</v>
      </c>
      <c r="F19" s="989"/>
      <c r="G19" s="989" t="s">
        <v>3317</v>
      </c>
      <c r="H19" s="989" t="s">
        <v>3317</v>
      </c>
      <c r="I19" s="4637"/>
      <c r="J19" s="4874"/>
    </row>
    <row r="20" spans="1:10" s="27" customFormat="1" ht="14.25" hidden="1" customHeight="1" x14ac:dyDescent="0.25">
      <c r="A20" s="1027"/>
      <c r="B20" s="1914"/>
      <c r="C20" s="61" t="s">
        <v>40</v>
      </c>
      <c r="D20" s="989" t="s">
        <v>3317</v>
      </c>
      <c r="E20" s="989" t="s">
        <v>3317</v>
      </c>
      <c r="F20" s="989"/>
      <c r="G20" s="989" t="s">
        <v>3317</v>
      </c>
      <c r="H20" s="989" t="s">
        <v>3317</v>
      </c>
      <c r="I20" s="4637"/>
      <c r="J20" s="4874"/>
    </row>
    <row r="21" spans="1:10" s="27" customFormat="1" ht="16.5" hidden="1" customHeight="1" x14ac:dyDescent="0.25">
      <c r="A21" s="1027"/>
      <c r="B21" s="1914"/>
      <c r="C21" s="61" t="s">
        <v>41</v>
      </c>
      <c r="D21" s="989" t="s">
        <v>3317</v>
      </c>
      <c r="E21" s="989" t="s">
        <v>3317</v>
      </c>
      <c r="F21" s="989"/>
      <c r="G21" s="989" t="s">
        <v>3317</v>
      </c>
      <c r="H21" s="989" t="s">
        <v>3317</v>
      </c>
      <c r="I21" s="4637"/>
      <c r="J21" s="4874"/>
    </row>
    <row r="22" spans="1:10" s="27" customFormat="1" ht="18" hidden="1" customHeight="1" x14ac:dyDescent="0.25">
      <c r="A22" s="1027"/>
      <c r="B22" s="1914"/>
      <c r="C22" s="61" t="s">
        <v>42</v>
      </c>
      <c r="D22" s="1970">
        <v>750000000</v>
      </c>
      <c r="E22" s="169">
        <v>743538000</v>
      </c>
      <c r="F22" s="169"/>
      <c r="G22" s="169">
        <f>E22/D22*100</f>
        <v>99.138400000000004</v>
      </c>
      <c r="H22" s="140">
        <v>100</v>
      </c>
      <c r="I22" s="4637"/>
      <c r="J22" s="4874"/>
    </row>
    <row r="23" spans="1:10" s="27" customFormat="1" ht="15.75" hidden="1" customHeight="1" x14ac:dyDescent="0.25">
      <c r="A23" s="1027"/>
      <c r="B23" s="1914"/>
      <c r="C23" s="61" t="s">
        <v>43</v>
      </c>
      <c r="D23" s="140" t="s">
        <v>3317</v>
      </c>
      <c r="E23" s="169" t="s">
        <v>3317</v>
      </c>
      <c r="F23" s="169"/>
      <c r="G23" s="169" t="s">
        <v>3317</v>
      </c>
      <c r="H23" s="169" t="s">
        <v>3317</v>
      </c>
      <c r="I23" s="4637"/>
      <c r="J23" s="4874"/>
    </row>
    <row r="24" spans="1:10" s="27" customFormat="1" ht="17.25" hidden="1" customHeight="1" x14ac:dyDescent="0.25">
      <c r="A24" s="1027"/>
      <c r="B24" s="1914"/>
      <c r="C24" s="61" t="s">
        <v>44</v>
      </c>
      <c r="D24" s="140">
        <v>500000000</v>
      </c>
      <c r="E24" s="169">
        <v>491145846</v>
      </c>
      <c r="F24" s="169"/>
      <c r="G24" s="169">
        <f t="shared" ref="G24:G72" si="0">E24/D24*100</f>
        <v>98.229169200000001</v>
      </c>
      <c r="H24" s="169">
        <v>100</v>
      </c>
      <c r="I24" s="4637"/>
      <c r="J24" s="4874"/>
    </row>
    <row r="25" spans="1:10" s="27" customFormat="1" ht="18" hidden="1" customHeight="1" x14ac:dyDescent="0.25">
      <c r="A25" s="1027"/>
      <c r="B25" s="1914"/>
      <c r="C25" s="61" t="s">
        <v>45</v>
      </c>
      <c r="D25" s="1970">
        <v>935626337</v>
      </c>
      <c r="E25" s="169">
        <v>935200000</v>
      </c>
      <c r="F25" s="169"/>
      <c r="G25" s="169">
        <f t="shared" si="0"/>
        <v>99.954432984286541</v>
      </c>
      <c r="H25" s="169">
        <v>100</v>
      </c>
      <c r="I25" s="4637"/>
      <c r="J25" s="4874"/>
    </row>
    <row r="26" spans="1:10" s="27" customFormat="1" ht="17.25" hidden="1" customHeight="1" x14ac:dyDescent="0.25">
      <c r="A26" s="1027"/>
      <c r="B26" s="1914"/>
      <c r="C26" s="61" t="s">
        <v>46</v>
      </c>
      <c r="D26" s="140">
        <v>1100000000</v>
      </c>
      <c r="E26" s="169">
        <v>1086667050</v>
      </c>
      <c r="F26" s="169"/>
      <c r="G26" s="169">
        <f t="shared" si="0"/>
        <v>98.787913636363641</v>
      </c>
      <c r="H26" s="169">
        <v>100</v>
      </c>
      <c r="I26" s="4637"/>
      <c r="J26" s="4874"/>
    </row>
    <row r="27" spans="1:10" s="27" customFormat="1" ht="17.25" hidden="1" customHeight="1" x14ac:dyDescent="0.25">
      <c r="A27" s="1027"/>
      <c r="B27" s="1914"/>
      <c r="C27" s="61" t="s">
        <v>47</v>
      </c>
      <c r="D27" s="140">
        <v>1296000000</v>
      </c>
      <c r="E27" s="169">
        <v>1294102000</v>
      </c>
      <c r="F27" s="169"/>
      <c r="G27" s="169">
        <f t="shared" si="0"/>
        <v>99.853549382716039</v>
      </c>
      <c r="H27" s="169">
        <v>100</v>
      </c>
      <c r="I27" s="4637"/>
      <c r="J27" s="4874"/>
    </row>
    <row r="28" spans="1:10" s="27" customFormat="1" ht="17.25" hidden="1" customHeight="1" x14ac:dyDescent="0.25">
      <c r="A28" s="1027"/>
      <c r="B28" s="1914"/>
      <c r="C28" s="61" t="s">
        <v>48</v>
      </c>
      <c r="D28" s="1970">
        <v>1100000000</v>
      </c>
      <c r="E28" s="169">
        <v>1096658000</v>
      </c>
      <c r="F28" s="169"/>
      <c r="G28" s="169">
        <f t="shared" si="0"/>
        <v>99.696181818181813</v>
      </c>
      <c r="H28" s="169">
        <v>100</v>
      </c>
      <c r="I28" s="4637"/>
      <c r="J28" s="4874"/>
    </row>
    <row r="29" spans="1:10" s="27" customFormat="1" ht="17.25" hidden="1" customHeight="1" x14ac:dyDescent="0.25">
      <c r="A29" s="1027"/>
      <c r="B29" s="1914"/>
      <c r="C29" s="61" t="s">
        <v>49</v>
      </c>
      <c r="D29" s="140">
        <v>800000000</v>
      </c>
      <c r="E29" s="169">
        <v>798400000</v>
      </c>
      <c r="F29" s="169"/>
      <c r="G29" s="169">
        <f t="shared" si="0"/>
        <v>99.8</v>
      </c>
      <c r="H29" s="169">
        <v>100</v>
      </c>
      <c r="I29" s="4637"/>
      <c r="J29" s="4874"/>
    </row>
    <row r="30" spans="1:10" s="27" customFormat="1" ht="17.25" hidden="1" customHeight="1" x14ac:dyDescent="0.25">
      <c r="A30" s="1027"/>
      <c r="B30" s="1914"/>
      <c r="C30" s="61" t="s">
        <v>50</v>
      </c>
      <c r="D30" s="140">
        <v>900000000</v>
      </c>
      <c r="E30" s="169">
        <v>897460000</v>
      </c>
      <c r="F30" s="169"/>
      <c r="G30" s="169">
        <f t="shared" si="0"/>
        <v>99.717777777777783</v>
      </c>
      <c r="H30" s="169">
        <v>100</v>
      </c>
      <c r="I30" s="4637"/>
      <c r="J30" s="4874"/>
    </row>
    <row r="31" spans="1:10" s="27" customFormat="1" ht="17.25" hidden="1" customHeight="1" x14ac:dyDescent="0.25">
      <c r="A31" s="1027"/>
      <c r="B31" s="1914"/>
      <c r="C31" s="61" t="s">
        <v>51</v>
      </c>
      <c r="D31" s="140">
        <v>750000000</v>
      </c>
      <c r="E31" s="169">
        <v>730748000</v>
      </c>
      <c r="F31" s="169"/>
      <c r="G31" s="169">
        <f t="shared" si="0"/>
        <v>97.433066666666662</v>
      </c>
      <c r="H31" s="169">
        <v>100</v>
      </c>
      <c r="I31" s="4637"/>
      <c r="J31" s="4874"/>
    </row>
    <row r="32" spans="1:10" s="27" customFormat="1" ht="17.25" hidden="1" customHeight="1" x14ac:dyDescent="0.25">
      <c r="A32" s="1027"/>
      <c r="B32" s="1914"/>
      <c r="C32" s="61" t="s">
        <v>52</v>
      </c>
      <c r="D32" s="140">
        <v>500000000</v>
      </c>
      <c r="E32" s="169">
        <v>495386306</v>
      </c>
      <c r="F32" s="169"/>
      <c r="G32" s="169">
        <f t="shared" si="0"/>
        <v>99.077261199999995</v>
      </c>
      <c r="H32" s="169">
        <v>100</v>
      </c>
      <c r="I32" s="4637"/>
      <c r="J32" s="4874"/>
    </row>
    <row r="33" spans="1:10" s="27" customFormat="1" ht="17.25" hidden="1" customHeight="1" x14ac:dyDescent="0.25">
      <c r="A33" s="1027"/>
      <c r="B33" s="1914"/>
      <c r="C33" s="61" t="s">
        <v>53</v>
      </c>
      <c r="D33" s="140">
        <v>500000000</v>
      </c>
      <c r="E33" s="169">
        <v>499700000</v>
      </c>
      <c r="F33" s="169"/>
      <c r="G33" s="169">
        <f t="shared" si="0"/>
        <v>99.94</v>
      </c>
      <c r="H33" s="169">
        <v>100</v>
      </c>
      <c r="I33" s="4637"/>
      <c r="J33" s="4874"/>
    </row>
    <row r="34" spans="1:10" s="27" customFormat="1" ht="17.25" hidden="1" customHeight="1" x14ac:dyDescent="0.25">
      <c r="A34" s="1027"/>
      <c r="B34" s="1914"/>
      <c r="C34" s="61" t="s">
        <v>54</v>
      </c>
      <c r="D34" s="140">
        <v>500000000</v>
      </c>
      <c r="E34" s="169">
        <v>499700000</v>
      </c>
      <c r="F34" s="169"/>
      <c r="G34" s="169">
        <f t="shared" si="0"/>
        <v>99.94</v>
      </c>
      <c r="H34" s="169">
        <v>100</v>
      </c>
      <c r="I34" s="4637"/>
      <c r="J34" s="4874"/>
    </row>
    <row r="35" spans="1:10" s="27" customFormat="1" ht="17.25" hidden="1" customHeight="1" x14ac:dyDescent="0.25">
      <c r="A35" s="1027"/>
      <c r="B35" s="1914"/>
      <c r="C35" s="61" t="s">
        <v>55</v>
      </c>
      <c r="D35" s="140">
        <v>500000000</v>
      </c>
      <c r="E35" s="1970">
        <v>499500000</v>
      </c>
      <c r="F35" s="1970"/>
      <c r="G35" s="169">
        <f t="shared" si="0"/>
        <v>99.9</v>
      </c>
      <c r="H35" s="169">
        <v>100</v>
      </c>
      <c r="I35" s="4637"/>
      <c r="J35" s="4874"/>
    </row>
    <row r="36" spans="1:10" s="27" customFormat="1" ht="17.25" hidden="1" customHeight="1" x14ac:dyDescent="0.25">
      <c r="A36" s="1027"/>
      <c r="B36" s="1914"/>
      <c r="C36" s="61" t="s">
        <v>56</v>
      </c>
      <c r="D36" s="1970">
        <v>500000000</v>
      </c>
      <c r="E36" s="1970">
        <v>499700000</v>
      </c>
      <c r="F36" s="1970"/>
      <c r="G36" s="169">
        <f t="shared" si="0"/>
        <v>99.94</v>
      </c>
      <c r="H36" s="169">
        <v>100</v>
      </c>
      <c r="I36" s="4637"/>
      <c r="J36" s="4874"/>
    </row>
    <row r="37" spans="1:10" s="27" customFormat="1" ht="17.25" hidden="1" customHeight="1" x14ac:dyDescent="0.25">
      <c r="A37" s="1027"/>
      <c r="B37" s="1914"/>
      <c r="C37" s="61" t="s">
        <v>57</v>
      </c>
      <c r="D37" s="140">
        <v>400000000</v>
      </c>
      <c r="E37" s="169">
        <v>399320000</v>
      </c>
      <c r="F37" s="169"/>
      <c r="G37" s="169">
        <f t="shared" si="0"/>
        <v>99.83</v>
      </c>
      <c r="H37" s="169">
        <v>100</v>
      </c>
      <c r="I37" s="4637"/>
      <c r="J37" s="4874"/>
    </row>
    <row r="38" spans="1:10" s="27" customFormat="1" ht="17.25" hidden="1" customHeight="1" x14ac:dyDescent="0.25">
      <c r="A38" s="1027"/>
      <c r="B38" s="1914"/>
      <c r="C38" s="61" t="s">
        <v>58</v>
      </c>
      <c r="D38" s="140" t="s">
        <v>3317</v>
      </c>
      <c r="E38" s="169" t="s">
        <v>3317</v>
      </c>
      <c r="F38" s="169"/>
      <c r="G38" s="169" t="s">
        <v>3317</v>
      </c>
      <c r="H38" s="169" t="s">
        <v>3317</v>
      </c>
      <c r="I38" s="4637"/>
      <c r="J38" s="4874"/>
    </row>
    <row r="39" spans="1:10" s="27" customFormat="1" ht="17.25" hidden="1" customHeight="1" x14ac:dyDescent="0.25">
      <c r="A39" s="1027"/>
      <c r="B39" s="1914"/>
      <c r="C39" s="61" t="s">
        <v>59</v>
      </c>
      <c r="D39" s="140">
        <v>420000000</v>
      </c>
      <c r="E39" s="169">
        <v>345200000</v>
      </c>
      <c r="F39" s="169"/>
      <c r="G39" s="169">
        <f t="shared" si="0"/>
        <v>82.19047619047619</v>
      </c>
      <c r="H39" s="169">
        <v>100</v>
      </c>
      <c r="I39" s="4637"/>
      <c r="J39" s="4874"/>
    </row>
    <row r="40" spans="1:10" s="27" customFormat="1" ht="17.25" hidden="1" customHeight="1" x14ac:dyDescent="0.25">
      <c r="A40" s="1027"/>
      <c r="B40" s="1914"/>
      <c r="C40" s="61" t="s">
        <v>60</v>
      </c>
      <c r="D40" s="140">
        <v>633894000</v>
      </c>
      <c r="E40" s="169">
        <v>553300000</v>
      </c>
      <c r="F40" s="169"/>
      <c r="G40" s="169">
        <f t="shared" si="0"/>
        <v>87.285886914846969</v>
      </c>
      <c r="H40" s="169">
        <v>100</v>
      </c>
      <c r="I40" s="4637"/>
      <c r="J40" s="4874"/>
    </row>
    <row r="41" spans="1:10" s="27" customFormat="1" ht="17.25" hidden="1" customHeight="1" x14ac:dyDescent="0.25">
      <c r="A41" s="1027"/>
      <c r="B41" s="1914"/>
      <c r="C41" s="61" t="s">
        <v>61</v>
      </c>
      <c r="D41" s="140">
        <v>536384000</v>
      </c>
      <c r="E41" s="169">
        <v>534600000</v>
      </c>
      <c r="F41" s="169"/>
      <c r="G41" s="169">
        <f t="shared" si="0"/>
        <v>99.667402457940582</v>
      </c>
      <c r="H41" s="169">
        <v>100</v>
      </c>
      <c r="I41" s="4637"/>
      <c r="J41" s="4874"/>
    </row>
    <row r="42" spans="1:10" s="27" customFormat="1" ht="17.25" hidden="1" customHeight="1" x14ac:dyDescent="0.25">
      <c r="A42" s="1027"/>
      <c r="B42" s="1914"/>
      <c r="C42" s="61" t="s">
        <v>62</v>
      </c>
      <c r="D42" s="140">
        <v>9809040000</v>
      </c>
      <c r="E42" s="169">
        <v>9600000000</v>
      </c>
      <c r="F42" s="169"/>
      <c r="G42" s="169">
        <f t="shared" si="0"/>
        <v>97.868904602285227</v>
      </c>
      <c r="H42" s="169">
        <v>100</v>
      </c>
      <c r="I42" s="4637"/>
      <c r="J42" s="4874"/>
    </row>
    <row r="43" spans="1:10" s="27" customFormat="1" ht="17.25" hidden="1" customHeight="1" x14ac:dyDescent="0.25">
      <c r="A43" s="1027"/>
      <c r="B43" s="1914"/>
      <c r="C43" s="61" t="s">
        <v>63</v>
      </c>
      <c r="D43" s="1970">
        <v>900000000</v>
      </c>
      <c r="E43" s="169">
        <v>899900000</v>
      </c>
      <c r="F43" s="169"/>
      <c r="G43" s="169">
        <f t="shared" si="0"/>
        <v>99.988888888888894</v>
      </c>
      <c r="H43" s="169">
        <v>100</v>
      </c>
      <c r="I43" s="4637"/>
      <c r="J43" s="4874"/>
    </row>
    <row r="44" spans="1:10" s="27" customFormat="1" ht="30.75" hidden="1" customHeight="1" x14ac:dyDescent="0.25">
      <c r="A44" s="1027"/>
      <c r="B44" s="1914"/>
      <c r="C44" s="61" t="s">
        <v>64</v>
      </c>
      <c r="D44" s="1970">
        <v>900000000</v>
      </c>
      <c r="E44" s="169">
        <v>896421000</v>
      </c>
      <c r="F44" s="169"/>
      <c r="G44" s="169">
        <f t="shared" si="0"/>
        <v>99.602333333333334</v>
      </c>
      <c r="H44" s="169">
        <v>100</v>
      </c>
      <c r="I44" s="4637"/>
      <c r="J44" s="4874"/>
    </row>
    <row r="45" spans="1:10" s="27" customFormat="1" ht="17.25" hidden="1" customHeight="1" x14ac:dyDescent="0.25">
      <c r="A45" s="1027"/>
      <c r="B45" s="2293"/>
      <c r="C45" s="61" t="s">
        <v>65</v>
      </c>
      <c r="D45" s="1970">
        <v>1000000000</v>
      </c>
      <c r="E45" s="1970">
        <v>981060000</v>
      </c>
      <c r="F45" s="1970"/>
      <c r="G45" s="169">
        <f t="shared" si="0"/>
        <v>98.106000000000009</v>
      </c>
      <c r="H45" s="169">
        <v>100</v>
      </c>
      <c r="I45" s="4637"/>
      <c r="J45" s="4874"/>
    </row>
    <row r="46" spans="1:10" s="27" customFormat="1" ht="16.5" hidden="1" customHeight="1" x14ac:dyDescent="0.25">
      <c r="A46" s="1027"/>
      <c r="B46" s="1914"/>
      <c r="C46" s="61" t="s">
        <v>66</v>
      </c>
      <c r="D46" s="140">
        <v>900000000</v>
      </c>
      <c r="E46" s="169">
        <v>899150000</v>
      </c>
      <c r="F46" s="169"/>
      <c r="G46" s="169">
        <f t="shared" si="0"/>
        <v>99.905555555555566</v>
      </c>
      <c r="H46" s="169">
        <v>100</v>
      </c>
      <c r="I46" s="4637"/>
      <c r="J46" s="4874"/>
    </row>
    <row r="47" spans="1:10" s="27" customFormat="1" ht="17.25" hidden="1" customHeight="1" x14ac:dyDescent="0.25">
      <c r="A47" s="1027"/>
      <c r="B47" s="1914"/>
      <c r="C47" s="61" t="s">
        <v>67</v>
      </c>
      <c r="D47" s="140">
        <v>1000000000</v>
      </c>
      <c r="E47" s="169">
        <v>997100000</v>
      </c>
      <c r="F47" s="169"/>
      <c r="G47" s="169">
        <f t="shared" si="0"/>
        <v>99.71</v>
      </c>
      <c r="H47" s="169">
        <v>100</v>
      </c>
      <c r="I47" s="4637"/>
      <c r="J47" s="4874"/>
    </row>
    <row r="48" spans="1:10" s="27" customFormat="1" ht="17.25" hidden="1" customHeight="1" x14ac:dyDescent="0.25">
      <c r="A48" s="1027"/>
      <c r="B48" s="1914"/>
      <c r="C48" s="61" t="s">
        <v>68</v>
      </c>
      <c r="D48" s="140">
        <v>900000000</v>
      </c>
      <c r="E48" s="169">
        <v>499500000</v>
      </c>
      <c r="F48" s="169"/>
      <c r="G48" s="169">
        <f t="shared" si="0"/>
        <v>55.500000000000007</v>
      </c>
      <c r="H48" s="169">
        <v>60</v>
      </c>
      <c r="I48" s="4637"/>
      <c r="J48" s="4874"/>
    </row>
    <row r="49" spans="1:10" s="27" customFormat="1" ht="17.25" hidden="1" customHeight="1" x14ac:dyDescent="0.25">
      <c r="A49" s="1027"/>
      <c r="B49" s="1914"/>
      <c r="C49" s="61" t="s">
        <v>69</v>
      </c>
      <c r="D49" s="1970">
        <v>583000000</v>
      </c>
      <c r="E49" s="1970">
        <v>581500000</v>
      </c>
      <c r="F49" s="1970"/>
      <c r="G49" s="169">
        <f t="shared" si="0"/>
        <v>99.742710120068608</v>
      </c>
      <c r="H49" s="169">
        <v>100</v>
      </c>
      <c r="I49" s="4637"/>
      <c r="J49" s="4874"/>
    </row>
    <row r="50" spans="1:10" s="27" customFormat="1" ht="17.25" hidden="1" customHeight="1" x14ac:dyDescent="0.25">
      <c r="A50" s="1027"/>
      <c r="B50" s="1914"/>
      <c r="C50" s="61" t="s">
        <v>70</v>
      </c>
      <c r="D50" s="140" t="s">
        <v>3317</v>
      </c>
      <c r="E50" s="169" t="s">
        <v>3317</v>
      </c>
      <c r="F50" s="169"/>
      <c r="G50" s="169" t="s">
        <v>3317</v>
      </c>
      <c r="H50" s="169" t="s">
        <v>3317</v>
      </c>
      <c r="I50" s="4875"/>
      <c r="J50" s="4876" t="s">
        <v>3317</v>
      </c>
    </row>
    <row r="51" spans="1:10" s="27" customFormat="1" ht="17.25" hidden="1" customHeight="1" x14ac:dyDescent="0.25">
      <c r="A51" s="1027"/>
      <c r="B51" s="2293"/>
      <c r="C51" s="61" t="s">
        <v>71</v>
      </c>
      <c r="D51" s="140">
        <v>900000000</v>
      </c>
      <c r="E51" s="169">
        <v>899100000</v>
      </c>
      <c r="F51" s="169"/>
      <c r="G51" s="169">
        <f t="shared" si="0"/>
        <v>99.9</v>
      </c>
      <c r="H51" s="169">
        <v>100</v>
      </c>
      <c r="I51" s="4637"/>
      <c r="J51" s="4874"/>
    </row>
    <row r="52" spans="1:10" s="27" customFormat="1" ht="17.25" hidden="1" customHeight="1" x14ac:dyDescent="0.25">
      <c r="A52" s="1027"/>
      <c r="B52" s="1914"/>
      <c r="C52" s="61" t="s">
        <v>72</v>
      </c>
      <c r="D52" s="140">
        <v>1000000000</v>
      </c>
      <c r="E52" s="169">
        <v>999200000</v>
      </c>
      <c r="F52" s="169"/>
      <c r="G52" s="169">
        <f t="shared" si="0"/>
        <v>99.92</v>
      </c>
      <c r="H52" s="169">
        <v>100</v>
      </c>
      <c r="I52" s="4637"/>
      <c r="J52" s="4874"/>
    </row>
    <row r="53" spans="1:10" s="27" customFormat="1" ht="21" hidden="1" customHeight="1" x14ac:dyDescent="0.25">
      <c r="A53" s="1027"/>
      <c r="B53" s="1914"/>
      <c r="C53" s="61" t="s">
        <v>4086</v>
      </c>
      <c r="D53" s="140">
        <v>300000000</v>
      </c>
      <c r="E53" s="140">
        <v>300000000</v>
      </c>
      <c r="F53" s="140"/>
      <c r="G53" s="169">
        <f t="shared" si="0"/>
        <v>100</v>
      </c>
      <c r="H53" s="169">
        <v>100</v>
      </c>
      <c r="I53" s="4637"/>
      <c r="J53" s="4874"/>
    </row>
    <row r="54" spans="1:10" s="27" customFormat="1" ht="11.25" hidden="1" customHeight="1" x14ac:dyDescent="0.25">
      <c r="A54" s="1027"/>
      <c r="B54" s="1914"/>
      <c r="C54" s="61"/>
      <c r="D54" s="140"/>
      <c r="E54" s="169"/>
      <c r="F54" s="169"/>
      <c r="G54" s="169"/>
      <c r="H54" s="169"/>
      <c r="I54" s="4637"/>
      <c r="J54" s="4874"/>
    </row>
    <row r="55" spans="1:10" s="27" customFormat="1" ht="21" hidden="1" customHeight="1" x14ac:dyDescent="0.25">
      <c r="A55" s="1027"/>
      <c r="B55" s="1914"/>
      <c r="C55" s="63" t="s">
        <v>73</v>
      </c>
      <c r="D55" s="84">
        <f>SUM(D56:D57)</f>
        <v>1963437000</v>
      </c>
      <c r="E55" s="84">
        <f>SUM(E56:E57)</f>
        <v>447039000</v>
      </c>
      <c r="F55" s="84"/>
      <c r="G55" s="176">
        <f t="shared" si="0"/>
        <v>22.768186603389871</v>
      </c>
      <c r="H55" s="1931">
        <f>SUM(H56:H57)/2</f>
        <v>15</v>
      </c>
      <c r="I55" s="4637"/>
      <c r="J55" s="4874"/>
    </row>
    <row r="56" spans="1:10" s="27" customFormat="1" ht="21" hidden="1" customHeight="1" x14ac:dyDescent="0.25">
      <c r="A56" s="1027"/>
      <c r="B56" s="1914"/>
      <c r="C56" s="61" t="s">
        <v>74</v>
      </c>
      <c r="D56" s="65">
        <v>1406672000</v>
      </c>
      <c r="E56" s="140">
        <v>447039000</v>
      </c>
      <c r="F56" s="140"/>
      <c r="G56" s="169">
        <f t="shared" si="0"/>
        <v>31.779903204158465</v>
      </c>
      <c r="H56" s="140">
        <v>30</v>
      </c>
      <c r="I56" s="4637"/>
      <c r="J56" s="4874"/>
    </row>
    <row r="57" spans="1:10" s="27" customFormat="1" ht="17.25" hidden="1" customHeight="1" x14ac:dyDescent="0.25">
      <c r="A57" s="1027"/>
      <c r="B57" s="1914"/>
      <c r="C57" s="61" t="s">
        <v>75</v>
      </c>
      <c r="D57" s="140">
        <v>556765000</v>
      </c>
      <c r="E57" s="140">
        <v>0</v>
      </c>
      <c r="F57" s="140"/>
      <c r="G57" s="169">
        <f t="shared" si="0"/>
        <v>0</v>
      </c>
      <c r="H57" s="140">
        <v>0</v>
      </c>
      <c r="I57" s="4637"/>
      <c r="J57" s="4874"/>
    </row>
    <row r="58" spans="1:10" s="27" customFormat="1" ht="10.5" hidden="1" customHeight="1" x14ac:dyDescent="0.25">
      <c r="A58" s="1027"/>
      <c r="B58" s="1914"/>
      <c r="C58" s="61"/>
      <c r="D58" s="2112"/>
      <c r="E58" s="348"/>
      <c r="F58" s="348"/>
      <c r="G58" s="169"/>
      <c r="H58" s="169"/>
      <c r="I58" s="4637"/>
      <c r="J58" s="4874"/>
    </row>
    <row r="59" spans="1:10" s="4" customFormat="1" ht="18" hidden="1" customHeight="1" x14ac:dyDescent="0.25">
      <c r="A59" s="1022"/>
      <c r="B59" s="1024"/>
      <c r="C59" s="63" t="s">
        <v>4087</v>
      </c>
      <c r="D59" s="84">
        <f>SUM(D60:D61)</f>
        <v>77123663</v>
      </c>
      <c r="E59" s="84">
        <f>SUM(E60:E61)</f>
        <v>77123663</v>
      </c>
      <c r="F59" s="84"/>
      <c r="G59" s="176">
        <f t="shared" si="0"/>
        <v>100</v>
      </c>
      <c r="H59" s="176">
        <f>H61</f>
        <v>100</v>
      </c>
      <c r="I59" s="4641"/>
      <c r="J59" s="4855"/>
    </row>
    <row r="60" spans="1:10" s="27" customFormat="1" ht="33" hidden="1" customHeight="1" x14ac:dyDescent="0.25">
      <c r="A60" s="1027"/>
      <c r="B60" s="1914"/>
      <c r="C60" s="61" t="s">
        <v>76</v>
      </c>
      <c r="D60" s="939" t="s">
        <v>3317</v>
      </c>
      <c r="E60" s="939" t="s">
        <v>3317</v>
      </c>
      <c r="F60" s="939"/>
      <c r="G60" s="939" t="s">
        <v>3317</v>
      </c>
      <c r="H60" s="169" t="s">
        <v>3317</v>
      </c>
      <c r="I60" s="4637"/>
      <c r="J60" s="4874"/>
    </row>
    <row r="61" spans="1:10" s="27" customFormat="1" ht="18.75" hidden="1" customHeight="1" x14ac:dyDescent="0.25">
      <c r="A61" s="1027"/>
      <c r="B61" s="1914"/>
      <c r="C61" s="61" t="s">
        <v>4088</v>
      </c>
      <c r="D61" s="140">
        <v>77123663</v>
      </c>
      <c r="E61" s="140">
        <v>77123663</v>
      </c>
      <c r="F61" s="140"/>
      <c r="G61" s="169">
        <f t="shared" si="0"/>
        <v>100</v>
      </c>
      <c r="H61" s="169">
        <v>100</v>
      </c>
      <c r="I61" s="4637"/>
      <c r="J61" s="4874"/>
    </row>
    <row r="62" spans="1:10" s="27" customFormat="1" ht="11.25" hidden="1" customHeight="1" x14ac:dyDescent="0.25">
      <c r="A62" s="1027"/>
      <c r="B62" s="1914"/>
      <c r="C62" s="61"/>
      <c r="D62" s="140"/>
      <c r="E62" s="140"/>
      <c r="F62" s="140"/>
      <c r="G62" s="169"/>
      <c r="H62" s="169"/>
      <c r="I62" s="4637"/>
      <c r="J62" s="4874"/>
    </row>
    <row r="63" spans="1:10" s="4" customFormat="1" ht="18.75" hidden="1" customHeight="1" x14ac:dyDescent="0.25">
      <c r="A63" s="1022"/>
      <c r="B63" s="1024"/>
      <c r="C63" s="63" t="s">
        <v>77</v>
      </c>
      <c r="D63" s="84">
        <f>SUM(D64:D72)</f>
        <v>45809516700</v>
      </c>
      <c r="E63" s="84">
        <f>SUM(E64:E72)</f>
        <v>43014169000</v>
      </c>
      <c r="F63" s="84"/>
      <c r="G63" s="176">
        <f t="shared" si="0"/>
        <v>93.897888689142178</v>
      </c>
      <c r="H63" s="1931">
        <f>SUM(H64:H72)/7</f>
        <v>71.428571428571431</v>
      </c>
      <c r="I63" s="4641"/>
      <c r="J63" s="4855"/>
    </row>
    <row r="64" spans="1:10" s="27" customFormat="1" ht="18.75" hidden="1" customHeight="1" x14ac:dyDescent="0.25">
      <c r="A64" s="1027"/>
      <c r="B64" s="1914"/>
      <c r="C64" s="61" t="s">
        <v>78</v>
      </c>
      <c r="D64" s="1970">
        <v>1000000000</v>
      </c>
      <c r="E64" s="201">
        <v>995350000</v>
      </c>
      <c r="F64" s="201"/>
      <c r="G64" s="169">
        <f t="shared" si="0"/>
        <v>99.534999999999997</v>
      </c>
      <c r="H64" s="140">
        <v>100</v>
      </c>
      <c r="I64" s="4637"/>
      <c r="J64" s="4874"/>
    </row>
    <row r="65" spans="1:10" s="27" customFormat="1" ht="16.5" hidden="1" customHeight="1" x14ac:dyDescent="0.25">
      <c r="A65" s="1027"/>
      <c r="B65" s="1914"/>
      <c r="C65" s="61" t="s">
        <v>79</v>
      </c>
      <c r="D65" s="140">
        <v>42002751700</v>
      </c>
      <c r="E65" s="169">
        <v>40282000200</v>
      </c>
      <c r="F65" s="169"/>
      <c r="G65" s="169">
        <f t="shared" si="0"/>
        <v>95.903241025039804</v>
      </c>
      <c r="H65" s="140">
        <v>100</v>
      </c>
      <c r="I65" s="4637"/>
      <c r="J65" s="4874"/>
    </row>
    <row r="66" spans="1:10" s="27" customFormat="1" ht="18" hidden="1" customHeight="1" x14ac:dyDescent="0.25">
      <c r="A66" s="1027"/>
      <c r="B66" s="1914"/>
      <c r="C66" s="61" t="s">
        <v>80</v>
      </c>
      <c r="D66" s="939" t="s">
        <v>3317</v>
      </c>
      <c r="E66" s="939" t="s">
        <v>3317</v>
      </c>
      <c r="F66" s="939"/>
      <c r="G66" s="939" t="s">
        <v>3317</v>
      </c>
      <c r="H66" s="939" t="s">
        <v>3317</v>
      </c>
      <c r="I66" s="4637"/>
      <c r="J66" s="4874"/>
    </row>
    <row r="67" spans="1:10" s="27" customFormat="1" ht="14.25" hidden="1" customHeight="1" x14ac:dyDescent="0.25">
      <c r="A67" s="1027"/>
      <c r="B67" s="1914"/>
      <c r="C67" s="61" t="s">
        <v>81</v>
      </c>
      <c r="D67" s="1970">
        <v>556765000</v>
      </c>
      <c r="E67" s="140">
        <v>0</v>
      </c>
      <c r="F67" s="140"/>
      <c r="G67" s="169">
        <f t="shared" si="0"/>
        <v>0</v>
      </c>
      <c r="H67" s="140">
        <v>0</v>
      </c>
      <c r="I67" s="4637"/>
      <c r="J67" s="4874"/>
    </row>
    <row r="68" spans="1:10" s="27" customFormat="1" ht="15" hidden="1" customHeight="1" x14ac:dyDescent="0.25">
      <c r="A68" s="1027"/>
      <c r="B68" s="1914"/>
      <c r="C68" s="61" t="s">
        <v>82</v>
      </c>
      <c r="D68" s="2378">
        <v>500000000</v>
      </c>
      <c r="E68" s="169">
        <v>496965600</v>
      </c>
      <c r="F68" s="169"/>
      <c r="G68" s="169">
        <f t="shared" si="0"/>
        <v>99.393119999999996</v>
      </c>
      <c r="H68" s="169">
        <v>100</v>
      </c>
      <c r="I68" s="4637"/>
      <c r="J68" s="4874"/>
    </row>
    <row r="69" spans="1:10" s="27" customFormat="1" ht="14.25" hidden="1" customHeight="1" x14ac:dyDescent="0.25">
      <c r="A69" s="1027"/>
      <c r="B69" s="1914"/>
      <c r="C69" s="61" t="s">
        <v>83</v>
      </c>
      <c r="D69" s="1970">
        <v>500000000</v>
      </c>
      <c r="E69" s="140">
        <v>0</v>
      </c>
      <c r="F69" s="140"/>
      <c r="G69" s="169">
        <f t="shared" si="0"/>
        <v>0</v>
      </c>
      <c r="H69" s="140">
        <v>0</v>
      </c>
      <c r="I69" s="4637"/>
      <c r="J69" s="4874"/>
    </row>
    <row r="70" spans="1:10" s="27" customFormat="1" ht="16.5" hidden="1" customHeight="1" x14ac:dyDescent="0.25">
      <c r="A70" s="1027"/>
      <c r="B70" s="1914"/>
      <c r="C70" s="61" t="s">
        <v>84</v>
      </c>
      <c r="D70" s="1970">
        <v>1000000000</v>
      </c>
      <c r="E70" s="140">
        <v>989900000</v>
      </c>
      <c r="F70" s="140"/>
      <c r="G70" s="169">
        <f t="shared" si="0"/>
        <v>98.99</v>
      </c>
      <c r="H70" s="140">
        <v>100</v>
      </c>
      <c r="I70" s="4637"/>
      <c r="J70" s="4874"/>
    </row>
    <row r="71" spans="1:10" s="27" customFormat="1" ht="18" hidden="1" customHeight="1" x14ac:dyDescent="0.25">
      <c r="A71" s="1027"/>
      <c r="B71" s="1914"/>
      <c r="C71" s="61" t="s">
        <v>85</v>
      </c>
      <c r="D71" s="939" t="s">
        <v>3317</v>
      </c>
      <c r="E71" s="939" t="s">
        <v>3317</v>
      </c>
      <c r="F71" s="939"/>
      <c r="G71" s="939" t="s">
        <v>3317</v>
      </c>
      <c r="H71" s="939" t="s">
        <v>3317</v>
      </c>
      <c r="I71" s="4637"/>
      <c r="J71" s="4874"/>
    </row>
    <row r="72" spans="1:10" s="27" customFormat="1" ht="18" hidden="1" customHeight="1" x14ac:dyDescent="0.25">
      <c r="A72" s="1027"/>
      <c r="B72" s="1914"/>
      <c r="C72" s="61" t="s">
        <v>86</v>
      </c>
      <c r="D72" s="1970">
        <v>250000000</v>
      </c>
      <c r="E72" s="140">
        <v>249953200</v>
      </c>
      <c r="F72" s="140"/>
      <c r="G72" s="169">
        <f t="shared" si="0"/>
        <v>99.981279999999998</v>
      </c>
      <c r="H72" s="140">
        <v>100</v>
      </c>
      <c r="I72" s="4637"/>
      <c r="J72" s="4874"/>
    </row>
    <row r="73" spans="1:10" s="27" customFormat="1" ht="12" hidden="1" customHeight="1" x14ac:dyDescent="0.25">
      <c r="A73" s="1027"/>
      <c r="B73" s="1914"/>
      <c r="C73" s="61"/>
      <c r="D73" s="2378"/>
      <c r="E73" s="201"/>
      <c r="F73" s="201"/>
      <c r="G73" s="169"/>
      <c r="H73" s="140"/>
      <c r="I73" s="4637"/>
      <c r="J73" s="4874"/>
    </row>
    <row r="74" spans="1:10" s="27" customFormat="1" ht="21" hidden="1" customHeight="1" x14ac:dyDescent="0.25">
      <c r="A74" s="1027"/>
      <c r="B74" s="1914"/>
      <c r="C74" s="63" t="s">
        <v>87</v>
      </c>
      <c r="D74" s="2378"/>
      <c r="E74" s="201"/>
      <c r="F74" s="201"/>
      <c r="G74" s="201"/>
      <c r="H74" s="140"/>
      <c r="I74" s="4637"/>
      <c r="J74" s="4874"/>
    </row>
    <row r="75" spans="1:10" s="27" customFormat="1" ht="18" hidden="1" customHeight="1" x14ac:dyDescent="0.25">
      <c r="A75" s="1027"/>
      <c r="B75" s="1914"/>
      <c r="C75" s="61" t="s">
        <v>88</v>
      </c>
      <c r="D75" s="939" t="s">
        <v>3317</v>
      </c>
      <c r="E75" s="939" t="s">
        <v>3317</v>
      </c>
      <c r="F75" s="939"/>
      <c r="G75" s="201"/>
      <c r="H75" s="140"/>
      <c r="I75" s="4637"/>
      <c r="J75" s="4874"/>
    </row>
    <row r="76" spans="1:10" s="27" customFormat="1" ht="15" hidden="1" customHeight="1" x14ac:dyDescent="0.25">
      <c r="A76" s="1027"/>
      <c r="B76" s="1028"/>
      <c r="C76" s="329"/>
      <c r="D76" s="2379"/>
      <c r="E76" s="347"/>
      <c r="F76" s="347"/>
      <c r="G76" s="347"/>
      <c r="H76" s="154"/>
      <c r="I76" s="4877"/>
      <c r="J76" s="4874"/>
    </row>
    <row r="77" spans="1:10" s="27" customFormat="1" ht="20.25" hidden="1" customHeight="1" x14ac:dyDescent="0.25">
      <c r="A77" s="1027"/>
      <c r="B77" s="2105" t="s">
        <v>213</v>
      </c>
      <c r="C77" s="342" t="s">
        <v>4095</v>
      </c>
      <c r="D77" s="2004">
        <f>SUM(D78+D81)</f>
        <v>769800000</v>
      </c>
      <c r="E77" s="2004">
        <f>SUM(E78+E81)</f>
        <v>722039041</v>
      </c>
      <c r="F77" s="2004"/>
      <c r="G77" s="370">
        <f t="shared" ref="G77:G79" si="1">E77/D77*100</f>
        <v>93.795666536762795</v>
      </c>
      <c r="H77" s="370">
        <f>SUM(H78+H81)/2</f>
        <v>100</v>
      </c>
      <c r="I77" s="4878"/>
      <c r="J77" s="4874"/>
    </row>
    <row r="78" spans="1:10" ht="18.75" hidden="1" customHeight="1" x14ac:dyDescent="0.25">
      <c r="A78" s="999"/>
      <c r="B78" s="1914"/>
      <c r="C78" s="63" t="s">
        <v>223</v>
      </c>
      <c r="D78" s="84">
        <f>D79</f>
        <v>344800000</v>
      </c>
      <c r="E78" s="84">
        <f>E79</f>
        <v>298231041</v>
      </c>
      <c r="F78" s="84"/>
      <c r="G78" s="142">
        <f t="shared" si="1"/>
        <v>86.493921403712292</v>
      </c>
      <c r="H78" s="142">
        <f>H79</f>
        <v>100</v>
      </c>
      <c r="I78" s="4637"/>
      <c r="J78" s="4857"/>
    </row>
    <row r="79" spans="1:10" ht="33" hidden="1" customHeight="1" x14ac:dyDescent="0.25">
      <c r="A79" s="999"/>
      <c r="B79" s="1914"/>
      <c r="C79" s="61" t="s">
        <v>4094</v>
      </c>
      <c r="D79" s="65">
        <v>344800000</v>
      </c>
      <c r="E79" s="140">
        <v>298231041</v>
      </c>
      <c r="F79" s="140"/>
      <c r="G79" s="140">
        <f t="shared" si="1"/>
        <v>86.493921403712292</v>
      </c>
      <c r="H79" s="140">
        <v>100</v>
      </c>
      <c r="I79" s="4637"/>
      <c r="J79" s="4857"/>
    </row>
    <row r="80" spans="1:10" ht="11.25" hidden="1" customHeight="1" x14ac:dyDescent="0.25">
      <c r="A80" s="999"/>
      <c r="B80" s="1914"/>
      <c r="C80" s="61"/>
      <c r="D80" s="65"/>
      <c r="E80" s="348"/>
      <c r="F80" s="348"/>
      <c r="G80" s="201"/>
      <c r="H80" s="348"/>
      <c r="I80" s="4637"/>
      <c r="J80" s="4857"/>
    </row>
    <row r="81" spans="1:10" ht="19.5" hidden="1" customHeight="1" x14ac:dyDescent="0.25">
      <c r="A81" s="999"/>
      <c r="B81" s="1914"/>
      <c r="C81" s="63" t="s">
        <v>224</v>
      </c>
      <c r="D81" s="84">
        <f>D82</f>
        <v>425000000</v>
      </c>
      <c r="E81" s="84">
        <f>E82</f>
        <v>423808000</v>
      </c>
      <c r="F81" s="84"/>
      <c r="G81" s="142">
        <f t="shared" ref="G81:G82" si="2">E81/D81*100</f>
        <v>99.719529411764711</v>
      </c>
      <c r="H81" s="142">
        <f>H82</f>
        <v>100</v>
      </c>
      <c r="I81" s="4637"/>
      <c r="J81" s="4857"/>
    </row>
    <row r="82" spans="1:10" ht="16.5" hidden="1" customHeight="1" x14ac:dyDescent="0.25">
      <c r="A82" s="999"/>
      <c r="B82" s="1914"/>
      <c r="C82" s="61" t="s">
        <v>225</v>
      </c>
      <c r="D82" s="201">
        <v>425000000</v>
      </c>
      <c r="E82" s="140">
        <v>423808000</v>
      </c>
      <c r="F82" s="140"/>
      <c r="G82" s="140">
        <f t="shared" si="2"/>
        <v>99.719529411764711</v>
      </c>
      <c r="H82" s="140">
        <v>100</v>
      </c>
      <c r="I82" s="4637"/>
      <c r="J82" s="4857"/>
    </row>
    <row r="83" spans="1:10" ht="18.75" hidden="1" customHeight="1" x14ac:dyDescent="0.25">
      <c r="A83" s="999"/>
      <c r="B83" s="1914"/>
      <c r="C83" s="61" t="s">
        <v>226</v>
      </c>
      <c r="D83" s="939" t="s">
        <v>3317</v>
      </c>
      <c r="E83" s="939" t="s">
        <v>3317</v>
      </c>
      <c r="F83" s="939"/>
      <c r="G83" s="939" t="s">
        <v>3317</v>
      </c>
      <c r="H83" s="939" t="s">
        <v>3317</v>
      </c>
      <c r="I83" s="4637"/>
      <c r="J83" s="4857"/>
    </row>
    <row r="84" spans="1:10" s="27" customFormat="1" ht="15" hidden="1" customHeight="1" x14ac:dyDescent="0.25">
      <c r="A84" s="1027"/>
      <c r="B84" s="1914"/>
      <c r="C84" s="366"/>
      <c r="D84" s="2380"/>
      <c r="E84" s="2069"/>
      <c r="F84" s="2069"/>
      <c r="G84" s="2069"/>
      <c r="H84" s="959"/>
      <c r="I84" s="4878"/>
      <c r="J84" s="4874"/>
    </row>
    <row r="85" spans="1:10" s="1" customFormat="1" ht="19.5" hidden="1" customHeight="1" x14ac:dyDescent="0.25">
      <c r="A85" s="1015"/>
      <c r="B85" s="1029" t="s">
        <v>233</v>
      </c>
      <c r="C85" s="56" t="s">
        <v>234</v>
      </c>
      <c r="D85" s="127">
        <f>SUM(D89+D86+D92)</f>
        <v>73136166660</v>
      </c>
      <c r="E85" s="127">
        <f>SUM(E89+E86+E92)</f>
        <v>69464166660</v>
      </c>
      <c r="F85" s="127"/>
      <c r="G85" s="200">
        <f>E85/D85*100</f>
        <v>94.979228242750779</v>
      </c>
      <c r="H85" s="200">
        <f>SUM(H86+H89+H92)/3</f>
        <v>93.333333333333329</v>
      </c>
      <c r="I85" s="4871"/>
      <c r="J85" s="4763"/>
    </row>
    <row r="86" spans="1:10" ht="20.25" hidden="1" customHeight="1" x14ac:dyDescent="0.25">
      <c r="B86" s="1914"/>
      <c r="C86" s="1922" t="s">
        <v>235</v>
      </c>
      <c r="D86" s="1923">
        <f>D87</f>
        <v>32407000000</v>
      </c>
      <c r="E86" s="1923">
        <f>E87</f>
        <v>31447000000</v>
      </c>
      <c r="F86" s="1923"/>
      <c r="G86" s="142">
        <f>E86/D86*100</f>
        <v>97.037677045082845</v>
      </c>
      <c r="H86" s="1923">
        <f>H87</f>
        <v>97.04</v>
      </c>
      <c r="I86" s="4879"/>
      <c r="J86" s="4857"/>
    </row>
    <row r="87" spans="1:10" ht="17.25" hidden="1" customHeight="1" x14ac:dyDescent="0.25">
      <c r="A87" s="999"/>
      <c r="B87" s="2293"/>
      <c r="C87" s="61" t="s">
        <v>4110</v>
      </c>
      <c r="D87" s="65">
        <f>57225166660-24818166660</f>
        <v>32407000000</v>
      </c>
      <c r="E87" s="169">
        <f>56265166660-24818166660</f>
        <v>31447000000</v>
      </c>
      <c r="F87" s="169"/>
      <c r="G87" s="140">
        <f>E87/D87*100</f>
        <v>97.037677045082845</v>
      </c>
      <c r="H87" s="140">
        <v>97.04</v>
      </c>
      <c r="I87" s="4637"/>
      <c r="J87" s="4857"/>
    </row>
    <row r="88" spans="1:10" ht="12" hidden="1" customHeight="1" x14ac:dyDescent="0.25">
      <c r="B88" s="1914"/>
      <c r="C88" s="61"/>
      <c r="D88" s="1928"/>
      <c r="E88" s="1929"/>
      <c r="F88" s="1929"/>
      <c r="G88" s="326"/>
      <c r="H88" s="326"/>
      <c r="I88" s="4879"/>
      <c r="J88" s="4857"/>
    </row>
    <row r="89" spans="1:10" s="1" customFormat="1" ht="18.75" hidden="1" customHeight="1" x14ac:dyDescent="0.25">
      <c r="A89" s="1015"/>
      <c r="B89" s="1024"/>
      <c r="C89" s="1930" t="s">
        <v>237</v>
      </c>
      <c r="D89" s="1931">
        <f>D90</f>
        <v>15911000000</v>
      </c>
      <c r="E89" s="1931">
        <f>E90</f>
        <v>13199000000</v>
      </c>
      <c r="F89" s="1931"/>
      <c r="G89" s="142">
        <f t="shared" ref="G89:G92" si="3">E89/D89*100</f>
        <v>82.955188234554711</v>
      </c>
      <c r="H89" s="1931">
        <f>H90</f>
        <v>82.96</v>
      </c>
      <c r="I89" s="4880"/>
      <c r="J89" s="4763"/>
    </row>
    <row r="90" spans="1:10" ht="18.75" hidden="1" customHeight="1" x14ac:dyDescent="0.25">
      <c r="A90" s="999"/>
      <c r="B90" s="2293"/>
      <c r="C90" s="61" t="s">
        <v>238</v>
      </c>
      <c r="D90" s="65">
        <v>15911000000</v>
      </c>
      <c r="E90" s="201">
        <v>13199000000</v>
      </c>
      <c r="F90" s="201"/>
      <c r="G90" s="140">
        <f t="shared" si="3"/>
        <v>82.955188234554711</v>
      </c>
      <c r="H90" s="344">
        <v>82.96</v>
      </c>
      <c r="I90" s="4637"/>
      <c r="J90" s="4857"/>
    </row>
    <row r="91" spans="1:10" ht="12" hidden="1" customHeight="1" x14ac:dyDescent="0.25">
      <c r="B91" s="1028"/>
      <c r="C91" s="61"/>
      <c r="D91" s="348"/>
      <c r="E91" s="348"/>
      <c r="F91" s="348"/>
      <c r="G91" s="202"/>
      <c r="H91" s="348"/>
      <c r="I91" s="4856"/>
      <c r="J91" s="4857"/>
    </row>
    <row r="92" spans="1:10" s="32" customFormat="1" ht="16.5" hidden="1" customHeight="1" x14ac:dyDescent="0.25">
      <c r="A92" s="1095"/>
      <c r="B92" s="1993" t="s">
        <v>4114</v>
      </c>
      <c r="C92" s="63" t="s">
        <v>4113</v>
      </c>
      <c r="D92" s="202">
        <v>24818166660</v>
      </c>
      <c r="E92" s="202">
        <v>24818166660</v>
      </c>
      <c r="F92" s="202"/>
      <c r="G92" s="142">
        <f t="shared" si="3"/>
        <v>100</v>
      </c>
      <c r="H92" s="202">
        <v>100</v>
      </c>
      <c r="I92" s="4881"/>
      <c r="J92" s="4882"/>
    </row>
    <row r="93" spans="1:10" ht="12" hidden="1" customHeight="1" x14ac:dyDescent="0.25">
      <c r="B93" s="1028"/>
      <c r="C93" s="61"/>
      <c r="D93" s="348"/>
      <c r="E93" s="348"/>
      <c r="F93" s="1935"/>
      <c r="G93" s="2381"/>
      <c r="H93" s="348"/>
      <c r="I93" s="4856"/>
      <c r="J93" s="4857"/>
    </row>
    <row r="94" spans="1:10" s="52" customFormat="1" ht="18.75" customHeight="1" x14ac:dyDescent="0.25">
      <c r="A94" s="2454"/>
      <c r="B94" s="1897" t="s">
        <v>239</v>
      </c>
      <c r="C94" s="49" t="s">
        <v>240</v>
      </c>
      <c r="D94" s="1933">
        <f>SUM(D96+D175+D260+D453+D354+D504+D623+D694+D955+D798+D854+D1053+D1098)</f>
        <v>580982469484</v>
      </c>
      <c r="E94" s="1933">
        <f>SUM(E96+E175+E260+E453+E354+E504+E623+E694+E955+E798+E854+E1053+E1098)</f>
        <v>523481812544</v>
      </c>
      <c r="F94" s="1900">
        <f>D94-E94</f>
        <v>57500656940</v>
      </c>
      <c r="G94" s="1902">
        <f>E94/D94*100</f>
        <v>90.102858526683377</v>
      </c>
      <c r="H94" s="1933">
        <f>SUM(H96+H175+H260+H354+H453+H504+H623+H694+H798+H854+H955+H1053+H1098)/13</f>
        <v>90.853167926249498</v>
      </c>
      <c r="I94" s="4883"/>
      <c r="J94" s="4884"/>
    </row>
    <row r="95" spans="1:10" hidden="1" x14ac:dyDescent="0.25">
      <c r="B95" s="489"/>
      <c r="C95" s="75"/>
      <c r="D95" s="348"/>
      <c r="E95" s="348"/>
      <c r="F95" s="1935"/>
      <c r="G95" s="2381"/>
      <c r="H95" s="348"/>
      <c r="I95" s="4856"/>
      <c r="J95" s="4857"/>
    </row>
    <row r="96" spans="1:10" ht="18.75" hidden="1" customHeight="1" x14ac:dyDescent="0.25">
      <c r="B96" s="2455"/>
      <c r="C96" s="422" t="s">
        <v>241</v>
      </c>
      <c r="D96" s="2382">
        <f>SUM(D97+D169)</f>
        <v>63755616039</v>
      </c>
      <c r="E96" s="2382">
        <f>SUM(E97+E169)</f>
        <v>62555616039</v>
      </c>
      <c r="F96" s="2382"/>
      <c r="G96" s="424">
        <f>E96/D96*100</f>
        <v>98.117812869589486</v>
      </c>
      <c r="H96" s="424">
        <f>SUM(H97+H169)/2</f>
        <v>96.736645962732922</v>
      </c>
      <c r="I96" s="4856"/>
      <c r="J96" s="4857"/>
    </row>
    <row r="97" spans="1:12" s="27" customFormat="1" ht="16.5" hidden="1" customHeight="1" x14ac:dyDescent="0.25">
      <c r="A97" s="1027"/>
      <c r="B97" s="1029"/>
      <c r="C97" s="1941" t="s">
        <v>242</v>
      </c>
      <c r="D97" s="78">
        <f>SUM(D98+D114+D117+D156+D160)</f>
        <v>46086863992</v>
      </c>
      <c r="E97" s="78">
        <f>SUM(E98+E114+E117+E156+E160)</f>
        <v>44886863992</v>
      </c>
      <c r="F97" s="78"/>
      <c r="G97" s="200">
        <f>E97/D97*100</f>
        <v>97.396221187433568</v>
      </c>
      <c r="H97" s="78">
        <f>SUM(H98+H114+H117+H156+H160)/5</f>
        <v>93.473291925465844</v>
      </c>
      <c r="I97" s="4885"/>
      <c r="J97" s="4874"/>
    </row>
    <row r="98" spans="1:12" s="27" customFormat="1" ht="17.25" hidden="1" customHeight="1" x14ac:dyDescent="0.25">
      <c r="A98" s="1027"/>
      <c r="B98" s="1024"/>
      <c r="C98" s="4565" t="s">
        <v>243</v>
      </c>
      <c r="D98" s="54">
        <f>SUM(D99:D112)</f>
        <v>6013437940</v>
      </c>
      <c r="E98" s="54">
        <f>SUM(E99:E112)</f>
        <v>6013437940</v>
      </c>
      <c r="F98" s="54"/>
      <c r="G98" s="209">
        <f>E98/D98*100</f>
        <v>100</v>
      </c>
      <c r="H98" s="209">
        <f>SUM(H100:H112)/10</f>
        <v>100</v>
      </c>
      <c r="I98" s="4637"/>
      <c r="J98" s="4886"/>
      <c r="K98" s="995"/>
      <c r="L98" s="995"/>
    </row>
    <row r="99" spans="1:12" s="27" customFormat="1" ht="18.75" hidden="1" customHeight="1" x14ac:dyDescent="0.25">
      <c r="A99" s="1027"/>
      <c r="B99" s="1024"/>
      <c r="C99" s="4566" t="s">
        <v>3562</v>
      </c>
      <c r="D99" s="4567">
        <v>0</v>
      </c>
      <c r="E99" s="4567">
        <v>0</v>
      </c>
      <c r="F99" s="4567"/>
      <c r="G99" s="4567">
        <v>0</v>
      </c>
      <c r="H99" s="4567">
        <v>0</v>
      </c>
      <c r="I99" s="4637"/>
      <c r="J99" s="4886"/>
      <c r="K99" s="995"/>
      <c r="L99" s="995"/>
    </row>
    <row r="100" spans="1:12" s="27" customFormat="1" ht="16.5" hidden="1" customHeight="1" x14ac:dyDescent="0.25">
      <c r="A100" s="1027"/>
      <c r="B100" s="1024"/>
      <c r="C100" s="4566" t="s">
        <v>244</v>
      </c>
      <c r="D100" s="368">
        <v>1410000000</v>
      </c>
      <c r="E100" s="368">
        <v>1410000000</v>
      </c>
      <c r="F100" s="368"/>
      <c r="G100" s="140">
        <f>E100/D100*100</f>
        <v>100</v>
      </c>
      <c r="H100" s="140">
        <v>100</v>
      </c>
      <c r="I100" s="4637"/>
      <c r="J100" s="4886"/>
      <c r="K100" s="995"/>
      <c r="L100" s="995"/>
    </row>
    <row r="101" spans="1:12" s="27" customFormat="1" ht="15" hidden="1" customHeight="1" x14ac:dyDescent="0.25">
      <c r="A101" s="1027"/>
      <c r="B101" s="1024"/>
      <c r="C101" s="334" t="s">
        <v>245</v>
      </c>
      <c r="D101" s="4568" t="s">
        <v>3317</v>
      </c>
      <c r="E101" s="4568" t="s">
        <v>3317</v>
      </c>
      <c r="F101" s="4568"/>
      <c r="G101" s="4568" t="s">
        <v>3317</v>
      </c>
      <c r="H101" s="4568" t="s">
        <v>3317</v>
      </c>
      <c r="I101" s="4637"/>
      <c r="J101" s="4886"/>
      <c r="K101" s="995"/>
      <c r="L101" s="995"/>
    </row>
    <row r="102" spans="1:12" s="27" customFormat="1" ht="15" hidden="1" customHeight="1" x14ac:dyDescent="0.25">
      <c r="A102" s="1027"/>
      <c r="B102" s="1024"/>
      <c r="C102" s="4569" t="s">
        <v>3435</v>
      </c>
      <c r="D102" s="368">
        <v>853972000</v>
      </c>
      <c r="E102" s="897">
        <v>853972000</v>
      </c>
      <c r="F102" s="897"/>
      <c r="G102" s="133">
        <f t="shared" ref="G102:G112" si="4">E102/D102*100</f>
        <v>100</v>
      </c>
      <c r="H102" s="133">
        <v>100</v>
      </c>
      <c r="I102" s="4638"/>
      <c r="J102" s="4886"/>
      <c r="K102" s="995"/>
      <c r="L102" s="995"/>
    </row>
    <row r="103" spans="1:12" s="27" customFormat="1" ht="15" hidden="1" customHeight="1" x14ac:dyDescent="0.25">
      <c r="A103" s="1027"/>
      <c r="B103" s="1993"/>
      <c r="C103" s="334" t="s">
        <v>3436</v>
      </c>
      <c r="D103" s="368">
        <v>342090000</v>
      </c>
      <c r="E103" s="368">
        <v>342090000</v>
      </c>
      <c r="F103" s="368"/>
      <c r="G103" s="140">
        <f t="shared" si="4"/>
        <v>100</v>
      </c>
      <c r="H103" s="140">
        <v>100</v>
      </c>
      <c r="I103" s="4637"/>
      <c r="J103" s="4886"/>
      <c r="K103" s="995"/>
      <c r="L103" s="995"/>
    </row>
    <row r="104" spans="1:12" s="27" customFormat="1" ht="15" hidden="1" customHeight="1" x14ac:dyDescent="0.25">
      <c r="A104" s="1027"/>
      <c r="B104" s="1993"/>
      <c r="C104" s="4570" t="s">
        <v>3437</v>
      </c>
      <c r="D104" s="893">
        <v>1038215940</v>
      </c>
      <c r="E104" s="893">
        <v>1038215940</v>
      </c>
      <c r="F104" s="893"/>
      <c r="G104" s="154">
        <f t="shared" si="4"/>
        <v>100</v>
      </c>
      <c r="H104" s="154">
        <v>100</v>
      </c>
      <c r="I104" s="4639"/>
      <c r="J104" s="4886"/>
      <c r="K104" s="995"/>
      <c r="L104" s="995"/>
    </row>
    <row r="105" spans="1:12" s="221" customFormat="1" ht="15" hidden="1" customHeight="1" x14ac:dyDescent="0.25">
      <c r="A105" s="4635"/>
      <c r="B105" s="1139"/>
      <c r="C105" s="4571" t="s">
        <v>3456</v>
      </c>
      <c r="D105" s="4568" t="s">
        <v>3317</v>
      </c>
      <c r="E105" s="4568" t="s">
        <v>3317</v>
      </c>
      <c r="F105" s="4568"/>
      <c r="G105" s="4568" t="s">
        <v>3317</v>
      </c>
      <c r="H105" s="4568" t="s">
        <v>3317</v>
      </c>
      <c r="I105" s="4640"/>
      <c r="J105" s="4887"/>
      <c r="K105" s="1206"/>
      <c r="L105" s="1206"/>
    </row>
    <row r="106" spans="1:12" s="25" customFormat="1" ht="15.75" hidden="1" customHeight="1" x14ac:dyDescent="0.25">
      <c r="A106" s="1022"/>
      <c r="B106" s="1024"/>
      <c r="C106" s="4572" t="s">
        <v>3438</v>
      </c>
      <c r="D106" s="368">
        <v>793520000</v>
      </c>
      <c r="E106" s="974">
        <v>793520000</v>
      </c>
      <c r="F106" s="974"/>
      <c r="G106" s="140">
        <f t="shared" si="4"/>
        <v>100</v>
      </c>
      <c r="H106" s="71">
        <v>100</v>
      </c>
      <c r="I106" s="4641"/>
      <c r="J106" s="4888"/>
      <c r="K106" s="1207"/>
      <c r="L106" s="1207"/>
    </row>
    <row r="107" spans="1:12" s="25" customFormat="1" ht="17.25" hidden="1" customHeight="1" x14ac:dyDescent="0.25">
      <c r="A107" s="1022"/>
      <c r="B107" s="1024"/>
      <c r="C107" s="91" t="s">
        <v>3439</v>
      </c>
      <c r="D107" s="368">
        <v>732480000</v>
      </c>
      <c r="E107" s="974">
        <v>732480000</v>
      </c>
      <c r="F107" s="974"/>
      <c r="G107" s="140">
        <f t="shared" si="4"/>
        <v>100</v>
      </c>
      <c r="H107" s="71">
        <v>100</v>
      </c>
      <c r="I107" s="4641"/>
      <c r="J107" s="4888"/>
      <c r="K107" s="1207"/>
      <c r="L107" s="1207"/>
    </row>
    <row r="108" spans="1:12" s="25" customFormat="1" ht="17.25" hidden="1" customHeight="1" x14ac:dyDescent="0.25">
      <c r="A108" s="1022"/>
      <c r="B108" s="1024"/>
      <c r="C108" s="91" t="s">
        <v>3440</v>
      </c>
      <c r="D108" s="368">
        <v>353160000</v>
      </c>
      <c r="E108" s="974">
        <v>353160000</v>
      </c>
      <c r="F108" s="974"/>
      <c r="G108" s="140">
        <f t="shared" si="4"/>
        <v>100</v>
      </c>
      <c r="H108" s="71">
        <v>100</v>
      </c>
      <c r="I108" s="4641"/>
      <c r="J108" s="4888"/>
      <c r="K108" s="1207"/>
      <c r="L108" s="1207"/>
    </row>
    <row r="109" spans="1:12" s="25" customFormat="1" ht="17.25" hidden="1" customHeight="1" x14ac:dyDescent="0.25">
      <c r="A109" s="1022"/>
      <c r="B109" s="1024"/>
      <c r="C109" s="91" t="s">
        <v>3441</v>
      </c>
      <c r="D109" s="4573">
        <v>0</v>
      </c>
      <c r="E109" s="4573">
        <v>0</v>
      </c>
      <c r="F109" s="4573"/>
      <c r="G109" s="4573">
        <v>0</v>
      </c>
      <c r="H109" s="4573">
        <v>0</v>
      </c>
      <c r="I109" s="4641"/>
      <c r="J109" s="4888"/>
      <c r="K109" s="1207"/>
      <c r="L109" s="1207"/>
    </row>
    <row r="110" spans="1:12" s="25" customFormat="1" ht="14.25" hidden="1" customHeight="1" x14ac:dyDescent="0.25">
      <c r="A110" s="1022"/>
      <c r="B110" s="1024"/>
      <c r="C110" s="91" t="s">
        <v>3442</v>
      </c>
      <c r="D110" s="368">
        <v>210000000</v>
      </c>
      <c r="E110" s="974">
        <v>210000000</v>
      </c>
      <c r="F110" s="974"/>
      <c r="G110" s="140">
        <f t="shared" si="4"/>
        <v>100</v>
      </c>
      <c r="H110" s="71">
        <v>100</v>
      </c>
      <c r="I110" s="4641"/>
      <c r="J110" s="4888"/>
      <c r="K110" s="1207"/>
      <c r="L110" s="1207"/>
    </row>
    <row r="111" spans="1:12" s="25" customFormat="1" ht="17.25" hidden="1" customHeight="1" x14ac:dyDescent="0.25">
      <c r="A111" s="1022"/>
      <c r="B111" s="1024"/>
      <c r="C111" s="91" t="s">
        <v>3444</v>
      </c>
      <c r="D111" s="368">
        <v>140000000</v>
      </c>
      <c r="E111" s="331">
        <v>140000000</v>
      </c>
      <c r="F111" s="331"/>
      <c r="G111" s="140">
        <f t="shared" si="4"/>
        <v>100</v>
      </c>
      <c r="H111" s="331">
        <v>100</v>
      </c>
      <c r="I111" s="4641"/>
      <c r="J111" s="4888"/>
      <c r="K111" s="1207"/>
      <c r="L111" s="1207"/>
    </row>
    <row r="112" spans="1:12" s="25" customFormat="1" ht="15" hidden="1" customHeight="1" x14ac:dyDescent="0.25">
      <c r="A112" s="1022"/>
      <c r="B112" s="1024"/>
      <c r="C112" s="91" t="s">
        <v>3443</v>
      </c>
      <c r="D112" s="368">
        <v>140000000</v>
      </c>
      <c r="E112" s="331">
        <v>140000000</v>
      </c>
      <c r="F112" s="331"/>
      <c r="G112" s="140">
        <f t="shared" si="4"/>
        <v>100</v>
      </c>
      <c r="H112" s="331">
        <v>100</v>
      </c>
      <c r="I112" s="4641"/>
      <c r="J112" s="4888"/>
      <c r="K112" s="1207"/>
      <c r="L112" s="1207"/>
    </row>
    <row r="113" spans="1:12" s="25" customFormat="1" ht="9.75" hidden="1" customHeight="1" x14ac:dyDescent="0.25">
      <c r="A113" s="1022"/>
      <c r="B113" s="1024"/>
      <c r="C113" s="91"/>
      <c r="D113" s="680"/>
      <c r="E113" s="975"/>
      <c r="F113" s="975"/>
      <c r="G113" s="157"/>
      <c r="H113" s="92"/>
      <c r="I113" s="4641"/>
      <c r="J113" s="4888"/>
      <c r="K113" s="1207"/>
      <c r="L113" s="1207"/>
    </row>
    <row r="114" spans="1:12" s="25" customFormat="1" ht="16.5" hidden="1" customHeight="1" x14ac:dyDescent="0.25">
      <c r="A114" s="1022"/>
      <c r="B114" s="1024"/>
      <c r="C114" s="332" t="s">
        <v>246</v>
      </c>
      <c r="D114" s="92">
        <f>D115</f>
        <v>5242510000</v>
      </c>
      <c r="E114" s="92">
        <f>E115</f>
        <v>5242510000</v>
      </c>
      <c r="F114" s="92"/>
      <c r="G114" s="142">
        <f t="shared" ref="G114:G115" si="5">(E114/D114)*100</f>
        <v>100</v>
      </c>
      <c r="H114" s="242">
        <f>H115</f>
        <v>86</v>
      </c>
      <c r="I114" s="4641"/>
      <c r="J114" s="4888"/>
      <c r="K114" s="1207"/>
      <c r="L114" s="1207"/>
    </row>
    <row r="115" spans="1:12" s="25" customFormat="1" ht="16.5" hidden="1" customHeight="1" x14ac:dyDescent="0.25">
      <c r="A115" s="1022"/>
      <c r="B115" s="1024"/>
      <c r="C115" s="91" t="s">
        <v>247</v>
      </c>
      <c r="D115" s="71">
        <v>5242510000</v>
      </c>
      <c r="E115" s="140">
        <v>5242510000</v>
      </c>
      <c r="F115" s="140"/>
      <c r="G115" s="140">
        <f t="shared" si="5"/>
        <v>100</v>
      </c>
      <c r="H115" s="133">
        <v>86</v>
      </c>
      <c r="I115" s="4641"/>
      <c r="J115" s="4888"/>
      <c r="K115" s="1207"/>
      <c r="L115" s="1207"/>
    </row>
    <row r="116" spans="1:12" s="27" customFormat="1" ht="9.75" hidden="1" customHeight="1" x14ac:dyDescent="0.25">
      <c r="A116" s="1027"/>
      <c r="B116" s="1024"/>
      <c r="C116" s="4565"/>
      <c r="D116" s="680"/>
      <c r="E116" s="975"/>
      <c r="F116" s="975"/>
      <c r="G116" s="157"/>
      <c r="H116" s="92"/>
      <c r="I116" s="4637"/>
      <c r="J116" s="4886"/>
      <c r="K116" s="995"/>
      <c r="L116" s="995"/>
    </row>
    <row r="117" spans="1:12" s="27" customFormat="1" ht="15.75" hidden="1" customHeight="1" x14ac:dyDescent="0.25">
      <c r="A117" s="1027"/>
      <c r="B117" s="1024"/>
      <c r="C117" s="134" t="s">
        <v>248</v>
      </c>
      <c r="D117" s="92">
        <f>SUM(D118:D154)</f>
        <v>30520199800</v>
      </c>
      <c r="E117" s="92">
        <f>SUM(E118:E154)</f>
        <v>29560199800</v>
      </c>
      <c r="F117" s="92"/>
      <c r="G117" s="142">
        <f t="shared" ref="G117:G129" si="6">E117/D117*100</f>
        <v>96.85454221698771</v>
      </c>
      <c r="H117" s="92">
        <f>SUM(H118:H154)/23</f>
        <v>95.652173913043484</v>
      </c>
      <c r="I117" s="4637"/>
      <c r="J117" s="4886"/>
      <c r="K117" s="995"/>
      <c r="L117" s="995"/>
    </row>
    <row r="118" spans="1:12" s="27" customFormat="1" ht="31.5" hidden="1" x14ac:dyDescent="0.25">
      <c r="A118" s="1027"/>
      <c r="B118" s="1024"/>
      <c r="C118" s="4574" t="s">
        <v>249</v>
      </c>
      <c r="D118" s="368">
        <v>8163750000</v>
      </c>
      <c r="E118" s="368">
        <v>8163750000</v>
      </c>
      <c r="F118" s="368"/>
      <c r="G118" s="140">
        <f t="shared" si="6"/>
        <v>100</v>
      </c>
      <c r="H118" s="73">
        <v>100</v>
      </c>
      <c r="I118" s="4637"/>
      <c r="J118" s="4886"/>
      <c r="K118" s="995"/>
      <c r="L118" s="995"/>
    </row>
    <row r="119" spans="1:12" s="27" customFormat="1" ht="15.75" hidden="1" customHeight="1" x14ac:dyDescent="0.25">
      <c r="A119" s="1027"/>
      <c r="B119" s="1024"/>
      <c r="C119" s="4574" t="s">
        <v>250</v>
      </c>
      <c r="D119" s="368">
        <v>6962500000</v>
      </c>
      <c r="E119" s="368">
        <v>6962500000</v>
      </c>
      <c r="F119" s="368"/>
      <c r="G119" s="140">
        <f t="shared" si="6"/>
        <v>100</v>
      </c>
      <c r="H119" s="73">
        <v>100</v>
      </c>
      <c r="I119" s="4637"/>
      <c r="J119" s="4886"/>
      <c r="K119" s="995"/>
      <c r="L119" s="995"/>
    </row>
    <row r="120" spans="1:12" s="27" customFormat="1" ht="14.25" hidden="1" customHeight="1" x14ac:dyDescent="0.25">
      <c r="A120" s="1027"/>
      <c r="B120" s="1024"/>
      <c r="C120" s="334" t="s">
        <v>251</v>
      </c>
      <c r="D120" s="368">
        <v>1350000000</v>
      </c>
      <c r="E120" s="368">
        <v>1350000000</v>
      </c>
      <c r="F120" s="368"/>
      <c r="G120" s="140">
        <f t="shared" si="6"/>
        <v>100</v>
      </c>
      <c r="H120" s="368">
        <v>100</v>
      </c>
      <c r="I120" s="4637"/>
      <c r="J120" s="4886"/>
      <c r="K120" s="995"/>
      <c r="L120" s="995"/>
    </row>
    <row r="121" spans="1:12" s="27" customFormat="1" ht="14.25" hidden="1" customHeight="1" x14ac:dyDescent="0.25">
      <c r="A121" s="1027"/>
      <c r="B121" s="1024"/>
      <c r="C121" s="334" t="s">
        <v>3445</v>
      </c>
      <c r="D121" s="4573">
        <v>0</v>
      </c>
      <c r="E121" s="4573">
        <v>0</v>
      </c>
      <c r="F121" s="4573"/>
      <c r="G121" s="4573">
        <v>0</v>
      </c>
      <c r="H121" s="4573">
        <v>0</v>
      </c>
      <c r="I121" s="4637"/>
      <c r="J121" s="4886"/>
      <c r="K121" s="995"/>
      <c r="L121" s="995"/>
    </row>
    <row r="122" spans="1:12" s="27" customFormat="1" ht="14.25" hidden="1" customHeight="1" x14ac:dyDescent="0.25">
      <c r="A122" s="1027"/>
      <c r="B122" s="1024"/>
      <c r="C122" s="334" t="s">
        <v>3872</v>
      </c>
      <c r="D122" s="140">
        <v>1125000000</v>
      </c>
      <c r="E122" s="140">
        <v>1125000000</v>
      </c>
      <c r="F122" s="140"/>
      <c r="G122" s="140">
        <f t="shared" si="6"/>
        <v>100</v>
      </c>
      <c r="H122" s="140">
        <v>100</v>
      </c>
      <c r="I122" s="4637"/>
      <c r="J122" s="4886"/>
      <c r="K122" s="995"/>
      <c r="L122" s="995"/>
    </row>
    <row r="123" spans="1:12" s="27" customFormat="1" ht="17.25" hidden="1" customHeight="1" x14ac:dyDescent="0.25">
      <c r="A123" s="1027"/>
      <c r="B123" s="1024"/>
      <c r="C123" s="334" t="s">
        <v>3873</v>
      </c>
      <c r="D123" s="672">
        <v>1350000000</v>
      </c>
      <c r="E123" s="140">
        <v>1350000000</v>
      </c>
      <c r="F123" s="140"/>
      <c r="G123" s="140">
        <f t="shared" si="6"/>
        <v>100</v>
      </c>
      <c r="H123" s="140">
        <v>100</v>
      </c>
      <c r="I123" s="4637"/>
      <c r="J123" s="4886"/>
      <c r="K123" s="995"/>
      <c r="L123" s="995"/>
    </row>
    <row r="124" spans="1:12" s="27" customFormat="1" ht="15" hidden="1" customHeight="1" x14ac:dyDescent="0.25">
      <c r="A124" s="1027"/>
      <c r="B124" s="1024"/>
      <c r="C124" s="334" t="s">
        <v>3874</v>
      </c>
      <c r="D124" s="672">
        <v>1125000000</v>
      </c>
      <c r="E124" s="140">
        <v>1125000000</v>
      </c>
      <c r="F124" s="140"/>
      <c r="G124" s="140">
        <f t="shared" si="6"/>
        <v>100</v>
      </c>
      <c r="H124" s="140">
        <v>100</v>
      </c>
      <c r="I124" s="4637"/>
      <c r="J124" s="4886"/>
      <c r="K124" s="995"/>
      <c r="L124" s="995"/>
    </row>
    <row r="125" spans="1:12" s="27" customFormat="1" ht="15" hidden="1" customHeight="1" x14ac:dyDescent="0.25">
      <c r="A125" s="1027"/>
      <c r="B125" s="1024"/>
      <c r="C125" s="4570" t="s">
        <v>3875</v>
      </c>
      <c r="D125" s="402">
        <v>960000000</v>
      </c>
      <c r="E125" s="140">
        <v>960000000</v>
      </c>
      <c r="F125" s="140"/>
      <c r="G125" s="140">
        <f t="shared" si="6"/>
        <v>100</v>
      </c>
      <c r="H125" s="140">
        <v>100</v>
      </c>
      <c r="I125" s="4637"/>
      <c r="J125" s="4886"/>
      <c r="K125" s="995"/>
      <c r="L125" s="995"/>
    </row>
    <row r="126" spans="1:12" s="27" customFormat="1" ht="15.75" hidden="1" customHeight="1" x14ac:dyDescent="0.25">
      <c r="A126" s="1027"/>
      <c r="B126" s="1024"/>
      <c r="C126" s="4570" t="s">
        <v>3876</v>
      </c>
      <c r="D126" s="402">
        <v>960000000</v>
      </c>
      <c r="E126" s="140">
        <v>960000000</v>
      </c>
      <c r="F126" s="140"/>
      <c r="G126" s="140">
        <f t="shared" si="6"/>
        <v>100</v>
      </c>
      <c r="H126" s="140">
        <v>100</v>
      </c>
      <c r="I126" s="4637"/>
      <c r="J126" s="4886"/>
      <c r="K126" s="995"/>
      <c r="L126" s="995"/>
    </row>
    <row r="127" spans="1:12" s="27" customFormat="1" ht="17.25" hidden="1" customHeight="1" x14ac:dyDescent="0.25">
      <c r="A127" s="1027"/>
      <c r="B127" s="1024"/>
      <c r="C127" s="4570" t="s">
        <v>3877</v>
      </c>
      <c r="D127" s="4573">
        <v>0</v>
      </c>
      <c r="E127" s="4573">
        <v>0</v>
      </c>
      <c r="F127" s="4573"/>
      <c r="G127" s="4573">
        <v>0</v>
      </c>
      <c r="H127" s="4573">
        <v>0</v>
      </c>
      <c r="I127" s="4637"/>
      <c r="J127" s="4886"/>
      <c r="K127" s="995"/>
      <c r="L127" s="995"/>
    </row>
    <row r="128" spans="1:12" s="27" customFormat="1" ht="17.25" hidden="1" customHeight="1" x14ac:dyDescent="0.25">
      <c r="A128" s="1027"/>
      <c r="B128" s="1024"/>
      <c r="C128" s="4570" t="s">
        <v>3878</v>
      </c>
      <c r="D128" s="140">
        <v>235000000</v>
      </c>
      <c r="E128" s="140">
        <v>235000000</v>
      </c>
      <c r="F128" s="140"/>
      <c r="G128" s="140">
        <f t="shared" si="6"/>
        <v>100</v>
      </c>
      <c r="H128" s="140">
        <v>100</v>
      </c>
      <c r="I128" s="4637"/>
      <c r="J128" s="4886"/>
      <c r="K128" s="995"/>
      <c r="L128" s="995"/>
    </row>
    <row r="129" spans="1:12" s="27" customFormat="1" ht="17.25" hidden="1" customHeight="1" x14ac:dyDescent="0.25">
      <c r="A129" s="1027"/>
      <c r="B129" s="1024"/>
      <c r="C129" s="4570" t="s">
        <v>3879</v>
      </c>
      <c r="D129" s="368">
        <v>960000000</v>
      </c>
      <c r="E129" s="368">
        <v>0</v>
      </c>
      <c r="F129" s="368"/>
      <c r="G129" s="140">
        <f t="shared" si="6"/>
        <v>0</v>
      </c>
      <c r="H129" s="140">
        <v>0</v>
      </c>
      <c r="I129" s="4637"/>
      <c r="J129" s="4886"/>
      <c r="K129" s="995"/>
      <c r="L129" s="995"/>
    </row>
    <row r="130" spans="1:12" s="27" customFormat="1" ht="17.25" hidden="1" customHeight="1" x14ac:dyDescent="0.25">
      <c r="A130" s="1027"/>
      <c r="B130" s="1024"/>
      <c r="C130" s="4570" t="s">
        <v>3880</v>
      </c>
      <c r="D130" s="403">
        <v>0</v>
      </c>
      <c r="E130" s="403">
        <v>0</v>
      </c>
      <c r="F130" s="403"/>
      <c r="G130" s="403">
        <v>0</v>
      </c>
      <c r="H130" s="403">
        <v>0</v>
      </c>
      <c r="I130" s="4637"/>
      <c r="J130" s="4886"/>
      <c r="K130" s="995"/>
      <c r="L130" s="995"/>
    </row>
    <row r="131" spans="1:12" s="27" customFormat="1" ht="17.25" hidden="1" customHeight="1" x14ac:dyDescent="0.25">
      <c r="A131" s="1027"/>
      <c r="B131" s="1024"/>
      <c r="C131" s="4570" t="s">
        <v>3881</v>
      </c>
      <c r="D131" s="403">
        <v>0</v>
      </c>
      <c r="E131" s="403">
        <v>0</v>
      </c>
      <c r="F131" s="403"/>
      <c r="G131" s="403">
        <v>0</v>
      </c>
      <c r="H131" s="403">
        <v>0</v>
      </c>
      <c r="I131" s="4637"/>
      <c r="J131" s="4886"/>
      <c r="K131" s="995"/>
      <c r="L131" s="995"/>
    </row>
    <row r="132" spans="1:12" s="27" customFormat="1" ht="17.25" hidden="1" customHeight="1" x14ac:dyDescent="0.25">
      <c r="A132" s="1027"/>
      <c r="B132" s="1024"/>
      <c r="C132" s="4570" t="s">
        <v>3882</v>
      </c>
      <c r="D132" s="140">
        <v>1250000000</v>
      </c>
      <c r="E132" s="140">
        <v>1250000000</v>
      </c>
      <c r="F132" s="140"/>
      <c r="G132" s="140">
        <f t="shared" ref="G132" si="7">E132/D132*100</f>
        <v>100</v>
      </c>
      <c r="H132" s="140">
        <v>100</v>
      </c>
      <c r="I132" s="4637"/>
      <c r="J132" s="4886"/>
      <c r="K132" s="995"/>
      <c r="L132" s="995"/>
    </row>
    <row r="133" spans="1:12" s="27" customFormat="1" ht="17.25" hidden="1" customHeight="1" x14ac:dyDescent="0.25">
      <c r="A133" s="1027"/>
      <c r="B133" s="1024"/>
      <c r="C133" s="4570" t="s">
        <v>3883</v>
      </c>
      <c r="D133" s="402">
        <v>0</v>
      </c>
      <c r="E133" s="402">
        <v>0</v>
      </c>
      <c r="F133" s="402"/>
      <c r="G133" s="402">
        <v>0</v>
      </c>
      <c r="H133" s="402">
        <v>0</v>
      </c>
      <c r="I133" s="4637"/>
      <c r="J133" s="4886"/>
      <c r="K133" s="995"/>
      <c r="L133" s="995"/>
    </row>
    <row r="134" spans="1:12" s="27" customFormat="1" ht="17.25" hidden="1" customHeight="1" x14ac:dyDescent="0.25">
      <c r="A134" s="1027"/>
      <c r="B134" s="1024"/>
      <c r="C134" s="4570" t="s">
        <v>3884</v>
      </c>
      <c r="D134" s="402">
        <v>0</v>
      </c>
      <c r="E134" s="402">
        <v>0</v>
      </c>
      <c r="F134" s="402"/>
      <c r="G134" s="402">
        <v>0</v>
      </c>
      <c r="H134" s="402">
        <v>0</v>
      </c>
      <c r="I134" s="4637"/>
      <c r="J134" s="4886"/>
      <c r="K134" s="995"/>
      <c r="L134" s="995"/>
    </row>
    <row r="135" spans="1:12" s="27" customFormat="1" ht="17.25" hidden="1" customHeight="1" x14ac:dyDescent="0.25">
      <c r="A135" s="1027"/>
      <c r="B135" s="1024"/>
      <c r="C135" s="4570" t="s">
        <v>3885</v>
      </c>
      <c r="D135" s="402">
        <v>0</v>
      </c>
      <c r="E135" s="402">
        <v>0</v>
      </c>
      <c r="F135" s="402"/>
      <c r="G135" s="402">
        <v>0</v>
      </c>
      <c r="H135" s="402">
        <v>0</v>
      </c>
      <c r="I135" s="4637"/>
      <c r="J135" s="4886"/>
      <c r="K135" s="995"/>
      <c r="L135" s="995"/>
    </row>
    <row r="136" spans="1:12" s="27" customFormat="1" ht="18" hidden="1" customHeight="1" x14ac:dyDescent="0.25">
      <c r="A136" s="1027"/>
      <c r="B136" s="1024"/>
      <c r="C136" s="4570" t="s">
        <v>3886</v>
      </c>
      <c r="D136" s="402">
        <v>0</v>
      </c>
      <c r="E136" s="402">
        <v>0</v>
      </c>
      <c r="F136" s="402"/>
      <c r="G136" s="402">
        <v>0</v>
      </c>
      <c r="H136" s="402">
        <v>0</v>
      </c>
      <c r="I136" s="4637"/>
      <c r="J136" s="4886"/>
      <c r="K136" s="995"/>
      <c r="L136" s="995"/>
    </row>
    <row r="137" spans="1:12" s="27" customFormat="1" ht="18" hidden="1" customHeight="1" x14ac:dyDescent="0.25">
      <c r="A137" s="1027"/>
      <c r="B137" s="1024"/>
      <c r="C137" s="4570" t="s">
        <v>3887</v>
      </c>
      <c r="D137" s="368">
        <v>1248750000</v>
      </c>
      <c r="E137" s="140">
        <v>1248750000</v>
      </c>
      <c r="F137" s="140"/>
      <c r="G137" s="140">
        <f t="shared" ref="G137:G138" si="8">E137/D137*100</f>
        <v>100</v>
      </c>
      <c r="H137" s="140">
        <v>100</v>
      </c>
      <c r="I137" s="4637"/>
      <c r="J137" s="4886"/>
      <c r="K137" s="995"/>
      <c r="L137" s="995"/>
    </row>
    <row r="138" spans="1:12" s="27" customFormat="1" ht="16.5" hidden="1" customHeight="1" x14ac:dyDescent="0.25">
      <c r="A138" s="1027"/>
      <c r="B138" s="1024"/>
      <c r="C138" s="4570" t="s">
        <v>3888</v>
      </c>
      <c r="D138" s="368">
        <v>330200000</v>
      </c>
      <c r="E138" s="140">
        <v>330200000</v>
      </c>
      <c r="F138" s="140"/>
      <c r="G138" s="140">
        <f t="shared" si="8"/>
        <v>100</v>
      </c>
      <c r="H138" s="140">
        <v>100</v>
      </c>
      <c r="I138" s="4637"/>
      <c r="J138" s="4886"/>
      <c r="K138" s="995"/>
      <c r="L138" s="995"/>
    </row>
    <row r="139" spans="1:12" s="27" customFormat="1" ht="18.75" hidden="1" customHeight="1" x14ac:dyDescent="0.25">
      <c r="A139" s="1027"/>
      <c r="B139" s="1024"/>
      <c r="C139" s="4570" t="s">
        <v>3889</v>
      </c>
      <c r="D139" s="402">
        <v>0</v>
      </c>
      <c r="E139" s="402">
        <v>0</v>
      </c>
      <c r="F139" s="402"/>
      <c r="G139" s="402">
        <v>0</v>
      </c>
      <c r="H139" s="402">
        <v>0</v>
      </c>
      <c r="I139" s="4637"/>
      <c r="J139" s="4886"/>
      <c r="K139" s="995"/>
      <c r="L139" s="995"/>
    </row>
    <row r="140" spans="1:12" s="27" customFormat="1" ht="18" hidden="1" customHeight="1" x14ac:dyDescent="0.25">
      <c r="A140" s="1027"/>
      <c r="B140" s="1024"/>
      <c r="C140" s="4570" t="s">
        <v>3890</v>
      </c>
      <c r="D140" s="402">
        <v>0</v>
      </c>
      <c r="E140" s="402">
        <v>0</v>
      </c>
      <c r="F140" s="402"/>
      <c r="G140" s="402">
        <v>0</v>
      </c>
      <c r="H140" s="402">
        <v>0</v>
      </c>
      <c r="I140" s="4637"/>
      <c r="J140" s="4886"/>
      <c r="K140" s="995"/>
      <c r="L140" s="995"/>
    </row>
    <row r="141" spans="1:12" s="27" customFormat="1" ht="18" hidden="1" customHeight="1" x14ac:dyDescent="0.25">
      <c r="A141" s="1027"/>
      <c r="B141" s="1024"/>
      <c r="C141" s="4570" t="s">
        <v>3891</v>
      </c>
      <c r="D141" s="402">
        <v>0</v>
      </c>
      <c r="E141" s="402">
        <v>0</v>
      </c>
      <c r="F141" s="402"/>
      <c r="G141" s="402">
        <v>0</v>
      </c>
      <c r="H141" s="402">
        <v>0</v>
      </c>
      <c r="I141" s="4637"/>
      <c r="J141" s="4886"/>
      <c r="K141" s="995"/>
      <c r="L141" s="995"/>
    </row>
    <row r="142" spans="1:12" s="27" customFormat="1" ht="18" hidden="1" customHeight="1" x14ac:dyDescent="0.25">
      <c r="A142" s="1027"/>
      <c r="B142" s="1024"/>
      <c r="C142" s="4570" t="s">
        <v>3892</v>
      </c>
      <c r="D142" s="402">
        <v>0</v>
      </c>
      <c r="E142" s="402">
        <v>0</v>
      </c>
      <c r="F142" s="402"/>
      <c r="G142" s="402">
        <v>0</v>
      </c>
      <c r="H142" s="402">
        <v>0</v>
      </c>
      <c r="I142" s="4637"/>
      <c r="J142" s="4886"/>
      <c r="K142" s="995"/>
      <c r="L142" s="995"/>
    </row>
    <row r="143" spans="1:12" s="27" customFormat="1" ht="18" hidden="1" customHeight="1" x14ac:dyDescent="0.25">
      <c r="A143" s="1027"/>
      <c r="B143" s="1024"/>
      <c r="C143" s="4570" t="s">
        <v>3893</v>
      </c>
      <c r="D143" s="402">
        <v>0</v>
      </c>
      <c r="E143" s="402">
        <v>0</v>
      </c>
      <c r="F143" s="402"/>
      <c r="G143" s="402">
        <v>0</v>
      </c>
      <c r="H143" s="402">
        <v>0</v>
      </c>
      <c r="I143" s="4637"/>
      <c r="J143" s="4886"/>
      <c r="K143" s="995"/>
      <c r="L143" s="995"/>
    </row>
    <row r="144" spans="1:12" s="27" customFormat="1" ht="14.25" hidden="1" customHeight="1" x14ac:dyDescent="0.25">
      <c r="A144" s="1027"/>
      <c r="B144" s="1024"/>
      <c r="C144" s="4569" t="s">
        <v>3894</v>
      </c>
      <c r="D144" s="897">
        <v>724999950</v>
      </c>
      <c r="E144" s="897">
        <v>724999950</v>
      </c>
      <c r="F144" s="897"/>
      <c r="G144" s="140">
        <f t="shared" ref="G144" si="9">E144/D144*100</f>
        <v>100</v>
      </c>
      <c r="H144" s="897">
        <v>100</v>
      </c>
      <c r="I144" s="4638"/>
      <c r="J144" s="4886"/>
      <c r="K144" s="995"/>
      <c r="L144" s="995"/>
    </row>
    <row r="145" spans="1:12" s="27" customFormat="1" ht="16.5" hidden="1" customHeight="1" x14ac:dyDescent="0.25">
      <c r="A145" s="1027"/>
      <c r="B145" s="1904"/>
      <c r="C145" s="334" t="s">
        <v>3895</v>
      </c>
      <c r="D145" s="402">
        <v>0</v>
      </c>
      <c r="E145" s="402">
        <v>0</v>
      </c>
      <c r="F145" s="402"/>
      <c r="G145" s="402">
        <v>0</v>
      </c>
      <c r="H145" s="402">
        <v>0</v>
      </c>
      <c r="I145" s="4637"/>
      <c r="J145" s="4886"/>
      <c r="K145" s="995"/>
      <c r="L145" s="995"/>
    </row>
    <row r="146" spans="1:12" s="27" customFormat="1" ht="16.5" hidden="1" customHeight="1" x14ac:dyDescent="0.25">
      <c r="A146" s="1027"/>
      <c r="B146" s="1024"/>
      <c r="C146" s="4570" t="s">
        <v>3896</v>
      </c>
      <c r="D146" s="893">
        <v>724999950</v>
      </c>
      <c r="E146" s="893">
        <v>724999950</v>
      </c>
      <c r="F146" s="893"/>
      <c r="G146" s="140">
        <f t="shared" ref="G146:G154" si="10">E146/D146*100</f>
        <v>100</v>
      </c>
      <c r="H146" s="893">
        <v>100</v>
      </c>
      <c r="I146" s="4639"/>
      <c r="J146" s="4886"/>
      <c r="K146" s="995"/>
      <c r="L146" s="995"/>
    </row>
    <row r="147" spans="1:12" s="27" customFormat="1" ht="14.25" hidden="1" customHeight="1" x14ac:dyDescent="0.25">
      <c r="A147" s="1027"/>
      <c r="B147" s="1024"/>
      <c r="C147" s="4570" t="s">
        <v>3897</v>
      </c>
      <c r="D147" s="154">
        <v>724999950</v>
      </c>
      <c r="E147" s="368">
        <v>724999950</v>
      </c>
      <c r="F147" s="368"/>
      <c r="G147" s="140">
        <f t="shared" si="10"/>
        <v>100</v>
      </c>
      <c r="H147" s="893">
        <v>100</v>
      </c>
      <c r="I147" s="4637"/>
      <c r="J147" s="4886"/>
      <c r="K147" s="995"/>
      <c r="L147" s="995"/>
    </row>
    <row r="148" spans="1:12" s="27" customFormat="1" ht="15.75" hidden="1" customHeight="1" x14ac:dyDescent="0.25">
      <c r="A148" s="1027"/>
      <c r="B148" s="1024"/>
      <c r="C148" s="4569" t="s">
        <v>3898</v>
      </c>
      <c r="D148" s="154">
        <v>724999950</v>
      </c>
      <c r="E148" s="368">
        <v>724999950</v>
      </c>
      <c r="F148" s="368"/>
      <c r="G148" s="140">
        <f t="shared" si="10"/>
        <v>100</v>
      </c>
      <c r="H148" s="893">
        <v>100</v>
      </c>
      <c r="I148" s="4637"/>
      <c r="J148" s="4886"/>
      <c r="K148" s="995"/>
      <c r="L148" s="995"/>
    </row>
    <row r="149" spans="1:12" s="27" customFormat="1" ht="14.25" hidden="1" customHeight="1" x14ac:dyDescent="0.25">
      <c r="A149" s="1027"/>
      <c r="B149" s="1024"/>
      <c r="C149" s="4575" t="s">
        <v>3899</v>
      </c>
      <c r="D149" s="897">
        <v>450000000</v>
      </c>
      <c r="E149" s="897">
        <v>450000000</v>
      </c>
      <c r="F149" s="897"/>
      <c r="G149" s="140">
        <f t="shared" si="10"/>
        <v>100</v>
      </c>
      <c r="H149" s="71">
        <v>100</v>
      </c>
      <c r="I149" s="4637"/>
      <c r="J149" s="4886"/>
      <c r="K149" s="995"/>
      <c r="L149" s="995"/>
    </row>
    <row r="150" spans="1:12" s="27" customFormat="1" ht="15.75" hidden="1" customHeight="1" x14ac:dyDescent="0.25">
      <c r="A150" s="1027"/>
      <c r="B150" s="1024"/>
      <c r="C150" s="4575" t="s">
        <v>3900</v>
      </c>
      <c r="D150" s="4576">
        <v>225000000</v>
      </c>
      <c r="E150" s="4577">
        <v>225000000</v>
      </c>
      <c r="F150" s="4577"/>
      <c r="G150" s="140">
        <f t="shared" si="10"/>
        <v>100</v>
      </c>
      <c r="H150" s="71">
        <v>100</v>
      </c>
      <c r="I150" s="4637"/>
      <c r="J150" s="4886"/>
      <c r="K150" s="995"/>
      <c r="L150" s="995"/>
    </row>
    <row r="151" spans="1:12" s="27" customFormat="1" ht="15" hidden="1" customHeight="1" x14ac:dyDescent="0.25">
      <c r="A151" s="1027"/>
      <c r="B151" s="1024"/>
      <c r="C151" s="4575" t="s">
        <v>3901</v>
      </c>
      <c r="D151" s="154">
        <v>280000000</v>
      </c>
      <c r="E151" s="140">
        <v>280000000</v>
      </c>
      <c r="F151" s="140"/>
      <c r="G151" s="140">
        <f t="shared" si="10"/>
        <v>100</v>
      </c>
      <c r="H151" s="71">
        <v>100</v>
      </c>
      <c r="I151" s="4637"/>
      <c r="J151" s="4886"/>
      <c r="K151" s="995"/>
      <c r="L151" s="995"/>
    </row>
    <row r="152" spans="1:12" s="27" customFormat="1" ht="15" hidden="1" customHeight="1" x14ac:dyDescent="0.25">
      <c r="A152" s="1027"/>
      <c r="B152" s="1024"/>
      <c r="C152" s="4578" t="s">
        <v>3902</v>
      </c>
      <c r="D152" s="239">
        <v>225000000</v>
      </c>
      <c r="E152" s="133">
        <v>225000000</v>
      </c>
      <c r="F152" s="133"/>
      <c r="G152" s="140">
        <f t="shared" si="10"/>
        <v>100</v>
      </c>
      <c r="H152" s="71">
        <v>100</v>
      </c>
      <c r="I152" s="4638"/>
      <c r="J152" s="4886"/>
      <c r="K152" s="995"/>
      <c r="L152" s="995"/>
    </row>
    <row r="153" spans="1:12" s="27" customFormat="1" ht="15" hidden="1" customHeight="1" x14ac:dyDescent="0.25">
      <c r="A153" s="1027"/>
      <c r="B153" s="1904"/>
      <c r="C153" s="4575" t="s">
        <v>3903</v>
      </c>
      <c r="D153" s="368">
        <v>210000000</v>
      </c>
      <c r="E153" s="368">
        <v>210000000</v>
      </c>
      <c r="F153" s="368"/>
      <c r="G153" s="140">
        <f t="shared" si="10"/>
        <v>100</v>
      </c>
      <c r="H153" s="71">
        <v>100</v>
      </c>
      <c r="I153" s="4637"/>
      <c r="J153" s="4886"/>
      <c r="K153" s="995"/>
      <c r="L153" s="995"/>
    </row>
    <row r="154" spans="1:12" s="27" customFormat="1" ht="18" hidden="1" customHeight="1" x14ac:dyDescent="0.25">
      <c r="A154" s="1027"/>
      <c r="B154" s="1024"/>
      <c r="C154" s="4579" t="s">
        <v>3904</v>
      </c>
      <c r="D154" s="893">
        <v>210000000</v>
      </c>
      <c r="E154" s="893">
        <v>210000000</v>
      </c>
      <c r="F154" s="893"/>
      <c r="G154" s="154">
        <f t="shared" si="10"/>
        <v>100</v>
      </c>
      <c r="H154" s="112">
        <v>100</v>
      </c>
      <c r="I154" s="4639"/>
      <c r="J154" s="4886"/>
      <c r="K154" s="995"/>
      <c r="L154" s="995"/>
    </row>
    <row r="155" spans="1:12" s="27" customFormat="1" ht="9" hidden="1" customHeight="1" x14ac:dyDescent="0.25">
      <c r="A155" s="1027"/>
      <c r="B155" s="1024"/>
      <c r="C155" s="4570"/>
      <c r="D155" s="368"/>
      <c r="E155" s="368"/>
      <c r="F155" s="368"/>
      <c r="G155" s="73"/>
      <c r="H155" s="110"/>
      <c r="I155" s="4637"/>
      <c r="J155" s="4886"/>
      <c r="K155" s="995"/>
      <c r="L155" s="995"/>
    </row>
    <row r="156" spans="1:12" s="27" customFormat="1" ht="18.75" hidden="1" customHeight="1" x14ac:dyDescent="0.25">
      <c r="A156" s="1027"/>
      <c r="B156" s="1024"/>
      <c r="C156" s="4580" t="s">
        <v>658</v>
      </c>
      <c r="D156" s="233">
        <f>SUM(D157+D158)</f>
        <v>1550716252</v>
      </c>
      <c r="E156" s="233">
        <f>SUM(E157+E158)</f>
        <v>1550716252</v>
      </c>
      <c r="F156" s="233"/>
      <c r="G156" s="142">
        <f t="shared" ref="G156:G167" si="11">E156/D156*100</f>
        <v>100</v>
      </c>
      <c r="H156" s="92">
        <f>SUM(H157:H158)/2</f>
        <v>100</v>
      </c>
      <c r="I156" s="4637"/>
      <c r="J156" s="4886"/>
      <c r="K156" s="995"/>
      <c r="L156" s="995"/>
    </row>
    <row r="157" spans="1:12" s="27" customFormat="1" ht="18.75" hidden="1" customHeight="1" x14ac:dyDescent="0.25">
      <c r="A157" s="1027"/>
      <c r="B157" s="1024"/>
      <c r="C157" s="4575" t="s">
        <v>3446</v>
      </c>
      <c r="D157" s="4577">
        <v>1310716252</v>
      </c>
      <c r="E157" s="4581">
        <v>1310716252</v>
      </c>
      <c r="F157" s="4581"/>
      <c r="G157" s="140">
        <f t="shared" si="11"/>
        <v>100</v>
      </c>
      <c r="H157" s="71">
        <v>100</v>
      </c>
      <c r="I157" s="4637"/>
      <c r="J157" s="4886"/>
      <c r="K157" s="995"/>
      <c r="L157" s="995"/>
    </row>
    <row r="158" spans="1:12" s="27" customFormat="1" ht="14.25" hidden="1" customHeight="1" x14ac:dyDescent="0.25">
      <c r="A158" s="1027"/>
      <c r="B158" s="1024"/>
      <c r="C158" s="4575" t="s">
        <v>3447</v>
      </c>
      <c r="D158" s="140">
        <v>240000000</v>
      </c>
      <c r="E158" s="140">
        <v>240000000</v>
      </c>
      <c r="F158" s="140"/>
      <c r="G158" s="140">
        <f t="shared" si="11"/>
        <v>100</v>
      </c>
      <c r="H158" s="71">
        <v>100</v>
      </c>
      <c r="I158" s="4637"/>
      <c r="J158" s="4886"/>
      <c r="K158" s="995"/>
      <c r="L158" s="995"/>
    </row>
    <row r="159" spans="1:12" s="27" customFormat="1" ht="11.25" hidden="1" customHeight="1" x14ac:dyDescent="0.25">
      <c r="A159" s="1027"/>
      <c r="B159" s="1024"/>
      <c r="C159" s="334"/>
      <c r="D159" s="368"/>
      <c r="E159" s="368"/>
      <c r="F159" s="368"/>
      <c r="G159" s="73"/>
      <c r="H159" s="110"/>
      <c r="I159" s="4637"/>
      <c r="J159" s="4886"/>
      <c r="K159" s="995"/>
      <c r="L159" s="995"/>
    </row>
    <row r="160" spans="1:12" s="27" customFormat="1" ht="16.5" hidden="1" customHeight="1" x14ac:dyDescent="0.25">
      <c r="A160" s="1027"/>
      <c r="B160" s="1024"/>
      <c r="C160" s="134" t="s">
        <v>3448</v>
      </c>
      <c r="D160" s="92">
        <f>SUM(D161:D167)</f>
        <v>2760000000</v>
      </c>
      <c r="E160" s="92">
        <f>SUM(E161:E167)</f>
        <v>2520000000</v>
      </c>
      <c r="F160" s="92"/>
      <c r="G160" s="142">
        <f t="shared" si="11"/>
        <v>91.304347826086953</v>
      </c>
      <c r="H160" s="142">
        <f>SUM(H161:H167)/7</f>
        <v>85.714285714285708</v>
      </c>
      <c r="I160" s="4637"/>
      <c r="J160" s="4886"/>
      <c r="K160" s="995"/>
      <c r="L160" s="995"/>
    </row>
    <row r="161" spans="1:12" s="27" customFormat="1" ht="15.75" hidden="1" customHeight="1" x14ac:dyDescent="0.25">
      <c r="A161" s="1027"/>
      <c r="B161" s="1024"/>
      <c r="C161" s="103" t="s">
        <v>6436</v>
      </c>
      <c r="D161" s="140">
        <v>1500000000</v>
      </c>
      <c r="E161" s="140">
        <v>1500000000</v>
      </c>
      <c r="F161" s="140"/>
      <c r="G161" s="140">
        <f t="shared" si="11"/>
        <v>100</v>
      </c>
      <c r="H161" s="140">
        <v>100</v>
      </c>
      <c r="I161" s="4637"/>
      <c r="J161" s="4886"/>
      <c r="K161" s="995"/>
      <c r="L161" s="995"/>
    </row>
    <row r="162" spans="1:12" s="27" customFormat="1" ht="15.75" hidden="1" customHeight="1" x14ac:dyDescent="0.25">
      <c r="A162" s="1027"/>
      <c r="B162" s="1024"/>
      <c r="C162" s="103" t="s">
        <v>3449</v>
      </c>
      <c r="D162" s="140">
        <v>150000000</v>
      </c>
      <c r="E162" s="140">
        <v>0</v>
      </c>
      <c r="F162" s="140"/>
      <c r="G162" s="140">
        <v>0</v>
      </c>
      <c r="H162" s="140">
        <v>0</v>
      </c>
      <c r="I162" s="4637"/>
      <c r="J162" s="4886"/>
      <c r="K162" s="995"/>
      <c r="L162" s="995"/>
    </row>
    <row r="163" spans="1:12" s="27" customFormat="1" ht="15" hidden="1" customHeight="1" x14ac:dyDescent="0.25">
      <c r="A163" s="1027"/>
      <c r="B163" s="1024"/>
      <c r="C163" s="4582" t="s">
        <v>6437</v>
      </c>
      <c r="D163" s="154">
        <v>200000000</v>
      </c>
      <c r="E163" s="140">
        <v>200000000</v>
      </c>
      <c r="F163" s="140"/>
      <c r="G163" s="140">
        <f t="shared" si="11"/>
        <v>100</v>
      </c>
      <c r="H163" s="140">
        <v>100</v>
      </c>
      <c r="I163" s="4637"/>
      <c r="J163" s="4886"/>
      <c r="K163" s="995"/>
      <c r="L163" s="995"/>
    </row>
    <row r="164" spans="1:12" s="27" customFormat="1" ht="15" hidden="1" customHeight="1" x14ac:dyDescent="0.25">
      <c r="A164" s="1027"/>
      <c r="B164" s="1024"/>
      <c r="C164" s="4582" t="s">
        <v>3450</v>
      </c>
      <c r="D164" s="154">
        <v>240000000</v>
      </c>
      <c r="E164" s="140">
        <v>200000000</v>
      </c>
      <c r="F164" s="140"/>
      <c r="G164" s="140">
        <f t="shared" si="11"/>
        <v>83.333333333333343</v>
      </c>
      <c r="H164" s="140">
        <v>100</v>
      </c>
      <c r="I164" s="4637"/>
      <c r="J164" s="4886"/>
      <c r="K164" s="995"/>
      <c r="L164" s="995"/>
    </row>
    <row r="165" spans="1:12" s="27" customFormat="1" ht="16.5" hidden="1" customHeight="1" x14ac:dyDescent="0.25">
      <c r="A165" s="1027"/>
      <c r="B165" s="1024"/>
      <c r="C165" s="4582" t="s">
        <v>3451</v>
      </c>
      <c r="D165" s="154">
        <v>160000000</v>
      </c>
      <c r="E165" s="140">
        <v>160000000</v>
      </c>
      <c r="F165" s="140"/>
      <c r="G165" s="140">
        <f t="shared" si="11"/>
        <v>100</v>
      </c>
      <c r="H165" s="140">
        <v>100</v>
      </c>
      <c r="I165" s="4637"/>
      <c r="J165" s="4886"/>
      <c r="K165" s="995"/>
      <c r="L165" s="995"/>
    </row>
    <row r="166" spans="1:12" s="27" customFormat="1" ht="16.5" hidden="1" customHeight="1" x14ac:dyDescent="0.25">
      <c r="A166" s="1027"/>
      <c r="B166" s="1024"/>
      <c r="C166" s="4583" t="s">
        <v>3453</v>
      </c>
      <c r="D166" s="368">
        <v>360000000</v>
      </c>
      <c r="E166" s="140">
        <v>320000000</v>
      </c>
      <c r="F166" s="140"/>
      <c r="G166" s="140">
        <f t="shared" si="11"/>
        <v>88.888888888888886</v>
      </c>
      <c r="H166" s="140">
        <v>100</v>
      </c>
      <c r="I166" s="4637"/>
      <c r="J166" s="4886"/>
      <c r="K166" s="995"/>
      <c r="L166" s="995"/>
    </row>
    <row r="167" spans="1:12" s="27" customFormat="1" ht="18" hidden="1" customHeight="1" x14ac:dyDescent="0.25">
      <c r="A167" s="1027"/>
      <c r="B167" s="1024"/>
      <c r="C167" s="4582" t="s">
        <v>3452</v>
      </c>
      <c r="D167" s="368">
        <v>150000000</v>
      </c>
      <c r="E167" s="140">
        <v>140000000</v>
      </c>
      <c r="F167" s="140"/>
      <c r="G167" s="140">
        <f t="shared" si="11"/>
        <v>93.333333333333329</v>
      </c>
      <c r="H167" s="140">
        <v>100</v>
      </c>
      <c r="I167" s="4637"/>
      <c r="J167" s="4886"/>
      <c r="K167" s="995"/>
      <c r="L167" s="995"/>
    </row>
    <row r="168" spans="1:12" s="27" customFormat="1" ht="12" hidden="1" customHeight="1" x14ac:dyDescent="0.25">
      <c r="A168" s="1027"/>
      <c r="B168" s="1024"/>
      <c r="C168" s="53"/>
      <c r="D168" s="1955"/>
      <c r="E168" s="1956"/>
      <c r="F168" s="1956"/>
      <c r="G168" s="101"/>
      <c r="H168" s="1956"/>
      <c r="I168" s="4885"/>
      <c r="J168" s="4874"/>
    </row>
    <row r="169" spans="1:12" ht="21.75" hidden="1" customHeight="1" x14ac:dyDescent="0.25">
      <c r="B169" s="1029"/>
      <c r="C169" s="89" t="s">
        <v>332</v>
      </c>
      <c r="D169" s="131">
        <f>D170</f>
        <v>17668752047</v>
      </c>
      <c r="E169" s="131">
        <f>E170</f>
        <v>17668752047</v>
      </c>
      <c r="F169" s="131"/>
      <c r="G169" s="200">
        <f>E169/D169*100</f>
        <v>100</v>
      </c>
      <c r="H169" s="200">
        <f>H170</f>
        <v>100</v>
      </c>
      <c r="I169" s="4856"/>
      <c r="J169" s="4857"/>
    </row>
    <row r="170" spans="1:12" ht="18.75" hidden="1" customHeight="1" x14ac:dyDescent="0.25">
      <c r="B170" s="1024"/>
      <c r="C170" s="1957" t="s">
        <v>333</v>
      </c>
      <c r="D170" s="2384">
        <f>SUM(D171:D173)</f>
        <v>17668752047</v>
      </c>
      <c r="E170" s="2384">
        <f>SUM(E171:E173)</f>
        <v>17668752047</v>
      </c>
      <c r="F170" s="4939"/>
      <c r="G170" s="101">
        <f>E170/D170*100</f>
        <v>100</v>
      </c>
      <c r="H170" s="326">
        <f>SUM(H171:H173)/3</f>
        <v>100</v>
      </c>
      <c r="I170" s="4856"/>
      <c r="J170" s="4857"/>
    </row>
    <row r="171" spans="1:12" s="27" customFormat="1" ht="15.75" hidden="1" customHeight="1" x14ac:dyDescent="0.25">
      <c r="A171" s="1027"/>
      <c r="B171" s="1024"/>
      <c r="C171" s="334" t="s">
        <v>3455</v>
      </c>
      <c r="D171" s="2383">
        <v>11580800000</v>
      </c>
      <c r="E171" s="201">
        <v>11580800000</v>
      </c>
      <c r="F171" s="201"/>
      <c r="G171" s="140">
        <f t="shared" ref="G171:G173" si="12">E171/D171*100</f>
        <v>100</v>
      </c>
      <c r="H171" s="201">
        <v>100</v>
      </c>
      <c r="I171" s="4885"/>
      <c r="J171" s="4874"/>
    </row>
    <row r="172" spans="1:12" s="27" customFormat="1" ht="15.75" hidden="1" customHeight="1" x14ac:dyDescent="0.25">
      <c r="A172" s="1027"/>
      <c r="B172" s="1024"/>
      <c r="C172" s="2385" t="s">
        <v>336</v>
      </c>
      <c r="D172" s="2386">
        <v>750000000</v>
      </c>
      <c r="E172" s="2386">
        <v>750000000</v>
      </c>
      <c r="F172" s="2386"/>
      <c r="G172" s="140">
        <f t="shared" si="12"/>
        <v>100</v>
      </c>
      <c r="H172" s="201">
        <v>100</v>
      </c>
      <c r="I172" s="4885"/>
      <c r="J172" s="4874"/>
    </row>
    <row r="173" spans="1:12" s="27" customFormat="1" ht="15.75" hidden="1" customHeight="1" x14ac:dyDescent="0.25">
      <c r="A173" s="1027"/>
      <c r="B173" s="1024"/>
      <c r="C173" s="334" t="s">
        <v>337</v>
      </c>
      <c r="D173" s="2383">
        <v>5337952047</v>
      </c>
      <c r="E173" s="73">
        <v>5337952047</v>
      </c>
      <c r="F173" s="73"/>
      <c r="G173" s="140">
        <f t="shared" si="12"/>
        <v>100</v>
      </c>
      <c r="H173" s="201">
        <v>100</v>
      </c>
      <c r="I173" s="4885"/>
      <c r="J173" s="4874"/>
    </row>
    <row r="174" spans="1:12" ht="16.5" hidden="1" customHeight="1" x14ac:dyDescent="0.25">
      <c r="B174" s="1024"/>
      <c r="C174" s="53"/>
      <c r="D174" s="1956"/>
      <c r="E174" s="1956"/>
      <c r="F174" s="1956"/>
      <c r="G174" s="101"/>
      <c r="H174" s="1956"/>
      <c r="I174" s="4856"/>
      <c r="J174" s="4857"/>
    </row>
    <row r="175" spans="1:12" ht="15.75" customHeight="1" x14ac:dyDescent="0.25">
      <c r="B175" s="2455"/>
      <c r="C175" s="422" t="s">
        <v>353</v>
      </c>
      <c r="D175" s="2382">
        <f>SUM(D177+D229+D233+D237+D241+D245+D249+D253+D257)</f>
        <v>46804114400</v>
      </c>
      <c r="E175" s="2382">
        <f>SUM(E177+E229+E233+E237+E241+E245+E249+E253+E257)</f>
        <v>44752502024</v>
      </c>
      <c r="F175" s="1900">
        <f>D175-E175</f>
        <v>2051612376</v>
      </c>
      <c r="G175" s="424">
        <f>E175/D175*100</f>
        <v>95.616598236500337</v>
      </c>
      <c r="H175" s="424">
        <f>SUM(H177+H229+H233+H237+H241+H245+H249+H253+H257)/9</f>
        <v>99.754346182917615</v>
      </c>
      <c r="I175" s="4885"/>
      <c r="J175" s="4857"/>
    </row>
    <row r="176" spans="1:12" ht="8.25" hidden="1" customHeight="1" x14ac:dyDescent="0.25">
      <c r="B176" s="1024"/>
      <c r="C176" s="53"/>
      <c r="D176" s="1955"/>
      <c r="E176" s="348"/>
      <c r="F176" s="1929"/>
      <c r="G176" s="326"/>
      <c r="H176" s="348"/>
      <c r="I176" s="4856"/>
      <c r="J176" s="4857"/>
    </row>
    <row r="177" spans="1:12" s="27" customFormat="1" ht="15.75" hidden="1" customHeight="1" x14ac:dyDescent="0.25">
      <c r="A177" s="1027"/>
      <c r="B177" s="1029"/>
      <c r="C177" s="56" t="s">
        <v>354</v>
      </c>
      <c r="D177" s="200">
        <f>SUM(D178+D187+D201+D208+D213+D222+D225)</f>
        <v>38082792400</v>
      </c>
      <c r="E177" s="200">
        <f>SUM(E178+E187+E201+E208+E213+E222+E225)</f>
        <v>36331180024</v>
      </c>
      <c r="F177" s="200"/>
      <c r="G177" s="200">
        <f>E177/D177*100</f>
        <v>95.400514863505649</v>
      </c>
      <c r="H177" s="131">
        <f>SUM(H178+H187+H201+H208+H213+H222+H225)/7</f>
        <v>97.789115646258509</v>
      </c>
      <c r="I177" s="4885"/>
      <c r="J177" s="4874"/>
    </row>
    <row r="178" spans="1:12" s="27" customFormat="1" ht="15.75" hidden="1" customHeight="1" x14ac:dyDescent="0.25">
      <c r="A178" s="1027"/>
      <c r="B178" s="1024"/>
      <c r="C178" s="59" t="s">
        <v>355</v>
      </c>
      <c r="D178" s="209">
        <f>SUM(D179:D185)</f>
        <v>2985416000</v>
      </c>
      <c r="E178" s="209">
        <f>SUM(E179:E185)</f>
        <v>2840437900</v>
      </c>
      <c r="F178" s="209"/>
      <c r="G178" s="209">
        <f>E178/D178*100</f>
        <v>95.143789006289239</v>
      </c>
      <c r="H178" s="233">
        <f>SUM(H179:H185)/7</f>
        <v>92.857142857142861</v>
      </c>
      <c r="I178" s="4637"/>
      <c r="J178" s="4886"/>
      <c r="K178" s="995"/>
      <c r="L178" s="995"/>
    </row>
    <row r="179" spans="1:12" s="27" customFormat="1" ht="17.25" hidden="1" customHeight="1" x14ac:dyDescent="0.25">
      <c r="A179" s="1027"/>
      <c r="B179" s="1024"/>
      <c r="C179" s="61" t="s">
        <v>356</v>
      </c>
      <c r="D179" s="900">
        <v>2087184000</v>
      </c>
      <c r="E179" s="206">
        <v>2075760000</v>
      </c>
      <c r="F179" s="206"/>
      <c r="G179" s="73">
        <f t="shared" ref="G179:G185" si="13">E179/D179*100</f>
        <v>99.452659660097055</v>
      </c>
      <c r="H179" s="140">
        <v>100</v>
      </c>
      <c r="I179" s="4637"/>
      <c r="J179" s="4886"/>
      <c r="K179" s="995"/>
      <c r="L179" s="995"/>
    </row>
    <row r="180" spans="1:12" s="27" customFormat="1" ht="15.75" hidden="1" customHeight="1" x14ac:dyDescent="0.25">
      <c r="A180" s="1027"/>
      <c r="B180" s="1024"/>
      <c r="C180" s="61" t="s">
        <v>357</v>
      </c>
      <c r="D180" s="4584">
        <v>50000000</v>
      </c>
      <c r="E180" s="140">
        <v>49950000</v>
      </c>
      <c r="F180" s="140"/>
      <c r="G180" s="73">
        <f t="shared" si="13"/>
        <v>99.9</v>
      </c>
      <c r="H180" s="140">
        <v>100</v>
      </c>
      <c r="I180" s="4637"/>
      <c r="J180" s="4886"/>
      <c r="K180" s="995"/>
      <c r="L180" s="995"/>
    </row>
    <row r="181" spans="1:12" s="27" customFormat="1" ht="17.25" hidden="1" customHeight="1" x14ac:dyDescent="0.25">
      <c r="A181" s="1027"/>
      <c r="B181" s="1024"/>
      <c r="C181" s="4585" t="s">
        <v>358</v>
      </c>
      <c r="D181" s="4586">
        <v>308640000</v>
      </c>
      <c r="E181" s="140">
        <v>175135900</v>
      </c>
      <c r="F181" s="140"/>
      <c r="G181" s="73">
        <f t="shared" si="13"/>
        <v>56.744394764126497</v>
      </c>
      <c r="H181" s="140">
        <v>50</v>
      </c>
      <c r="I181" s="4637"/>
      <c r="J181" s="4886"/>
      <c r="K181" s="995"/>
      <c r="L181" s="995"/>
    </row>
    <row r="182" spans="1:12" s="27" customFormat="1" ht="16.5" hidden="1" customHeight="1" x14ac:dyDescent="0.25">
      <c r="A182" s="1027"/>
      <c r="B182" s="1024"/>
      <c r="C182" s="4587" t="s">
        <v>359</v>
      </c>
      <c r="D182" s="4584">
        <v>129367000</v>
      </c>
      <c r="E182" s="140">
        <v>129367000</v>
      </c>
      <c r="F182" s="140"/>
      <c r="G182" s="73">
        <f t="shared" si="13"/>
        <v>100</v>
      </c>
      <c r="H182" s="140">
        <v>100</v>
      </c>
      <c r="I182" s="4637"/>
      <c r="J182" s="4886"/>
      <c r="K182" s="995"/>
      <c r="L182" s="995"/>
    </row>
    <row r="183" spans="1:12" s="27" customFormat="1" ht="15" hidden="1" customHeight="1" x14ac:dyDescent="0.25">
      <c r="A183" s="1027"/>
      <c r="B183" s="1024"/>
      <c r="C183" s="4585" t="s">
        <v>6248</v>
      </c>
      <c r="D183" s="4588">
        <v>116392000</v>
      </c>
      <c r="E183" s="206">
        <v>116392000</v>
      </c>
      <c r="F183" s="206"/>
      <c r="G183" s="73">
        <f t="shared" si="13"/>
        <v>100</v>
      </c>
      <c r="H183" s="149">
        <v>100</v>
      </c>
      <c r="I183" s="4637"/>
      <c r="J183" s="4886"/>
      <c r="K183" s="995"/>
      <c r="L183" s="995"/>
    </row>
    <row r="184" spans="1:12" s="27" customFormat="1" ht="16.5" hidden="1" customHeight="1" x14ac:dyDescent="0.25">
      <c r="A184" s="1027"/>
      <c r="B184" s="1024"/>
      <c r="C184" s="4587" t="s">
        <v>360</v>
      </c>
      <c r="D184" s="4584">
        <v>132716000</v>
      </c>
      <c r="E184" s="140">
        <v>132716000</v>
      </c>
      <c r="F184" s="140"/>
      <c r="G184" s="73">
        <f t="shared" si="13"/>
        <v>100</v>
      </c>
      <c r="H184" s="140">
        <v>100</v>
      </c>
      <c r="I184" s="4637"/>
      <c r="J184" s="4886"/>
      <c r="K184" s="995"/>
      <c r="L184" s="995"/>
    </row>
    <row r="185" spans="1:12" s="27" customFormat="1" ht="16.5" hidden="1" customHeight="1" x14ac:dyDescent="0.25">
      <c r="A185" s="1027"/>
      <c r="B185" s="1024"/>
      <c r="C185" s="4589" t="s">
        <v>361</v>
      </c>
      <c r="D185" s="4586">
        <v>161117000</v>
      </c>
      <c r="E185" s="901">
        <v>161117000</v>
      </c>
      <c r="F185" s="901"/>
      <c r="G185" s="158">
        <f t="shared" si="13"/>
        <v>100</v>
      </c>
      <c r="H185" s="3940">
        <v>100</v>
      </c>
      <c r="I185" s="4638"/>
      <c r="J185" s="4886"/>
      <c r="K185" s="995"/>
      <c r="L185" s="995"/>
    </row>
    <row r="186" spans="1:12" s="27" customFormat="1" ht="10.5" hidden="1" customHeight="1" x14ac:dyDescent="0.25">
      <c r="A186" s="1027"/>
      <c r="B186" s="1904"/>
      <c r="C186" s="61"/>
      <c r="D186" s="4590"/>
      <c r="E186" s="197"/>
      <c r="F186" s="197"/>
      <c r="G186" s="197"/>
      <c r="H186" s="197"/>
      <c r="I186" s="4637"/>
      <c r="J186" s="4886"/>
      <c r="K186" s="995"/>
      <c r="L186" s="995"/>
    </row>
    <row r="187" spans="1:12" s="27" customFormat="1" ht="18" hidden="1" customHeight="1" x14ac:dyDescent="0.25">
      <c r="A187" s="1027"/>
      <c r="B187" s="1024"/>
      <c r="C187" s="69" t="s">
        <v>362</v>
      </c>
      <c r="D187" s="4591">
        <f>SUM(D188:D199)</f>
        <v>28962749600</v>
      </c>
      <c r="E187" s="4591">
        <f>SUM(E188:E199)</f>
        <v>27490193600</v>
      </c>
      <c r="F187" s="4591"/>
      <c r="G187" s="72">
        <f>E187/D187*100</f>
        <v>94.915689910877802</v>
      </c>
      <c r="H187" s="72">
        <f>SUM(H188:H200)/12</f>
        <v>91.666666666666671</v>
      </c>
      <c r="I187" s="4639"/>
      <c r="J187" s="4886"/>
      <c r="K187" s="995"/>
      <c r="L187" s="995"/>
    </row>
    <row r="188" spans="1:12" s="27" customFormat="1" ht="17.25" hidden="1" customHeight="1" x14ac:dyDescent="0.25">
      <c r="A188" s="1027"/>
      <c r="B188" s="1024"/>
      <c r="C188" s="61" t="s">
        <v>363</v>
      </c>
      <c r="D188" s="4584">
        <v>2751235800</v>
      </c>
      <c r="E188" s="140">
        <v>2230975000</v>
      </c>
      <c r="F188" s="133"/>
      <c r="G188" s="158">
        <f t="shared" ref="G188:G199" si="14">E188/D188*100</f>
        <v>81.08992329919522</v>
      </c>
      <c r="H188" s="140">
        <v>100</v>
      </c>
      <c r="I188" s="4637"/>
      <c r="J188" s="4886"/>
      <c r="K188" s="995"/>
      <c r="L188" s="995"/>
    </row>
    <row r="189" spans="1:12" s="27" customFormat="1" ht="16.5" hidden="1" customHeight="1" x14ac:dyDescent="0.25">
      <c r="A189" s="1027"/>
      <c r="B189" s="1024"/>
      <c r="C189" s="4585" t="s">
        <v>364</v>
      </c>
      <c r="D189" s="4584">
        <v>544000000</v>
      </c>
      <c r="E189" s="206">
        <v>543175000</v>
      </c>
      <c r="F189" s="206"/>
      <c r="G189" s="73">
        <f t="shared" si="14"/>
        <v>99.848345588235304</v>
      </c>
      <c r="H189" s="140">
        <v>100</v>
      </c>
      <c r="I189" s="4637"/>
      <c r="J189" s="4886"/>
      <c r="K189" s="995"/>
      <c r="L189" s="995"/>
    </row>
    <row r="190" spans="1:12" s="27" customFormat="1" ht="16.5" hidden="1" customHeight="1" x14ac:dyDescent="0.25">
      <c r="A190" s="1027"/>
      <c r="B190" s="1024"/>
      <c r="C190" s="61" t="s">
        <v>365</v>
      </c>
      <c r="D190" s="4584">
        <v>11928967200</v>
      </c>
      <c r="E190" s="206">
        <v>11040957000</v>
      </c>
      <c r="F190" s="206"/>
      <c r="G190" s="73">
        <f t="shared" si="14"/>
        <v>92.55585009907648</v>
      </c>
      <c r="H190" s="140">
        <v>100</v>
      </c>
      <c r="I190" s="4637"/>
      <c r="J190" s="4886"/>
      <c r="K190" s="995"/>
      <c r="L190" s="995"/>
    </row>
    <row r="191" spans="1:12" s="27" customFormat="1" ht="16.5" hidden="1" customHeight="1" x14ac:dyDescent="0.25">
      <c r="A191" s="1027"/>
      <c r="B191" s="1024"/>
      <c r="C191" s="61" t="s">
        <v>366</v>
      </c>
      <c r="D191" s="4584">
        <v>501190000</v>
      </c>
      <c r="E191" s="206">
        <v>445990000</v>
      </c>
      <c r="F191" s="206"/>
      <c r="G191" s="73">
        <f t="shared" si="14"/>
        <v>88.986212813503869</v>
      </c>
      <c r="H191" s="73">
        <v>100</v>
      </c>
      <c r="I191" s="4637"/>
      <c r="J191" s="4886"/>
      <c r="K191" s="995"/>
      <c r="L191" s="995"/>
    </row>
    <row r="192" spans="1:12" s="27" customFormat="1" ht="15.75" hidden="1" customHeight="1" x14ac:dyDescent="0.25">
      <c r="A192" s="1027"/>
      <c r="B192" s="1024"/>
      <c r="C192" s="66" t="s">
        <v>367</v>
      </c>
      <c r="D192" s="4586">
        <v>8260000</v>
      </c>
      <c r="E192" s="133">
        <v>0</v>
      </c>
      <c r="F192" s="133"/>
      <c r="G192" s="133">
        <v>0</v>
      </c>
      <c r="H192" s="133">
        <v>0</v>
      </c>
      <c r="I192" s="4638"/>
      <c r="J192" s="4886"/>
      <c r="K192" s="995"/>
      <c r="L192" s="995"/>
    </row>
    <row r="193" spans="1:12" s="27" customFormat="1" ht="17.25" hidden="1" customHeight="1" x14ac:dyDescent="0.25">
      <c r="A193" s="1027"/>
      <c r="B193" s="1904"/>
      <c r="C193" s="61" t="s">
        <v>368</v>
      </c>
      <c r="D193" s="4584">
        <v>86380000</v>
      </c>
      <c r="E193" s="206">
        <v>86380000</v>
      </c>
      <c r="F193" s="206"/>
      <c r="G193" s="73">
        <f t="shared" si="14"/>
        <v>100</v>
      </c>
      <c r="H193" s="149">
        <v>100</v>
      </c>
      <c r="I193" s="4637"/>
      <c r="J193" s="4886"/>
      <c r="K193" s="995"/>
      <c r="L193" s="995"/>
    </row>
    <row r="194" spans="1:12" s="27" customFormat="1" ht="16.5" hidden="1" customHeight="1" x14ac:dyDescent="0.25">
      <c r="A194" s="1027"/>
      <c r="B194" s="1024"/>
      <c r="C194" s="329" t="s">
        <v>369</v>
      </c>
      <c r="D194" s="4592">
        <v>216293500</v>
      </c>
      <c r="E194" s="4593">
        <v>216293500</v>
      </c>
      <c r="F194" s="4593"/>
      <c r="G194" s="194">
        <f t="shared" si="14"/>
        <v>100</v>
      </c>
      <c r="H194" s="374">
        <v>100</v>
      </c>
      <c r="I194" s="4639"/>
      <c r="J194" s="4886"/>
      <c r="K194" s="995"/>
      <c r="L194" s="995"/>
    </row>
    <row r="195" spans="1:12" s="27" customFormat="1" ht="18.75" hidden="1" customHeight="1" x14ac:dyDescent="0.25">
      <c r="A195" s="1027"/>
      <c r="B195" s="1024"/>
      <c r="C195" s="61" t="s">
        <v>370</v>
      </c>
      <c r="D195" s="4584">
        <v>79648000</v>
      </c>
      <c r="E195" s="206">
        <v>79648000</v>
      </c>
      <c r="F195" s="206"/>
      <c r="G195" s="73">
        <f t="shared" si="14"/>
        <v>100</v>
      </c>
      <c r="H195" s="73">
        <v>100</v>
      </c>
      <c r="I195" s="4637"/>
      <c r="J195" s="4886"/>
      <c r="K195" s="995"/>
      <c r="L195" s="995"/>
    </row>
    <row r="196" spans="1:12" s="27" customFormat="1" ht="16.5" hidden="1" customHeight="1" x14ac:dyDescent="0.25">
      <c r="A196" s="1027"/>
      <c r="B196" s="1024"/>
      <c r="C196" s="61" t="s">
        <v>371</v>
      </c>
      <c r="D196" s="191">
        <v>215352000</v>
      </c>
      <c r="E196" s="206">
        <v>215352000</v>
      </c>
      <c r="F196" s="206"/>
      <c r="G196" s="73">
        <f t="shared" si="14"/>
        <v>100</v>
      </c>
      <c r="H196" s="73">
        <v>100</v>
      </c>
      <c r="I196" s="4637"/>
      <c r="J196" s="4886"/>
      <c r="K196" s="995"/>
      <c r="L196" s="995"/>
    </row>
    <row r="197" spans="1:12" s="27" customFormat="1" ht="18.75" hidden="1" customHeight="1" x14ac:dyDescent="0.25">
      <c r="A197" s="1027"/>
      <c r="B197" s="1024"/>
      <c r="C197" s="61" t="s">
        <v>372</v>
      </c>
      <c r="D197" s="191">
        <v>4371261300</v>
      </c>
      <c r="E197" s="206">
        <v>4371261300</v>
      </c>
      <c r="F197" s="206"/>
      <c r="G197" s="73">
        <f t="shared" si="14"/>
        <v>100</v>
      </c>
      <c r="H197" s="73">
        <v>100</v>
      </c>
      <c r="I197" s="4637"/>
      <c r="J197" s="4886"/>
      <c r="K197" s="995"/>
      <c r="L197" s="995"/>
    </row>
    <row r="198" spans="1:12" s="27" customFormat="1" ht="19.5" hidden="1" customHeight="1" x14ac:dyDescent="0.25">
      <c r="A198" s="1027"/>
      <c r="B198" s="1024"/>
      <c r="C198" s="61" t="s">
        <v>373</v>
      </c>
      <c r="D198" s="4584">
        <v>8034979800</v>
      </c>
      <c r="E198" s="206">
        <v>8034979800</v>
      </c>
      <c r="F198" s="206"/>
      <c r="G198" s="73">
        <f t="shared" si="14"/>
        <v>100</v>
      </c>
      <c r="H198" s="73">
        <v>100</v>
      </c>
      <c r="I198" s="4637"/>
      <c r="J198" s="4886"/>
      <c r="K198" s="995"/>
      <c r="L198" s="995"/>
    </row>
    <row r="199" spans="1:12" s="27" customFormat="1" ht="18" hidden="1" customHeight="1" x14ac:dyDescent="0.25">
      <c r="A199" s="1027"/>
      <c r="B199" s="1024"/>
      <c r="C199" s="61" t="s">
        <v>374</v>
      </c>
      <c r="D199" s="4584">
        <v>225182000</v>
      </c>
      <c r="E199" s="206">
        <v>225182000</v>
      </c>
      <c r="F199" s="206"/>
      <c r="G199" s="73">
        <f t="shared" si="14"/>
        <v>100</v>
      </c>
      <c r="H199" s="73">
        <v>100</v>
      </c>
      <c r="I199" s="4637"/>
      <c r="J199" s="4886"/>
      <c r="K199" s="995"/>
      <c r="L199" s="995"/>
    </row>
    <row r="200" spans="1:12" s="27" customFormat="1" ht="10.5" hidden="1" customHeight="1" x14ac:dyDescent="0.25">
      <c r="A200" s="1027"/>
      <c r="B200" s="1993"/>
      <c r="C200" s="98"/>
      <c r="D200" s="4573"/>
      <c r="E200" s="365"/>
      <c r="F200" s="365"/>
      <c r="G200" s="73"/>
      <c r="H200" s="197"/>
      <c r="I200" s="4637"/>
      <c r="J200" s="4886"/>
      <c r="K200" s="995"/>
      <c r="L200" s="995"/>
    </row>
    <row r="201" spans="1:12" s="27" customFormat="1" ht="18.75" hidden="1" customHeight="1" x14ac:dyDescent="0.25">
      <c r="A201" s="1027"/>
      <c r="B201" s="489"/>
      <c r="C201" s="63" t="s">
        <v>375</v>
      </c>
      <c r="D201" s="92">
        <f>SUM(D202:D206)</f>
        <v>2226225000</v>
      </c>
      <c r="E201" s="92">
        <f>SUM(E202:E206)</f>
        <v>2226225000</v>
      </c>
      <c r="F201" s="92"/>
      <c r="G201" s="157">
        <f>E201/D201*100</f>
        <v>100</v>
      </c>
      <c r="H201" s="401">
        <f>SUM(H202:H206)/5</f>
        <v>100</v>
      </c>
      <c r="I201" s="4642"/>
      <c r="J201" s="4889">
        <f>SUM(J202:J206)</f>
        <v>0</v>
      </c>
      <c r="K201" s="995"/>
      <c r="L201" s="995"/>
    </row>
    <row r="202" spans="1:12" s="27" customFormat="1" ht="16.5" hidden="1" customHeight="1" x14ac:dyDescent="0.25">
      <c r="A202" s="1027"/>
      <c r="B202" s="1024"/>
      <c r="C202" s="4585" t="s">
        <v>376</v>
      </c>
      <c r="D202" s="4594">
        <v>1185210000</v>
      </c>
      <c r="E202" s="206">
        <v>1185210000</v>
      </c>
      <c r="F202" s="206"/>
      <c r="G202" s="73">
        <f t="shared" ref="G202:G220" si="15">E202/D202*100</f>
        <v>100</v>
      </c>
      <c r="H202" s="140">
        <v>100</v>
      </c>
      <c r="I202" s="4637"/>
      <c r="J202" s="4886"/>
      <c r="K202" s="995"/>
      <c r="L202" s="995"/>
    </row>
    <row r="203" spans="1:12" s="27" customFormat="1" ht="19.5" hidden="1" customHeight="1" x14ac:dyDescent="0.25">
      <c r="A203" s="1027"/>
      <c r="B203" s="1024"/>
      <c r="C203" s="4587" t="s">
        <v>377</v>
      </c>
      <c r="D203" s="4595">
        <v>122167000</v>
      </c>
      <c r="E203" s="140">
        <v>122167000</v>
      </c>
      <c r="F203" s="140"/>
      <c r="G203" s="73">
        <f t="shared" si="15"/>
        <v>100</v>
      </c>
      <c r="H203" s="140">
        <v>100</v>
      </c>
      <c r="I203" s="4637"/>
      <c r="J203" s="4886"/>
      <c r="K203" s="995"/>
      <c r="L203" s="995"/>
    </row>
    <row r="204" spans="1:12" s="27" customFormat="1" ht="15" hidden="1" customHeight="1" x14ac:dyDescent="0.25">
      <c r="A204" s="1027"/>
      <c r="B204" s="1024"/>
      <c r="C204" s="4587" t="s">
        <v>378</v>
      </c>
      <c r="D204" s="4595">
        <v>108012000</v>
      </c>
      <c r="E204" s="140">
        <v>108012000</v>
      </c>
      <c r="F204" s="140"/>
      <c r="G204" s="73">
        <f t="shared" si="15"/>
        <v>100</v>
      </c>
      <c r="H204" s="140">
        <v>100</v>
      </c>
      <c r="I204" s="4637"/>
      <c r="J204" s="4886"/>
      <c r="K204" s="995"/>
      <c r="L204" s="995"/>
    </row>
    <row r="205" spans="1:12" s="27" customFormat="1" ht="14.25" hidden="1" customHeight="1" x14ac:dyDescent="0.25">
      <c r="A205" s="1027"/>
      <c r="B205" s="1024"/>
      <c r="C205" s="4587" t="s">
        <v>379</v>
      </c>
      <c r="D205" s="4595">
        <v>92477000</v>
      </c>
      <c r="E205" s="140">
        <v>92477000</v>
      </c>
      <c r="F205" s="140"/>
      <c r="G205" s="73">
        <f t="shared" si="15"/>
        <v>100</v>
      </c>
      <c r="H205" s="140">
        <v>100</v>
      </c>
      <c r="I205" s="4637"/>
      <c r="J205" s="4886"/>
      <c r="K205" s="995"/>
      <c r="L205" s="995"/>
    </row>
    <row r="206" spans="1:12" s="27" customFormat="1" ht="18" hidden="1" customHeight="1" x14ac:dyDescent="0.25">
      <c r="A206" s="1027"/>
      <c r="B206" s="1024"/>
      <c r="C206" s="4587" t="s">
        <v>380</v>
      </c>
      <c r="D206" s="4595">
        <v>718359000</v>
      </c>
      <c r="E206" s="206">
        <v>718359000</v>
      </c>
      <c r="F206" s="206"/>
      <c r="G206" s="73">
        <f t="shared" si="15"/>
        <v>100</v>
      </c>
      <c r="H206" s="73">
        <v>100</v>
      </c>
      <c r="I206" s="4637"/>
      <c r="J206" s="4886"/>
      <c r="K206" s="995"/>
      <c r="L206" s="995"/>
    </row>
    <row r="207" spans="1:12" s="27" customFormat="1" ht="10.5" hidden="1" customHeight="1" x14ac:dyDescent="0.25">
      <c r="A207" s="1027"/>
      <c r="B207" s="1024"/>
      <c r="C207" s="4585"/>
      <c r="D207" s="4596"/>
      <c r="E207" s="365"/>
      <c r="F207" s="365"/>
      <c r="G207" s="73"/>
      <c r="H207" s="197"/>
      <c r="I207" s="4637"/>
      <c r="J207" s="4886"/>
      <c r="K207" s="995"/>
      <c r="L207" s="995"/>
    </row>
    <row r="208" spans="1:12" s="27" customFormat="1" ht="15.75" hidden="1" customHeight="1" x14ac:dyDescent="0.25">
      <c r="A208" s="1027"/>
      <c r="B208" s="1024"/>
      <c r="C208" s="75" t="s">
        <v>381</v>
      </c>
      <c r="D208" s="92">
        <f>SUM(D209:D211)</f>
        <v>1413479000</v>
      </c>
      <c r="E208" s="92">
        <f>SUM(E209:E211)</f>
        <v>1353007724</v>
      </c>
      <c r="F208" s="92"/>
      <c r="G208" s="157">
        <f t="shared" si="15"/>
        <v>95.721812916923426</v>
      </c>
      <c r="H208" s="157">
        <f>SUM(H209:H211)/3</f>
        <v>100</v>
      </c>
      <c r="I208" s="4637"/>
      <c r="J208" s="4886"/>
      <c r="K208" s="995"/>
      <c r="L208" s="995"/>
    </row>
    <row r="209" spans="1:12" s="27" customFormat="1" ht="18" hidden="1" customHeight="1" x14ac:dyDescent="0.25">
      <c r="A209" s="1027"/>
      <c r="B209" s="1024"/>
      <c r="C209" s="61" t="s">
        <v>382</v>
      </c>
      <c r="D209" s="935">
        <v>390092000</v>
      </c>
      <c r="E209" s="140">
        <v>380092000</v>
      </c>
      <c r="F209" s="140"/>
      <c r="G209" s="73">
        <f t="shared" si="15"/>
        <v>97.436502158465188</v>
      </c>
      <c r="H209" s="149">
        <v>100</v>
      </c>
      <c r="I209" s="4637"/>
      <c r="J209" s="4886"/>
      <c r="K209" s="995"/>
      <c r="L209" s="995"/>
    </row>
    <row r="210" spans="1:12" s="27" customFormat="1" ht="17.25" hidden="1" customHeight="1" x14ac:dyDescent="0.25">
      <c r="A210" s="1027"/>
      <c r="B210" s="1024"/>
      <c r="C210" s="61" t="s">
        <v>383</v>
      </c>
      <c r="D210" s="4584">
        <v>784100000</v>
      </c>
      <c r="E210" s="206">
        <v>733628724</v>
      </c>
      <c r="F210" s="206"/>
      <c r="G210" s="73">
        <f t="shared" si="15"/>
        <v>93.563158270628747</v>
      </c>
      <c r="H210" s="140">
        <v>100</v>
      </c>
      <c r="I210" s="4637"/>
      <c r="J210" s="4886"/>
      <c r="K210" s="995"/>
      <c r="L210" s="995"/>
    </row>
    <row r="211" spans="1:12" s="27" customFormat="1" ht="16.5" hidden="1" customHeight="1" x14ac:dyDescent="0.25">
      <c r="A211" s="1027"/>
      <c r="B211" s="1024"/>
      <c r="C211" s="61" t="s">
        <v>384</v>
      </c>
      <c r="D211" s="4584">
        <v>239287000</v>
      </c>
      <c r="E211" s="206">
        <v>239287000</v>
      </c>
      <c r="F211" s="206"/>
      <c r="G211" s="73">
        <f t="shared" si="15"/>
        <v>100</v>
      </c>
      <c r="H211" s="149">
        <v>100</v>
      </c>
      <c r="I211" s="4637"/>
      <c r="J211" s="4886"/>
      <c r="K211" s="995"/>
      <c r="L211" s="995"/>
    </row>
    <row r="212" spans="1:12" s="27" customFormat="1" ht="10.5" hidden="1" customHeight="1" x14ac:dyDescent="0.25">
      <c r="A212" s="1027"/>
      <c r="B212" s="1024"/>
      <c r="C212" s="61"/>
      <c r="D212" s="4597"/>
      <c r="E212" s="365"/>
      <c r="F212" s="365"/>
      <c r="G212" s="73"/>
      <c r="H212" s="197"/>
      <c r="I212" s="4637"/>
      <c r="J212" s="4886"/>
      <c r="K212" s="995"/>
      <c r="L212" s="995"/>
    </row>
    <row r="213" spans="1:12" s="27" customFormat="1" ht="18.75" hidden="1" customHeight="1" x14ac:dyDescent="0.25">
      <c r="A213" s="1027"/>
      <c r="B213" s="1024"/>
      <c r="C213" s="63" t="s">
        <v>385</v>
      </c>
      <c r="D213" s="328">
        <f>SUM(D214:D220)</f>
        <v>1931738800</v>
      </c>
      <c r="E213" s="328">
        <f>SUM(E214:E220)</f>
        <v>1858131800</v>
      </c>
      <c r="F213" s="328"/>
      <c r="G213" s="157">
        <f t="shared" si="15"/>
        <v>96.189598718004731</v>
      </c>
      <c r="H213" s="157">
        <f>SUM(H214:H220)/7</f>
        <v>100</v>
      </c>
      <c r="I213" s="4637"/>
      <c r="J213" s="4886"/>
      <c r="K213" s="995"/>
      <c r="L213" s="995"/>
    </row>
    <row r="214" spans="1:12" s="27" customFormat="1" ht="18" hidden="1" customHeight="1" x14ac:dyDescent="0.25">
      <c r="A214" s="1027"/>
      <c r="B214" s="1024"/>
      <c r="C214" s="61" t="s">
        <v>386</v>
      </c>
      <c r="D214" s="935">
        <v>110372000</v>
      </c>
      <c r="E214" s="206">
        <v>110372000</v>
      </c>
      <c r="F214" s="206"/>
      <c r="G214" s="73">
        <f t="shared" si="15"/>
        <v>100</v>
      </c>
      <c r="H214" s="73">
        <v>100</v>
      </c>
      <c r="I214" s="4637"/>
      <c r="J214" s="4886"/>
      <c r="K214" s="995"/>
      <c r="L214" s="995"/>
    </row>
    <row r="215" spans="1:12" s="27" customFormat="1" ht="17.25" hidden="1" customHeight="1" x14ac:dyDescent="0.25">
      <c r="A215" s="1027"/>
      <c r="B215" s="1024"/>
      <c r="C215" s="61" t="s">
        <v>387</v>
      </c>
      <c r="D215" s="935">
        <v>227541000</v>
      </c>
      <c r="E215" s="140">
        <v>160731000</v>
      </c>
      <c r="F215" s="140"/>
      <c r="G215" s="73">
        <f t="shared" si="15"/>
        <v>70.638258599549104</v>
      </c>
      <c r="H215" s="73">
        <v>100</v>
      </c>
      <c r="I215" s="4637"/>
      <c r="J215" s="4886"/>
      <c r="K215" s="995"/>
      <c r="L215" s="995"/>
    </row>
    <row r="216" spans="1:12" s="27" customFormat="1" ht="16.5" hidden="1" customHeight="1" x14ac:dyDescent="0.25">
      <c r="A216" s="1027"/>
      <c r="B216" s="1024"/>
      <c r="C216" s="61" t="s">
        <v>388</v>
      </c>
      <c r="D216" s="4584">
        <v>164920000</v>
      </c>
      <c r="E216" s="140">
        <v>164170000</v>
      </c>
      <c r="F216" s="140"/>
      <c r="G216" s="73">
        <f t="shared" si="15"/>
        <v>99.545234052874122</v>
      </c>
      <c r="H216" s="73">
        <v>100</v>
      </c>
      <c r="I216" s="4637"/>
      <c r="J216" s="4886"/>
      <c r="K216" s="995"/>
      <c r="L216" s="995"/>
    </row>
    <row r="217" spans="1:12" s="27" customFormat="1" ht="16.5" hidden="1" customHeight="1" x14ac:dyDescent="0.25">
      <c r="A217" s="1027"/>
      <c r="B217" s="1024"/>
      <c r="C217" s="61" t="s">
        <v>389</v>
      </c>
      <c r="D217" s="4584">
        <v>605916800</v>
      </c>
      <c r="E217" s="206">
        <v>599869800</v>
      </c>
      <c r="F217" s="206"/>
      <c r="G217" s="73">
        <f t="shared" si="15"/>
        <v>99.00200819650486</v>
      </c>
      <c r="H217" s="73">
        <v>100</v>
      </c>
      <c r="I217" s="4637"/>
      <c r="J217" s="4886"/>
      <c r="K217" s="995"/>
      <c r="L217" s="995"/>
    </row>
    <row r="218" spans="1:12" s="27" customFormat="1" ht="15.75" hidden="1" customHeight="1" x14ac:dyDescent="0.25">
      <c r="A218" s="1027"/>
      <c r="B218" s="1024"/>
      <c r="C218" s="61" t="s">
        <v>390</v>
      </c>
      <c r="D218" s="4584">
        <v>171475000</v>
      </c>
      <c r="E218" s="206">
        <v>171475000</v>
      </c>
      <c r="F218" s="206"/>
      <c r="G218" s="73">
        <f t="shared" si="15"/>
        <v>100</v>
      </c>
      <c r="H218" s="140">
        <v>100</v>
      </c>
      <c r="I218" s="4637"/>
      <c r="J218" s="4886"/>
      <c r="K218" s="995"/>
      <c r="L218" s="995"/>
    </row>
    <row r="219" spans="1:12" s="27" customFormat="1" ht="18.75" hidden="1" customHeight="1" x14ac:dyDescent="0.25">
      <c r="A219" s="1027"/>
      <c r="B219" s="1024"/>
      <c r="C219" s="61" t="s">
        <v>391</v>
      </c>
      <c r="D219" s="4584">
        <v>370000000</v>
      </c>
      <c r="E219" s="206">
        <v>370000000</v>
      </c>
      <c r="F219" s="206"/>
      <c r="G219" s="73">
        <f t="shared" si="15"/>
        <v>100</v>
      </c>
      <c r="H219" s="140">
        <v>100</v>
      </c>
      <c r="I219" s="4637"/>
      <c r="J219" s="4886"/>
      <c r="K219" s="995"/>
      <c r="L219" s="995"/>
    </row>
    <row r="220" spans="1:12" s="27" customFormat="1" ht="30.75" hidden="1" customHeight="1" x14ac:dyDescent="0.25">
      <c r="A220" s="1027"/>
      <c r="B220" s="1024"/>
      <c r="C220" s="61" t="s">
        <v>392</v>
      </c>
      <c r="D220" s="4584">
        <v>281514000</v>
      </c>
      <c r="E220" s="140">
        <v>281514000</v>
      </c>
      <c r="F220" s="140"/>
      <c r="G220" s="73">
        <f t="shared" si="15"/>
        <v>100</v>
      </c>
      <c r="H220" s="140">
        <v>100</v>
      </c>
      <c r="I220" s="4637"/>
      <c r="J220" s="4886"/>
      <c r="K220" s="995"/>
      <c r="L220" s="995"/>
    </row>
    <row r="221" spans="1:12" s="27" customFormat="1" ht="9.75" hidden="1" customHeight="1" x14ac:dyDescent="0.25">
      <c r="A221" s="1027"/>
      <c r="B221" s="1024"/>
      <c r="C221" s="66"/>
      <c r="D221" s="4588"/>
      <c r="E221" s="140"/>
      <c r="F221" s="140"/>
      <c r="G221" s="140"/>
      <c r="H221" s="133"/>
      <c r="I221" s="4637"/>
      <c r="J221" s="4886"/>
      <c r="K221" s="995"/>
      <c r="L221" s="995"/>
    </row>
    <row r="222" spans="1:12" s="27" customFormat="1" ht="18" hidden="1" customHeight="1" x14ac:dyDescent="0.25">
      <c r="A222" s="1027"/>
      <c r="B222" s="1024"/>
      <c r="C222" s="63" t="s">
        <v>393</v>
      </c>
      <c r="D222" s="83">
        <f>SUM(D223:D223)</f>
        <v>217104000</v>
      </c>
      <c r="E222" s="83">
        <f>SUM(E223:E223)</f>
        <v>217104000</v>
      </c>
      <c r="F222" s="83"/>
      <c r="G222" s="142">
        <f>E222/D222*100</f>
        <v>100</v>
      </c>
      <c r="H222" s="142">
        <v>100</v>
      </c>
      <c r="I222" s="4637"/>
      <c r="J222" s="4886"/>
      <c r="K222" s="995"/>
      <c r="L222" s="995"/>
    </row>
    <row r="223" spans="1:12" s="27" customFormat="1" ht="17.25" hidden="1" customHeight="1" x14ac:dyDescent="0.25">
      <c r="A223" s="1027"/>
      <c r="B223" s="1024"/>
      <c r="C223" s="61" t="s">
        <v>394</v>
      </c>
      <c r="D223" s="4598">
        <v>217104000</v>
      </c>
      <c r="E223" s="4598">
        <v>217104000</v>
      </c>
      <c r="F223" s="4598"/>
      <c r="G223" s="73">
        <f t="shared" ref="G223" si="16">E223/D223*100</f>
        <v>100</v>
      </c>
      <c r="H223" s="140">
        <v>100</v>
      </c>
      <c r="I223" s="4637"/>
      <c r="J223" s="4886"/>
      <c r="K223" s="995"/>
      <c r="L223" s="995"/>
    </row>
    <row r="224" spans="1:12" s="27" customFormat="1" ht="9" hidden="1" customHeight="1" x14ac:dyDescent="0.25">
      <c r="A224" s="1027"/>
      <c r="B224" s="1024"/>
      <c r="C224" s="61"/>
      <c r="D224" s="4584"/>
      <c r="E224" s="893"/>
      <c r="F224" s="893"/>
      <c r="G224" s="140"/>
      <c r="H224" s="140"/>
      <c r="I224" s="4637"/>
      <c r="J224" s="4886"/>
      <c r="K224" s="995"/>
      <c r="L224" s="995"/>
    </row>
    <row r="225" spans="1:12" s="27" customFormat="1" ht="18.75" hidden="1" customHeight="1" x14ac:dyDescent="0.25">
      <c r="A225" s="1027"/>
      <c r="B225" s="1024"/>
      <c r="C225" s="63" t="s">
        <v>395</v>
      </c>
      <c r="D225" s="83">
        <f>SUM(D226:D227)</f>
        <v>346080000</v>
      </c>
      <c r="E225" s="83">
        <f>SUM(E226:E227)</f>
        <v>346080000</v>
      </c>
      <c r="F225" s="83"/>
      <c r="G225" s="142">
        <f>E225/D225*100</f>
        <v>100</v>
      </c>
      <c r="H225" s="142">
        <f>SUM(H226:H227)/2</f>
        <v>100</v>
      </c>
      <c r="I225" s="4637"/>
      <c r="J225" s="4886"/>
      <c r="K225" s="995"/>
      <c r="L225" s="995"/>
    </row>
    <row r="226" spans="1:12" s="27" customFormat="1" ht="17.25" hidden="1" customHeight="1" x14ac:dyDescent="0.25">
      <c r="A226" s="1027"/>
      <c r="B226" s="1024"/>
      <c r="C226" s="61" t="s">
        <v>396</v>
      </c>
      <c r="D226" s="4584">
        <v>216530000</v>
      </c>
      <c r="E226" s="140">
        <v>216530000</v>
      </c>
      <c r="F226" s="140"/>
      <c r="G226" s="73">
        <f t="shared" ref="G226:G227" si="17">E226/D226*100</f>
        <v>100</v>
      </c>
      <c r="H226" s="140">
        <v>100</v>
      </c>
      <c r="I226" s="4637"/>
      <c r="J226" s="4886"/>
      <c r="K226" s="995"/>
      <c r="L226" s="995"/>
    </row>
    <row r="227" spans="1:12" ht="18" hidden="1" customHeight="1" x14ac:dyDescent="0.25">
      <c r="A227" s="999"/>
      <c r="B227" s="1024"/>
      <c r="C227" s="61" t="s">
        <v>397</v>
      </c>
      <c r="D227" s="4584">
        <v>129550000</v>
      </c>
      <c r="E227" s="140">
        <v>129550000</v>
      </c>
      <c r="F227" s="140"/>
      <c r="G227" s="73">
        <f t="shared" si="17"/>
        <v>100</v>
      </c>
      <c r="H227" s="140">
        <v>100</v>
      </c>
      <c r="I227" s="4637"/>
      <c r="J227" s="4890"/>
      <c r="K227" s="536"/>
      <c r="L227" s="536"/>
    </row>
    <row r="228" spans="1:12" ht="12" hidden="1" customHeight="1" x14ac:dyDescent="0.25">
      <c r="B228" s="1024"/>
      <c r="C228" s="100"/>
      <c r="D228" s="81"/>
      <c r="E228" s="1956"/>
      <c r="F228" s="1956"/>
      <c r="G228" s="101"/>
      <c r="H228" s="1956"/>
      <c r="I228" s="4856"/>
      <c r="J228" s="4857"/>
    </row>
    <row r="229" spans="1:12" s="27" customFormat="1" ht="16.5" hidden="1" customHeight="1" x14ac:dyDescent="0.25">
      <c r="A229" s="1027"/>
      <c r="B229" s="1029"/>
      <c r="C229" s="1980" t="s">
        <v>535</v>
      </c>
      <c r="D229" s="2387">
        <f>D230</f>
        <v>30000000</v>
      </c>
      <c r="E229" s="131">
        <f>E230</f>
        <v>30000000</v>
      </c>
      <c r="F229" s="131"/>
      <c r="G229" s="131">
        <f>E229/D229*100</f>
        <v>100</v>
      </c>
      <c r="H229" s="131">
        <f>H230</f>
        <v>100</v>
      </c>
      <c r="I229" s="4885"/>
      <c r="J229" s="4874"/>
    </row>
    <row r="230" spans="1:12" s="27" customFormat="1" ht="17.25" hidden="1" customHeight="1" x14ac:dyDescent="0.25">
      <c r="A230" s="1027"/>
      <c r="B230" s="1024"/>
      <c r="C230" s="69" t="s">
        <v>536</v>
      </c>
      <c r="D230" s="326">
        <f>D231</f>
        <v>30000000</v>
      </c>
      <c r="E230" s="326">
        <f>E231</f>
        <v>30000000</v>
      </c>
      <c r="F230" s="326"/>
      <c r="G230" s="157">
        <f t="shared" ref="G230" si="18">E230/D230*100</f>
        <v>100</v>
      </c>
      <c r="H230" s="142">
        <f>H231</f>
        <v>100</v>
      </c>
      <c r="I230" s="4885"/>
      <c r="J230" s="4874"/>
    </row>
    <row r="231" spans="1:12" s="27" customFormat="1" ht="16.5" hidden="1" customHeight="1" x14ac:dyDescent="0.25">
      <c r="A231" s="1027"/>
      <c r="B231" s="1024"/>
      <c r="C231" s="61" t="s">
        <v>537</v>
      </c>
      <c r="D231" s="201">
        <v>30000000</v>
      </c>
      <c r="E231" s="201">
        <v>30000000</v>
      </c>
      <c r="F231" s="201"/>
      <c r="G231" s="73">
        <f t="shared" ref="G231" si="19">E231/D231*100</f>
        <v>100</v>
      </c>
      <c r="H231" s="140">
        <v>100</v>
      </c>
      <c r="I231" s="4885"/>
      <c r="J231" s="4874"/>
    </row>
    <row r="232" spans="1:12" ht="12" hidden="1" customHeight="1" x14ac:dyDescent="0.25">
      <c r="B232" s="1024"/>
      <c r="C232" s="350"/>
      <c r="D232" s="81"/>
      <c r="E232" s="348"/>
      <c r="F232" s="348"/>
      <c r="G232" s="202"/>
      <c r="H232" s="348"/>
      <c r="I232" s="4856"/>
      <c r="J232" s="4857"/>
    </row>
    <row r="233" spans="1:12" s="27" customFormat="1" ht="19.5" hidden="1" customHeight="1" x14ac:dyDescent="0.25">
      <c r="A233" s="1027"/>
      <c r="B233" s="1029"/>
      <c r="C233" s="56" t="s">
        <v>549</v>
      </c>
      <c r="D233" s="1984">
        <f>SUM(D234)</f>
        <v>20000000</v>
      </c>
      <c r="E233" s="1984">
        <f>SUM(E234)</f>
        <v>20000000</v>
      </c>
      <c r="F233" s="1984"/>
      <c r="G233" s="131">
        <f>E233/D233*100</f>
        <v>100</v>
      </c>
      <c r="H233" s="131">
        <f>H234</f>
        <v>100</v>
      </c>
      <c r="I233" s="4885"/>
      <c r="J233" s="4874"/>
    </row>
    <row r="234" spans="1:12" s="27" customFormat="1" ht="17.25" hidden="1" customHeight="1" x14ac:dyDescent="0.25">
      <c r="A234" s="1027"/>
      <c r="B234" s="1024"/>
      <c r="C234" s="69" t="s">
        <v>550</v>
      </c>
      <c r="D234" s="128">
        <f>D235</f>
        <v>20000000</v>
      </c>
      <c r="E234" s="128">
        <f>E235</f>
        <v>20000000</v>
      </c>
      <c r="F234" s="128"/>
      <c r="G234" s="157">
        <f t="shared" ref="G234:G235" si="20">E234/D234*100</f>
        <v>100</v>
      </c>
      <c r="H234" s="142">
        <f>H235</f>
        <v>100</v>
      </c>
      <c r="I234" s="4885"/>
      <c r="J234" s="4874"/>
    </row>
    <row r="235" spans="1:12" s="27" customFormat="1" ht="17.25" hidden="1" customHeight="1" x14ac:dyDescent="0.25">
      <c r="A235" s="1027"/>
      <c r="B235" s="1024"/>
      <c r="C235" s="61" t="s">
        <v>551</v>
      </c>
      <c r="D235" s="675">
        <v>20000000</v>
      </c>
      <c r="E235" s="675">
        <v>20000000</v>
      </c>
      <c r="F235" s="675"/>
      <c r="G235" s="73">
        <f t="shared" si="20"/>
        <v>100</v>
      </c>
      <c r="H235" s="140">
        <v>100</v>
      </c>
      <c r="I235" s="4885"/>
      <c r="J235" s="4874"/>
    </row>
    <row r="236" spans="1:12" ht="12" hidden="1" customHeight="1" x14ac:dyDescent="0.25">
      <c r="B236" s="1024"/>
      <c r="C236" s="66"/>
      <c r="D236" s="81"/>
      <c r="E236" s="348"/>
      <c r="F236" s="348"/>
      <c r="G236" s="202"/>
      <c r="H236" s="348"/>
      <c r="I236" s="4856"/>
      <c r="J236" s="4857"/>
    </row>
    <row r="237" spans="1:12" s="27" customFormat="1" ht="18.75" hidden="1" customHeight="1" x14ac:dyDescent="0.25">
      <c r="A237" s="1027"/>
      <c r="B237" s="1029"/>
      <c r="C237" s="1980" t="s">
        <v>564</v>
      </c>
      <c r="D237" s="1984">
        <f>D238</f>
        <v>60000000</v>
      </c>
      <c r="E237" s="1984">
        <f>E238</f>
        <v>60000000</v>
      </c>
      <c r="F237" s="1984"/>
      <c r="G237" s="131">
        <f>E237/D237*100</f>
        <v>100</v>
      </c>
      <c r="H237" s="200">
        <f>H238</f>
        <v>100</v>
      </c>
      <c r="I237" s="4885"/>
      <c r="J237" s="4874"/>
    </row>
    <row r="238" spans="1:12" s="27" customFormat="1" ht="20.25" hidden="1" customHeight="1" x14ac:dyDescent="0.25">
      <c r="A238" s="1027"/>
      <c r="B238" s="1024"/>
      <c r="C238" s="59" t="s">
        <v>565</v>
      </c>
      <c r="D238" s="1982">
        <f>D239</f>
        <v>60000000</v>
      </c>
      <c r="E238" s="233">
        <f>E239</f>
        <v>60000000</v>
      </c>
      <c r="F238" s="233"/>
      <c r="G238" s="142">
        <f>E238/D238*100</f>
        <v>100</v>
      </c>
      <c r="H238" s="233">
        <f>H239</f>
        <v>100</v>
      </c>
      <c r="I238" s="4885"/>
      <c r="J238" s="4874"/>
    </row>
    <row r="239" spans="1:12" s="27" customFormat="1" ht="15.75" hidden="1" customHeight="1" x14ac:dyDescent="0.25">
      <c r="A239" s="1027"/>
      <c r="B239" s="1024"/>
      <c r="C239" s="66" t="s">
        <v>566</v>
      </c>
      <c r="D239" s="1964">
        <v>60000000</v>
      </c>
      <c r="E239" s="133">
        <v>60000000</v>
      </c>
      <c r="F239" s="133"/>
      <c r="G239" s="140">
        <f>E239/D239*100</f>
        <v>100</v>
      </c>
      <c r="H239" s="133">
        <v>100</v>
      </c>
      <c r="I239" s="4885"/>
      <c r="J239" s="4874"/>
    </row>
    <row r="240" spans="1:12" ht="12" hidden="1" customHeight="1" x14ac:dyDescent="0.25">
      <c r="B240" s="1024"/>
      <c r="C240" s="61"/>
      <c r="D240" s="1987"/>
      <c r="E240" s="1935"/>
      <c r="F240" s="1935"/>
      <c r="G240" s="204"/>
      <c r="H240" s="1935"/>
      <c r="I240" s="4856"/>
      <c r="J240" s="4857"/>
    </row>
    <row r="241" spans="1:10" s="27" customFormat="1" ht="17.25" hidden="1" customHeight="1" x14ac:dyDescent="0.25">
      <c r="A241" s="1027"/>
      <c r="B241" s="1029"/>
      <c r="C241" s="56" t="s">
        <v>576</v>
      </c>
      <c r="D241" s="1988">
        <f>D242</f>
        <v>85000000</v>
      </c>
      <c r="E241" s="1988">
        <f>E242</f>
        <v>85000000</v>
      </c>
      <c r="F241" s="1988"/>
      <c r="G241" s="131">
        <f>E241/D241*100</f>
        <v>100</v>
      </c>
      <c r="H241" s="131">
        <f>H242</f>
        <v>100</v>
      </c>
      <c r="I241" s="4885"/>
      <c r="J241" s="4874"/>
    </row>
    <row r="242" spans="1:10" s="27" customFormat="1" ht="18.75" hidden="1" customHeight="1" x14ac:dyDescent="0.25">
      <c r="A242" s="1027"/>
      <c r="B242" s="1024"/>
      <c r="C242" s="59" t="s">
        <v>577</v>
      </c>
      <c r="D242" s="1982">
        <f>D243</f>
        <v>85000000</v>
      </c>
      <c r="E242" s="1982">
        <f>E243</f>
        <v>85000000</v>
      </c>
      <c r="F242" s="1982"/>
      <c r="G242" s="142">
        <f>E242/D242*100</f>
        <v>100</v>
      </c>
      <c r="H242" s="142">
        <f>H243</f>
        <v>100</v>
      </c>
      <c r="I242" s="4885"/>
      <c r="J242" s="4874"/>
    </row>
    <row r="243" spans="1:10" s="27" customFormat="1" ht="17.25" hidden="1" customHeight="1" x14ac:dyDescent="0.25">
      <c r="A243" s="1027"/>
      <c r="B243" s="1024"/>
      <c r="C243" s="66" t="s">
        <v>578</v>
      </c>
      <c r="D243" s="1964">
        <v>85000000</v>
      </c>
      <c r="E243" s="1964">
        <v>85000000</v>
      </c>
      <c r="F243" s="1964"/>
      <c r="G243" s="140">
        <f>E243/D243*100</f>
        <v>100</v>
      </c>
      <c r="H243" s="140">
        <v>100</v>
      </c>
      <c r="I243" s="4885"/>
      <c r="J243" s="4874"/>
    </row>
    <row r="244" spans="1:10" ht="12" hidden="1" customHeight="1" x14ac:dyDescent="0.25">
      <c r="B244" s="1024"/>
      <c r="C244" s="350"/>
      <c r="D244" s="81"/>
      <c r="E244" s="348"/>
      <c r="F244" s="348"/>
      <c r="G244" s="202"/>
      <c r="H244" s="348"/>
      <c r="I244" s="4856"/>
      <c r="J244" s="4857"/>
    </row>
    <row r="245" spans="1:10" s="27" customFormat="1" ht="16.5" hidden="1" customHeight="1" x14ac:dyDescent="0.25">
      <c r="A245" s="1027"/>
      <c r="B245" s="1029"/>
      <c r="C245" s="56" t="s">
        <v>587</v>
      </c>
      <c r="D245" s="1984">
        <f>SUM(D246)</f>
        <v>50000000</v>
      </c>
      <c r="E245" s="1984">
        <f>SUM(E246)</f>
        <v>50000000</v>
      </c>
      <c r="F245" s="1984"/>
      <c r="G245" s="131">
        <f>E245/D245*100</f>
        <v>100</v>
      </c>
      <c r="H245" s="131">
        <f>H246</f>
        <v>100</v>
      </c>
      <c r="I245" s="4885"/>
      <c r="J245" s="4874"/>
    </row>
    <row r="246" spans="1:10" s="27" customFormat="1" ht="21.75" hidden="1" customHeight="1" x14ac:dyDescent="0.25">
      <c r="A246" s="1027"/>
      <c r="B246" s="1024"/>
      <c r="C246" s="59" t="s">
        <v>588</v>
      </c>
      <c r="D246" s="1989">
        <f>D247</f>
        <v>50000000</v>
      </c>
      <c r="E246" s="1989">
        <f>E247</f>
        <v>50000000</v>
      </c>
      <c r="F246" s="1982"/>
      <c r="G246" s="142">
        <f>E246/D246*100</f>
        <v>100</v>
      </c>
      <c r="H246" s="233">
        <f>H247</f>
        <v>100</v>
      </c>
      <c r="I246" s="4885"/>
      <c r="J246" s="4874"/>
    </row>
    <row r="247" spans="1:10" s="27" customFormat="1" ht="17.25" hidden="1" customHeight="1" x14ac:dyDescent="0.25">
      <c r="A247" s="1027"/>
      <c r="B247" s="1024"/>
      <c r="C247" s="66" t="s">
        <v>589</v>
      </c>
      <c r="D247" s="149">
        <v>50000000</v>
      </c>
      <c r="E247" s="149">
        <v>50000000</v>
      </c>
      <c r="F247" s="149"/>
      <c r="G247" s="140">
        <f>E247/D247*100</f>
        <v>100</v>
      </c>
      <c r="H247" s="140">
        <v>100</v>
      </c>
      <c r="I247" s="4885"/>
      <c r="J247" s="4874"/>
    </row>
    <row r="248" spans="1:10" ht="12" hidden="1" customHeight="1" x14ac:dyDescent="0.25">
      <c r="B248" s="1024"/>
      <c r="C248" s="350"/>
      <c r="D248" s="81"/>
      <c r="E248" s="1935"/>
      <c r="F248" s="1935"/>
      <c r="G248" s="2381"/>
      <c r="H248" s="1935"/>
      <c r="I248" s="4856"/>
      <c r="J248" s="4857"/>
    </row>
    <row r="249" spans="1:10" s="28" customFormat="1" ht="17.25" hidden="1" customHeight="1" x14ac:dyDescent="0.25">
      <c r="A249" s="2456"/>
      <c r="B249" s="1990"/>
      <c r="C249" s="56" t="s">
        <v>604</v>
      </c>
      <c r="D249" s="1921">
        <f>SUM(D250)</f>
        <v>60000000</v>
      </c>
      <c r="E249" s="1921">
        <f>SUM(E250)</f>
        <v>60000000</v>
      </c>
      <c r="F249" s="1921"/>
      <c r="G249" s="131">
        <f>E249/D249*100</f>
        <v>100</v>
      </c>
      <c r="H249" s="131">
        <f>H250</f>
        <v>100</v>
      </c>
      <c r="I249" s="4637"/>
      <c r="J249" s="4891"/>
    </row>
    <row r="250" spans="1:10" s="28" customFormat="1" ht="17.25" hidden="1" customHeight="1" x14ac:dyDescent="0.25">
      <c r="A250" s="2456"/>
      <c r="B250" s="1992"/>
      <c r="C250" s="59" t="s">
        <v>605</v>
      </c>
      <c r="D250" s="1982">
        <f>D251</f>
        <v>60000000</v>
      </c>
      <c r="E250" s="1982">
        <f>E251</f>
        <v>60000000</v>
      </c>
      <c r="F250" s="1982"/>
      <c r="G250" s="142">
        <f>E250/D250*100</f>
        <v>100</v>
      </c>
      <c r="H250" s="234">
        <f>H251</f>
        <v>100</v>
      </c>
      <c r="I250" s="4637"/>
      <c r="J250" s="4891"/>
    </row>
    <row r="251" spans="1:10" s="28" customFormat="1" ht="19.5" hidden="1" customHeight="1" x14ac:dyDescent="0.25">
      <c r="A251" s="2456"/>
      <c r="B251" s="1992"/>
      <c r="C251" s="66" t="s">
        <v>606</v>
      </c>
      <c r="D251" s="1964">
        <v>60000000</v>
      </c>
      <c r="E251" s="1964">
        <v>60000000</v>
      </c>
      <c r="F251" s="1964"/>
      <c r="G251" s="140">
        <f>E251/D251*100</f>
        <v>100</v>
      </c>
      <c r="H251" s="140">
        <v>100</v>
      </c>
      <c r="I251" s="4637"/>
      <c r="J251" s="4891"/>
    </row>
    <row r="252" spans="1:10" ht="12" hidden="1" customHeight="1" x14ac:dyDescent="0.25">
      <c r="B252" s="1024"/>
      <c r="C252" s="350"/>
      <c r="D252" s="81"/>
      <c r="E252" s="1956"/>
      <c r="F252" s="1956"/>
      <c r="G252" s="101"/>
      <c r="H252" s="1956"/>
      <c r="I252" s="4856"/>
      <c r="J252" s="4857"/>
    </row>
    <row r="253" spans="1:10" ht="18.75" hidden="1" customHeight="1" x14ac:dyDescent="0.25">
      <c r="B253" s="1029"/>
      <c r="C253" s="56" t="s">
        <v>619</v>
      </c>
      <c r="D253" s="1988">
        <f>D254</f>
        <v>8380280000</v>
      </c>
      <c r="E253" s="1988">
        <f>E254</f>
        <v>8080280000</v>
      </c>
      <c r="F253" s="1988"/>
      <c r="G253" s="200">
        <f>E253/D253*100</f>
        <v>96.42016734524384</v>
      </c>
      <c r="H253" s="200">
        <f>H254</f>
        <v>100</v>
      </c>
      <c r="I253" s="4856"/>
      <c r="J253" s="4857"/>
    </row>
    <row r="254" spans="1:10" s="27" customFormat="1" ht="18" hidden="1" customHeight="1" x14ac:dyDescent="0.25">
      <c r="A254" s="1027"/>
      <c r="B254" s="1993"/>
      <c r="C254" s="59" t="s">
        <v>620</v>
      </c>
      <c r="D254" s="1994">
        <f>D255</f>
        <v>8380280000</v>
      </c>
      <c r="E254" s="1994">
        <f>E255</f>
        <v>8080280000</v>
      </c>
      <c r="F254" s="1994"/>
      <c r="G254" s="326">
        <f>E254/D254*100</f>
        <v>96.42016734524384</v>
      </c>
      <c r="H254" s="326">
        <f>H255</f>
        <v>100</v>
      </c>
      <c r="I254" s="4885"/>
      <c r="J254" s="4874"/>
    </row>
    <row r="255" spans="1:10" s="27" customFormat="1" ht="18.75" hidden="1" customHeight="1" x14ac:dyDescent="0.25">
      <c r="A255" s="1027"/>
      <c r="B255" s="1904"/>
      <c r="C255" s="61" t="s">
        <v>621</v>
      </c>
      <c r="D255" s="1995">
        <v>8380280000</v>
      </c>
      <c r="E255" s="149">
        <v>8080280000</v>
      </c>
      <c r="F255" s="149"/>
      <c r="G255" s="140">
        <v>96.42016734524384</v>
      </c>
      <c r="H255" s="201">
        <v>100</v>
      </c>
      <c r="I255" s="4885"/>
      <c r="J255" s="4874"/>
    </row>
    <row r="256" spans="1:10" ht="15.75" hidden="1" customHeight="1" x14ac:dyDescent="0.25">
      <c r="B256" s="1904"/>
      <c r="C256" s="63"/>
      <c r="D256" s="348"/>
      <c r="E256" s="348"/>
      <c r="F256" s="348"/>
      <c r="G256" s="202"/>
      <c r="H256" s="348"/>
      <c r="I256" s="4856"/>
      <c r="J256" s="4857"/>
    </row>
    <row r="257" spans="1:12" ht="19.5" hidden="1" customHeight="1" x14ac:dyDescent="0.25">
      <c r="B257" s="2105"/>
      <c r="C257" s="342" t="s">
        <v>623</v>
      </c>
      <c r="D257" s="353">
        <f>D258</f>
        <v>36042000</v>
      </c>
      <c r="E257" s="341">
        <f>E258</f>
        <v>36042000</v>
      </c>
      <c r="F257" s="341"/>
      <c r="G257" s="200">
        <f>E257/D257*100</f>
        <v>100</v>
      </c>
      <c r="H257" s="341">
        <f>H258</f>
        <v>100</v>
      </c>
      <c r="I257" s="4856"/>
      <c r="J257" s="4857"/>
    </row>
    <row r="258" spans="1:12" ht="24" hidden="1" customHeight="1" x14ac:dyDescent="0.25">
      <c r="B258" s="1024"/>
      <c r="C258" s="61" t="s">
        <v>627</v>
      </c>
      <c r="D258" s="201">
        <v>36042000</v>
      </c>
      <c r="E258" s="140">
        <v>36042000</v>
      </c>
      <c r="F258" s="154"/>
      <c r="G258" s="347">
        <f>E258/D258*100</f>
        <v>100</v>
      </c>
      <c r="H258" s="140">
        <v>100</v>
      </c>
      <c r="I258" s="4856"/>
      <c r="J258" s="4857"/>
    </row>
    <row r="259" spans="1:12" ht="15.75" hidden="1" customHeight="1" x14ac:dyDescent="0.25">
      <c r="B259" s="1024"/>
      <c r="C259" s="59"/>
      <c r="D259" s="1956"/>
      <c r="E259" s="1956"/>
      <c r="F259" s="1956"/>
      <c r="G259" s="101"/>
      <c r="H259" s="1956"/>
      <c r="I259" s="4856"/>
      <c r="J259" s="4857"/>
    </row>
    <row r="260" spans="1:12" s="12" customFormat="1" ht="17.25" customHeight="1" x14ac:dyDescent="0.25">
      <c r="A260" s="513"/>
      <c r="B260" s="2457"/>
      <c r="C260" s="422" t="s">
        <v>629</v>
      </c>
      <c r="D260" s="2382">
        <f>SUM(D262+D337+D341+D347)</f>
        <v>45176499174</v>
      </c>
      <c r="E260" s="2382">
        <f>SUM(E262+E337+E341+E347)</f>
        <v>43159330052</v>
      </c>
      <c r="F260" s="1900">
        <f>D260-E260</f>
        <v>2017169122</v>
      </c>
      <c r="G260" s="424">
        <f>E260/D260*100</f>
        <v>95.534914925057052</v>
      </c>
      <c r="H260" s="2388">
        <f>SUM(H262+H337+H341+H347)/4</f>
        <v>95.305555555555557</v>
      </c>
      <c r="I260" s="4892"/>
      <c r="J260" s="4893"/>
    </row>
    <row r="261" spans="1:12" s="13" customFormat="1" ht="6.75" hidden="1" customHeight="1" x14ac:dyDescent="0.25">
      <c r="A261" s="1060"/>
      <c r="B261" s="2001"/>
      <c r="C261" s="333"/>
      <c r="D261" s="2004"/>
      <c r="E261" s="2004"/>
      <c r="F261" s="2004"/>
      <c r="G261" s="353"/>
      <c r="H261" s="341"/>
      <c r="I261" s="4894"/>
      <c r="J261" s="4895"/>
    </row>
    <row r="262" spans="1:12" s="5" customFormat="1" ht="21" hidden="1" customHeight="1" x14ac:dyDescent="0.25">
      <c r="A262" s="2453"/>
      <c r="B262" s="2007"/>
      <c r="C262" s="342" t="s">
        <v>630</v>
      </c>
      <c r="D262" s="538">
        <f>SUM(D263+D266+D283+D308+D315+D320+D324+D331+D334)</f>
        <v>32845725035</v>
      </c>
      <c r="E262" s="538">
        <f>SUM(E263+E266+E283+E308+E315+E320+E324+E331+E334)</f>
        <v>31922157580</v>
      </c>
      <c r="F262" s="538"/>
      <c r="G262" s="538">
        <f>E262/D262*100</f>
        <v>97.188165418739089</v>
      </c>
      <c r="H262" s="2389">
        <f>SUM(H263+H266+H283+H308+H315+H320+H324+H331+H334)/9</f>
        <v>92.222222222222229</v>
      </c>
      <c r="I262" s="4892"/>
      <c r="J262" s="4873"/>
    </row>
    <row r="263" spans="1:12" s="5" customFormat="1" ht="18" hidden="1" customHeight="1" x14ac:dyDescent="0.25">
      <c r="A263" s="2453"/>
      <c r="B263" s="1139"/>
      <c r="C263" s="216" t="s">
        <v>36</v>
      </c>
      <c r="D263" s="326">
        <f>D264</f>
        <v>535000000</v>
      </c>
      <c r="E263" s="326">
        <f>E264</f>
        <v>533958000</v>
      </c>
      <c r="F263" s="326"/>
      <c r="G263" s="116">
        <f>E263/D263*100</f>
        <v>99.805233644859811</v>
      </c>
      <c r="H263" s="116">
        <f>H264/1</f>
        <v>100</v>
      </c>
      <c r="I263" s="4643"/>
      <c r="J263" s="4896"/>
      <c r="K263" s="1205"/>
      <c r="L263" s="1205"/>
    </row>
    <row r="264" spans="1:12" s="5" customFormat="1" ht="16.5" hidden="1" customHeight="1" x14ac:dyDescent="0.25">
      <c r="A264" s="2453"/>
      <c r="B264" s="1139"/>
      <c r="C264" s="132" t="s">
        <v>631</v>
      </c>
      <c r="D264" s="65">
        <v>535000000</v>
      </c>
      <c r="E264" s="117">
        <v>533958000</v>
      </c>
      <c r="F264" s="117"/>
      <c r="G264" s="117">
        <f>E264/D264*100</f>
        <v>99.805233644859811</v>
      </c>
      <c r="H264" s="117">
        <v>100</v>
      </c>
      <c r="I264" s="4643"/>
      <c r="J264" s="4896"/>
      <c r="K264" s="1205"/>
      <c r="L264" s="1205"/>
    </row>
    <row r="265" spans="1:12" s="5" customFormat="1" ht="10.5" hidden="1" customHeight="1" x14ac:dyDescent="0.25">
      <c r="A265" s="2453"/>
      <c r="B265" s="1139"/>
      <c r="C265" s="61"/>
      <c r="D265" s="675"/>
      <c r="E265" s="117"/>
      <c r="F265" s="117"/>
      <c r="G265" s="201"/>
      <c r="H265" s="344"/>
      <c r="I265" s="4643"/>
      <c r="J265" s="4896"/>
      <c r="K265" s="1205"/>
      <c r="L265" s="1205"/>
    </row>
    <row r="266" spans="1:12" s="5" customFormat="1" ht="19.5" hidden="1" customHeight="1" x14ac:dyDescent="0.25">
      <c r="A266" s="2453"/>
      <c r="B266" s="1139"/>
      <c r="C266" s="138" t="s">
        <v>632</v>
      </c>
      <c r="D266" s="202">
        <f>SUM(D267:D281)</f>
        <v>3028031100</v>
      </c>
      <c r="E266" s="202">
        <f>SUM(E267:E281)</f>
        <v>2956805973</v>
      </c>
      <c r="F266" s="202"/>
      <c r="G266" s="202">
        <f>E266/D266*100</f>
        <v>97.647807283089008</v>
      </c>
      <c r="H266" s="257">
        <f>SUM(H267:H281)/15</f>
        <v>100</v>
      </c>
      <c r="I266" s="4643"/>
      <c r="J266" s="4896"/>
      <c r="K266" s="1205"/>
      <c r="L266" s="1205"/>
    </row>
    <row r="267" spans="1:12" s="5" customFormat="1" ht="17.25" hidden="1" customHeight="1" x14ac:dyDescent="0.25">
      <c r="A267" s="2453"/>
      <c r="B267" s="1139"/>
      <c r="C267" s="132" t="s">
        <v>633</v>
      </c>
      <c r="D267" s="65">
        <v>110365000</v>
      </c>
      <c r="E267" s="117">
        <v>110225000</v>
      </c>
      <c r="F267" s="117"/>
      <c r="G267" s="201">
        <f>E267/D267*100</f>
        <v>99.873148190096501</v>
      </c>
      <c r="H267" s="344">
        <v>100</v>
      </c>
      <c r="I267" s="4643"/>
      <c r="J267" s="4896"/>
      <c r="K267" s="1205"/>
      <c r="L267" s="1205"/>
    </row>
    <row r="268" spans="1:12" s="5" customFormat="1" ht="17.25" hidden="1" customHeight="1" x14ac:dyDescent="0.25">
      <c r="A268" s="2453"/>
      <c r="B268" s="1139"/>
      <c r="C268" s="132" t="s">
        <v>634</v>
      </c>
      <c r="D268" s="65">
        <v>503800000</v>
      </c>
      <c r="E268" s="117">
        <v>500675650</v>
      </c>
      <c r="F268" s="117"/>
      <c r="G268" s="201">
        <f t="shared" ref="G268:G281" si="21">E268/D268*100</f>
        <v>99.379843191742751</v>
      </c>
      <c r="H268" s="117">
        <v>100</v>
      </c>
      <c r="I268" s="4643"/>
      <c r="J268" s="4896"/>
      <c r="K268" s="1205"/>
      <c r="L268" s="1205"/>
    </row>
    <row r="269" spans="1:12" s="5" customFormat="1" ht="16.5" hidden="1" customHeight="1" x14ac:dyDescent="0.25">
      <c r="A269" s="2453"/>
      <c r="B269" s="1139"/>
      <c r="C269" s="132" t="s">
        <v>635</v>
      </c>
      <c r="D269" s="65">
        <v>247540000</v>
      </c>
      <c r="E269" s="117">
        <v>234514000</v>
      </c>
      <c r="F269" s="117"/>
      <c r="G269" s="201">
        <f t="shared" si="21"/>
        <v>94.737820150278736</v>
      </c>
      <c r="H269" s="344">
        <v>100</v>
      </c>
      <c r="I269" s="4643"/>
      <c r="J269" s="4896"/>
      <c r="K269" s="1205"/>
      <c r="L269" s="1205"/>
    </row>
    <row r="270" spans="1:12" s="5" customFormat="1" ht="14.25" hidden="1" customHeight="1" x14ac:dyDescent="0.25">
      <c r="A270" s="2453"/>
      <c r="B270" s="1139"/>
      <c r="C270" s="132" t="s">
        <v>636</v>
      </c>
      <c r="D270" s="65">
        <v>72600000</v>
      </c>
      <c r="E270" s="117">
        <v>62175023</v>
      </c>
      <c r="F270" s="117"/>
      <c r="G270" s="201">
        <f t="shared" si="21"/>
        <v>85.640527548209363</v>
      </c>
      <c r="H270" s="117">
        <v>100</v>
      </c>
      <c r="I270" s="4643"/>
      <c r="J270" s="4896"/>
      <c r="K270" s="1205"/>
      <c r="L270" s="1205"/>
    </row>
    <row r="271" spans="1:12" s="5" customFormat="1" ht="17.25" hidden="1" customHeight="1" x14ac:dyDescent="0.25">
      <c r="A271" s="2453"/>
      <c r="B271" s="1139"/>
      <c r="C271" s="132" t="s">
        <v>637</v>
      </c>
      <c r="D271" s="65">
        <v>228227000</v>
      </c>
      <c r="E271" s="117">
        <v>228087000</v>
      </c>
      <c r="F271" s="117"/>
      <c r="G271" s="201">
        <f t="shared" si="21"/>
        <v>99.938657564617685</v>
      </c>
      <c r="H271" s="344">
        <v>100</v>
      </c>
      <c r="I271" s="4643"/>
      <c r="J271" s="4896"/>
      <c r="K271" s="1205"/>
      <c r="L271" s="1205"/>
    </row>
    <row r="272" spans="1:12" s="5" customFormat="1" ht="27.75" hidden="1" customHeight="1" x14ac:dyDescent="0.25">
      <c r="A272" s="2453"/>
      <c r="B272" s="1139"/>
      <c r="C272" s="132" t="s">
        <v>638</v>
      </c>
      <c r="D272" s="65">
        <v>56880000</v>
      </c>
      <c r="E272" s="117">
        <v>52622800</v>
      </c>
      <c r="F272" s="117"/>
      <c r="G272" s="201">
        <f t="shared" si="21"/>
        <v>92.515471167369896</v>
      </c>
      <c r="H272" s="344">
        <v>100</v>
      </c>
      <c r="I272" s="4643"/>
      <c r="J272" s="4896"/>
      <c r="K272" s="1205"/>
      <c r="L272" s="1205"/>
    </row>
    <row r="273" spans="1:12" s="5" customFormat="1" ht="30.75" hidden="1" customHeight="1" x14ac:dyDescent="0.25">
      <c r="A273" s="2453"/>
      <c r="B273" s="1139"/>
      <c r="C273" s="132" t="s">
        <v>639</v>
      </c>
      <c r="D273" s="65">
        <v>187880000</v>
      </c>
      <c r="E273" s="117">
        <v>170153100</v>
      </c>
      <c r="F273" s="117"/>
      <c r="G273" s="201">
        <f t="shared" si="21"/>
        <v>90.564775388545883</v>
      </c>
      <c r="H273" s="344">
        <v>100</v>
      </c>
      <c r="I273" s="4643"/>
      <c r="J273" s="4896"/>
      <c r="K273" s="1205"/>
      <c r="L273" s="1205"/>
    </row>
    <row r="274" spans="1:12" s="5" customFormat="1" ht="30" hidden="1" customHeight="1" x14ac:dyDescent="0.25">
      <c r="A274" s="2453"/>
      <c r="B274" s="1139"/>
      <c r="C274" s="132" t="s">
        <v>640</v>
      </c>
      <c r="D274" s="65">
        <v>228965000</v>
      </c>
      <c r="E274" s="117">
        <v>218915000</v>
      </c>
      <c r="F274" s="117"/>
      <c r="G274" s="201">
        <f t="shared" si="21"/>
        <v>95.610682855458265</v>
      </c>
      <c r="H274" s="344">
        <v>100</v>
      </c>
      <c r="I274" s="4643"/>
      <c r="J274" s="4896"/>
      <c r="K274" s="1205"/>
      <c r="L274" s="1205"/>
    </row>
    <row r="275" spans="1:12" s="5" customFormat="1" ht="17.25" hidden="1" customHeight="1" x14ac:dyDescent="0.25">
      <c r="A275" s="2453"/>
      <c r="B275" s="1139"/>
      <c r="C275" s="132" t="s">
        <v>641</v>
      </c>
      <c r="D275" s="65">
        <v>177805000</v>
      </c>
      <c r="E275" s="117">
        <v>169529300</v>
      </c>
      <c r="F275" s="117"/>
      <c r="G275" s="201">
        <f t="shared" si="21"/>
        <v>95.345631450184186</v>
      </c>
      <c r="H275" s="344">
        <v>100</v>
      </c>
      <c r="I275" s="4643"/>
      <c r="J275" s="4896"/>
      <c r="K275" s="1205"/>
      <c r="L275" s="1205"/>
    </row>
    <row r="276" spans="1:12" s="5" customFormat="1" ht="18" hidden="1" customHeight="1" x14ac:dyDescent="0.25">
      <c r="A276" s="2453"/>
      <c r="B276" s="1139"/>
      <c r="C276" s="132" t="s">
        <v>642</v>
      </c>
      <c r="D276" s="65">
        <v>71387100</v>
      </c>
      <c r="E276" s="117">
        <v>71187100</v>
      </c>
      <c r="F276" s="117"/>
      <c r="G276" s="201">
        <f t="shared" si="21"/>
        <v>99.719837337558175</v>
      </c>
      <c r="H276" s="344">
        <v>100</v>
      </c>
      <c r="I276" s="4643"/>
      <c r="J276" s="4896"/>
      <c r="K276" s="1205"/>
      <c r="L276" s="1205"/>
    </row>
    <row r="277" spans="1:12" s="5" customFormat="1" ht="17.25" hidden="1" customHeight="1" x14ac:dyDescent="0.25">
      <c r="A277" s="2453"/>
      <c r="B277" s="1139"/>
      <c r="C277" s="213" t="s">
        <v>643</v>
      </c>
      <c r="D277" s="88">
        <v>196415000</v>
      </c>
      <c r="E277" s="1996">
        <v>193825000</v>
      </c>
      <c r="F277" s="1996"/>
      <c r="G277" s="201">
        <f t="shared" si="21"/>
        <v>98.68136343965584</v>
      </c>
      <c r="H277" s="344">
        <v>100</v>
      </c>
      <c r="I277" s="4644"/>
      <c r="J277" s="4896"/>
      <c r="K277" s="1205"/>
      <c r="L277" s="1205"/>
    </row>
    <row r="278" spans="1:12" s="5" customFormat="1" ht="16.5" hidden="1" customHeight="1" x14ac:dyDescent="0.25">
      <c r="A278" s="2453"/>
      <c r="B278" s="2015"/>
      <c r="C278" s="132" t="s">
        <v>644</v>
      </c>
      <c r="D278" s="65">
        <v>207277000</v>
      </c>
      <c r="E278" s="117">
        <v>207137000</v>
      </c>
      <c r="F278" s="117"/>
      <c r="G278" s="201">
        <f t="shared" si="21"/>
        <v>99.932457532673666</v>
      </c>
      <c r="H278" s="344">
        <v>100</v>
      </c>
      <c r="I278" s="4643"/>
      <c r="J278" s="4896"/>
      <c r="K278" s="1205"/>
      <c r="L278" s="1205"/>
    </row>
    <row r="279" spans="1:12" s="5" customFormat="1" ht="18" hidden="1" customHeight="1" x14ac:dyDescent="0.25">
      <c r="A279" s="2453"/>
      <c r="B279" s="1139"/>
      <c r="C279" s="361" t="s">
        <v>645</v>
      </c>
      <c r="D279" s="153">
        <v>217690000</v>
      </c>
      <c r="E279" s="109">
        <v>217550000</v>
      </c>
      <c r="F279" s="109"/>
      <c r="G279" s="347">
        <f t="shared" si="21"/>
        <v>99.935688364187598</v>
      </c>
      <c r="H279" s="344">
        <v>100</v>
      </c>
      <c r="I279" s="4645"/>
      <c r="J279" s="4896"/>
      <c r="K279" s="1205"/>
      <c r="L279" s="1205"/>
    </row>
    <row r="280" spans="1:12" s="5" customFormat="1" ht="17.25" hidden="1" customHeight="1" x14ac:dyDescent="0.25">
      <c r="A280" s="2453"/>
      <c r="B280" s="1139"/>
      <c r="C280" s="132" t="s">
        <v>646</v>
      </c>
      <c r="D280" s="65">
        <v>146200000</v>
      </c>
      <c r="E280" s="117">
        <v>145210000</v>
      </c>
      <c r="F280" s="117"/>
      <c r="G280" s="201">
        <f t="shared" si="21"/>
        <v>99.322845417236664</v>
      </c>
      <c r="H280" s="344">
        <v>100</v>
      </c>
      <c r="I280" s="4643"/>
      <c r="J280" s="4896"/>
      <c r="K280" s="1205"/>
      <c r="L280" s="1205"/>
    </row>
    <row r="281" spans="1:12" s="5" customFormat="1" ht="29.25" hidden="1" customHeight="1" x14ac:dyDescent="0.25">
      <c r="A281" s="2453"/>
      <c r="B281" s="1139"/>
      <c r="C281" s="211" t="s">
        <v>647</v>
      </c>
      <c r="D281" s="65">
        <v>375000000</v>
      </c>
      <c r="E281" s="65">
        <v>375000000</v>
      </c>
      <c r="F281" s="65"/>
      <c r="G281" s="201">
        <f t="shared" si="21"/>
        <v>100</v>
      </c>
      <c r="H281" s="344">
        <v>100</v>
      </c>
      <c r="I281" s="4643"/>
      <c r="J281" s="4896"/>
      <c r="K281" s="1205"/>
      <c r="L281" s="1205"/>
    </row>
    <row r="282" spans="1:12" s="5" customFormat="1" ht="11.25" hidden="1" customHeight="1" x14ac:dyDescent="0.25">
      <c r="A282" s="2453"/>
      <c r="B282" s="1139"/>
      <c r="C282" s="61"/>
      <c r="D282" s="675"/>
      <c r="E282" s="117"/>
      <c r="F282" s="117"/>
      <c r="G282" s="201"/>
      <c r="H282" s="344"/>
      <c r="I282" s="4643"/>
      <c r="J282" s="4896"/>
      <c r="K282" s="1205"/>
      <c r="L282" s="1205"/>
    </row>
    <row r="283" spans="1:12" s="5" customFormat="1" ht="18.75" hidden="1" customHeight="1" x14ac:dyDescent="0.25">
      <c r="A283" s="2453"/>
      <c r="B283" s="1139"/>
      <c r="C283" s="216" t="s">
        <v>248</v>
      </c>
      <c r="D283" s="202">
        <f>SUM(D284:D306)</f>
        <v>21144868800</v>
      </c>
      <c r="E283" s="202">
        <f>SUM(E284:E306)</f>
        <v>20650313629</v>
      </c>
      <c r="F283" s="202"/>
      <c r="G283" s="202">
        <f>E283/D283*100</f>
        <v>97.661110240608352</v>
      </c>
      <c r="H283" s="257">
        <f>SUM(H284:H306)/22</f>
        <v>100</v>
      </c>
      <c r="I283" s="4643"/>
      <c r="J283" s="4896"/>
      <c r="K283" s="1205"/>
      <c r="L283" s="1205"/>
    </row>
    <row r="284" spans="1:12" s="5" customFormat="1" ht="19.5" hidden="1" customHeight="1" x14ac:dyDescent="0.25">
      <c r="A284" s="2453"/>
      <c r="B284" s="1139"/>
      <c r="C284" s="61" t="s">
        <v>648</v>
      </c>
      <c r="D284" s="201">
        <v>3651780000</v>
      </c>
      <c r="E284" s="117">
        <v>3632532000</v>
      </c>
      <c r="F284" s="117"/>
      <c r="G284" s="201">
        <f>E284/D284*100</f>
        <v>99.472914578643838</v>
      </c>
      <c r="H284" s="344">
        <v>100</v>
      </c>
      <c r="I284" s="4643"/>
      <c r="J284" s="4896"/>
      <c r="K284" s="1205"/>
      <c r="L284" s="1205"/>
    </row>
    <row r="285" spans="1:12" s="5" customFormat="1" ht="16.5" hidden="1" customHeight="1" x14ac:dyDescent="0.25">
      <c r="A285" s="2453"/>
      <c r="B285" s="1139"/>
      <c r="C285" s="211" t="s">
        <v>649</v>
      </c>
      <c r="D285" s="201">
        <v>123560000</v>
      </c>
      <c r="E285" s="117">
        <v>113360000</v>
      </c>
      <c r="F285" s="117"/>
      <c r="G285" s="201">
        <f>E285/D285*100</f>
        <v>91.744901262544516</v>
      </c>
      <c r="H285" s="344">
        <v>100</v>
      </c>
      <c r="I285" s="4643"/>
      <c r="J285" s="4896"/>
      <c r="K285" s="1205"/>
      <c r="L285" s="1205"/>
    </row>
    <row r="286" spans="1:12" s="5" customFormat="1" ht="15.75" hidden="1" customHeight="1" x14ac:dyDescent="0.25">
      <c r="A286" s="2453"/>
      <c r="B286" s="1139"/>
      <c r="C286" s="61" t="s">
        <v>650</v>
      </c>
      <c r="D286" s="201">
        <v>3440500000</v>
      </c>
      <c r="E286" s="117">
        <v>3390755500</v>
      </c>
      <c r="F286" s="117"/>
      <c r="G286" s="201">
        <f t="shared" ref="G286:G306" si="22">E286/D286*100</f>
        <v>98.554149106234561</v>
      </c>
      <c r="H286" s="344">
        <v>100</v>
      </c>
      <c r="I286" s="4643"/>
      <c r="J286" s="4896"/>
      <c r="K286" s="1205"/>
      <c r="L286" s="1205"/>
    </row>
    <row r="287" spans="1:12" s="5" customFormat="1" ht="13.5" hidden="1" customHeight="1" x14ac:dyDescent="0.25">
      <c r="A287" s="2453"/>
      <c r="B287" s="1139"/>
      <c r="C287" s="211" t="s">
        <v>651</v>
      </c>
      <c r="D287" s="201">
        <v>3551160000</v>
      </c>
      <c r="E287" s="117">
        <v>3508472100</v>
      </c>
      <c r="F287" s="117"/>
      <c r="G287" s="201">
        <f t="shared" si="22"/>
        <v>98.797916737066188</v>
      </c>
      <c r="H287" s="344">
        <v>100</v>
      </c>
      <c r="I287" s="4643"/>
      <c r="J287" s="4896"/>
      <c r="K287" s="1205"/>
      <c r="L287" s="1205"/>
    </row>
    <row r="288" spans="1:12" s="5" customFormat="1" ht="15.75" hidden="1" customHeight="1" x14ac:dyDescent="0.25">
      <c r="A288" s="2453"/>
      <c r="B288" s="1139"/>
      <c r="C288" s="61" t="s">
        <v>3854</v>
      </c>
      <c r="D288" s="201">
        <v>1923982000</v>
      </c>
      <c r="E288" s="117">
        <v>1809310000</v>
      </c>
      <c r="F288" s="117"/>
      <c r="G288" s="201">
        <f t="shared" si="22"/>
        <v>94.039861079781417</v>
      </c>
      <c r="H288" s="344">
        <v>100</v>
      </c>
      <c r="I288" s="4643"/>
      <c r="J288" s="4896"/>
      <c r="K288" s="1205"/>
      <c r="L288" s="1205"/>
    </row>
    <row r="289" spans="1:12" s="5" customFormat="1" ht="13.5" hidden="1" customHeight="1" x14ac:dyDescent="0.25">
      <c r="A289" s="2453"/>
      <c r="B289" s="1139"/>
      <c r="C289" s="61" t="s">
        <v>652</v>
      </c>
      <c r="D289" s="201">
        <v>867841000</v>
      </c>
      <c r="E289" s="117">
        <v>834790000</v>
      </c>
      <c r="F289" s="117"/>
      <c r="G289" s="201">
        <f t="shared" si="22"/>
        <v>96.191583481305912</v>
      </c>
      <c r="H289" s="344">
        <v>100</v>
      </c>
      <c r="I289" s="4643"/>
      <c r="J289" s="4896"/>
      <c r="K289" s="1205"/>
      <c r="L289" s="1205"/>
    </row>
    <row r="290" spans="1:12" s="5" customFormat="1" ht="17.25" hidden="1" customHeight="1" x14ac:dyDescent="0.25">
      <c r="A290" s="2453"/>
      <c r="B290" s="1139"/>
      <c r="C290" s="61" t="s">
        <v>653</v>
      </c>
      <c r="D290" s="201">
        <v>497772000</v>
      </c>
      <c r="E290" s="117">
        <v>481368600</v>
      </c>
      <c r="F290" s="117"/>
      <c r="G290" s="201">
        <f t="shared" si="22"/>
        <v>96.704635857380481</v>
      </c>
      <c r="H290" s="344">
        <v>100</v>
      </c>
      <c r="I290" s="4643"/>
      <c r="J290" s="4896"/>
      <c r="K290" s="1205"/>
      <c r="L290" s="1205"/>
    </row>
    <row r="291" spans="1:12" s="5" customFormat="1" ht="16.5" hidden="1" customHeight="1" x14ac:dyDescent="0.25">
      <c r="A291" s="2453"/>
      <c r="B291" s="1139"/>
      <c r="C291" s="61" t="s">
        <v>654</v>
      </c>
      <c r="D291" s="201">
        <v>455950000</v>
      </c>
      <c r="E291" s="117">
        <v>449999000</v>
      </c>
      <c r="F291" s="117"/>
      <c r="G291" s="201">
        <f t="shared" si="22"/>
        <v>98.69481302774426</v>
      </c>
      <c r="H291" s="344">
        <v>100</v>
      </c>
      <c r="I291" s="4643"/>
      <c r="J291" s="4896"/>
      <c r="K291" s="1205"/>
      <c r="L291" s="1205"/>
    </row>
    <row r="292" spans="1:12" s="5" customFormat="1" ht="28.5" hidden="1" customHeight="1" x14ac:dyDescent="0.25">
      <c r="A292" s="2453"/>
      <c r="B292" s="1139"/>
      <c r="C292" s="61" t="s">
        <v>3855</v>
      </c>
      <c r="D292" s="344">
        <v>268394400</v>
      </c>
      <c r="E292" s="117">
        <v>264986777</v>
      </c>
      <c r="F292" s="117"/>
      <c r="G292" s="201">
        <f t="shared" si="22"/>
        <v>98.730367325100673</v>
      </c>
      <c r="H292" s="344">
        <v>100</v>
      </c>
      <c r="I292" s="4643"/>
      <c r="J292" s="4896"/>
      <c r="K292" s="1205"/>
      <c r="L292" s="1205"/>
    </row>
    <row r="293" spans="1:12" s="5" customFormat="1" ht="15" hidden="1" customHeight="1" x14ac:dyDescent="0.25">
      <c r="A293" s="2453"/>
      <c r="B293" s="1139"/>
      <c r="C293" s="61" t="s">
        <v>3856</v>
      </c>
      <c r="D293" s="201">
        <v>50175000</v>
      </c>
      <c r="E293" s="117">
        <v>47237100</v>
      </c>
      <c r="F293" s="117"/>
      <c r="G293" s="201">
        <f t="shared" si="22"/>
        <v>94.144693572496266</v>
      </c>
      <c r="H293" s="344">
        <v>100</v>
      </c>
      <c r="I293" s="4643"/>
      <c r="J293" s="4896"/>
      <c r="K293" s="1205"/>
      <c r="L293" s="1205"/>
    </row>
    <row r="294" spans="1:12" s="5" customFormat="1" ht="15.75" hidden="1" customHeight="1" x14ac:dyDescent="0.25">
      <c r="A294" s="2453"/>
      <c r="B294" s="1139"/>
      <c r="C294" s="61" t="s">
        <v>3857</v>
      </c>
      <c r="D294" s="201">
        <v>5325000</v>
      </c>
      <c r="E294" s="201">
        <v>5325000</v>
      </c>
      <c r="F294" s="201"/>
      <c r="G294" s="201">
        <f t="shared" si="22"/>
        <v>100</v>
      </c>
      <c r="H294" s="344">
        <v>100</v>
      </c>
      <c r="I294" s="4643"/>
      <c r="J294" s="4896"/>
      <c r="K294" s="1205"/>
      <c r="L294" s="1205"/>
    </row>
    <row r="295" spans="1:12" s="5" customFormat="1" ht="14.25" hidden="1" customHeight="1" x14ac:dyDescent="0.25">
      <c r="A295" s="2453"/>
      <c r="B295" s="1139"/>
      <c r="C295" s="61" t="s">
        <v>3858</v>
      </c>
      <c r="D295" s="201">
        <v>1266858800</v>
      </c>
      <c r="E295" s="117">
        <v>1190586600</v>
      </c>
      <c r="F295" s="117"/>
      <c r="G295" s="201">
        <f t="shared" si="22"/>
        <v>93.979423752670783</v>
      </c>
      <c r="H295" s="344">
        <v>100</v>
      </c>
      <c r="I295" s="4643"/>
      <c r="J295" s="4896"/>
      <c r="K295" s="1205"/>
      <c r="L295" s="1205"/>
    </row>
    <row r="296" spans="1:12" s="5" customFormat="1" ht="13.5" hidden="1" customHeight="1" x14ac:dyDescent="0.25">
      <c r="A296" s="2453"/>
      <c r="B296" s="1139"/>
      <c r="C296" s="61" t="s">
        <v>3859</v>
      </c>
      <c r="D296" s="201">
        <v>2011327000</v>
      </c>
      <c r="E296" s="117">
        <v>1921934000</v>
      </c>
      <c r="F296" s="117"/>
      <c r="G296" s="201">
        <f t="shared" si="22"/>
        <v>95.555521305088632</v>
      </c>
      <c r="H296" s="344">
        <v>100</v>
      </c>
      <c r="I296" s="4643"/>
      <c r="J296" s="4896"/>
      <c r="K296" s="1205"/>
      <c r="L296" s="1205"/>
    </row>
    <row r="297" spans="1:12" s="5" customFormat="1" ht="13.5" hidden="1" customHeight="1" x14ac:dyDescent="0.25">
      <c r="A297" s="2453"/>
      <c r="B297" s="1139"/>
      <c r="C297" s="61" t="s">
        <v>3860</v>
      </c>
      <c r="D297" s="201">
        <v>112200000</v>
      </c>
      <c r="E297" s="201">
        <v>112200000</v>
      </c>
      <c r="F297" s="201"/>
      <c r="G297" s="201">
        <f t="shared" si="22"/>
        <v>100</v>
      </c>
      <c r="H297" s="344">
        <v>100</v>
      </c>
      <c r="I297" s="4643"/>
      <c r="J297" s="4896"/>
      <c r="K297" s="1205"/>
      <c r="L297" s="1205"/>
    </row>
    <row r="298" spans="1:12" s="5" customFormat="1" ht="15.75" hidden="1" customHeight="1" x14ac:dyDescent="0.25">
      <c r="A298" s="2453"/>
      <c r="B298" s="1139"/>
      <c r="C298" s="211" t="s">
        <v>655</v>
      </c>
      <c r="D298" s="201">
        <v>256738000</v>
      </c>
      <c r="E298" s="117">
        <v>250408000</v>
      </c>
      <c r="F298" s="117"/>
      <c r="G298" s="201">
        <f t="shared" si="22"/>
        <v>97.534451464138542</v>
      </c>
      <c r="H298" s="344">
        <v>100</v>
      </c>
      <c r="I298" s="4643"/>
      <c r="J298" s="4896"/>
      <c r="K298" s="1205"/>
      <c r="L298" s="1205"/>
    </row>
    <row r="299" spans="1:12" s="5" customFormat="1" ht="15" hidden="1" customHeight="1" x14ac:dyDescent="0.25">
      <c r="A299" s="2453"/>
      <c r="B299" s="1139"/>
      <c r="C299" s="132" t="s">
        <v>656</v>
      </c>
      <c r="D299" s="201">
        <v>395750000</v>
      </c>
      <c r="E299" s="117">
        <v>388820800</v>
      </c>
      <c r="F299" s="117"/>
      <c r="G299" s="201">
        <f t="shared" si="22"/>
        <v>98.24909665192672</v>
      </c>
      <c r="H299" s="344">
        <v>100</v>
      </c>
      <c r="I299" s="4643"/>
      <c r="J299" s="4896"/>
      <c r="K299" s="1205"/>
      <c r="L299" s="1205"/>
    </row>
    <row r="300" spans="1:12" s="5" customFormat="1" ht="15.75" hidden="1" customHeight="1" x14ac:dyDescent="0.25">
      <c r="A300" s="2453"/>
      <c r="B300" s="1139"/>
      <c r="C300" s="211" t="s">
        <v>657</v>
      </c>
      <c r="D300" s="201">
        <v>84045600</v>
      </c>
      <c r="E300" s="117">
        <v>84045600</v>
      </c>
      <c r="F300" s="117"/>
      <c r="G300" s="201">
        <f t="shared" si="22"/>
        <v>100</v>
      </c>
      <c r="H300" s="344">
        <v>100</v>
      </c>
      <c r="I300" s="4643"/>
      <c r="J300" s="4896"/>
      <c r="K300" s="1205"/>
      <c r="L300" s="1205"/>
    </row>
    <row r="301" spans="1:12" s="5" customFormat="1" ht="15.75" hidden="1" customHeight="1" x14ac:dyDescent="0.25">
      <c r="A301" s="2453"/>
      <c r="B301" s="1139"/>
      <c r="C301" s="211" t="s">
        <v>3861</v>
      </c>
      <c r="D301" s="201">
        <v>110500000</v>
      </c>
      <c r="E301" s="117">
        <v>100982950</v>
      </c>
      <c r="F301" s="117"/>
      <c r="G301" s="201">
        <f t="shared" si="22"/>
        <v>91.387285067873307</v>
      </c>
      <c r="H301" s="344">
        <v>100</v>
      </c>
      <c r="I301" s="4643"/>
      <c r="J301" s="4896"/>
      <c r="K301" s="1205"/>
      <c r="L301" s="1205"/>
    </row>
    <row r="302" spans="1:12" s="5" customFormat="1" ht="13.5" hidden="1" customHeight="1" x14ac:dyDescent="0.25">
      <c r="A302" s="2453"/>
      <c r="B302" s="1139"/>
      <c r="C302" s="61" t="s">
        <v>3862</v>
      </c>
      <c r="D302" s="204">
        <v>212775000</v>
      </c>
      <c r="E302" s="1996">
        <v>208716802</v>
      </c>
      <c r="F302" s="1996"/>
      <c r="G302" s="201">
        <f t="shared" si="22"/>
        <v>98.092727999060031</v>
      </c>
      <c r="H302" s="344">
        <v>100</v>
      </c>
      <c r="I302" s="4643"/>
      <c r="J302" s="4896"/>
      <c r="K302" s="1205"/>
      <c r="L302" s="1205"/>
    </row>
    <row r="303" spans="1:12" s="5" customFormat="1" ht="15" hidden="1" customHeight="1" x14ac:dyDescent="0.25">
      <c r="A303" s="2453"/>
      <c r="B303" s="1139"/>
      <c r="C303" s="64" t="s">
        <v>3863</v>
      </c>
      <c r="D303" s="204">
        <v>213575000</v>
      </c>
      <c r="E303" s="1996">
        <v>210822800</v>
      </c>
      <c r="F303" s="1996"/>
      <c r="G303" s="201">
        <f t="shared" si="22"/>
        <v>98.711366030668373</v>
      </c>
      <c r="H303" s="344">
        <v>100</v>
      </c>
      <c r="I303" s="4643"/>
      <c r="J303" s="4896"/>
      <c r="K303" s="1205"/>
      <c r="L303" s="1205"/>
    </row>
    <row r="304" spans="1:12" s="5" customFormat="1" ht="15.75" hidden="1" customHeight="1" x14ac:dyDescent="0.25">
      <c r="A304" s="2453"/>
      <c r="B304" s="1139"/>
      <c r="C304" s="61" t="s">
        <v>3864</v>
      </c>
      <c r="D304" s="204">
        <v>0</v>
      </c>
      <c r="E304" s="204">
        <v>0</v>
      </c>
      <c r="F304" s="204"/>
      <c r="G304" s="204">
        <v>0</v>
      </c>
      <c r="H304" s="204">
        <v>0</v>
      </c>
      <c r="I304" s="4643"/>
      <c r="J304" s="4896"/>
      <c r="K304" s="1205"/>
      <c r="L304" s="1205"/>
    </row>
    <row r="305" spans="1:12" s="5" customFormat="1" ht="17.25" hidden="1" customHeight="1" x14ac:dyDescent="0.25">
      <c r="A305" s="2453"/>
      <c r="B305" s="1139"/>
      <c r="C305" s="61" t="s">
        <v>3865</v>
      </c>
      <c r="D305" s="204">
        <v>500400000</v>
      </c>
      <c r="E305" s="204">
        <v>500400000</v>
      </c>
      <c r="F305" s="204"/>
      <c r="G305" s="201">
        <f t="shared" si="22"/>
        <v>100</v>
      </c>
      <c r="H305" s="344">
        <v>100</v>
      </c>
      <c r="I305" s="4643"/>
      <c r="J305" s="4896"/>
      <c r="K305" s="1205"/>
      <c r="L305" s="1205"/>
    </row>
    <row r="306" spans="1:12" s="5" customFormat="1" ht="17.25" hidden="1" customHeight="1" x14ac:dyDescent="0.25">
      <c r="A306" s="2453"/>
      <c r="B306" s="1139"/>
      <c r="C306" s="61" t="s">
        <v>3866</v>
      </c>
      <c r="D306" s="204">
        <v>1144260000</v>
      </c>
      <c r="E306" s="1996">
        <v>1143260000</v>
      </c>
      <c r="F306" s="1996"/>
      <c r="G306" s="201">
        <f t="shared" si="22"/>
        <v>99.912607274570462</v>
      </c>
      <c r="H306" s="344">
        <v>100</v>
      </c>
      <c r="I306" s="4643"/>
      <c r="J306" s="4896"/>
      <c r="K306" s="1205"/>
      <c r="L306" s="1205"/>
    </row>
    <row r="307" spans="1:12" s="5" customFormat="1" ht="9.75" hidden="1" customHeight="1" x14ac:dyDescent="0.25">
      <c r="A307" s="2453"/>
      <c r="B307" s="1139"/>
      <c r="C307" s="61"/>
      <c r="D307" s="204"/>
      <c r="E307" s="1996"/>
      <c r="F307" s="1996"/>
      <c r="G307" s="201"/>
      <c r="H307" s="344"/>
      <c r="I307" s="4643"/>
      <c r="J307" s="4896"/>
      <c r="K307" s="1205"/>
      <c r="L307" s="1205"/>
    </row>
    <row r="308" spans="1:12" s="5" customFormat="1" ht="17.25" hidden="1" customHeight="1" x14ac:dyDescent="0.25">
      <c r="A308" s="2453"/>
      <c r="B308" s="1139"/>
      <c r="C308" s="216" t="s">
        <v>658</v>
      </c>
      <c r="D308" s="4599">
        <f>SUM(D309:D313)</f>
        <v>2540270000</v>
      </c>
      <c r="E308" s="4599">
        <f>SUM(E309:E313)</f>
        <v>2484163968</v>
      </c>
      <c r="F308" s="4599"/>
      <c r="G308" s="2390">
        <f>E308/D308*100</f>
        <v>97.791335881618878</v>
      </c>
      <c r="H308" s="4600">
        <f>SUM(H309:H313)/4</f>
        <v>100</v>
      </c>
      <c r="I308" s="4643"/>
      <c r="J308" s="4896"/>
      <c r="K308" s="1205"/>
      <c r="L308" s="1205"/>
    </row>
    <row r="309" spans="1:12" s="5" customFormat="1" ht="18" hidden="1" customHeight="1" x14ac:dyDescent="0.25">
      <c r="A309" s="2453"/>
      <c r="B309" s="1139"/>
      <c r="C309" s="132" t="s">
        <v>659</v>
      </c>
      <c r="D309" s="914">
        <v>206840000</v>
      </c>
      <c r="E309" s="4601">
        <v>206840000</v>
      </c>
      <c r="F309" s="4601"/>
      <c r="G309" s="4602">
        <f t="shared" ref="G309:G313" si="23">E309/D309*100</f>
        <v>100</v>
      </c>
      <c r="H309" s="4603">
        <v>100</v>
      </c>
      <c r="I309" s="4643"/>
      <c r="J309" s="4896"/>
      <c r="K309" s="1205"/>
      <c r="L309" s="1205"/>
    </row>
    <row r="310" spans="1:12" s="5" customFormat="1" ht="15" hidden="1" customHeight="1" x14ac:dyDescent="0.25">
      <c r="A310" s="2453"/>
      <c r="B310" s="1139"/>
      <c r="C310" s="132" t="s">
        <v>660</v>
      </c>
      <c r="D310" s="204">
        <v>0</v>
      </c>
      <c r="E310" s="204">
        <v>0</v>
      </c>
      <c r="F310" s="204"/>
      <c r="G310" s="204">
        <v>0</v>
      </c>
      <c r="H310" s="204">
        <v>0</v>
      </c>
      <c r="I310" s="4643"/>
      <c r="J310" s="4896"/>
      <c r="K310" s="1205"/>
      <c r="L310" s="1205"/>
    </row>
    <row r="311" spans="1:12" s="5" customFormat="1" ht="15" hidden="1" customHeight="1" x14ac:dyDescent="0.25">
      <c r="A311" s="2453"/>
      <c r="B311" s="1139"/>
      <c r="C311" s="132" t="s">
        <v>6690</v>
      </c>
      <c r="D311" s="914">
        <v>578700000</v>
      </c>
      <c r="E311" s="914">
        <v>569186700</v>
      </c>
      <c r="F311" s="914"/>
      <c r="G311" s="4602">
        <f t="shared" si="23"/>
        <v>98.356091238983936</v>
      </c>
      <c r="H311" s="4603">
        <v>100</v>
      </c>
      <c r="I311" s="4643"/>
      <c r="J311" s="4896"/>
      <c r="K311" s="1205"/>
      <c r="L311" s="1205"/>
    </row>
    <row r="312" spans="1:12" s="5" customFormat="1" ht="15.75" hidden="1" customHeight="1" x14ac:dyDescent="0.25">
      <c r="A312" s="2453"/>
      <c r="B312" s="1139"/>
      <c r="C312" s="132" t="s">
        <v>661</v>
      </c>
      <c r="D312" s="914">
        <v>789240000</v>
      </c>
      <c r="E312" s="914">
        <v>789240000</v>
      </c>
      <c r="F312" s="914"/>
      <c r="G312" s="4602">
        <f t="shared" si="23"/>
        <v>100</v>
      </c>
      <c r="H312" s="4603">
        <v>100</v>
      </c>
      <c r="I312" s="4643"/>
      <c r="J312" s="4896"/>
      <c r="K312" s="1205"/>
      <c r="L312" s="1205"/>
    </row>
    <row r="313" spans="1:12" s="5" customFormat="1" ht="14.25" hidden="1" customHeight="1" x14ac:dyDescent="0.25">
      <c r="A313" s="2453"/>
      <c r="B313" s="1139"/>
      <c r="C313" s="132" t="s">
        <v>662</v>
      </c>
      <c r="D313" s="4604">
        <v>965490000</v>
      </c>
      <c r="E313" s="4604">
        <v>918897268</v>
      </c>
      <c r="F313" s="4604"/>
      <c r="G313" s="4605">
        <f t="shared" si="23"/>
        <v>95.174188028876529</v>
      </c>
      <c r="H313" s="4603">
        <v>100</v>
      </c>
      <c r="I313" s="4643"/>
      <c r="J313" s="4896"/>
      <c r="K313" s="1205"/>
      <c r="L313" s="1205"/>
    </row>
    <row r="314" spans="1:12" s="5" customFormat="1" ht="9.75" hidden="1" customHeight="1" x14ac:dyDescent="0.25">
      <c r="A314" s="2453"/>
      <c r="B314" s="1139"/>
      <c r="C314" s="61"/>
      <c r="D314" s="201"/>
      <c r="E314" s="117"/>
      <c r="F314" s="117"/>
      <c r="G314" s="201"/>
      <c r="H314" s="344"/>
      <c r="I314" s="4643"/>
      <c r="J314" s="4896"/>
      <c r="K314" s="1205"/>
      <c r="L314" s="1205"/>
    </row>
    <row r="315" spans="1:12" s="5" customFormat="1" ht="16.5" hidden="1" customHeight="1" x14ac:dyDescent="0.25">
      <c r="A315" s="2453"/>
      <c r="B315" s="1139"/>
      <c r="C315" s="216" t="s">
        <v>663</v>
      </c>
      <c r="D315" s="101">
        <f>SUM(D316:D318)</f>
        <v>748083906</v>
      </c>
      <c r="E315" s="101">
        <f>SUM(E316:E318)</f>
        <v>697075175</v>
      </c>
      <c r="F315" s="101"/>
      <c r="G315" s="2390">
        <f>E315/D315*100</f>
        <v>93.181415802307072</v>
      </c>
      <c r="H315" s="116">
        <f>SUM(H316:H318)/3</f>
        <v>100</v>
      </c>
      <c r="I315" s="4643"/>
      <c r="J315" s="4896"/>
      <c r="K315" s="1205"/>
      <c r="L315" s="1205"/>
    </row>
    <row r="316" spans="1:12" s="5" customFormat="1" ht="14.25" hidden="1" customHeight="1" x14ac:dyDescent="0.25">
      <c r="A316" s="2453"/>
      <c r="B316" s="1139"/>
      <c r="C316" s="132" t="s">
        <v>664</v>
      </c>
      <c r="D316" s="914">
        <v>364708906</v>
      </c>
      <c r="E316" s="344">
        <v>355841000</v>
      </c>
      <c r="F316" s="1909"/>
      <c r="G316" s="4605">
        <f t="shared" ref="G316:G318" si="24">E316/D316*100</f>
        <v>97.568497545820833</v>
      </c>
      <c r="H316" s="344">
        <v>100</v>
      </c>
      <c r="I316" s="4643"/>
      <c r="J316" s="4896"/>
      <c r="K316" s="1205"/>
      <c r="L316" s="1205"/>
    </row>
    <row r="317" spans="1:12" s="5" customFormat="1" ht="16.5" hidden="1" customHeight="1" x14ac:dyDescent="0.25">
      <c r="A317" s="2453"/>
      <c r="B317" s="1139"/>
      <c r="C317" s="132" t="s">
        <v>665</v>
      </c>
      <c r="D317" s="914">
        <v>195300000</v>
      </c>
      <c r="E317" s="344">
        <v>194800000</v>
      </c>
      <c r="F317" s="1909"/>
      <c r="G317" s="4605">
        <f t="shared" si="24"/>
        <v>99.743983614951361</v>
      </c>
      <c r="H317" s="344">
        <v>100</v>
      </c>
      <c r="I317" s="4643"/>
      <c r="J317" s="4896"/>
      <c r="K317" s="1205"/>
      <c r="L317" s="1205"/>
    </row>
    <row r="318" spans="1:12" s="5" customFormat="1" ht="15" hidden="1" customHeight="1" x14ac:dyDescent="0.25">
      <c r="A318" s="2453"/>
      <c r="B318" s="1139"/>
      <c r="C318" s="213" t="s">
        <v>666</v>
      </c>
      <c r="D318" s="4606">
        <v>188075000</v>
      </c>
      <c r="E318" s="4606">
        <v>146434175</v>
      </c>
      <c r="F318" s="4606"/>
      <c r="G318" s="4605">
        <f t="shared" si="24"/>
        <v>77.859457663166282</v>
      </c>
      <c r="H318" s="1996">
        <v>100</v>
      </c>
      <c r="I318" s="4644"/>
      <c r="J318" s="4896"/>
      <c r="K318" s="1205"/>
      <c r="L318" s="1205"/>
    </row>
    <row r="319" spans="1:12" s="5" customFormat="1" ht="9.75" hidden="1" customHeight="1" x14ac:dyDescent="0.25">
      <c r="A319" s="2453"/>
      <c r="B319" s="2015"/>
      <c r="C319" s="143"/>
      <c r="D319" s="348"/>
      <c r="E319" s="116"/>
      <c r="F319" s="116"/>
      <c r="G319" s="116"/>
      <c r="H319" s="116"/>
      <c r="I319" s="4643"/>
      <c r="J319" s="4896"/>
      <c r="K319" s="1205"/>
      <c r="L319" s="1205"/>
    </row>
    <row r="320" spans="1:12" s="5" customFormat="1" ht="18" hidden="1" customHeight="1" x14ac:dyDescent="0.25">
      <c r="A320" s="2453"/>
      <c r="B320" s="1139"/>
      <c r="C320" s="195" t="s">
        <v>667</v>
      </c>
      <c r="D320" s="326">
        <f>SUM(D321:D322)</f>
        <v>757500000</v>
      </c>
      <c r="E320" s="326">
        <f>SUM(E321:E322)</f>
        <v>756000000</v>
      </c>
      <c r="F320" s="326"/>
      <c r="G320" s="4607">
        <f>E320/D320*100</f>
        <v>99.801980198019805</v>
      </c>
      <c r="H320" s="108">
        <f>SUM(H321:H322)/2</f>
        <v>50</v>
      </c>
      <c r="I320" s="4645"/>
      <c r="J320" s="4896"/>
      <c r="K320" s="1205"/>
      <c r="L320" s="1205"/>
    </row>
    <row r="321" spans="1:12" s="5" customFormat="1" ht="14.25" hidden="1" customHeight="1" x14ac:dyDescent="0.25">
      <c r="A321" s="2453"/>
      <c r="B321" s="1139"/>
      <c r="C321" s="132" t="s">
        <v>668</v>
      </c>
      <c r="D321" s="201">
        <v>1500000</v>
      </c>
      <c r="E321" s="117">
        <v>0</v>
      </c>
      <c r="F321" s="117"/>
      <c r="G321" s="344">
        <v>0</v>
      </c>
      <c r="H321" s="344">
        <v>0</v>
      </c>
      <c r="I321" s="4643"/>
      <c r="J321" s="4896"/>
      <c r="K321" s="1205"/>
      <c r="L321" s="1205"/>
    </row>
    <row r="322" spans="1:12" s="5" customFormat="1" ht="18" hidden="1" customHeight="1" x14ac:dyDescent="0.25">
      <c r="A322" s="2453"/>
      <c r="B322" s="1139"/>
      <c r="C322" s="132" t="s">
        <v>669</v>
      </c>
      <c r="D322" s="201">
        <v>756000000</v>
      </c>
      <c r="E322" s="4608">
        <v>756000000</v>
      </c>
      <c r="F322" s="4608"/>
      <c r="G322" s="4602">
        <f>E322/D322*100</f>
        <v>100</v>
      </c>
      <c r="H322" s="344">
        <v>100</v>
      </c>
      <c r="I322" s="4643"/>
      <c r="J322" s="4896"/>
      <c r="K322" s="1205"/>
      <c r="L322" s="1205"/>
    </row>
    <row r="323" spans="1:12" s="5" customFormat="1" ht="12" hidden="1" customHeight="1" x14ac:dyDescent="0.25">
      <c r="A323" s="2453"/>
      <c r="B323" s="1139"/>
      <c r="C323" s="214"/>
      <c r="D323" s="411"/>
      <c r="E323" s="117"/>
      <c r="F323" s="117"/>
      <c r="G323" s="201"/>
      <c r="H323" s="344"/>
      <c r="I323" s="4643"/>
      <c r="J323" s="4896"/>
      <c r="K323" s="1205"/>
      <c r="L323" s="1205"/>
    </row>
    <row r="324" spans="1:12" s="5" customFormat="1" ht="17.25" hidden="1" customHeight="1" x14ac:dyDescent="0.25">
      <c r="A324" s="2453"/>
      <c r="B324" s="1139"/>
      <c r="C324" s="138" t="s">
        <v>670</v>
      </c>
      <c r="D324" s="202">
        <f>SUM(D325:D329)</f>
        <v>3059533794</v>
      </c>
      <c r="E324" s="202">
        <f>SUM(E325:E329)</f>
        <v>2854627302</v>
      </c>
      <c r="F324" s="202"/>
      <c r="G324" s="2390">
        <f>E324/D324*100</f>
        <v>93.302689043610542</v>
      </c>
      <c r="H324" s="257">
        <f>SUM(H325:H329)/5</f>
        <v>80</v>
      </c>
      <c r="I324" s="4643"/>
      <c r="J324" s="4896"/>
      <c r="K324" s="1205"/>
      <c r="L324" s="1205"/>
    </row>
    <row r="325" spans="1:12" s="5" customFormat="1" ht="17.25" hidden="1" customHeight="1" x14ac:dyDescent="0.25">
      <c r="A325" s="2453"/>
      <c r="B325" s="1139"/>
      <c r="C325" s="4609" t="s">
        <v>3867</v>
      </c>
      <c r="D325" s="914">
        <v>6768000</v>
      </c>
      <c r="E325" s="117">
        <v>0</v>
      </c>
      <c r="F325" s="117"/>
      <c r="G325" s="117">
        <v>0</v>
      </c>
      <c r="H325" s="117">
        <v>0</v>
      </c>
      <c r="I325" s="4643"/>
      <c r="J325" s="4896"/>
      <c r="K325" s="1205"/>
      <c r="L325" s="1205"/>
    </row>
    <row r="326" spans="1:12" s="5" customFormat="1" ht="15.75" hidden="1" customHeight="1" x14ac:dyDescent="0.25">
      <c r="A326" s="2453"/>
      <c r="B326" s="1139"/>
      <c r="C326" s="132" t="s">
        <v>3868</v>
      </c>
      <c r="D326" s="4608">
        <v>693322000</v>
      </c>
      <c r="E326" s="4608">
        <v>687120000</v>
      </c>
      <c r="F326" s="4608"/>
      <c r="G326" s="4602">
        <f>E326/D326*100</f>
        <v>99.10546614704279</v>
      </c>
      <c r="H326" s="344">
        <v>100</v>
      </c>
      <c r="I326" s="4643"/>
      <c r="J326" s="4896"/>
      <c r="K326" s="1205"/>
      <c r="L326" s="1205"/>
    </row>
    <row r="327" spans="1:12" s="5" customFormat="1" ht="16.5" hidden="1" customHeight="1" x14ac:dyDescent="0.25">
      <c r="A327" s="2453"/>
      <c r="B327" s="1139"/>
      <c r="C327" s="132" t="s">
        <v>3869</v>
      </c>
      <c r="D327" s="4608">
        <v>248993794</v>
      </c>
      <c r="E327" s="117">
        <v>236992500</v>
      </c>
      <c r="F327" s="117"/>
      <c r="G327" s="4602">
        <f t="shared" ref="G327:G329" si="25">E327/D327*100</f>
        <v>95.180083082713296</v>
      </c>
      <c r="H327" s="344">
        <v>100</v>
      </c>
      <c r="I327" s="4643"/>
      <c r="J327" s="4896"/>
      <c r="K327" s="1205"/>
      <c r="L327" s="1205"/>
    </row>
    <row r="328" spans="1:12" s="5" customFormat="1" ht="16.5" hidden="1" customHeight="1" x14ac:dyDescent="0.25">
      <c r="A328" s="2453"/>
      <c r="B328" s="1139"/>
      <c r="C328" s="132" t="s">
        <v>3870</v>
      </c>
      <c r="D328" s="4608">
        <v>163600000</v>
      </c>
      <c r="E328" s="4608">
        <v>113125000</v>
      </c>
      <c r="F328" s="4608"/>
      <c r="G328" s="4602">
        <f t="shared" si="25"/>
        <v>69.147310513447437</v>
      </c>
      <c r="H328" s="344">
        <v>100</v>
      </c>
      <c r="I328" s="4643"/>
      <c r="J328" s="4896"/>
      <c r="K328" s="1205"/>
      <c r="L328" s="1205"/>
    </row>
    <row r="329" spans="1:12" s="5" customFormat="1" ht="16.5" hidden="1" customHeight="1" x14ac:dyDescent="0.25">
      <c r="A329" s="2453"/>
      <c r="B329" s="1139"/>
      <c r="C329" s="132" t="s">
        <v>3871</v>
      </c>
      <c r="D329" s="914">
        <v>1946850000</v>
      </c>
      <c r="E329" s="914">
        <v>1817389802</v>
      </c>
      <c r="F329" s="914"/>
      <c r="G329" s="4602">
        <f t="shared" si="25"/>
        <v>93.350273621491127</v>
      </c>
      <c r="H329" s="344">
        <v>100</v>
      </c>
      <c r="I329" s="4643"/>
      <c r="J329" s="4896"/>
      <c r="K329" s="1205"/>
      <c r="L329" s="1205"/>
    </row>
    <row r="330" spans="1:12" s="5" customFormat="1" ht="8.25" hidden="1" customHeight="1" x14ac:dyDescent="0.25">
      <c r="A330" s="2453"/>
      <c r="B330" s="1139"/>
      <c r="C330" s="143"/>
      <c r="D330" s="348"/>
      <c r="E330" s="2019"/>
      <c r="F330" s="2019"/>
      <c r="G330" s="202"/>
      <c r="H330" s="257"/>
      <c r="I330" s="4643"/>
      <c r="J330" s="4896"/>
      <c r="K330" s="1205"/>
      <c r="L330" s="1205"/>
    </row>
    <row r="331" spans="1:12" s="5" customFormat="1" ht="18.75" hidden="1" customHeight="1" x14ac:dyDescent="0.25">
      <c r="A331" s="2453"/>
      <c r="B331" s="1139"/>
      <c r="C331" s="138" t="s">
        <v>671</v>
      </c>
      <c r="D331" s="202">
        <f>D332</f>
        <v>596457435</v>
      </c>
      <c r="E331" s="202">
        <f>E332</f>
        <v>555333533</v>
      </c>
      <c r="F331" s="202"/>
      <c r="G331" s="2390">
        <f>E331/D331*100</f>
        <v>93.105308176768716</v>
      </c>
      <c r="H331" s="257">
        <f>H332</f>
        <v>100</v>
      </c>
      <c r="I331" s="4643"/>
      <c r="J331" s="4896"/>
      <c r="K331" s="1205"/>
      <c r="L331" s="1205"/>
    </row>
    <row r="332" spans="1:12" s="5" customFormat="1" ht="16.5" hidden="1" customHeight="1" x14ac:dyDescent="0.25">
      <c r="A332" s="2453"/>
      <c r="B332" s="1139"/>
      <c r="C332" s="361" t="s">
        <v>672</v>
      </c>
      <c r="D332" s="207">
        <v>596457435</v>
      </c>
      <c r="E332" s="914">
        <v>555333533</v>
      </c>
      <c r="F332" s="914"/>
      <c r="G332" s="4602">
        <f>E332/D332*100</f>
        <v>93.105308176768716</v>
      </c>
      <c r="H332" s="344">
        <v>100</v>
      </c>
      <c r="I332" s="4643"/>
      <c r="J332" s="4896"/>
      <c r="K332" s="1205"/>
      <c r="L332" s="1205"/>
    </row>
    <row r="333" spans="1:12" s="5" customFormat="1" ht="12" hidden="1" customHeight="1" x14ac:dyDescent="0.25">
      <c r="A333" s="2453"/>
      <c r="B333" s="1139"/>
      <c r="C333" s="61"/>
      <c r="D333" s="201"/>
      <c r="E333" s="117"/>
      <c r="F333" s="117"/>
      <c r="G333" s="117"/>
      <c r="H333" s="117"/>
      <c r="I333" s="4643"/>
      <c r="J333" s="4896"/>
      <c r="K333" s="1205"/>
      <c r="L333" s="1205"/>
    </row>
    <row r="334" spans="1:12" s="5" customFormat="1" ht="15.75" hidden="1" customHeight="1" x14ac:dyDescent="0.25">
      <c r="A334" s="2453"/>
      <c r="B334" s="1139"/>
      <c r="C334" s="216" t="s">
        <v>673</v>
      </c>
      <c r="D334" s="101">
        <f>D335</f>
        <v>435980000</v>
      </c>
      <c r="E334" s="101">
        <f>E335</f>
        <v>433880000</v>
      </c>
      <c r="F334" s="101"/>
      <c r="G334" s="2390">
        <f>E334/D334*100</f>
        <v>99.518326528739848</v>
      </c>
      <c r="H334" s="116">
        <f>H335</f>
        <v>100</v>
      </c>
      <c r="I334" s="4643"/>
      <c r="J334" s="4896"/>
      <c r="K334" s="1205"/>
      <c r="L334" s="1205"/>
    </row>
    <row r="335" spans="1:12" s="5" customFormat="1" ht="18" hidden="1" customHeight="1" x14ac:dyDescent="0.25">
      <c r="A335" s="2453"/>
      <c r="B335" s="1139"/>
      <c r="C335" s="132" t="s">
        <v>674</v>
      </c>
      <c r="D335" s="201">
        <v>435980000</v>
      </c>
      <c r="E335" s="914">
        <v>433880000</v>
      </c>
      <c r="F335" s="914"/>
      <c r="G335" s="4602">
        <f>E335/D335*100</f>
        <v>99.518326528739848</v>
      </c>
      <c r="H335" s="117">
        <v>100</v>
      </c>
      <c r="I335" s="4643"/>
      <c r="J335" s="4896"/>
      <c r="K335" s="1205"/>
      <c r="L335" s="1205"/>
    </row>
    <row r="336" spans="1:12" s="5" customFormat="1" ht="16.5" hidden="1" customHeight="1" x14ac:dyDescent="0.25">
      <c r="A336" s="2453"/>
      <c r="B336" s="1139"/>
      <c r="C336" s="211"/>
      <c r="D336" s="207"/>
      <c r="E336" s="118"/>
      <c r="F336" s="118"/>
      <c r="G336" s="207"/>
      <c r="H336" s="118"/>
      <c r="I336" s="4892"/>
      <c r="J336" s="4873"/>
    </row>
    <row r="337" spans="1:10" s="5" customFormat="1" ht="32.25" hidden="1" customHeight="1" x14ac:dyDescent="0.25">
      <c r="A337" s="2453"/>
      <c r="B337" s="2007"/>
      <c r="C337" s="2028" t="s">
        <v>735</v>
      </c>
      <c r="D337" s="200">
        <f>D338</f>
        <v>1070000000</v>
      </c>
      <c r="E337" s="200">
        <f>E338</f>
        <v>1064100000</v>
      </c>
      <c r="F337" s="200"/>
      <c r="G337" s="200">
        <f>E337/D337*100</f>
        <v>99.44859813084112</v>
      </c>
      <c r="H337" s="346">
        <f>H338</f>
        <v>100</v>
      </c>
      <c r="I337" s="4892"/>
      <c r="J337" s="4873"/>
    </row>
    <row r="338" spans="1:10" s="5" customFormat="1" ht="19.5" hidden="1" customHeight="1" x14ac:dyDescent="0.25">
      <c r="A338" s="2453"/>
      <c r="B338" s="1139"/>
      <c r="C338" s="2013" t="s">
        <v>736</v>
      </c>
      <c r="D338" s="101">
        <f>D339</f>
        <v>1070000000</v>
      </c>
      <c r="E338" s="2392">
        <f>E339</f>
        <v>1064100000</v>
      </c>
      <c r="F338" s="2392"/>
      <c r="G338" s="2390">
        <f>E338/D338*100</f>
        <v>99.44859813084112</v>
      </c>
      <c r="H338" s="2390">
        <f>H339</f>
        <v>100</v>
      </c>
      <c r="I338" s="4892"/>
      <c r="J338" s="4873"/>
    </row>
    <row r="339" spans="1:10" s="5" customFormat="1" ht="19.5" hidden="1" customHeight="1" x14ac:dyDescent="0.25">
      <c r="A339" s="2453"/>
      <c r="B339" s="1139"/>
      <c r="C339" s="132" t="s">
        <v>737</v>
      </c>
      <c r="D339" s="201">
        <v>1070000000</v>
      </c>
      <c r="E339" s="4608">
        <v>1064100000</v>
      </c>
      <c r="F339" s="4608"/>
      <c r="G339" s="4602">
        <f>E339/D339*100</f>
        <v>99.44859813084112</v>
      </c>
      <c r="H339" s="1476">
        <v>100</v>
      </c>
      <c r="I339" s="4892"/>
      <c r="J339" s="4873"/>
    </row>
    <row r="340" spans="1:10" s="5" customFormat="1" ht="16.5" hidden="1" customHeight="1" x14ac:dyDescent="0.25">
      <c r="A340" s="2453"/>
      <c r="B340" s="1139"/>
      <c r="C340" s="211"/>
      <c r="D340" s="207"/>
      <c r="E340" s="118"/>
      <c r="F340" s="118"/>
      <c r="G340" s="207"/>
      <c r="H340" s="118"/>
      <c r="I340" s="4892"/>
      <c r="J340" s="4873"/>
    </row>
    <row r="341" spans="1:10" s="5" customFormat="1" ht="18" hidden="1" customHeight="1" x14ac:dyDescent="0.25">
      <c r="A341" s="2453"/>
      <c r="B341" s="2007"/>
      <c r="C341" s="56" t="s">
        <v>865</v>
      </c>
      <c r="D341" s="200">
        <f>D342</f>
        <v>324848184</v>
      </c>
      <c r="E341" s="200">
        <f>E342</f>
        <v>315322472</v>
      </c>
      <c r="F341" s="200"/>
      <c r="G341" s="200">
        <f>E341/D341*100</f>
        <v>97.067641911151952</v>
      </c>
      <c r="H341" s="346">
        <f>H342</f>
        <v>100</v>
      </c>
      <c r="I341" s="4892"/>
      <c r="J341" s="4873"/>
    </row>
    <row r="342" spans="1:10" s="5" customFormat="1" ht="21.75" hidden="1" customHeight="1" x14ac:dyDescent="0.25">
      <c r="A342" s="2453"/>
      <c r="B342" s="1139"/>
      <c r="C342" s="195" t="s">
        <v>866</v>
      </c>
      <c r="D342" s="101">
        <f>SUM(D343:D345)</f>
        <v>324848184</v>
      </c>
      <c r="E342" s="916">
        <f>SUM(E343:E345)</f>
        <v>315322472</v>
      </c>
      <c r="F342" s="916"/>
      <c r="G342" s="2390">
        <f>E342/D342*100</f>
        <v>97.067641911151952</v>
      </c>
      <c r="H342" s="257">
        <f>SUM(H343:H345)/3</f>
        <v>100</v>
      </c>
      <c r="I342" s="4892"/>
      <c r="J342" s="4873"/>
    </row>
    <row r="343" spans="1:10" s="5" customFormat="1" ht="32.25" hidden="1" customHeight="1" x14ac:dyDescent="0.25">
      <c r="A343" s="2453"/>
      <c r="B343" s="1139"/>
      <c r="C343" s="61" t="s">
        <v>867</v>
      </c>
      <c r="D343" s="201">
        <v>93216000</v>
      </c>
      <c r="E343" s="914">
        <v>93070000</v>
      </c>
      <c r="F343" s="914"/>
      <c r="G343" s="4602">
        <f>E343/D343*100</f>
        <v>99.843374527978028</v>
      </c>
      <c r="H343" s="344">
        <v>100</v>
      </c>
      <c r="I343" s="4892"/>
      <c r="J343" s="4873"/>
    </row>
    <row r="344" spans="1:10" s="5" customFormat="1" ht="17.25" hidden="1" customHeight="1" x14ac:dyDescent="0.25">
      <c r="A344" s="2453"/>
      <c r="B344" s="1139"/>
      <c r="C344" s="2016" t="s">
        <v>868</v>
      </c>
      <c r="D344" s="204">
        <v>196269610</v>
      </c>
      <c r="E344" s="1996">
        <v>193289898</v>
      </c>
      <c r="F344" s="1996"/>
      <c r="G344" s="4602">
        <f t="shared" ref="G344:G345" si="26">E344/D344*100</f>
        <v>98.481827115262519</v>
      </c>
      <c r="H344" s="344">
        <v>100</v>
      </c>
      <c r="I344" s="4892"/>
      <c r="J344" s="4873"/>
    </row>
    <row r="345" spans="1:10" s="5" customFormat="1" ht="16.5" hidden="1" customHeight="1" x14ac:dyDescent="0.25">
      <c r="A345" s="2458"/>
      <c r="B345" s="2012"/>
      <c r="C345" s="2020" t="s">
        <v>869</v>
      </c>
      <c r="D345" s="201">
        <v>35362574</v>
      </c>
      <c r="E345" s="117">
        <v>28962574</v>
      </c>
      <c r="F345" s="117"/>
      <c r="G345" s="4602">
        <f t="shared" si="26"/>
        <v>81.901769933376457</v>
      </c>
      <c r="H345" s="344">
        <v>100</v>
      </c>
      <c r="I345" s="4892"/>
      <c r="J345" s="4873"/>
    </row>
    <row r="346" spans="1:10" ht="12" hidden="1" customHeight="1" x14ac:dyDescent="0.25">
      <c r="B346" s="1024"/>
      <c r="C346" s="64"/>
      <c r="D346" s="2033"/>
      <c r="E346" s="118"/>
      <c r="F346" s="118"/>
      <c r="G346" s="207"/>
      <c r="H346" s="207"/>
      <c r="I346" s="4856"/>
      <c r="J346" s="4857"/>
    </row>
    <row r="347" spans="1:10" ht="17.25" hidden="1" customHeight="1" x14ac:dyDescent="0.25">
      <c r="B347" s="1029"/>
      <c r="C347" s="56" t="s">
        <v>1022</v>
      </c>
      <c r="D347" s="127">
        <f>SUM(D348+D351)</f>
        <v>10935925955</v>
      </c>
      <c r="E347" s="127">
        <f>SUM(E348+E351)</f>
        <v>9857750000</v>
      </c>
      <c r="F347" s="127"/>
      <c r="G347" s="200">
        <f>E347/D347*100</f>
        <v>90.140972429435223</v>
      </c>
      <c r="H347" s="200">
        <f>SUM(H348+H351)/2</f>
        <v>89</v>
      </c>
      <c r="I347" s="4856"/>
      <c r="J347" s="4857"/>
    </row>
    <row r="348" spans="1:10" s="27" customFormat="1" ht="18.75" hidden="1" customHeight="1" x14ac:dyDescent="0.25">
      <c r="A348" s="1027"/>
      <c r="B348" s="1993"/>
      <c r="C348" s="69" t="s">
        <v>1023</v>
      </c>
      <c r="D348" s="202">
        <f>D349</f>
        <v>1439500000</v>
      </c>
      <c r="E348" s="202">
        <f>E349</f>
        <v>1145000000</v>
      </c>
      <c r="F348" s="326"/>
      <c r="G348" s="108">
        <f>E348/D348*100</f>
        <v>79.541507467870787</v>
      </c>
      <c r="H348" s="202">
        <f>H349</f>
        <v>80</v>
      </c>
      <c r="I348" s="4885"/>
      <c r="J348" s="4874"/>
    </row>
    <row r="349" spans="1:10" s="27" customFormat="1" ht="16.5" hidden="1" customHeight="1" x14ac:dyDescent="0.25">
      <c r="A349" s="1027"/>
      <c r="B349" s="1904"/>
      <c r="C349" s="2020" t="s">
        <v>1026</v>
      </c>
      <c r="D349" s="2393">
        <v>1439500000</v>
      </c>
      <c r="E349" s="2391">
        <v>1145000000</v>
      </c>
      <c r="F349" s="2391"/>
      <c r="G349" s="109">
        <f>E349/D349*100</f>
        <v>79.541507467870787</v>
      </c>
      <c r="H349" s="201">
        <v>80</v>
      </c>
      <c r="I349" s="4885"/>
      <c r="J349" s="4874"/>
    </row>
    <row r="350" spans="1:10" s="27" customFormat="1" ht="11.25" hidden="1" customHeight="1" x14ac:dyDescent="0.25">
      <c r="A350" s="1027"/>
      <c r="B350" s="1904"/>
      <c r="C350" s="2020"/>
      <c r="D350" s="201"/>
      <c r="E350" s="201"/>
      <c r="F350" s="201"/>
      <c r="G350" s="201"/>
      <c r="H350" s="201"/>
      <c r="I350" s="4885"/>
      <c r="J350" s="4874"/>
    </row>
    <row r="351" spans="1:10" s="32" customFormat="1" ht="17.25" hidden="1" customHeight="1" x14ac:dyDescent="0.25">
      <c r="A351" s="1095"/>
      <c r="B351" s="1904"/>
      <c r="C351" s="2018" t="s">
        <v>1027</v>
      </c>
      <c r="D351" s="202">
        <f>D352</f>
        <v>9496425955</v>
      </c>
      <c r="E351" s="202">
        <f>E352</f>
        <v>8712750000</v>
      </c>
      <c r="F351" s="326"/>
      <c r="G351" s="108">
        <f>E351/D351*100</f>
        <v>91.747674770344688</v>
      </c>
      <c r="H351" s="202">
        <f>H352</f>
        <v>98</v>
      </c>
      <c r="I351" s="4881"/>
      <c r="J351" s="4882"/>
    </row>
    <row r="352" spans="1:10" s="27" customFormat="1" ht="16.5" hidden="1" customHeight="1" x14ac:dyDescent="0.25">
      <c r="A352" s="1027"/>
      <c r="B352" s="1904"/>
      <c r="C352" s="2020" t="s">
        <v>1031</v>
      </c>
      <c r="D352" s="914">
        <v>9496425955</v>
      </c>
      <c r="E352" s="914">
        <v>8712750000</v>
      </c>
      <c r="F352" s="2391"/>
      <c r="G352" s="109">
        <f>E352/D352*100</f>
        <v>91.747674770344688</v>
      </c>
      <c r="H352" s="201">
        <v>98</v>
      </c>
      <c r="I352" s="4885"/>
      <c r="J352" s="4874"/>
    </row>
    <row r="353" spans="1:10" ht="14.25" hidden="1" customHeight="1" x14ac:dyDescent="0.25">
      <c r="B353" s="1024"/>
      <c r="C353" s="59"/>
      <c r="D353" s="1956"/>
      <c r="E353" s="1956"/>
      <c r="F353" s="1956"/>
      <c r="G353" s="101"/>
      <c r="H353" s="1956"/>
      <c r="I353" s="4856"/>
      <c r="J353" s="4857"/>
    </row>
    <row r="354" spans="1:10" s="1" customFormat="1" ht="17.25" customHeight="1" x14ac:dyDescent="0.25">
      <c r="A354" s="1015"/>
      <c r="B354" s="2455"/>
      <c r="C354" s="422" t="s">
        <v>3069</v>
      </c>
      <c r="D354" s="2382">
        <f>D356+D450+D409+D413+D423+D427+D433+D437+D441+D446</f>
        <v>44163757000</v>
      </c>
      <c r="E354" s="2382">
        <f>E356+E450+E409+E413+E427+E433+E437+E441+E446</f>
        <v>43853757000</v>
      </c>
      <c r="F354" s="1900">
        <f>D354-E354</f>
        <v>310000000</v>
      </c>
      <c r="G354" s="424">
        <f>E354/D354*100</f>
        <v>99.298066964728577</v>
      </c>
      <c r="H354" s="424">
        <f>SUM(H356+H409+H413+H427+H433+H437+H441+H446+H450)/9</f>
        <v>98.888888888888886</v>
      </c>
      <c r="I354" s="4880"/>
      <c r="J354" s="4763"/>
    </row>
    <row r="355" spans="1:10" ht="6" hidden="1" customHeight="1" x14ac:dyDescent="0.25">
      <c r="B355" s="1024"/>
      <c r="C355" s="59"/>
      <c r="D355" s="1929"/>
      <c r="E355" s="1929"/>
      <c r="F355" s="1956"/>
      <c r="G355" s="101"/>
      <c r="H355" s="1956"/>
      <c r="I355" s="4856"/>
      <c r="J355" s="4857"/>
    </row>
    <row r="356" spans="1:10" s="1" customFormat="1" ht="18.75" hidden="1" customHeight="1" x14ac:dyDescent="0.25">
      <c r="A356" s="1015"/>
      <c r="B356" s="1029"/>
      <c r="C356" s="56" t="s">
        <v>630</v>
      </c>
      <c r="D356" s="127">
        <f>D357+D366+D385+D391+D396+D400+D403+D406</f>
        <v>38428707000</v>
      </c>
      <c r="E356" s="127">
        <f>E357+E366+E385+E391+E396+E400+E403+E406</f>
        <v>38428707000</v>
      </c>
      <c r="F356" s="127"/>
      <c r="G356" s="131">
        <f>E356/D356*100</f>
        <v>100</v>
      </c>
      <c r="H356" s="346">
        <f>SUM(H357+H366+H385+H391+H396+H400+H403+H406)/8</f>
        <v>100</v>
      </c>
      <c r="I356" s="4872"/>
      <c r="J356" s="4763"/>
    </row>
    <row r="357" spans="1:10" ht="18" hidden="1" customHeight="1" x14ac:dyDescent="0.25">
      <c r="A357" s="999"/>
      <c r="B357" s="1024"/>
      <c r="C357" s="63" t="s">
        <v>1033</v>
      </c>
      <c r="D357" s="202">
        <f>SUM(D358:D364)</f>
        <v>1703049960</v>
      </c>
      <c r="E357" s="202">
        <f>SUM(E358:E364)</f>
        <v>1703049960</v>
      </c>
      <c r="F357" s="202"/>
      <c r="G357" s="116">
        <f>E357/D357*100</f>
        <v>100</v>
      </c>
      <c r="H357" s="142">
        <f>SUM(H358:H364)/6</f>
        <v>100</v>
      </c>
      <c r="I357" s="4641"/>
      <c r="J357" s="4890"/>
    </row>
    <row r="358" spans="1:10" ht="14.25" hidden="1" customHeight="1" x14ac:dyDescent="0.25">
      <c r="A358" s="999"/>
      <c r="B358" s="1139"/>
      <c r="C358" s="61" t="s">
        <v>1034</v>
      </c>
      <c r="D358" s="675">
        <v>50000000</v>
      </c>
      <c r="E358" s="117">
        <v>50000000</v>
      </c>
      <c r="F358" s="109"/>
      <c r="G358" s="109">
        <f>E358/D358*100</f>
        <v>100</v>
      </c>
      <c r="H358" s="117">
        <v>100</v>
      </c>
      <c r="I358" s="4643"/>
      <c r="J358" s="4890"/>
    </row>
    <row r="359" spans="1:10" ht="14.25" hidden="1" customHeight="1" x14ac:dyDescent="0.25">
      <c r="A359" s="999"/>
      <c r="B359" s="1139"/>
      <c r="C359" s="61" t="s">
        <v>1035</v>
      </c>
      <c r="D359" s="675">
        <v>50000000</v>
      </c>
      <c r="E359" s="201">
        <v>50000000</v>
      </c>
      <c r="F359" s="347"/>
      <c r="G359" s="109">
        <f>E359/D359*100</f>
        <v>100</v>
      </c>
      <c r="H359" s="201">
        <v>100</v>
      </c>
      <c r="I359" s="4643"/>
      <c r="J359" s="4890"/>
    </row>
    <row r="360" spans="1:10" ht="14.25" hidden="1" customHeight="1" x14ac:dyDescent="0.25">
      <c r="A360" s="999"/>
      <c r="B360" s="1139"/>
      <c r="C360" s="61" t="s">
        <v>1036</v>
      </c>
      <c r="D360" s="675">
        <v>70000000</v>
      </c>
      <c r="E360" s="201">
        <v>70000000</v>
      </c>
      <c r="F360" s="347"/>
      <c r="G360" s="109">
        <f t="shared" ref="G360:G364" si="27">E360/D360*100</f>
        <v>100</v>
      </c>
      <c r="H360" s="201">
        <v>100</v>
      </c>
      <c r="I360" s="4643"/>
      <c r="J360" s="4890"/>
    </row>
    <row r="361" spans="1:10" ht="14.25" hidden="1" customHeight="1" x14ac:dyDescent="0.25">
      <c r="A361" s="999"/>
      <c r="B361" s="1139"/>
      <c r="C361" s="61" t="s">
        <v>1037</v>
      </c>
      <c r="D361" s="675">
        <v>1379999960</v>
      </c>
      <c r="E361" s="117">
        <v>1379999960</v>
      </c>
      <c r="F361" s="109"/>
      <c r="G361" s="109">
        <f t="shared" si="27"/>
        <v>100</v>
      </c>
      <c r="H361" s="201">
        <v>100</v>
      </c>
      <c r="I361" s="4643"/>
      <c r="J361" s="4890"/>
    </row>
    <row r="362" spans="1:10" ht="16.5" hidden="1" customHeight="1" x14ac:dyDescent="0.25">
      <c r="A362" s="999"/>
      <c r="B362" s="1139"/>
      <c r="C362" s="61" t="s">
        <v>1038</v>
      </c>
      <c r="D362" s="675">
        <v>0</v>
      </c>
      <c r="E362" s="201">
        <v>0</v>
      </c>
      <c r="F362" s="201"/>
      <c r="G362" s="201">
        <v>0</v>
      </c>
      <c r="H362" s="201">
        <v>0</v>
      </c>
      <c r="I362" s="4643"/>
      <c r="J362" s="4890"/>
    </row>
    <row r="363" spans="1:10" ht="17.25" hidden="1" customHeight="1" x14ac:dyDescent="0.25">
      <c r="A363" s="999"/>
      <c r="B363" s="1139"/>
      <c r="C363" s="61" t="s">
        <v>3921</v>
      </c>
      <c r="D363" s="675">
        <v>93550000</v>
      </c>
      <c r="E363" s="117">
        <v>93550000</v>
      </c>
      <c r="F363" s="109"/>
      <c r="G363" s="109">
        <f t="shared" si="27"/>
        <v>100</v>
      </c>
      <c r="H363" s="117">
        <v>100</v>
      </c>
      <c r="I363" s="4643"/>
      <c r="J363" s="4890"/>
    </row>
    <row r="364" spans="1:10" ht="17.25" hidden="1" customHeight="1" x14ac:dyDescent="0.25">
      <c r="A364" s="999"/>
      <c r="B364" s="1139"/>
      <c r="C364" s="61" t="s">
        <v>3922</v>
      </c>
      <c r="D364" s="675">
        <v>59500000</v>
      </c>
      <c r="E364" s="117">
        <v>59500000</v>
      </c>
      <c r="F364" s="109"/>
      <c r="G364" s="109">
        <f t="shared" si="27"/>
        <v>100</v>
      </c>
      <c r="H364" s="117">
        <v>100</v>
      </c>
      <c r="I364" s="4643"/>
      <c r="J364" s="4890"/>
    </row>
    <row r="365" spans="1:10" ht="10.5" hidden="1" customHeight="1" x14ac:dyDescent="0.25">
      <c r="A365" s="999"/>
      <c r="B365" s="1139"/>
      <c r="C365" s="61"/>
      <c r="D365" s="675"/>
      <c r="E365" s="201"/>
      <c r="F365" s="201"/>
      <c r="G365" s="201"/>
      <c r="H365" s="201"/>
      <c r="I365" s="4643"/>
      <c r="J365" s="4890"/>
    </row>
    <row r="366" spans="1:10" ht="17.25" hidden="1" customHeight="1" x14ac:dyDescent="0.25">
      <c r="A366" s="999"/>
      <c r="B366" s="1024"/>
      <c r="C366" s="63" t="s">
        <v>1039</v>
      </c>
      <c r="D366" s="202">
        <f>SUM(D367:D383)</f>
        <v>2324008000</v>
      </c>
      <c r="E366" s="202">
        <f>SUM(E367:E383)</f>
        <v>2324008000</v>
      </c>
      <c r="F366" s="326"/>
      <c r="G366" s="108">
        <f>E366/D366*100</f>
        <v>100</v>
      </c>
      <c r="H366" s="257">
        <f>SUM(H367:H383)/17</f>
        <v>100</v>
      </c>
      <c r="I366" s="4641"/>
      <c r="J366" s="4890"/>
    </row>
    <row r="367" spans="1:10" ht="18" hidden="1" customHeight="1" x14ac:dyDescent="0.25">
      <c r="A367" s="999"/>
      <c r="B367" s="1139"/>
      <c r="C367" s="61" t="s">
        <v>1040</v>
      </c>
      <c r="D367" s="675">
        <v>100000000</v>
      </c>
      <c r="E367" s="117">
        <v>100000000</v>
      </c>
      <c r="F367" s="109"/>
      <c r="G367" s="109">
        <f t="shared" ref="G367" si="28">E367/D367*100</f>
        <v>100</v>
      </c>
      <c r="H367" s="344">
        <v>100</v>
      </c>
      <c r="I367" s="4643"/>
      <c r="J367" s="4890"/>
    </row>
    <row r="368" spans="1:10" ht="18.75" hidden="1" customHeight="1" x14ac:dyDescent="0.25">
      <c r="A368" s="999"/>
      <c r="B368" s="1139"/>
      <c r="C368" s="61" t="s">
        <v>3923</v>
      </c>
      <c r="D368" s="675">
        <v>53400000</v>
      </c>
      <c r="E368" s="675">
        <v>53400000</v>
      </c>
      <c r="F368" s="675"/>
      <c r="G368" s="117">
        <f>SUM(E368/D368)*100</f>
        <v>100</v>
      </c>
      <c r="H368" s="117">
        <v>100</v>
      </c>
      <c r="I368" s="4643"/>
      <c r="J368" s="4890"/>
    </row>
    <row r="369" spans="1:10" ht="17.25" hidden="1" customHeight="1" x14ac:dyDescent="0.25">
      <c r="A369" s="999"/>
      <c r="B369" s="1139"/>
      <c r="C369" s="61" t="s">
        <v>3924</v>
      </c>
      <c r="D369" s="675">
        <v>840630000</v>
      </c>
      <c r="E369" s="117">
        <v>840630000</v>
      </c>
      <c r="F369" s="117"/>
      <c r="G369" s="117">
        <f t="shared" ref="G369:G383" si="29">SUM(E369/D369)*100</f>
        <v>100</v>
      </c>
      <c r="H369" s="117">
        <v>100</v>
      </c>
      <c r="I369" s="4643"/>
      <c r="J369" s="4890"/>
    </row>
    <row r="370" spans="1:10" ht="18" hidden="1" customHeight="1" x14ac:dyDescent="0.25">
      <c r="A370" s="999"/>
      <c r="B370" s="1139"/>
      <c r="C370" s="61" t="s">
        <v>3925</v>
      </c>
      <c r="D370" s="675">
        <v>158622000</v>
      </c>
      <c r="E370" s="117">
        <v>158622000</v>
      </c>
      <c r="F370" s="117"/>
      <c r="G370" s="117">
        <f t="shared" si="29"/>
        <v>100</v>
      </c>
      <c r="H370" s="117">
        <v>100</v>
      </c>
      <c r="I370" s="4643"/>
      <c r="J370" s="4890"/>
    </row>
    <row r="371" spans="1:10" ht="16.5" hidden="1" customHeight="1" x14ac:dyDescent="0.25">
      <c r="A371" s="999"/>
      <c r="B371" s="1139"/>
      <c r="C371" s="61" t="s">
        <v>3926</v>
      </c>
      <c r="D371" s="675">
        <v>40270000</v>
      </c>
      <c r="E371" s="117">
        <v>40270000</v>
      </c>
      <c r="F371" s="117"/>
      <c r="G371" s="117">
        <f t="shared" si="29"/>
        <v>100</v>
      </c>
      <c r="H371" s="117">
        <v>100</v>
      </c>
      <c r="I371" s="4643"/>
      <c r="J371" s="4890"/>
    </row>
    <row r="372" spans="1:10" ht="17.25" hidden="1" customHeight="1" x14ac:dyDescent="0.25">
      <c r="A372" s="999"/>
      <c r="B372" s="1139"/>
      <c r="C372" s="61" t="s">
        <v>3927</v>
      </c>
      <c r="D372" s="675">
        <v>53000000</v>
      </c>
      <c r="E372" s="117">
        <v>53000000</v>
      </c>
      <c r="F372" s="117"/>
      <c r="G372" s="117">
        <f t="shared" si="29"/>
        <v>100</v>
      </c>
      <c r="H372" s="117">
        <v>100</v>
      </c>
      <c r="I372" s="4643"/>
      <c r="J372" s="4890"/>
    </row>
    <row r="373" spans="1:10" ht="31.5" hidden="1" x14ac:dyDescent="0.25">
      <c r="A373" s="999"/>
      <c r="B373" s="1139"/>
      <c r="C373" s="61" t="s">
        <v>3928</v>
      </c>
      <c r="D373" s="675">
        <v>52380000</v>
      </c>
      <c r="E373" s="117">
        <v>52380000</v>
      </c>
      <c r="F373" s="117"/>
      <c r="G373" s="117">
        <f t="shared" si="29"/>
        <v>100</v>
      </c>
      <c r="H373" s="117">
        <v>100</v>
      </c>
      <c r="I373" s="4643"/>
      <c r="J373" s="4890"/>
    </row>
    <row r="374" spans="1:10" ht="14.25" hidden="1" customHeight="1" x14ac:dyDescent="0.25">
      <c r="A374" s="999"/>
      <c r="B374" s="1139"/>
      <c r="C374" s="61" t="s">
        <v>3929</v>
      </c>
      <c r="D374" s="675">
        <v>67250000</v>
      </c>
      <c r="E374" s="117">
        <v>67250000</v>
      </c>
      <c r="F374" s="117"/>
      <c r="G374" s="117">
        <f t="shared" si="29"/>
        <v>100</v>
      </c>
      <c r="H374" s="117">
        <v>100</v>
      </c>
      <c r="I374" s="4643"/>
      <c r="J374" s="4890"/>
    </row>
    <row r="375" spans="1:10" ht="17.25" hidden="1" customHeight="1" x14ac:dyDescent="0.25">
      <c r="A375" s="999"/>
      <c r="B375" s="1139"/>
      <c r="C375" s="61" t="s">
        <v>3930</v>
      </c>
      <c r="D375" s="675">
        <v>108486000</v>
      </c>
      <c r="E375" s="117">
        <v>108486000</v>
      </c>
      <c r="F375" s="117"/>
      <c r="G375" s="117">
        <f t="shared" si="29"/>
        <v>100</v>
      </c>
      <c r="H375" s="117">
        <v>100</v>
      </c>
      <c r="I375" s="4643"/>
      <c r="J375" s="4890"/>
    </row>
    <row r="376" spans="1:10" ht="14.25" hidden="1" customHeight="1" x14ac:dyDescent="0.25">
      <c r="A376" s="999"/>
      <c r="B376" s="1139"/>
      <c r="C376" s="61" t="s">
        <v>3931</v>
      </c>
      <c r="D376" s="675">
        <v>139296000</v>
      </c>
      <c r="E376" s="117">
        <v>139296000</v>
      </c>
      <c r="F376" s="117"/>
      <c r="G376" s="117">
        <f t="shared" si="29"/>
        <v>100</v>
      </c>
      <c r="H376" s="117">
        <v>100</v>
      </c>
      <c r="I376" s="4643"/>
      <c r="J376" s="4890"/>
    </row>
    <row r="377" spans="1:10" ht="14.25" hidden="1" customHeight="1" x14ac:dyDescent="0.25">
      <c r="A377" s="999"/>
      <c r="B377" s="1139"/>
      <c r="C377" s="61" t="s">
        <v>3932</v>
      </c>
      <c r="D377" s="675">
        <v>143071000</v>
      </c>
      <c r="E377" s="117">
        <v>143071000</v>
      </c>
      <c r="F377" s="117"/>
      <c r="G377" s="117">
        <f t="shared" si="29"/>
        <v>100</v>
      </c>
      <c r="H377" s="117">
        <v>100</v>
      </c>
      <c r="I377" s="4643"/>
      <c r="J377" s="4890"/>
    </row>
    <row r="378" spans="1:10" ht="18" hidden="1" customHeight="1" x14ac:dyDescent="0.25">
      <c r="A378" s="999"/>
      <c r="B378" s="1139"/>
      <c r="C378" s="66" t="s">
        <v>3933</v>
      </c>
      <c r="D378" s="918">
        <v>139296000</v>
      </c>
      <c r="E378" s="1996">
        <v>139296000</v>
      </c>
      <c r="F378" s="1996"/>
      <c r="G378" s="1996">
        <f t="shared" si="29"/>
        <v>100</v>
      </c>
      <c r="H378" s="1996">
        <v>100</v>
      </c>
      <c r="I378" s="4644"/>
      <c r="J378" s="4890"/>
    </row>
    <row r="379" spans="1:10" ht="28.5" hidden="1" customHeight="1" x14ac:dyDescent="0.25">
      <c r="A379" s="999"/>
      <c r="B379" s="2015"/>
      <c r="C379" s="61" t="s">
        <v>3934</v>
      </c>
      <c r="D379" s="675">
        <v>73121000</v>
      </c>
      <c r="E379" s="117">
        <v>73121000</v>
      </c>
      <c r="F379" s="117"/>
      <c r="G379" s="117">
        <f t="shared" si="29"/>
        <v>100</v>
      </c>
      <c r="H379" s="117">
        <v>100</v>
      </c>
      <c r="I379" s="4643"/>
      <c r="J379" s="4890"/>
    </row>
    <row r="380" spans="1:10" ht="31.5" hidden="1" customHeight="1" x14ac:dyDescent="0.25">
      <c r="A380" s="999"/>
      <c r="B380" s="1139"/>
      <c r="C380" s="329" t="s">
        <v>3935</v>
      </c>
      <c r="D380" s="339">
        <v>67072000</v>
      </c>
      <c r="E380" s="109">
        <v>67072000</v>
      </c>
      <c r="F380" s="109"/>
      <c r="G380" s="109">
        <f t="shared" si="29"/>
        <v>100</v>
      </c>
      <c r="H380" s="109">
        <v>100</v>
      </c>
      <c r="I380" s="4645"/>
      <c r="J380" s="4890"/>
    </row>
    <row r="381" spans="1:10" ht="17.25" hidden="1" customHeight="1" x14ac:dyDescent="0.25">
      <c r="A381" s="999"/>
      <c r="B381" s="1139"/>
      <c r="C381" s="61" t="s">
        <v>3937</v>
      </c>
      <c r="D381" s="675">
        <v>83664000</v>
      </c>
      <c r="E381" s="117">
        <v>83664000</v>
      </c>
      <c r="F381" s="117"/>
      <c r="G381" s="117">
        <f t="shared" si="29"/>
        <v>100</v>
      </c>
      <c r="H381" s="117">
        <v>100</v>
      </c>
      <c r="I381" s="4643"/>
      <c r="J381" s="4890"/>
    </row>
    <row r="382" spans="1:10" ht="15" hidden="1" customHeight="1" x14ac:dyDescent="0.25">
      <c r="A382" s="999"/>
      <c r="B382" s="1139"/>
      <c r="C382" s="61" t="s">
        <v>3936</v>
      </c>
      <c r="D382" s="675">
        <v>138118000</v>
      </c>
      <c r="E382" s="117">
        <v>138118000</v>
      </c>
      <c r="F382" s="117"/>
      <c r="G382" s="117">
        <f t="shared" si="29"/>
        <v>100</v>
      </c>
      <c r="H382" s="117">
        <v>100</v>
      </c>
      <c r="I382" s="4643"/>
      <c r="J382" s="4890"/>
    </row>
    <row r="383" spans="1:10" ht="19.5" hidden="1" customHeight="1" x14ac:dyDescent="0.25">
      <c r="A383" s="999"/>
      <c r="B383" s="1139"/>
      <c r="C383" s="61" t="s">
        <v>3938</v>
      </c>
      <c r="D383" s="675">
        <v>66332000</v>
      </c>
      <c r="E383" s="117">
        <v>66332000</v>
      </c>
      <c r="F383" s="117"/>
      <c r="G383" s="117">
        <f t="shared" si="29"/>
        <v>100</v>
      </c>
      <c r="H383" s="117">
        <v>100</v>
      </c>
      <c r="I383" s="4643"/>
      <c r="J383" s="4890"/>
    </row>
    <row r="384" spans="1:10" ht="10.5" hidden="1" customHeight="1" x14ac:dyDescent="0.25">
      <c r="A384" s="999"/>
      <c r="B384" s="1139"/>
      <c r="C384" s="61"/>
      <c r="D384" s="675"/>
      <c r="E384" s="201"/>
      <c r="F384" s="201"/>
      <c r="G384" s="201"/>
      <c r="H384" s="201"/>
      <c r="I384" s="4643"/>
      <c r="J384" s="4890"/>
    </row>
    <row r="385" spans="1:10" ht="20.25" hidden="1" customHeight="1" x14ac:dyDescent="0.25">
      <c r="A385" s="999"/>
      <c r="B385" s="1024"/>
      <c r="C385" s="63" t="s">
        <v>1041</v>
      </c>
      <c r="D385" s="202">
        <f>SUM(D386:D389)</f>
        <v>669166000</v>
      </c>
      <c r="E385" s="202">
        <f>SUM(E386:E389)</f>
        <v>669166000</v>
      </c>
      <c r="F385" s="326"/>
      <c r="G385" s="108">
        <f>E385/D385*100</f>
        <v>100</v>
      </c>
      <c r="H385" s="116">
        <f>SUM(H386:H389)/4</f>
        <v>100</v>
      </c>
      <c r="I385" s="4641"/>
      <c r="J385" s="4890"/>
    </row>
    <row r="386" spans="1:10" ht="15.75" hidden="1" customHeight="1" x14ac:dyDescent="0.25">
      <c r="A386" s="999"/>
      <c r="B386" s="1139"/>
      <c r="C386" s="61" t="s">
        <v>1042</v>
      </c>
      <c r="D386" s="675">
        <v>300000000</v>
      </c>
      <c r="E386" s="117">
        <v>300000000</v>
      </c>
      <c r="F386" s="109"/>
      <c r="G386" s="109">
        <f t="shared" ref="G386:G387" si="30">E386/D386*100</f>
        <v>100</v>
      </c>
      <c r="H386" s="117">
        <v>100</v>
      </c>
      <c r="I386" s="4643"/>
      <c r="J386" s="4890"/>
    </row>
    <row r="387" spans="1:10" ht="15.75" hidden="1" customHeight="1" x14ac:dyDescent="0.25">
      <c r="A387" s="999"/>
      <c r="B387" s="1139"/>
      <c r="C387" s="61" t="s">
        <v>1043</v>
      </c>
      <c r="D387" s="675">
        <v>60000000</v>
      </c>
      <c r="E387" s="201">
        <v>60000000</v>
      </c>
      <c r="F387" s="347"/>
      <c r="G387" s="109">
        <f t="shared" si="30"/>
        <v>100</v>
      </c>
      <c r="H387" s="201">
        <v>100</v>
      </c>
      <c r="I387" s="4643"/>
      <c r="J387" s="4890"/>
    </row>
    <row r="388" spans="1:10" ht="20.25" hidden="1" customHeight="1" x14ac:dyDescent="0.25">
      <c r="A388" s="999"/>
      <c r="B388" s="1139"/>
      <c r="C388" s="61" t="s">
        <v>3939</v>
      </c>
      <c r="D388" s="675">
        <v>161616000</v>
      </c>
      <c r="E388" s="117">
        <v>161616000</v>
      </c>
      <c r="F388" s="117"/>
      <c r="G388" s="117">
        <f t="shared" ref="G388:G389" si="31">SUM(E388/D388)*100</f>
        <v>100</v>
      </c>
      <c r="H388" s="117">
        <v>100</v>
      </c>
      <c r="I388" s="4643"/>
      <c r="J388" s="4890"/>
    </row>
    <row r="389" spans="1:10" ht="14.25" hidden="1" customHeight="1" x14ac:dyDescent="0.25">
      <c r="A389" s="999"/>
      <c r="B389" s="1139"/>
      <c r="C389" s="61" t="s">
        <v>3940</v>
      </c>
      <c r="D389" s="675">
        <v>147550000</v>
      </c>
      <c r="E389" s="117">
        <v>147550000</v>
      </c>
      <c r="F389" s="117"/>
      <c r="G389" s="117">
        <f t="shared" si="31"/>
        <v>100</v>
      </c>
      <c r="H389" s="117">
        <v>100</v>
      </c>
      <c r="I389" s="4643"/>
      <c r="J389" s="4890"/>
    </row>
    <row r="390" spans="1:10" ht="11.25" hidden="1" customHeight="1" x14ac:dyDescent="0.25">
      <c r="A390" s="999"/>
      <c r="B390" s="1139"/>
      <c r="C390" s="61"/>
      <c r="D390" s="675"/>
      <c r="E390" s="201"/>
      <c r="F390" s="201"/>
      <c r="G390" s="201"/>
      <c r="H390" s="201"/>
      <c r="I390" s="4643"/>
      <c r="J390" s="4890"/>
    </row>
    <row r="391" spans="1:10" ht="17.25" hidden="1" customHeight="1" x14ac:dyDescent="0.25">
      <c r="A391" s="999"/>
      <c r="B391" s="1024"/>
      <c r="C391" s="63" t="s">
        <v>1044</v>
      </c>
      <c r="D391" s="202">
        <f>SUM(D392:D394)</f>
        <v>21369683040</v>
      </c>
      <c r="E391" s="202">
        <f>SUM(E392:E394)</f>
        <v>21369683040</v>
      </c>
      <c r="F391" s="326"/>
      <c r="G391" s="108">
        <f>E391/D391*100</f>
        <v>100</v>
      </c>
      <c r="H391" s="257">
        <f>SUM(H392:H394)/3</f>
        <v>100</v>
      </c>
      <c r="I391" s="4641"/>
      <c r="J391" s="4890"/>
    </row>
    <row r="392" spans="1:10" ht="18" hidden="1" customHeight="1" x14ac:dyDescent="0.25">
      <c r="A392" s="999"/>
      <c r="B392" s="1139"/>
      <c r="C392" s="61" t="s">
        <v>1045</v>
      </c>
      <c r="D392" s="675">
        <v>999950000</v>
      </c>
      <c r="E392" s="117">
        <v>999950000</v>
      </c>
      <c r="F392" s="109"/>
      <c r="G392" s="109">
        <f t="shared" ref="G392:G393" si="32">E392/D392*100</f>
        <v>100</v>
      </c>
      <c r="H392" s="117">
        <v>100</v>
      </c>
      <c r="I392" s="4643"/>
      <c r="J392" s="4890"/>
    </row>
    <row r="393" spans="1:10" ht="20.25" hidden="1" customHeight="1" x14ac:dyDescent="0.25">
      <c r="A393" s="999"/>
      <c r="B393" s="1139"/>
      <c r="C393" s="61" t="s">
        <v>1046</v>
      </c>
      <c r="D393" s="675">
        <v>20217203040</v>
      </c>
      <c r="E393" s="117">
        <v>20217203040</v>
      </c>
      <c r="F393" s="109"/>
      <c r="G393" s="109">
        <f t="shared" si="32"/>
        <v>100</v>
      </c>
      <c r="H393" s="117">
        <v>100</v>
      </c>
      <c r="I393" s="4643"/>
      <c r="J393" s="4890"/>
    </row>
    <row r="394" spans="1:10" ht="18.75" hidden="1" customHeight="1" x14ac:dyDescent="0.25">
      <c r="A394" s="999"/>
      <c r="B394" s="1139"/>
      <c r="C394" s="61" t="s">
        <v>3941</v>
      </c>
      <c r="D394" s="675">
        <v>152530000</v>
      </c>
      <c r="E394" s="117">
        <v>152530000</v>
      </c>
      <c r="F394" s="109"/>
      <c r="G394" s="109">
        <f>E394/D394*100</f>
        <v>100</v>
      </c>
      <c r="H394" s="117">
        <v>100</v>
      </c>
      <c r="I394" s="4643"/>
      <c r="J394" s="4890"/>
    </row>
    <row r="395" spans="1:10" ht="12" hidden="1" customHeight="1" x14ac:dyDescent="0.25">
      <c r="A395" s="999"/>
      <c r="B395" s="1139"/>
      <c r="C395" s="61"/>
      <c r="D395" s="675"/>
      <c r="E395" s="201"/>
      <c r="F395" s="201"/>
      <c r="G395" s="201"/>
      <c r="H395" s="201"/>
      <c r="I395" s="4643"/>
      <c r="J395" s="4890"/>
    </row>
    <row r="396" spans="1:10" ht="20.25" hidden="1" customHeight="1" x14ac:dyDescent="0.25">
      <c r="A396" s="999"/>
      <c r="B396" s="1024"/>
      <c r="C396" s="63" t="s">
        <v>1047</v>
      </c>
      <c r="D396" s="202">
        <f>SUM(D397:D398)</f>
        <v>350000000</v>
      </c>
      <c r="E396" s="202">
        <f>SUM(E397:E398)</f>
        <v>350000000</v>
      </c>
      <c r="F396" s="326"/>
      <c r="G396" s="108">
        <f>E396/D396*100</f>
        <v>100</v>
      </c>
      <c r="H396" s="257">
        <f>SUM(H397:H398)/2</f>
        <v>100</v>
      </c>
      <c r="I396" s="4641"/>
      <c r="J396" s="4890"/>
    </row>
    <row r="397" spans="1:10" ht="14.25" hidden="1" customHeight="1" x14ac:dyDescent="0.25">
      <c r="A397" s="999"/>
      <c r="B397" s="1139"/>
      <c r="C397" s="61" t="s">
        <v>4739</v>
      </c>
      <c r="D397" s="675">
        <v>100000000</v>
      </c>
      <c r="E397" s="117">
        <v>100000000</v>
      </c>
      <c r="F397" s="109"/>
      <c r="G397" s="109">
        <f t="shared" ref="G397:G398" si="33">E397/D397*100</f>
        <v>100</v>
      </c>
      <c r="H397" s="117">
        <v>100</v>
      </c>
      <c r="I397" s="4643"/>
      <c r="J397" s="4890"/>
    </row>
    <row r="398" spans="1:10" ht="18" hidden="1" customHeight="1" x14ac:dyDescent="0.25">
      <c r="A398" s="999"/>
      <c r="B398" s="1139"/>
      <c r="C398" s="61" t="s">
        <v>1048</v>
      </c>
      <c r="D398" s="675">
        <v>250000000</v>
      </c>
      <c r="E398" s="117">
        <v>250000000</v>
      </c>
      <c r="F398" s="109"/>
      <c r="G398" s="109">
        <f t="shared" si="33"/>
        <v>100</v>
      </c>
      <c r="H398" s="117">
        <v>100</v>
      </c>
      <c r="I398" s="4643"/>
      <c r="J398" s="4890"/>
    </row>
    <row r="399" spans="1:10" ht="9.75" hidden="1" customHeight="1" x14ac:dyDescent="0.25">
      <c r="A399" s="999"/>
      <c r="B399" s="1139"/>
      <c r="C399" s="61"/>
      <c r="D399" s="675"/>
      <c r="E399" s="675"/>
      <c r="F399" s="675"/>
      <c r="G399" s="201"/>
      <c r="H399" s="344"/>
      <c r="I399" s="4643"/>
      <c r="J399" s="4890"/>
    </row>
    <row r="400" spans="1:10" ht="20.25" hidden="1" customHeight="1" x14ac:dyDescent="0.25">
      <c r="A400" s="999"/>
      <c r="B400" s="1139"/>
      <c r="C400" s="63" t="s">
        <v>1049</v>
      </c>
      <c r="D400" s="202">
        <f>D401</f>
        <v>100000000</v>
      </c>
      <c r="E400" s="202">
        <f>E401</f>
        <v>100000000</v>
      </c>
      <c r="F400" s="202"/>
      <c r="G400" s="116">
        <f>SUM(E400/D400)*100</f>
        <v>100</v>
      </c>
      <c r="H400" s="116">
        <f>H401</f>
        <v>100</v>
      </c>
      <c r="I400" s="4643"/>
      <c r="J400" s="4890"/>
    </row>
    <row r="401" spans="1:10" ht="18" hidden="1" customHeight="1" x14ac:dyDescent="0.25">
      <c r="A401" s="999"/>
      <c r="B401" s="1139"/>
      <c r="C401" s="61" t="s">
        <v>1050</v>
      </c>
      <c r="D401" s="201">
        <v>100000000</v>
      </c>
      <c r="E401" s="117">
        <v>100000000</v>
      </c>
      <c r="F401" s="117"/>
      <c r="G401" s="117">
        <f>SUM(E401/D401)*100</f>
        <v>100</v>
      </c>
      <c r="H401" s="117">
        <v>100</v>
      </c>
      <c r="I401" s="4643"/>
      <c r="J401" s="4890"/>
    </row>
    <row r="402" spans="1:10" ht="10.5" hidden="1" customHeight="1" x14ac:dyDescent="0.25">
      <c r="A402" s="999"/>
      <c r="B402" s="1139"/>
      <c r="C402" s="61"/>
      <c r="D402" s="675"/>
      <c r="E402" s="675"/>
      <c r="F402" s="675"/>
      <c r="G402" s="201"/>
      <c r="H402" s="344"/>
      <c r="I402" s="4643"/>
      <c r="J402" s="4890"/>
    </row>
    <row r="403" spans="1:10" ht="18" hidden="1" customHeight="1" x14ac:dyDescent="0.25">
      <c r="A403" s="999"/>
      <c r="B403" s="1139"/>
      <c r="C403" s="63" t="s">
        <v>1051</v>
      </c>
      <c r="D403" s="202">
        <f>D404</f>
        <v>250000000</v>
      </c>
      <c r="E403" s="202">
        <f>E404</f>
        <v>250000000</v>
      </c>
      <c r="F403" s="202"/>
      <c r="G403" s="116">
        <f>SUM(E403/D403)*100</f>
        <v>100</v>
      </c>
      <c r="H403" s="116">
        <v>100</v>
      </c>
      <c r="I403" s="4643"/>
      <c r="J403" s="4890"/>
    </row>
    <row r="404" spans="1:10" ht="17.25" hidden="1" customHeight="1" x14ac:dyDescent="0.25">
      <c r="A404" s="999"/>
      <c r="B404" s="1024"/>
      <c r="C404" s="66" t="s">
        <v>1052</v>
      </c>
      <c r="D404" s="204">
        <v>250000000</v>
      </c>
      <c r="E404" s="117">
        <v>250000000</v>
      </c>
      <c r="F404" s="117"/>
      <c r="G404" s="117">
        <f>SUM(E404/D404)*100</f>
        <v>100</v>
      </c>
      <c r="H404" s="117">
        <v>100</v>
      </c>
      <c r="I404" s="4637"/>
      <c r="J404" s="4890"/>
    </row>
    <row r="405" spans="1:10" ht="9" hidden="1" customHeight="1" x14ac:dyDescent="0.25">
      <c r="A405" s="999"/>
      <c r="B405" s="1024"/>
      <c r="C405" s="99"/>
      <c r="D405" s="1956"/>
      <c r="E405" s="1956"/>
      <c r="F405" s="1956"/>
      <c r="G405" s="1956"/>
      <c r="H405" s="1956"/>
      <c r="I405" s="4637"/>
      <c r="J405" s="4890"/>
    </row>
    <row r="406" spans="1:10" ht="20.25" hidden="1" customHeight="1" x14ac:dyDescent="0.25">
      <c r="A406" s="999"/>
      <c r="B406" s="1024"/>
      <c r="C406" s="63" t="s">
        <v>3942</v>
      </c>
      <c r="D406" s="202">
        <f>D407</f>
        <v>11662800000</v>
      </c>
      <c r="E406" s="202">
        <f>E407</f>
        <v>11662800000</v>
      </c>
      <c r="F406" s="202"/>
      <c r="G406" s="116">
        <f>SUM(E406/D406)*100</f>
        <v>100</v>
      </c>
      <c r="H406" s="116">
        <v>100</v>
      </c>
      <c r="I406" s="4637"/>
      <c r="J406" s="4890"/>
    </row>
    <row r="407" spans="1:10" ht="21" hidden="1" customHeight="1" x14ac:dyDescent="0.25">
      <c r="A407" s="999"/>
      <c r="B407" s="1024"/>
      <c r="C407" s="61" t="s">
        <v>3943</v>
      </c>
      <c r="D407" s="201">
        <v>11662800000</v>
      </c>
      <c r="E407" s="117">
        <v>11662800000</v>
      </c>
      <c r="F407" s="117"/>
      <c r="G407" s="117">
        <f>SUM(E407/D407)*100</f>
        <v>100</v>
      </c>
      <c r="H407" s="117">
        <v>100</v>
      </c>
      <c r="I407" s="4637"/>
      <c r="J407" s="4890"/>
    </row>
    <row r="408" spans="1:10" ht="12" hidden="1" customHeight="1" x14ac:dyDescent="0.25">
      <c r="B408" s="2105"/>
      <c r="C408" s="2394"/>
      <c r="D408" s="1956"/>
      <c r="E408" s="1956"/>
      <c r="F408" s="1956"/>
      <c r="G408" s="101"/>
      <c r="H408" s="2205"/>
      <c r="I408" s="4856"/>
      <c r="J408" s="4857"/>
    </row>
    <row r="409" spans="1:10" ht="19.5" hidden="1" customHeight="1" x14ac:dyDescent="0.25">
      <c r="B409" s="2105"/>
      <c r="C409" s="56" t="s">
        <v>1112</v>
      </c>
      <c r="D409" s="200">
        <f>D410</f>
        <v>500000000</v>
      </c>
      <c r="E409" s="200">
        <f>E410</f>
        <v>500000000</v>
      </c>
      <c r="F409" s="200"/>
      <c r="G409" s="200">
        <f>SUM(E409/D409)*100</f>
        <v>100</v>
      </c>
      <c r="H409" s="346">
        <f>H410</f>
        <v>100</v>
      </c>
      <c r="I409" s="4856"/>
      <c r="J409" s="4857"/>
    </row>
    <row r="410" spans="1:10" ht="21.75" hidden="1" customHeight="1" x14ac:dyDescent="0.25">
      <c r="B410" s="1024"/>
      <c r="C410" s="69" t="s">
        <v>1113</v>
      </c>
      <c r="D410" s="326">
        <f>SUM(D411)</f>
        <v>500000000</v>
      </c>
      <c r="E410" s="326">
        <f>SUM(E411)</f>
        <v>500000000</v>
      </c>
      <c r="F410" s="326"/>
      <c r="G410" s="142">
        <f>SUM(E410/D410)*100</f>
        <v>100</v>
      </c>
      <c r="H410" s="1924">
        <f>H411</f>
        <v>100</v>
      </c>
      <c r="I410" s="4856"/>
      <c r="J410" s="4857"/>
    </row>
    <row r="411" spans="1:10" ht="18" hidden="1" customHeight="1" x14ac:dyDescent="0.25">
      <c r="B411" s="1024"/>
      <c r="C411" s="61" t="s">
        <v>1114</v>
      </c>
      <c r="D411" s="201">
        <v>500000000</v>
      </c>
      <c r="E411" s="117">
        <v>500000000</v>
      </c>
      <c r="F411" s="117"/>
      <c r="G411" s="140">
        <f>SUM(E411/D411)*100</f>
        <v>100</v>
      </c>
      <c r="H411" s="344">
        <v>100</v>
      </c>
      <c r="I411" s="4856"/>
      <c r="J411" s="4857"/>
    </row>
    <row r="412" spans="1:10" ht="12" hidden="1" customHeight="1" x14ac:dyDescent="0.25">
      <c r="B412" s="2105"/>
      <c r="C412" s="100"/>
      <c r="D412" s="1956"/>
      <c r="E412" s="1956"/>
      <c r="F412" s="1956"/>
      <c r="G412" s="101"/>
      <c r="H412" s="1956"/>
      <c r="I412" s="4856"/>
      <c r="J412" s="4857"/>
    </row>
    <row r="413" spans="1:10" ht="22.5" hidden="1" customHeight="1" x14ac:dyDescent="0.25">
      <c r="B413" s="2105"/>
      <c r="C413" s="56" t="s">
        <v>3221</v>
      </c>
      <c r="D413" s="127">
        <f>D414+D417+D420</f>
        <v>450000000</v>
      </c>
      <c r="E413" s="127">
        <f>E414+E417+E420</f>
        <v>450000000</v>
      </c>
      <c r="F413" s="127"/>
      <c r="G413" s="200">
        <f>E413/D413*100</f>
        <v>100</v>
      </c>
      <c r="H413" s="200">
        <f>SUM(H414+H417+H420)/3</f>
        <v>100</v>
      </c>
      <c r="I413" s="4856"/>
      <c r="J413" s="4857"/>
    </row>
    <row r="414" spans="1:10" ht="22.5" hidden="1" customHeight="1" x14ac:dyDescent="0.25">
      <c r="B414" s="1024"/>
      <c r="C414" s="63" t="s">
        <v>1122</v>
      </c>
      <c r="D414" s="202">
        <f>SUM(D415)</f>
        <v>100000000</v>
      </c>
      <c r="E414" s="202">
        <f>SUM(E415)</f>
        <v>100000000</v>
      </c>
      <c r="F414" s="101"/>
      <c r="G414" s="101">
        <f>E414/D414*100</f>
        <v>100</v>
      </c>
      <c r="H414" s="101">
        <f>H415</f>
        <v>100</v>
      </c>
      <c r="I414" s="4856"/>
      <c r="J414" s="4857"/>
    </row>
    <row r="415" spans="1:10" ht="18.75" hidden="1" customHeight="1" x14ac:dyDescent="0.25">
      <c r="B415" s="1024"/>
      <c r="C415" s="61" t="s">
        <v>1123</v>
      </c>
      <c r="D415" s="201">
        <v>100000000</v>
      </c>
      <c r="E415" s="117">
        <v>100000000</v>
      </c>
      <c r="F415" s="117"/>
      <c r="G415" s="117">
        <f>E415/D415*100</f>
        <v>100</v>
      </c>
      <c r="H415" s="117">
        <v>100</v>
      </c>
      <c r="I415" s="4856"/>
      <c r="J415" s="4857"/>
    </row>
    <row r="416" spans="1:10" ht="12" hidden="1" customHeight="1" x14ac:dyDescent="0.25">
      <c r="B416" s="1024"/>
      <c r="C416" s="59"/>
      <c r="D416" s="348"/>
      <c r="E416" s="348"/>
      <c r="F416" s="348"/>
      <c r="G416" s="202"/>
      <c r="H416" s="348"/>
      <c r="I416" s="4856"/>
      <c r="J416" s="4857"/>
    </row>
    <row r="417" spans="2:10" ht="21.75" hidden="1" customHeight="1" x14ac:dyDescent="0.25">
      <c r="B417" s="1993"/>
      <c r="C417" s="63" t="s">
        <v>1126</v>
      </c>
      <c r="D417" s="202">
        <f>D418</f>
        <v>150000000</v>
      </c>
      <c r="E417" s="202">
        <f>E418</f>
        <v>150000000</v>
      </c>
      <c r="F417" s="202"/>
      <c r="G417" s="202">
        <f>E417/D417*100</f>
        <v>100</v>
      </c>
      <c r="H417" s="202">
        <f>H418</f>
        <v>100</v>
      </c>
      <c r="I417" s="4856"/>
      <c r="J417" s="4857"/>
    </row>
    <row r="418" spans="2:10" ht="18.75" hidden="1" customHeight="1" x14ac:dyDescent="0.25">
      <c r="B418" s="1024"/>
      <c r="C418" s="329" t="s">
        <v>1127</v>
      </c>
      <c r="D418" s="347">
        <v>150000000</v>
      </c>
      <c r="E418" s="109">
        <v>150000000</v>
      </c>
      <c r="F418" s="109"/>
      <c r="G418" s="109">
        <f>SUM(E418/D418)*100</f>
        <v>100</v>
      </c>
      <c r="H418" s="1476">
        <v>100</v>
      </c>
      <c r="I418" s="4856"/>
      <c r="J418" s="4857"/>
    </row>
    <row r="419" spans="2:10" ht="12" hidden="1" customHeight="1" x14ac:dyDescent="0.25">
      <c r="B419" s="1993"/>
      <c r="C419" s="69"/>
      <c r="D419" s="348"/>
      <c r="E419" s="348"/>
      <c r="F419" s="348"/>
      <c r="G419" s="202"/>
      <c r="H419" s="348"/>
      <c r="I419" s="4856"/>
      <c r="J419" s="4857"/>
    </row>
    <row r="420" spans="2:10" ht="27" hidden="1" customHeight="1" x14ac:dyDescent="0.25">
      <c r="B420" s="1024"/>
      <c r="C420" s="69" t="s">
        <v>1131</v>
      </c>
      <c r="D420" s="326">
        <f>D421</f>
        <v>200000000</v>
      </c>
      <c r="E420" s="326">
        <f>E421</f>
        <v>200000000</v>
      </c>
      <c r="F420" s="326"/>
      <c r="G420" s="326">
        <f>E420/D420*100</f>
        <v>100</v>
      </c>
      <c r="H420" s="326">
        <f>H421</f>
        <v>100</v>
      </c>
      <c r="I420" s="4856"/>
      <c r="J420" s="4857"/>
    </row>
    <row r="421" spans="2:10" ht="22.5" hidden="1" customHeight="1" x14ac:dyDescent="0.25">
      <c r="B421" s="1024"/>
      <c r="C421" s="61" t="s">
        <v>1132</v>
      </c>
      <c r="D421" s="201">
        <v>200000000</v>
      </c>
      <c r="E421" s="201">
        <v>200000000</v>
      </c>
      <c r="F421" s="201"/>
      <c r="G421" s="117">
        <f>SUM(E421/D421)*100</f>
        <v>100</v>
      </c>
      <c r="H421" s="201">
        <v>100</v>
      </c>
      <c r="I421" s="4856"/>
      <c r="J421" s="4857"/>
    </row>
    <row r="422" spans="2:10" ht="12" hidden="1" customHeight="1" x14ac:dyDescent="0.25">
      <c r="B422" s="1024"/>
      <c r="C422" s="59"/>
      <c r="D422" s="1956"/>
      <c r="E422" s="1956"/>
      <c r="F422" s="1956"/>
      <c r="G422" s="101"/>
      <c r="H422" s="1956"/>
      <c r="I422" s="4856"/>
      <c r="J422" s="4857"/>
    </row>
    <row r="423" spans="2:10" ht="19.5" hidden="1" customHeight="1" x14ac:dyDescent="0.25">
      <c r="B423" s="1029"/>
      <c r="C423" s="56" t="s">
        <v>1148</v>
      </c>
      <c r="D423" s="2395"/>
      <c r="E423" s="2395"/>
      <c r="F423" s="2395"/>
      <c r="G423" s="200"/>
      <c r="H423" s="2395"/>
      <c r="I423" s="4856"/>
      <c r="J423" s="4857"/>
    </row>
    <row r="424" spans="2:10" ht="21" hidden="1" customHeight="1" x14ac:dyDescent="0.25">
      <c r="B424" s="1024"/>
      <c r="C424" s="59" t="s">
        <v>1149</v>
      </c>
      <c r="D424" s="1956"/>
      <c r="E424" s="1956"/>
      <c r="F424" s="1956"/>
      <c r="G424" s="101"/>
      <c r="H424" s="1956"/>
      <c r="I424" s="4856"/>
      <c r="J424" s="4857"/>
    </row>
    <row r="425" spans="2:10" ht="20.25" hidden="1" customHeight="1" x14ac:dyDescent="0.25">
      <c r="B425" s="1024"/>
      <c r="C425" s="61" t="s">
        <v>1151</v>
      </c>
      <c r="D425" s="348" t="s">
        <v>3317</v>
      </c>
      <c r="E425" s="348" t="s">
        <v>3317</v>
      </c>
      <c r="F425" s="348"/>
      <c r="G425" s="202" t="s">
        <v>3317</v>
      </c>
      <c r="H425" s="348" t="s">
        <v>3317</v>
      </c>
      <c r="I425" s="4856"/>
      <c r="J425" s="4857"/>
    </row>
    <row r="426" spans="2:10" ht="12" hidden="1" customHeight="1" x14ac:dyDescent="0.25">
      <c r="B426" s="1024"/>
      <c r="C426" s="99"/>
      <c r="D426" s="1956"/>
      <c r="E426" s="1956"/>
      <c r="F426" s="1956"/>
      <c r="G426" s="101"/>
      <c r="H426" s="1956"/>
      <c r="I426" s="4856"/>
      <c r="J426" s="4857"/>
    </row>
    <row r="427" spans="2:10" ht="18.75" hidden="1" customHeight="1" x14ac:dyDescent="0.25">
      <c r="B427" s="1029"/>
      <c r="C427" s="56" t="s">
        <v>1155</v>
      </c>
      <c r="D427" s="200">
        <f>D428</f>
        <v>450000000</v>
      </c>
      <c r="E427" s="200">
        <f>E428</f>
        <v>450000000</v>
      </c>
      <c r="F427" s="200"/>
      <c r="G427" s="200">
        <f>G428</f>
        <v>100</v>
      </c>
      <c r="H427" s="200">
        <f>H428</f>
        <v>100</v>
      </c>
      <c r="I427" s="4856"/>
      <c r="J427" s="4857"/>
    </row>
    <row r="428" spans="2:10" ht="30" hidden="1" customHeight="1" x14ac:dyDescent="0.25">
      <c r="B428" s="1024"/>
      <c r="C428" s="69" t="s">
        <v>1156</v>
      </c>
      <c r="D428" s="2231">
        <f>SUM(D429:D431)</f>
        <v>450000000</v>
      </c>
      <c r="E428" s="2231">
        <f>SUM(E429:E431)</f>
        <v>450000000</v>
      </c>
      <c r="F428" s="2231"/>
      <c r="G428" s="101">
        <f>E428/D428*100</f>
        <v>100</v>
      </c>
      <c r="H428" s="101">
        <f>SUM(H429:H431)/3</f>
        <v>100</v>
      </c>
      <c r="I428" s="4856"/>
      <c r="J428" s="4857"/>
    </row>
    <row r="429" spans="2:10" ht="16.5" hidden="1" customHeight="1" x14ac:dyDescent="0.25">
      <c r="B429" s="1024"/>
      <c r="C429" s="66" t="s">
        <v>1157</v>
      </c>
      <c r="D429" s="204">
        <v>150000000</v>
      </c>
      <c r="E429" s="117">
        <v>150000000</v>
      </c>
      <c r="F429" s="117"/>
      <c r="G429" s="117">
        <f t="shared" ref="G429:G430" si="34">SUM(E429/D429)*100</f>
        <v>100</v>
      </c>
      <c r="H429" s="117">
        <v>100</v>
      </c>
      <c r="I429" s="4856"/>
      <c r="J429" s="4857"/>
    </row>
    <row r="430" spans="2:10" ht="17.25" hidden="1" customHeight="1" x14ac:dyDescent="0.25">
      <c r="B430" s="1024"/>
      <c r="C430" s="61" t="s">
        <v>1158</v>
      </c>
      <c r="D430" s="201">
        <v>150000000</v>
      </c>
      <c r="E430" s="201">
        <v>150000000</v>
      </c>
      <c r="F430" s="201"/>
      <c r="G430" s="117">
        <f t="shared" si="34"/>
        <v>100</v>
      </c>
      <c r="H430" s="201">
        <v>100</v>
      </c>
      <c r="I430" s="4856"/>
      <c r="J430" s="4857"/>
    </row>
    <row r="431" spans="2:10" ht="18.75" hidden="1" customHeight="1" x14ac:dyDescent="0.25">
      <c r="B431" s="1024"/>
      <c r="C431" s="61" t="s">
        <v>1162</v>
      </c>
      <c r="D431" s="201">
        <v>150000000</v>
      </c>
      <c r="E431" s="201">
        <v>150000000</v>
      </c>
      <c r="F431" s="201"/>
      <c r="G431" s="201">
        <v>100</v>
      </c>
      <c r="H431" s="201">
        <v>100</v>
      </c>
      <c r="I431" s="4856"/>
      <c r="J431" s="4857"/>
    </row>
    <row r="432" spans="2:10" ht="12" hidden="1" customHeight="1" x14ac:dyDescent="0.25">
      <c r="B432" s="1024"/>
      <c r="C432" s="99"/>
      <c r="D432" s="1956"/>
      <c r="E432" s="1956"/>
      <c r="F432" s="1956"/>
      <c r="G432" s="101"/>
      <c r="H432" s="1956"/>
      <c r="I432" s="4856"/>
      <c r="J432" s="4857"/>
    </row>
    <row r="433" spans="2:10" ht="19.5" hidden="1" customHeight="1" x14ac:dyDescent="0.25">
      <c r="B433" s="1029"/>
      <c r="C433" s="56" t="s">
        <v>1165</v>
      </c>
      <c r="D433" s="200">
        <f>D434</f>
        <v>400000000</v>
      </c>
      <c r="E433" s="200">
        <f>E434</f>
        <v>400000000</v>
      </c>
      <c r="F433" s="200"/>
      <c r="G433" s="200">
        <f>E433/D433*100</f>
        <v>100</v>
      </c>
      <c r="H433" s="200">
        <f>H434</f>
        <v>100</v>
      </c>
      <c r="I433" s="4856"/>
      <c r="J433" s="4857"/>
    </row>
    <row r="434" spans="2:10" ht="23.25" hidden="1" customHeight="1" x14ac:dyDescent="0.25">
      <c r="B434" s="1024"/>
      <c r="C434" s="63" t="s">
        <v>1168</v>
      </c>
      <c r="D434" s="101">
        <f>D435</f>
        <v>400000000</v>
      </c>
      <c r="E434" s="101">
        <f>E435</f>
        <v>400000000</v>
      </c>
      <c r="F434" s="101"/>
      <c r="G434" s="101">
        <f>E434/D434*100</f>
        <v>100</v>
      </c>
      <c r="H434" s="101">
        <f>H435</f>
        <v>100</v>
      </c>
      <c r="I434" s="4856"/>
      <c r="J434" s="4857"/>
    </row>
    <row r="435" spans="2:10" ht="20.25" hidden="1" customHeight="1" x14ac:dyDescent="0.25">
      <c r="B435" s="1024"/>
      <c r="C435" s="61" t="s">
        <v>1169</v>
      </c>
      <c r="D435" s="117">
        <v>400000000</v>
      </c>
      <c r="E435" s="117">
        <v>400000000</v>
      </c>
      <c r="F435" s="117"/>
      <c r="G435" s="117">
        <v>100</v>
      </c>
      <c r="H435" s="201">
        <v>100</v>
      </c>
      <c r="I435" s="4856"/>
      <c r="J435" s="4857"/>
    </row>
    <row r="436" spans="2:10" ht="12" hidden="1" customHeight="1" x14ac:dyDescent="0.25">
      <c r="B436" s="1024"/>
      <c r="C436" s="100"/>
      <c r="D436" s="1956"/>
      <c r="E436" s="1956"/>
      <c r="F436" s="1956"/>
      <c r="G436" s="101"/>
      <c r="H436" s="1956"/>
      <c r="I436" s="4856"/>
      <c r="J436" s="4857"/>
    </row>
    <row r="437" spans="2:10" ht="21" hidden="1" customHeight="1" x14ac:dyDescent="0.25">
      <c r="B437" s="1029"/>
      <c r="C437" s="56" t="s">
        <v>1170</v>
      </c>
      <c r="D437" s="200">
        <f>D438</f>
        <v>200000000</v>
      </c>
      <c r="E437" s="200">
        <f>E438</f>
        <v>200000000</v>
      </c>
      <c r="F437" s="200"/>
      <c r="G437" s="200">
        <f>E437/D437*100</f>
        <v>100</v>
      </c>
      <c r="H437" s="200">
        <f>H438</f>
        <v>100</v>
      </c>
      <c r="I437" s="4856"/>
      <c r="J437" s="4857"/>
    </row>
    <row r="438" spans="2:10" ht="20.25" hidden="1" customHeight="1" x14ac:dyDescent="0.25">
      <c r="B438" s="1024"/>
      <c r="C438" s="360" t="s">
        <v>1171</v>
      </c>
      <c r="D438" s="414">
        <f>D439</f>
        <v>200000000</v>
      </c>
      <c r="E438" s="414">
        <f>E439</f>
        <v>200000000</v>
      </c>
      <c r="F438" s="414"/>
      <c r="G438" s="414">
        <f>E438/D438*100</f>
        <v>100</v>
      </c>
      <c r="H438" s="414">
        <f>H439</f>
        <v>100</v>
      </c>
      <c r="I438" s="4856"/>
      <c r="J438" s="4857"/>
    </row>
    <row r="439" spans="2:10" ht="20.25" hidden="1" customHeight="1" x14ac:dyDescent="0.25">
      <c r="B439" s="1024"/>
      <c r="C439" s="61" t="s">
        <v>1174</v>
      </c>
      <c r="D439" s="675">
        <v>200000000</v>
      </c>
      <c r="E439" s="1996">
        <v>200000000</v>
      </c>
      <c r="F439" s="1996"/>
      <c r="G439" s="201">
        <f t="shared" ref="G439" si="35">E439/D439*100</f>
        <v>100</v>
      </c>
      <c r="H439" s="344">
        <v>100</v>
      </c>
      <c r="I439" s="4856"/>
      <c r="J439" s="4857"/>
    </row>
    <row r="440" spans="2:10" ht="12" hidden="1" customHeight="1" x14ac:dyDescent="0.25">
      <c r="B440" s="1024"/>
      <c r="C440" s="100"/>
      <c r="D440" s="1956"/>
      <c r="E440" s="1956"/>
      <c r="F440" s="1956"/>
      <c r="G440" s="101"/>
      <c r="H440" s="1956"/>
      <c r="I440" s="4856"/>
      <c r="J440" s="4857"/>
    </row>
    <row r="441" spans="2:10" ht="19.5" hidden="1" customHeight="1" x14ac:dyDescent="0.25">
      <c r="B441" s="1029"/>
      <c r="C441" s="56" t="s">
        <v>1186</v>
      </c>
      <c r="D441" s="200">
        <f>D442</f>
        <v>700000000</v>
      </c>
      <c r="E441" s="200">
        <f>E442</f>
        <v>700000000</v>
      </c>
      <c r="F441" s="200"/>
      <c r="G441" s="200">
        <f>E441/D441*100</f>
        <v>100</v>
      </c>
      <c r="H441" s="200">
        <f>H442</f>
        <v>100</v>
      </c>
      <c r="I441" s="4856"/>
      <c r="J441" s="4857"/>
    </row>
    <row r="442" spans="2:10" ht="18.75" hidden="1" customHeight="1" x14ac:dyDescent="0.25">
      <c r="B442" s="1024"/>
      <c r="C442" s="69" t="s">
        <v>1187</v>
      </c>
      <c r="D442" s="2231">
        <f>SUM(D443:D444)</f>
        <v>700000000</v>
      </c>
      <c r="E442" s="2231">
        <f>SUM(E443:E444)</f>
        <v>700000000</v>
      </c>
      <c r="F442" s="2231"/>
      <c r="G442" s="101">
        <f>E442/D442*100</f>
        <v>100</v>
      </c>
      <c r="H442" s="101">
        <f>SUM(H443:H444)/2</f>
        <v>100</v>
      </c>
      <c r="I442" s="4856"/>
      <c r="J442" s="4857"/>
    </row>
    <row r="443" spans="2:10" ht="19.5" hidden="1" customHeight="1" x14ac:dyDescent="0.25">
      <c r="B443" s="1024"/>
      <c r="C443" s="61" t="s">
        <v>1189</v>
      </c>
      <c r="D443" s="201">
        <v>350000000</v>
      </c>
      <c r="E443" s="201">
        <v>350000000</v>
      </c>
      <c r="F443" s="201"/>
      <c r="G443" s="201">
        <f>E443/D443*100</f>
        <v>100</v>
      </c>
      <c r="H443" s="201">
        <v>100</v>
      </c>
      <c r="I443" s="4856"/>
      <c r="J443" s="4857"/>
    </row>
    <row r="444" spans="2:10" ht="16.5" hidden="1" customHeight="1" x14ac:dyDescent="0.25">
      <c r="B444" s="1024"/>
      <c r="C444" s="61" t="s">
        <v>1190</v>
      </c>
      <c r="D444" s="201">
        <v>350000000</v>
      </c>
      <c r="E444" s="117">
        <v>350000000</v>
      </c>
      <c r="F444" s="117"/>
      <c r="G444" s="201">
        <f>E444/D444*100</f>
        <v>100</v>
      </c>
      <c r="H444" s="117">
        <v>100</v>
      </c>
      <c r="I444" s="4856"/>
      <c r="J444" s="4857"/>
    </row>
    <row r="445" spans="2:10" ht="16.5" hidden="1" customHeight="1" x14ac:dyDescent="0.25">
      <c r="B445" s="1024"/>
      <c r="C445" s="64"/>
      <c r="D445" s="1956"/>
      <c r="E445" s="1956"/>
      <c r="F445" s="1956"/>
      <c r="G445" s="101"/>
      <c r="H445" s="1956"/>
      <c r="I445" s="4856"/>
      <c r="J445" s="4857"/>
    </row>
    <row r="446" spans="2:10" ht="18" hidden="1" customHeight="1" x14ac:dyDescent="0.25">
      <c r="B446" s="1029"/>
      <c r="C446" s="56" t="s">
        <v>1222</v>
      </c>
      <c r="D446" s="200">
        <f>D447</f>
        <v>250250000</v>
      </c>
      <c r="E446" s="200">
        <f>E447</f>
        <v>250250000</v>
      </c>
      <c r="F446" s="200"/>
      <c r="G446" s="200">
        <f>E446/D446*100</f>
        <v>100</v>
      </c>
      <c r="H446" s="200">
        <f>H447</f>
        <v>100</v>
      </c>
      <c r="I446" s="4856"/>
      <c r="J446" s="4857"/>
    </row>
    <row r="447" spans="2:10" ht="23.25" hidden="1" customHeight="1" x14ac:dyDescent="0.25">
      <c r="B447" s="1024"/>
      <c r="C447" s="59" t="s">
        <v>1223</v>
      </c>
      <c r="D447" s="101">
        <f>D448</f>
        <v>250250000</v>
      </c>
      <c r="E447" s="101">
        <f>E448</f>
        <v>250250000</v>
      </c>
      <c r="F447" s="101"/>
      <c r="G447" s="101">
        <f>E447/D447*100</f>
        <v>100</v>
      </c>
      <c r="H447" s="101">
        <f>H448</f>
        <v>100</v>
      </c>
      <c r="I447" s="4856"/>
      <c r="J447" s="4857"/>
    </row>
    <row r="448" spans="2:10" ht="17.25" hidden="1" customHeight="1" x14ac:dyDescent="0.25">
      <c r="B448" s="1024"/>
      <c r="C448" s="61" t="s">
        <v>1224</v>
      </c>
      <c r="D448" s="201">
        <v>250250000</v>
      </c>
      <c r="E448" s="117">
        <v>250250000</v>
      </c>
      <c r="F448" s="117"/>
      <c r="G448" s="117">
        <f>SUM(E448/D448)*100</f>
        <v>100</v>
      </c>
      <c r="H448" s="117">
        <v>100</v>
      </c>
      <c r="I448" s="4856"/>
      <c r="J448" s="4857"/>
    </row>
    <row r="449" spans="1:12" ht="16.5" hidden="1" customHeight="1" x14ac:dyDescent="0.25">
      <c r="B449" s="1024"/>
      <c r="C449" s="64"/>
      <c r="D449" s="1956"/>
      <c r="E449" s="1956"/>
      <c r="F449" s="1956"/>
      <c r="G449" s="101"/>
      <c r="H449" s="1956"/>
      <c r="I449" s="4856"/>
      <c r="J449" s="4857"/>
    </row>
    <row r="450" spans="1:12" s="1" customFormat="1" ht="15.75" hidden="1" customHeight="1" x14ac:dyDescent="0.25">
      <c r="A450" s="1015"/>
      <c r="B450" s="1029"/>
      <c r="C450" s="56" t="s">
        <v>3070</v>
      </c>
      <c r="D450" s="127">
        <f>D451</f>
        <v>2784800000</v>
      </c>
      <c r="E450" s="127">
        <f>E451</f>
        <v>2474800000</v>
      </c>
      <c r="F450" s="127"/>
      <c r="G450" s="200">
        <f>E450/D450*100</f>
        <v>88.868141338695779</v>
      </c>
      <c r="H450" s="200">
        <f>H451</f>
        <v>90</v>
      </c>
      <c r="I450" s="4880"/>
      <c r="J450" s="4763"/>
    </row>
    <row r="451" spans="1:12" s="12" customFormat="1" ht="21.75" hidden="1" customHeight="1" x14ac:dyDescent="0.25">
      <c r="A451" s="513"/>
      <c r="B451" s="1139"/>
      <c r="C451" s="61" t="s">
        <v>3944</v>
      </c>
      <c r="D451" s="201">
        <v>2784800000</v>
      </c>
      <c r="E451" s="201">
        <v>2474800000</v>
      </c>
      <c r="F451" s="201"/>
      <c r="G451" s="117">
        <f>SUM(E451/D451)*100</f>
        <v>88.868141338695779</v>
      </c>
      <c r="H451" s="201">
        <v>90</v>
      </c>
      <c r="I451" s="4897"/>
      <c r="J451" s="4893"/>
    </row>
    <row r="452" spans="1:12" ht="13.5" hidden="1" customHeight="1" x14ac:dyDescent="0.25">
      <c r="B452" s="1024"/>
      <c r="C452" s="59"/>
      <c r="D452" s="1956"/>
      <c r="E452" s="1956"/>
      <c r="F452" s="1956"/>
      <c r="G452" s="101"/>
      <c r="H452" s="1956"/>
      <c r="I452" s="4856"/>
      <c r="J452" s="4857"/>
    </row>
    <row r="453" spans="1:12" ht="20.25" customHeight="1" x14ac:dyDescent="0.25">
      <c r="B453" s="2455"/>
      <c r="C453" s="422" t="s">
        <v>3071</v>
      </c>
      <c r="D453" s="2329">
        <f>SUM(D454+D500)</f>
        <v>56009783444</v>
      </c>
      <c r="E453" s="2329">
        <f>SUM(E454+E500)</f>
        <v>40432060880</v>
      </c>
      <c r="F453" s="1900">
        <f>D453-E453</f>
        <v>15577722564</v>
      </c>
      <c r="G453" s="2388">
        <f>E453/D453*100</f>
        <v>72.187497243985959</v>
      </c>
      <c r="H453" s="424">
        <f>SUM(H454+H500)/2</f>
        <v>60.659274820653629</v>
      </c>
      <c r="I453" s="4856"/>
      <c r="J453" s="4874"/>
    </row>
    <row r="454" spans="1:12" s="27" customFormat="1" ht="21.75" hidden="1" customHeight="1" x14ac:dyDescent="0.25">
      <c r="A454" s="1027"/>
      <c r="B454" s="1029"/>
      <c r="C454" s="354" t="s">
        <v>1243</v>
      </c>
      <c r="D454" s="353">
        <f>SUM(D455+D460+D475+D480+D484+D497)</f>
        <v>41039358880</v>
      </c>
      <c r="E454" s="78">
        <f>SUM(E455+E460+E475+E480+E484+E497)</f>
        <v>33294732594</v>
      </c>
      <c r="F454" s="353"/>
      <c r="G454" s="370">
        <f>E454/D454*100</f>
        <v>81.128783447505938</v>
      </c>
      <c r="H454" s="538">
        <f>SUM(H455+H460+H475+H480+H484+H497)/6</f>
        <v>91.318549641307257</v>
      </c>
      <c r="I454" s="4885"/>
      <c r="J454" s="4874"/>
    </row>
    <row r="455" spans="1:12" s="27" customFormat="1" ht="21" hidden="1" customHeight="1" x14ac:dyDescent="0.25">
      <c r="A455" s="1027"/>
      <c r="B455" s="1024"/>
      <c r="C455" s="134" t="s">
        <v>243</v>
      </c>
      <c r="D455" s="84">
        <f>SUM(D456:D458)</f>
        <v>839245000</v>
      </c>
      <c r="E455" s="84">
        <f>SUM(E456:E458)</f>
        <v>792358800</v>
      </c>
      <c r="F455" s="84"/>
      <c r="G455" s="202">
        <f>E455/D455*100</f>
        <v>94.413288133977574</v>
      </c>
      <c r="H455" s="116">
        <f>SUM(H456:H458)/3</f>
        <v>91.973333333333343</v>
      </c>
      <c r="I455" s="4637"/>
      <c r="J455" s="4886"/>
    </row>
    <row r="456" spans="1:12" s="27" customFormat="1" ht="15.75" hidden="1" customHeight="1" x14ac:dyDescent="0.25">
      <c r="A456" s="1027"/>
      <c r="B456" s="1024"/>
      <c r="C456" s="61" t="s">
        <v>1244</v>
      </c>
      <c r="D456" s="146">
        <v>468000000</v>
      </c>
      <c r="E456" s="117">
        <v>468000000</v>
      </c>
      <c r="F456" s="117"/>
      <c r="G456" s="201">
        <f t="shared" ref="G456:G458" si="36">E456/D456*100</f>
        <v>100</v>
      </c>
      <c r="H456" s="117">
        <v>100</v>
      </c>
      <c r="I456" s="4637"/>
      <c r="J456" s="4886"/>
    </row>
    <row r="457" spans="1:12" s="27" customFormat="1" ht="18.75" hidden="1" customHeight="1" x14ac:dyDescent="0.25">
      <c r="A457" s="1027"/>
      <c r="B457" s="1024"/>
      <c r="C457" s="355" t="s">
        <v>1245</v>
      </c>
      <c r="D457" s="146">
        <v>239245000</v>
      </c>
      <c r="E457" s="117">
        <v>205558800</v>
      </c>
      <c r="F457" s="117"/>
      <c r="G457" s="201">
        <f>E457/D457*100</f>
        <v>85.919789337290226</v>
      </c>
      <c r="H457" s="117">
        <v>85.92</v>
      </c>
      <c r="I457" s="4637"/>
      <c r="J457" s="4886"/>
    </row>
    <row r="458" spans="1:12" s="27" customFormat="1" ht="18.75" hidden="1" customHeight="1" x14ac:dyDescent="0.25">
      <c r="A458" s="1027"/>
      <c r="B458" s="1024"/>
      <c r="C458" s="355" t="s">
        <v>1246</v>
      </c>
      <c r="D458" s="146">
        <v>132000000</v>
      </c>
      <c r="E458" s="117">
        <v>118800000</v>
      </c>
      <c r="F458" s="117"/>
      <c r="G458" s="201">
        <f t="shared" si="36"/>
        <v>90</v>
      </c>
      <c r="H458" s="117">
        <v>90</v>
      </c>
      <c r="I458" s="4637"/>
      <c r="J458" s="4886"/>
    </row>
    <row r="459" spans="1:12" s="27" customFormat="1" ht="10.5" hidden="1" customHeight="1" x14ac:dyDescent="0.25">
      <c r="A459" s="1027"/>
      <c r="B459" s="1024"/>
      <c r="C459" s="355"/>
      <c r="D459" s="2396"/>
      <c r="E459" s="117"/>
      <c r="F459" s="117"/>
      <c r="G459" s="117"/>
      <c r="H459" s="238"/>
      <c r="I459" s="4637"/>
      <c r="J459" s="4886"/>
    </row>
    <row r="460" spans="1:12" s="27" customFormat="1" ht="18.75" hidden="1" customHeight="1" x14ac:dyDescent="0.25">
      <c r="A460" s="1027"/>
      <c r="B460" s="1024"/>
      <c r="C460" s="356" t="s">
        <v>1247</v>
      </c>
      <c r="D460" s="1129">
        <f>SUM(D461:D473)</f>
        <v>33107213880</v>
      </c>
      <c r="E460" s="1129">
        <f>SUM(E461:E473)</f>
        <v>26379679944</v>
      </c>
      <c r="F460" s="1129"/>
      <c r="G460" s="202">
        <f>E460/D460*100</f>
        <v>79.679552739217087</v>
      </c>
      <c r="H460" s="4610">
        <f>SUM(H461:H473)/13</f>
        <v>90.239230769230772</v>
      </c>
      <c r="I460" s="4637"/>
      <c r="J460" s="4886"/>
      <c r="K460" s="995"/>
      <c r="L460" s="995"/>
    </row>
    <row r="461" spans="1:12" s="27" customFormat="1" ht="15.75" hidden="1" customHeight="1" x14ac:dyDescent="0.25">
      <c r="A461" s="1027"/>
      <c r="B461" s="1024"/>
      <c r="C461" s="355" t="s">
        <v>363</v>
      </c>
      <c r="D461" s="2396">
        <v>12963059242</v>
      </c>
      <c r="E461" s="2396">
        <v>11746585989</v>
      </c>
      <c r="F461" s="2396"/>
      <c r="G461" s="201">
        <f t="shared" ref="G461:G467" si="37">E461/D461*100</f>
        <v>90.615847460924542</v>
      </c>
      <c r="H461" s="4611">
        <v>90.62</v>
      </c>
      <c r="I461" s="4637"/>
      <c r="J461" s="4886"/>
    </row>
    <row r="462" spans="1:12" s="27" customFormat="1" ht="18" hidden="1" customHeight="1" x14ac:dyDescent="0.25">
      <c r="A462" s="1027"/>
      <c r="B462" s="1024"/>
      <c r="C462" s="358" t="s">
        <v>1248</v>
      </c>
      <c r="D462" s="2396">
        <v>399739000</v>
      </c>
      <c r="E462" s="2396">
        <v>399739000</v>
      </c>
      <c r="F462" s="2396"/>
      <c r="G462" s="201">
        <f t="shared" si="37"/>
        <v>100</v>
      </c>
      <c r="H462" s="4611">
        <v>100</v>
      </c>
      <c r="I462" s="4637"/>
      <c r="J462" s="4886"/>
    </row>
    <row r="463" spans="1:12" s="27" customFormat="1" ht="18.75" hidden="1" customHeight="1" x14ac:dyDescent="0.25">
      <c r="A463" s="1027"/>
      <c r="B463" s="1024"/>
      <c r="C463" s="132" t="s">
        <v>1249</v>
      </c>
      <c r="D463" s="2396">
        <v>3499336638</v>
      </c>
      <c r="E463" s="117">
        <v>3459786405</v>
      </c>
      <c r="F463" s="117"/>
      <c r="G463" s="201">
        <f>E463/D463*100</f>
        <v>98.86977912983518</v>
      </c>
      <c r="H463" s="4611">
        <v>98.87</v>
      </c>
      <c r="I463" s="4637"/>
      <c r="J463" s="4886"/>
    </row>
    <row r="464" spans="1:12" s="27" customFormat="1" ht="16.5" hidden="1" customHeight="1" x14ac:dyDescent="0.25">
      <c r="A464" s="1027"/>
      <c r="B464" s="1024"/>
      <c r="C464" s="132" t="s">
        <v>1250</v>
      </c>
      <c r="D464" s="2396">
        <v>300000000</v>
      </c>
      <c r="E464" s="117">
        <v>296560000</v>
      </c>
      <c r="F464" s="117"/>
      <c r="G464" s="201">
        <f t="shared" si="37"/>
        <v>98.853333333333339</v>
      </c>
      <c r="H464" s="4611">
        <v>98.85</v>
      </c>
      <c r="I464" s="4637"/>
      <c r="J464" s="4886"/>
    </row>
    <row r="465" spans="1:10" s="20" customFormat="1" ht="14.25" hidden="1" customHeight="1" x14ac:dyDescent="0.25">
      <c r="A465" s="1002"/>
      <c r="B465" s="1024"/>
      <c r="C465" s="132" t="s">
        <v>1251</v>
      </c>
      <c r="D465" s="2396">
        <v>88650000</v>
      </c>
      <c r="E465" s="117">
        <v>88650000</v>
      </c>
      <c r="F465" s="117"/>
      <c r="G465" s="201">
        <f t="shared" si="37"/>
        <v>100</v>
      </c>
      <c r="H465" s="4611">
        <v>100</v>
      </c>
      <c r="I465" s="4637"/>
      <c r="J465" s="4890"/>
    </row>
    <row r="466" spans="1:10" s="20" customFormat="1" ht="18" hidden="1" customHeight="1" x14ac:dyDescent="0.25">
      <c r="A466" s="1002"/>
      <c r="B466" s="1024"/>
      <c r="C466" s="132" t="s">
        <v>1252</v>
      </c>
      <c r="D466" s="2396">
        <v>171200000</v>
      </c>
      <c r="E466" s="117">
        <v>155628000</v>
      </c>
      <c r="F466" s="117"/>
      <c r="G466" s="201">
        <f t="shared" si="37"/>
        <v>90.904205607476641</v>
      </c>
      <c r="H466" s="4611">
        <v>90.99</v>
      </c>
      <c r="I466" s="4637"/>
      <c r="J466" s="4890"/>
    </row>
    <row r="467" spans="1:10" s="20" customFormat="1" ht="15" hidden="1" customHeight="1" x14ac:dyDescent="0.25">
      <c r="A467" s="1002"/>
      <c r="B467" s="1024"/>
      <c r="C467" s="132" t="s">
        <v>1253</v>
      </c>
      <c r="D467" s="2396">
        <v>755860000</v>
      </c>
      <c r="E467" s="117">
        <v>710431550</v>
      </c>
      <c r="F467" s="117"/>
      <c r="G467" s="201">
        <f t="shared" si="37"/>
        <v>93.989832773264894</v>
      </c>
      <c r="H467" s="4611">
        <v>93.99</v>
      </c>
      <c r="I467" s="4637"/>
      <c r="J467" s="4890"/>
    </row>
    <row r="468" spans="1:10" s="20" customFormat="1" ht="16.5" hidden="1" customHeight="1" x14ac:dyDescent="0.25">
      <c r="A468" s="1002"/>
      <c r="B468" s="1024"/>
      <c r="C468" s="132" t="s">
        <v>1254</v>
      </c>
      <c r="D468" s="2396">
        <v>5404820000</v>
      </c>
      <c r="E468" s="117">
        <v>0</v>
      </c>
      <c r="F468" s="117"/>
      <c r="G468" s="117">
        <v>0</v>
      </c>
      <c r="H468" s="238">
        <v>0</v>
      </c>
      <c r="I468" s="4637"/>
      <c r="J468" s="4890"/>
    </row>
    <row r="469" spans="1:10" s="20" customFormat="1" ht="15.75" hidden="1" customHeight="1" x14ac:dyDescent="0.25">
      <c r="A469" s="1002"/>
      <c r="B469" s="1024"/>
      <c r="C469" s="213" t="s">
        <v>1255</v>
      </c>
      <c r="D469" s="169">
        <v>6686400000</v>
      </c>
      <c r="E469" s="117">
        <v>6685800000</v>
      </c>
      <c r="F469" s="117"/>
      <c r="G469" s="201">
        <f t="shared" ref="G469:G473" si="38">E469/D469*100</f>
        <v>99.99102656137832</v>
      </c>
      <c r="H469" s="4611">
        <v>99.99</v>
      </c>
      <c r="I469" s="4637"/>
      <c r="J469" s="4890"/>
    </row>
    <row r="470" spans="1:10" s="20" customFormat="1" ht="14.25" hidden="1" customHeight="1" x14ac:dyDescent="0.25">
      <c r="A470" s="1002"/>
      <c r="B470" s="1024"/>
      <c r="C470" s="213" t="s">
        <v>1256</v>
      </c>
      <c r="D470" s="169">
        <v>860190000</v>
      </c>
      <c r="E470" s="117">
        <v>859890000</v>
      </c>
      <c r="F470" s="117"/>
      <c r="G470" s="201">
        <f t="shared" si="38"/>
        <v>99.965123984236044</v>
      </c>
      <c r="H470" s="4611">
        <v>99.97</v>
      </c>
      <c r="I470" s="4637"/>
      <c r="J470" s="4890"/>
    </row>
    <row r="471" spans="1:10" s="20" customFormat="1" ht="16.5" hidden="1" customHeight="1" x14ac:dyDescent="0.25">
      <c r="A471" s="1002"/>
      <c r="B471" s="1024"/>
      <c r="C471" s="213" t="s">
        <v>1257</v>
      </c>
      <c r="D471" s="169">
        <v>866190000</v>
      </c>
      <c r="E471" s="117">
        <v>865140000</v>
      </c>
      <c r="F471" s="117"/>
      <c r="G471" s="201">
        <f t="shared" si="38"/>
        <v>99.878779482561569</v>
      </c>
      <c r="H471" s="4611">
        <v>99.88</v>
      </c>
      <c r="I471" s="4637"/>
      <c r="J471" s="4890"/>
    </row>
    <row r="472" spans="1:10" s="20" customFormat="1" ht="16.5" hidden="1" customHeight="1" x14ac:dyDescent="0.25">
      <c r="A472" s="1002"/>
      <c r="B472" s="1024"/>
      <c r="C472" s="213" t="s">
        <v>1258</v>
      </c>
      <c r="D472" s="169">
        <v>543200000</v>
      </c>
      <c r="E472" s="117">
        <v>543200000</v>
      </c>
      <c r="F472" s="117"/>
      <c r="G472" s="201">
        <f t="shared" si="38"/>
        <v>100</v>
      </c>
      <c r="H472" s="4611">
        <v>100</v>
      </c>
      <c r="I472" s="4637"/>
      <c r="J472" s="4890"/>
    </row>
    <row r="473" spans="1:10" s="20" customFormat="1" ht="15.75" hidden="1" customHeight="1" x14ac:dyDescent="0.25">
      <c r="A473" s="1002"/>
      <c r="B473" s="1024"/>
      <c r="C473" s="213" t="s">
        <v>1259</v>
      </c>
      <c r="D473" s="169">
        <v>568569000</v>
      </c>
      <c r="E473" s="117">
        <v>568269000</v>
      </c>
      <c r="F473" s="117"/>
      <c r="G473" s="201">
        <f t="shared" si="38"/>
        <v>99.947235955530473</v>
      </c>
      <c r="H473" s="4612">
        <v>99.95</v>
      </c>
      <c r="I473" s="4637"/>
      <c r="J473" s="4890"/>
    </row>
    <row r="474" spans="1:10" s="20" customFormat="1" ht="9.75" hidden="1" customHeight="1" x14ac:dyDescent="0.25">
      <c r="A474" s="1002"/>
      <c r="B474" s="1024"/>
      <c r="C474" s="213"/>
      <c r="D474" s="169"/>
      <c r="E474" s="117"/>
      <c r="F474" s="1996"/>
      <c r="G474" s="1996"/>
      <c r="H474" s="236"/>
      <c r="I474" s="4637"/>
      <c r="J474" s="4890"/>
    </row>
    <row r="475" spans="1:10" s="20" customFormat="1" ht="18" hidden="1" customHeight="1" x14ac:dyDescent="0.25">
      <c r="A475" s="1002"/>
      <c r="B475" s="1024"/>
      <c r="C475" s="138" t="s">
        <v>1260</v>
      </c>
      <c r="D475" s="1129">
        <f>SUM(D476:D478)</f>
        <v>385000000</v>
      </c>
      <c r="E475" s="1129">
        <f>SUM(E476:E478)</f>
        <v>382307950</v>
      </c>
      <c r="F475" s="1129"/>
      <c r="G475" s="202">
        <f>E475/D475*100</f>
        <v>99.30076623376624</v>
      </c>
      <c r="H475" s="400">
        <f>SUM(H476:H478)/3</f>
        <v>100</v>
      </c>
      <c r="I475" s="4637"/>
      <c r="J475" s="4890"/>
    </row>
    <row r="476" spans="1:10" s="20" customFormat="1" ht="15.75" hidden="1" customHeight="1" x14ac:dyDescent="0.25">
      <c r="A476" s="1002"/>
      <c r="B476" s="1024"/>
      <c r="C476" s="132" t="s">
        <v>1261</v>
      </c>
      <c r="D476" s="2396">
        <v>125000000</v>
      </c>
      <c r="E476" s="2396">
        <v>125000000</v>
      </c>
      <c r="F476" s="2396"/>
      <c r="G476" s="201">
        <f>E476/D476*100</f>
        <v>100</v>
      </c>
      <c r="H476" s="236">
        <v>100</v>
      </c>
      <c r="I476" s="4637"/>
      <c r="J476" s="4890"/>
    </row>
    <row r="477" spans="1:10" s="20" customFormat="1" ht="18" hidden="1" customHeight="1" x14ac:dyDescent="0.25">
      <c r="A477" s="1002"/>
      <c r="B477" s="1993"/>
      <c r="C477" s="132" t="s">
        <v>1262</v>
      </c>
      <c r="D477" s="2396">
        <v>210000000</v>
      </c>
      <c r="E477" s="117">
        <v>210000000</v>
      </c>
      <c r="F477" s="117"/>
      <c r="G477" s="201">
        <f>E477/D477*100</f>
        <v>100</v>
      </c>
      <c r="H477" s="117">
        <v>100</v>
      </c>
      <c r="I477" s="4637"/>
      <c r="J477" s="4890"/>
    </row>
    <row r="478" spans="1:10" s="20" customFormat="1" ht="18.75" hidden="1" customHeight="1" x14ac:dyDescent="0.25">
      <c r="A478" s="1002"/>
      <c r="B478" s="1024"/>
      <c r="C478" s="213" t="s">
        <v>1263</v>
      </c>
      <c r="D478" s="169">
        <v>50000000</v>
      </c>
      <c r="E478" s="117">
        <v>47307950</v>
      </c>
      <c r="F478" s="117"/>
      <c r="G478" s="201">
        <f>E478/D478*100</f>
        <v>94.615899999999996</v>
      </c>
      <c r="H478" s="236">
        <v>100</v>
      </c>
      <c r="I478" s="4637"/>
      <c r="J478" s="4890"/>
    </row>
    <row r="479" spans="1:10" s="20" customFormat="1" ht="10.5" hidden="1" customHeight="1" x14ac:dyDescent="0.25">
      <c r="A479" s="1002"/>
      <c r="B479" s="1024"/>
      <c r="C479" s="213"/>
      <c r="D479" s="169"/>
      <c r="E479" s="1996"/>
      <c r="F479" s="1996"/>
      <c r="G479" s="1996"/>
      <c r="H479" s="236"/>
      <c r="I479" s="4637"/>
      <c r="J479" s="4890"/>
    </row>
    <row r="480" spans="1:10" s="20" customFormat="1" ht="21.75" hidden="1" customHeight="1" x14ac:dyDescent="0.25">
      <c r="A480" s="1002"/>
      <c r="B480" s="1024"/>
      <c r="C480" s="359" t="s">
        <v>1264</v>
      </c>
      <c r="D480" s="1129">
        <f>SUM(D481:D482)</f>
        <v>701975000</v>
      </c>
      <c r="E480" s="1129">
        <f>SUM(E481:E482)</f>
        <v>611905900</v>
      </c>
      <c r="F480" s="1129"/>
      <c r="G480" s="202">
        <f>E480/D480*100</f>
        <v>87.169186936856718</v>
      </c>
      <c r="H480" s="400">
        <f>SUM(H481:H482)/2</f>
        <v>90.704999999999998</v>
      </c>
      <c r="I480" s="4637"/>
      <c r="J480" s="4890"/>
    </row>
    <row r="481" spans="1:10" s="20" customFormat="1" ht="18" hidden="1" customHeight="1" x14ac:dyDescent="0.25">
      <c r="A481" s="1002"/>
      <c r="B481" s="1024"/>
      <c r="C481" s="132" t="s">
        <v>1265</v>
      </c>
      <c r="D481" s="2396">
        <v>337700000</v>
      </c>
      <c r="E481" s="2396">
        <v>274920900</v>
      </c>
      <c r="F481" s="2396"/>
      <c r="G481" s="201">
        <f>E481/D481*100</f>
        <v>81.409801599052415</v>
      </c>
      <c r="H481" s="236">
        <v>81.41</v>
      </c>
      <c r="I481" s="4637"/>
      <c r="J481" s="4890"/>
    </row>
    <row r="482" spans="1:10" s="20" customFormat="1" ht="18.75" hidden="1" customHeight="1" x14ac:dyDescent="0.25">
      <c r="A482" s="1002"/>
      <c r="B482" s="1024"/>
      <c r="C482" s="132" t="s">
        <v>1266</v>
      </c>
      <c r="D482" s="2396">
        <v>364275000</v>
      </c>
      <c r="E482" s="2396">
        <v>336985000</v>
      </c>
      <c r="F482" s="2396"/>
      <c r="G482" s="201">
        <f>E482/D482*100</f>
        <v>92.508407110013039</v>
      </c>
      <c r="H482" s="236">
        <v>100</v>
      </c>
      <c r="I482" s="4637"/>
      <c r="J482" s="4890"/>
    </row>
    <row r="483" spans="1:10" s="20" customFormat="1" ht="7.5" hidden="1" customHeight="1" x14ac:dyDescent="0.25">
      <c r="A483" s="1002"/>
      <c r="B483" s="1024"/>
      <c r="C483" s="132"/>
      <c r="D483" s="2396"/>
      <c r="E483" s="2396"/>
      <c r="F483" s="2396"/>
      <c r="G483" s="201"/>
      <c r="H483" s="236"/>
      <c r="I483" s="4637"/>
      <c r="J483" s="4890"/>
    </row>
    <row r="484" spans="1:10" s="20" customFormat="1" ht="19.5" hidden="1" customHeight="1" x14ac:dyDescent="0.25">
      <c r="A484" s="1002"/>
      <c r="B484" s="1024"/>
      <c r="C484" s="138" t="s">
        <v>1267</v>
      </c>
      <c r="D484" s="1129">
        <f>SUM(D485:D495)</f>
        <v>5443350000</v>
      </c>
      <c r="E484" s="1129">
        <f>SUM(E485:E495)</f>
        <v>4571980000</v>
      </c>
      <c r="F484" s="1129"/>
      <c r="G484" s="202">
        <f>E484/D484*100</f>
        <v>83.992026968686559</v>
      </c>
      <c r="H484" s="400">
        <f>SUM(H485:H495)/11</f>
        <v>76.073733745279497</v>
      </c>
      <c r="I484" s="4637"/>
      <c r="J484" s="4890"/>
    </row>
    <row r="485" spans="1:10" s="20" customFormat="1" ht="22.5" hidden="1" customHeight="1" x14ac:dyDescent="0.25">
      <c r="A485" s="1002"/>
      <c r="B485" s="1024"/>
      <c r="C485" s="132" t="s">
        <v>1268</v>
      </c>
      <c r="D485" s="1996">
        <v>97600000</v>
      </c>
      <c r="E485" s="117">
        <v>97600000</v>
      </c>
      <c r="F485" s="117"/>
      <c r="G485" s="201">
        <f>E485/D485*100</f>
        <v>100</v>
      </c>
      <c r="H485" s="236">
        <v>100</v>
      </c>
      <c r="I485" s="4637"/>
      <c r="J485" s="4890"/>
    </row>
    <row r="486" spans="1:10" s="20" customFormat="1" ht="18.75" hidden="1" customHeight="1" x14ac:dyDescent="0.25">
      <c r="A486" s="1002"/>
      <c r="B486" s="1024"/>
      <c r="C486" s="132" t="s">
        <v>1269</v>
      </c>
      <c r="D486" s="2396">
        <v>322650000</v>
      </c>
      <c r="E486" s="117">
        <v>313900000</v>
      </c>
      <c r="F486" s="117"/>
      <c r="G486" s="201">
        <f>E486/D486*100</f>
        <v>97.288083062141638</v>
      </c>
      <c r="H486" s="238">
        <v>97.29</v>
      </c>
      <c r="I486" s="4637"/>
      <c r="J486" s="4890"/>
    </row>
    <row r="487" spans="1:10" s="20" customFormat="1" ht="20.25" hidden="1" customHeight="1" x14ac:dyDescent="0.25">
      <c r="A487" s="1002"/>
      <c r="B487" s="1024"/>
      <c r="C487" s="132" t="s">
        <v>1270</v>
      </c>
      <c r="D487" s="2396">
        <v>95250000</v>
      </c>
      <c r="E487" s="117">
        <v>95250000</v>
      </c>
      <c r="F487" s="117"/>
      <c r="G487" s="201">
        <f t="shared" ref="G487:G495" si="39">E487/D487*100</f>
        <v>100</v>
      </c>
      <c r="H487" s="236">
        <v>100</v>
      </c>
      <c r="I487" s="4637"/>
      <c r="J487" s="4890"/>
    </row>
    <row r="488" spans="1:10" s="20" customFormat="1" ht="18.75" hidden="1" customHeight="1" x14ac:dyDescent="0.25">
      <c r="A488" s="1002"/>
      <c r="B488" s="1024"/>
      <c r="C488" s="132" t="s">
        <v>1271</v>
      </c>
      <c r="D488" s="2396">
        <v>170250000</v>
      </c>
      <c r="E488" s="117">
        <v>170250000</v>
      </c>
      <c r="F488" s="117"/>
      <c r="G488" s="201">
        <f t="shared" si="39"/>
        <v>100</v>
      </c>
      <c r="H488" s="236">
        <v>100</v>
      </c>
      <c r="I488" s="4637"/>
      <c r="J488" s="4890"/>
    </row>
    <row r="489" spans="1:10" s="20" customFormat="1" ht="19.5" hidden="1" customHeight="1" x14ac:dyDescent="0.25">
      <c r="A489" s="1002"/>
      <c r="B489" s="1024"/>
      <c r="C489" s="132" t="s">
        <v>1272</v>
      </c>
      <c r="D489" s="2396">
        <v>2792600000</v>
      </c>
      <c r="E489" s="117">
        <v>2792600000</v>
      </c>
      <c r="F489" s="117"/>
      <c r="G489" s="201">
        <f t="shared" si="39"/>
        <v>100</v>
      </c>
      <c r="H489" s="236">
        <v>100</v>
      </c>
      <c r="I489" s="4637"/>
      <c r="J489" s="4890"/>
    </row>
    <row r="490" spans="1:10" s="20" customFormat="1" ht="17.25" hidden="1" customHeight="1" x14ac:dyDescent="0.25">
      <c r="A490" s="1002"/>
      <c r="B490" s="1024"/>
      <c r="C490" s="213" t="s">
        <v>1273</v>
      </c>
      <c r="D490" s="2396">
        <v>376500000</v>
      </c>
      <c r="E490" s="117">
        <v>182479000</v>
      </c>
      <c r="F490" s="117"/>
      <c r="G490" s="201">
        <f t="shared" si="39"/>
        <v>48.467197875166001</v>
      </c>
      <c r="H490" s="238">
        <v>48.47</v>
      </c>
      <c r="I490" s="4637"/>
      <c r="J490" s="4890"/>
    </row>
    <row r="491" spans="1:10" s="20" customFormat="1" ht="15.75" hidden="1" customHeight="1" x14ac:dyDescent="0.25">
      <c r="A491" s="1002"/>
      <c r="B491" s="1024"/>
      <c r="C491" s="213" t="s">
        <v>1274</v>
      </c>
      <c r="D491" s="2396">
        <v>347700000</v>
      </c>
      <c r="E491" s="117">
        <v>182697000</v>
      </c>
      <c r="F491" s="117"/>
      <c r="G491" s="201">
        <f t="shared" si="39"/>
        <v>52.544434857635892</v>
      </c>
      <c r="H491" s="238">
        <v>52.544434857635892</v>
      </c>
      <c r="I491" s="4637"/>
      <c r="J491" s="4890"/>
    </row>
    <row r="492" spans="1:10" s="20" customFormat="1" ht="18" hidden="1" customHeight="1" x14ac:dyDescent="0.25">
      <c r="A492" s="1002"/>
      <c r="B492" s="1024"/>
      <c r="C492" s="213" t="s">
        <v>1275</v>
      </c>
      <c r="D492" s="2396">
        <v>286900000</v>
      </c>
      <c r="E492" s="117">
        <v>182327000</v>
      </c>
      <c r="F492" s="117"/>
      <c r="G492" s="201">
        <f t="shared" si="39"/>
        <v>63.550714534681077</v>
      </c>
      <c r="H492" s="238">
        <v>63.550714534681077</v>
      </c>
      <c r="I492" s="4637"/>
      <c r="J492" s="4890"/>
    </row>
    <row r="493" spans="1:10" s="20" customFormat="1" ht="17.25" hidden="1" customHeight="1" x14ac:dyDescent="0.25">
      <c r="A493" s="1002"/>
      <c r="B493" s="1024"/>
      <c r="C493" s="213" t="s">
        <v>1276</v>
      </c>
      <c r="D493" s="2396">
        <v>334100000</v>
      </c>
      <c r="E493" s="117">
        <v>182697000</v>
      </c>
      <c r="F493" s="117"/>
      <c r="G493" s="201">
        <f t="shared" si="39"/>
        <v>54.683328344806945</v>
      </c>
      <c r="H493" s="238">
        <v>54.683328344806945</v>
      </c>
      <c r="I493" s="4637"/>
      <c r="J493" s="4890"/>
    </row>
    <row r="494" spans="1:10" s="20" customFormat="1" ht="18" hidden="1" customHeight="1" x14ac:dyDescent="0.25">
      <c r="A494" s="1002"/>
      <c r="B494" s="1024"/>
      <c r="C494" s="213" t="s">
        <v>1277</v>
      </c>
      <c r="D494" s="2396">
        <v>294900000</v>
      </c>
      <c r="E494" s="117">
        <v>182697000</v>
      </c>
      <c r="F494" s="117"/>
      <c r="G494" s="201">
        <f t="shared" si="39"/>
        <v>61.952187182095628</v>
      </c>
      <c r="H494" s="238">
        <v>61.952187182095628</v>
      </c>
      <c r="I494" s="4637"/>
      <c r="J494" s="4890"/>
    </row>
    <row r="495" spans="1:10" s="20" customFormat="1" ht="18.75" hidden="1" customHeight="1" x14ac:dyDescent="0.25">
      <c r="A495" s="1002"/>
      <c r="B495" s="1024"/>
      <c r="C495" s="213" t="s">
        <v>1278</v>
      </c>
      <c r="D495" s="2396">
        <v>324900000</v>
      </c>
      <c r="E495" s="117">
        <v>189483000</v>
      </c>
      <c r="F495" s="117"/>
      <c r="G495" s="201">
        <f t="shared" si="39"/>
        <v>58.320406278855032</v>
      </c>
      <c r="H495" s="238">
        <v>58.320406278855032</v>
      </c>
      <c r="I495" s="4637"/>
      <c r="J495" s="4890"/>
    </row>
    <row r="496" spans="1:10" s="20" customFormat="1" ht="11.25" hidden="1" customHeight="1" x14ac:dyDescent="0.25">
      <c r="A496" s="1002"/>
      <c r="B496" s="1024"/>
      <c r="C496" s="213"/>
      <c r="D496" s="2397"/>
      <c r="E496" s="117"/>
      <c r="F496" s="1996"/>
      <c r="G496" s="1996"/>
      <c r="H496" s="236"/>
      <c r="I496" s="4637"/>
      <c r="J496" s="4890"/>
    </row>
    <row r="497" spans="1:12" s="20" customFormat="1" ht="16.5" hidden="1" customHeight="1" x14ac:dyDescent="0.25">
      <c r="A497" s="1002"/>
      <c r="B497" s="1024"/>
      <c r="C497" s="138" t="s">
        <v>1279</v>
      </c>
      <c r="D497" s="139">
        <f>D498</f>
        <v>562575000</v>
      </c>
      <c r="E497" s="139">
        <f>E498</f>
        <v>556500000</v>
      </c>
      <c r="F497" s="139"/>
      <c r="G497" s="202">
        <f>E497/D497*100</f>
        <v>98.92014398080255</v>
      </c>
      <c r="H497" s="4613">
        <f>H498</f>
        <v>98.92</v>
      </c>
      <c r="I497" s="4637"/>
      <c r="J497" s="4890"/>
    </row>
    <row r="498" spans="1:12" s="20" customFormat="1" ht="16.5" hidden="1" customHeight="1" x14ac:dyDescent="0.25">
      <c r="A498" s="1002"/>
      <c r="B498" s="1024"/>
      <c r="C498" s="132" t="s">
        <v>1280</v>
      </c>
      <c r="D498" s="2396">
        <v>562575000</v>
      </c>
      <c r="E498" s="2396">
        <v>556500000</v>
      </c>
      <c r="F498" s="2396"/>
      <c r="G498" s="201">
        <f>E498/D498*100</f>
        <v>98.92014398080255</v>
      </c>
      <c r="H498" s="1996">
        <v>98.92</v>
      </c>
      <c r="I498" s="4637"/>
      <c r="J498" s="4890"/>
    </row>
    <row r="499" spans="1:12" ht="11.25" hidden="1" customHeight="1" x14ac:dyDescent="0.25">
      <c r="B499" s="1024"/>
      <c r="C499" s="119"/>
      <c r="D499" s="959"/>
      <c r="E499" s="2069"/>
      <c r="F499" s="207"/>
      <c r="G499" s="207"/>
      <c r="H499" s="207"/>
      <c r="I499" s="4856"/>
      <c r="J499" s="4857"/>
    </row>
    <row r="500" spans="1:12" ht="17.25" hidden="1" customHeight="1" x14ac:dyDescent="0.25">
      <c r="B500" s="1029"/>
      <c r="C500" s="89" t="s">
        <v>1444</v>
      </c>
      <c r="D500" s="131">
        <f>D502+D501</f>
        <v>14970424564</v>
      </c>
      <c r="E500" s="131">
        <f>E502+E501</f>
        <v>7137328286</v>
      </c>
      <c r="F500" s="131"/>
      <c r="G500" s="200">
        <f>E500/D500*100</f>
        <v>47.676191516728451</v>
      </c>
      <c r="H500" s="200">
        <f>SUM(H501:H502)/2</f>
        <v>30</v>
      </c>
      <c r="I500" s="4856"/>
      <c r="J500" s="4857"/>
    </row>
    <row r="501" spans="1:12" ht="17.25" hidden="1" customHeight="1" x14ac:dyDescent="0.25">
      <c r="B501" s="1024"/>
      <c r="C501" s="119" t="s">
        <v>1446</v>
      </c>
      <c r="D501" s="2398">
        <v>2420680000</v>
      </c>
      <c r="E501" s="140">
        <v>0</v>
      </c>
      <c r="F501" s="140"/>
      <c r="G501" s="140">
        <v>0</v>
      </c>
      <c r="H501" s="140">
        <v>0</v>
      </c>
      <c r="I501" s="4856"/>
      <c r="J501" s="4857"/>
    </row>
    <row r="502" spans="1:12" ht="18.75" hidden="1" customHeight="1" x14ac:dyDescent="0.25">
      <c r="B502" s="1024"/>
      <c r="C502" s="82" t="s">
        <v>1451</v>
      </c>
      <c r="D502" s="201">
        <v>12549744564</v>
      </c>
      <c r="E502" s="201">
        <v>7137328286</v>
      </c>
      <c r="F502" s="201"/>
      <c r="G502" s="201">
        <f t="shared" ref="G502" si="40">E502/D502*100</f>
        <v>56.872299269532768</v>
      </c>
      <c r="H502" s="201">
        <v>60</v>
      </c>
      <c r="I502" s="4856"/>
      <c r="J502" s="4857"/>
    </row>
    <row r="503" spans="1:12" ht="15" hidden="1" customHeight="1" x14ac:dyDescent="0.25">
      <c r="B503" s="1993"/>
      <c r="C503" s="63"/>
      <c r="D503" s="348"/>
      <c r="E503" s="348"/>
      <c r="F503" s="348"/>
      <c r="G503" s="348"/>
      <c r="H503" s="348"/>
      <c r="I503" s="4856"/>
      <c r="J503" s="4857"/>
    </row>
    <row r="504" spans="1:12" ht="18.75" customHeight="1" x14ac:dyDescent="0.25">
      <c r="B504" s="2459"/>
      <c r="C504" s="2399" t="s">
        <v>1452</v>
      </c>
      <c r="D504" s="2400">
        <f>SUM(D505+D612)</f>
        <v>53725093000</v>
      </c>
      <c r="E504" s="2400">
        <f>SUM(E505+E612)</f>
        <v>34924698350</v>
      </c>
      <c r="F504" s="1900">
        <f>D504-E504</f>
        <v>18800394650</v>
      </c>
      <c r="G504" s="2401">
        <f>E504/D504*100</f>
        <v>65.00630599187609</v>
      </c>
      <c r="H504" s="2401">
        <f>SUM(H505+H612)/2</f>
        <v>69.881493506493513</v>
      </c>
      <c r="I504" s="4856"/>
      <c r="J504" s="4857"/>
    </row>
    <row r="505" spans="1:12" ht="21" hidden="1" customHeight="1" x14ac:dyDescent="0.25">
      <c r="B505" s="1029"/>
      <c r="C505" s="342" t="s">
        <v>1453</v>
      </c>
      <c r="D505" s="200">
        <f>SUM(D506+D509+D539+D545+D558+D568+D572+D586+D596+D599)</f>
        <v>36336424000</v>
      </c>
      <c r="E505" s="200">
        <f>SUM(E506+E509+E539+E545+E558+E568+E572+E586+E596+E599)</f>
        <v>28105048350</v>
      </c>
      <c r="F505" s="200"/>
      <c r="G505" s="200">
        <f>E505/D505*100</f>
        <v>77.346764640350969</v>
      </c>
      <c r="H505" s="200">
        <f>SUM(H506+H509+H539+H545+H558+H568+H572+H586+H596+H599)/10</f>
        <v>86.012987012987011</v>
      </c>
      <c r="I505" s="4856"/>
      <c r="J505" s="4857"/>
    </row>
    <row r="506" spans="1:12" ht="17.25" hidden="1" customHeight="1" x14ac:dyDescent="0.25">
      <c r="A506" s="999"/>
      <c r="B506" s="1024"/>
      <c r="C506" s="138" t="s">
        <v>1454</v>
      </c>
      <c r="D506" s="4614">
        <f>D507</f>
        <v>9605050000</v>
      </c>
      <c r="E506" s="4614">
        <f>E507</f>
        <v>5756845000</v>
      </c>
      <c r="F506" s="4940"/>
      <c r="G506" s="128">
        <f>E506/D506*100</f>
        <v>59.935606790178085</v>
      </c>
      <c r="H506" s="326">
        <f>H507</f>
        <v>60</v>
      </c>
      <c r="I506" s="4637"/>
      <c r="J506" s="4890"/>
      <c r="K506" s="536"/>
      <c r="L506" s="536"/>
    </row>
    <row r="507" spans="1:12" ht="17.25" hidden="1" customHeight="1" x14ac:dyDescent="0.25">
      <c r="A507" s="999"/>
      <c r="B507" s="1024"/>
      <c r="C507" s="64" t="s">
        <v>1455</v>
      </c>
      <c r="D507" s="201">
        <v>9605050000</v>
      </c>
      <c r="E507" s="154">
        <v>5756845000</v>
      </c>
      <c r="F507" s="154"/>
      <c r="G507" s="154">
        <f>E507/D507*100</f>
        <v>59.935606790178085</v>
      </c>
      <c r="H507" s="154">
        <v>60</v>
      </c>
      <c r="I507" s="4637"/>
      <c r="J507" s="4890"/>
      <c r="K507" s="536"/>
      <c r="L507" s="536"/>
    </row>
    <row r="508" spans="1:12" ht="9.75" hidden="1" customHeight="1" x14ac:dyDescent="0.25">
      <c r="A508" s="999"/>
      <c r="B508" s="1024"/>
      <c r="C508" s="61"/>
      <c r="D508" s="201"/>
      <c r="E508" s="201"/>
      <c r="F508" s="201"/>
      <c r="G508" s="201"/>
      <c r="H508" s="154"/>
      <c r="I508" s="4637"/>
      <c r="J508" s="4890"/>
      <c r="K508" s="536"/>
      <c r="L508" s="536"/>
    </row>
    <row r="509" spans="1:12" ht="15.75" hidden="1" customHeight="1" x14ac:dyDescent="0.25">
      <c r="A509" s="999"/>
      <c r="B509" s="1024"/>
      <c r="C509" s="138" t="s">
        <v>5809</v>
      </c>
      <c r="D509" s="4615">
        <f>SUM(D510:D537)</f>
        <v>7480174000</v>
      </c>
      <c r="E509" s="4615">
        <f>SUM(E510:E537)</f>
        <v>6131291850</v>
      </c>
      <c r="F509" s="4940"/>
      <c r="G509" s="128">
        <f>E509/D509*100</f>
        <v>81.967235655213372</v>
      </c>
      <c r="H509" s="234">
        <f>SUM(H514:H537)/24</f>
        <v>80.416666666666671</v>
      </c>
      <c r="I509" s="4646"/>
      <c r="J509" s="4890"/>
      <c r="K509" s="536"/>
      <c r="L509" s="536"/>
    </row>
    <row r="510" spans="1:12" ht="15" hidden="1" customHeight="1" x14ac:dyDescent="0.25">
      <c r="A510" s="999"/>
      <c r="B510" s="1024"/>
      <c r="C510" s="61" t="s">
        <v>1456</v>
      </c>
      <c r="D510" s="376" t="s">
        <v>3317</v>
      </c>
      <c r="E510" s="376" t="s">
        <v>3317</v>
      </c>
      <c r="F510" s="376"/>
      <c r="G510" s="376" t="s">
        <v>3317</v>
      </c>
      <c r="H510" s="376" t="s">
        <v>3317</v>
      </c>
      <c r="I510" s="4637"/>
      <c r="J510" s="4890"/>
      <c r="K510" s="536"/>
      <c r="L510" s="536"/>
    </row>
    <row r="511" spans="1:12" ht="14.25" hidden="1" customHeight="1" x14ac:dyDescent="0.25">
      <c r="A511" s="999"/>
      <c r="B511" s="1024"/>
      <c r="C511" s="61" t="s">
        <v>1457</v>
      </c>
      <c r="D511" s="376" t="s">
        <v>3317</v>
      </c>
      <c r="E511" s="376" t="s">
        <v>3317</v>
      </c>
      <c r="F511" s="376"/>
      <c r="G511" s="376" t="s">
        <v>3317</v>
      </c>
      <c r="H511" s="376" t="s">
        <v>3317</v>
      </c>
      <c r="I511" s="4637"/>
      <c r="J511" s="4890"/>
      <c r="K511" s="536"/>
      <c r="L511" s="536"/>
    </row>
    <row r="512" spans="1:12" ht="16.5" hidden="1" customHeight="1" x14ac:dyDescent="0.25">
      <c r="A512" s="999"/>
      <c r="B512" s="1024"/>
      <c r="C512" s="61" t="s">
        <v>1458</v>
      </c>
      <c r="D512" s="376" t="s">
        <v>3317</v>
      </c>
      <c r="E512" s="376" t="s">
        <v>3317</v>
      </c>
      <c r="F512" s="376"/>
      <c r="G512" s="376" t="s">
        <v>3317</v>
      </c>
      <c r="H512" s="376" t="s">
        <v>3317</v>
      </c>
      <c r="I512" s="4637"/>
      <c r="J512" s="4890"/>
      <c r="K512" s="536"/>
      <c r="L512" s="536"/>
    </row>
    <row r="513" spans="1:12" ht="15.75" hidden="1" customHeight="1" x14ac:dyDescent="0.25">
      <c r="A513" s="999"/>
      <c r="B513" s="1024"/>
      <c r="C513" s="61" t="s">
        <v>1459</v>
      </c>
      <c r="D513" s="376" t="s">
        <v>3317</v>
      </c>
      <c r="E513" s="376" t="s">
        <v>3317</v>
      </c>
      <c r="F513" s="376"/>
      <c r="G513" s="376" t="s">
        <v>3317</v>
      </c>
      <c r="H513" s="376" t="s">
        <v>3317</v>
      </c>
      <c r="I513" s="4637"/>
      <c r="J513" s="4890"/>
      <c r="K513" s="536"/>
      <c r="L513" s="536"/>
    </row>
    <row r="514" spans="1:12" ht="15.75" hidden="1" customHeight="1" x14ac:dyDescent="0.25">
      <c r="A514" s="999"/>
      <c r="B514" s="1024"/>
      <c r="C514" s="61" t="s">
        <v>1460</v>
      </c>
      <c r="D514" s="149">
        <v>200000000</v>
      </c>
      <c r="E514" s="374">
        <v>200000000</v>
      </c>
      <c r="F514" s="374"/>
      <c r="G514" s="154">
        <f>E514/D514*100</f>
        <v>100</v>
      </c>
      <c r="H514" s="374">
        <v>100</v>
      </c>
      <c r="I514" s="4647"/>
      <c r="J514" s="4898">
        <f t="shared" ref="J514" si="41">I514/H514*100</f>
        <v>0</v>
      </c>
      <c r="K514" s="536"/>
      <c r="L514" s="536"/>
    </row>
    <row r="515" spans="1:12" ht="15" hidden="1" customHeight="1" x14ac:dyDescent="0.25">
      <c r="A515" s="999"/>
      <c r="B515" s="1024"/>
      <c r="C515" s="61" t="s">
        <v>1461</v>
      </c>
      <c r="D515" s="149">
        <v>230174000</v>
      </c>
      <c r="E515" s="374">
        <v>230174000</v>
      </c>
      <c r="F515" s="374"/>
      <c r="G515" s="154">
        <f t="shared" ref="G515:G521" si="42">E515/D515*100</f>
        <v>100</v>
      </c>
      <c r="H515" s="154">
        <v>100</v>
      </c>
      <c r="I515" s="4637"/>
      <c r="J515" s="4890"/>
      <c r="K515" s="536"/>
      <c r="L515" s="536"/>
    </row>
    <row r="516" spans="1:12" ht="17.25" hidden="1" customHeight="1" x14ac:dyDescent="0.25">
      <c r="A516" s="999"/>
      <c r="B516" s="1024"/>
      <c r="C516" s="61" t="s">
        <v>5810</v>
      </c>
      <c r="D516" s="149">
        <v>200000000</v>
      </c>
      <c r="E516" s="149">
        <v>200000000</v>
      </c>
      <c r="F516" s="374"/>
      <c r="G516" s="154">
        <f t="shared" si="42"/>
        <v>100</v>
      </c>
      <c r="H516" s="154">
        <v>100</v>
      </c>
      <c r="I516" s="4637"/>
      <c r="J516" s="4890"/>
      <c r="K516" s="536"/>
      <c r="L516" s="536"/>
    </row>
    <row r="517" spans="1:12" ht="17.25" hidden="1" customHeight="1" x14ac:dyDescent="0.25">
      <c r="A517" s="999"/>
      <c r="B517" s="1024"/>
      <c r="C517" s="61" t="s">
        <v>1462</v>
      </c>
      <c r="D517" s="149">
        <v>200000000</v>
      </c>
      <c r="E517" s="374">
        <v>200000000</v>
      </c>
      <c r="F517" s="374"/>
      <c r="G517" s="154">
        <f t="shared" si="42"/>
        <v>100</v>
      </c>
      <c r="H517" s="154">
        <v>100</v>
      </c>
      <c r="I517" s="4637"/>
      <c r="J517" s="4890"/>
      <c r="K517" s="536"/>
      <c r="L517" s="536"/>
    </row>
    <row r="518" spans="1:12" ht="17.25" hidden="1" customHeight="1" x14ac:dyDescent="0.25">
      <c r="A518" s="999"/>
      <c r="B518" s="1024"/>
      <c r="C518" s="61" t="s">
        <v>1463</v>
      </c>
      <c r="D518" s="149">
        <v>420000000</v>
      </c>
      <c r="E518" s="374">
        <v>420000000</v>
      </c>
      <c r="F518" s="374"/>
      <c r="G518" s="154">
        <f t="shared" si="42"/>
        <v>100</v>
      </c>
      <c r="H518" s="154">
        <v>100</v>
      </c>
      <c r="I518" s="4637"/>
      <c r="J518" s="4890"/>
      <c r="K518" s="536"/>
      <c r="L518" s="536"/>
    </row>
    <row r="519" spans="1:12" ht="15" hidden="1" customHeight="1" x14ac:dyDescent="0.25">
      <c r="A519" s="999"/>
      <c r="B519" s="1993"/>
      <c r="C519" s="61" t="s">
        <v>1464</v>
      </c>
      <c r="D519" s="149">
        <v>420000000</v>
      </c>
      <c r="E519" s="374">
        <v>420000000</v>
      </c>
      <c r="F519" s="374"/>
      <c r="G519" s="154">
        <f t="shared" si="42"/>
        <v>100</v>
      </c>
      <c r="H519" s="149">
        <v>100</v>
      </c>
      <c r="I519" s="4637"/>
      <c r="J519" s="4890"/>
      <c r="K519" s="536"/>
      <c r="L519" s="536"/>
    </row>
    <row r="520" spans="1:12" ht="15.75" hidden="1" customHeight="1" x14ac:dyDescent="0.25">
      <c r="A520" s="999"/>
      <c r="B520" s="1024"/>
      <c r="C520" s="61" t="s">
        <v>1465</v>
      </c>
      <c r="D520" s="149">
        <v>420000000</v>
      </c>
      <c r="E520" s="149">
        <f>400000000-149350000</f>
        <v>250650000</v>
      </c>
      <c r="F520" s="374"/>
      <c r="G520" s="154">
        <f t="shared" si="42"/>
        <v>59.678571428571423</v>
      </c>
      <c r="H520" s="154">
        <v>0</v>
      </c>
      <c r="I520" s="4637"/>
      <c r="J520" s="4890"/>
      <c r="K520" s="536"/>
      <c r="L520" s="536"/>
    </row>
    <row r="521" spans="1:12" ht="15.75" hidden="1" customHeight="1" x14ac:dyDescent="0.25">
      <c r="A521" s="999"/>
      <c r="B521" s="1024"/>
      <c r="C521" s="61" t="s">
        <v>1466</v>
      </c>
      <c r="D521" s="149">
        <v>230000000</v>
      </c>
      <c r="E521" s="374">
        <v>230000000</v>
      </c>
      <c r="F521" s="374"/>
      <c r="G521" s="154">
        <f t="shared" si="42"/>
        <v>100</v>
      </c>
      <c r="H521" s="154">
        <v>100</v>
      </c>
      <c r="I521" s="4637"/>
      <c r="J521" s="4890"/>
      <c r="K521" s="536"/>
      <c r="L521" s="536"/>
    </row>
    <row r="522" spans="1:12" ht="13.5" hidden="1" customHeight="1" x14ac:dyDescent="0.25">
      <c r="A522" s="999"/>
      <c r="B522" s="1024"/>
      <c r="C522" s="61" t="s">
        <v>1467</v>
      </c>
      <c r="D522" s="149">
        <v>200000000</v>
      </c>
      <c r="E522" s="374">
        <v>0</v>
      </c>
      <c r="F522" s="374"/>
      <c r="G522" s="149">
        <v>0</v>
      </c>
      <c r="H522" s="149">
        <v>0</v>
      </c>
      <c r="I522" s="4637"/>
      <c r="J522" s="4890"/>
      <c r="K522" s="536"/>
      <c r="L522" s="536"/>
    </row>
    <row r="523" spans="1:12" ht="17.25" hidden="1" customHeight="1" x14ac:dyDescent="0.25">
      <c r="A523" s="999"/>
      <c r="B523" s="1024"/>
      <c r="C523" s="61" t="s">
        <v>1468</v>
      </c>
      <c r="D523" s="149">
        <v>100000000</v>
      </c>
      <c r="E523" s="374">
        <v>0</v>
      </c>
      <c r="F523" s="374"/>
      <c r="G523" s="149">
        <v>0</v>
      </c>
      <c r="H523" s="149">
        <v>0</v>
      </c>
      <c r="I523" s="4637"/>
      <c r="J523" s="4890"/>
      <c r="K523" s="536"/>
      <c r="L523" s="536"/>
    </row>
    <row r="524" spans="1:12" ht="13.5" hidden="1" customHeight="1" x14ac:dyDescent="0.25">
      <c r="A524" s="999"/>
      <c r="B524" s="1024"/>
      <c r="C524" s="61" t="s">
        <v>1469</v>
      </c>
      <c r="D524" s="149">
        <v>550000000</v>
      </c>
      <c r="E524" s="374">
        <v>0</v>
      </c>
      <c r="F524" s="374"/>
      <c r="G524" s="149">
        <v>0</v>
      </c>
      <c r="H524" s="149">
        <v>0</v>
      </c>
      <c r="I524" s="4637"/>
      <c r="J524" s="4890"/>
      <c r="K524" s="536"/>
      <c r="L524" s="536"/>
    </row>
    <row r="525" spans="1:12" ht="15" hidden="1" customHeight="1" x14ac:dyDescent="0.25">
      <c r="A525" s="999"/>
      <c r="B525" s="1024"/>
      <c r="C525" s="61" t="s">
        <v>1470</v>
      </c>
      <c r="D525" s="149">
        <v>200000000</v>
      </c>
      <c r="E525" s="374">
        <v>200000000</v>
      </c>
      <c r="F525" s="374"/>
      <c r="G525" s="154">
        <f t="shared" ref="G525:G537" si="43">E525/D525*100</f>
        <v>100</v>
      </c>
      <c r="H525" s="149">
        <v>100</v>
      </c>
      <c r="I525" s="4637"/>
      <c r="J525" s="4890"/>
      <c r="K525" s="536"/>
      <c r="L525" s="536"/>
    </row>
    <row r="526" spans="1:12" ht="15" hidden="1" customHeight="1" x14ac:dyDescent="0.25">
      <c r="A526" s="999"/>
      <c r="B526" s="1024"/>
      <c r="C526" s="61" t="s">
        <v>1471</v>
      </c>
      <c r="D526" s="149">
        <v>500000000</v>
      </c>
      <c r="E526" s="374">
        <v>474527850</v>
      </c>
      <c r="F526" s="374"/>
      <c r="G526" s="140">
        <f t="shared" si="43"/>
        <v>94.905569999999997</v>
      </c>
      <c r="H526" s="149">
        <v>100</v>
      </c>
      <c r="I526" s="4637"/>
      <c r="J526" s="4890"/>
      <c r="K526" s="536"/>
      <c r="L526" s="536"/>
    </row>
    <row r="527" spans="1:12" ht="16.5" hidden="1" customHeight="1" x14ac:dyDescent="0.25">
      <c r="A527" s="999"/>
      <c r="B527" s="1024"/>
      <c r="C527" s="61" t="s">
        <v>1472</v>
      </c>
      <c r="D527" s="149">
        <v>150000000</v>
      </c>
      <c r="E527" s="374">
        <v>150000000</v>
      </c>
      <c r="F527" s="374"/>
      <c r="G527" s="140">
        <f t="shared" si="43"/>
        <v>100</v>
      </c>
      <c r="H527" s="149">
        <v>100</v>
      </c>
      <c r="I527" s="4637"/>
      <c r="J527" s="4890"/>
      <c r="K527" s="536"/>
      <c r="L527" s="536"/>
    </row>
    <row r="528" spans="1:12" ht="15.75" hidden="1" customHeight="1" x14ac:dyDescent="0.25">
      <c r="A528" s="999"/>
      <c r="B528" s="1024"/>
      <c r="C528" s="61" t="s">
        <v>1473</v>
      </c>
      <c r="D528" s="149">
        <v>700000000</v>
      </c>
      <c r="E528" s="374">
        <v>700000000</v>
      </c>
      <c r="F528" s="374"/>
      <c r="G528" s="140">
        <f t="shared" si="43"/>
        <v>100</v>
      </c>
      <c r="H528" s="149">
        <v>100</v>
      </c>
      <c r="I528" s="4637"/>
      <c r="J528" s="4890"/>
      <c r="K528" s="536"/>
      <c r="L528" s="536"/>
    </row>
    <row r="529" spans="1:12" ht="17.25" hidden="1" customHeight="1" x14ac:dyDescent="0.25">
      <c r="A529" s="999"/>
      <c r="B529" s="1024"/>
      <c r="C529" s="61" t="s">
        <v>1474</v>
      </c>
      <c r="D529" s="149">
        <v>150000000</v>
      </c>
      <c r="E529" s="374">
        <v>0</v>
      </c>
      <c r="F529" s="374"/>
      <c r="G529" s="140">
        <f t="shared" si="43"/>
        <v>0</v>
      </c>
      <c r="H529" s="154">
        <v>100</v>
      </c>
      <c r="I529" s="4637"/>
      <c r="J529" s="4890"/>
      <c r="K529" s="536"/>
      <c r="L529" s="536"/>
    </row>
    <row r="530" spans="1:12" ht="17.25" hidden="1" customHeight="1" x14ac:dyDescent="0.25">
      <c r="A530" s="999"/>
      <c r="B530" s="1024"/>
      <c r="C530" s="61" t="s">
        <v>1475</v>
      </c>
      <c r="D530" s="149">
        <v>200000000</v>
      </c>
      <c r="E530" s="374">
        <v>200000000</v>
      </c>
      <c r="F530" s="374"/>
      <c r="G530" s="140">
        <f t="shared" si="43"/>
        <v>100</v>
      </c>
      <c r="H530" s="154">
        <v>100</v>
      </c>
      <c r="I530" s="4637"/>
      <c r="J530" s="4890"/>
      <c r="K530" s="536"/>
      <c r="L530" s="536"/>
    </row>
    <row r="531" spans="1:12" ht="17.25" hidden="1" customHeight="1" x14ac:dyDescent="0.25">
      <c r="A531" s="999"/>
      <c r="B531" s="1024"/>
      <c r="C531" s="61" t="s">
        <v>4007</v>
      </c>
      <c r="D531" s="149">
        <v>200000000</v>
      </c>
      <c r="E531" s="374">
        <v>200000000</v>
      </c>
      <c r="F531" s="374"/>
      <c r="G531" s="140">
        <f t="shared" si="43"/>
        <v>100</v>
      </c>
      <c r="H531" s="154">
        <v>100</v>
      </c>
      <c r="I531" s="4637"/>
      <c r="J531" s="4890"/>
      <c r="K531" s="536"/>
      <c r="L531" s="536"/>
    </row>
    <row r="532" spans="1:12" ht="17.25" hidden="1" customHeight="1" x14ac:dyDescent="0.25">
      <c r="A532" s="999"/>
      <c r="B532" s="1024"/>
      <c r="C532" s="61" t="s">
        <v>4006</v>
      </c>
      <c r="D532" s="149">
        <v>220000000</v>
      </c>
      <c r="E532" s="374">
        <v>65940000</v>
      </c>
      <c r="F532" s="374"/>
      <c r="G532" s="140">
        <f t="shared" si="43"/>
        <v>29.972727272727273</v>
      </c>
      <c r="H532" s="154">
        <v>30</v>
      </c>
      <c r="I532" s="4637"/>
      <c r="J532" s="4890"/>
      <c r="K532" s="536"/>
      <c r="L532" s="536"/>
    </row>
    <row r="533" spans="1:12" ht="17.25" hidden="1" customHeight="1" x14ac:dyDescent="0.25">
      <c r="A533" s="999"/>
      <c r="B533" s="1024"/>
      <c r="C533" s="61" t="s">
        <v>4008</v>
      </c>
      <c r="D533" s="149">
        <v>200000000</v>
      </c>
      <c r="E533" s="374">
        <v>200000000</v>
      </c>
      <c r="F533" s="374"/>
      <c r="G533" s="140">
        <f t="shared" si="43"/>
        <v>100</v>
      </c>
      <c r="H533" s="149">
        <v>100</v>
      </c>
      <c r="I533" s="4637"/>
      <c r="J533" s="4890"/>
      <c r="K533" s="536"/>
      <c r="L533" s="536"/>
    </row>
    <row r="534" spans="1:12" ht="18" hidden="1" customHeight="1" x14ac:dyDescent="0.25">
      <c r="A534" s="999"/>
      <c r="B534" s="1024"/>
      <c r="C534" s="61" t="s">
        <v>4009</v>
      </c>
      <c r="D534" s="201">
        <v>450000000</v>
      </c>
      <c r="E534" s="154">
        <v>450000000</v>
      </c>
      <c r="F534" s="154"/>
      <c r="G534" s="140">
        <f t="shared" si="43"/>
        <v>100</v>
      </c>
      <c r="H534" s="140">
        <v>100</v>
      </c>
      <c r="I534" s="4637"/>
      <c r="J534" s="4890"/>
      <c r="K534" s="536"/>
      <c r="L534" s="536"/>
    </row>
    <row r="535" spans="1:12" ht="17.25" hidden="1" customHeight="1" x14ac:dyDescent="0.25">
      <c r="A535" s="999"/>
      <c r="B535" s="1024"/>
      <c r="C535" s="61" t="s">
        <v>4010</v>
      </c>
      <c r="D535" s="201">
        <v>420000000</v>
      </c>
      <c r="E535" s="154">
        <v>420000000</v>
      </c>
      <c r="F535" s="154"/>
      <c r="G535" s="154">
        <f t="shared" si="43"/>
        <v>100</v>
      </c>
      <c r="H535" s="154">
        <v>100</v>
      </c>
      <c r="I535" s="4637"/>
      <c r="J535" s="4890"/>
      <c r="K535" s="536"/>
      <c r="L535" s="536"/>
    </row>
    <row r="536" spans="1:12" ht="14.25" hidden="1" customHeight="1" x14ac:dyDescent="0.25">
      <c r="A536" s="999"/>
      <c r="B536" s="1024"/>
      <c r="C536" s="61" t="s">
        <v>4011</v>
      </c>
      <c r="D536" s="201">
        <v>420000000</v>
      </c>
      <c r="E536" s="154">
        <v>420000000</v>
      </c>
      <c r="F536" s="154"/>
      <c r="G536" s="154">
        <f t="shared" si="43"/>
        <v>100</v>
      </c>
      <c r="H536" s="154">
        <v>100</v>
      </c>
      <c r="I536" s="4637"/>
      <c r="J536" s="4890"/>
      <c r="K536" s="536"/>
      <c r="L536" s="536"/>
    </row>
    <row r="537" spans="1:12" ht="21" hidden="1" customHeight="1" x14ac:dyDescent="0.25">
      <c r="A537" s="999"/>
      <c r="B537" s="1024"/>
      <c r="C537" s="61" t="s">
        <v>4012</v>
      </c>
      <c r="D537" s="201">
        <v>500000000</v>
      </c>
      <c r="E537" s="154">
        <v>500000000</v>
      </c>
      <c r="F537" s="154"/>
      <c r="G537" s="154">
        <f t="shared" si="43"/>
        <v>100</v>
      </c>
      <c r="H537" s="154">
        <v>100</v>
      </c>
      <c r="I537" s="4637"/>
      <c r="J537" s="4890"/>
      <c r="K537" s="536"/>
      <c r="L537" s="536"/>
    </row>
    <row r="538" spans="1:12" ht="11.25" hidden="1" customHeight="1" x14ac:dyDescent="0.25">
      <c r="A538" s="999"/>
      <c r="B538" s="1024"/>
      <c r="C538" s="61"/>
      <c r="D538" s="201"/>
      <c r="E538" s="154"/>
      <c r="F538" s="154"/>
      <c r="G538" s="154"/>
      <c r="H538" s="154"/>
      <c r="I538" s="4637"/>
      <c r="J538" s="4890"/>
      <c r="K538" s="536"/>
      <c r="L538" s="536"/>
    </row>
    <row r="539" spans="1:12" ht="21.75" hidden="1" customHeight="1" x14ac:dyDescent="0.25">
      <c r="A539" s="999"/>
      <c r="B539" s="1024"/>
      <c r="C539" s="63" t="s">
        <v>1476</v>
      </c>
      <c r="D539" s="202">
        <f>SUM(D540:D543)</f>
        <v>529000000</v>
      </c>
      <c r="E539" s="202">
        <f>SUM(E540:E543)</f>
        <v>529000000</v>
      </c>
      <c r="F539" s="326"/>
      <c r="G539" s="128">
        <f>E539/D539*100</f>
        <v>100</v>
      </c>
      <c r="H539" s="234">
        <f>SUM(H540:H543)/4</f>
        <v>100</v>
      </c>
      <c r="I539" s="4637"/>
      <c r="J539" s="4890"/>
      <c r="K539" s="536"/>
      <c r="L539" s="536"/>
    </row>
    <row r="540" spans="1:12" ht="21" hidden="1" customHeight="1" x14ac:dyDescent="0.25">
      <c r="A540" s="999"/>
      <c r="B540" s="1024"/>
      <c r="C540" s="61" t="s">
        <v>1477</v>
      </c>
      <c r="D540" s="201">
        <v>100000000</v>
      </c>
      <c r="E540" s="154">
        <v>100000000</v>
      </c>
      <c r="F540" s="154"/>
      <c r="G540" s="154">
        <f t="shared" ref="G540:G543" si="44">E540/D540*100</f>
        <v>100</v>
      </c>
      <c r="H540" s="154">
        <v>100</v>
      </c>
      <c r="I540" s="4637"/>
      <c r="J540" s="4890"/>
      <c r="K540" s="536"/>
      <c r="L540" s="536"/>
    </row>
    <row r="541" spans="1:12" ht="16.5" hidden="1" customHeight="1" x14ac:dyDescent="0.25">
      <c r="A541" s="999"/>
      <c r="B541" s="1024"/>
      <c r="C541" s="61" t="s">
        <v>1478</v>
      </c>
      <c r="D541" s="201">
        <v>150000000</v>
      </c>
      <c r="E541" s="154">
        <v>150000000</v>
      </c>
      <c r="F541" s="154"/>
      <c r="G541" s="154">
        <f t="shared" si="44"/>
        <v>100</v>
      </c>
      <c r="H541" s="154">
        <v>100</v>
      </c>
      <c r="I541" s="4637"/>
      <c r="J541" s="4890"/>
      <c r="K541" s="536"/>
      <c r="L541" s="536"/>
    </row>
    <row r="542" spans="1:12" ht="15.75" hidden="1" customHeight="1" x14ac:dyDescent="0.25">
      <c r="A542" s="999"/>
      <c r="B542" s="1024"/>
      <c r="C542" s="61" t="s">
        <v>1479</v>
      </c>
      <c r="D542" s="201">
        <v>79000000</v>
      </c>
      <c r="E542" s="154">
        <v>79000000</v>
      </c>
      <c r="F542" s="154"/>
      <c r="G542" s="154">
        <f t="shared" si="44"/>
        <v>100</v>
      </c>
      <c r="H542" s="154">
        <v>100</v>
      </c>
      <c r="I542" s="4637"/>
      <c r="J542" s="4890"/>
      <c r="K542" s="536"/>
      <c r="L542" s="536"/>
    </row>
    <row r="543" spans="1:12" ht="17.25" hidden="1" customHeight="1" x14ac:dyDescent="0.25">
      <c r="A543" s="999"/>
      <c r="B543" s="1024"/>
      <c r="C543" s="61" t="s">
        <v>1480</v>
      </c>
      <c r="D543" s="201">
        <v>200000000</v>
      </c>
      <c r="E543" s="154">
        <v>200000000</v>
      </c>
      <c r="F543" s="154"/>
      <c r="G543" s="154">
        <f t="shared" si="44"/>
        <v>100</v>
      </c>
      <c r="H543" s="154">
        <v>100</v>
      </c>
      <c r="I543" s="4637"/>
      <c r="J543" s="4890"/>
      <c r="K543" s="536"/>
      <c r="L543" s="536"/>
    </row>
    <row r="544" spans="1:12" ht="11.25" hidden="1" customHeight="1" x14ac:dyDescent="0.25">
      <c r="A544" s="999"/>
      <c r="B544" s="1024"/>
      <c r="C544" s="61"/>
      <c r="D544" s="201"/>
      <c r="E544" s="154"/>
      <c r="F544" s="154"/>
      <c r="G544" s="154"/>
      <c r="H544" s="154"/>
      <c r="I544" s="4637"/>
      <c r="J544" s="4890"/>
      <c r="K544" s="536"/>
      <c r="L544" s="536"/>
    </row>
    <row r="545" spans="1:12" ht="18.75" hidden="1" customHeight="1" x14ac:dyDescent="0.25">
      <c r="A545" s="999"/>
      <c r="B545" s="1024"/>
      <c r="C545" s="63" t="s">
        <v>3459</v>
      </c>
      <c r="D545" s="202">
        <f>SUM(D546:D556)</f>
        <v>4733850000</v>
      </c>
      <c r="E545" s="202">
        <f>SUM(E546:E556)</f>
        <v>3728872500</v>
      </c>
      <c r="F545" s="326"/>
      <c r="G545" s="128">
        <f>E545/D545*100</f>
        <v>78.770398301593829</v>
      </c>
      <c r="H545" s="234">
        <f>SUM(H546:H556)/11</f>
        <v>77.272727272727266</v>
      </c>
      <c r="I545" s="4637"/>
      <c r="J545" s="4890"/>
      <c r="K545" s="536"/>
      <c r="L545" s="536"/>
    </row>
    <row r="546" spans="1:12" ht="15.75" hidden="1" customHeight="1" x14ac:dyDescent="0.25">
      <c r="A546" s="999"/>
      <c r="B546" s="1024"/>
      <c r="C546" s="61" t="s">
        <v>1481</v>
      </c>
      <c r="D546" s="201">
        <v>200000000</v>
      </c>
      <c r="E546" s="154">
        <v>200000000</v>
      </c>
      <c r="F546" s="154"/>
      <c r="G546" s="154">
        <f t="shared" ref="G546:G556" si="45">E546/D546*100</f>
        <v>100</v>
      </c>
      <c r="H546" s="154">
        <v>100</v>
      </c>
      <c r="I546" s="4637"/>
      <c r="J546" s="4890"/>
      <c r="K546" s="536"/>
      <c r="L546" s="536"/>
    </row>
    <row r="547" spans="1:12" ht="16.5" hidden="1" customHeight="1" x14ac:dyDescent="0.25">
      <c r="A547" s="999"/>
      <c r="B547" s="1024"/>
      <c r="C547" s="61" t="s">
        <v>1482</v>
      </c>
      <c r="D547" s="201">
        <v>0</v>
      </c>
      <c r="E547" s="201">
        <v>0</v>
      </c>
      <c r="F547" s="201"/>
      <c r="G547" s="201">
        <v>0</v>
      </c>
      <c r="H547" s="201">
        <v>0</v>
      </c>
      <c r="I547" s="4637"/>
      <c r="J547" s="4890"/>
      <c r="K547" s="536"/>
      <c r="L547" s="536"/>
    </row>
    <row r="548" spans="1:12" ht="15.75" hidden="1" customHeight="1" x14ac:dyDescent="0.25">
      <c r="A548" s="999"/>
      <c r="B548" s="1024"/>
      <c r="C548" s="61" t="s">
        <v>1483</v>
      </c>
      <c r="D548" s="201">
        <v>50000000</v>
      </c>
      <c r="E548" s="154">
        <v>50000000</v>
      </c>
      <c r="F548" s="154"/>
      <c r="G548" s="154">
        <f t="shared" si="45"/>
        <v>100</v>
      </c>
      <c r="H548" s="154">
        <v>100</v>
      </c>
      <c r="I548" s="4637"/>
      <c r="J548" s="4890"/>
      <c r="K548" s="536"/>
      <c r="L548" s="536"/>
    </row>
    <row r="549" spans="1:12" ht="15.75" hidden="1" customHeight="1" x14ac:dyDescent="0.25">
      <c r="A549" s="999"/>
      <c r="B549" s="1024"/>
      <c r="C549" s="61" t="s">
        <v>1484</v>
      </c>
      <c r="D549" s="201">
        <v>789650000</v>
      </c>
      <c r="E549" s="154">
        <v>789000000</v>
      </c>
      <c r="F549" s="154"/>
      <c r="G549" s="154">
        <f t="shared" si="45"/>
        <v>99.917685050338761</v>
      </c>
      <c r="H549" s="154">
        <v>100</v>
      </c>
      <c r="I549" s="4637"/>
      <c r="J549" s="4890"/>
      <c r="K549" s="536"/>
      <c r="L549" s="536"/>
    </row>
    <row r="550" spans="1:12" ht="15" hidden="1" customHeight="1" x14ac:dyDescent="0.25">
      <c r="A550" s="999"/>
      <c r="B550" s="1024"/>
      <c r="C550" s="61" t="s">
        <v>1485</v>
      </c>
      <c r="D550" s="201">
        <v>1000000000</v>
      </c>
      <c r="E550" s="154">
        <v>997000000</v>
      </c>
      <c r="F550" s="154"/>
      <c r="G550" s="154">
        <f t="shared" si="45"/>
        <v>99.7</v>
      </c>
      <c r="H550" s="154">
        <v>100</v>
      </c>
      <c r="I550" s="4637"/>
      <c r="J550" s="4890"/>
      <c r="K550" s="536"/>
      <c r="L550" s="536"/>
    </row>
    <row r="551" spans="1:12" ht="16.5" hidden="1" customHeight="1" x14ac:dyDescent="0.25">
      <c r="A551" s="999"/>
      <c r="B551" s="1024"/>
      <c r="C551" s="61" t="s">
        <v>1486</v>
      </c>
      <c r="D551" s="201">
        <v>500000000</v>
      </c>
      <c r="E551" s="154">
        <v>500000000</v>
      </c>
      <c r="F551" s="154"/>
      <c r="G551" s="154">
        <f t="shared" si="45"/>
        <v>100</v>
      </c>
      <c r="H551" s="154">
        <v>100</v>
      </c>
      <c r="I551" s="4637"/>
      <c r="J551" s="4890"/>
      <c r="K551" s="536"/>
      <c r="L551" s="536"/>
    </row>
    <row r="552" spans="1:12" ht="16.5" hidden="1" customHeight="1" x14ac:dyDescent="0.25">
      <c r="A552" s="999"/>
      <c r="B552" s="1024"/>
      <c r="C552" s="61" t="s">
        <v>1487</v>
      </c>
      <c r="D552" s="201">
        <v>294200000</v>
      </c>
      <c r="E552" s="154">
        <v>294200000</v>
      </c>
      <c r="F552" s="154"/>
      <c r="G552" s="154">
        <f t="shared" si="45"/>
        <v>100</v>
      </c>
      <c r="H552" s="154">
        <v>100</v>
      </c>
      <c r="I552" s="4637"/>
      <c r="J552" s="4890"/>
      <c r="K552" s="536"/>
      <c r="L552" s="536"/>
    </row>
    <row r="553" spans="1:12" ht="15" hidden="1" customHeight="1" x14ac:dyDescent="0.25">
      <c r="A553" s="999"/>
      <c r="B553" s="1024"/>
      <c r="C553" s="61" t="s">
        <v>1488</v>
      </c>
      <c r="D553" s="201">
        <v>500000000</v>
      </c>
      <c r="E553" s="154">
        <v>0</v>
      </c>
      <c r="F553" s="154"/>
      <c r="G553" s="154">
        <v>0</v>
      </c>
      <c r="H553" s="154">
        <v>0</v>
      </c>
      <c r="I553" s="4637"/>
      <c r="J553" s="4890"/>
      <c r="K553" s="536"/>
      <c r="L553" s="536"/>
    </row>
    <row r="554" spans="1:12" ht="16.5" hidden="1" customHeight="1" x14ac:dyDescent="0.25">
      <c r="A554" s="999"/>
      <c r="B554" s="1024"/>
      <c r="C554" s="61" t="s">
        <v>1489</v>
      </c>
      <c r="D554" s="201">
        <v>1000000000</v>
      </c>
      <c r="E554" s="154">
        <v>498672500</v>
      </c>
      <c r="F554" s="154"/>
      <c r="G554" s="154">
        <f t="shared" si="45"/>
        <v>49.867249999999999</v>
      </c>
      <c r="H554" s="154">
        <v>50</v>
      </c>
      <c r="I554" s="4637"/>
      <c r="J554" s="4890"/>
      <c r="K554" s="536"/>
      <c r="L554" s="536"/>
    </row>
    <row r="555" spans="1:12" ht="15" hidden="1" customHeight="1" x14ac:dyDescent="0.25">
      <c r="A555" s="999"/>
      <c r="B555" s="1024"/>
      <c r="C555" s="61" t="s">
        <v>3460</v>
      </c>
      <c r="D555" s="201">
        <v>200000000</v>
      </c>
      <c r="E555" s="154">
        <v>200000000</v>
      </c>
      <c r="F555" s="154"/>
      <c r="G555" s="154">
        <f t="shared" si="45"/>
        <v>100</v>
      </c>
      <c r="H555" s="154">
        <v>100</v>
      </c>
      <c r="I555" s="4637"/>
      <c r="J555" s="4890"/>
      <c r="K555" s="536"/>
      <c r="L555" s="536"/>
    </row>
    <row r="556" spans="1:12" ht="16.5" hidden="1" customHeight="1" x14ac:dyDescent="0.25">
      <c r="A556" s="999"/>
      <c r="B556" s="1024"/>
      <c r="C556" s="61" t="s">
        <v>3461</v>
      </c>
      <c r="D556" s="201">
        <v>200000000</v>
      </c>
      <c r="E556" s="154">
        <v>200000000</v>
      </c>
      <c r="F556" s="154"/>
      <c r="G556" s="154">
        <f t="shared" si="45"/>
        <v>100</v>
      </c>
      <c r="H556" s="154">
        <v>100</v>
      </c>
      <c r="I556" s="4637"/>
      <c r="J556" s="4890"/>
      <c r="K556" s="536"/>
      <c r="L556" s="536"/>
    </row>
    <row r="557" spans="1:12" ht="13.5" hidden="1" customHeight="1" x14ac:dyDescent="0.25">
      <c r="A557" s="999"/>
      <c r="B557" s="1024"/>
      <c r="C557" s="61"/>
      <c r="D557" s="201"/>
      <c r="E557" s="154"/>
      <c r="F557" s="154"/>
      <c r="G557" s="154"/>
      <c r="H557" s="154"/>
      <c r="I557" s="4616"/>
      <c r="J557" s="4890"/>
      <c r="K557" s="536"/>
      <c r="L557" s="536"/>
    </row>
    <row r="558" spans="1:12" ht="17.25" hidden="1" customHeight="1" x14ac:dyDescent="0.25">
      <c r="A558" s="999"/>
      <c r="B558" s="1024"/>
      <c r="C558" s="138" t="s">
        <v>1490</v>
      </c>
      <c r="D558" s="84">
        <f>SUM(D559:D566)</f>
        <v>3071200000</v>
      </c>
      <c r="E558" s="84">
        <f>SUM(E559:E566)</f>
        <v>3071200000</v>
      </c>
      <c r="F558" s="156"/>
      <c r="G558" s="128">
        <f>E558/D558*100</f>
        <v>100</v>
      </c>
      <c r="H558" s="234">
        <f>SUM(H559:H566)/8</f>
        <v>93.75</v>
      </c>
      <c r="I558" s="4899"/>
      <c r="J558" s="4890"/>
      <c r="K558" s="536"/>
      <c r="L558" s="536"/>
    </row>
    <row r="559" spans="1:12" ht="18.75" hidden="1" customHeight="1" x14ac:dyDescent="0.25">
      <c r="A559" s="999"/>
      <c r="B559" s="1024"/>
      <c r="C559" s="61" t="s">
        <v>1491</v>
      </c>
      <c r="D559" s="201">
        <v>1200000000</v>
      </c>
      <c r="E559" s="154">
        <v>1200000000</v>
      </c>
      <c r="F559" s="154"/>
      <c r="G559" s="154">
        <f t="shared" ref="G559:G566" si="46">E559/D559*100</f>
        <v>100</v>
      </c>
      <c r="H559" s="154">
        <v>100</v>
      </c>
      <c r="I559" s="4900"/>
      <c r="J559" s="4890"/>
      <c r="K559" s="536"/>
      <c r="L559" s="536"/>
    </row>
    <row r="560" spans="1:12" ht="15.75" hidden="1" customHeight="1" x14ac:dyDescent="0.25">
      <c r="A560" s="999"/>
      <c r="B560" s="1024"/>
      <c r="C560" s="61" t="s">
        <v>1492</v>
      </c>
      <c r="D560" s="201">
        <v>710800000</v>
      </c>
      <c r="E560" s="117">
        <v>710800000</v>
      </c>
      <c r="F560" s="109"/>
      <c r="G560" s="154">
        <f t="shared" si="46"/>
        <v>100</v>
      </c>
      <c r="H560" s="117">
        <v>100</v>
      </c>
      <c r="I560" s="4901"/>
      <c r="J560" s="4890"/>
      <c r="K560" s="536"/>
      <c r="L560" s="536"/>
    </row>
    <row r="561" spans="1:12" ht="15.75" hidden="1" customHeight="1" x14ac:dyDescent="0.25">
      <c r="A561" s="999"/>
      <c r="B561" s="1024"/>
      <c r="C561" s="61" t="s">
        <v>1493</v>
      </c>
      <c r="D561" s="201">
        <v>200000000</v>
      </c>
      <c r="E561" s="117">
        <v>200000000</v>
      </c>
      <c r="F561" s="109"/>
      <c r="G561" s="154">
        <f t="shared" si="46"/>
        <v>100</v>
      </c>
      <c r="H561" s="117">
        <v>100</v>
      </c>
      <c r="I561" s="4902"/>
      <c r="J561" s="4890"/>
      <c r="K561" s="536"/>
      <c r="L561" s="536"/>
    </row>
    <row r="562" spans="1:12" ht="15" hidden="1" customHeight="1" x14ac:dyDescent="0.25">
      <c r="A562" s="999"/>
      <c r="B562" s="1024"/>
      <c r="C562" s="61" t="s">
        <v>1494</v>
      </c>
      <c r="D562" s="201">
        <v>100000000</v>
      </c>
      <c r="E562" s="117">
        <v>100000000</v>
      </c>
      <c r="F562" s="109"/>
      <c r="G562" s="154">
        <f t="shared" si="46"/>
        <v>100</v>
      </c>
      <c r="H562" s="117">
        <v>50</v>
      </c>
      <c r="I562" s="4902"/>
      <c r="J562" s="4890"/>
      <c r="K562" s="536"/>
      <c r="L562" s="536"/>
    </row>
    <row r="563" spans="1:12" ht="29.25" hidden="1" customHeight="1" x14ac:dyDescent="0.25">
      <c r="A563" s="999"/>
      <c r="B563" s="1024"/>
      <c r="C563" s="61" t="s">
        <v>1495</v>
      </c>
      <c r="D563" s="201">
        <v>227150000</v>
      </c>
      <c r="E563" s="117">
        <v>227150000</v>
      </c>
      <c r="F563" s="109"/>
      <c r="G563" s="154">
        <f t="shared" si="46"/>
        <v>100</v>
      </c>
      <c r="H563" s="117">
        <v>100</v>
      </c>
      <c r="I563" s="4901"/>
      <c r="J563" s="4890"/>
      <c r="K563" s="536"/>
      <c r="L563" s="536"/>
    </row>
    <row r="564" spans="1:12" ht="15" hidden="1" customHeight="1" x14ac:dyDescent="0.25">
      <c r="A564" s="999"/>
      <c r="B564" s="1993"/>
      <c r="C564" s="61" t="s">
        <v>1496</v>
      </c>
      <c r="D564" s="201">
        <v>43250000</v>
      </c>
      <c r="E564" s="109">
        <v>43250000</v>
      </c>
      <c r="F564" s="109"/>
      <c r="G564" s="154">
        <f t="shared" si="46"/>
        <v>100</v>
      </c>
      <c r="H564" s="117">
        <v>100</v>
      </c>
      <c r="I564" s="4901"/>
      <c r="J564" s="4890"/>
      <c r="K564" s="536"/>
      <c r="L564" s="536"/>
    </row>
    <row r="565" spans="1:12" ht="15" hidden="1" customHeight="1" x14ac:dyDescent="0.25">
      <c r="A565" s="999"/>
      <c r="B565" s="1024"/>
      <c r="C565" s="61" t="s">
        <v>1497</v>
      </c>
      <c r="D565" s="201">
        <v>90000000</v>
      </c>
      <c r="E565" s="109">
        <v>90000000</v>
      </c>
      <c r="F565" s="109"/>
      <c r="G565" s="154">
        <f t="shared" si="46"/>
        <v>100</v>
      </c>
      <c r="H565" s="117">
        <v>100</v>
      </c>
      <c r="I565" s="4901"/>
      <c r="J565" s="4890"/>
      <c r="K565" s="536"/>
      <c r="L565" s="536"/>
    </row>
    <row r="566" spans="1:12" ht="15" hidden="1" customHeight="1" x14ac:dyDescent="0.25">
      <c r="A566" s="999"/>
      <c r="B566" s="1024"/>
      <c r="C566" s="61" t="s">
        <v>1498</v>
      </c>
      <c r="D566" s="201">
        <v>500000000</v>
      </c>
      <c r="E566" s="109">
        <v>500000000</v>
      </c>
      <c r="F566" s="109"/>
      <c r="G566" s="154">
        <f t="shared" si="46"/>
        <v>100</v>
      </c>
      <c r="H566" s="117">
        <v>100</v>
      </c>
      <c r="I566" s="4903"/>
      <c r="J566" s="4890"/>
      <c r="K566" s="536"/>
      <c r="L566" s="536"/>
    </row>
    <row r="567" spans="1:12" ht="11.25" hidden="1" customHeight="1" x14ac:dyDescent="0.25">
      <c r="A567" s="999"/>
      <c r="B567" s="1024"/>
      <c r="C567" s="61"/>
      <c r="D567" s="201"/>
      <c r="E567" s="154"/>
      <c r="F567" s="154"/>
      <c r="G567" s="117"/>
      <c r="H567" s="117"/>
      <c r="I567" s="4637"/>
      <c r="J567" s="4890"/>
      <c r="K567" s="536"/>
      <c r="L567" s="536"/>
    </row>
    <row r="568" spans="1:12" ht="17.25" hidden="1" customHeight="1" x14ac:dyDescent="0.25">
      <c r="A568" s="999"/>
      <c r="B568" s="1024"/>
      <c r="C568" s="138" t="s">
        <v>1499</v>
      </c>
      <c r="D568" s="202">
        <f>SUM(D569:D570)</f>
        <v>1368650000</v>
      </c>
      <c r="E568" s="202">
        <f>SUM(E569:E570)</f>
        <v>1368650000</v>
      </c>
      <c r="F568" s="326"/>
      <c r="G568" s="128">
        <f>SUM(E568/D568)*100</f>
        <v>100</v>
      </c>
      <c r="H568" s="234">
        <f>SUM(H569:H570)/2</f>
        <v>100</v>
      </c>
      <c r="I568" s="4637"/>
      <c r="J568" s="4890"/>
      <c r="K568" s="536"/>
      <c r="L568" s="536"/>
    </row>
    <row r="569" spans="1:12" ht="15.75" hidden="1" customHeight="1" x14ac:dyDescent="0.25">
      <c r="A569" s="999"/>
      <c r="B569" s="1024"/>
      <c r="C569" s="61" t="s">
        <v>1500</v>
      </c>
      <c r="D569" s="149">
        <v>479000000</v>
      </c>
      <c r="E569" s="154">
        <v>479000000</v>
      </c>
      <c r="F569" s="154"/>
      <c r="G569" s="339">
        <f>SUM(E569/D569)*100</f>
        <v>100</v>
      </c>
      <c r="H569" s="154">
        <v>100</v>
      </c>
      <c r="I569" s="4637"/>
      <c r="J569" s="4890"/>
      <c r="K569" s="536"/>
      <c r="L569" s="536"/>
    </row>
    <row r="570" spans="1:12" ht="17.25" hidden="1" customHeight="1" x14ac:dyDescent="0.25">
      <c r="A570" s="999"/>
      <c r="B570" s="1024"/>
      <c r="C570" s="61" t="s">
        <v>1501</v>
      </c>
      <c r="D570" s="117">
        <v>889650000</v>
      </c>
      <c r="E570" s="117">
        <v>889650000</v>
      </c>
      <c r="F570" s="109"/>
      <c r="G570" s="339">
        <f>SUM(E570/D570)*100</f>
        <v>100</v>
      </c>
      <c r="H570" s="117">
        <v>100</v>
      </c>
      <c r="I570" s="4637"/>
      <c r="J570" s="4890"/>
      <c r="K570" s="536"/>
      <c r="L570" s="536"/>
    </row>
    <row r="571" spans="1:12" ht="9.75" hidden="1" customHeight="1" x14ac:dyDescent="0.25">
      <c r="A571" s="999"/>
      <c r="B571" s="1024"/>
      <c r="C571" s="61"/>
      <c r="D571" s="675"/>
      <c r="E571" s="154"/>
      <c r="F571" s="154"/>
      <c r="G571" s="154"/>
      <c r="H571" s="154"/>
      <c r="I571" s="4637"/>
      <c r="J571" s="4890"/>
      <c r="K571" s="536"/>
      <c r="L571" s="536"/>
    </row>
    <row r="572" spans="1:12" ht="18.75" hidden="1" customHeight="1" x14ac:dyDescent="0.25">
      <c r="A572" s="999"/>
      <c r="B572" s="1024"/>
      <c r="C572" s="138" t="s">
        <v>670</v>
      </c>
      <c r="D572" s="84">
        <f>SUM(D573:D584)</f>
        <v>5443750000</v>
      </c>
      <c r="E572" s="202">
        <f>SUM(E573:E584)</f>
        <v>3904039000</v>
      </c>
      <c r="F572" s="326"/>
      <c r="G572" s="128">
        <f>SUM(E572/D572)*100</f>
        <v>71.715986222732482</v>
      </c>
      <c r="H572" s="202">
        <f>SUM(H573:H584)/12</f>
        <v>65.833333333333329</v>
      </c>
      <c r="I572" s="4904"/>
      <c r="J572" s="4890"/>
      <c r="K572" s="536"/>
      <c r="L572" s="536"/>
    </row>
    <row r="573" spans="1:12" s="20" customFormat="1" ht="15" hidden="1" customHeight="1" x14ac:dyDescent="0.25">
      <c r="A573" s="1002"/>
      <c r="B573" s="1024"/>
      <c r="C573" s="61" t="s">
        <v>1502</v>
      </c>
      <c r="D573" s="149">
        <v>200000000</v>
      </c>
      <c r="E573" s="154">
        <v>200000000</v>
      </c>
      <c r="F573" s="154"/>
      <c r="G573" s="339">
        <f>SUM(E573/D573)*100</f>
        <v>100</v>
      </c>
      <c r="H573" s="154">
        <v>100</v>
      </c>
      <c r="I573" s="4901"/>
      <c r="J573" s="4890"/>
      <c r="K573" s="536"/>
      <c r="L573" s="536"/>
    </row>
    <row r="574" spans="1:12" ht="17.25" hidden="1" customHeight="1" x14ac:dyDescent="0.25">
      <c r="A574" s="999"/>
      <c r="B574" s="1024"/>
      <c r="C574" s="61" t="s">
        <v>1503</v>
      </c>
      <c r="D574" s="149">
        <v>150000000</v>
      </c>
      <c r="E574" s="149">
        <v>150000000</v>
      </c>
      <c r="F574" s="374"/>
      <c r="G574" s="339">
        <f>SUM(E574/D574)*100</f>
        <v>100</v>
      </c>
      <c r="H574" s="154">
        <v>100</v>
      </c>
      <c r="I574" s="4900"/>
      <c r="J574" s="4905">
        <v>0</v>
      </c>
      <c r="K574" s="536"/>
      <c r="L574" s="536"/>
    </row>
    <row r="575" spans="1:12" ht="16.5" hidden="1" customHeight="1" x14ac:dyDescent="0.25">
      <c r="A575" s="999"/>
      <c r="B575" s="1024"/>
      <c r="C575" s="61" t="s">
        <v>1504</v>
      </c>
      <c r="D575" s="149">
        <v>1000000000</v>
      </c>
      <c r="E575" s="149">
        <v>1000000000</v>
      </c>
      <c r="F575" s="374"/>
      <c r="G575" s="339">
        <f>SUM(E575/D575)*100</f>
        <v>100</v>
      </c>
      <c r="H575" s="154">
        <v>80</v>
      </c>
      <c r="I575" s="4901"/>
      <c r="J575" s="4890"/>
      <c r="K575" s="536"/>
      <c r="L575" s="536"/>
    </row>
    <row r="576" spans="1:12" ht="15" hidden="1" customHeight="1" x14ac:dyDescent="0.25">
      <c r="A576" s="999"/>
      <c r="B576" s="1024"/>
      <c r="C576" s="61" t="s">
        <v>1505</v>
      </c>
      <c r="D576" s="149">
        <v>0</v>
      </c>
      <c r="E576" s="374">
        <v>0</v>
      </c>
      <c r="F576" s="374"/>
      <c r="G576" s="374">
        <v>0</v>
      </c>
      <c r="H576" s="374">
        <v>0</v>
      </c>
      <c r="I576" s="4906"/>
      <c r="J576" s="4890"/>
      <c r="K576" s="536"/>
      <c r="L576" s="536"/>
    </row>
    <row r="577" spans="1:12" ht="17.25" hidden="1" customHeight="1" x14ac:dyDescent="0.25">
      <c r="A577" s="999"/>
      <c r="B577" s="1024"/>
      <c r="C577" s="61" t="s">
        <v>1506</v>
      </c>
      <c r="D577" s="149">
        <v>1400000000</v>
      </c>
      <c r="E577" s="374">
        <v>906074000</v>
      </c>
      <c r="F577" s="374"/>
      <c r="G577" s="339">
        <f>SUM(E577/D577)*100</f>
        <v>64.719571428571427</v>
      </c>
      <c r="H577" s="374">
        <v>60</v>
      </c>
      <c r="I577" s="4906"/>
      <c r="J577" s="4890"/>
      <c r="K577" s="536"/>
      <c r="L577" s="536"/>
    </row>
    <row r="578" spans="1:12" ht="15.75" hidden="1" customHeight="1" x14ac:dyDescent="0.25">
      <c r="A578" s="999"/>
      <c r="B578" s="1024"/>
      <c r="C578" s="61" t="s">
        <v>1507</v>
      </c>
      <c r="D578" s="149">
        <v>200000000</v>
      </c>
      <c r="E578" s="374">
        <v>200000000</v>
      </c>
      <c r="F578" s="374"/>
      <c r="G578" s="339">
        <f t="shared" ref="G578:G583" si="47">SUM(E578/D578)*100</f>
        <v>100</v>
      </c>
      <c r="H578" s="154">
        <v>100</v>
      </c>
      <c r="I578" s="4901"/>
      <c r="J578" s="4890"/>
      <c r="K578" s="536"/>
      <c r="L578" s="536"/>
    </row>
    <row r="579" spans="1:12" ht="16.5" hidden="1" customHeight="1" x14ac:dyDescent="0.25">
      <c r="A579" s="999"/>
      <c r="B579" s="1024"/>
      <c r="C579" s="61" t="s">
        <v>3462</v>
      </c>
      <c r="D579" s="149">
        <v>0</v>
      </c>
      <c r="E579" s="374">
        <v>0</v>
      </c>
      <c r="F579" s="374"/>
      <c r="G579" s="149">
        <v>0</v>
      </c>
      <c r="H579" s="149">
        <v>0</v>
      </c>
      <c r="I579" s="4903"/>
      <c r="J579" s="4890"/>
      <c r="K579" s="536"/>
      <c r="L579" s="536"/>
    </row>
    <row r="580" spans="1:12" ht="17.25" hidden="1" customHeight="1" x14ac:dyDescent="0.25">
      <c r="A580" s="999"/>
      <c r="B580" s="1024"/>
      <c r="C580" s="61" t="s">
        <v>3463</v>
      </c>
      <c r="D580" s="149">
        <v>393750000</v>
      </c>
      <c r="E580" s="374">
        <v>393750000</v>
      </c>
      <c r="F580" s="374"/>
      <c r="G580" s="339">
        <f t="shared" si="47"/>
        <v>100</v>
      </c>
      <c r="H580" s="154">
        <v>100</v>
      </c>
      <c r="I580" s="4906"/>
      <c r="J580" s="4890"/>
      <c r="K580" s="536"/>
      <c r="L580" s="536"/>
    </row>
    <row r="581" spans="1:12" ht="17.25" hidden="1" customHeight="1" x14ac:dyDescent="0.25">
      <c r="A581" s="999"/>
      <c r="B581" s="1024"/>
      <c r="C581" s="61" t="s">
        <v>3464</v>
      </c>
      <c r="D581" s="149">
        <v>250000000</v>
      </c>
      <c r="E581" s="374">
        <v>250000000</v>
      </c>
      <c r="F581" s="374"/>
      <c r="G581" s="339">
        <f t="shared" si="47"/>
        <v>100</v>
      </c>
      <c r="H581" s="374">
        <v>100</v>
      </c>
      <c r="I581" s="4901"/>
      <c r="J581" s="4890"/>
      <c r="K581" s="536"/>
      <c r="L581" s="536"/>
    </row>
    <row r="582" spans="1:12" ht="21" hidden="1" customHeight="1" x14ac:dyDescent="0.25">
      <c r="A582" s="999"/>
      <c r="B582" s="1024"/>
      <c r="C582" s="61" t="s">
        <v>3465</v>
      </c>
      <c r="D582" s="149">
        <v>100000000</v>
      </c>
      <c r="E582" s="374">
        <v>100000000</v>
      </c>
      <c r="F582" s="374"/>
      <c r="G582" s="339">
        <f t="shared" si="47"/>
        <v>100</v>
      </c>
      <c r="H582" s="374">
        <v>100</v>
      </c>
      <c r="I582" s="4906"/>
      <c r="J582" s="4890"/>
      <c r="K582" s="536"/>
      <c r="L582" s="536"/>
    </row>
    <row r="583" spans="1:12" ht="18" hidden="1" customHeight="1" x14ac:dyDescent="0.25">
      <c r="A583" s="999"/>
      <c r="B583" s="1024"/>
      <c r="C583" s="61" t="s">
        <v>3466</v>
      </c>
      <c r="D583" s="675">
        <v>1500000000</v>
      </c>
      <c r="E583" s="154">
        <v>454215000</v>
      </c>
      <c r="F583" s="154"/>
      <c r="G583" s="339">
        <f t="shared" si="47"/>
        <v>30.281000000000002</v>
      </c>
      <c r="H583" s="154">
        <v>50</v>
      </c>
      <c r="I583" s="4906"/>
      <c r="J583" s="4890"/>
      <c r="K583" s="536"/>
      <c r="L583" s="536"/>
    </row>
    <row r="584" spans="1:12" ht="20.25" hidden="1" customHeight="1" x14ac:dyDescent="0.25">
      <c r="A584" s="999"/>
      <c r="B584" s="1024"/>
      <c r="C584" s="61" t="s">
        <v>4013</v>
      </c>
      <c r="D584" s="675">
        <v>250000000</v>
      </c>
      <c r="E584" s="675">
        <v>250000000</v>
      </c>
      <c r="F584" s="339"/>
      <c r="G584" s="154">
        <v>0</v>
      </c>
      <c r="H584" s="154">
        <v>0</v>
      </c>
      <c r="I584" s="4906"/>
      <c r="J584" s="4890"/>
      <c r="K584" s="536"/>
      <c r="L584" s="536"/>
    </row>
    <row r="585" spans="1:12" ht="9.75" hidden="1" customHeight="1" x14ac:dyDescent="0.25">
      <c r="A585" s="999"/>
      <c r="B585" s="1024"/>
      <c r="C585" s="61"/>
      <c r="D585" s="675"/>
      <c r="E585" s="154"/>
      <c r="F585" s="154"/>
      <c r="G585" s="154"/>
      <c r="H585" s="154"/>
      <c r="I585" s="4637"/>
      <c r="J585" s="4890"/>
      <c r="K585" s="536"/>
      <c r="L585" s="536"/>
    </row>
    <row r="586" spans="1:12" ht="19.5" hidden="1" customHeight="1" x14ac:dyDescent="0.25">
      <c r="A586" s="999"/>
      <c r="B586" s="1024"/>
      <c r="C586" s="138" t="s">
        <v>1508</v>
      </c>
      <c r="D586" s="202">
        <f>SUM(D587:D594)</f>
        <v>2480800000</v>
      </c>
      <c r="E586" s="202">
        <f>SUM(E587:E594)</f>
        <v>2091200000</v>
      </c>
      <c r="F586" s="326"/>
      <c r="G586" s="128">
        <f>SUM(E586/D586)*100</f>
        <v>84.29538858432764</v>
      </c>
      <c r="H586" s="150">
        <f>SUM(H587:H594)/7</f>
        <v>92.857142857142861</v>
      </c>
      <c r="I586" s="4907"/>
      <c r="J586" s="4890"/>
      <c r="K586" s="536"/>
      <c r="L586" s="536"/>
    </row>
    <row r="587" spans="1:12" ht="14.25" hidden="1" customHeight="1" x14ac:dyDescent="0.25">
      <c r="A587" s="999"/>
      <c r="B587" s="1024"/>
      <c r="C587" s="61" t="s">
        <v>1509</v>
      </c>
      <c r="D587" s="149">
        <v>150000000</v>
      </c>
      <c r="E587" s="154">
        <v>150000000</v>
      </c>
      <c r="F587" s="154"/>
      <c r="G587" s="339">
        <f>SUM(E587/D587)*100</f>
        <v>100</v>
      </c>
      <c r="H587" s="154">
        <v>100</v>
      </c>
      <c r="I587" s="4906"/>
      <c r="J587" s="4890"/>
      <c r="K587" s="536"/>
      <c r="L587" s="536"/>
    </row>
    <row r="588" spans="1:12" ht="18" hidden="1" customHeight="1" x14ac:dyDescent="0.25">
      <c r="A588" s="999"/>
      <c r="B588" s="1024"/>
      <c r="C588" s="61" t="s">
        <v>1510</v>
      </c>
      <c r="D588" s="675">
        <v>1451100000</v>
      </c>
      <c r="E588" s="154">
        <v>1061500000</v>
      </c>
      <c r="F588" s="154"/>
      <c r="G588" s="339">
        <f t="shared" ref="G588:G594" si="48">SUM(E588/D588)*100</f>
        <v>73.15140238439804</v>
      </c>
      <c r="H588" s="154">
        <v>100</v>
      </c>
      <c r="I588" s="4906"/>
      <c r="J588" s="4890"/>
      <c r="K588" s="536"/>
      <c r="L588" s="536"/>
    </row>
    <row r="589" spans="1:12" ht="15.75" hidden="1" customHeight="1" x14ac:dyDescent="0.25">
      <c r="A589" s="999"/>
      <c r="B589" s="1024"/>
      <c r="C589" s="61" t="s">
        <v>1511</v>
      </c>
      <c r="D589" s="675">
        <v>93100000</v>
      </c>
      <c r="E589" s="154">
        <v>93100000</v>
      </c>
      <c r="F589" s="154"/>
      <c r="G589" s="339">
        <f t="shared" si="48"/>
        <v>100</v>
      </c>
      <c r="H589" s="154">
        <v>100</v>
      </c>
      <c r="I589" s="4901"/>
      <c r="J589" s="4890"/>
      <c r="K589" s="536"/>
      <c r="L589" s="536"/>
    </row>
    <row r="590" spans="1:12" ht="14.25" hidden="1" customHeight="1" x14ac:dyDescent="0.25">
      <c r="A590" s="999"/>
      <c r="B590" s="1024"/>
      <c r="C590" s="61" t="s">
        <v>1512</v>
      </c>
      <c r="D590" s="675">
        <v>0</v>
      </c>
      <c r="E590" s="675">
        <v>0</v>
      </c>
      <c r="F590" s="675"/>
      <c r="G590" s="675">
        <v>0</v>
      </c>
      <c r="H590" s="675">
        <v>0</v>
      </c>
      <c r="I590" s="4906"/>
      <c r="J590" s="4890"/>
      <c r="K590" s="536"/>
      <c r="L590" s="536"/>
    </row>
    <row r="591" spans="1:12" ht="15.75" hidden="1" customHeight="1" x14ac:dyDescent="0.25">
      <c r="A591" s="999"/>
      <c r="B591" s="1024"/>
      <c r="C591" s="61" t="s">
        <v>1513</v>
      </c>
      <c r="D591" s="675">
        <v>100000000</v>
      </c>
      <c r="E591" s="154">
        <v>100000000</v>
      </c>
      <c r="F591" s="154"/>
      <c r="G591" s="339">
        <f t="shared" si="48"/>
        <v>100</v>
      </c>
      <c r="H591" s="154">
        <v>100</v>
      </c>
      <c r="I591" s="4901"/>
      <c r="J591" s="4890"/>
      <c r="K591" s="536"/>
      <c r="L591" s="536"/>
    </row>
    <row r="592" spans="1:12" ht="15.75" hidden="1" customHeight="1" x14ac:dyDescent="0.25">
      <c r="A592" s="999"/>
      <c r="B592" s="1024"/>
      <c r="C592" s="61" t="s">
        <v>1514</v>
      </c>
      <c r="D592" s="675">
        <v>86600000</v>
      </c>
      <c r="E592" s="154">
        <v>86600000</v>
      </c>
      <c r="F592" s="154"/>
      <c r="G592" s="339">
        <f t="shared" si="48"/>
        <v>100</v>
      </c>
      <c r="H592" s="154">
        <v>100</v>
      </c>
      <c r="I592" s="4906"/>
      <c r="J592" s="4890"/>
      <c r="K592" s="536"/>
      <c r="L592" s="536"/>
    </row>
    <row r="593" spans="1:12" ht="18.75" hidden="1" customHeight="1" x14ac:dyDescent="0.25">
      <c r="A593" s="999"/>
      <c r="B593" s="1024"/>
      <c r="C593" s="61" t="s">
        <v>1515</v>
      </c>
      <c r="D593" s="675">
        <v>100000000</v>
      </c>
      <c r="E593" s="201">
        <v>100000000</v>
      </c>
      <c r="F593" s="347"/>
      <c r="G593" s="339">
        <f t="shared" si="48"/>
        <v>100</v>
      </c>
      <c r="H593" s="201">
        <v>100</v>
      </c>
      <c r="I593" s="4903"/>
      <c r="J593" s="4890"/>
      <c r="K593" s="536"/>
      <c r="L593" s="536"/>
    </row>
    <row r="594" spans="1:12" ht="18" hidden="1" customHeight="1" x14ac:dyDescent="0.25">
      <c r="A594" s="999"/>
      <c r="B594" s="1024"/>
      <c r="C594" s="64" t="s">
        <v>1516</v>
      </c>
      <c r="D594" s="204">
        <v>500000000</v>
      </c>
      <c r="E594" s="201">
        <v>500000000</v>
      </c>
      <c r="F594" s="347"/>
      <c r="G594" s="339">
        <f t="shared" si="48"/>
        <v>100</v>
      </c>
      <c r="H594" s="201">
        <v>50</v>
      </c>
      <c r="I594" s="4906"/>
      <c r="J594" s="4890"/>
      <c r="K594" s="536"/>
      <c r="L594" s="536"/>
    </row>
    <row r="595" spans="1:12" ht="10.5" hidden="1" customHeight="1" x14ac:dyDescent="0.25">
      <c r="A595" s="999"/>
      <c r="B595" s="1024"/>
      <c r="C595" s="63"/>
      <c r="D595" s="1935"/>
      <c r="E595" s="348"/>
      <c r="F595" s="348"/>
      <c r="G595" s="348"/>
      <c r="H595" s="348"/>
      <c r="I595" s="4637"/>
      <c r="J595" s="4890"/>
      <c r="K595" s="536"/>
      <c r="L595" s="536"/>
    </row>
    <row r="596" spans="1:12" ht="16.5" hidden="1" customHeight="1" x14ac:dyDescent="0.25">
      <c r="A596" s="999"/>
      <c r="B596" s="1024"/>
      <c r="C596" s="63" t="s">
        <v>1517</v>
      </c>
      <c r="D596" s="202">
        <f>D597</f>
        <v>450000000</v>
      </c>
      <c r="E596" s="202">
        <f>E597</f>
        <v>450000000</v>
      </c>
      <c r="F596" s="326"/>
      <c r="G596" s="128">
        <f>SUM(E596/D596)*100</f>
        <v>100</v>
      </c>
      <c r="H596" s="202">
        <f>H597</f>
        <v>100</v>
      </c>
      <c r="I596" s="4637"/>
      <c r="J596" s="4890"/>
      <c r="K596" s="536"/>
      <c r="L596" s="536"/>
    </row>
    <row r="597" spans="1:12" ht="15.75" hidden="1" customHeight="1" x14ac:dyDescent="0.25">
      <c r="A597" s="999"/>
      <c r="B597" s="1024"/>
      <c r="C597" s="61" t="s">
        <v>1518</v>
      </c>
      <c r="D597" s="201">
        <v>450000000</v>
      </c>
      <c r="E597" s="201">
        <v>450000000</v>
      </c>
      <c r="F597" s="347"/>
      <c r="G597" s="339">
        <f>SUM(E597/D597)*100</f>
        <v>100</v>
      </c>
      <c r="H597" s="201">
        <v>100</v>
      </c>
      <c r="I597" s="4637"/>
      <c r="J597" s="4890"/>
      <c r="K597" s="536"/>
      <c r="L597" s="536"/>
    </row>
    <row r="598" spans="1:12" ht="9.75" hidden="1" customHeight="1" x14ac:dyDescent="0.25">
      <c r="A598" s="999"/>
      <c r="B598" s="1024"/>
      <c r="C598" s="63"/>
      <c r="D598" s="1935"/>
      <c r="E598" s="348"/>
      <c r="F598" s="348"/>
      <c r="G598" s="348"/>
      <c r="H598" s="348"/>
      <c r="I598" s="4637"/>
      <c r="J598" s="4890"/>
      <c r="K598" s="536"/>
      <c r="L598" s="536"/>
    </row>
    <row r="599" spans="1:12" ht="14.25" hidden="1" customHeight="1" x14ac:dyDescent="0.25">
      <c r="A599" s="999"/>
      <c r="B599" s="1024"/>
      <c r="C599" s="63" t="s">
        <v>1519</v>
      </c>
      <c r="D599" s="2019">
        <f>SUM(D600:D610)</f>
        <v>1173950000</v>
      </c>
      <c r="E599" s="2019">
        <f>SUM(E600:E610)</f>
        <v>1073950000</v>
      </c>
      <c r="F599" s="128"/>
      <c r="G599" s="128">
        <f>SUM(E599/D599)*100</f>
        <v>91.48174964862217</v>
      </c>
      <c r="H599" s="202">
        <f>SUM(H600:H610)/10</f>
        <v>90</v>
      </c>
      <c r="I599" s="4637"/>
      <c r="J599" s="4890"/>
      <c r="K599" s="536"/>
      <c r="L599" s="536"/>
    </row>
    <row r="600" spans="1:12" ht="14.25" hidden="1" customHeight="1" x14ac:dyDescent="0.25">
      <c r="A600" s="999"/>
      <c r="B600" s="1024"/>
      <c r="C600" s="61" t="s">
        <v>1520</v>
      </c>
      <c r="D600" s="204">
        <v>150000000</v>
      </c>
      <c r="E600" s="201">
        <v>150000000</v>
      </c>
      <c r="F600" s="347"/>
      <c r="G600" s="339">
        <f>SUM(E600/D600)*100</f>
        <v>100</v>
      </c>
      <c r="H600" s="201">
        <v>100</v>
      </c>
      <c r="I600" s="4637"/>
      <c r="J600" s="4890"/>
      <c r="K600" s="536"/>
      <c r="L600" s="536"/>
    </row>
    <row r="601" spans="1:12" ht="15" hidden="1" customHeight="1" x14ac:dyDescent="0.25">
      <c r="A601" s="999"/>
      <c r="B601" s="1024"/>
      <c r="C601" s="61" t="s">
        <v>1521</v>
      </c>
      <c r="D601" s="204">
        <v>150000000</v>
      </c>
      <c r="E601" s="117">
        <v>150000000</v>
      </c>
      <c r="F601" s="109"/>
      <c r="G601" s="339">
        <f t="shared" ref="G601:G602" si="49">SUM(E601/D601)*100</f>
        <v>100</v>
      </c>
      <c r="H601" s="201">
        <v>100</v>
      </c>
      <c r="I601" s="4637"/>
      <c r="J601" s="4890"/>
      <c r="K601" s="536"/>
      <c r="L601" s="536"/>
    </row>
    <row r="602" spans="1:12" ht="15" hidden="1" customHeight="1" x14ac:dyDescent="0.25">
      <c r="A602" s="999"/>
      <c r="B602" s="1024"/>
      <c r="C602" s="61" t="s">
        <v>1522</v>
      </c>
      <c r="D602" s="204">
        <v>137550000</v>
      </c>
      <c r="E602" s="117">
        <v>137550000</v>
      </c>
      <c r="F602" s="109"/>
      <c r="G602" s="339">
        <f t="shared" si="49"/>
        <v>100</v>
      </c>
      <c r="H602" s="201">
        <v>100</v>
      </c>
      <c r="I602" s="4637"/>
      <c r="J602" s="4890"/>
      <c r="K602" s="536"/>
      <c r="L602" s="536"/>
    </row>
    <row r="603" spans="1:12" ht="14.25" hidden="1" customHeight="1" x14ac:dyDescent="0.25">
      <c r="A603" s="999"/>
      <c r="B603" s="1024"/>
      <c r="C603" s="61" t="s">
        <v>1523</v>
      </c>
      <c r="D603" s="204">
        <v>136400000</v>
      </c>
      <c r="E603" s="201">
        <v>136400000</v>
      </c>
      <c r="F603" s="347"/>
      <c r="G603" s="339">
        <f>SUM(E603/D603)*100</f>
        <v>100</v>
      </c>
      <c r="H603" s="201">
        <v>100</v>
      </c>
      <c r="I603" s="4637"/>
      <c r="J603" s="4890"/>
      <c r="K603" s="536"/>
      <c r="L603" s="536"/>
    </row>
    <row r="604" spans="1:12" ht="16.5" hidden="1" customHeight="1" x14ac:dyDescent="0.25">
      <c r="A604" s="999"/>
      <c r="B604" s="1024"/>
      <c r="C604" s="61" t="s">
        <v>1524</v>
      </c>
      <c r="D604" s="204">
        <v>100000000</v>
      </c>
      <c r="E604" s="201">
        <v>100000000</v>
      </c>
      <c r="F604" s="347"/>
      <c r="G604" s="339">
        <f t="shared" ref="G604:G605" si="50">SUM(E604/D604)*100</f>
        <v>100</v>
      </c>
      <c r="H604" s="201">
        <v>100</v>
      </c>
      <c r="I604" s="4637"/>
      <c r="J604" s="4890"/>
      <c r="K604" s="536"/>
      <c r="L604" s="536"/>
    </row>
    <row r="605" spans="1:12" ht="14.25" hidden="1" customHeight="1" x14ac:dyDescent="0.25">
      <c r="A605" s="999"/>
      <c r="B605" s="1024"/>
      <c r="C605" s="61" t="s">
        <v>1525</v>
      </c>
      <c r="D605" s="204">
        <v>150000000</v>
      </c>
      <c r="E605" s="201">
        <v>150000000</v>
      </c>
      <c r="F605" s="347"/>
      <c r="G605" s="339">
        <f t="shared" si="50"/>
        <v>100</v>
      </c>
      <c r="H605" s="201">
        <v>100</v>
      </c>
      <c r="I605" s="4637"/>
      <c r="J605" s="4890"/>
      <c r="K605" s="536"/>
      <c r="L605" s="536"/>
    </row>
    <row r="606" spans="1:12" ht="13.5" hidden="1" customHeight="1" x14ac:dyDescent="0.25">
      <c r="A606" s="999"/>
      <c r="B606" s="1024"/>
      <c r="C606" s="61" t="s">
        <v>1526</v>
      </c>
      <c r="D606" s="204">
        <v>100000000</v>
      </c>
      <c r="E606" s="117">
        <v>0</v>
      </c>
      <c r="F606" s="117"/>
      <c r="G606" s="117">
        <v>0</v>
      </c>
      <c r="H606" s="117">
        <v>0</v>
      </c>
      <c r="I606" s="4637"/>
      <c r="J606" s="4890"/>
      <c r="K606" s="536"/>
      <c r="L606" s="536"/>
    </row>
    <row r="607" spans="1:12" ht="15" hidden="1" customHeight="1" x14ac:dyDescent="0.25">
      <c r="A607" s="999"/>
      <c r="B607" s="1024"/>
      <c r="C607" s="61" t="s">
        <v>1527</v>
      </c>
      <c r="D607" s="204">
        <v>0</v>
      </c>
      <c r="E607" s="201">
        <v>0</v>
      </c>
      <c r="F607" s="201"/>
      <c r="G607" s="201">
        <v>0</v>
      </c>
      <c r="H607" s="201">
        <v>0</v>
      </c>
      <c r="I607" s="4637"/>
      <c r="J607" s="4890"/>
      <c r="K607" s="536"/>
      <c r="L607" s="536"/>
    </row>
    <row r="608" spans="1:12" ht="18" hidden="1" customHeight="1" x14ac:dyDescent="0.25">
      <c r="A608" s="999"/>
      <c r="B608" s="1024"/>
      <c r="C608" s="61" t="s">
        <v>1528</v>
      </c>
      <c r="D608" s="204">
        <v>50000000</v>
      </c>
      <c r="E608" s="117">
        <v>50000000</v>
      </c>
      <c r="F608" s="109"/>
      <c r="G608" s="339">
        <f>SUM(E608/D608)*100</f>
        <v>100</v>
      </c>
      <c r="H608" s="117">
        <v>100</v>
      </c>
      <c r="I608" s="4637"/>
      <c r="J608" s="4890"/>
      <c r="K608" s="536"/>
      <c r="L608" s="536"/>
    </row>
    <row r="609" spans="1:12" ht="18" hidden="1" customHeight="1" x14ac:dyDescent="0.25">
      <c r="A609" s="999"/>
      <c r="B609" s="1024"/>
      <c r="C609" s="379" t="s">
        <v>3467</v>
      </c>
      <c r="D609" s="207">
        <v>100000000</v>
      </c>
      <c r="E609" s="207">
        <v>100000000</v>
      </c>
      <c r="F609" s="207"/>
      <c r="G609" s="339">
        <f>SUM(E609/D609)*100</f>
        <v>100</v>
      </c>
      <c r="H609" s="207">
        <v>100</v>
      </c>
      <c r="I609" s="4637"/>
      <c r="J609" s="4890"/>
      <c r="K609" s="536"/>
      <c r="L609" s="536"/>
    </row>
    <row r="610" spans="1:12" ht="18" hidden="1" customHeight="1" x14ac:dyDescent="0.25">
      <c r="A610" s="999"/>
      <c r="B610" s="1993"/>
      <c r="C610" s="379" t="s">
        <v>3471</v>
      </c>
      <c r="D610" s="201">
        <v>100000000</v>
      </c>
      <c r="E610" s="201">
        <v>100000000</v>
      </c>
      <c r="F610" s="347"/>
      <c r="G610" s="339">
        <f>SUM(E610/D610)*100</f>
        <v>100</v>
      </c>
      <c r="H610" s="201">
        <v>100</v>
      </c>
      <c r="I610" s="4637"/>
      <c r="J610" s="4890"/>
      <c r="K610" s="536"/>
      <c r="L610" s="536"/>
    </row>
    <row r="611" spans="1:12" ht="17.25" hidden="1" customHeight="1" x14ac:dyDescent="0.25">
      <c r="B611" s="1024"/>
      <c r="C611" s="64"/>
      <c r="D611" s="1956"/>
      <c r="E611" s="1956"/>
      <c r="F611" s="1956"/>
      <c r="G611" s="1956"/>
      <c r="H611" s="1956"/>
      <c r="I611" s="4856"/>
      <c r="J611" s="4857"/>
    </row>
    <row r="612" spans="1:12" ht="19.5" hidden="1" customHeight="1" x14ac:dyDescent="0.25">
      <c r="B612" s="1029"/>
      <c r="C612" s="56" t="s">
        <v>1681</v>
      </c>
      <c r="D612" s="1154">
        <f>SUM(D613)</f>
        <v>17388669000</v>
      </c>
      <c r="E612" s="1154">
        <f>SUM(E613)</f>
        <v>6819650000</v>
      </c>
      <c r="F612" s="1154"/>
      <c r="G612" s="200">
        <f>G613</f>
        <v>39.218930442577289</v>
      </c>
      <c r="H612" s="200">
        <f>H613</f>
        <v>53.75</v>
      </c>
      <c r="I612" s="4856"/>
      <c r="J612" s="4857"/>
    </row>
    <row r="613" spans="1:12" ht="19.5" hidden="1" customHeight="1" x14ac:dyDescent="0.25">
      <c r="A613" s="999"/>
      <c r="B613" s="1024"/>
      <c r="C613" s="69" t="s">
        <v>1682</v>
      </c>
      <c r="D613" s="326">
        <f>SUM(D614:D621)</f>
        <v>17388669000</v>
      </c>
      <c r="E613" s="326">
        <f>SUM(E614:E621)</f>
        <v>6819650000</v>
      </c>
      <c r="F613" s="326"/>
      <c r="G613" s="202">
        <f>E613/D613*100</f>
        <v>39.218930442577289</v>
      </c>
      <c r="H613" s="326">
        <f>SUM(H614:H621)/8</f>
        <v>53.75</v>
      </c>
      <c r="I613" s="4856"/>
      <c r="J613" s="4857"/>
    </row>
    <row r="614" spans="1:12" ht="15.75" hidden="1" customHeight="1" x14ac:dyDescent="0.25">
      <c r="A614" s="999"/>
      <c r="B614" s="1024"/>
      <c r="C614" s="145" t="s">
        <v>1683</v>
      </c>
      <c r="D614" s="2089">
        <v>7000000000</v>
      </c>
      <c r="E614" s="133">
        <v>0</v>
      </c>
      <c r="F614" s="133"/>
      <c r="G614" s="133">
        <v>0</v>
      </c>
      <c r="H614" s="133">
        <v>0</v>
      </c>
      <c r="I614" s="4637"/>
      <c r="J614" s="4890"/>
      <c r="K614" s="536"/>
      <c r="L614" s="536"/>
    </row>
    <row r="615" spans="1:12" ht="28.5" hidden="1" customHeight="1" x14ac:dyDescent="0.25">
      <c r="A615" s="999"/>
      <c r="B615" s="1024"/>
      <c r="C615" s="4228" t="s">
        <v>1684</v>
      </c>
      <c r="D615" s="4617">
        <v>1500000000</v>
      </c>
      <c r="E615" s="133">
        <v>1500000000</v>
      </c>
      <c r="F615" s="133"/>
      <c r="G615" s="201">
        <f t="shared" ref="G615:G616" si="51">E615/D615*100</f>
        <v>100</v>
      </c>
      <c r="H615" s="133">
        <v>100</v>
      </c>
      <c r="I615" s="4637"/>
      <c r="J615" s="4890"/>
      <c r="K615" s="536"/>
      <c r="L615" s="536"/>
    </row>
    <row r="616" spans="1:12" ht="16.5" hidden="1" customHeight="1" x14ac:dyDescent="0.25">
      <c r="A616" s="999"/>
      <c r="B616" s="1024"/>
      <c r="C616" s="145" t="s">
        <v>1685</v>
      </c>
      <c r="D616" s="2089">
        <v>1000000000</v>
      </c>
      <c r="E616" s="140">
        <v>700000000</v>
      </c>
      <c r="F616" s="140"/>
      <c r="G616" s="201">
        <f t="shared" si="51"/>
        <v>70</v>
      </c>
      <c r="H616" s="140">
        <v>70</v>
      </c>
      <c r="I616" s="4637"/>
      <c r="J616" s="4890"/>
      <c r="K616" s="536"/>
      <c r="L616" s="536"/>
    </row>
    <row r="617" spans="1:12" ht="16.5" hidden="1" customHeight="1" x14ac:dyDescent="0.25">
      <c r="A617" s="999"/>
      <c r="B617" s="1024"/>
      <c r="C617" s="145" t="s">
        <v>1686</v>
      </c>
      <c r="D617" s="2089">
        <v>3388669000</v>
      </c>
      <c r="E617" s="140">
        <v>2000000000</v>
      </c>
      <c r="F617" s="140"/>
      <c r="G617" s="201">
        <f>E617/D617*100</f>
        <v>59.020222984304461</v>
      </c>
      <c r="H617" s="239">
        <v>60</v>
      </c>
      <c r="I617" s="4637"/>
      <c r="J617" s="4890"/>
      <c r="K617" s="536"/>
      <c r="L617" s="536"/>
    </row>
    <row r="618" spans="1:12" ht="18" hidden="1" customHeight="1" x14ac:dyDescent="0.25">
      <c r="A618" s="999"/>
      <c r="B618" s="1024"/>
      <c r="C618" s="145" t="s">
        <v>1687</v>
      </c>
      <c r="D618" s="2089">
        <v>500000000</v>
      </c>
      <c r="E618" s="140">
        <v>319650000</v>
      </c>
      <c r="F618" s="140"/>
      <c r="G618" s="201">
        <f>E618/D618*100</f>
        <v>63.93</v>
      </c>
      <c r="H618" s="133">
        <v>50</v>
      </c>
      <c r="I618" s="4637"/>
      <c r="J618" s="4890"/>
      <c r="K618" s="536"/>
      <c r="L618" s="536"/>
    </row>
    <row r="619" spans="1:12" ht="18.75" hidden="1" customHeight="1" x14ac:dyDescent="0.25">
      <c r="A619" s="999"/>
      <c r="B619" s="1024"/>
      <c r="C619" s="145" t="s">
        <v>1688</v>
      </c>
      <c r="D619" s="2089">
        <v>1000000000</v>
      </c>
      <c r="E619" s="2089">
        <v>300000000</v>
      </c>
      <c r="F619" s="2089"/>
      <c r="G619" s="201">
        <f t="shared" ref="G619:G620" si="52">E619/D619*100</f>
        <v>30</v>
      </c>
      <c r="H619" s="239">
        <v>50</v>
      </c>
      <c r="I619" s="4637"/>
      <c r="J619" s="4890"/>
      <c r="K619" s="536"/>
      <c r="L619" s="536"/>
    </row>
    <row r="620" spans="1:12" ht="16.5" hidden="1" customHeight="1" x14ac:dyDescent="0.25">
      <c r="A620" s="999"/>
      <c r="B620" s="1024"/>
      <c r="C620" s="145" t="s">
        <v>1689</v>
      </c>
      <c r="D620" s="2089">
        <v>2000000000</v>
      </c>
      <c r="E620" s="140">
        <v>2000000000</v>
      </c>
      <c r="F620" s="140"/>
      <c r="G620" s="201">
        <f t="shared" si="52"/>
        <v>100</v>
      </c>
      <c r="H620" s="133">
        <v>100</v>
      </c>
      <c r="I620" s="4637"/>
      <c r="J620" s="4890"/>
      <c r="K620" s="536"/>
      <c r="L620" s="536"/>
    </row>
    <row r="621" spans="1:12" ht="33.75" hidden="1" customHeight="1" x14ac:dyDescent="0.25">
      <c r="A621" s="999"/>
      <c r="B621" s="1024"/>
      <c r="C621" s="4229" t="s">
        <v>1690</v>
      </c>
      <c r="D621" s="2089">
        <v>1000000000</v>
      </c>
      <c r="E621" s="140">
        <v>0</v>
      </c>
      <c r="F621" s="140"/>
      <c r="G621" s="140">
        <v>0</v>
      </c>
      <c r="H621" s="133">
        <v>0</v>
      </c>
      <c r="I621" s="4637"/>
      <c r="J621" s="4890"/>
      <c r="K621" s="536"/>
      <c r="L621" s="536"/>
    </row>
    <row r="622" spans="1:12" ht="12" hidden="1" customHeight="1" x14ac:dyDescent="0.25">
      <c r="B622" s="1024"/>
      <c r="C622" s="3809"/>
      <c r="D622" s="1935"/>
      <c r="E622" s="2205"/>
      <c r="F622" s="1956"/>
      <c r="G622" s="347"/>
      <c r="H622" s="1929"/>
      <c r="I622" s="4856"/>
      <c r="J622" s="4857"/>
    </row>
    <row r="623" spans="1:12" ht="18.75" customHeight="1" x14ac:dyDescent="0.25">
      <c r="B623" s="2455"/>
      <c r="C623" s="422" t="s">
        <v>1696</v>
      </c>
      <c r="D623" s="2402">
        <f>SUM(D625+D667+D673+D677+D681+D685+D689)</f>
        <v>37163000000</v>
      </c>
      <c r="E623" s="2402">
        <f>SUM(E625+E667+E673+E677+E681+E685+E689)</f>
        <v>35844020000</v>
      </c>
      <c r="F623" s="1900">
        <f>D623-E623</f>
        <v>1318980000</v>
      </c>
      <c r="G623" s="2403">
        <f>E623/D623*100</f>
        <v>96.450824745042112</v>
      </c>
      <c r="H623" s="2403">
        <f>SUM(H625+H667+H673+H677+H681+H685+H689)/7</f>
        <v>89.981972789115645</v>
      </c>
      <c r="I623" s="4885"/>
      <c r="J623" s="4857"/>
    </row>
    <row r="624" spans="1:12" s="121" customFormat="1" ht="7.5" hidden="1" customHeight="1" x14ac:dyDescent="0.25">
      <c r="A624" s="1066"/>
      <c r="B624" s="2098"/>
      <c r="C624" s="333"/>
      <c r="D624" s="155"/>
      <c r="E624" s="2404"/>
      <c r="F624" s="2404"/>
      <c r="G624" s="2102"/>
      <c r="H624" s="2102"/>
      <c r="I624" s="4908"/>
      <c r="J624" s="4650"/>
    </row>
    <row r="625" spans="1:10" ht="18" hidden="1" customHeight="1" x14ac:dyDescent="0.25">
      <c r="B625" s="1029"/>
      <c r="C625" s="354" t="s">
        <v>630</v>
      </c>
      <c r="D625" s="78">
        <f>SUM(D626+D629+D633+D638+D652+D655+D664)</f>
        <v>29421500000</v>
      </c>
      <c r="E625" s="78">
        <f>SUM(E626+E629+E633+E638+E652+E655+E664)</f>
        <v>28446270000</v>
      </c>
      <c r="F625" s="78"/>
      <c r="G625" s="131">
        <f>E625/D625*100</f>
        <v>96.685315160681824</v>
      </c>
      <c r="H625" s="131">
        <f>SUM(H626+H629+H633+H638+H652+H655+H664)/7</f>
        <v>84.523809523809533</v>
      </c>
      <c r="I625" s="4856"/>
      <c r="J625" s="4857"/>
    </row>
    <row r="626" spans="1:10" ht="21" hidden="1" customHeight="1" x14ac:dyDescent="0.25">
      <c r="A626" s="999"/>
      <c r="B626" s="1024"/>
      <c r="C626" s="129" t="s">
        <v>1697</v>
      </c>
      <c r="D626" s="233">
        <f>D627</f>
        <v>40000000</v>
      </c>
      <c r="E626" s="142">
        <v>0</v>
      </c>
      <c r="F626" s="234"/>
      <c r="G626" s="234">
        <f>SUM(E626/D626)*100</f>
        <v>0</v>
      </c>
      <c r="H626" s="233">
        <f>SUM(H627)/1</f>
        <v>0</v>
      </c>
      <c r="I626" s="4637"/>
      <c r="J626" s="4890"/>
    </row>
    <row r="627" spans="1:10" ht="18.75" hidden="1" customHeight="1" x14ac:dyDescent="0.25">
      <c r="A627" s="999"/>
      <c r="B627" s="1024"/>
      <c r="C627" s="91" t="s">
        <v>4740</v>
      </c>
      <c r="D627" s="201">
        <v>40000000</v>
      </c>
      <c r="E627" s="140">
        <v>0</v>
      </c>
      <c r="F627" s="140"/>
      <c r="G627" s="140">
        <f>SUM(E627/D627)*100</f>
        <v>0</v>
      </c>
      <c r="H627" s="140">
        <v>0</v>
      </c>
      <c r="I627" s="4637"/>
      <c r="J627" s="4890"/>
    </row>
    <row r="628" spans="1:10" ht="9.75" hidden="1" customHeight="1" x14ac:dyDescent="0.25">
      <c r="A628" s="999"/>
      <c r="B628" s="1024"/>
      <c r="C628" s="82"/>
      <c r="D628" s="239"/>
      <c r="E628" s="239"/>
      <c r="F628" s="239"/>
      <c r="G628" s="153"/>
      <c r="H628" s="348"/>
      <c r="I628" s="4637"/>
      <c r="J628" s="4890"/>
    </row>
    <row r="629" spans="1:10" ht="18.75" hidden="1" customHeight="1" x14ac:dyDescent="0.25">
      <c r="A629" s="999"/>
      <c r="B629" s="1024"/>
      <c r="C629" s="134" t="s">
        <v>1698</v>
      </c>
      <c r="D629" s="84">
        <f>SUM(D630:D631)</f>
        <v>40000000</v>
      </c>
      <c r="E629" s="84">
        <f>SUM(E630:E631)</f>
        <v>40000000</v>
      </c>
      <c r="F629" s="84"/>
      <c r="G629" s="202">
        <f t="shared" ref="G629:G649" si="53">E629/D629*100</f>
        <v>100</v>
      </c>
      <c r="H629" s="202">
        <f>SUM(H630:H631)/2</f>
        <v>100</v>
      </c>
      <c r="I629" s="4637"/>
      <c r="J629" s="4890"/>
    </row>
    <row r="630" spans="1:10" ht="18" hidden="1" customHeight="1" x14ac:dyDescent="0.25">
      <c r="A630" s="999"/>
      <c r="B630" s="1024"/>
      <c r="C630" s="91" t="s">
        <v>1699</v>
      </c>
      <c r="D630" s="201">
        <v>20000000</v>
      </c>
      <c r="E630" s="2405">
        <v>20000000</v>
      </c>
      <c r="F630" s="2405"/>
      <c r="G630" s="201">
        <f t="shared" si="53"/>
        <v>100</v>
      </c>
      <c r="H630" s="239">
        <v>100</v>
      </c>
      <c r="I630" s="4637"/>
      <c r="J630" s="4890"/>
    </row>
    <row r="631" spans="1:10" ht="18" hidden="1" customHeight="1" x14ac:dyDescent="0.25">
      <c r="A631" s="999"/>
      <c r="B631" s="1024"/>
      <c r="C631" s="91" t="s">
        <v>1700</v>
      </c>
      <c r="D631" s="201">
        <v>20000000</v>
      </c>
      <c r="E631" s="133">
        <v>20000000</v>
      </c>
      <c r="F631" s="133"/>
      <c r="G631" s="201">
        <f t="shared" si="53"/>
        <v>100</v>
      </c>
      <c r="H631" s="133">
        <v>100</v>
      </c>
      <c r="I631" s="4637"/>
      <c r="J631" s="4890"/>
    </row>
    <row r="632" spans="1:10" ht="11.25" hidden="1" customHeight="1" x14ac:dyDescent="0.25">
      <c r="A632" s="999"/>
      <c r="B632" s="1024"/>
      <c r="C632" s="91"/>
      <c r="D632" s="201"/>
      <c r="E632" s="133"/>
      <c r="F632" s="133"/>
      <c r="G632" s="201"/>
      <c r="H632" s="133"/>
      <c r="I632" s="4637"/>
      <c r="J632" s="4890"/>
    </row>
    <row r="633" spans="1:10" s="32" customFormat="1" ht="20.25" hidden="1" customHeight="1" x14ac:dyDescent="0.25">
      <c r="A633" s="1015"/>
      <c r="B633" s="1024"/>
      <c r="C633" s="134" t="s">
        <v>1701</v>
      </c>
      <c r="D633" s="2406">
        <f>SUM(D634:D636)</f>
        <v>1600000000</v>
      </c>
      <c r="E633" s="2406">
        <f>SUM(E634:E636)</f>
        <v>1599100000</v>
      </c>
      <c r="F633" s="2406"/>
      <c r="G633" s="202">
        <f t="shared" si="53"/>
        <v>99.943749999999994</v>
      </c>
      <c r="H633" s="202">
        <f>SUM(H634:H636)/3</f>
        <v>100</v>
      </c>
      <c r="I633" s="4641"/>
      <c r="J633" s="4909"/>
    </row>
    <row r="634" spans="1:10" s="196" customFormat="1" ht="18" hidden="1" customHeight="1" x14ac:dyDescent="0.25">
      <c r="A634" s="513"/>
      <c r="B634" s="1097"/>
      <c r="C634" s="82" t="s">
        <v>1702</v>
      </c>
      <c r="D634" s="140">
        <v>800000000</v>
      </c>
      <c r="E634" s="140">
        <v>800000000</v>
      </c>
      <c r="F634" s="140"/>
      <c r="G634" s="201">
        <f t="shared" si="53"/>
        <v>100</v>
      </c>
      <c r="H634" s="201">
        <v>100</v>
      </c>
      <c r="I634" s="4643"/>
      <c r="J634" s="4910"/>
    </row>
    <row r="635" spans="1:10" ht="18.75" hidden="1" customHeight="1" x14ac:dyDescent="0.25">
      <c r="A635" s="999"/>
      <c r="B635" s="1024"/>
      <c r="C635" s="91" t="s">
        <v>1703</v>
      </c>
      <c r="D635" s="201">
        <v>300000000</v>
      </c>
      <c r="E635" s="133">
        <v>300000000</v>
      </c>
      <c r="F635" s="133"/>
      <c r="G635" s="201">
        <f t="shared" si="53"/>
        <v>100</v>
      </c>
      <c r="H635" s="133">
        <v>100</v>
      </c>
      <c r="I635" s="4637"/>
      <c r="J635" s="4890"/>
    </row>
    <row r="636" spans="1:10" ht="19.5" hidden="1" customHeight="1" x14ac:dyDescent="0.25">
      <c r="A636" s="999"/>
      <c r="B636" s="1024"/>
      <c r="C636" s="91" t="s">
        <v>1704</v>
      </c>
      <c r="D636" s="201">
        <v>500000000</v>
      </c>
      <c r="E636" s="2405">
        <v>499100000</v>
      </c>
      <c r="F636" s="2405"/>
      <c r="G636" s="201">
        <f t="shared" si="53"/>
        <v>99.82</v>
      </c>
      <c r="H636" s="239">
        <v>100</v>
      </c>
      <c r="I636" s="4637"/>
      <c r="J636" s="4890"/>
    </row>
    <row r="637" spans="1:10" ht="9.75" hidden="1" customHeight="1" x14ac:dyDescent="0.25">
      <c r="A637" s="999"/>
      <c r="B637" s="1024"/>
      <c r="C637" s="91"/>
      <c r="D637" s="2407"/>
      <c r="E637" s="2405"/>
      <c r="F637" s="2405"/>
      <c r="G637" s="201"/>
      <c r="H637" s="201"/>
      <c r="I637" s="4637"/>
      <c r="J637" s="4890"/>
    </row>
    <row r="638" spans="1:10" s="32" customFormat="1" ht="18" hidden="1" customHeight="1" x14ac:dyDescent="0.25">
      <c r="A638" s="1015"/>
      <c r="B638" s="1024"/>
      <c r="C638" s="332" t="s">
        <v>1705</v>
      </c>
      <c r="D638" s="202">
        <f>SUM(D639:D651)</f>
        <v>21300000000</v>
      </c>
      <c r="E638" s="202">
        <f>SUM(E639:E651)</f>
        <v>20468270000</v>
      </c>
      <c r="F638" s="202"/>
      <c r="G638" s="202">
        <f t="shared" si="53"/>
        <v>96.095164319248823</v>
      </c>
      <c r="H638" s="202">
        <f>SUM(H639:H650)/12</f>
        <v>91.666666666666671</v>
      </c>
      <c r="I638" s="4641"/>
      <c r="J638" s="4909"/>
    </row>
    <row r="639" spans="1:10" ht="17.25" hidden="1" customHeight="1" x14ac:dyDescent="0.25">
      <c r="A639" s="999"/>
      <c r="B639" s="1024"/>
      <c r="C639" s="91" t="s">
        <v>1706</v>
      </c>
      <c r="D639" s="2408">
        <v>5900000000</v>
      </c>
      <c r="E639" s="2405">
        <v>5650038000</v>
      </c>
      <c r="F639" s="2405"/>
      <c r="G639" s="201">
        <f t="shared" si="53"/>
        <v>95.763355932203382</v>
      </c>
      <c r="H639" s="201">
        <v>100</v>
      </c>
      <c r="I639" s="4637"/>
      <c r="J639" s="4890"/>
    </row>
    <row r="640" spans="1:10" ht="15.75" hidden="1" customHeight="1" x14ac:dyDescent="0.25">
      <c r="A640" s="999"/>
      <c r="B640" s="1024"/>
      <c r="C640" s="91" t="s">
        <v>1707</v>
      </c>
      <c r="D640" s="2408">
        <v>10000000000</v>
      </c>
      <c r="E640" s="2405">
        <v>9698090000</v>
      </c>
      <c r="F640" s="2405"/>
      <c r="G640" s="201">
        <f t="shared" si="53"/>
        <v>96.980900000000005</v>
      </c>
      <c r="H640" s="201">
        <v>100</v>
      </c>
      <c r="I640" s="4637"/>
      <c r="J640" s="4890"/>
    </row>
    <row r="641" spans="1:10" ht="17.25" hidden="1" customHeight="1" x14ac:dyDescent="0.25">
      <c r="A641" s="999"/>
      <c r="B641" s="1993"/>
      <c r="C641" s="91" t="s">
        <v>1708</v>
      </c>
      <c r="D641" s="201">
        <v>2100000000</v>
      </c>
      <c r="E641" s="2405">
        <v>1920390000</v>
      </c>
      <c r="F641" s="2405"/>
      <c r="G641" s="201">
        <f t="shared" si="53"/>
        <v>91.447142857142865</v>
      </c>
      <c r="H641" s="201">
        <v>100</v>
      </c>
      <c r="I641" s="4637"/>
      <c r="J641" s="4890"/>
    </row>
    <row r="642" spans="1:10" ht="16.5" hidden="1" customHeight="1" x14ac:dyDescent="0.25">
      <c r="A642" s="999"/>
      <c r="B642" s="1024"/>
      <c r="C642" s="91" t="s">
        <v>1709</v>
      </c>
      <c r="D642" s="201">
        <v>200000000</v>
      </c>
      <c r="E642" s="2405">
        <v>199760000</v>
      </c>
      <c r="F642" s="2405"/>
      <c r="G642" s="201">
        <f t="shared" si="53"/>
        <v>99.88</v>
      </c>
      <c r="H642" s="201">
        <v>100</v>
      </c>
      <c r="I642" s="4637"/>
      <c r="J642" s="4890"/>
    </row>
    <row r="643" spans="1:10" ht="15.75" hidden="1" customHeight="1" x14ac:dyDescent="0.25">
      <c r="A643" s="999"/>
      <c r="B643" s="1024"/>
      <c r="C643" s="91" t="s">
        <v>1710</v>
      </c>
      <c r="D643" s="201">
        <v>200000000</v>
      </c>
      <c r="E643" s="2405">
        <v>200000000</v>
      </c>
      <c r="F643" s="2405"/>
      <c r="G643" s="201">
        <f t="shared" si="53"/>
        <v>100</v>
      </c>
      <c r="H643" s="201">
        <v>100</v>
      </c>
      <c r="I643" s="4637"/>
      <c r="J643" s="4890"/>
    </row>
    <row r="644" spans="1:10" ht="17.25" hidden="1" customHeight="1" x14ac:dyDescent="0.25">
      <c r="A644" s="999"/>
      <c r="B644" s="1024"/>
      <c r="C644" s="91" t="s">
        <v>1711</v>
      </c>
      <c r="D644" s="201">
        <v>200000000</v>
      </c>
      <c r="E644" s="2405">
        <v>200000000</v>
      </c>
      <c r="F644" s="2405"/>
      <c r="G644" s="201">
        <f t="shared" si="53"/>
        <v>100</v>
      </c>
      <c r="H644" s="201">
        <v>100</v>
      </c>
      <c r="I644" s="4637"/>
      <c r="J644" s="4890"/>
    </row>
    <row r="645" spans="1:10" ht="17.25" hidden="1" customHeight="1" x14ac:dyDescent="0.25">
      <c r="A645" s="999"/>
      <c r="B645" s="1024"/>
      <c r="C645" s="91" t="s">
        <v>1712</v>
      </c>
      <c r="D645" s="201">
        <v>200000000</v>
      </c>
      <c r="E645" s="2405">
        <v>200000000</v>
      </c>
      <c r="F645" s="2405"/>
      <c r="G645" s="201">
        <f t="shared" si="53"/>
        <v>100</v>
      </c>
      <c r="H645" s="201">
        <v>100</v>
      </c>
      <c r="I645" s="4637"/>
      <c r="J645" s="4890"/>
    </row>
    <row r="646" spans="1:10" ht="17.25" hidden="1" customHeight="1" x14ac:dyDescent="0.25">
      <c r="A646" s="999"/>
      <c r="B646" s="1024"/>
      <c r="C646" s="91" t="s">
        <v>1713</v>
      </c>
      <c r="D646" s="201">
        <v>200000000</v>
      </c>
      <c r="E646" s="2405">
        <v>200000000</v>
      </c>
      <c r="F646" s="2405"/>
      <c r="G646" s="201">
        <f t="shared" si="53"/>
        <v>100</v>
      </c>
      <c r="H646" s="201">
        <v>100</v>
      </c>
      <c r="I646" s="4637"/>
      <c r="J646" s="4890"/>
    </row>
    <row r="647" spans="1:10" ht="21.75" hidden="1" customHeight="1" x14ac:dyDescent="0.25">
      <c r="A647" s="999"/>
      <c r="B647" s="1024"/>
      <c r="C647" s="91" t="s">
        <v>1714</v>
      </c>
      <c r="D647" s="201">
        <v>200000000</v>
      </c>
      <c r="E647" s="2405">
        <v>200000000</v>
      </c>
      <c r="F647" s="2405"/>
      <c r="G647" s="201">
        <f t="shared" si="53"/>
        <v>100</v>
      </c>
      <c r="H647" s="201">
        <v>100</v>
      </c>
      <c r="I647" s="4637"/>
      <c r="J647" s="4890"/>
    </row>
    <row r="648" spans="1:10" ht="15.75" hidden="1" customHeight="1" x14ac:dyDescent="0.25">
      <c r="A648" s="999"/>
      <c r="B648" s="1024"/>
      <c r="C648" s="91" t="s">
        <v>1715</v>
      </c>
      <c r="D648" s="201">
        <v>1000000000</v>
      </c>
      <c r="E648" s="2405">
        <v>999996000</v>
      </c>
      <c r="F648" s="2405"/>
      <c r="G648" s="201">
        <f t="shared" si="53"/>
        <v>99.999600000000001</v>
      </c>
      <c r="H648" s="201">
        <v>100</v>
      </c>
      <c r="I648" s="4637"/>
      <c r="J648" s="4890"/>
    </row>
    <row r="649" spans="1:10" ht="18" hidden="1" customHeight="1" x14ac:dyDescent="0.25">
      <c r="A649" s="999"/>
      <c r="B649" s="1024"/>
      <c r="C649" s="91" t="s">
        <v>1716</v>
      </c>
      <c r="D649" s="201">
        <v>1000000000</v>
      </c>
      <c r="E649" s="2405">
        <v>999996000</v>
      </c>
      <c r="F649" s="2405"/>
      <c r="G649" s="201">
        <f t="shared" si="53"/>
        <v>99.999600000000001</v>
      </c>
      <c r="H649" s="201">
        <v>100</v>
      </c>
      <c r="I649" s="4637"/>
      <c r="J649" s="4890"/>
    </row>
    <row r="650" spans="1:10" ht="17.25" hidden="1" customHeight="1" x14ac:dyDescent="0.25">
      <c r="A650" s="999"/>
      <c r="B650" s="1024"/>
      <c r="C650" s="82" t="s">
        <v>1717</v>
      </c>
      <c r="D650" s="239">
        <v>100000000</v>
      </c>
      <c r="E650" s="140">
        <v>0</v>
      </c>
      <c r="F650" s="140"/>
      <c r="G650" s="140">
        <f>SUM(E650/D650)*100</f>
        <v>0</v>
      </c>
      <c r="H650" s="140">
        <v>0</v>
      </c>
      <c r="I650" s="4637"/>
      <c r="J650" s="4890"/>
    </row>
    <row r="651" spans="1:10" ht="12.75" hidden="1" customHeight="1" x14ac:dyDescent="0.25">
      <c r="A651" s="999"/>
      <c r="B651" s="1024"/>
      <c r="C651" s="134"/>
      <c r="D651" s="260"/>
      <c r="E651" s="260"/>
      <c r="F651" s="260"/>
      <c r="G651" s="202"/>
      <c r="H651" s="202"/>
      <c r="I651" s="4637"/>
      <c r="J651" s="4890"/>
    </row>
    <row r="652" spans="1:10" s="32" customFormat="1" ht="18" hidden="1" customHeight="1" x14ac:dyDescent="0.25">
      <c r="A652" s="1015"/>
      <c r="B652" s="1024"/>
      <c r="C652" s="332" t="s">
        <v>1718</v>
      </c>
      <c r="D652" s="202">
        <f>D653</f>
        <v>3141500000</v>
      </c>
      <c r="E652" s="202">
        <f>E653</f>
        <v>3141500000</v>
      </c>
      <c r="F652" s="202"/>
      <c r="G652" s="2406">
        <f>E652/D652*100</f>
        <v>100</v>
      </c>
      <c r="H652" s="142">
        <v>100</v>
      </c>
      <c r="I652" s="4641"/>
      <c r="J652" s="4909"/>
    </row>
    <row r="653" spans="1:10" ht="22.5" hidden="1" customHeight="1" x14ac:dyDescent="0.25">
      <c r="A653" s="999"/>
      <c r="B653" s="1024"/>
      <c r="C653" s="91" t="s">
        <v>1719</v>
      </c>
      <c r="D653" s="576">
        <v>3141500000</v>
      </c>
      <c r="E653" s="576">
        <v>3141500000</v>
      </c>
      <c r="F653" s="576"/>
      <c r="G653" s="576">
        <f>E653/D653*100</f>
        <v>100</v>
      </c>
      <c r="H653" s="201">
        <v>100</v>
      </c>
      <c r="I653" s="4637"/>
      <c r="J653" s="4890"/>
    </row>
    <row r="654" spans="1:10" ht="9.75" hidden="1" customHeight="1" x14ac:dyDescent="0.25">
      <c r="A654" s="999"/>
      <c r="B654" s="1024"/>
      <c r="C654" s="91"/>
      <c r="D654" s="201"/>
      <c r="E654" s="2405"/>
      <c r="F654" s="2405"/>
      <c r="G654" s="576"/>
      <c r="H654" s="201"/>
      <c r="I654" s="4637"/>
      <c r="J654" s="4890"/>
    </row>
    <row r="655" spans="1:10" s="32" customFormat="1" ht="22.5" hidden="1" customHeight="1" x14ac:dyDescent="0.25">
      <c r="A655" s="1015"/>
      <c r="B655" s="1024"/>
      <c r="C655" s="332" t="s">
        <v>1720</v>
      </c>
      <c r="D655" s="142">
        <f>SUM(D656:D662)</f>
        <v>1600000000</v>
      </c>
      <c r="E655" s="142">
        <f>SUM(E656:E662)</f>
        <v>1500000000</v>
      </c>
      <c r="F655" s="142"/>
      <c r="G655" s="2406">
        <f t="shared" ref="G655:G665" si="54">E655/D655*100</f>
        <v>93.75</v>
      </c>
      <c r="H655" s="142">
        <f>SUM(H656:H662)/6</f>
        <v>100</v>
      </c>
      <c r="I655" s="4641"/>
      <c r="J655" s="4909"/>
    </row>
    <row r="656" spans="1:10" ht="15.75" hidden="1" customHeight="1" x14ac:dyDescent="0.25">
      <c r="A656" s="999"/>
      <c r="B656" s="1024"/>
      <c r="C656" s="91" t="s">
        <v>1721</v>
      </c>
      <c r="D656" s="201">
        <v>100000000</v>
      </c>
      <c r="E656" s="2405">
        <v>100000000</v>
      </c>
      <c r="F656" s="2405"/>
      <c r="G656" s="576">
        <f t="shared" si="54"/>
        <v>100</v>
      </c>
      <c r="H656" s="140">
        <v>100</v>
      </c>
      <c r="I656" s="4637"/>
      <c r="J656" s="4890"/>
    </row>
    <row r="657" spans="1:10" ht="15.75" hidden="1" customHeight="1" x14ac:dyDescent="0.25">
      <c r="A657" s="999"/>
      <c r="B657" s="1024"/>
      <c r="C657" s="91" t="s">
        <v>1722</v>
      </c>
      <c r="D657" s="201">
        <v>100000000</v>
      </c>
      <c r="E657" s="133">
        <v>100000000</v>
      </c>
      <c r="F657" s="133"/>
      <c r="G657" s="576">
        <f t="shared" si="54"/>
        <v>100</v>
      </c>
      <c r="H657" s="133">
        <v>100</v>
      </c>
      <c r="I657" s="4637"/>
      <c r="J657" s="4890"/>
    </row>
    <row r="658" spans="1:10" ht="17.25" hidden="1" customHeight="1" x14ac:dyDescent="0.25">
      <c r="A658" s="999"/>
      <c r="B658" s="1024"/>
      <c r="C658" s="82" t="s">
        <v>1723</v>
      </c>
      <c r="D658" s="140">
        <v>100000000</v>
      </c>
      <c r="E658" s="140">
        <v>100000000</v>
      </c>
      <c r="F658" s="140"/>
      <c r="G658" s="576">
        <f t="shared" si="54"/>
        <v>100</v>
      </c>
      <c r="H658" s="201">
        <v>100</v>
      </c>
      <c r="I658" s="4637"/>
      <c r="J658" s="4890"/>
    </row>
    <row r="659" spans="1:10" s="196" customFormat="1" ht="16.5" hidden="1" customHeight="1" x14ac:dyDescent="0.25">
      <c r="A659" s="513"/>
      <c r="B659" s="1097"/>
      <c r="C659" s="82" t="s">
        <v>1724</v>
      </c>
      <c r="D659" s="140">
        <v>300000000</v>
      </c>
      <c r="E659" s="140">
        <v>300000000</v>
      </c>
      <c r="F659" s="140"/>
      <c r="G659" s="576">
        <f t="shared" si="54"/>
        <v>100</v>
      </c>
      <c r="H659" s="201">
        <v>100</v>
      </c>
      <c r="I659" s="4643"/>
      <c r="J659" s="4910"/>
    </row>
    <row r="660" spans="1:10" ht="15.75" hidden="1" customHeight="1" x14ac:dyDescent="0.25">
      <c r="A660" s="999"/>
      <c r="B660" s="1024"/>
      <c r="C660" s="91" t="s">
        <v>1725</v>
      </c>
      <c r="D660" s="2409">
        <v>100000000</v>
      </c>
      <c r="E660" s="140">
        <v>0</v>
      </c>
      <c r="F660" s="140"/>
      <c r="G660" s="140">
        <v>0</v>
      </c>
      <c r="H660" s="140">
        <v>0</v>
      </c>
      <c r="I660" s="4637"/>
      <c r="J660" s="4890"/>
    </row>
    <row r="661" spans="1:10" ht="17.25" hidden="1" customHeight="1" x14ac:dyDescent="0.25">
      <c r="A661" s="999"/>
      <c r="B661" s="1024"/>
      <c r="C661" s="91" t="s">
        <v>1726</v>
      </c>
      <c r="D661" s="2409">
        <v>400000000</v>
      </c>
      <c r="E661" s="2405">
        <v>400000000</v>
      </c>
      <c r="F661" s="2405"/>
      <c r="G661" s="576">
        <f t="shared" si="54"/>
        <v>100</v>
      </c>
      <c r="H661" s="201">
        <v>100</v>
      </c>
      <c r="I661" s="4637"/>
      <c r="J661" s="4890"/>
    </row>
    <row r="662" spans="1:10" ht="19.5" hidden="1" customHeight="1" x14ac:dyDescent="0.25">
      <c r="A662" s="999"/>
      <c r="B662" s="1024"/>
      <c r="C662" s="91" t="s">
        <v>1727</v>
      </c>
      <c r="D662" s="2409">
        <v>500000000</v>
      </c>
      <c r="E662" s="2405">
        <v>500000000</v>
      </c>
      <c r="F662" s="2405"/>
      <c r="G662" s="576">
        <f t="shared" si="54"/>
        <v>100</v>
      </c>
      <c r="H662" s="201">
        <v>100</v>
      </c>
      <c r="I662" s="4637"/>
      <c r="J662" s="4890"/>
    </row>
    <row r="663" spans="1:10" ht="10.5" hidden="1" customHeight="1" x14ac:dyDescent="0.25">
      <c r="A663" s="999"/>
      <c r="B663" s="1024"/>
      <c r="C663" s="91"/>
      <c r="D663" s="2409"/>
      <c r="E663" s="2405"/>
      <c r="F663" s="2405"/>
      <c r="G663" s="576"/>
      <c r="H663" s="201"/>
      <c r="I663" s="4637"/>
      <c r="J663" s="4890"/>
    </row>
    <row r="664" spans="1:10" s="32" customFormat="1" ht="18.75" hidden="1" customHeight="1" x14ac:dyDescent="0.25">
      <c r="A664" s="1015"/>
      <c r="B664" s="1024"/>
      <c r="C664" s="332" t="s">
        <v>1728</v>
      </c>
      <c r="D664" s="2410">
        <f>D665</f>
        <v>1700000000</v>
      </c>
      <c r="E664" s="2410">
        <f>E665</f>
        <v>1697400000</v>
      </c>
      <c r="F664" s="2410"/>
      <c r="G664" s="2406">
        <f t="shared" si="54"/>
        <v>99.847058823529409</v>
      </c>
      <c r="H664" s="202">
        <f>H665</f>
        <v>100</v>
      </c>
      <c r="I664" s="4641"/>
      <c r="J664" s="4909"/>
    </row>
    <row r="665" spans="1:10" ht="21" hidden="1" customHeight="1" x14ac:dyDescent="0.25">
      <c r="A665" s="999"/>
      <c r="B665" s="1024"/>
      <c r="C665" s="91" t="s">
        <v>1729</v>
      </c>
      <c r="D665" s="2409">
        <v>1700000000</v>
      </c>
      <c r="E665" s="140">
        <v>1697400000</v>
      </c>
      <c r="F665" s="140"/>
      <c r="G665" s="576">
        <f t="shared" si="54"/>
        <v>99.847058823529409</v>
      </c>
      <c r="H665" s="576">
        <v>100</v>
      </c>
      <c r="I665" s="4637"/>
      <c r="J665" s="4890"/>
    </row>
    <row r="666" spans="1:10" ht="12" hidden="1" customHeight="1" x14ac:dyDescent="0.25">
      <c r="B666" s="1024"/>
      <c r="C666" s="119"/>
      <c r="D666" s="957"/>
      <c r="E666" s="239"/>
      <c r="F666" s="239"/>
      <c r="G666" s="81"/>
      <c r="H666" s="2176"/>
      <c r="I666" s="4856"/>
      <c r="J666" s="4857"/>
    </row>
    <row r="667" spans="1:10" ht="20.25" hidden="1" customHeight="1" x14ac:dyDescent="0.25">
      <c r="B667" s="1029"/>
      <c r="C667" s="89" t="s">
        <v>3228</v>
      </c>
      <c r="D667" s="78">
        <f>D668</f>
        <v>1000000000</v>
      </c>
      <c r="E667" s="78">
        <f>E668</f>
        <v>1000000000</v>
      </c>
      <c r="F667" s="78"/>
      <c r="G667" s="78">
        <f>E667/D667*100</f>
        <v>100</v>
      </c>
      <c r="H667" s="131">
        <f>H668</f>
        <v>100</v>
      </c>
      <c r="I667" s="4856"/>
      <c r="J667" s="4857"/>
    </row>
    <row r="668" spans="1:10" ht="18" hidden="1" customHeight="1" x14ac:dyDescent="0.25">
      <c r="B668" s="1024"/>
      <c r="C668" s="129" t="s">
        <v>3229</v>
      </c>
      <c r="D668" s="156">
        <f>SUM(D669:D671)</f>
        <v>1000000000</v>
      </c>
      <c r="E668" s="156">
        <f>SUM(E669:E671)</f>
        <v>1000000000</v>
      </c>
      <c r="F668" s="156"/>
      <c r="G668" s="2406">
        <f t="shared" ref="G668:G671" si="55">E668/D668*100</f>
        <v>100</v>
      </c>
      <c r="H668" s="234">
        <f>SUM(H669:H671)/2</f>
        <v>100</v>
      </c>
      <c r="I668" s="4856"/>
      <c r="J668" s="4857"/>
    </row>
    <row r="669" spans="1:10" ht="18" hidden="1" customHeight="1" x14ac:dyDescent="0.25">
      <c r="B669" s="1024"/>
      <c r="C669" s="91" t="s">
        <v>3231</v>
      </c>
      <c r="D669" s="204">
        <v>500000000</v>
      </c>
      <c r="E669" s="2411">
        <v>500000000</v>
      </c>
      <c r="F669" s="2411"/>
      <c r="G669" s="576">
        <f t="shared" si="55"/>
        <v>100</v>
      </c>
      <c r="H669" s="140">
        <v>100</v>
      </c>
      <c r="I669" s="4856"/>
      <c r="J669" s="4857"/>
    </row>
    <row r="670" spans="1:10" ht="17.25" hidden="1" customHeight="1" x14ac:dyDescent="0.25">
      <c r="B670" s="1024"/>
      <c r="C670" s="91" t="s">
        <v>3230</v>
      </c>
      <c r="D670" s="419" t="s">
        <v>3317</v>
      </c>
      <c r="E670" s="419" t="s">
        <v>3317</v>
      </c>
      <c r="F670" s="419"/>
      <c r="G670" s="419" t="s">
        <v>3317</v>
      </c>
      <c r="H670" s="140"/>
      <c r="I670" s="4856"/>
      <c r="J670" s="4857"/>
    </row>
    <row r="671" spans="1:10" ht="18" hidden="1" customHeight="1" x14ac:dyDescent="0.25">
      <c r="B671" s="1024"/>
      <c r="C671" s="91" t="s">
        <v>3232</v>
      </c>
      <c r="D671" s="232">
        <v>500000000</v>
      </c>
      <c r="E671" s="65">
        <v>500000000</v>
      </c>
      <c r="F671" s="65"/>
      <c r="G671" s="576">
        <f t="shared" si="55"/>
        <v>100</v>
      </c>
      <c r="H671" s="201">
        <v>100</v>
      </c>
      <c r="I671" s="4856"/>
      <c r="J671" s="4857"/>
    </row>
    <row r="672" spans="1:10" ht="12" hidden="1" customHeight="1" x14ac:dyDescent="0.25">
      <c r="B672" s="1024"/>
      <c r="C672" s="119"/>
      <c r="D672" s="957"/>
      <c r="E672" s="239"/>
      <c r="F672" s="239"/>
      <c r="G672" s="81"/>
      <c r="H672" s="1956"/>
      <c r="I672" s="4856"/>
      <c r="J672" s="4857"/>
    </row>
    <row r="673" spans="1:10" ht="24.75" hidden="1" customHeight="1" x14ac:dyDescent="0.25">
      <c r="B673" s="1029"/>
      <c r="C673" s="89" t="s">
        <v>3249</v>
      </c>
      <c r="D673" s="155">
        <f>D674</f>
        <v>150000000</v>
      </c>
      <c r="E673" s="155">
        <f>E674</f>
        <v>150000000</v>
      </c>
      <c r="F673" s="155"/>
      <c r="G673" s="78">
        <f>E673/D673*100</f>
        <v>100</v>
      </c>
      <c r="H673" s="200">
        <f>H674</f>
        <v>100</v>
      </c>
      <c r="I673" s="4856"/>
      <c r="J673" s="4857"/>
    </row>
    <row r="674" spans="1:10" ht="18.75" hidden="1" customHeight="1" x14ac:dyDescent="0.25">
      <c r="B674" s="1024"/>
      <c r="C674" s="2412" t="s">
        <v>3252</v>
      </c>
      <c r="D674" s="258">
        <f>D675</f>
        <v>150000000</v>
      </c>
      <c r="E674" s="258">
        <f>E675</f>
        <v>150000000</v>
      </c>
      <c r="F674" s="258"/>
      <c r="G674" s="2413">
        <f t="shared" ref="G674:G675" si="56">E674/D674*100</f>
        <v>100</v>
      </c>
      <c r="H674" s="326">
        <f>H675</f>
        <v>100</v>
      </c>
      <c r="I674" s="4856"/>
      <c r="J674" s="4857"/>
    </row>
    <row r="675" spans="1:10" ht="20.25" hidden="1" customHeight="1" x14ac:dyDescent="0.25">
      <c r="B675" s="1024"/>
      <c r="C675" s="82" t="s">
        <v>3253</v>
      </c>
      <c r="D675" s="232">
        <v>150000000</v>
      </c>
      <c r="E675" s="65">
        <v>150000000</v>
      </c>
      <c r="F675" s="65"/>
      <c r="G675" s="576">
        <f t="shared" si="56"/>
        <v>100</v>
      </c>
      <c r="H675" s="201">
        <v>100</v>
      </c>
      <c r="I675" s="4856"/>
      <c r="J675" s="4857"/>
    </row>
    <row r="676" spans="1:10" ht="12" hidden="1" customHeight="1" x14ac:dyDescent="0.25">
      <c r="B676" s="1024"/>
      <c r="C676" s="119"/>
      <c r="D676" s="957"/>
      <c r="E676" s="239"/>
      <c r="F676" s="239"/>
      <c r="G676" s="81"/>
      <c r="H676" s="1956"/>
      <c r="I676" s="4856"/>
      <c r="J676" s="4857"/>
    </row>
    <row r="677" spans="1:10" ht="24.75" hidden="1" customHeight="1" x14ac:dyDescent="0.25">
      <c r="B677" s="1029"/>
      <c r="C677" s="404" t="s">
        <v>3254</v>
      </c>
      <c r="D677" s="155">
        <f>D678</f>
        <v>300000000</v>
      </c>
      <c r="E677" s="155">
        <f>E678</f>
        <v>300000000</v>
      </c>
      <c r="F677" s="155"/>
      <c r="G677" s="78">
        <f>E677/D677*100</f>
        <v>100</v>
      </c>
      <c r="H677" s="200">
        <f>H678</f>
        <v>100</v>
      </c>
      <c r="I677" s="4856"/>
      <c r="J677" s="4857"/>
    </row>
    <row r="678" spans="1:10" ht="18.75" hidden="1" customHeight="1" x14ac:dyDescent="0.25">
      <c r="B678" s="1024"/>
      <c r="C678" s="134" t="s">
        <v>3258</v>
      </c>
      <c r="D678" s="260">
        <f>D679</f>
        <v>300000000</v>
      </c>
      <c r="E678" s="260">
        <f>E679</f>
        <v>300000000</v>
      </c>
      <c r="F678" s="260"/>
      <c r="G678" s="84">
        <v>100</v>
      </c>
      <c r="H678" s="202">
        <v>100</v>
      </c>
      <c r="I678" s="4856"/>
      <c r="J678" s="4857"/>
    </row>
    <row r="679" spans="1:10" ht="19.5" hidden="1" customHeight="1" x14ac:dyDescent="0.25">
      <c r="B679" s="1024"/>
      <c r="C679" s="82" t="s">
        <v>3259</v>
      </c>
      <c r="D679" s="576">
        <v>300000000</v>
      </c>
      <c r="E679" s="576">
        <v>300000000</v>
      </c>
      <c r="F679" s="576"/>
      <c r="G679" s="576">
        <f t="shared" ref="G679" si="57">E679/D679*100</f>
        <v>100</v>
      </c>
      <c r="H679" s="576">
        <v>100</v>
      </c>
      <c r="I679" s="4856"/>
      <c r="J679" s="4857"/>
    </row>
    <row r="680" spans="1:10" ht="12" hidden="1" customHeight="1" x14ac:dyDescent="0.25">
      <c r="B680" s="1024"/>
      <c r="C680" s="119"/>
      <c r="D680" s="957"/>
      <c r="E680" s="239"/>
      <c r="F680" s="239"/>
      <c r="G680" s="81"/>
      <c r="H680" s="1956"/>
      <c r="I680" s="4856"/>
      <c r="J680" s="4857"/>
    </row>
    <row r="681" spans="1:10" ht="24" hidden="1" customHeight="1" x14ac:dyDescent="0.25">
      <c r="B681" s="1029"/>
      <c r="C681" s="89" t="s">
        <v>3263</v>
      </c>
      <c r="D681" s="155">
        <f>D682</f>
        <v>91500000</v>
      </c>
      <c r="E681" s="131">
        <f>E682</f>
        <v>45750000</v>
      </c>
      <c r="F681" s="131"/>
      <c r="G681" s="78">
        <f>E681/D681*100</f>
        <v>50</v>
      </c>
      <c r="H681" s="200">
        <f>H682</f>
        <v>50</v>
      </c>
      <c r="I681" s="4856"/>
      <c r="J681" s="4857"/>
    </row>
    <row r="682" spans="1:10" ht="20.25" hidden="1" customHeight="1" x14ac:dyDescent="0.25">
      <c r="B682" s="2460"/>
      <c r="C682" s="383" t="s">
        <v>3264</v>
      </c>
      <c r="D682" s="185">
        <f>D683</f>
        <v>91500000</v>
      </c>
      <c r="E682" s="185">
        <f>E683</f>
        <v>45750000</v>
      </c>
      <c r="F682" s="185"/>
      <c r="G682" s="2414">
        <f t="shared" ref="G682:G683" si="58">E682/D682*100</f>
        <v>50</v>
      </c>
      <c r="H682" s="185">
        <f>H683</f>
        <v>50</v>
      </c>
      <c r="I682" s="4856"/>
      <c r="J682" s="4857"/>
    </row>
    <row r="683" spans="1:10" ht="17.25" hidden="1" customHeight="1" x14ac:dyDescent="0.25">
      <c r="B683" s="1024"/>
      <c r="C683" s="2415" t="s">
        <v>3265</v>
      </c>
      <c r="D683" s="207">
        <v>91500000</v>
      </c>
      <c r="E683" s="207">
        <v>45750000</v>
      </c>
      <c r="F683" s="207"/>
      <c r="G683" s="2416">
        <f t="shared" si="58"/>
        <v>50</v>
      </c>
      <c r="H683" s="2417">
        <v>50</v>
      </c>
      <c r="I683" s="4856"/>
      <c r="J683" s="4857"/>
    </row>
    <row r="684" spans="1:10" ht="12" hidden="1" customHeight="1" x14ac:dyDescent="0.25">
      <c r="B684" s="1024"/>
      <c r="C684" s="119"/>
      <c r="D684" s="2418"/>
      <c r="E684" s="187"/>
      <c r="F684" s="187"/>
      <c r="G684" s="2419"/>
      <c r="H684" s="2176"/>
      <c r="I684" s="4856"/>
      <c r="J684" s="4857"/>
    </row>
    <row r="685" spans="1:10" ht="18.75" hidden="1" customHeight="1" x14ac:dyDescent="0.25">
      <c r="B685" s="1029"/>
      <c r="C685" s="89" t="s">
        <v>2400</v>
      </c>
      <c r="D685" s="155">
        <f>D686</f>
        <v>200000000</v>
      </c>
      <c r="E685" s="155">
        <f>E686</f>
        <v>200000000</v>
      </c>
      <c r="F685" s="155"/>
      <c r="G685" s="78">
        <f>E685/D685*100</f>
        <v>100</v>
      </c>
      <c r="H685" s="200">
        <v>100</v>
      </c>
      <c r="I685" s="4856"/>
      <c r="J685" s="4857"/>
    </row>
    <row r="686" spans="1:10" s="32" customFormat="1" ht="22.5" hidden="1" customHeight="1" x14ac:dyDescent="0.25">
      <c r="A686" s="1095"/>
      <c r="B686" s="1024"/>
      <c r="C686" s="53" t="s">
        <v>3273</v>
      </c>
      <c r="D686" s="2420">
        <f>D687</f>
        <v>200000000</v>
      </c>
      <c r="E686" s="1089">
        <f>E687</f>
        <v>200000000</v>
      </c>
      <c r="F686" s="258"/>
      <c r="G686" s="2406">
        <f t="shared" ref="G686:G687" si="59">E686/D686*100</f>
        <v>100</v>
      </c>
      <c r="H686" s="101">
        <v>100</v>
      </c>
      <c r="I686" s="4881"/>
      <c r="J686" s="4882"/>
    </row>
    <row r="687" spans="1:10" ht="20.25" hidden="1" customHeight="1" x14ac:dyDescent="0.25">
      <c r="B687" s="1024"/>
      <c r="C687" s="82" t="s">
        <v>3274</v>
      </c>
      <c r="D687" s="201">
        <v>200000000</v>
      </c>
      <c r="E687" s="65">
        <v>200000000</v>
      </c>
      <c r="F687" s="65"/>
      <c r="G687" s="576">
        <f t="shared" si="59"/>
        <v>100</v>
      </c>
      <c r="H687" s="201">
        <v>100</v>
      </c>
      <c r="I687" s="4856"/>
      <c r="J687" s="4857"/>
    </row>
    <row r="688" spans="1:10" ht="12" hidden="1" customHeight="1" x14ac:dyDescent="0.25">
      <c r="B688" s="1024"/>
      <c r="C688" s="119"/>
      <c r="D688" s="2421"/>
      <c r="E688" s="959"/>
      <c r="F688" s="959"/>
      <c r="G688" s="184"/>
      <c r="H688" s="2176"/>
      <c r="I688" s="4856"/>
      <c r="J688" s="4857"/>
    </row>
    <row r="689" spans="1:12" ht="19.5" hidden="1" customHeight="1" x14ac:dyDescent="0.25">
      <c r="B689" s="1029"/>
      <c r="C689" s="89" t="s">
        <v>3276</v>
      </c>
      <c r="D689" s="131">
        <f>D690</f>
        <v>6000000000</v>
      </c>
      <c r="E689" s="131">
        <f>E690</f>
        <v>5702000000</v>
      </c>
      <c r="F689" s="131"/>
      <c r="G689" s="78">
        <f>E689/D689*100</f>
        <v>95.033333333333331</v>
      </c>
      <c r="H689" s="200">
        <f>H690</f>
        <v>95.35</v>
      </c>
      <c r="I689" s="4856"/>
      <c r="J689" s="4857"/>
    </row>
    <row r="690" spans="1:12" ht="18" hidden="1" customHeight="1" x14ac:dyDescent="0.25">
      <c r="B690" s="1024"/>
      <c r="C690" s="129" t="s">
        <v>3277</v>
      </c>
      <c r="D690" s="234">
        <f>SUM(D691:D692)</f>
        <v>6000000000</v>
      </c>
      <c r="E690" s="234">
        <f>SUM(E691:E692)</f>
        <v>5702000000</v>
      </c>
      <c r="F690" s="234"/>
      <c r="G690" s="2406">
        <f>E690/D690*100</f>
        <v>95.033333333333331</v>
      </c>
      <c r="H690" s="326">
        <f>SUM(H691:H692)/2</f>
        <v>95.35</v>
      </c>
      <c r="I690" s="4856"/>
      <c r="J690" s="4857"/>
    </row>
    <row r="691" spans="1:12" ht="20.25" hidden="1" customHeight="1" x14ac:dyDescent="0.25">
      <c r="B691" s="1024"/>
      <c r="C691" s="91" t="s">
        <v>3278</v>
      </c>
      <c r="D691" s="204">
        <v>3000000000</v>
      </c>
      <c r="E691" s="2411">
        <v>2702000000</v>
      </c>
      <c r="F691" s="2411"/>
      <c r="G691" s="2422">
        <f t="shared" ref="G691:G692" si="60">E691/D691*100</f>
        <v>90.066666666666663</v>
      </c>
      <c r="H691" s="201">
        <v>90.7</v>
      </c>
      <c r="I691" s="4856"/>
      <c r="J691" s="4857"/>
    </row>
    <row r="692" spans="1:12" ht="17.25" hidden="1" customHeight="1" x14ac:dyDescent="0.25">
      <c r="B692" s="1024"/>
      <c r="C692" s="1470" t="s">
        <v>3282</v>
      </c>
      <c r="D692" s="204">
        <v>3000000000</v>
      </c>
      <c r="E692" s="140">
        <v>3000000000</v>
      </c>
      <c r="F692" s="140"/>
      <c r="G692" s="576">
        <f t="shared" si="60"/>
        <v>100</v>
      </c>
      <c r="H692" s="140">
        <v>100</v>
      </c>
      <c r="I692" s="4856"/>
      <c r="J692" s="4857"/>
    </row>
    <row r="693" spans="1:12" ht="12" hidden="1" customHeight="1" x14ac:dyDescent="0.25">
      <c r="B693" s="1024"/>
      <c r="C693" s="103"/>
      <c r="D693" s="1935"/>
      <c r="E693" s="1935"/>
      <c r="F693" s="1935"/>
      <c r="G693" s="204"/>
      <c r="H693" s="1935"/>
      <c r="I693" s="4856"/>
      <c r="J693" s="4857"/>
    </row>
    <row r="694" spans="1:12" s="1" customFormat="1" ht="16.5" customHeight="1" x14ac:dyDescent="0.25">
      <c r="A694" s="1015"/>
      <c r="B694" s="2455"/>
      <c r="C694" s="422" t="s">
        <v>1801</v>
      </c>
      <c r="D694" s="2402">
        <f>SUM(D696+D793)</f>
        <v>43155020000</v>
      </c>
      <c r="E694" s="2402">
        <f>SUM(E696+E793)</f>
        <v>41489718301</v>
      </c>
      <c r="F694" s="1900">
        <f>D694-E694</f>
        <v>1665301699</v>
      </c>
      <c r="G694" s="424">
        <f>E694/D694*100</f>
        <v>96.141117072822581</v>
      </c>
      <c r="H694" s="424">
        <f>SUM(H696+H793)/2</f>
        <v>98.660711289062505</v>
      </c>
      <c r="I694" s="4872"/>
      <c r="J694" s="4763"/>
    </row>
    <row r="695" spans="1:12" s="1" customFormat="1" ht="7.5" hidden="1" customHeight="1" x14ac:dyDescent="0.25">
      <c r="A695" s="1015"/>
      <c r="B695" s="2461"/>
      <c r="C695" s="2423"/>
      <c r="D695" s="2424"/>
      <c r="E695" s="2424"/>
      <c r="F695" s="2424"/>
      <c r="G695" s="353"/>
      <c r="H695" s="353"/>
      <c r="I695" s="4880"/>
      <c r="J695" s="4763"/>
    </row>
    <row r="696" spans="1:12" ht="17.25" hidden="1" customHeight="1" x14ac:dyDescent="0.25">
      <c r="B696" s="2105"/>
      <c r="C696" s="369" t="s">
        <v>630</v>
      </c>
      <c r="D696" s="353">
        <f>SUM(D697+D703+D743+D749+D767+D772+D785)</f>
        <v>39496600000</v>
      </c>
      <c r="E696" s="353">
        <f>SUM(E697+E703+E743+E749+E767+E772+E785)</f>
        <v>37989718301</v>
      </c>
      <c r="F696" s="353"/>
      <c r="G696" s="131">
        <f>E696/D696*100</f>
        <v>96.184781224206645</v>
      </c>
      <c r="H696" s="2425">
        <f>SUM(H697,H703,H743,H749,H767,H772,H785)/7</f>
        <v>97.321422578124995</v>
      </c>
      <c r="I696" s="4856"/>
      <c r="J696" s="4857"/>
    </row>
    <row r="697" spans="1:12" ht="18" hidden="1" customHeight="1" x14ac:dyDescent="0.25">
      <c r="A697" s="999"/>
      <c r="B697" s="1024"/>
      <c r="C697" s="175" t="s">
        <v>1802</v>
      </c>
      <c r="D697" s="157">
        <f>SUM(D698:D701)</f>
        <v>1100000000</v>
      </c>
      <c r="E697" s="157">
        <f>SUM(E698:E701)</f>
        <v>1024050000</v>
      </c>
      <c r="F697" s="72"/>
      <c r="G697" s="490">
        <f>E697/D697*100</f>
        <v>93.095454545454544</v>
      </c>
      <c r="H697" s="72">
        <f>SUM(H698:H701)/4</f>
        <v>100</v>
      </c>
      <c r="I697" s="4637"/>
      <c r="J697" s="4890"/>
      <c r="K697" s="536"/>
      <c r="L697" s="536"/>
    </row>
    <row r="698" spans="1:12" ht="16.5" hidden="1" customHeight="1" x14ac:dyDescent="0.25">
      <c r="A698" s="999"/>
      <c r="B698" s="1024"/>
      <c r="C698" s="168" t="s">
        <v>1803</v>
      </c>
      <c r="D698" s="189">
        <v>350000000</v>
      </c>
      <c r="E698" s="189">
        <v>323950000</v>
      </c>
      <c r="F698" s="372"/>
      <c r="G698" s="372">
        <f t="shared" ref="G698:G761" si="61">E698/D698*100</f>
        <v>92.557142857142864</v>
      </c>
      <c r="H698" s="372">
        <v>100</v>
      </c>
      <c r="I698" s="4637"/>
      <c r="J698" s="4890"/>
      <c r="K698" s="536"/>
      <c r="L698" s="536"/>
    </row>
    <row r="699" spans="1:12" ht="16.5" hidden="1" customHeight="1" x14ac:dyDescent="0.25">
      <c r="A699" s="999"/>
      <c r="B699" s="1024"/>
      <c r="C699" s="168" t="s">
        <v>1804</v>
      </c>
      <c r="D699" s="73">
        <v>350000000</v>
      </c>
      <c r="E699" s="73">
        <v>323950000</v>
      </c>
      <c r="F699" s="194"/>
      <c r="G699" s="372">
        <f t="shared" si="61"/>
        <v>92.557142857142864</v>
      </c>
      <c r="H699" s="372">
        <v>100</v>
      </c>
      <c r="I699" s="4637"/>
      <c r="J699" s="4890"/>
      <c r="K699" s="536"/>
      <c r="L699" s="536"/>
    </row>
    <row r="700" spans="1:12" ht="18" hidden="1" customHeight="1" x14ac:dyDescent="0.25">
      <c r="A700" s="999"/>
      <c r="B700" s="1024"/>
      <c r="C700" s="168" t="s">
        <v>1805</v>
      </c>
      <c r="D700" s="73">
        <v>250000000</v>
      </c>
      <c r="E700" s="73">
        <v>230950000</v>
      </c>
      <c r="F700" s="194"/>
      <c r="G700" s="372">
        <f t="shared" si="61"/>
        <v>92.38</v>
      </c>
      <c r="H700" s="372">
        <v>100</v>
      </c>
      <c r="I700" s="4637"/>
      <c r="J700" s="4890"/>
      <c r="K700" s="536"/>
      <c r="L700" s="536"/>
    </row>
    <row r="701" spans="1:12" ht="17.25" hidden="1" customHeight="1" x14ac:dyDescent="0.25">
      <c r="A701" s="999"/>
      <c r="B701" s="1024"/>
      <c r="C701" s="168" t="s">
        <v>1806</v>
      </c>
      <c r="D701" s="73">
        <v>150000000</v>
      </c>
      <c r="E701" s="73">
        <v>145200000</v>
      </c>
      <c r="F701" s="194"/>
      <c r="G701" s="372">
        <f t="shared" si="61"/>
        <v>96.8</v>
      </c>
      <c r="H701" s="372">
        <v>100</v>
      </c>
      <c r="I701" s="4637"/>
      <c r="J701" s="4890"/>
      <c r="K701" s="536"/>
      <c r="L701" s="536"/>
    </row>
    <row r="702" spans="1:12" ht="12" hidden="1" customHeight="1" x14ac:dyDescent="0.25">
      <c r="A702" s="999"/>
      <c r="B702" s="1024"/>
      <c r="C702" s="168"/>
      <c r="D702" s="73"/>
      <c r="E702" s="73"/>
      <c r="F702" s="194"/>
      <c r="G702" s="372"/>
      <c r="H702" s="372"/>
      <c r="I702" s="4637"/>
      <c r="J702" s="4890"/>
      <c r="K702" s="536"/>
      <c r="L702" s="536"/>
    </row>
    <row r="703" spans="1:12" ht="17.25" hidden="1" customHeight="1" x14ac:dyDescent="0.25">
      <c r="A703" s="999"/>
      <c r="B703" s="1024"/>
      <c r="C703" s="175" t="s">
        <v>1807</v>
      </c>
      <c r="D703" s="157">
        <f>SUM(D704:D741)</f>
        <v>28494000000</v>
      </c>
      <c r="E703" s="157">
        <f>SUM(E704:E741)</f>
        <v>28092916895</v>
      </c>
      <c r="F703" s="72"/>
      <c r="G703" s="490">
        <f t="shared" si="61"/>
        <v>98.592394521653688</v>
      </c>
      <c r="H703" s="525">
        <f>SUM(H704:H741)/38</f>
        <v>100</v>
      </c>
      <c r="I703" s="4637"/>
      <c r="J703" s="4890"/>
      <c r="K703" s="536"/>
      <c r="L703" s="536"/>
    </row>
    <row r="704" spans="1:12" ht="19.5" hidden="1" customHeight="1" x14ac:dyDescent="0.25">
      <c r="A704" s="999"/>
      <c r="B704" s="1024"/>
      <c r="C704" s="168" t="s">
        <v>1808</v>
      </c>
      <c r="D704" s="189">
        <v>150000000</v>
      </c>
      <c r="E704" s="372">
        <v>149150000</v>
      </c>
      <c r="F704" s="372"/>
      <c r="G704" s="372">
        <f t="shared" si="61"/>
        <v>99.433333333333323</v>
      </c>
      <c r="H704" s="372">
        <v>100</v>
      </c>
      <c r="I704" s="4637"/>
      <c r="J704" s="4890"/>
      <c r="K704" s="536"/>
      <c r="L704" s="536"/>
    </row>
    <row r="705" spans="1:12" ht="18" hidden="1" customHeight="1" x14ac:dyDescent="0.25">
      <c r="A705" s="999"/>
      <c r="B705" s="1024"/>
      <c r="C705" s="168" t="s">
        <v>1809</v>
      </c>
      <c r="D705" s="189">
        <v>250000000</v>
      </c>
      <c r="E705" s="372">
        <v>243950000</v>
      </c>
      <c r="F705" s="372"/>
      <c r="G705" s="372">
        <f t="shared" si="61"/>
        <v>97.58</v>
      </c>
      <c r="H705" s="372">
        <v>100</v>
      </c>
      <c r="I705" s="4637"/>
      <c r="J705" s="4890"/>
      <c r="K705" s="536"/>
      <c r="L705" s="536"/>
    </row>
    <row r="706" spans="1:12" ht="18.75" hidden="1" customHeight="1" x14ac:dyDescent="0.25">
      <c r="A706" s="999"/>
      <c r="B706" s="1024"/>
      <c r="C706" s="168" t="s">
        <v>1810</v>
      </c>
      <c r="D706" s="189">
        <v>200000000</v>
      </c>
      <c r="E706" s="73">
        <v>200000000</v>
      </c>
      <c r="F706" s="194"/>
      <c r="G706" s="372">
        <f t="shared" si="61"/>
        <v>100</v>
      </c>
      <c r="H706" s="372">
        <v>100</v>
      </c>
      <c r="I706" s="4637"/>
      <c r="J706" s="4890"/>
      <c r="K706" s="536"/>
      <c r="L706" s="536"/>
    </row>
    <row r="707" spans="1:12" ht="14.25" hidden="1" customHeight="1" x14ac:dyDescent="0.25">
      <c r="A707" s="999"/>
      <c r="B707" s="1024"/>
      <c r="C707" s="168" t="s">
        <v>1811</v>
      </c>
      <c r="D707" s="189">
        <v>150000000</v>
      </c>
      <c r="E707" s="206">
        <v>149790400</v>
      </c>
      <c r="F707" s="4593"/>
      <c r="G707" s="372">
        <f t="shared" si="61"/>
        <v>99.860266666666661</v>
      </c>
      <c r="H707" s="372">
        <v>100</v>
      </c>
      <c r="I707" s="4637"/>
      <c r="J707" s="4890"/>
      <c r="K707" s="536"/>
      <c r="L707" s="536"/>
    </row>
    <row r="708" spans="1:12" ht="17.25" hidden="1" customHeight="1" x14ac:dyDescent="0.25">
      <c r="A708" s="999"/>
      <c r="B708" s="1024"/>
      <c r="C708" s="168" t="s">
        <v>1812</v>
      </c>
      <c r="D708" s="189">
        <v>200000000</v>
      </c>
      <c r="E708" s="73">
        <v>198326913</v>
      </c>
      <c r="F708" s="194"/>
      <c r="G708" s="372">
        <f t="shared" si="61"/>
        <v>99.163456499999995</v>
      </c>
      <c r="H708" s="372">
        <v>100</v>
      </c>
      <c r="I708" s="4637"/>
      <c r="J708" s="4890"/>
      <c r="K708" s="536"/>
      <c r="L708" s="536"/>
    </row>
    <row r="709" spans="1:12" ht="18.75" hidden="1" customHeight="1" x14ac:dyDescent="0.25">
      <c r="A709" s="999"/>
      <c r="B709" s="1024"/>
      <c r="C709" s="168" t="s">
        <v>1813</v>
      </c>
      <c r="D709" s="189">
        <v>1500000000</v>
      </c>
      <c r="E709" s="73">
        <v>1500000000</v>
      </c>
      <c r="F709" s="194"/>
      <c r="G709" s="372">
        <f t="shared" si="61"/>
        <v>100</v>
      </c>
      <c r="H709" s="372">
        <v>100</v>
      </c>
      <c r="I709" s="4637"/>
      <c r="J709" s="4890"/>
      <c r="K709" s="536"/>
      <c r="L709" s="536"/>
    </row>
    <row r="710" spans="1:12" ht="17.25" hidden="1" customHeight="1" x14ac:dyDescent="0.25">
      <c r="A710" s="999"/>
      <c r="B710" s="1024"/>
      <c r="C710" s="168" t="s">
        <v>1814</v>
      </c>
      <c r="D710" s="189">
        <v>500000000</v>
      </c>
      <c r="E710" s="73">
        <v>499850000</v>
      </c>
      <c r="F710" s="194"/>
      <c r="G710" s="372">
        <f t="shared" si="61"/>
        <v>99.97</v>
      </c>
      <c r="H710" s="372">
        <v>100</v>
      </c>
      <c r="I710" s="4637"/>
      <c r="J710" s="4890"/>
      <c r="K710" s="536"/>
      <c r="L710" s="536"/>
    </row>
    <row r="711" spans="1:12" ht="16.5" hidden="1" customHeight="1" x14ac:dyDescent="0.25">
      <c r="A711" s="999"/>
      <c r="B711" s="1024"/>
      <c r="C711" s="168" t="s">
        <v>1815</v>
      </c>
      <c r="D711" s="189">
        <v>5000000000</v>
      </c>
      <c r="E711" s="372">
        <v>5000000000</v>
      </c>
      <c r="F711" s="372"/>
      <c r="G711" s="372">
        <f t="shared" si="61"/>
        <v>100</v>
      </c>
      <c r="H711" s="372">
        <v>100</v>
      </c>
      <c r="I711" s="4637"/>
      <c r="J711" s="4890"/>
      <c r="K711" s="536"/>
      <c r="L711" s="536"/>
    </row>
    <row r="712" spans="1:12" ht="13.5" hidden="1" customHeight="1" x14ac:dyDescent="0.25">
      <c r="A712" s="999"/>
      <c r="B712" s="1024"/>
      <c r="C712" s="168" t="s">
        <v>1816</v>
      </c>
      <c r="D712" s="189">
        <v>500000000</v>
      </c>
      <c r="E712" s="372">
        <v>500000000</v>
      </c>
      <c r="F712" s="372"/>
      <c r="G712" s="372">
        <f t="shared" si="61"/>
        <v>100</v>
      </c>
      <c r="H712" s="372">
        <v>100</v>
      </c>
      <c r="I712" s="4637"/>
      <c r="J712" s="4890"/>
      <c r="K712" s="536"/>
      <c r="L712" s="536"/>
    </row>
    <row r="713" spans="1:12" ht="14.25" hidden="1" customHeight="1" x14ac:dyDescent="0.25">
      <c r="A713" s="999"/>
      <c r="B713" s="1024"/>
      <c r="C713" s="168" t="s">
        <v>5099</v>
      </c>
      <c r="D713" s="189">
        <v>500000000</v>
      </c>
      <c r="E713" s="372">
        <v>499750000</v>
      </c>
      <c r="F713" s="372"/>
      <c r="G713" s="372">
        <f t="shared" si="61"/>
        <v>99.95</v>
      </c>
      <c r="H713" s="372">
        <v>100</v>
      </c>
      <c r="I713" s="4637"/>
      <c r="J713" s="4890"/>
      <c r="K713" s="536"/>
      <c r="L713" s="536"/>
    </row>
    <row r="714" spans="1:12" ht="14.25" hidden="1" customHeight="1" x14ac:dyDescent="0.25">
      <c r="A714" s="999"/>
      <c r="B714" s="1024"/>
      <c r="C714" s="168" t="s">
        <v>5100</v>
      </c>
      <c r="D714" s="189">
        <v>1000000000</v>
      </c>
      <c r="E714" s="73">
        <v>787425800</v>
      </c>
      <c r="F714" s="194"/>
      <c r="G714" s="372">
        <f t="shared" si="61"/>
        <v>78.74257999999999</v>
      </c>
      <c r="H714" s="372">
        <v>100</v>
      </c>
      <c r="I714" s="4637"/>
      <c r="J714" s="4890"/>
      <c r="K714" s="536"/>
      <c r="L714" s="536"/>
    </row>
    <row r="715" spans="1:12" ht="14.25" hidden="1" customHeight="1" x14ac:dyDescent="0.25">
      <c r="A715" s="999"/>
      <c r="B715" s="1024"/>
      <c r="C715" s="168" t="s">
        <v>5101</v>
      </c>
      <c r="D715" s="189">
        <v>10000000000</v>
      </c>
      <c r="E715" s="73">
        <v>10000000000</v>
      </c>
      <c r="F715" s="194"/>
      <c r="G715" s="372">
        <f t="shared" si="61"/>
        <v>100</v>
      </c>
      <c r="H715" s="372">
        <v>100</v>
      </c>
      <c r="I715" s="4637"/>
      <c r="J715" s="4890"/>
      <c r="K715" s="536"/>
      <c r="L715" s="536"/>
    </row>
    <row r="716" spans="1:12" ht="15" hidden="1" customHeight="1" x14ac:dyDescent="0.25">
      <c r="A716" s="999"/>
      <c r="B716" s="1024"/>
      <c r="C716" s="168" t="s">
        <v>5102</v>
      </c>
      <c r="D716" s="189">
        <v>300000000</v>
      </c>
      <c r="E716" s="73">
        <v>297272690</v>
      </c>
      <c r="F716" s="194"/>
      <c r="G716" s="372">
        <f t="shared" si="61"/>
        <v>99.090896666666666</v>
      </c>
      <c r="H716" s="372">
        <v>100</v>
      </c>
      <c r="I716" s="4637"/>
      <c r="J716" s="4890"/>
      <c r="K716" s="536"/>
      <c r="L716" s="536"/>
    </row>
    <row r="717" spans="1:12" ht="14.25" hidden="1" customHeight="1" x14ac:dyDescent="0.25">
      <c r="A717" s="999"/>
      <c r="B717" s="1024"/>
      <c r="C717" s="168" t="s">
        <v>5103</v>
      </c>
      <c r="D717" s="189">
        <v>500000000</v>
      </c>
      <c r="E717" s="73">
        <v>472592496</v>
      </c>
      <c r="F717" s="194"/>
      <c r="G717" s="372">
        <f t="shared" si="61"/>
        <v>94.518499199999994</v>
      </c>
      <c r="H717" s="372">
        <v>100</v>
      </c>
      <c r="I717" s="4637"/>
      <c r="J717" s="4890"/>
      <c r="K717" s="536"/>
      <c r="L717" s="536"/>
    </row>
    <row r="718" spans="1:12" ht="17.25" hidden="1" customHeight="1" x14ac:dyDescent="0.25">
      <c r="A718" s="999"/>
      <c r="B718" s="1024"/>
      <c r="C718" s="168" t="s">
        <v>5104</v>
      </c>
      <c r="D718" s="189">
        <v>500000000</v>
      </c>
      <c r="E718" s="73">
        <v>480093996</v>
      </c>
      <c r="F718" s="194"/>
      <c r="G718" s="372">
        <f t="shared" si="61"/>
        <v>96.018799200000004</v>
      </c>
      <c r="H718" s="372">
        <v>100</v>
      </c>
      <c r="I718" s="4637"/>
      <c r="J718" s="4890"/>
      <c r="K718" s="536"/>
      <c r="L718" s="536"/>
    </row>
    <row r="719" spans="1:12" ht="13.5" hidden="1" customHeight="1" x14ac:dyDescent="0.25">
      <c r="A719" s="999"/>
      <c r="B719" s="1024"/>
      <c r="C719" s="168" t="s">
        <v>5105</v>
      </c>
      <c r="D719" s="189">
        <v>634000000</v>
      </c>
      <c r="E719" s="73">
        <v>597764600</v>
      </c>
      <c r="F719" s="194"/>
      <c r="G719" s="372">
        <f t="shared" si="61"/>
        <v>94.284637223974769</v>
      </c>
      <c r="H719" s="372">
        <v>100</v>
      </c>
      <c r="I719" s="4637"/>
      <c r="J719" s="4890"/>
      <c r="K719" s="536"/>
      <c r="L719" s="536"/>
    </row>
    <row r="720" spans="1:12" ht="17.25" hidden="1" customHeight="1" x14ac:dyDescent="0.25">
      <c r="A720" s="999"/>
      <c r="B720" s="1024"/>
      <c r="C720" s="168" t="s">
        <v>5106</v>
      </c>
      <c r="D720" s="189">
        <v>600000000</v>
      </c>
      <c r="E720" s="368">
        <v>597250000</v>
      </c>
      <c r="F720" s="893"/>
      <c r="G720" s="372">
        <f t="shared" si="61"/>
        <v>99.541666666666657</v>
      </c>
      <c r="H720" s="372">
        <v>100</v>
      </c>
      <c r="I720" s="4637"/>
      <c r="J720" s="4890"/>
      <c r="K720" s="536"/>
      <c r="L720" s="536"/>
    </row>
    <row r="721" spans="1:12" ht="15" hidden="1" customHeight="1" x14ac:dyDescent="0.25">
      <c r="A721" s="999"/>
      <c r="B721" s="1024"/>
      <c r="C721" s="168" t="s">
        <v>5107</v>
      </c>
      <c r="D721" s="189">
        <v>600000000</v>
      </c>
      <c r="E721" s="368">
        <v>598250000</v>
      </c>
      <c r="F721" s="893"/>
      <c r="G721" s="372">
        <f t="shared" si="61"/>
        <v>99.708333333333329</v>
      </c>
      <c r="H721" s="372">
        <v>100</v>
      </c>
      <c r="I721" s="4637"/>
      <c r="J721" s="4890"/>
      <c r="K721" s="536"/>
      <c r="L721" s="536"/>
    </row>
    <row r="722" spans="1:12" ht="14.25" hidden="1" customHeight="1" x14ac:dyDescent="0.25">
      <c r="A722" s="999"/>
      <c r="B722" s="1024"/>
      <c r="C722" s="168" t="s">
        <v>5108</v>
      </c>
      <c r="D722" s="189">
        <v>600000000</v>
      </c>
      <c r="E722" s="368">
        <v>598250000</v>
      </c>
      <c r="F722" s="893"/>
      <c r="G722" s="372">
        <f t="shared" si="61"/>
        <v>99.708333333333329</v>
      </c>
      <c r="H722" s="372">
        <v>100</v>
      </c>
      <c r="I722" s="4637"/>
      <c r="J722" s="4890"/>
      <c r="K722" s="536"/>
      <c r="L722" s="536"/>
    </row>
    <row r="723" spans="1:12" ht="15.75" hidden="1" customHeight="1" x14ac:dyDescent="0.25">
      <c r="A723" s="999"/>
      <c r="B723" s="1024"/>
      <c r="C723" s="168" t="s">
        <v>5109</v>
      </c>
      <c r="D723" s="189">
        <v>500000000</v>
      </c>
      <c r="E723" s="368">
        <v>497250000</v>
      </c>
      <c r="F723" s="893"/>
      <c r="G723" s="372">
        <f t="shared" si="61"/>
        <v>99.45</v>
      </c>
      <c r="H723" s="372">
        <v>100</v>
      </c>
      <c r="I723" s="4637"/>
      <c r="J723" s="4890"/>
      <c r="K723" s="536"/>
      <c r="L723" s="536"/>
    </row>
    <row r="724" spans="1:12" ht="17.25" hidden="1" customHeight="1" x14ac:dyDescent="0.25">
      <c r="A724" s="999"/>
      <c r="B724" s="1024"/>
      <c r="C724" s="168" t="s">
        <v>5110</v>
      </c>
      <c r="D724" s="189">
        <v>200000000</v>
      </c>
      <c r="E724" s="368">
        <v>194350000</v>
      </c>
      <c r="F724" s="893"/>
      <c r="G724" s="372">
        <f t="shared" si="61"/>
        <v>97.174999999999997</v>
      </c>
      <c r="H724" s="372">
        <v>100</v>
      </c>
      <c r="I724" s="4637"/>
      <c r="J724" s="4890"/>
      <c r="K724" s="536"/>
      <c r="L724" s="536"/>
    </row>
    <row r="725" spans="1:12" ht="20.25" hidden="1" customHeight="1" x14ac:dyDescent="0.25">
      <c r="A725" s="999"/>
      <c r="B725" s="1024"/>
      <c r="C725" s="168" t="s">
        <v>5111</v>
      </c>
      <c r="D725" s="189">
        <v>210000000</v>
      </c>
      <c r="E725" s="368">
        <v>200000000</v>
      </c>
      <c r="F725" s="893"/>
      <c r="G725" s="372">
        <f t="shared" si="61"/>
        <v>95.238095238095227</v>
      </c>
      <c r="H725" s="372">
        <v>100</v>
      </c>
      <c r="I725" s="4637"/>
      <c r="J725" s="4890"/>
      <c r="K725" s="536"/>
      <c r="L725" s="536"/>
    </row>
    <row r="726" spans="1:12" ht="17.25" hidden="1" customHeight="1" x14ac:dyDescent="0.25">
      <c r="A726" s="999"/>
      <c r="B726" s="1024"/>
      <c r="C726" s="168" t="s">
        <v>5112</v>
      </c>
      <c r="D726" s="189">
        <v>250000000</v>
      </c>
      <c r="E726" s="73">
        <v>247450000</v>
      </c>
      <c r="F726" s="194"/>
      <c r="G726" s="372">
        <f t="shared" si="61"/>
        <v>98.98</v>
      </c>
      <c r="H726" s="372">
        <v>100</v>
      </c>
      <c r="I726" s="4637"/>
      <c r="J726" s="4890"/>
      <c r="K726" s="536"/>
      <c r="L726" s="536"/>
    </row>
    <row r="727" spans="1:12" ht="19.5" hidden="1" customHeight="1" x14ac:dyDescent="0.25">
      <c r="A727" s="999"/>
      <c r="B727" s="1024"/>
      <c r="C727" s="168" t="s">
        <v>5113</v>
      </c>
      <c r="D727" s="189">
        <v>450000000</v>
      </c>
      <c r="E727" s="73">
        <v>448450000</v>
      </c>
      <c r="F727" s="194"/>
      <c r="G727" s="372">
        <f t="shared" si="61"/>
        <v>99.655555555555551</v>
      </c>
      <c r="H727" s="372">
        <v>100</v>
      </c>
      <c r="I727" s="4637"/>
      <c r="J727" s="4890"/>
      <c r="K727" s="536"/>
      <c r="L727" s="536"/>
    </row>
    <row r="728" spans="1:12" ht="18.75" hidden="1" customHeight="1" x14ac:dyDescent="0.25">
      <c r="A728" s="999"/>
      <c r="B728" s="1024"/>
      <c r="C728" s="168" t="s">
        <v>5114</v>
      </c>
      <c r="D728" s="189">
        <v>450000000</v>
      </c>
      <c r="E728" s="206">
        <v>448450000</v>
      </c>
      <c r="F728" s="4593"/>
      <c r="G728" s="372">
        <f t="shared" si="61"/>
        <v>99.655555555555551</v>
      </c>
      <c r="H728" s="372">
        <v>100</v>
      </c>
      <c r="I728" s="4637"/>
      <c r="J728" s="4890"/>
      <c r="K728" s="536"/>
      <c r="L728" s="536"/>
    </row>
    <row r="729" spans="1:12" ht="18" hidden="1" customHeight="1" x14ac:dyDescent="0.25">
      <c r="A729" s="999"/>
      <c r="B729" s="1024"/>
      <c r="C729" s="168" t="s">
        <v>5115</v>
      </c>
      <c r="D729" s="189">
        <v>300000000</v>
      </c>
      <c r="E729" s="368">
        <v>299450000</v>
      </c>
      <c r="F729" s="893"/>
      <c r="G729" s="372">
        <f t="shared" si="61"/>
        <v>99.816666666666663</v>
      </c>
      <c r="H729" s="372">
        <v>100</v>
      </c>
      <c r="I729" s="4637"/>
      <c r="J729" s="4890"/>
      <c r="K729" s="536"/>
      <c r="L729" s="536"/>
    </row>
    <row r="730" spans="1:12" ht="20.25" hidden="1" customHeight="1" x14ac:dyDescent="0.25">
      <c r="A730" s="999"/>
      <c r="B730" s="1024"/>
      <c r="C730" s="168" t="s">
        <v>5116</v>
      </c>
      <c r="D730" s="73">
        <v>200000000</v>
      </c>
      <c r="E730" s="368">
        <v>198350000</v>
      </c>
      <c r="F730" s="893"/>
      <c r="G730" s="372">
        <f t="shared" si="61"/>
        <v>99.174999999999997</v>
      </c>
      <c r="H730" s="372">
        <v>100</v>
      </c>
      <c r="I730" s="4637"/>
      <c r="J730" s="4890"/>
      <c r="K730" s="536"/>
      <c r="L730" s="536"/>
    </row>
    <row r="731" spans="1:12" ht="16.5" hidden="1" customHeight="1" x14ac:dyDescent="0.25">
      <c r="A731" s="999"/>
      <c r="B731" s="1024"/>
      <c r="C731" s="168" t="s">
        <v>5117</v>
      </c>
      <c r="D731" s="73">
        <v>150000000</v>
      </c>
      <c r="E731" s="368">
        <v>148650000</v>
      </c>
      <c r="F731" s="893"/>
      <c r="G731" s="372">
        <f t="shared" si="61"/>
        <v>99.1</v>
      </c>
      <c r="H731" s="372">
        <v>100</v>
      </c>
      <c r="I731" s="4637"/>
      <c r="J731" s="4890"/>
      <c r="K731" s="536"/>
      <c r="L731" s="536"/>
    </row>
    <row r="732" spans="1:12" ht="16.5" hidden="1" customHeight="1" x14ac:dyDescent="0.25">
      <c r="A732" s="999"/>
      <c r="B732" s="1024"/>
      <c r="C732" s="168" t="s">
        <v>5118</v>
      </c>
      <c r="D732" s="73">
        <v>150000000</v>
      </c>
      <c r="E732" s="368">
        <v>141750000</v>
      </c>
      <c r="F732" s="893"/>
      <c r="G732" s="372">
        <f t="shared" si="61"/>
        <v>94.5</v>
      </c>
      <c r="H732" s="372">
        <v>100</v>
      </c>
      <c r="I732" s="4637"/>
      <c r="J732" s="4890"/>
      <c r="K732" s="536"/>
      <c r="L732" s="536"/>
    </row>
    <row r="733" spans="1:12" ht="15.75" hidden="1" customHeight="1" x14ac:dyDescent="0.25">
      <c r="A733" s="999"/>
      <c r="B733" s="1024"/>
      <c r="C733" s="168" t="s">
        <v>5119</v>
      </c>
      <c r="D733" s="73">
        <v>250000000</v>
      </c>
      <c r="E733" s="368">
        <v>237650000</v>
      </c>
      <c r="F733" s="893"/>
      <c r="G733" s="372">
        <f t="shared" si="61"/>
        <v>95.06</v>
      </c>
      <c r="H733" s="372">
        <v>100</v>
      </c>
      <c r="I733" s="4637"/>
      <c r="J733" s="4890"/>
      <c r="K733" s="536"/>
      <c r="L733" s="536"/>
    </row>
    <row r="734" spans="1:12" ht="18" hidden="1" customHeight="1" x14ac:dyDescent="0.25">
      <c r="A734" s="999"/>
      <c r="B734" s="1024"/>
      <c r="C734" s="168" t="s">
        <v>5120</v>
      </c>
      <c r="D734" s="73">
        <v>250000000</v>
      </c>
      <c r="E734" s="368">
        <v>239850000</v>
      </c>
      <c r="F734" s="893"/>
      <c r="G734" s="372">
        <f t="shared" si="61"/>
        <v>95.94</v>
      </c>
      <c r="H734" s="372">
        <v>100</v>
      </c>
      <c r="I734" s="4637"/>
      <c r="J734" s="4890"/>
      <c r="K734" s="536"/>
      <c r="L734" s="536"/>
    </row>
    <row r="735" spans="1:12" ht="15.75" hidden="1" customHeight="1" x14ac:dyDescent="0.25">
      <c r="A735" s="999"/>
      <c r="B735" s="1024"/>
      <c r="C735" s="168" t="s">
        <v>5121</v>
      </c>
      <c r="D735" s="73">
        <v>200000000</v>
      </c>
      <c r="E735" s="368">
        <v>197850000</v>
      </c>
      <c r="F735" s="893"/>
      <c r="G735" s="372">
        <f t="shared" si="61"/>
        <v>98.924999999999997</v>
      </c>
      <c r="H735" s="372">
        <v>100</v>
      </c>
      <c r="I735" s="4637"/>
      <c r="J735" s="4890"/>
      <c r="K735" s="536"/>
      <c r="L735" s="536"/>
    </row>
    <row r="736" spans="1:12" ht="18" hidden="1" customHeight="1" x14ac:dyDescent="0.25">
      <c r="A736" s="999"/>
      <c r="B736" s="1024"/>
      <c r="C736" s="168" t="s">
        <v>5122</v>
      </c>
      <c r="D736" s="73">
        <v>150000000</v>
      </c>
      <c r="E736" s="368">
        <v>137350000</v>
      </c>
      <c r="F736" s="893"/>
      <c r="G736" s="372">
        <f t="shared" si="61"/>
        <v>91.566666666666663</v>
      </c>
      <c r="H736" s="372">
        <v>100</v>
      </c>
      <c r="I736" s="4637"/>
      <c r="J736" s="4890"/>
      <c r="K736" s="536"/>
      <c r="L736" s="536"/>
    </row>
    <row r="737" spans="1:12" ht="18" hidden="1" customHeight="1" x14ac:dyDescent="0.25">
      <c r="A737" s="999"/>
      <c r="B737" s="1024"/>
      <c r="C737" s="168" t="s">
        <v>5123</v>
      </c>
      <c r="D737" s="73">
        <v>150000000</v>
      </c>
      <c r="E737" s="368">
        <v>148050000</v>
      </c>
      <c r="F737" s="893"/>
      <c r="G737" s="372">
        <f t="shared" si="61"/>
        <v>98.7</v>
      </c>
      <c r="H737" s="372">
        <v>100</v>
      </c>
      <c r="I737" s="4637"/>
      <c r="J737" s="4890"/>
      <c r="K737" s="536"/>
      <c r="L737" s="536"/>
    </row>
    <row r="738" spans="1:12" ht="17.25" hidden="1" customHeight="1" x14ac:dyDescent="0.25">
      <c r="A738" s="999"/>
      <c r="B738" s="1024"/>
      <c r="C738" s="168" t="s">
        <v>5124</v>
      </c>
      <c r="D738" s="73">
        <v>200000000</v>
      </c>
      <c r="E738" s="368">
        <v>197450000</v>
      </c>
      <c r="F738" s="893"/>
      <c r="G738" s="372">
        <f t="shared" si="61"/>
        <v>98.724999999999994</v>
      </c>
      <c r="H738" s="372">
        <v>100</v>
      </c>
      <c r="I738" s="4637"/>
      <c r="J738" s="4890"/>
      <c r="K738" s="536"/>
      <c r="L738" s="536"/>
    </row>
    <row r="739" spans="1:12" ht="20.25" hidden="1" customHeight="1" x14ac:dyDescent="0.25">
      <c r="A739" s="999"/>
      <c r="B739" s="1024"/>
      <c r="C739" s="168" t="s">
        <v>5125</v>
      </c>
      <c r="D739" s="73">
        <v>200000000</v>
      </c>
      <c r="E739" s="368">
        <v>196950000</v>
      </c>
      <c r="F739" s="893"/>
      <c r="G739" s="372">
        <f t="shared" si="61"/>
        <v>98.474999999999994</v>
      </c>
      <c r="H739" s="372">
        <v>100</v>
      </c>
      <c r="I739" s="4637"/>
      <c r="J739" s="4890"/>
      <c r="K739" s="536"/>
      <c r="L739" s="536"/>
    </row>
    <row r="740" spans="1:12" ht="18" hidden="1" customHeight="1" x14ac:dyDescent="0.25">
      <c r="A740" s="999"/>
      <c r="B740" s="1024"/>
      <c r="C740" s="168" t="s">
        <v>5126</v>
      </c>
      <c r="D740" s="73">
        <v>250000000</v>
      </c>
      <c r="E740" s="368">
        <v>246950000</v>
      </c>
      <c r="F740" s="893"/>
      <c r="G740" s="372">
        <f t="shared" si="61"/>
        <v>98.78</v>
      </c>
      <c r="H740" s="372">
        <v>100</v>
      </c>
      <c r="I740" s="4637"/>
      <c r="J740" s="4890"/>
      <c r="K740" s="536"/>
      <c r="L740" s="536"/>
    </row>
    <row r="741" spans="1:12" ht="16.5" hidden="1" customHeight="1" x14ac:dyDescent="0.25">
      <c r="A741" s="999"/>
      <c r="B741" s="1024"/>
      <c r="C741" s="168" t="s">
        <v>5127</v>
      </c>
      <c r="D741" s="73">
        <v>300000000</v>
      </c>
      <c r="E741" s="368">
        <v>296950000</v>
      </c>
      <c r="F741" s="893"/>
      <c r="G741" s="372">
        <f t="shared" si="61"/>
        <v>98.983333333333334</v>
      </c>
      <c r="H741" s="372">
        <v>100</v>
      </c>
      <c r="I741" s="4637"/>
      <c r="J741" s="4890"/>
      <c r="K741" s="536"/>
      <c r="L741" s="536"/>
    </row>
    <row r="742" spans="1:12" ht="12" hidden="1" customHeight="1" x14ac:dyDescent="0.25">
      <c r="A742" s="999"/>
      <c r="B742" s="1024"/>
      <c r="C742" s="168"/>
      <c r="D742" s="73"/>
      <c r="E742" s="368"/>
      <c r="F742" s="893"/>
      <c r="G742" s="372"/>
      <c r="H742" s="140"/>
      <c r="I742" s="4637"/>
      <c r="J742" s="4890"/>
      <c r="K742" s="536"/>
      <c r="L742" s="536"/>
    </row>
    <row r="743" spans="1:12" ht="13.5" hidden="1" customHeight="1" x14ac:dyDescent="0.25">
      <c r="A743" s="999"/>
      <c r="B743" s="1024"/>
      <c r="C743" s="175" t="s">
        <v>1846</v>
      </c>
      <c r="D743" s="157">
        <f>SUM(D744:D747)</f>
        <v>650000000</v>
      </c>
      <c r="E743" s="157">
        <f>SUM(E744:E747)</f>
        <v>649130600</v>
      </c>
      <c r="F743" s="72"/>
      <c r="G743" s="490">
        <f t="shared" si="61"/>
        <v>99.866246153846149</v>
      </c>
      <c r="H743" s="157">
        <f>SUM(H744:H747)/4</f>
        <v>100</v>
      </c>
      <c r="I743" s="4637"/>
      <c r="J743" s="4890"/>
      <c r="K743" s="536"/>
      <c r="L743" s="536"/>
    </row>
    <row r="744" spans="1:12" ht="18.75" hidden="1" customHeight="1" x14ac:dyDescent="0.25">
      <c r="A744" s="999"/>
      <c r="B744" s="1024"/>
      <c r="C744" s="168" t="s">
        <v>1847</v>
      </c>
      <c r="D744" s="189">
        <v>200000000</v>
      </c>
      <c r="E744" s="73">
        <v>199950000</v>
      </c>
      <c r="F744" s="194"/>
      <c r="G744" s="372">
        <f t="shared" si="61"/>
        <v>99.975000000000009</v>
      </c>
      <c r="H744" s="73">
        <v>100</v>
      </c>
      <c r="I744" s="4637"/>
      <c r="J744" s="4890"/>
      <c r="K744" s="536"/>
      <c r="L744" s="536"/>
    </row>
    <row r="745" spans="1:12" ht="15.75" hidden="1" customHeight="1" x14ac:dyDescent="0.25">
      <c r="A745" s="999"/>
      <c r="B745" s="1024"/>
      <c r="C745" s="168" t="s">
        <v>1848</v>
      </c>
      <c r="D745" s="73">
        <v>100000000</v>
      </c>
      <c r="E745" s="368">
        <v>99992100</v>
      </c>
      <c r="F745" s="893"/>
      <c r="G745" s="372">
        <f t="shared" si="61"/>
        <v>99.992099999999994</v>
      </c>
      <c r="H745" s="140">
        <v>100</v>
      </c>
      <c r="I745" s="4637"/>
      <c r="J745" s="4890"/>
      <c r="K745" s="536"/>
      <c r="L745" s="536"/>
    </row>
    <row r="746" spans="1:12" ht="18.75" hidden="1" customHeight="1" x14ac:dyDescent="0.25">
      <c r="A746" s="999"/>
      <c r="B746" s="1024"/>
      <c r="C746" s="168" t="s">
        <v>1849</v>
      </c>
      <c r="D746" s="73">
        <v>200000000</v>
      </c>
      <c r="E746" s="368">
        <v>199200000</v>
      </c>
      <c r="F746" s="893"/>
      <c r="G746" s="372">
        <f t="shared" si="61"/>
        <v>99.6</v>
      </c>
      <c r="H746" s="140">
        <v>100</v>
      </c>
      <c r="I746" s="4637"/>
      <c r="J746" s="4890"/>
      <c r="K746" s="536"/>
      <c r="L746" s="536"/>
    </row>
    <row r="747" spans="1:12" ht="17.25" hidden="1" customHeight="1" x14ac:dyDescent="0.25">
      <c r="A747" s="999"/>
      <c r="B747" s="1024"/>
      <c r="C747" s="168" t="s">
        <v>1850</v>
      </c>
      <c r="D747" s="73">
        <v>150000000</v>
      </c>
      <c r="E747" s="368">
        <v>149988500</v>
      </c>
      <c r="F747" s="893"/>
      <c r="G747" s="372">
        <f t="shared" si="61"/>
        <v>99.992333333333335</v>
      </c>
      <c r="H747" s="140">
        <v>100</v>
      </c>
      <c r="I747" s="4637"/>
      <c r="J747" s="4890"/>
      <c r="K747" s="536"/>
      <c r="L747" s="536"/>
    </row>
    <row r="748" spans="1:12" ht="9" hidden="1" customHeight="1" x14ac:dyDescent="0.25">
      <c r="A748" s="999"/>
      <c r="B748" s="1024"/>
      <c r="C748" s="168"/>
      <c r="D748" s="73"/>
      <c r="E748" s="73"/>
      <c r="F748" s="194"/>
      <c r="G748" s="372"/>
      <c r="H748" s="73"/>
      <c r="I748" s="4637"/>
      <c r="J748" s="4890"/>
      <c r="K748" s="536"/>
      <c r="L748" s="536"/>
    </row>
    <row r="749" spans="1:12" ht="15.75" hidden="1" customHeight="1" x14ac:dyDescent="0.25">
      <c r="A749" s="999"/>
      <c r="B749" s="1024"/>
      <c r="C749" s="175" t="s">
        <v>1851</v>
      </c>
      <c r="D749" s="157">
        <f>SUM(D750:D765)</f>
        <v>3752600000</v>
      </c>
      <c r="E749" s="157">
        <f>SUM(E750:E765)</f>
        <v>2869507172</v>
      </c>
      <c r="F749" s="72"/>
      <c r="G749" s="490">
        <f t="shared" si="61"/>
        <v>76.467174012684538</v>
      </c>
      <c r="H749" s="157">
        <f>SUM(H750:H765)/16</f>
        <v>81.249958046875008</v>
      </c>
      <c r="I749" s="4637"/>
      <c r="J749" s="4890"/>
      <c r="K749" s="536"/>
      <c r="L749" s="536"/>
    </row>
    <row r="750" spans="1:12" ht="17.25" hidden="1" customHeight="1" x14ac:dyDescent="0.25">
      <c r="A750" s="999"/>
      <c r="B750" s="1024"/>
      <c r="C750" s="168" t="s">
        <v>1852</v>
      </c>
      <c r="D750" s="206">
        <v>250000000</v>
      </c>
      <c r="E750" s="206">
        <v>246502300</v>
      </c>
      <c r="F750" s="4593"/>
      <c r="G750" s="372">
        <f t="shared" si="61"/>
        <v>98.600920000000002</v>
      </c>
      <c r="H750" s="206">
        <v>100</v>
      </c>
      <c r="I750" s="4637"/>
      <c r="J750" s="4890"/>
      <c r="K750" s="536"/>
      <c r="L750" s="536"/>
    </row>
    <row r="751" spans="1:12" ht="14.25" hidden="1" customHeight="1" x14ac:dyDescent="0.25">
      <c r="A751" s="999"/>
      <c r="B751" s="1024"/>
      <c r="C751" s="168" t="s">
        <v>1853</v>
      </c>
      <c r="D751" s="206">
        <v>200000000</v>
      </c>
      <c r="E751" s="206">
        <v>190600000</v>
      </c>
      <c r="F751" s="4593"/>
      <c r="G751" s="372">
        <f t="shared" si="61"/>
        <v>95.3</v>
      </c>
      <c r="H751" s="206">
        <v>100</v>
      </c>
      <c r="I751" s="4637"/>
      <c r="J751" s="4890"/>
      <c r="K751" s="536"/>
      <c r="L751" s="536"/>
    </row>
    <row r="752" spans="1:12" ht="17.25" hidden="1" customHeight="1" x14ac:dyDescent="0.25">
      <c r="A752" s="999"/>
      <c r="B752" s="1024"/>
      <c r="C752" s="168" t="s">
        <v>1854</v>
      </c>
      <c r="D752" s="206">
        <v>250000000</v>
      </c>
      <c r="E752" s="206">
        <v>235225963</v>
      </c>
      <c r="F752" s="4593"/>
      <c r="G752" s="372">
        <f t="shared" si="61"/>
        <v>94.0903852</v>
      </c>
      <c r="H752" s="149">
        <v>100</v>
      </c>
      <c r="I752" s="4637"/>
      <c r="J752" s="4890"/>
      <c r="K752" s="536"/>
      <c r="L752" s="536"/>
    </row>
    <row r="753" spans="1:12" ht="14.25" hidden="1" customHeight="1" x14ac:dyDescent="0.25">
      <c r="A753" s="999"/>
      <c r="B753" s="1024"/>
      <c r="C753" s="168" t="s">
        <v>1855</v>
      </c>
      <c r="D753" s="206">
        <v>350000000</v>
      </c>
      <c r="E753" s="206">
        <v>0</v>
      </c>
      <c r="F753" s="4593"/>
      <c r="G753" s="372">
        <f t="shared" si="61"/>
        <v>0</v>
      </c>
      <c r="H753" s="372">
        <v>0</v>
      </c>
      <c r="I753" s="4637"/>
      <c r="J753" s="4890"/>
      <c r="K753" s="536"/>
      <c r="L753" s="536"/>
    </row>
    <row r="754" spans="1:12" ht="18.75" hidden="1" customHeight="1" x14ac:dyDescent="0.25">
      <c r="A754" s="999"/>
      <c r="B754" s="1024"/>
      <c r="C754" s="168" t="s">
        <v>1856</v>
      </c>
      <c r="D754" s="73">
        <v>200000000</v>
      </c>
      <c r="E754" s="368">
        <v>0</v>
      </c>
      <c r="F754" s="893"/>
      <c r="G754" s="372">
        <f t="shared" si="61"/>
        <v>0</v>
      </c>
      <c r="H754" s="140">
        <v>0</v>
      </c>
      <c r="I754" s="4637"/>
      <c r="J754" s="4890"/>
      <c r="K754" s="536"/>
      <c r="L754" s="536"/>
    </row>
    <row r="755" spans="1:12" ht="17.25" hidden="1" customHeight="1" x14ac:dyDescent="0.25">
      <c r="A755" s="999"/>
      <c r="B755" s="1024"/>
      <c r="C755" s="168" t="s">
        <v>1857</v>
      </c>
      <c r="D755" s="189">
        <v>200000000</v>
      </c>
      <c r="E755" s="73">
        <v>196330000</v>
      </c>
      <c r="F755" s="194"/>
      <c r="G755" s="372">
        <f t="shared" si="61"/>
        <v>98.165000000000006</v>
      </c>
      <c r="H755" s="73">
        <v>100</v>
      </c>
      <c r="I755" s="4637"/>
      <c r="J755" s="4890"/>
      <c r="K755" s="536"/>
      <c r="L755" s="536"/>
    </row>
    <row r="756" spans="1:12" ht="18.75" hidden="1" customHeight="1" x14ac:dyDescent="0.25">
      <c r="A756" s="999"/>
      <c r="B756" s="1024"/>
      <c r="C756" s="168" t="s">
        <v>1858</v>
      </c>
      <c r="D756" s="189">
        <v>300000000</v>
      </c>
      <c r="E756" s="368">
        <v>0</v>
      </c>
      <c r="F756" s="893"/>
      <c r="G756" s="372">
        <f t="shared" si="61"/>
        <v>0</v>
      </c>
      <c r="H756" s="368">
        <v>0</v>
      </c>
      <c r="I756" s="4637"/>
      <c r="J756" s="4890"/>
      <c r="K756" s="536"/>
      <c r="L756" s="536"/>
    </row>
    <row r="757" spans="1:12" ht="14.25" hidden="1" customHeight="1" x14ac:dyDescent="0.25">
      <c r="A757" s="999"/>
      <c r="B757" s="1024"/>
      <c r="C757" s="168" t="s">
        <v>1859</v>
      </c>
      <c r="D757" s="206">
        <v>250000000</v>
      </c>
      <c r="E757" s="206">
        <v>249750000</v>
      </c>
      <c r="F757" s="4593"/>
      <c r="G757" s="372">
        <f t="shared" si="61"/>
        <v>99.9</v>
      </c>
      <c r="H757" s="206">
        <v>100</v>
      </c>
      <c r="I757" s="4637"/>
      <c r="J757" s="4890"/>
      <c r="K757" s="536"/>
      <c r="L757" s="536"/>
    </row>
    <row r="758" spans="1:12" ht="22.5" hidden="1" customHeight="1" x14ac:dyDescent="0.25">
      <c r="A758" s="999"/>
      <c r="B758" s="1993"/>
      <c r="C758" s="168" t="s">
        <v>1860</v>
      </c>
      <c r="D758" s="206">
        <v>400000000</v>
      </c>
      <c r="E758" s="206">
        <v>399997315</v>
      </c>
      <c r="F758" s="4593"/>
      <c r="G758" s="372">
        <f t="shared" si="61"/>
        <v>99.999328750000004</v>
      </c>
      <c r="H758" s="206">
        <v>99.999328750000004</v>
      </c>
      <c r="I758" s="4637"/>
      <c r="J758" s="4890"/>
      <c r="K758" s="536"/>
      <c r="L758" s="536"/>
    </row>
    <row r="759" spans="1:12" ht="18.75" hidden="1" customHeight="1" x14ac:dyDescent="0.25">
      <c r="A759" s="999"/>
      <c r="B759" s="1024"/>
      <c r="C759" s="168" t="s">
        <v>5128</v>
      </c>
      <c r="D759" s="206">
        <v>402600000</v>
      </c>
      <c r="E759" s="206">
        <v>402254000</v>
      </c>
      <c r="F759" s="4593"/>
      <c r="G759" s="372">
        <f t="shared" si="61"/>
        <v>99.914058618976654</v>
      </c>
      <c r="H759" s="206">
        <v>100</v>
      </c>
      <c r="I759" s="4637"/>
      <c r="J759" s="4890"/>
      <c r="K759" s="536"/>
      <c r="L759" s="536"/>
    </row>
    <row r="760" spans="1:12" ht="17.25" hidden="1" customHeight="1" x14ac:dyDescent="0.25">
      <c r="A760" s="999"/>
      <c r="B760" s="1024"/>
      <c r="C760" s="168" t="s">
        <v>5129</v>
      </c>
      <c r="D760" s="206">
        <v>150000000</v>
      </c>
      <c r="E760" s="206">
        <v>149999500</v>
      </c>
      <c r="F760" s="4593"/>
      <c r="G760" s="372">
        <f t="shared" si="61"/>
        <v>99.99966666666667</v>
      </c>
      <c r="H760" s="206">
        <v>100</v>
      </c>
      <c r="I760" s="4637"/>
      <c r="J760" s="4890"/>
      <c r="K760" s="536"/>
      <c r="L760" s="536"/>
    </row>
    <row r="761" spans="1:12" ht="17.25" hidden="1" customHeight="1" x14ac:dyDescent="0.25">
      <c r="A761" s="999"/>
      <c r="B761" s="1024"/>
      <c r="C761" s="168" t="s">
        <v>5130</v>
      </c>
      <c r="D761" s="189">
        <v>150000000</v>
      </c>
      <c r="E761" s="73">
        <v>149978200</v>
      </c>
      <c r="F761" s="194"/>
      <c r="G761" s="372">
        <f t="shared" si="61"/>
        <v>99.985466666666667</v>
      </c>
      <c r="H761" s="73">
        <v>100</v>
      </c>
      <c r="I761" s="4637"/>
      <c r="J761" s="4890"/>
      <c r="K761" s="536"/>
      <c r="L761" s="536"/>
    </row>
    <row r="762" spans="1:12" ht="19.5" hidden="1" customHeight="1" x14ac:dyDescent="0.25">
      <c r="A762" s="999"/>
      <c r="B762" s="1024"/>
      <c r="C762" s="168" t="s">
        <v>5131</v>
      </c>
      <c r="D762" s="189">
        <v>150000000</v>
      </c>
      <c r="E762" s="73">
        <v>149920794</v>
      </c>
      <c r="F762" s="194"/>
      <c r="G762" s="372">
        <f t="shared" ref="G762:G791" si="62">E762/D762*100</f>
        <v>99.947196000000005</v>
      </c>
      <c r="H762" s="73">
        <v>100</v>
      </c>
      <c r="I762" s="4637"/>
      <c r="J762" s="4890"/>
      <c r="K762" s="536"/>
      <c r="L762" s="536"/>
    </row>
    <row r="763" spans="1:12" ht="18" hidden="1" customHeight="1" x14ac:dyDescent="0.25">
      <c r="A763" s="999"/>
      <c r="B763" s="1024"/>
      <c r="C763" s="168" t="s">
        <v>5132</v>
      </c>
      <c r="D763" s="189">
        <v>150000000</v>
      </c>
      <c r="E763" s="73">
        <v>148969100</v>
      </c>
      <c r="F763" s="194"/>
      <c r="G763" s="372">
        <f t="shared" si="62"/>
        <v>99.312733333333341</v>
      </c>
      <c r="H763" s="73">
        <v>100</v>
      </c>
      <c r="I763" s="4637"/>
      <c r="J763" s="4890"/>
      <c r="K763" s="536"/>
      <c r="L763" s="536"/>
    </row>
    <row r="764" spans="1:12" ht="18.75" hidden="1" customHeight="1" x14ac:dyDescent="0.25">
      <c r="A764" s="999"/>
      <c r="B764" s="1024"/>
      <c r="C764" s="168" t="s">
        <v>5133</v>
      </c>
      <c r="D764" s="189">
        <v>150000000</v>
      </c>
      <c r="E764" s="73">
        <v>150000000</v>
      </c>
      <c r="F764" s="194"/>
      <c r="G764" s="372">
        <f t="shared" si="62"/>
        <v>100</v>
      </c>
      <c r="H764" s="73">
        <v>100</v>
      </c>
      <c r="I764" s="4637"/>
      <c r="J764" s="4890"/>
      <c r="K764" s="536"/>
      <c r="L764" s="536"/>
    </row>
    <row r="765" spans="1:12" ht="18" hidden="1" customHeight="1" x14ac:dyDescent="0.25">
      <c r="A765" s="999"/>
      <c r="B765" s="1024"/>
      <c r="C765" s="168" t="s">
        <v>5134</v>
      </c>
      <c r="D765" s="189">
        <v>200000000</v>
      </c>
      <c r="E765" s="73">
        <v>199980000</v>
      </c>
      <c r="F765" s="194"/>
      <c r="G765" s="372">
        <f t="shared" si="62"/>
        <v>99.99</v>
      </c>
      <c r="H765" s="73">
        <v>100</v>
      </c>
      <c r="I765" s="4637"/>
      <c r="J765" s="4890"/>
      <c r="K765" s="536"/>
      <c r="L765" s="536"/>
    </row>
    <row r="766" spans="1:12" ht="12" hidden="1" customHeight="1" x14ac:dyDescent="0.25">
      <c r="A766" s="999"/>
      <c r="B766" s="1024"/>
      <c r="C766" s="168"/>
      <c r="D766" s="73"/>
      <c r="E766" s="73"/>
      <c r="F766" s="194"/>
      <c r="G766" s="372"/>
      <c r="H766" s="73"/>
      <c r="I766" s="4637"/>
      <c r="J766" s="4890"/>
      <c r="K766" s="536"/>
      <c r="L766" s="536"/>
    </row>
    <row r="767" spans="1:12" ht="16.5" hidden="1" customHeight="1" x14ac:dyDescent="0.25">
      <c r="A767" s="999"/>
      <c r="B767" s="1024"/>
      <c r="C767" s="175" t="s">
        <v>1267</v>
      </c>
      <c r="D767" s="157">
        <f>SUM(D768:D770)</f>
        <v>1650000000</v>
      </c>
      <c r="E767" s="157">
        <f>SUM(E768:E770)</f>
        <v>1549681393</v>
      </c>
      <c r="F767" s="72"/>
      <c r="G767" s="490">
        <f t="shared" si="62"/>
        <v>93.920084424242418</v>
      </c>
      <c r="H767" s="150">
        <f>SUM(H768:H770)/3</f>
        <v>100</v>
      </c>
      <c r="I767" s="4637"/>
      <c r="J767" s="4890"/>
      <c r="K767" s="536"/>
      <c r="L767" s="536"/>
    </row>
    <row r="768" spans="1:12" ht="14.25" hidden="1" customHeight="1" x14ac:dyDescent="0.25">
      <c r="A768" s="999"/>
      <c r="B768" s="1024"/>
      <c r="C768" s="168" t="s">
        <v>1868</v>
      </c>
      <c r="D768" s="189">
        <v>300000000</v>
      </c>
      <c r="E768" s="206">
        <v>299732900</v>
      </c>
      <c r="F768" s="4593"/>
      <c r="G768" s="372">
        <f t="shared" si="62"/>
        <v>99.910966666666667</v>
      </c>
      <c r="H768" s="206">
        <v>100</v>
      </c>
      <c r="I768" s="4637"/>
      <c r="J768" s="4890"/>
      <c r="K768" s="536"/>
      <c r="L768" s="536"/>
    </row>
    <row r="769" spans="1:12" ht="15" hidden="1" customHeight="1" x14ac:dyDescent="0.25">
      <c r="A769" s="999"/>
      <c r="B769" s="1024"/>
      <c r="C769" s="168" t="s">
        <v>1869</v>
      </c>
      <c r="D769" s="73">
        <v>150000000</v>
      </c>
      <c r="E769" s="73">
        <v>149948493</v>
      </c>
      <c r="F769" s="194"/>
      <c r="G769" s="372">
        <f t="shared" si="62"/>
        <v>99.965661999999995</v>
      </c>
      <c r="H769" s="73">
        <v>100</v>
      </c>
      <c r="I769" s="4637"/>
      <c r="J769" s="4890"/>
      <c r="K769" s="536"/>
      <c r="L769" s="536"/>
    </row>
    <row r="770" spans="1:12" ht="13.5" hidden="1" customHeight="1" x14ac:dyDescent="0.25">
      <c r="A770" s="999"/>
      <c r="B770" s="1024"/>
      <c r="C770" s="168" t="s">
        <v>1870</v>
      </c>
      <c r="D770" s="73">
        <v>1200000000</v>
      </c>
      <c r="E770" s="73">
        <v>1100000000</v>
      </c>
      <c r="F770" s="194"/>
      <c r="G770" s="372">
        <f t="shared" si="62"/>
        <v>91.666666666666657</v>
      </c>
      <c r="H770" s="73">
        <v>100</v>
      </c>
      <c r="I770" s="4637"/>
      <c r="J770" s="4890"/>
      <c r="K770" s="536"/>
      <c r="L770" s="536"/>
    </row>
    <row r="771" spans="1:12" ht="12" hidden="1" customHeight="1" x14ac:dyDescent="0.25">
      <c r="A771" s="999"/>
      <c r="B771" s="1024"/>
      <c r="C771" s="168"/>
      <c r="D771" s="73"/>
      <c r="E771" s="73"/>
      <c r="F771" s="194"/>
      <c r="G771" s="372"/>
      <c r="H771" s="73"/>
      <c r="I771" s="4637"/>
      <c r="J771" s="4890"/>
      <c r="K771" s="536"/>
      <c r="L771" s="536"/>
    </row>
    <row r="772" spans="1:12" ht="17.25" hidden="1" customHeight="1" x14ac:dyDescent="0.25">
      <c r="A772" s="999"/>
      <c r="B772" s="1024"/>
      <c r="C772" s="175" t="s">
        <v>1871</v>
      </c>
      <c r="D772" s="157">
        <f>SUM(D773:D783)</f>
        <v>2350000000</v>
      </c>
      <c r="E772" s="157">
        <f>SUM(E773:E783)</f>
        <v>2328295042</v>
      </c>
      <c r="F772" s="72"/>
      <c r="G772" s="490">
        <f>E772/D772*100</f>
        <v>99.076384765957442</v>
      </c>
      <c r="H772" s="525">
        <f>SUM(H773:H783)/10</f>
        <v>100</v>
      </c>
      <c r="I772" s="4637"/>
      <c r="J772" s="4890"/>
      <c r="K772" s="536"/>
      <c r="L772" s="536"/>
    </row>
    <row r="773" spans="1:12" ht="13.5" hidden="1" customHeight="1" x14ac:dyDescent="0.25">
      <c r="A773" s="999"/>
      <c r="B773" s="1024"/>
      <c r="C773" s="168" t="s">
        <v>1872</v>
      </c>
      <c r="D773" s="73">
        <v>150000000</v>
      </c>
      <c r="E773" s="368">
        <v>149980000</v>
      </c>
      <c r="F773" s="893"/>
      <c r="G773" s="372">
        <f t="shared" si="62"/>
        <v>99.986666666666665</v>
      </c>
      <c r="H773" s="140">
        <v>100</v>
      </c>
      <c r="I773" s="4637"/>
      <c r="J773" s="4890"/>
      <c r="K773" s="536"/>
      <c r="L773" s="536"/>
    </row>
    <row r="774" spans="1:12" ht="17.25" hidden="1" customHeight="1" x14ac:dyDescent="0.25">
      <c r="A774" s="999"/>
      <c r="B774" s="1024"/>
      <c r="C774" s="168" t="s">
        <v>1873</v>
      </c>
      <c r="D774" s="73">
        <v>150000000</v>
      </c>
      <c r="E774" s="206">
        <v>149595400</v>
      </c>
      <c r="F774" s="4593"/>
      <c r="G774" s="372">
        <f t="shared" si="62"/>
        <v>99.730266666666665</v>
      </c>
      <c r="H774" s="206">
        <v>100</v>
      </c>
      <c r="I774" s="4637"/>
      <c r="J774" s="4890"/>
      <c r="K774" s="536"/>
      <c r="L774" s="536"/>
    </row>
    <row r="775" spans="1:12" ht="14.25" hidden="1" customHeight="1" x14ac:dyDescent="0.25">
      <c r="A775" s="999"/>
      <c r="B775" s="1024"/>
      <c r="C775" s="168" t="s">
        <v>1874</v>
      </c>
      <c r="D775" s="189">
        <v>150000000</v>
      </c>
      <c r="E775" s="189">
        <v>140104000</v>
      </c>
      <c r="F775" s="372"/>
      <c r="G775" s="372">
        <f t="shared" si="62"/>
        <v>93.402666666666661</v>
      </c>
      <c r="H775" s="73">
        <v>100</v>
      </c>
      <c r="I775" s="4637"/>
      <c r="J775" s="4890"/>
      <c r="K775" s="536"/>
      <c r="L775" s="536"/>
    </row>
    <row r="776" spans="1:12" ht="16.5" hidden="1" customHeight="1" x14ac:dyDescent="0.25">
      <c r="A776" s="999"/>
      <c r="B776" s="1024"/>
      <c r="C776" s="168" t="s">
        <v>1875</v>
      </c>
      <c r="D776" s="189">
        <v>150000000</v>
      </c>
      <c r="E776" s="73">
        <v>149966200</v>
      </c>
      <c r="F776" s="194"/>
      <c r="G776" s="372">
        <f t="shared" si="62"/>
        <v>99.977466666666672</v>
      </c>
      <c r="H776" s="73">
        <v>100</v>
      </c>
      <c r="I776" s="4637"/>
      <c r="J776" s="4890"/>
      <c r="K776" s="536"/>
      <c r="L776" s="536"/>
    </row>
    <row r="777" spans="1:12" ht="18.75" hidden="1" customHeight="1" x14ac:dyDescent="0.25">
      <c r="A777" s="999"/>
      <c r="B777" s="1024"/>
      <c r="C777" s="168" t="s">
        <v>1876</v>
      </c>
      <c r="D777" s="189">
        <v>150000000</v>
      </c>
      <c r="E777" s="73">
        <v>149837300</v>
      </c>
      <c r="F777" s="194"/>
      <c r="G777" s="372">
        <f t="shared" si="62"/>
        <v>99.891533333333342</v>
      </c>
      <c r="H777" s="73">
        <v>100</v>
      </c>
      <c r="I777" s="4637"/>
      <c r="J777" s="4890"/>
      <c r="K777" s="536"/>
      <c r="L777" s="536"/>
    </row>
    <row r="778" spans="1:12" ht="17.25" hidden="1" customHeight="1" x14ac:dyDescent="0.25">
      <c r="A778" s="999"/>
      <c r="B778" s="1024"/>
      <c r="C778" s="168" t="s">
        <v>1877</v>
      </c>
      <c r="D778" s="189">
        <v>300000000</v>
      </c>
      <c r="E778" s="73">
        <v>298187200</v>
      </c>
      <c r="F778" s="194"/>
      <c r="G778" s="372">
        <f t="shared" si="62"/>
        <v>99.395733333333339</v>
      </c>
      <c r="H778" s="73">
        <v>100</v>
      </c>
      <c r="I778" s="4637"/>
      <c r="J778" s="4890"/>
      <c r="K778" s="536"/>
      <c r="L778" s="536"/>
    </row>
    <row r="779" spans="1:12" ht="16.5" hidden="1" customHeight="1" x14ac:dyDescent="0.25">
      <c r="A779" s="999"/>
      <c r="B779" s="1024"/>
      <c r="C779" s="168" t="s">
        <v>1878</v>
      </c>
      <c r="D779" s="189">
        <v>300000000</v>
      </c>
      <c r="E779" s="368">
        <v>294300000</v>
      </c>
      <c r="F779" s="893"/>
      <c r="G779" s="372">
        <f t="shared" si="62"/>
        <v>98.1</v>
      </c>
      <c r="H779" s="73">
        <v>100</v>
      </c>
      <c r="I779" s="4637"/>
      <c r="J779" s="4890"/>
      <c r="K779" s="536"/>
      <c r="L779" s="536"/>
    </row>
    <row r="780" spans="1:12" ht="18.75" hidden="1" customHeight="1" x14ac:dyDescent="0.25">
      <c r="A780" s="999"/>
      <c r="B780" s="1024"/>
      <c r="C780" s="168" t="s">
        <v>1879</v>
      </c>
      <c r="D780" s="420" t="s">
        <v>3317</v>
      </c>
      <c r="E780" s="420" t="s">
        <v>3317</v>
      </c>
      <c r="F780" s="420"/>
      <c r="G780" s="420" t="s">
        <v>3317</v>
      </c>
      <c r="H780" s="140" t="s">
        <v>3317</v>
      </c>
      <c r="I780" s="4637"/>
      <c r="J780" s="4890"/>
      <c r="K780" s="536"/>
      <c r="L780" s="536"/>
    </row>
    <row r="781" spans="1:12" ht="18.75" hidden="1" customHeight="1" x14ac:dyDescent="0.25">
      <c r="A781" s="999"/>
      <c r="B781" s="1024"/>
      <c r="C781" s="168" t="s">
        <v>1880</v>
      </c>
      <c r="D781" s="189">
        <v>150000000</v>
      </c>
      <c r="E781" s="73">
        <v>147082000</v>
      </c>
      <c r="F781" s="194"/>
      <c r="G781" s="372">
        <f t="shared" si="62"/>
        <v>98.054666666666662</v>
      </c>
      <c r="H781" s="73">
        <v>100</v>
      </c>
      <c r="I781" s="4637"/>
      <c r="J781" s="4890"/>
      <c r="K781" s="536"/>
      <c r="L781" s="536"/>
    </row>
    <row r="782" spans="1:12" ht="13.5" hidden="1" customHeight="1" x14ac:dyDescent="0.25">
      <c r="A782" s="999"/>
      <c r="B782" s="1024"/>
      <c r="C782" s="168" t="s">
        <v>1881</v>
      </c>
      <c r="D782" s="189">
        <v>150000000</v>
      </c>
      <c r="E782" s="73">
        <v>149877400</v>
      </c>
      <c r="F782" s="194"/>
      <c r="G782" s="372">
        <f t="shared" si="62"/>
        <v>99.918266666666668</v>
      </c>
      <c r="H782" s="73">
        <v>100</v>
      </c>
      <c r="I782" s="4637"/>
      <c r="J782" s="4890"/>
      <c r="K782" s="536"/>
      <c r="L782" s="536"/>
    </row>
    <row r="783" spans="1:12" ht="17.25" hidden="1" customHeight="1" x14ac:dyDescent="0.25">
      <c r="A783" s="999"/>
      <c r="B783" s="1024"/>
      <c r="C783" s="168" t="s">
        <v>4058</v>
      </c>
      <c r="D783" s="189">
        <v>700000000</v>
      </c>
      <c r="E783" s="73">
        <v>699365542</v>
      </c>
      <c r="F783" s="194"/>
      <c r="G783" s="372">
        <f t="shared" si="62"/>
        <v>99.909363142857146</v>
      </c>
      <c r="H783" s="73">
        <v>100</v>
      </c>
      <c r="I783" s="4637"/>
      <c r="J783" s="4890"/>
      <c r="K783" s="536"/>
      <c r="L783" s="536"/>
    </row>
    <row r="784" spans="1:12" ht="12" hidden="1" customHeight="1" x14ac:dyDescent="0.25">
      <c r="A784" s="999"/>
      <c r="B784" s="1024"/>
      <c r="C784" s="168"/>
      <c r="D784" s="189"/>
      <c r="E784" s="73"/>
      <c r="F784" s="194"/>
      <c r="G784" s="372"/>
      <c r="H784" s="73"/>
      <c r="I784" s="4637"/>
      <c r="J784" s="4890"/>
      <c r="K784" s="536"/>
      <c r="L784" s="536"/>
    </row>
    <row r="785" spans="1:12" ht="18.75" hidden="1" customHeight="1" x14ac:dyDescent="0.25">
      <c r="A785" s="999"/>
      <c r="B785" s="1024"/>
      <c r="C785" s="175" t="s">
        <v>1882</v>
      </c>
      <c r="D785" s="157">
        <f>SUM(D786:D791)</f>
        <v>1500000000</v>
      </c>
      <c r="E785" s="157">
        <f>SUM(E786:E791)</f>
        <v>1476137199</v>
      </c>
      <c r="F785" s="72"/>
      <c r="G785" s="490">
        <f t="shared" si="62"/>
        <v>98.4091466</v>
      </c>
      <c r="H785" s="336">
        <f>SUM(H786:H791)/6</f>
        <v>100</v>
      </c>
      <c r="I785" s="4637"/>
      <c r="J785" s="4890"/>
      <c r="K785" s="536"/>
      <c r="L785" s="536"/>
    </row>
    <row r="786" spans="1:12" ht="14.25" hidden="1" customHeight="1" x14ac:dyDescent="0.25">
      <c r="A786" s="999"/>
      <c r="B786" s="1024"/>
      <c r="C786" s="168" t="s">
        <v>1883</v>
      </c>
      <c r="D786" s="206">
        <v>250000000</v>
      </c>
      <c r="E786" s="206">
        <v>250000000</v>
      </c>
      <c r="F786" s="4593"/>
      <c r="G786" s="372">
        <f t="shared" si="62"/>
        <v>100</v>
      </c>
      <c r="H786" s="372">
        <v>100</v>
      </c>
      <c r="I786" s="4637"/>
      <c r="J786" s="4890"/>
      <c r="K786" s="536"/>
      <c r="L786" s="536"/>
    </row>
    <row r="787" spans="1:12" ht="15" hidden="1" customHeight="1" x14ac:dyDescent="0.25">
      <c r="A787" s="999"/>
      <c r="B787" s="1024"/>
      <c r="C787" s="168" t="s">
        <v>1884</v>
      </c>
      <c r="D787" s="206">
        <v>150000000</v>
      </c>
      <c r="E787" s="206">
        <v>148943299</v>
      </c>
      <c r="F787" s="4593"/>
      <c r="G787" s="372">
        <f t="shared" si="62"/>
        <v>99.295532666666659</v>
      </c>
      <c r="H787" s="372">
        <v>100</v>
      </c>
      <c r="I787" s="4637"/>
      <c r="J787" s="4890"/>
      <c r="K787" s="536"/>
      <c r="L787" s="536"/>
    </row>
    <row r="788" spans="1:12" ht="16.5" hidden="1" customHeight="1" x14ac:dyDescent="0.25">
      <c r="A788" s="999"/>
      <c r="B788" s="1024"/>
      <c r="C788" s="168" t="s">
        <v>1885</v>
      </c>
      <c r="D788" s="189">
        <v>450000000</v>
      </c>
      <c r="E788" s="206">
        <v>436438000</v>
      </c>
      <c r="F788" s="4593"/>
      <c r="G788" s="372">
        <f t="shared" si="62"/>
        <v>96.986222222222224</v>
      </c>
      <c r="H788" s="372">
        <v>100</v>
      </c>
      <c r="I788" s="4637"/>
      <c r="J788" s="4890"/>
      <c r="K788" s="536"/>
      <c r="L788" s="536"/>
    </row>
    <row r="789" spans="1:12" ht="15.75" hidden="1" customHeight="1" x14ac:dyDescent="0.25">
      <c r="A789" s="999"/>
      <c r="B789" s="1024"/>
      <c r="C789" s="168" t="s">
        <v>1886</v>
      </c>
      <c r="D789" s="189">
        <v>250000000</v>
      </c>
      <c r="E789" s="206">
        <v>242050000</v>
      </c>
      <c r="F789" s="4593"/>
      <c r="G789" s="372">
        <f t="shared" si="62"/>
        <v>96.82</v>
      </c>
      <c r="H789" s="372">
        <v>100</v>
      </c>
      <c r="I789" s="4637"/>
      <c r="J789" s="4890"/>
      <c r="K789" s="536"/>
      <c r="L789" s="536"/>
    </row>
    <row r="790" spans="1:12" ht="14.25" hidden="1" customHeight="1" x14ac:dyDescent="0.25">
      <c r="A790" s="999"/>
      <c r="B790" s="1024"/>
      <c r="C790" s="168" t="s">
        <v>1887</v>
      </c>
      <c r="D790" s="189">
        <v>200000000</v>
      </c>
      <c r="E790" s="206">
        <v>198857100</v>
      </c>
      <c r="F790" s="4593"/>
      <c r="G790" s="372">
        <f t="shared" si="62"/>
        <v>99.428550000000001</v>
      </c>
      <c r="H790" s="372">
        <v>100</v>
      </c>
      <c r="I790" s="4637"/>
      <c r="J790" s="4890"/>
      <c r="K790" s="536"/>
      <c r="L790" s="536"/>
    </row>
    <row r="791" spans="1:12" ht="16.5" hidden="1" customHeight="1" x14ac:dyDescent="0.25">
      <c r="A791" s="999"/>
      <c r="B791" s="1024"/>
      <c r="C791" s="168" t="s">
        <v>1888</v>
      </c>
      <c r="D791" s="189">
        <v>200000000</v>
      </c>
      <c r="E791" s="73">
        <v>199848800</v>
      </c>
      <c r="F791" s="194"/>
      <c r="G791" s="372">
        <f t="shared" si="62"/>
        <v>99.924400000000006</v>
      </c>
      <c r="H791" s="372">
        <v>100</v>
      </c>
      <c r="I791" s="4637"/>
      <c r="J791" s="4890"/>
      <c r="K791" s="536"/>
      <c r="L791" s="536"/>
    </row>
    <row r="792" spans="1:12" ht="16.5" hidden="1" customHeight="1" x14ac:dyDescent="0.25">
      <c r="B792" s="1024"/>
      <c r="C792" s="64"/>
      <c r="D792" s="1956"/>
      <c r="E792" s="207"/>
      <c r="F792" s="207"/>
      <c r="G792" s="162"/>
      <c r="H792" s="207"/>
      <c r="I792" s="4856"/>
      <c r="J792" s="4857"/>
    </row>
    <row r="793" spans="1:12" ht="18" hidden="1" customHeight="1" x14ac:dyDescent="0.25">
      <c r="B793" s="1029"/>
      <c r="C793" s="56" t="s">
        <v>3090</v>
      </c>
      <c r="D793" s="200">
        <f>D794</f>
        <v>3658420000</v>
      </c>
      <c r="E793" s="200">
        <f>E794</f>
        <v>3500000000</v>
      </c>
      <c r="F793" s="200"/>
      <c r="G793" s="165">
        <f>E793/D793*100</f>
        <v>95.669715341595548</v>
      </c>
      <c r="H793" s="200">
        <f>H794</f>
        <v>100</v>
      </c>
      <c r="I793" s="4856"/>
      <c r="J793" s="4857"/>
    </row>
    <row r="794" spans="1:12" ht="19.5" hidden="1" customHeight="1" x14ac:dyDescent="0.25">
      <c r="B794" s="1024"/>
      <c r="C794" s="69" t="s">
        <v>5145</v>
      </c>
      <c r="D794" s="1129">
        <f>SUM(D795:D796)</f>
        <v>3658420000</v>
      </c>
      <c r="E794" s="1129">
        <f>SUM(E795:E796)</f>
        <v>3500000000</v>
      </c>
      <c r="F794" s="2118"/>
      <c r="G794" s="101">
        <f>SUM(E794/D794)*100</f>
        <v>95.669715341595548</v>
      </c>
      <c r="H794" s="150">
        <f>SUM(H795+H796)/2</f>
        <v>100</v>
      </c>
      <c r="I794" s="4856"/>
      <c r="J794" s="4857"/>
    </row>
    <row r="795" spans="1:12" ht="16.5" hidden="1" customHeight="1" x14ac:dyDescent="0.25">
      <c r="B795" s="1993"/>
      <c r="C795" s="61" t="s">
        <v>2104</v>
      </c>
      <c r="D795" s="2126">
        <v>1900000000</v>
      </c>
      <c r="E795" s="149">
        <v>1800000000</v>
      </c>
      <c r="F795" s="149"/>
      <c r="G795" s="149">
        <f>SUM(E795/D795)*100</f>
        <v>94.73684210526315</v>
      </c>
      <c r="H795" s="149">
        <v>100</v>
      </c>
      <c r="I795" s="4856"/>
      <c r="J795" s="4857"/>
    </row>
    <row r="796" spans="1:12" ht="16.5" hidden="1" customHeight="1" x14ac:dyDescent="0.25">
      <c r="B796" s="1024"/>
      <c r="C796" s="329" t="s">
        <v>2105</v>
      </c>
      <c r="D796" s="2122">
        <v>1758420000</v>
      </c>
      <c r="E796" s="151">
        <v>1700000000</v>
      </c>
      <c r="F796" s="151"/>
      <c r="G796" s="374">
        <f>SUM(E796/D796)*100</f>
        <v>96.677699298233648</v>
      </c>
      <c r="H796" s="374">
        <v>100</v>
      </c>
      <c r="I796" s="4856"/>
      <c r="J796" s="4857"/>
    </row>
    <row r="797" spans="1:12" ht="12" hidden="1" customHeight="1" x14ac:dyDescent="0.25">
      <c r="B797" s="1024"/>
      <c r="C797" s="61"/>
      <c r="D797" s="187"/>
      <c r="E797" s="187"/>
      <c r="F797" s="187"/>
      <c r="G797" s="187"/>
      <c r="H797" s="187"/>
      <c r="I797" s="4856"/>
      <c r="J797" s="4857"/>
    </row>
    <row r="798" spans="1:12" ht="17.25" customHeight="1" x14ac:dyDescent="0.25">
      <c r="B798" s="2455"/>
      <c r="C798" s="422" t="s">
        <v>2106</v>
      </c>
      <c r="D798" s="2426">
        <f>D800+D829+D850+D833+D837+D845</f>
        <v>17805197582</v>
      </c>
      <c r="E798" s="2426">
        <f>E800+E829+E850+E833+E837+E845</f>
        <v>17733809521</v>
      </c>
      <c r="F798" s="1900">
        <f>D798-E798</f>
        <v>71388061</v>
      </c>
      <c r="G798" s="424">
        <f>E798/D798*100</f>
        <v>99.599060551441625</v>
      </c>
      <c r="H798" s="2388">
        <f>SUM(H800+H829+H833+H837+H845+H850)/6</f>
        <v>100</v>
      </c>
      <c r="I798" s="4856"/>
      <c r="J798" s="4857"/>
    </row>
    <row r="799" spans="1:12" s="121" customFormat="1" ht="9" hidden="1" customHeight="1" x14ac:dyDescent="0.25">
      <c r="A799" s="1066"/>
      <c r="B799" s="2146"/>
      <c r="C799" s="333"/>
      <c r="D799" s="2148"/>
      <c r="E799" s="2148"/>
      <c r="F799" s="2148"/>
      <c r="G799" s="353"/>
      <c r="H799" s="341"/>
      <c r="I799" s="4908"/>
      <c r="J799" s="4650"/>
    </row>
    <row r="800" spans="1:12" ht="18.75" hidden="1" customHeight="1" x14ac:dyDescent="0.25">
      <c r="B800" s="2105"/>
      <c r="C800" s="354" t="s">
        <v>2640</v>
      </c>
      <c r="D800" s="4618">
        <f>SUM(D801+D804+D807+D815+D819+D824)</f>
        <v>13380248173</v>
      </c>
      <c r="E800" s="4619">
        <f>SUM(E801+E804+E807+E815+E819+E824)</f>
        <v>13352342097</v>
      </c>
      <c r="F800" s="4619"/>
      <c r="G800" s="538">
        <f>E800/D800*100</f>
        <v>99.791438277981186</v>
      </c>
      <c r="H800" s="2150">
        <f>SUM(H804+H807+H815+H819+H824)/5</f>
        <v>100</v>
      </c>
      <c r="I800" s="4856"/>
      <c r="J800" s="4857"/>
    </row>
    <row r="801" spans="1:12" ht="15.75" hidden="1" customHeight="1" x14ac:dyDescent="0.25">
      <c r="A801" s="999"/>
      <c r="B801" s="1024"/>
      <c r="C801" s="115" t="s">
        <v>2107</v>
      </c>
      <c r="D801" s="2406">
        <f>D802</f>
        <v>0</v>
      </c>
      <c r="E801" s="2153">
        <f>E802</f>
        <v>0</v>
      </c>
      <c r="F801" s="2153"/>
      <c r="G801" s="2153">
        <v>0</v>
      </c>
      <c r="H801" s="2153">
        <v>0</v>
      </c>
      <c r="I801" s="4637"/>
      <c r="J801" s="4890"/>
      <c r="K801" s="536"/>
      <c r="L801" s="536"/>
    </row>
    <row r="802" spans="1:12" ht="18.75" hidden="1" customHeight="1" x14ac:dyDescent="0.25">
      <c r="A802" s="999"/>
      <c r="B802" s="1024"/>
      <c r="C802" s="2154" t="s">
        <v>2108</v>
      </c>
      <c r="D802" s="4620">
        <v>0</v>
      </c>
      <c r="E802" s="4621">
        <v>0</v>
      </c>
      <c r="F802" s="4621"/>
      <c r="G802" s="4621">
        <v>0</v>
      </c>
      <c r="H802" s="4621">
        <v>0</v>
      </c>
      <c r="I802" s="4637"/>
      <c r="J802" s="4890"/>
      <c r="K802" s="536"/>
      <c r="L802" s="536"/>
    </row>
    <row r="803" spans="1:12" ht="9" hidden="1" customHeight="1" x14ac:dyDescent="0.25">
      <c r="A803" s="999"/>
      <c r="B803" s="1024"/>
      <c r="C803" s="2154"/>
      <c r="D803" s="576"/>
      <c r="E803" s="201"/>
      <c r="F803" s="201"/>
      <c r="G803" s="1915"/>
      <c r="H803" s="1932"/>
      <c r="I803" s="4637"/>
      <c r="J803" s="4890"/>
      <c r="K803" s="536"/>
      <c r="L803" s="536"/>
    </row>
    <row r="804" spans="1:12" ht="15.75" hidden="1" customHeight="1" x14ac:dyDescent="0.25">
      <c r="A804" s="999"/>
      <c r="B804" s="1024"/>
      <c r="C804" s="115" t="s">
        <v>2109</v>
      </c>
      <c r="D804" s="2406">
        <f>D805</f>
        <v>184666886</v>
      </c>
      <c r="E804" s="2153">
        <f>E805</f>
        <v>184666886</v>
      </c>
      <c r="F804" s="2153"/>
      <c r="G804" s="202">
        <f>E804/D804*100</f>
        <v>100</v>
      </c>
      <c r="H804" s="257">
        <f>H805</f>
        <v>100</v>
      </c>
      <c r="I804" s="4637"/>
      <c r="J804" s="4890"/>
      <c r="K804" s="536"/>
      <c r="L804" s="536"/>
    </row>
    <row r="805" spans="1:12" ht="18.75" hidden="1" customHeight="1" x14ac:dyDescent="0.25">
      <c r="A805" s="999"/>
      <c r="B805" s="1024"/>
      <c r="C805" s="2154" t="s">
        <v>2110</v>
      </c>
      <c r="D805" s="4620">
        <v>184666886</v>
      </c>
      <c r="E805" s="1115">
        <v>184666886</v>
      </c>
      <c r="F805" s="1115"/>
      <c r="G805" s="201">
        <f>E805/D805*100</f>
        <v>100</v>
      </c>
      <c r="H805" s="344">
        <v>100</v>
      </c>
      <c r="I805" s="4637"/>
      <c r="J805" s="4890"/>
      <c r="K805" s="536"/>
      <c r="L805" s="536"/>
    </row>
    <row r="806" spans="1:12" ht="12" hidden="1" customHeight="1" x14ac:dyDescent="0.25">
      <c r="A806" s="999"/>
      <c r="B806" s="1024"/>
      <c r="C806" s="2159"/>
      <c r="D806" s="576"/>
      <c r="E806" s="201"/>
      <c r="F806" s="201"/>
      <c r="G806" s="201"/>
      <c r="H806" s="1932"/>
      <c r="I806" s="4637"/>
      <c r="J806" s="4890"/>
      <c r="K806" s="536"/>
      <c r="L806" s="536"/>
    </row>
    <row r="807" spans="1:12" ht="17.25" hidden="1" customHeight="1" x14ac:dyDescent="0.25">
      <c r="A807" s="999"/>
      <c r="B807" s="1024"/>
      <c r="C807" s="115" t="s">
        <v>248</v>
      </c>
      <c r="D807" s="2406">
        <f>SUM(D808:D813)</f>
        <v>10628391576</v>
      </c>
      <c r="E807" s="202">
        <f>SUM(E808:E813)</f>
        <v>10601635500</v>
      </c>
      <c r="F807" s="202"/>
      <c r="G807" s="202">
        <f t="shared" ref="G807:G813" si="63">E807/D807*100</f>
        <v>99.74825846593366</v>
      </c>
      <c r="H807" s="257">
        <f>SUM(H809:H813)/4</f>
        <v>100</v>
      </c>
      <c r="I807" s="4637"/>
      <c r="J807" s="4890"/>
      <c r="K807" s="536"/>
      <c r="L807" s="536"/>
    </row>
    <row r="808" spans="1:12" ht="15.75" hidden="1" customHeight="1" x14ac:dyDescent="0.25">
      <c r="A808" s="999"/>
      <c r="B808" s="1024"/>
      <c r="C808" s="2154" t="s">
        <v>2111</v>
      </c>
      <c r="D808" s="4620">
        <v>0</v>
      </c>
      <c r="E808" s="1115">
        <v>0</v>
      </c>
      <c r="F808" s="1115"/>
      <c r="G808" s="1115">
        <v>0</v>
      </c>
      <c r="H808" s="1115">
        <v>0</v>
      </c>
      <c r="I808" s="4637"/>
      <c r="J808" s="4890"/>
      <c r="K808" s="536"/>
      <c r="L808" s="536"/>
    </row>
    <row r="809" spans="1:12" ht="16.5" hidden="1" customHeight="1" x14ac:dyDescent="0.25">
      <c r="A809" s="999"/>
      <c r="B809" s="1024"/>
      <c r="C809" s="2154" t="s">
        <v>3220</v>
      </c>
      <c r="D809" s="576">
        <v>2200756576</v>
      </c>
      <c r="E809" s="201">
        <v>2184800500</v>
      </c>
      <c r="F809" s="201"/>
      <c r="G809" s="201">
        <f t="shared" si="63"/>
        <v>99.274973153596065</v>
      </c>
      <c r="H809" s="1932">
        <v>100</v>
      </c>
      <c r="I809" s="4637"/>
      <c r="J809" s="4890"/>
      <c r="K809" s="536"/>
      <c r="L809" s="536"/>
    </row>
    <row r="810" spans="1:12" ht="16.5" hidden="1" customHeight="1" x14ac:dyDescent="0.25">
      <c r="A810" s="999"/>
      <c r="B810" s="1024"/>
      <c r="C810" s="2154" t="s">
        <v>2112</v>
      </c>
      <c r="D810" s="576">
        <v>308835000</v>
      </c>
      <c r="E810" s="4622">
        <v>308835000</v>
      </c>
      <c r="F810" s="4622"/>
      <c r="G810" s="201">
        <f t="shared" si="63"/>
        <v>100</v>
      </c>
      <c r="H810" s="344">
        <v>100</v>
      </c>
      <c r="I810" s="4637"/>
      <c r="J810" s="4890"/>
      <c r="K810" s="536"/>
      <c r="L810" s="536"/>
    </row>
    <row r="811" spans="1:12" ht="15.75" hidden="1" customHeight="1" x14ac:dyDescent="0.25">
      <c r="A811" s="999"/>
      <c r="B811" s="1024"/>
      <c r="C811" s="2154" t="s">
        <v>2113</v>
      </c>
      <c r="D811" s="576">
        <v>0</v>
      </c>
      <c r="E811" s="1963">
        <v>0</v>
      </c>
      <c r="F811" s="1963"/>
      <c r="G811" s="1963">
        <v>0</v>
      </c>
      <c r="H811" s="1963">
        <v>0</v>
      </c>
      <c r="I811" s="4637"/>
      <c r="J811" s="4890"/>
      <c r="K811" s="536"/>
      <c r="L811" s="536"/>
    </row>
    <row r="812" spans="1:12" ht="15" hidden="1" customHeight="1" x14ac:dyDescent="0.25">
      <c r="A812" s="999"/>
      <c r="B812" s="1024"/>
      <c r="C812" s="2154" t="s">
        <v>2114</v>
      </c>
      <c r="D812" s="576">
        <v>6120000000</v>
      </c>
      <c r="E812" s="201">
        <v>6120000000</v>
      </c>
      <c r="F812" s="201"/>
      <c r="G812" s="201">
        <f t="shared" si="63"/>
        <v>100</v>
      </c>
      <c r="H812" s="344">
        <v>100</v>
      </c>
      <c r="I812" s="4637"/>
      <c r="J812" s="4890"/>
      <c r="K812" s="536"/>
      <c r="L812" s="536"/>
    </row>
    <row r="813" spans="1:12" ht="18" hidden="1" customHeight="1" x14ac:dyDescent="0.25">
      <c r="A813" s="999"/>
      <c r="B813" s="1024"/>
      <c r="C813" s="2154" t="s">
        <v>2115</v>
      </c>
      <c r="D813" s="576">
        <v>1998800000</v>
      </c>
      <c r="E813" s="1963">
        <v>1988000000</v>
      </c>
      <c r="F813" s="1963"/>
      <c r="G813" s="201">
        <f t="shared" si="63"/>
        <v>99.4596758054833</v>
      </c>
      <c r="H813" s="344">
        <v>100</v>
      </c>
      <c r="I813" s="4637"/>
      <c r="J813" s="4890"/>
      <c r="K813" s="536"/>
      <c r="L813" s="536"/>
    </row>
    <row r="814" spans="1:12" ht="9.75" hidden="1" customHeight="1" x14ac:dyDescent="0.25">
      <c r="A814" s="999"/>
      <c r="B814" s="1024"/>
      <c r="C814" s="2159"/>
      <c r="D814" s="576"/>
      <c r="E814" s="201"/>
      <c r="F814" s="201"/>
      <c r="G814" s="1915"/>
      <c r="H814" s="1932"/>
      <c r="I814" s="4637"/>
      <c r="J814" s="4890"/>
      <c r="K814" s="536"/>
      <c r="L814" s="536"/>
    </row>
    <row r="815" spans="1:12" s="32" customFormat="1" ht="15.75" hidden="1" customHeight="1" x14ac:dyDescent="0.25">
      <c r="A815" s="1015"/>
      <c r="B815" s="1024"/>
      <c r="C815" s="115" t="s">
        <v>2116</v>
      </c>
      <c r="D815" s="2406">
        <f>SUM(D816:D817)</f>
        <v>571181000</v>
      </c>
      <c r="E815" s="202">
        <f>SUM(E816:E817)</f>
        <v>571181000</v>
      </c>
      <c r="F815" s="202"/>
      <c r="G815" s="202">
        <f>SUM(E815/D815)*100</f>
        <v>100</v>
      </c>
      <c r="H815" s="257">
        <f>SUM(H816:H817)/2</f>
        <v>100</v>
      </c>
      <c r="I815" s="4641"/>
      <c r="J815" s="4909"/>
      <c r="K815" s="1208"/>
      <c r="L815" s="1208"/>
    </row>
    <row r="816" spans="1:12" s="196" customFormat="1" ht="17.25" hidden="1" customHeight="1" x14ac:dyDescent="0.25">
      <c r="A816" s="513"/>
      <c r="B816" s="1139"/>
      <c r="C816" s="2154" t="s">
        <v>2117</v>
      </c>
      <c r="D816" s="576">
        <v>271181000</v>
      </c>
      <c r="E816" s="201">
        <v>271181000</v>
      </c>
      <c r="F816" s="201"/>
      <c r="G816" s="149">
        <f>SUM(E816/D816)*100</f>
        <v>100</v>
      </c>
      <c r="H816" s="344">
        <v>100</v>
      </c>
      <c r="I816" s="4643"/>
      <c r="J816" s="4910"/>
      <c r="K816" s="1212"/>
      <c r="L816" s="1212"/>
    </row>
    <row r="817" spans="1:12" s="196" customFormat="1" ht="18" hidden="1" customHeight="1" x14ac:dyDescent="0.25">
      <c r="A817" s="513"/>
      <c r="B817" s="1139"/>
      <c r="C817" s="2154" t="s">
        <v>4073</v>
      </c>
      <c r="D817" s="576">
        <v>300000000</v>
      </c>
      <c r="E817" s="201">
        <v>300000000</v>
      </c>
      <c r="F817" s="201"/>
      <c r="G817" s="149">
        <f>SUM(E817/D817)*100</f>
        <v>100</v>
      </c>
      <c r="H817" s="344">
        <v>100</v>
      </c>
      <c r="I817" s="4643"/>
      <c r="J817" s="4910"/>
      <c r="K817" s="1212"/>
      <c r="L817" s="1212"/>
    </row>
    <row r="818" spans="1:12" ht="11.25" hidden="1" customHeight="1" x14ac:dyDescent="0.25">
      <c r="A818" s="999"/>
      <c r="B818" s="1024"/>
      <c r="C818" s="2159"/>
      <c r="D818" s="576"/>
      <c r="E818" s="201"/>
      <c r="F818" s="201"/>
      <c r="G818" s="149"/>
      <c r="H818" s="1932"/>
      <c r="I818" s="4637"/>
      <c r="J818" s="4890"/>
      <c r="K818" s="536"/>
      <c r="L818" s="536"/>
    </row>
    <row r="819" spans="1:12" s="32" customFormat="1" ht="19.5" hidden="1" customHeight="1" x14ac:dyDescent="0.25">
      <c r="A819" s="1015"/>
      <c r="B819" s="1024"/>
      <c r="C819" s="115" t="s">
        <v>2118</v>
      </c>
      <c r="D819" s="2406">
        <f>SUM(D820:D822)</f>
        <v>1660669051</v>
      </c>
      <c r="E819" s="202">
        <f>SUM(E820:E822)</f>
        <v>1659669051</v>
      </c>
      <c r="F819" s="202"/>
      <c r="G819" s="150">
        <f t="shared" ref="G819:G827" si="64">SUM(E819/D819)*100</f>
        <v>99.939783306047772</v>
      </c>
      <c r="H819" s="257">
        <f>SUM(H820:H822)/3</f>
        <v>100</v>
      </c>
      <c r="I819" s="4641"/>
      <c r="J819" s="4909"/>
      <c r="K819" s="1208"/>
      <c r="L819" s="1208"/>
    </row>
    <row r="820" spans="1:12" s="196" customFormat="1" ht="17.25" hidden="1" customHeight="1" x14ac:dyDescent="0.25">
      <c r="A820" s="513"/>
      <c r="B820" s="1139"/>
      <c r="C820" s="2154" t="s">
        <v>2119</v>
      </c>
      <c r="D820" s="576">
        <v>279771000</v>
      </c>
      <c r="E820" s="201">
        <v>278771000</v>
      </c>
      <c r="F820" s="201"/>
      <c r="G820" s="149">
        <f t="shared" si="64"/>
        <v>99.642564811935472</v>
      </c>
      <c r="H820" s="344">
        <v>100</v>
      </c>
      <c r="I820" s="4643"/>
      <c r="J820" s="4910"/>
      <c r="K820" s="1212"/>
      <c r="L820" s="1212"/>
    </row>
    <row r="821" spans="1:12" s="196" customFormat="1" ht="17.25" hidden="1" customHeight="1" x14ac:dyDescent="0.25">
      <c r="A821" s="513"/>
      <c r="B821" s="1139"/>
      <c r="C821" s="2154" t="s">
        <v>2120</v>
      </c>
      <c r="D821" s="576">
        <v>390898051</v>
      </c>
      <c r="E821" s="1963">
        <v>390898051</v>
      </c>
      <c r="F821" s="1963"/>
      <c r="G821" s="149">
        <f t="shared" si="64"/>
        <v>100</v>
      </c>
      <c r="H821" s="344">
        <v>100</v>
      </c>
      <c r="I821" s="4643"/>
      <c r="J821" s="4910"/>
      <c r="K821" s="1212"/>
      <c r="L821" s="1212"/>
    </row>
    <row r="822" spans="1:12" s="196" customFormat="1" ht="17.25" hidden="1" customHeight="1" x14ac:dyDescent="0.25">
      <c r="A822" s="513"/>
      <c r="B822" s="1139"/>
      <c r="C822" s="2154" t="s">
        <v>4078</v>
      </c>
      <c r="D822" s="576">
        <v>990000000</v>
      </c>
      <c r="E822" s="1963">
        <v>990000000</v>
      </c>
      <c r="F822" s="1963"/>
      <c r="G822" s="149">
        <f t="shared" si="64"/>
        <v>100</v>
      </c>
      <c r="H822" s="344">
        <v>100</v>
      </c>
      <c r="I822" s="4643"/>
      <c r="J822" s="4910"/>
      <c r="K822" s="1212"/>
      <c r="L822" s="1212"/>
    </row>
    <row r="823" spans="1:12" ht="14.25" hidden="1" customHeight="1" x14ac:dyDescent="0.25">
      <c r="A823" s="999"/>
      <c r="B823" s="1024"/>
      <c r="C823" s="2159"/>
      <c r="D823" s="576"/>
      <c r="E823" s="201"/>
      <c r="F823" s="201"/>
      <c r="G823" s="149"/>
      <c r="H823" s="1932"/>
      <c r="I823" s="4637"/>
      <c r="J823" s="4890"/>
      <c r="K823" s="536"/>
      <c r="L823" s="536"/>
    </row>
    <row r="824" spans="1:12" s="32" customFormat="1" ht="18" hidden="1" customHeight="1" x14ac:dyDescent="0.25">
      <c r="A824" s="1015"/>
      <c r="B824" s="1024"/>
      <c r="C824" s="115" t="s">
        <v>2121</v>
      </c>
      <c r="D824" s="2406">
        <f>SUM(D825:D827)</f>
        <v>335339660</v>
      </c>
      <c r="E824" s="202">
        <f>SUM(E825:E827)</f>
        <v>335189660</v>
      </c>
      <c r="F824" s="202"/>
      <c r="G824" s="150">
        <f t="shared" si="64"/>
        <v>99.95526923358841</v>
      </c>
      <c r="H824" s="257">
        <f>SUM(H825:H827)/3</f>
        <v>100</v>
      </c>
      <c r="I824" s="4641"/>
      <c r="J824" s="4909"/>
      <c r="K824" s="1208"/>
      <c r="L824" s="1208"/>
    </row>
    <row r="825" spans="1:12" s="196" customFormat="1" ht="15.75" hidden="1" customHeight="1" x14ac:dyDescent="0.25">
      <c r="A825" s="513"/>
      <c r="B825" s="1139"/>
      <c r="C825" s="2154" t="s">
        <v>2122</v>
      </c>
      <c r="D825" s="576">
        <v>101488000</v>
      </c>
      <c r="E825" s="201">
        <v>101488000</v>
      </c>
      <c r="F825" s="201"/>
      <c r="G825" s="149">
        <f t="shared" si="64"/>
        <v>100</v>
      </c>
      <c r="H825" s="344">
        <v>100</v>
      </c>
      <c r="I825" s="4643"/>
      <c r="J825" s="4910"/>
      <c r="K825" s="1212"/>
      <c r="L825" s="1212"/>
    </row>
    <row r="826" spans="1:12" s="196" customFormat="1" ht="15.75" hidden="1" customHeight="1" x14ac:dyDescent="0.25">
      <c r="A826" s="513"/>
      <c r="B826" s="1139"/>
      <c r="C826" s="2154" t="s">
        <v>2123</v>
      </c>
      <c r="D826" s="576">
        <v>109635660</v>
      </c>
      <c r="E826" s="149">
        <v>109485660</v>
      </c>
      <c r="F826" s="149"/>
      <c r="G826" s="149">
        <f>SUM(E826/D826)*100</f>
        <v>99.863183201524038</v>
      </c>
      <c r="H826" s="149">
        <v>100</v>
      </c>
      <c r="I826" s="4643"/>
      <c r="J826" s="4910"/>
      <c r="K826" s="1212"/>
      <c r="L826" s="1212"/>
    </row>
    <row r="827" spans="1:12" s="196" customFormat="1" ht="15.75" hidden="1" customHeight="1" x14ac:dyDescent="0.25">
      <c r="A827" s="513"/>
      <c r="B827" s="1139"/>
      <c r="C827" s="2154" t="s">
        <v>2124</v>
      </c>
      <c r="D827" s="576">
        <v>124216000</v>
      </c>
      <c r="E827" s="201">
        <v>124216000</v>
      </c>
      <c r="F827" s="201"/>
      <c r="G827" s="149">
        <f t="shared" si="64"/>
        <v>100</v>
      </c>
      <c r="H827" s="344">
        <v>100</v>
      </c>
      <c r="I827" s="4643"/>
      <c r="J827" s="4910"/>
      <c r="K827" s="1212"/>
      <c r="L827" s="1212"/>
    </row>
    <row r="828" spans="1:12" ht="16.5" hidden="1" customHeight="1" x14ac:dyDescent="0.25">
      <c r="B828" s="1024"/>
      <c r="C828" s="64"/>
      <c r="D828" s="2164"/>
      <c r="E828" s="2167"/>
      <c r="F828" s="2167"/>
      <c r="G828" s="207"/>
      <c r="H828" s="1926"/>
      <c r="I828" s="4856"/>
      <c r="J828" s="4857"/>
    </row>
    <row r="829" spans="1:12" ht="16.5" hidden="1" customHeight="1" x14ac:dyDescent="0.25">
      <c r="B829" s="1029"/>
      <c r="C829" s="56" t="s">
        <v>1789</v>
      </c>
      <c r="D829" s="1988">
        <f>D830</f>
        <v>947929485</v>
      </c>
      <c r="E829" s="1988">
        <f>E830</f>
        <v>904447500</v>
      </c>
      <c r="F829" s="1988"/>
      <c r="G829" s="200">
        <f>E829/D829*100</f>
        <v>95.412951523498606</v>
      </c>
      <c r="H829" s="1154">
        <f>H830</f>
        <v>100</v>
      </c>
      <c r="I829" s="4856"/>
      <c r="J829" s="4857"/>
    </row>
    <row r="830" spans="1:12" ht="19.5" hidden="1" customHeight="1" x14ac:dyDescent="0.25">
      <c r="B830" s="1024"/>
      <c r="C830" s="63" t="s">
        <v>2161</v>
      </c>
      <c r="D830" s="202">
        <f>D831</f>
        <v>947929485</v>
      </c>
      <c r="E830" s="202">
        <f>E831</f>
        <v>904447500</v>
      </c>
      <c r="F830" s="202"/>
      <c r="G830" s="150">
        <f t="shared" ref="G830" si="65">SUM(E830/D830)*100</f>
        <v>95.412951523498606</v>
      </c>
      <c r="H830" s="150">
        <f>H831</f>
        <v>100</v>
      </c>
      <c r="I830" s="4856"/>
      <c r="J830" s="4857"/>
    </row>
    <row r="831" spans="1:12" ht="16.5" hidden="1" customHeight="1" x14ac:dyDescent="0.25">
      <c r="B831" s="1024"/>
      <c r="C831" s="61" t="s">
        <v>2162</v>
      </c>
      <c r="D831" s="201">
        <v>947929485</v>
      </c>
      <c r="E831" s="149">
        <v>904447500</v>
      </c>
      <c r="F831" s="149"/>
      <c r="G831" s="201">
        <f t="shared" ref="G831" si="66">E831/D831*100</f>
        <v>95.412951523498606</v>
      </c>
      <c r="H831" s="149">
        <v>100</v>
      </c>
      <c r="I831" s="4856"/>
      <c r="J831" s="4857"/>
    </row>
    <row r="832" spans="1:12" ht="13.5" hidden="1" customHeight="1" x14ac:dyDescent="0.25">
      <c r="B832" s="1024"/>
      <c r="C832" s="64"/>
      <c r="D832" s="2164"/>
      <c r="E832" s="2167"/>
      <c r="F832" s="2167"/>
      <c r="G832" s="207"/>
      <c r="H832" s="1926"/>
      <c r="I832" s="4856"/>
      <c r="J832" s="4857"/>
    </row>
    <row r="833" spans="2:10" ht="19.5" hidden="1" customHeight="1" x14ac:dyDescent="0.25">
      <c r="B833" s="1029"/>
      <c r="C833" s="89" t="s">
        <v>3305</v>
      </c>
      <c r="D833" s="200">
        <f>D834</f>
        <v>6000000</v>
      </c>
      <c r="E833" s="200">
        <f>E834</f>
        <v>6000000</v>
      </c>
      <c r="F833" s="200"/>
      <c r="G833" s="200">
        <f>E833/D833*100</f>
        <v>100</v>
      </c>
      <c r="H833" s="346">
        <f>H834</f>
        <v>100</v>
      </c>
      <c r="I833" s="4856"/>
      <c r="J833" s="4857"/>
    </row>
    <row r="834" spans="2:10" ht="16.5" hidden="1" customHeight="1" x14ac:dyDescent="0.25">
      <c r="B834" s="1024"/>
      <c r="C834" s="59" t="s">
        <v>2199</v>
      </c>
      <c r="D834" s="2427">
        <f>D835</f>
        <v>6000000</v>
      </c>
      <c r="E834" s="2427">
        <f>E835</f>
        <v>6000000</v>
      </c>
      <c r="F834" s="2427"/>
      <c r="G834" s="150">
        <f t="shared" ref="G834:G835" si="67">SUM(E834/D834)*100</f>
        <v>100</v>
      </c>
      <c r="H834" s="1924">
        <f>H835</f>
        <v>100</v>
      </c>
      <c r="I834" s="4856"/>
      <c r="J834" s="4857"/>
    </row>
    <row r="835" spans="2:10" ht="16.5" hidden="1" customHeight="1" x14ac:dyDescent="0.25">
      <c r="B835" s="1993"/>
      <c r="C835" s="61" t="s">
        <v>2200</v>
      </c>
      <c r="D835" s="2428">
        <v>6000000</v>
      </c>
      <c r="E835" s="382">
        <v>6000000</v>
      </c>
      <c r="F835" s="382"/>
      <c r="G835" s="149">
        <f t="shared" si="67"/>
        <v>100</v>
      </c>
      <c r="H835" s="1476">
        <v>100</v>
      </c>
      <c r="I835" s="4856"/>
      <c r="J835" s="4857"/>
    </row>
    <row r="836" spans="2:10" ht="16.5" hidden="1" customHeight="1" x14ac:dyDescent="0.25">
      <c r="B836" s="1024"/>
      <c r="C836" s="64"/>
      <c r="D836" s="2164"/>
      <c r="E836" s="2167"/>
      <c r="F836" s="2167"/>
      <c r="G836" s="207"/>
      <c r="H836" s="1926"/>
      <c r="I836" s="4856"/>
      <c r="J836" s="4857"/>
    </row>
    <row r="837" spans="2:10" ht="18.75" hidden="1" customHeight="1" x14ac:dyDescent="0.25">
      <c r="B837" s="1029"/>
      <c r="C837" s="89" t="s">
        <v>3306</v>
      </c>
      <c r="D837" s="200">
        <f>SUM(D838+D842)</f>
        <v>681319000</v>
      </c>
      <c r="E837" s="200">
        <f>SUM(E838+E842)</f>
        <v>681319000</v>
      </c>
      <c r="F837" s="200"/>
      <c r="G837" s="200">
        <f>E837/D837*100</f>
        <v>100</v>
      </c>
      <c r="H837" s="346">
        <f>SUM(H838+H842)/2</f>
        <v>100</v>
      </c>
      <c r="I837" s="4856"/>
      <c r="J837" s="4857"/>
    </row>
    <row r="838" spans="2:10" ht="23.25" hidden="1" customHeight="1" x14ac:dyDescent="0.25">
      <c r="B838" s="1024"/>
      <c r="C838" s="134" t="s">
        <v>2209</v>
      </c>
      <c r="D838" s="202">
        <f>D839+D840</f>
        <v>431799000</v>
      </c>
      <c r="E838" s="202">
        <f>E839+E840</f>
        <v>431799000</v>
      </c>
      <c r="F838" s="101"/>
      <c r="G838" s="101">
        <f>SUM(E838/D838)*100</f>
        <v>100</v>
      </c>
      <c r="H838" s="150">
        <v>100</v>
      </c>
      <c r="I838" s="4856"/>
      <c r="J838" s="4857"/>
    </row>
    <row r="839" spans="2:10" ht="17.25" hidden="1" customHeight="1" x14ac:dyDescent="0.25">
      <c r="B839" s="1024"/>
      <c r="C839" s="82" t="s">
        <v>2210</v>
      </c>
      <c r="D839" s="2156">
        <v>181799000</v>
      </c>
      <c r="E839" s="149">
        <v>181799000</v>
      </c>
      <c r="F839" s="149"/>
      <c r="G839" s="149">
        <f>SUM(E839/D839)*100</f>
        <v>100</v>
      </c>
      <c r="H839" s="149">
        <v>100</v>
      </c>
      <c r="I839" s="4856"/>
      <c r="J839" s="4857"/>
    </row>
    <row r="840" spans="2:10" ht="16.5" hidden="1" customHeight="1" x14ac:dyDescent="0.25">
      <c r="B840" s="1024"/>
      <c r="C840" s="82" t="s">
        <v>2211</v>
      </c>
      <c r="D840" s="201">
        <v>250000000</v>
      </c>
      <c r="E840" s="201">
        <v>250000000</v>
      </c>
      <c r="F840" s="201"/>
      <c r="G840" s="149">
        <f>SUM(E840/D840)*100</f>
        <v>100</v>
      </c>
      <c r="H840" s="344">
        <v>100</v>
      </c>
      <c r="I840" s="4856"/>
      <c r="J840" s="4857"/>
    </row>
    <row r="841" spans="2:10" ht="11.25" hidden="1" customHeight="1" x14ac:dyDescent="0.25">
      <c r="B841" s="1024"/>
      <c r="C841" s="136"/>
      <c r="D841" s="1963"/>
      <c r="E841" s="1086"/>
      <c r="F841" s="1086"/>
      <c r="G841" s="201"/>
      <c r="H841" s="344"/>
      <c r="I841" s="4856"/>
      <c r="J841" s="4857"/>
    </row>
    <row r="842" spans="2:10" ht="19.5" hidden="1" customHeight="1" x14ac:dyDescent="0.25">
      <c r="B842" s="1024"/>
      <c r="C842" s="134" t="s">
        <v>2212</v>
      </c>
      <c r="D842" s="1915">
        <f>D843</f>
        <v>249520000</v>
      </c>
      <c r="E842" s="1915">
        <f>E843</f>
        <v>249520000</v>
      </c>
      <c r="F842" s="1915"/>
      <c r="G842" s="202">
        <f t="shared" ref="G842:G843" si="68">E842/D842*100</f>
        <v>100</v>
      </c>
      <c r="H842" s="257">
        <f>H843</f>
        <v>100</v>
      </c>
      <c r="I842" s="4856"/>
      <c r="J842" s="4857"/>
    </row>
    <row r="843" spans="2:10" ht="16.5" hidden="1" customHeight="1" x14ac:dyDescent="0.25">
      <c r="B843" s="1024"/>
      <c r="C843" s="82" t="s">
        <v>2213</v>
      </c>
      <c r="D843" s="2156">
        <v>249520000</v>
      </c>
      <c r="E843" s="2156">
        <v>249520000</v>
      </c>
      <c r="F843" s="2156"/>
      <c r="G843" s="201">
        <f t="shared" si="68"/>
        <v>100</v>
      </c>
      <c r="H843" s="344">
        <v>100</v>
      </c>
      <c r="I843" s="4856"/>
      <c r="J843" s="4857"/>
    </row>
    <row r="844" spans="2:10" ht="16.5" hidden="1" customHeight="1" x14ac:dyDescent="0.25">
      <c r="B844" s="1024"/>
      <c r="C844" s="53"/>
      <c r="D844" s="2164"/>
      <c r="E844" s="2167"/>
      <c r="F844" s="2167"/>
      <c r="G844" s="207"/>
      <c r="H844" s="1926"/>
      <c r="I844" s="4856"/>
      <c r="J844" s="4857"/>
    </row>
    <row r="845" spans="2:10" ht="21.75" hidden="1" customHeight="1" x14ac:dyDescent="0.25">
      <c r="B845" s="1029"/>
      <c r="C845" s="89" t="s">
        <v>3311</v>
      </c>
      <c r="D845" s="200">
        <f>D846</f>
        <v>2000000924</v>
      </c>
      <c r="E845" s="200">
        <f>E846</f>
        <v>2000000924</v>
      </c>
      <c r="F845" s="200"/>
      <c r="G845" s="200">
        <f>E845/D845*100</f>
        <v>100</v>
      </c>
      <c r="H845" s="346">
        <f>H846</f>
        <v>100</v>
      </c>
      <c r="I845" s="4856"/>
      <c r="J845" s="4857"/>
    </row>
    <row r="846" spans="2:10" ht="16.5" hidden="1" customHeight="1" x14ac:dyDescent="0.25">
      <c r="B846" s="1024"/>
      <c r="C846" s="129" t="s">
        <v>3216</v>
      </c>
      <c r="D846" s="1529">
        <f>SUM(D847:D848)</f>
        <v>2000000924</v>
      </c>
      <c r="E846" s="1529">
        <f>SUM(E847:E848)</f>
        <v>2000000924</v>
      </c>
      <c r="F846" s="1529"/>
      <c r="G846" s="202">
        <f>E846/D846*100</f>
        <v>100</v>
      </c>
      <c r="H846" s="257">
        <f>SUM(H847:H848)/2</f>
        <v>100</v>
      </c>
      <c r="I846" s="4856"/>
      <c r="J846" s="4857"/>
    </row>
    <row r="847" spans="2:10" ht="16.5" hidden="1" customHeight="1" x14ac:dyDescent="0.25">
      <c r="B847" s="1024"/>
      <c r="C847" s="82" t="s">
        <v>3217</v>
      </c>
      <c r="D847" s="2156">
        <v>1000000924</v>
      </c>
      <c r="E847" s="576">
        <v>1000000924</v>
      </c>
      <c r="F847" s="2416"/>
      <c r="G847" s="207">
        <f>SUM(E847/D847)*100</f>
        <v>100</v>
      </c>
      <c r="H847" s="344">
        <v>100</v>
      </c>
      <c r="I847" s="4856"/>
      <c r="J847" s="4857"/>
    </row>
    <row r="848" spans="2:10" ht="17.25" hidden="1" customHeight="1" x14ac:dyDescent="0.25">
      <c r="B848" s="1024"/>
      <c r="C848" s="82" t="s">
        <v>3218</v>
      </c>
      <c r="D848" s="2156">
        <v>1000000000</v>
      </c>
      <c r="E848" s="201">
        <v>1000000000</v>
      </c>
      <c r="F848" s="201"/>
      <c r="G848" s="201">
        <f>SUM(E848/D848)*100</f>
        <v>100</v>
      </c>
      <c r="H848" s="344">
        <v>100</v>
      </c>
      <c r="I848" s="4856"/>
      <c r="J848" s="4857"/>
    </row>
    <row r="849" spans="1:12" ht="12" hidden="1" customHeight="1" x14ac:dyDescent="0.25">
      <c r="B849" s="1024"/>
      <c r="C849" s="119"/>
      <c r="D849" s="2176"/>
      <c r="E849" s="2176"/>
      <c r="F849" s="1956"/>
      <c r="G849" s="207"/>
      <c r="H849" s="1956"/>
      <c r="I849" s="4856"/>
      <c r="J849" s="4857"/>
    </row>
    <row r="850" spans="1:12" ht="19.5" hidden="1" customHeight="1" x14ac:dyDescent="0.25">
      <c r="B850" s="1029"/>
      <c r="C850" s="56" t="s">
        <v>3313</v>
      </c>
      <c r="D850" s="200">
        <f>SUM(D851)</f>
        <v>789700000</v>
      </c>
      <c r="E850" s="200">
        <f>SUM(E851)</f>
        <v>789700000</v>
      </c>
      <c r="F850" s="200"/>
      <c r="G850" s="200">
        <f>SUM(E850/D850)*100</f>
        <v>100</v>
      </c>
      <c r="H850" s="1154">
        <v>100</v>
      </c>
      <c r="I850" s="4856"/>
      <c r="J850" s="4857"/>
    </row>
    <row r="851" spans="1:12" ht="19.5" hidden="1" customHeight="1" x14ac:dyDescent="0.25">
      <c r="B851" s="1993"/>
      <c r="C851" s="2013" t="s">
        <v>2226</v>
      </c>
      <c r="D851" s="2429">
        <f>D852</f>
        <v>789700000</v>
      </c>
      <c r="E851" s="2429">
        <f>E852</f>
        <v>789700000</v>
      </c>
      <c r="F851" s="2429"/>
      <c r="G851" s="414">
        <f>SUM(E851/D851)*100</f>
        <v>100</v>
      </c>
      <c r="H851" s="247">
        <v>100</v>
      </c>
      <c r="I851" s="4856"/>
      <c r="J851" s="4857"/>
    </row>
    <row r="852" spans="1:12" ht="20.25" hidden="1" customHeight="1" x14ac:dyDescent="0.25">
      <c r="B852" s="1904"/>
      <c r="C852" s="61" t="s">
        <v>2227</v>
      </c>
      <c r="D852" s="201">
        <v>789700000</v>
      </c>
      <c r="E852" s="382">
        <v>789700000</v>
      </c>
      <c r="F852" s="4941"/>
      <c r="G852" s="207">
        <f>SUM(E852/D852)*100</f>
        <v>100</v>
      </c>
      <c r="H852" s="149">
        <v>100</v>
      </c>
      <c r="I852" s="4856"/>
      <c r="J852" s="4857"/>
    </row>
    <row r="853" spans="1:12" ht="12" hidden="1" customHeight="1" x14ac:dyDescent="0.25">
      <c r="B853" s="1024"/>
      <c r="C853" s="119"/>
      <c r="D853" s="2176"/>
      <c r="E853" s="2176"/>
      <c r="F853" s="2176"/>
      <c r="G853" s="1920"/>
      <c r="H853" s="1956"/>
      <c r="I853" s="4856"/>
      <c r="J853" s="4857"/>
    </row>
    <row r="854" spans="1:12" ht="18" customHeight="1" x14ac:dyDescent="0.25">
      <c r="B854" s="2455"/>
      <c r="C854" s="2430" t="s">
        <v>2231</v>
      </c>
      <c r="D854" s="424">
        <f>(D856+D925+D951+D929+D939+D944+D948)</f>
        <v>44180000000</v>
      </c>
      <c r="E854" s="424">
        <f>(E856+E925+E951+E929+E939+E944+E948)</f>
        <v>40823606503</v>
      </c>
      <c r="F854" s="1900">
        <f>D854-E854</f>
        <v>3356393497</v>
      </c>
      <c r="G854" s="2329">
        <f>E854/D854*100</f>
        <v>92.402911957899505</v>
      </c>
      <c r="H854" s="424">
        <f>SUM(H856+H925+H929+H939+H944+H948+H951)/7</f>
        <v>85.571428571428569</v>
      </c>
      <c r="I854" s="4885"/>
      <c r="J854" s="4857"/>
    </row>
    <row r="855" spans="1:12" ht="9" hidden="1" customHeight="1" x14ac:dyDescent="0.25">
      <c r="B855" s="1024"/>
      <c r="C855" s="2013"/>
      <c r="D855" s="2431"/>
      <c r="E855" s="2183"/>
      <c r="F855" s="2183"/>
      <c r="G855" s="2183"/>
      <c r="H855" s="101"/>
      <c r="I855" s="4856"/>
      <c r="J855" s="4857"/>
    </row>
    <row r="856" spans="1:12" ht="18.75" hidden="1" customHeight="1" x14ac:dyDescent="0.25">
      <c r="B856" s="1029"/>
      <c r="C856" s="2028" t="s">
        <v>2232</v>
      </c>
      <c r="D856" s="1988">
        <f>D857+D866+D898+D906+D910+D914+D917+D922</f>
        <v>33370000000</v>
      </c>
      <c r="E856" s="1988">
        <f>E857+E866+E898+E906+E910+E914+E917+E922</f>
        <v>32087540503</v>
      </c>
      <c r="F856" s="1988"/>
      <c r="G856" s="164">
        <f>E856/D856*100</f>
        <v>96.15684897512736</v>
      </c>
      <c r="H856" s="346">
        <f>SUM(H857+H866+H898+H906+H910+H914+H917+H922)/8</f>
        <v>99</v>
      </c>
      <c r="I856" s="4856"/>
      <c r="J856" s="4857"/>
    </row>
    <row r="857" spans="1:12" ht="16.5" hidden="1" customHeight="1" x14ac:dyDescent="0.25">
      <c r="B857" s="1992"/>
      <c r="C857" s="2372" t="s">
        <v>243</v>
      </c>
      <c r="D857" s="92">
        <f>SUM(D858:D864)</f>
        <v>1680000000</v>
      </c>
      <c r="E857" s="92">
        <f>SUM(E858:E864)</f>
        <v>1670000000</v>
      </c>
      <c r="F857" s="92"/>
      <c r="G857" s="249">
        <f>E857/D857*100</f>
        <v>99.404761904761912</v>
      </c>
      <c r="H857" s="249">
        <f>SUM(H861:H864)/4</f>
        <v>100</v>
      </c>
      <c r="I857" s="4637"/>
      <c r="J857" s="4890"/>
      <c r="K857" s="536"/>
      <c r="L857" s="536"/>
    </row>
    <row r="858" spans="1:12" ht="14.25" hidden="1" customHeight="1" x14ac:dyDescent="0.25">
      <c r="B858" s="1024"/>
      <c r="C858" s="61" t="s">
        <v>2233</v>
      </c>
      <c r="D858" s="929" t="s">
        <v>3317</v>
      </c>
      <c r="E858" s="929" t="s">
        <v>3317</v>
      </c>
      <c r="F858" s="929"/>
      <c r="G858" s="929" t="s">
        <v>3317</v>
      </c>
      <c r="H858" s="929" t="s">
        <v>3317</v>
      </c>
      <c r="I858" s="4637"/>
      <c r="J858" s="4890"/>
      <c r="K858" s="536"/>
      <c r="L858" s="536"/>
    </row>
    <row r="859" spans="1:12" ht="15.75" hidden="1" customHeight="1" x14ac:dyDescent="0.25">
      <c r="B859" s="1024"/>
      <c r="C859" s="61" t="s">
        <v>2234</v>
      </c>
      <c r="D859" s="929" t="s">
        <v>3317</v>
      </c>
      <c r="E859" s="929" t="s">
        <v>3317</v>
      </c>
      <c r="F859" s="929"/>
      <c r="G859" s="929" t="s">
        <v>3317</v>
      </c>
      <c r="H859" s="929" t="s">
        <v>3317</v>
      </c>
      <c r="I859" s="4637"/>
      <c r="J859" s="4890"/>
      <c r="K859" s="536"/>
      <c r="L859" s="536"/>
    </row>
    <row r="860" spans="1:12" ht="15" hidden="1" customHeight="1" x14ac:dyDescent="0.25">
      <c r="A860" s="999"/>
      <c r="B860" s="1024"/>
      <c r="C860" s="61" t="s">
        <v>3950</v>
      </c>
      <c r="D860" s="929" t="s">
        <v>3317</v>
      </c>
      <c r="E860" s="929" t="s">
        <v>3317</v>
      </c>
      <c r="F860" s="929"/>
      <c r="G860" s="929" t="s">
        <v>3317</v>
      </c>
      <c r="H860" s="929" t="s">
        <v>3317</v>
      </c>
      <c r="I860" s="4637"/>
      <c r="J860" s="4890"/>
      <c r="K860" s="536"/>
      <c r="L860" s="536"/>
    </row>
    <row r="861" spans="1:12" ht="15.75" hidden="1" customHeight="1" x14ac:dyDescent="0.25">
      <c r="A861" s="999"/>
      <c r="B861" s="1024"/>
      <c r="C861" s="61" t="s">
        <v>2235</v>
      </c>
      <c r="D861" s="930">
        <v>1000000000</v>
      </c>
      <c r="E861" s="2373">
        <v>995000000</v>
      </c>
      <c r="F861" s="2373"/>
      <c r="G861" s="250">
        <f>E861/D861*100</f>
        <v>99.5</v>
      </c>
      <c r="H861" s="250">
        <v>100</v>
      </c>
      <c r="I861" s="4637"/>
      <c r="J861" s="4890"/>
      <c r="K861" s="536"/>
      <c r="L861" s="536"/>
    </row>
    <row r="862" spans="1:12" ht="13.5" hidden="1" customHeight="1" x14ac:dyDescent="0.25">
      <c r="A862" s="999"/>
      <c r="B862" s="1024"/>
      <c r="C862" s="61" t="s">
        <v>2236</v>
      </c>
      <c r="D862" s="930">
        <v>280000000</v>
      </c>
      <c r="E862" s="2373">
        <v>277500000</v>
      </c>
      <c r="F862" s="2373"/>
      <c r="G862" s="250">
        <f t="shared" ref="G862:G864" si="69">E862/D862*100</f>
        <v>99.107142857142861</v>
      </c>
      <c r="H862" s="250">
        <v>100</v>
      </c>
      <c r="I862" s="4637"/>
      <c r="J862" s="4890"/>
      <c r="K862" s="536"/>
      <c r="L862" s="536"/>
    </row>
    <row r="863" spans="1:12" ht="13.5" hidden="1" customHeight="1" x14ac:dyDescent="0.25">
      <c r="A863" s="999"/>
      <c r="B863" s="1024"/>
      <c r="C863" s="61" t="s">
        <v>2237</v>
      </c>
      <c r="D863" s="930">
        <v>250000000</v>
      </c>
      <c r="E863" s="2373">
        <v>247500000</v>
      </c>
      <c r="F863" s="2373"/>
      <c r="G863" s="250">
        <f t="shared" si="69"/>
        <v>99</v>
      </c>
      <c r="H863" s="250">
        <v>100</v>
      </c>
      <c r="I863" s="4637"/>
      <c r="J863" s="4890"/>
      <c r="K863" s="536"/>
      <c r="L863" s="536"/>
    </row>
    <row r="864" spans="1:12" ht="13.5" hidden="1" customHeight="1" x14ac:dyDescent="0.25">
      <c r="A864" s="999"/>
      <c r="B864" s="1024"/>
      <c r="C864" s="61" t="s">
        <v>2238</v>
      </c>
      <c r="D864" s="930">
        <v>150000000</v>
      </c>
      <c r="E864" s="2373">
        <v>150000000</v>
      </c>
      <c r="F864" s="2373"/>
      <c r="G864" s="250">
        <f t="shared" si="69"/>
        <v>100</v>
      </c>
      <c r="H864" s="250">
        <v>100</v>
      </c>
      <c r="I864" s="4637"/>
      <c r="J864" s="4890"/>
      <c r="K864" s="536"/>
      <c r="L864" s="536"/>
    </row>
    <row r="865" spans="2:12" ht="6.75" hidden="1" customHeight="1" x14ac:dyDescent="0.25">
      <c r="B865" s="1024"/>
      <c r="C865" s="61"/>
      <c r="D865" s="930"/>
      <c r="E865" s="981"/>
      <c r="F865" s="981"/>
      <c r="G865" s="249"/>
      <c r="H865" s="2374"/>
      <c r="I865" s="4637"/>
      <c r="J865" s="4890"/>
      <c r="K865" s="536"/>
      <c r="L865" s="536"/>
    </row>
    <row r="866" spans="2:12" ht="15.75" hidden="1" customHeight="1" x14ac:dyDescent="0.25">
      <c r="B866" s="2098"/>
      <c r="C866" s="1473" t="s">
        <v>1247</v>
      </c>
      <c r="D866" s="92">
        <f>SUM(D867:D892)</f>
        <v>26271500000</v>
      </c>
      <c r="E866" s="92">
        <f>SUM(E867:E892)</f>
        <v>25258329703</v>
      </c>
      <c r="F866" s="92"/>
      <c r="G866" s="249">
        <f>E866/D866*100</f>
        <v>96.143462318482008</v>
      </c>
      <c r="H866" s="537">
        <f>SUM(H867:H890)/25</f>
        <v>92</v>
      </c>
      <c r="I866" s="4637"/>
      <c r="J866" s="4890"/>
      <c r="K866" s="536"/>
      <c r="L866" s="536"/>
    </row>
    <row r="867" spans="2:12" ht="15" hidden="1" customHeight="1" x14ac:dyDescent="0.25">
      <c r="B867" s="1024"/>
      <c r="C867" s="61" t="s">
        <v>2239</v>
      </c>
      <c r="D867" s="930">
        <v>900000000</v>
      </c>
      <c r="E867" s="913">
        <v>896500000</v>
      </c>
      <c r="F867" s="913"/>
      <c r="G867" s="250">
        <f>E867/D867*100</f>
        <v>99.6111111111111</v>
      </c>
      <c r="H867" s="519">
        <v>100</v>
      </c>
      <c r="I867" s="4637"/>
      <c r="J867" s="4890"/>
      <c r="K867" s="536"/>
      <c r="L867" s="536"/>
    </row>
    <row r="868" spans="2:12" ht="15.75" hidden="1" customHeight="1" x14ac:dyDescent="0.25">
      <c r="B868" s="1024"/>
      <c r="C868" s="61" t="s">
        <v>2240</v>
      </c>
      <c r="D868" s="930">
        <v>2000000000</v>
      </c>
      <c r="E868" s="913">
        <v>1999966203</v>
      </c>
      <c r="F868" s="913"/>
      <c r="G868" s="250">
        <f t="shared" ref="G868:G869" si="70">E868/D868*100</f>
        <v>99.998310150000009</v>
      </c>
      <c r="H868" s="519">
        <v>100</v>
      </c>
      <c r="I868" s="4637"/>
      <c r="J868" s="4890"/>
      <c r="K868" s="536"/>
      <c r="L868" s="536"/>
    </row>
    <row r="869" spans="2:12" ht="15.75" hidden="1" customHeight="1" x14ac:dyDescent="0.25">
      <c r="B869" s="1024"/>
      <c r="C869" s="61" t="s">
        <v>2241</v>
      </c>
      <c r="D869" s="930">
        <v>1540000000</v>
      </c>
      <c r="E869" s="519">
        <v>1539923000</v>
      </c>
      <c r="F869" s="519"/>
      <c r="G869" s="250">
        <f t="shared" si="70"/>
        <v>99.995000000000005</v>
      </c>
      <c r="H869" s="519">
        <v>100</v>
      </c>
      <c r="I869" s="4637"/>
      <c r="J869" s="4890"/>
      <c r="K869" s="536"/>
      <c r="L869" s="536"/>
    </row>
    <row r="870" spans="2:12" ht="14.25" hidden="1" customHeight="1" x14ac:dyDescent="0.25">
      <c r="B870" s="1024"/>
      <c r="C870" s="61" t="s">
        <v>2242</v>
      </c>
      <c r="D870" s="930">
        <v>1850000000</v>
      </c>
      <c r="E870" s="913">
        <v>1845000000</v>
      </c>
      <c r="F870" s="913"/>
      <c r="G870" s="250">
        <f>E870/D870*100</f>
        <v>99.729729729729726</v>
      </c>
      <c r="H870" s="519">
        <v>100</v>
      </c>
      <c r="I870" s="4637"/>
      <c r="J870" s="4890"/>
      <c r="K870" s="536"/>
      <c r="L870" s="536"/>
    </row>
    <row r="871" spans="2:12" ht="15.75" hidden="1" customHeight="1" x14ac:dyDescent="0.25">
      <c r="B871" s="1024"/>
      <c r="C871" s="61" t="s">
        <v>2243</v>
      </c>
      <c r="D871" s="930">
        <v>700000000</v>
      </c>
      <c r="E871" s="913">
        <v>697500000</v>
      </c>
      <c r="F871" s="913"/>
      <c r="G871" s="250">
        <f t="shared" ref="G871:G875" si="71">E871/D871*100</f>
        <v>99.642857142857139</v>
      </c>
      <c r="H871" s="206">
        <v>100</v>
      </c>
      <c r="I871" s="4637"/>
      <c r="J871" s="4890"/>
      <c r="K871" s="536"/>
      <c r="L871" s="536"/>
    </row>
    <row r="872" spans="2:12" ht="14.25" hidden="1" customHeight="1" x14ac:dyDescent="0.25">
      <c r="B872" s="1024"/>
      <c r="C872" s="61" t="s">
        <v>2244</v>
      </c>
      <c r="D872" s="930">
        <v>880000000</v>
      </c>
      <c r="E872" s="913">
        <v>876500000</v>
      </c>
      <c r="F872" s="913"/>
      <c r="G872" s="250">
        <f t="shared" si="71"/>
        <v>99.60227272727272</v>
      </c>
      <c r="H872" s="206">
        <v>100</v>
      </c>
      <c r="I872" s="4637"/>
      <c r="J872" s="4890"/>
      <c r="K872" s="536"/>
      <c r="L872" s="536"/>
    </row>
    <row r="873" spans="2:12" ht="15.75" hidden="1" customHeight="1" x14ac:dyDescent="0.25">
      <c r="B873" s="1024"/>
      <c r="C873" s="61" t="s">
        <v>2245</v>
      </c>
      <c r="D873" s="930">
        <v>1400000000</v>
      </c>
      <c r="E873" s="519">
        <v>1394500000</v>
      </c>
      <c r="F873" s="519"/>
      <c r="G873" s="250">
        <f t="shared" si="71"/>
        <v>99.607142857142861</v>
      </c>
      <c r="H873" s="206">
        <v>100</v>
      </c>
      <c r="I873" s="4637"/>
      <c r="J873" s="4890"/>
      <c r="K873" s="536"/>
      <c r="L873" s="536"/>
    </row>
    <row r="874" spans="2:12" ht="14.25" hidden="1" customHeight="1" x14ac:dyDescent="0.25">
      <c r="B874" s="1024"/>
      <c r="C874" s="61" t="s">
        <v>2246</v>
      </c>
      <c r="D874" s="930">
        <v>55000000</v>
      </c>
      <c r="E874" s="519">
        <v>55000000</v>
      </c>
      <c r="F874" s="519"/>
      <c r="G874" s="250">
        <f t="shared" si="71"/>
        <v>100</v>
      </c>
      <c r="H874" s="206">
        <v>100</v>
      </c>
      <c r="I874" s="4637"/>
      <c r="J874" s="4890"/>
      <c r="K874" s="536"/>
      <c r="L874" s="536"/>
    </row>
    <row r="875" spans="2:12" ht="17.25" hidden="1" customHeight="1" x14ac:dyDescent="0.25">
      <c r="B875" s="1024"/>
      <c r="C875" s="61" t="s">
        <v>2247</v>
      </c>
      <c r="D875" s="930">
        <v>1100000000</v>
      </c>
      <c r="E875" s="519">
        <v>996000000</v>
      </c>
      <c r="F875" s="519"/>
      <c r="G875" s="250">
        <f t="shared" si="71"/>
        <v>90.545454545454547</v>
      </c>
      <c r="H875" s="206">
        <v>100</v>
      </c>
      <c r="I875" s="4637"/>
      <c r="J875" s="4890"/>
      <c r="K875" s="536"/>
      <c r="L875" s="536"/>
    </row>
    <row r="876" spans="2:12" ht="18.75" hidden="1" customHeight="1" x14ac:dyDescent="0.25">
      <c r="B876" s="1024"/>
      <c r="C876" s="61" t="s">
        <v>2248</v>
      </c>
      <c r="D876" s="930">
        <v>800000000</v>
      </c>
      <c r="E876" s="913">
        <v>797500000</v>
      </c>
      <c r="F876" s="913"/>
      <c r="G876" s="250">
        <f>E876/D876*100</f>
        <v>99.6875</v>
      </c>
      <c r="H876" s="206">
        <v>100</v>
      </c>
      <c r="I876" s="4637"/>
      <c r="J876" s="4890"/>
      <c r="K876" s="536"/>
      <c r="L876" s="536"/>
    </row>
    <row r="877" spans="2:12" ht="18.75" hidden="1" customHeight="1" x14ac:dyDescent="0.25">
      <c r="B877" s="1024"/>
      <c r="C877" s="61" t="s">
        <v>2249</v>
      </c>
      <c r="D877" s="930">
        <v>400000000</v>
      </c>
      <c r="E877" s="913">
        <v>396000000</v>
      </c>
      <c r="F877" s="913"/>
      <c r="G877" s="250">
        <f t="shared" ref="G877:G878" si="72">E877/D877*100</f>
        <v>99</v>
      </c>
      <c r="H877" s="206">
        <v>100</v>
      </c>
      <c r="I877" s="4637"/>
      <c r="J877" s="4890"/>
      <c r="K877" s="536"/>
      <c r="L877" s="536"/>
    </row>
    <row r="878" spans="2:12" ht="17.25" hidden="1" customHeight="1" x14ac:dyDescent="0.25">
      <c r="B878" s="1024"/>
      <c r="C878" s="61" t="s">
        <v>2250</v>
      </c>
      <c r="D878" s="930">
        <v>800000000</v>
      </c>
      <c r="E878" s="519">
        <v>797000000</v>
      </c>
      <c r="F878" s="519"/>
      <c r="G878" s="250">
        <f t="shared" si="72"/>
        <v>99.625</v>
      </c>
      <c r="H878" s="206">
        <v>100</v>
      </c>
      <c r="I878" s="4637"/>
      <c r="J878" s="4890"/>
      <c r="K878" s="536"/>
      <c r="L878" s="536"/>
    </row>
    <row r="879" spans="2:12" ht="18" hidden="1" customHeight="1" x14ac:dyDescent="0.25">
      <c r="B879" s="1024"/>
      <c r="C879" s="61" t="s">
        <v>2251</v>
      </c>
      <c r="D879" s="201" t="s">
        <v>3317</v>
      </c>
      <c r="E879" s="201" t="s">
        <v>3317</v>
      </c>
      <c r="F879" s="201"/>
      <c r="G879" s="201" t="s">
        <v>3317</v>
      </c>
      <c r="H879" s="201" t="s">
        <v>3317</v>
      </c>
      <c r="I879" s="4637"/>
      <c r="J879" s="4890"/>
      <c r="K879" s="536"/>
      <c r="L879" s="536"/>
    </row>
    <row r="880" spans="2:12" ht="18.75" hidden="1" customHeight="1" x14ac:dyDescent="0.25">
      <c r="B880" s="1024"/>
      <c r="C880" s="61" t="s">
        <v>2252</v>
      </c>
      <c r="D880" s="930">
        <v>2500000000</v>
      </c>
      <c r="E880" s="913">
        <v>2490000000</v>
      </c>
      <c r="F880" s="913"/>
      <c r="G880" s="250">
        <f>E880/D880*100</f>
        <v>99.6</v>
      </c>
      <c r="H880" s="206">
        <v>100</v>
      </c>
      <c r="I880" s="4637"/>
      <c r="J880" s="4890"/>
      <c r="K880" s="536"/>
      <c r="L880" s="536"/>
    </row>
    <row r="881" spans="1:12" ht="15.75" hidden="1" customHeight="1" x14ac:dyDescent="0.25">
      <c r="B881" s="1024"/>
      <c r="C881" s="61" t="s">
        <v>2253</v>
      </c>
      <c r="D881" s="930">
        <v>5100000000</v>
      </c>
      <c r="E881" s="913">
        <v>4924000000</v>
      </c>
      <c r="F881" s="913"/>
      <c r="G881" s="250">
        <f t="shared" ref="G881" si="73">E881/D881*100</f>
        <v>96.549019607843135</v>
      </c>
      <c r="H881" s="519">
        <v>100</v>
      </c>
      <c r="I881" s="4637"/>
      <c r="J881" s="4890"/>
      <c r="K881" s="536"/>
      <c r="L881" s="536"/>
    </row>
    <row r="882" spans="1:12" ht="14.25" hidden="1" customHeight="1" x14ac:dyDescent="0.25">
      <c r="B882" s="1024"/>
      <c r="C882" s="61" t="s">
        <v>2254</v>
      </c>
      <c r="D882" s="930">
        <v>460000000</v>
      </c>
      <c r="E882" s="913">
        <v>457400000</v>
      </c>
      <c r="F882" s="913"/>
      <c r="G882" s="250">
        <f>E882/D882*100</f>
        <v>99.434782608695656</v>
      </c>
      <c r="H882" s="519">
        <v>100</v>
      </c>
      <c r="I882" s="4637"/>
      <c r="J882" s="4890"/>
      <c r="K882" s="536"/>
      <c r="L882" s="536"/>
    </row>
    <row r="883" spans="1:12" ht="15.75" hidden="1" customHeight="1" x14ac:dyDescent="0.25">
      <c r="B883" s="1024"/>
      <c r="C883" s="61" t="s">
        <v>2255</v>
      </c>
      <c r="D883" s="930">
        <v>1900000000</v>
      </c>
      <c r="E883" s="519">
        <v>1835033000</v>
      </c>
      <c r="F883" s="519"/>
      <c r="G883" s="250">
        <f>E883/D883*100</f>
        <v>96.580684210526314</v>
      </c>
      <c r="H883" s="519">
        <v>100</v>
      </c>
      <c r="I883" s="4637"/>
      <c r="J883" s="4890"/>
      <c r="K883" s="536"/>
      <c r="L883" s="536"/>
    </row>
    <row r="884" spans="1:12" ht="15.75" hidden="1" customHeight="1" x14ac:dyDescent="0.25">
      <c r="B884" s="1024"/>
      <c r="C884" s="61" t="s">
        <v>2256</v>
      </c>
      <c r="D884" s="930">
        <v>440000000</v>
      </c>
      <c r="E884" s="913">
        <v>439090000</v>
      </c>
      <c r="F884" s="913"/>
      <c r="G884" s="250">
        <f>E884/D884*100</f>
        <v>99.793181818181822</v>
      </c>
      <c r="H884" s="519">
        <v>100</v>
      </c>
      <c r="I884" s="4637"/>
      <c r="J884" s="4890"/>
      <c r="K884" s="536"/>
      <c r="L884" s="536"/>
    </row>
    <row r="885" spans="1:12" ht="16.5" hidden="1" customHeight="1" x14ac:dyDescent="0.25">
      <c r="B885" s="1024"/>
      <c r="C885" s="61" t="s">
        <v>3951</v>
      </c>
      <c r="D885" s="930">
        <v>850000000</v>
      </c>
      <c r="E885" s="519">
        <v>848000000</v>
      </c>
      <c r="F885" s="519"/>
      <c r="G885" s="250">
        <f t="shared" ref="G885:G890" si="74">E885/D885*100</f>
        <v>99.764705882352942</v>
      </c>
      <c r="H885" s="519">
        <v>100</v>
      </c>
      <c r="I885" s="4637"/>
      <c r="J885" s="4890"/>
      <c r="K885" s="536"/>
      <c r="L885" s="536"/>
    </row>
    <row r="886" spans="1:12" ht="16.5" hidden="1" customHeight="1" x14ac:dyDescent="0.25">
      <c r="B886" s="1024"/>
      <c r="C886" s="61" t="s">
        <v>3952</v>
      </c>
      <c r="D886" s="930">
        <v>180000000</v>
      </c>
      <c r="E886" s="519">
        <v>177000000</v>
      </c>
      <c r="F886" s="519"/>
      <c r="G886" s="250">
        <f t="shared" si="74"/>
        <v>98.333333333333329</v>
      </c>
      <c r="H886" s="519">
        <v>100</v>
      </c>
      <c r="I886" s="4637"/>
      <c r="J886" s="4890"/>
      <c r="K886" s="536"/>
      <c r="L886" s="536"/>
    </row>
    <row r="887" spans="1:12" ht="16.5" hidden="1" customHeight="1" x14ac:dyDescent="0.25">
      <c r="B887" s="1024"/>
      <c r="C887" s="61" t="s">
        <v>3953</v>
      </c>
      <c r="D887" s="930">
        <v>260000000</v>
      </c>
      <c r="E887" s="519">
        <v>256400000</v>
      </c>
      <c r="F887" s="519"/>
      <c r="G887" s="250">
        <f t="shared" si="74"/>
        <v>98.615384615384613</v>
      </c>
      <c r="H887" s="519">
        <v>100</v>
      </c>
      <c r="I887" s="4637"/>
      <c r="J887" s="4890"/>
      <c r="K887" s="536"/>
      <c r="L887" s="536"/>
    </row>
    <row r="888" spans="1:12" ht="16.5" hidden="1" customHeight="1" x14ac:dyDescent="0.25">
      <c r="B888" s="1024"/>
      <c r="C888" s="61" t="s">
        <v>3954</v>
      </c>
      <c r="D888" s="930">
        <v>206500000</v>
      </c>
      <c r="E888" s="519">
        <v>203500000</v>
      </c>
      <c r="F888" s="519"/>
      <c r="G888" s="250">
        <f t="shared" si="74"/>
        <v>98.54721549636804</v>
      </c>
      <c r="H888" s="519">
        <v>100</v>
      </c>
      <c r="I888" s="4637"/>
      <c r="J888" s="4890"/>
      <c r="K888" s="536"/>
      <c r="L888" s="536"/>
    </row>
    <row r="889" spans="1:12" ht="19.5" hidden="1" customHeight="1" x14ac:dyDescent="0.25">
      <c r="B889" s="1024"/>
      <c r="C889" s="61" t="s">
        <v>3955</v>
      </c>
      <c r="D889" s="930">
        <v>600000000</v>
      </c>
      <c r="E889" s="519">
        <v>597000000</v>
      </c>
      <c r="F889" s="519"/>
      <c r="G889" s="250">
        <f t="shared" si="74"/>
        <v>99.5</v>
      </c>
      <c r="H889" s="519">
        <v>100</v>
      </c>
      <c r="I889" s="4637"/>
      <c r="J889" s="4890"/>
      <c r="K889" s="536"/>
      <c r="L889" s="536"/>
    </row>
    <row r="890" spans="1:12" ht="18" hidden="1" customHeight="1" x14ac:dyDescent="0.25">
      <c r="B890" s="1024"/>
      <c r="C890" s="61" t="s">
        <v>3956</v>
      </c>
      <c r="D890" s="930">
        <v>750000000</v>
      </c>
      <c r="E890" s="519">
        <v>739517500</v>
      </c>
      <c r="F890" s="519"/>
      <c r="G890" s="250">
        <f t="shared" si="74"/>
        <v>98.602333333333334</v>
      </c>
      <c r="H890" s="519">
        <v>100</v>
      </c>
      <c r="I890" s="4637"/>
      <c r="J890" s="4890"/>
      <c r="K890" s="536"/>
      <c r="L890" s="536"/>
    </row>
    <row r="891" spans="1:12" ht="16.5" hidden="1" customHeight="1" x14ac:dyDescent="0.25">
      <c r="B891" s="1024"/>
      <c r="C891" s="61" t="s">
        <v>5550</v>
      </c>
      <c r="D891" s="930">
        <v>320000000</v>
      </c>
      <c r="E891" s="519">
        <v>0</v>
      </c>
      <c r="F891" s="519"/>
      <c r="G891" s="519">
        <v>0</v>
      </c>
      <c r="H891" s="519">
        <v>0</v>
      </c>
      <c r="I891" s="4637"/>
      <c r="J891" s="4890"/>
      <c r="K891" s="536"/>
      <c r="L891" s="536"/>
    </row>
    <row r="892" spans="1:12" ht="17.25" hidden="1" customHeight="1" x14ac:dyDescent="0.25">
      <c r="B892" s="1024"/>
      <c r="C892" s="61" t="s">
        <v>5551</v>
      </c>
      <c r="D892" s="930">
        <v>280000000</v>
      </c>
      <c r="E892" s="519">
        <v>0</v>
      </c>
      <c r="F892" s="519"/>
      <c r="G892" s="519">
        <v>0</v>
      </c>
      <c r="H892" s="519">
        <v>0</v>
      </c>
      <c r="I892" s="4637"/>
      <c r="J892" s="4890"/>
      <c r="K892" s="536"/>
      <c r="L892" s="536"/>
    </row>
    <row r="893" spans="1:12" ht="11.25" hidden="1" customHeight="1" x14ac:dyDescent="0.25">
      <c r="A893" s="999"/>
      <c r="B893" s="1024"/>
      <c r="C893" s="61"/>
      <c r="D893" s="930"/>
      <c r="E893" s="913"/>
      <c r="F893" s="913"/>
      <c r="G893" s="250"/>
      <c r="H893" s="519"/>
      <c r="I893" s="4637"/>
      <c r="J893" s="4890"/>
      <c r="K893" s="536"/>
      <c r="L893" s="536"/>
    </row>
    <row r="894" spans="1:12" ht="15" hidden="1" customHeight="1" x14ac:dyDescent="0.25">
      <c r="A894" s="999"/>
      <c r="B894" s="2098"/>
      <c r="C894" s="134" t="s">
        <v>2257</v>
      </c>
      <c r="D894" s="201"/>
      <c r="E894" s="201"/>
      <c r="F894" s="201"/>
      <c r="G894" s="201"/>
      <c r="H894" s="201"/>
      <c r="I894" s="4637"/>
      <c r="J894" s="4890"/>
      <c r="K894" s="536"/>
      <c r="L894" s="536"/>
    </row>
    <row r="895" spans="1:12" ht="18.75" hidden="1" customHeight="1" x14ac:dyDescent="0.25">
      <c r="A895" s="999"/>
      <c r="B895" s="1024"/>
      <c r="C895" s="61" t="s">
        <v>2258</v>
      </c>
      <c r="D895" s="201" t="s">
        <v>3317</v>
      </c>
      <c r="E895" s="201" t="s">
        <v>3317</v>
      </c>
      <c r="F895" s="201"/>
      <c r="G895" s="201" t="s">
        <v>3317</v>
      </c>
      <c r="H895" s="201" t="s">
        <v>3317</v>
      </c>
      <c r="I895" s="4637"/>
      <c r="J895" s="4890"/>
      <c r="K895" s="536"/>
      <c r="L895" s="536"/>
    </row>
    <row r="896" spans="1:12" ht="18" hidden="1" customHeight="1" x14ac:dyDescent="0.25">
      <c r="B896" s="1024"/>
      <c r="C896" s="61" t="s">
        <v>2259</v>
      </c>
      <c r="D896" s="201" t="s">
        <v>3317</v>
      </c>
      <c r="E896" s="201" t="s">
        <v>3317</v>
      </c>
      <c r="F896" s="201"/>
      <c r="G896" s="201" t="s">
        <v>3317</v>
      </c>
      <c r="H896" s="201" t="s">
        <v>3317</v>
      </c>
      <c r="I896" s="4637"/>
      <c r="J896" s="4890"/>
      <c r="K896" s="536"/>
      <c r="L896" s="536"/>
    </row>
    <row r="897" spans="1:12" ht="8.25" hidden="1" customHeight="1" x14ac:dyDescent="0.25">
      <c r="B897" s="1993"/>
      <c r="C897" s="61"/>
      <c r="D897" s="930"/>
      <c r="E897" s="913"/>
      <c r="F897" s="913"/>
      <c r="G897" s="981"/>
      <c r="H897" s="981"/>
      <c r="I897" s="4637"/>
      <c r="J897" s="4890"/>
      <c r="K897" s="536"/>
      <c r="L897" s="536"/>
    </row>
    <row r="898" spans="1:12" ht="17.25" hidden="1" customHeight="1" x14ac:dyDescent="0.25">
      <c r="B898" s="2432"/>
      <c r="C898" s="1473" t="s">
        <v>2116</v>
      </c>
      <c r="D898" s="92">
        <f>SUM(D899:D904)</f>
        <v>1900000000</v>
      </c>
      <c r="E898" s="92">
        <f>SUM(E899:E904)</f>
        <v>1861725600</v>
      </c>
      <c r="F898" s="92"/>
      <c r="G898" s="249">
        <f>E898/D898*100</f>
        <v>97.985557894736843</v>
      </c>
      <c r="H898" s="537">
        <f>SUM(H899:H904)/6</f>
        <v>100</v>
      </c>
      <c r="I898" s="4637"/>
      <c r="J898" s="4890"/>
      <c r="K898" s="536"/>
      <c r="L898" s="536"/>
    </row>
    <row r="899" spans="1:12" ht="15" hidden="1" customHeight="1" x14ac:dyDescent="0.25">
      <c r="B899" s="1024"/>
      <c r="C899" s="61" t="s">
        <v>2260</v>
      </c>
      <c r="D899" s="930">
        <v>250000000</v>
      </c>
      <c r="E899" s="930">
        <v>250000000</v>
      </c>
      <c r="F899" s="930"/>
      <c r="G899" s="250">
        <f>E899/D899*100</f>
        <v>100</v>
      </c>
      <c r="H899" s="519">
        <v>100</v>
      </c>
      <c r="I899" s="4637"/>
      <c r="J899" s="4890"/>
      <c r="K899" s="536"/>
      <c r="L899" s="536"/>
    </row>
    <row r="900" spans="1:12" ht="15.75" hidden="1" customHeight="1" x14ac:dyDescent="0.25">
      <c r="B900" s="1024"/>
      <c r="C900" s="61" t="s">
        <v>2261</v>
      </c>
      <c r="D900" s="930">
        <v>250000000</v>
      </c>
      <c r="E900" s="930">
        <v>250000000</v>
      </c>
      <c r="F900" s="930"/>
      <c r="G900" s="250">
        <f t="shared" ref="G900:G904" si="75">E900/D900*100</f>
        <v>100</v>
      </c>
      <c r="H900" s="519">
        <v>100</v>
      </c>
      <c r="I900" s="4637"/>
      <c r="J900" s="4890"/>
      <c r="K900" s="536"/>
      <c r="L900" s="536"/>
    </row>
    <row r="901" spans="1:12" ht="14.25" hidden="1" customHeight="1" x14ac:dyDescent="0.25">
      <c r="B901" s="1024"/>
      <c r="C901" s="61" t="s">
        <v>2262</v>
      </c>
      <c r="D901" s="930">
        <v>500000000</v>
      </c>
      <c r="E901" s="930">
        <v>497725600</v>
      </c>
      <c r="F901" s="930"/>
      <c r="G901" s="250">
        <f t="shared" si="75"/>
        <v>99.545119999999997</v>
      </c>
      <c r="H901" s="519">
        <v>100</v>
      </c>
      <c r="I901" s="4637"/>
      <c r="J901" s="4890"/>
      <c r="K901" s="536"/>
      <c r="L901" s="536"/>
    </row>
    <row r="902" spans="1:12" ht="15" hidden="1" customHeight="1" x14ac:dyDescent="0.25">
      <c r="A902" s="999"/>
      <c r="B902" s="1024"/>
      <c r="C902" s="61" t="s">
        <v>2263</v>
      </c>
      <c r="D902" s="930">
        <v>250000000</v>
      </c>
      <c r="E902" s="519">
        <v>250000000</v>
      </c>
      <c r="F902" s="519"/>
      <c r="G902" s="250">
        <f t="shared" si="75"/>
        <v>100</v>
      </c>
      <c r="H902" s="519">
        <v>100</v>
      </c>
      <c r="I902" s="4637"/>
      <c r="J902" s="4890"/>
      <c r="K902" s="536"/>
      <c r="L902" s="536"/>
    </row>
    <row r="903" spans="1:12" ht="15" hidden="1" customHeight="1" x14ac:dyDescent="0.25">
      <c r="B903" s="1024"/>
      <c r="C903" s="61" t="s">
        <v>2264</v>
      </c>
      <c r="D903" s="930">
        <v>400000000</v>
      </c>
      <c r="E903" s="930">
        <v>400000000</v>
      </c>
      <c r="F903" s="930"/>
      <c r="G903" s="250">
        <f t="shared" si="75"/>
        <v>100</v>
      </c>
      <c r="H903" s="519">
        <v>100</v>
      </c>
      <c r="I903" s="4637"/>
      <c r="J903" s="4890"/>
      <c r="K903" s="536"/>
      <c r="L903" s="536"/>
    </row>
    <row r="904" spans="1:12" ht="19.5" hidden="1" customHeight="1" x14ac:dyDescent="0.25">
      <c r="B904" s="1024"/>
      <c r="C904" s="61" t="s">
        <v>2265</v>
      </c>
      <c r="D904" s="930">
        <v>250000000</v>
      </c>
      <c r="E904" s="930">
        <v>214000000</v>
      </c>
      <c r="F904" s="930"/>
      <c r="G904" s="250">
        <f t="shared" si="75"/>
        <v>85.6</v>
      </c>
      <c r="H904" s="519">
        <v>100</v>
      </c>
      <c r="I904" s="4637"/>
      <c r="J904" s="4890"/>
      <c r="K904" s="536"/>
      <c r="L904" s="536"/>
    </row>
    <row r="905" spans="1:12" ht="9.75" hidden="1" customHeight="1" x14ac:dyDescent="0.25">
      <c r="B905" s="1024"/>
      <c r="C905" s="61"/>
      <c r="D905" s="931"/>
      <c r="E905" s="931"/>
      <c r="F905" s="931"/>
      <c r="G905" s="250"/>
      <c r="H905" s="519"/>
      <c r="I905" s="4637"/>
      <c r="J905" s="4890"/>
      <c r="K905" s="536"/>
      <c r="L905" s="536"/>
    </row>
    <row r="906" spans="1:12" ht="18.75" hidden="1" customHeight="1" x14ac:dyDescent="0.25">
      <c r="B906" s="2098"/>
      <c r="C906" s="134" t="s">
        <v>2266</v>
      </c>
      <c r="D906" s="92">
        <f>SUM(D907:D908)</f>
        <v>995000000</v>
      </c>
      <c r="E906" s="92">
        <f>SUM(E907:E908)</f>
        <v>989800000</v>
      </c>
      <c r="F906" s="92"/>
      <c r="G906" s="249">
        <f>E906/D906*100</f>
        <v>99.477386934673362</v>
      </c>
      <c r="H906" s="537">
        <f>SUM(H907:H908)/2</f>
        <v>100</v>
      </c>
      <c r="I906" s="4637"/>
      <c r="J906" s="4890"/>
      <c r="K906" s="536"/>
      <c r="L906" s="536"/>
    </row>
    <row r="907" spans="1:12" ht="15" hidden="1" customHeight="1" x14ac:dyDescent="0.25">
      <c r="B907" s="1024"/>
      <c r="C907" s="61" t="s">
        <v>2267</v>
      </c>
      <c r="D907" s="930">
        <v>700000000</v>
      </c>
      <c r="E907" s="930">
        <v>696900000</v>
      </c>
      <c r="F907" s="930"/>
      <c r="G907" s="250">
        <f>E907/D907*100</f>
        <v>99.55714285714285</v>
      </c>
      <c r="H907" s="519">
        <v>100</v>
      </c>
      <c r="I907" s="4637"/>
      <c r="J907" s="4890"/>
      <c r="K907" s="536"/>
      <c r="L907" s="536"/>
    </row>
    <row r="908" spans="1:12" ht="13.5" hidden="1" customHeight="1" x14ac:dyDescent="0.25">
      <c r="B908" s="1024"/>
      <c r="C908" s="61" t="s">
        <v>2268</v>
      </c>
      <c r="D908" s="930">
        <v>295000000</v>
      </c>
      <c r="E908" s="930">
        <v>292900000</v>
      </c>
      <c r="F908" s="930"/>
      <c r="G908" s="250">
        <f t="shared" ref="G908" si="76">E908/D908*100</f>
        <v>99.288135593220346</v>
      </c>
      <c r="H908" s="519">
        <v>100</v>
      </c>
      <c r="I908" s="4637"/>
      <c r="J908" s="4890"/>
      <c r="K908" s="536"/>
      <c r="L908" s="536"/>
    </row>
    <row r="909" spans="1:12" ht="13.5" hidden="1" customHeight="1" x14ac:dyDescent="0.25">
      <c r="B909" s="1024"/>
      <c r="C909" s="61"/>
      <c r="D909" s="931"/>
      <c r="E909" s="982"/>
      <c r="F909" s="982"/>
      <c r="G909" s="982"/>
      <c r="H909" s="519"/>
      <c r="I909" s="4637"/>
      <c r="J909" s="4890"/>
      <c r="K909" s="536"/>
      <c r="L909" s="536"/>
    </row>
    <row r="910" spans="1:12" ht="19.5" hidden="1" customHeight="1" x14ac:dyDescent="0.25">
      <c r="B910" s="2098"/>
      <c r="C910" s="1473" t="s">
        <v>2269</v>
      </c>
      <c r="D910" s="92">
        <f>SUM(D911:D912)</f>
        <v>1000000000</v>
      </c>
      <c r="E910" s="92">
        <f>SUM(E911:E912)</f>
        <v>789285200</v>
      </c>
      <c r="F910" s="92"/>
      <c r="G910" s="249">
        <f>E910/D910*100</f>
        <v>78.928520000000006</v>
      </c>
      <c r="H910" s="537">
        <f>SUM(H911:H912)/2</f>
        <v>100</v>
      </c>
      <c r="I910" s="4637"/>
      <c r="J910" s="4890"/>
      <c r="K910" s="536"/>
      <c r="L910" s="536"/>
    </row>
    <row r="911" spans="1:12" ht="15.75" hidden="1" customHeight="1" x14ac:dyDescent="0.25">
      <c r="B911" s="1024"/>
      <c r="C911" s="61" t="s">
        <v>2270</v>
      </c>
      <c r="D911" s="930">
        <v>500000000</v>
      </c>
      <c r="E911" s="922">
        <v>498180000</v>
      </c>
      <c r="F911" s="922"/>
      <c r="G911" s="250">
        <f>E911/D911*100</f>
        <v>99.635999999999996</v>
      </c>
      <c r="H911" s="519">
        <v>100</v>
      </c>
      <c r="I911" s="4637"/>
      <c r="J911" s="4890"/>
      <c r="K911" s="536"/>
      <c r="L911" s="536"/>
    </row>
    <row r="912" spans="1:12" ht="16.5" hidden="1" customHeight="1" x14ac:dyDescent="0.25">
      <c r="B912" s="1024"/>
      <c r="C912" s="61" t="s">
        <v>2271</v>
      </c>
      <c r="D912" s="930">
        <v>500000000</v>
      </c>
      <c r="E912" s="922">
        <v>291105200</v>
      </c>
      <c r="F912" s="922"/>
      <c r="G912" s="250">
        <f t="shared" ref="G912" si="77">E912/D912*100</f>
        <v>58.221040000000002</v>
      </c>
      <c r="H912" s="519">
        <v>100</v>
      </c>
      <c r="I912" s="4637"/>
      <c r="J912" s="4890"/>
      <c r="K912" s="536"/>
      <c r="L912" s="536"/>
    </row>
    <row r="913" spans="1:12" ht="12.75" hidden="1" customHeight="1" x14ac:dyDescent="0.25">
      <c r="B913" s="1024"/>
      <c r="C913" s="61"/>
      <c r="D913" s="930"/>
      <c r="E913" s="922"/>
      <c r="F913" s="922"/>
      <c r="G913" s="250"/>
      <c r="H913" s="519"/>
      <c r="I913" s="4637"/>
      <c r="J913" s="4890"/>
      <c r="K913" s="536"/>
      <c r="L913" s="536"/>
    </row>
    <row r="914" spans="1:12" ht="16.5" hidden="1" customHeight="1" x14ac:dyDescent="0.25">
      <c r="B914" s="2098"/>
      <c r="C914" s="134" t="s">
        <v>2272</v>
      </c>
      <c r="D914" s="92">
        <f>D915</f>
        <v>710000000</v>
      </c>
      <c r="E914" s="92">
        <f>E915</f>
        <v>710000000</v>
      </c>
      <c r="F914" s="92"/>
      <c r="G914" s="167">
        <f>SUM(E914/D914)*100</f>
        <v>100</v>
      </c>
      <c r="H914" s="537">
        <f>SUM(H915)/1</f>
        <v>100</v>
      </c>
      <c r="I914" s="4637"/>
      <c r="J914" s="4890"/>
      <c r="K914" s="536"/>
      <c r="L914" s="536"/>
    </row>
    <row r="915" spans="1:12" ht="15" hidden="1" customHeight="1" x14ac:dyDescent="0.25">
      <c r="B915" s="1024"/>
      <c r="C915" s="61" t="s">
        <v>2273</v>
      </c>
      <c r="D915" s="73">
        <v>710000000</v>
      </c>
      <c r="E915" s="206">
        <v>710000000</v>
      </c>
      <c r="F915" s="206"/>
      <c r="G915" s="173">
        <f>SUM(E915/D915)*100</f>
        <v>100</v>
      </c>
      <c r="H915" s="519">
        <v>100</v>
      </c>
      <c r="I915" s="4637"/>
      <c r="J915" s="4890"/>
      <c r="K915" s="536"/>
      <c r="L915" s="536"/>
    </row>
    <row r="916" spans="1:12" ht="9" hidden="1" customHeight="1" x14ac:dyDescent="0.25">
      <c r="B916" s="1024"/>
      <c r="C916" s="61"/>
      <c r="D916" s="930"/>
      <c r="E916" s="922"/>
      <c r="F916" s="922"/>
      <c r="G916" s="250"/>
      <c r="H916" s="519"/>
      <c r="I916" s="4637"/>
      <c r="J916" s="4890"/>
      <c r="K916" s="536"/>
      <c r="L916" s="536"/>
    </row>
    <row r="917" spans="1:12" ht="19.5" hidden="1" customHeight="1" x14ac:dyDescent="0.25">
      <c r="B917" s="2098"/>
      <c r="C917" s="134" t="s">
        <v>2274</v>
      </c>
      <c r="D917" s="92">
        <f>SUM(D918:D920)</f>
        <v>610000000</v>
      </c>
      <c r="E917" s="92">
        <f>SUM(E918:E920)</f>
        <v>604900000</v>
      </c>
      <c r="F917" s="92"/>
      <c r="G917" s="249">
        <f>E917/D917*100</f>
        <v>99.163934426229503</v>
      </c>
      <c r="H917" s="537">
        <f>SUM(H918:H920)/3</f>
        <v>100</v>
      </c>
      <c r="I917" s="4637"/>
      <c r="J917" s="4890"/>
      <c r="K917" s="536"/>
      <c r="L917" s="536"/>
    </row>
    <row r="918" spans="1:12" ht="15" hidden="1" customHeight="1" x14ac:dyDescent="0.25">
      <c r="B918" s="1024"/>
      <c r="C918" s="61" t="s">
        <v>2275</v>
      </c>
      <c r="D918" s="930">
        <v>350000000</v>
      </c>
      <c r="E918" s="922">
        <v>350000000</v>
      </c>
      <c r="F918" s="922"/>
      <c r="G918" s="250">
        <f>E918/D918*100</f>
        <v>100</v>
      </c>
      <c r="H918" s="519">
        <v>100</v>
      </c>
      <c r="I918" s="4637"/>
      <c r="J918" s="4890"/>
      <c r="K918" s="536"/>
      <c r="L918" s="536"/>
    </row>
    <row r="919" spans="1:12" ht="16.5" hidden="1" customHeight="1" x14ac:dyDescent="0.25">
      <c r="A919" s="999"/>
      <c r="B919" s="1024"/>
      <c r="C919" s="64" t="s">
        <v>2276</v>
      </c>
      <c r="D919" s="930">
        <v>160000000</v>
      </c>
      <c r="E919" s="922">
        <v>160000000</v>
      </c>
      <c r="F919" s="922"/>
      <c r="G919" s="250">
        <f t="shared" ref="G919:G920" si="78">E919/D919*100</f>
        <v>100</v>
      </c>
      <c r="H919" s="2375">
        <v>100</v>
      </c>
      <c r="I919" s="4637"/>
      <c r="J919" s="4890"/>
      <c r="K919" s="536"/>
      <c r="L919" s="536"/>
    </row>
    <row r="920" spans="1:12" ht="17.25" hidden="1" customHeight="1" x14ac:dyDescent="0.25">
      <c r="A920" s="999"/>
      <c r="B920" s="1024"/>
      <c r="C920" s="61" t="s">
        <v>2277</v>
      </c>
      <c r="D920" s="930">
        <v>100000000</v>
      </c>
      <c r="E920" s="922">
        <v>94900000</v>
      </c>
      <c r="F920" s="922"/>
      <c r="G920" s="250">
        <f t="shared" si="78"/>
        <v>94.899999999999991</v>
      </c>
      <c r="H920" s="519">
        <v>100</v>
      </c>
      <c r="I920" s="4637"/>
      <c r="J920" s="4890"/>
      <c r="K920" s="536"/>
      <c r="L920" s="536"/>
    </row>
    <row r="921" spans="1:12" ht="12" hidden="1" customHeight="1" x14ac:dyDescent="0.25">
      <c r="A921" s="999"/>
      <c r="B921" s="1024"/>
      <c r="C921" s="214"/>
      <c r="D921" s="933"/>
      <c r="E921" s="191"/>
      <c r="F921" s="191"/>
      <c r="G921" s="248"/>
      <c r="H921" s="518"/>
      <c r="I921" s="4637"/>
      <c r="J921" s="4890"/>
      <c r="K921" s="536"/>
      <c r="L921" s="536"/>
    </row>
    <row r="922" spans="1:12" ht="18" hidden="1" customHeight="1" x14ac:dyDescent="0.25">
      <c r="A922" s="999"/>
      <c r="B922" s="1024"/>
      <c r="C922" s="138" t="s">
        <v>3948</v>
      </c>
      <c r="D922" s="539">
        <f>D923</f>
        <v>203500000</v>
      </c>
      <c r="E922" s="537">
        <f>E923</f>
        <v>203500000</v>
      </c>
      <c r="F922" s="537"/>
      <c r="G922" s="249">
        <f>E922/D922*100</f>
        <v>100</v>
      </c>
      <c r="H922" s="537">
        <v>100</v>
      </c>
      <c r="I922" s="4637"/>
      <c r="J922" s="4890"/>
      <c r="K922" s="536"/>
      <c r="L922" s="536"/>
    </row>
    <row r="923" spans="1:12" ht="15" hidden="1" customHeight="1" x14ac:dyDescent="0.25">
      <c r="A923" s="999"/>
      <c r="B923" s="1024"/>
      <c r="C923" s="132" t="s">
        <v>3949</v>
      </c>
      <c r="D923" s="900">
        <v>203500000</v>
      </c>
      <c r="E923" s="1536">
        <v>203500000</v>
      </c>
      <c r="F923" s="1536"/>
      <c r="G923" s="250">
        <f>E923/D923*100</f>
        <v>100</v>
      </c>
      <c r="H923" s="519">
        <v>100</v>
      </c>
      <c r="I923" s="4637"/>
      <c r="J923" s="4890"/>
      <c r="K923" s="536"/>
      <c r="L923" s="536"/>
    </row>
    <row r="924" spans="1:12" ht="15" hidden="1" customHeight="1" x14ac:dyDescent="0.25">
      <c r="A924" s="999"/>
      <c r="B924" s="1024"/>
      <c r="C924" s="211"/>
      <c r="D924" s="933"/>
      <c r="E924" s="2462"/>
      <c r="F924" s="2462"/>
      <c r="G924" s="1464"/>
      <c r="H924" s="2375"/>
      <c r="I924" s="4637"/>
      <c r="J924" s="4890"/>
      <c r="K924" s="536"/>
      <c r="L924" s="536"/>
    </row>
    <row r="925" spans="1:12" ht="18" hidden="1" customHeight="1" x14ac:dyDescent="0.25">
      <c r="A925" s="999"/>
      <c r="B925" s="1029"/>
      <c r="C925" s="124" t="s">
        <v>2340</v>
      </c>
      <c r="D925" s="57">
        <f>D926</f>
        <v>5000000000</v>
      </c>
      <c r="E925" s="57">
        <f>E926</f>
        <v>4926066000</v>
      </c>
      <c r="F925" s="57"/>
      <c r="G925" s="179">
        <f>E925/D925*100</f>
        <v>98.521320000000003</v>
      </c>
      <c r="H925" s="254">
        <f>SUM(H926)</f>
        <v>100</v>
      </c>
      <c r="I925" s="4637"/>
      <c r="J925" s="4890"/>
      <c r="K925" s="536"/>
      <c r="L925" s="536"/>
    </row>
    <row r="926" spans="1:12" ht="19.5" hidden="1" customHeight="1" x14ac:dyDescent="0.25">
      <c r="A926" s="999"/>
      <c r="B926" s="1024"/>
      <c r="C926" s="115" t="s">
        <v>2341</v>
      </c>
      <c r="D926" s="904">
        <f>D927</f>
        <v>5000000000</v>
      </c>
      <c r="E926" s="904">
        <f>E927</f>
        <v>4926066000</v>
      </c>
      <c r="F926" s="934"/>
      <c r="G926" s="209">
        <f>E926/D926*100</f>
        <v>98.521320000000003</v>
      </c>
      <c r="H926" s="352">
        <f>H927</f>
        <v>100</v>
      </c>
      <c r="I926" s="4637"/>
      <c r="J926" s="4890"/>
      <c r="K926" s="536"/>
      <c r="L926" s="536"/>
    </row>
    <row r="927" spans="1:12" ht="16.5" hidden="1" customHeight="1" x14ac:dyDescent="0.25">
      <c r="A927" s="999"/>
      <c r="B927" s="1024"/>
      <c r="C927" s="82" t="s">
        <v>2342</v>
      </c>
      <c r="D927" s="900">
        <v>5000000000</v>
      </c>
      <c r="E927" s="73">
        <v>4926066000</v>
      </c>
      <c r="F927" s="73"/>
      <c r="G927" s="73">
        <f>E927/D927*100</f>
        <v>98.521320000000003</v>
      </c>
      <c r="H927" s="252">
        <v>100</v>
      </c>
      <c r="I927" s="4637"/>
      <c r="J927" s="4890"/>
      <c r="K927" s="536"/>
      <c r="L927" s="536"/>
    </row>
    <row r="928" spans="1:12" ht="15" hidden="1" customHeight="1" x14ac:dyDescent="0.25">
      <c r="A928" s="999"/>
      <c r="B928" s="1024"/>
      <c r="C928" s="211"/>
      <c r="D928" s="933"/>
      <c r="E928" s="2462"/>
      <c r="F928" s="2462"/>
      <c r="G928" s="1464"/>
      <c r="H928" s="2375"/>
      <c r="I928" s="4637"/>
      <c r="J928" s="4890"/>
      <c r="K928" s="536"/>
      <c r="L928" s="536"/>
    </row>
    <row r="929" spans="2:10" ht="21" hidden="1" customHeight="1" x14ac:dyDescent="0.25">
      <c r="B929" s="1029"/>
      <c r="C929" s="124" t="s">
        <v>2344</v>
      </c>
      <c r="D929" s="2433">
        <f>SUM(D930+D934)</f>
        <v>1960000000</v>
      </c>
      <c r="E929" s="2433">
        <f>SUM(E930+E934)</f>
        <v>1960000000</v>
      </c>
      <c r="F929" s="2433"/>
      <c r="G929" s="164">
        <f>E929/D929*100</f>
        <v>100</v>
      </c>
      <c r="H929" s="346">
        <f>SUM(H930+H934)/2</f>
        <v>100</v>
      </c>
      <c r="I929" s="4856"/>
      <c r="J929" s="4857"/>
    </row>
    <row r="930" spans="2:10" ht="22.5" hidden="1" customHeight="1" x14ac:dyDescent="0.25">
      <c r="B930" s="1024"/>
      <c r="C930" s="115" t="s">
        <v>2345</v>
      </c>
      <c r="D930" s="84">
        <f>SUM(D931:D932)</f>
        <v>660000000</v>
      </c>
      <c r="E930" s="84">
        <f>SUM(E931:E932)</f>
        <v>660000000</v>
      </c>
      <c r="F930" s="1542"/>
      <c r="G930" s="520">
        <f>E930/D930*100</f>
        <v>100</v>
      </c>
      <c r="H930" s="1924">
        <f>SUM(H931:H932)/2</f>
        <v>100</v>
      </c>
      <c r="I930" s="4856"/>
      <c r="J930" s="4857"/>
    </row>
    <row r="931" spans="2:10" ht="17.25" hidden="1" customHeight="1" x14ac:dyDescent="0.25">
      <c r="B931" s="489"/>
      <c r="C931" s="385" t="s">
        <v>2346</v>
      </c>
      <c r="D931" s="1975">
        <v>260000000</v>
      </c>
      <c r="E931" s="2025">
        <v>260000000</v>
      </c>
      <c r="F931" s="2025"/>
      <c r="G931" s="2434">
        <v>100</v>
      </c>
      <c r="H931" s="344">
        <v>100</v>
      </c>
      <c r="I931" s="4856"/>
      <c r="J931" s="4857"/>
    </row>
    <row r="932" spans="2:10" ht="19.5" hidden="1" customHeight="1" x14ac:dyDescent="0.25">
      <c r="B932" s="489"/>
      <c r="C932" s="82" t="s">
        <v>2348</v>
      </c>
      <c r="D932" s="1975">
        <v>400000000</v>
      </c>
      <c r="E932" s="2025">
        <v>400000000</v>
      </c>
      <c r="F932" s="2025"/>
      <c r="G932" s="2434">
        <v>100</v>
      </c>
      <c r="H932" s="2434">
        <v>100</v>
      </c>
      <c r="I932" s="4856"/>
      <c r="J932" s="4857"/>
    </row>
    <row r="933" spans="2:10" ht="11.25" hidden="1" customHeight="1" x14ac:dyDescent="0.25">
      <c r="B933" s="489"/>
      <c r="C933" s="82"/>
      <c r="D933" s="1975"/>
      <c r="E933" s="2025"/>
      <c r="F933" s="2025"/>
      <c r="G933" s="2434"/>
      <c r="H933" s="1909"/>
      <c r="I933" s="4856"/>
      <c r="J933" s="4857"/>
    </row>
    <row r="934" spans="2:10" ht="18.75" hidden="1" customHeight="1" x14ac:dyDescent="0.25">
      <c r="B934" s="489"/>
      <c r="C934" s="134" t="s">
        <v>3179</v>
      </c>
      <c r="D934" s="84">
        <f>+SUM(D935:D937)</f>
        <v>1300000000</v>
      </c>
      <c r="E934" s="84">
        <f>+SUM(E935:E937)</f>
        <v>1300000000</v>
      </c>
      <c r="F934" s="4942"/>
      <c r="G934" s="2435">
        <f>E934/D934*100</f>
        <v>100</v>
      </c>
      <c r="H934" s="1913">
        <f>SUM(H935:H937)/3</f>
        <v>100</v>
      </c>
      <c r="I934" s="4856"/>
      <c r="J934" s="4857"/>
    </row>
    <row r="935" spans="2:10" ht="32.25" hidden="1" customHeight="1" x14ac:dyDescent="0.25">
      <c r="B935" s="489"/>
      <c r="C935" s="2200" t="s">
        <v>2349</v>
      </c>
      <c r="D935" s="1975">
        <v>400000000</v>
      </c>
      <c r="E935" s="2025">
        <v>400000000</v>
      </c>
      <c r="F935" s="2025"/>
      <c r="G935" s="2434">
        <v>100</v>
      </c>
      <c r="H935" s="2434">
        <v>100</v>
      </c>
      <c r="I935" s="4856"/>
      <c r="J935" s="4857"/>
    </row>
    <row r="936" spans="2:10" ht="18.75" hidden="1" customHeight="1" x14ac:dyDescent="0.25">
      <c r="B936" s="489"/>
      <c r="C936" s="2200" t="s">
        <v>2351</v>
      </c>
      <c r="D936" s="1975">
        <v>400000000</v>
      </c>
      <c r="E936" s="2025">
        <v>400000000</v>
      </c>
      <c r="F936" s="2025"/>
      <c r="G936" s="2434">
        <v>100</v>
      </c>
      <c r="H936" s="2434">
        <v>100</v>
      </c>
      <c r="I936" s="4856"/>
      <c r="J936" s="4857"/>
    </row>
    <row r="937" spans="2:10" ht="17.25" hidden="1" customHeight="1" x14ac:dyDescent="0.25">
      <c r="B937" s="489"/>
      <c r="C937" s="2200" t="s">
        <v>2352</v>
      </c>
      <c r="D937" s="1975">
        <v>500000000</v>
      </c>
      <c r="E937" s="2025">
        <v>500000000</v>
      </c>
      <c r="F937" s="2025"/>
      <c r="G937" s="2434">
        <v>100</v>
      </c>
      <c r="H937" s="2434">
        <v>100</v>
      </c>
      <c r="I937" s="4856"/>
      <c r="J937" s="4857"/>
    </row>
    <row r="938" spans="2:10" ht="12" hidden="1" customHeight="1" x14ac:dyDescent="0.25">
      <c r="B938" s="489"/>
      <c r="C938" s="66"/>
      <c r="D938" s="1975"/>
      <c r="E938" s="2025"/>
      <c r="F938" s="2025"/>
      <c r="G938" s="2434"/>
      <c r="H938" s="1909"/>
      <c r="I938" s="4856"/>
      <c r="J938" s="4857"/>
    </row>
    <row r="939" spans="2:10" ht="19.5" hidden="1" customHeight="1" x14ac:dyDescent="0.25">
      <c r="B939" s="1029"/>
      <c r="C939" s="2028" t="s">
        <v>2355</v>
      </c>
      <c r="D939" s="1988">
        <f>D940</f>
        <v>1200000000</v>
      </c>
      <c r="E939" s="1988">
        <f>E940</f>
        <v>1200000000</v>
      </c>
      <c r="F939" s="1988"/>
      <c r="G939" s="164">
        <f>E939/D939*100</f>
        <v>100</v>
      </c>
      <c r="H939" s="164">
        <f>H940</f>
        <v>100</v>
      </c>
      <c r="I939" s="4856"/>
      <c r="J939" s="4857"/>
    </row>
    <row r="940" spans="2:10" ht="20.25" hidden="1" customHeight="1" x14ac:dyDescent="0.25">
      <c r="B940" s="1024"/>
      <c r="C940" s="2013" t="s">
        <v>2356</v>
      </c>
      <c r="D940" s="101">
        <v>1200000000</v>
      </c>
      <c r="E940" s="101">
        <v>1200000000</v>
      </c>
      <c r="F940" s="101"/>
      <c r="G940" s="520">
        <f>E940/D940*100</f>
        <v>100</v>
      </c>
      <c r="H940" s="520">
        <f>SUM(H941:H942)/2</f>
        <v>100</v>
      </c>
      <c r="I940" s="4856"/>
      <c r="J940" s="4857"/>
    </row>
    <row r="941" spans="2:10" ht="19.5" hidden="1" customHeight="1" x14ac:dyDescent="0.25">
      <c r="B941" s="1024"/>
      <c r="C941" s="2202" t="s">
        <v>2357</v>
      </c>
      <c r="D941" s="1963">
        <v>600000000</v>
      </c>
      <c r="E941" s="1963">
        <v>600000000</v>
      </c>
      <c r="F941" s="1963"/>
      <c r="G941" s="173">
        <f t="shared" ref="G941:G942" si="79">E941/D941*100</f>
        <v>100</v>
      </c>
      <c r="H941" s="173">
        <v>100</v>
      </c>
      <c r="I941" s="4856"/>
      <c r="J941" s="4857"/>
    </row>
    <row r="942" spans="2:10" ht="20.25" hidden="1" customHeight="1" x14ac:dyDescent="0.25">
      <c r="B942" s="1024"/>
      <c r="C942" s="2202" t="s">
        <v>2358</v>
      </c>
      <c r="D942" s="1963">
        <v>600000000</v>
      </c>
      <c r="E942" s="1963">
        <v>600000000</v>
      </c>
      <c r="F942" s="1963"/>
      <c r="G942" s="173">
        <f t="shared" si="79"/>
        <v>100</v>
      </c>
      <c r="H942" s="173">
        <v>100</v>
      </c>
      <c r="I942" s="4856"/>
      <c r="J942" s="4857"/>
    </row>
    <row r="943" spans="2:10" ht="12" hidden="1" customHeight="1" x14ac:dyDescent="0.25">
      <c r="B943" s="1024"/>
      <c r="C943" s="64"/>
      <c r="D943" s="2164"/>
      <c r="E943" s="2436"/>
      <c r="F943" s="2436"/>
      <c r="G943" s="377"/>
      <c r="H943" s="377"/>
      <c r="I943" s="4856"/>
      <c r="J943" s="4857"/>
    </row>
    <row r="944" spans="2:10" ht="20.25" hidden="1" customHeight="1" x14ac:dyDescent="0.25">
      <c r="B944" s="1029"/>
      <c r="C944" s="2028" t="s">
        <v>2374</v>
      </c>
      <c r="D944" s="200">
        <f>SUM(D945)</f>
        <v>300000000</v>
      </c>
      <c r="E944" s="200">
        <f>SUM(E945)</f>
        <v>300000000</v>
      </c>
      <c r="F944" s="200"/>
      <c r="G944" s="164">
        <f>E944/D944*100</f>
        <v>100</v>
      </c>
      <c r="H944" s="164">
        <f>H945</f>
        <v>100</v>
      </c>
      <c r="I944" s="4856"/>
      <c r="J944" s="4857"/>
    </row>
    <row r="945" spans="1:12" ht="20.25" hidden="1" customHeight="1" x14ac:dyDescent="0.25">
      <c r="B945" s="1024"/>
      <c r="C945" s="2203" t="s">
        <v>2375</v>
      </c>
      <c r="D945" s="202">
        <f>D946</f>
        <v>300000000</v>
      </c>
      <c r="E945" s="202">
        <f>E946</f>
        <v>300000000</v>
      </c>
      <c r="F945" s="101"/>
      <c r="G945" s="520">
        <f>E945/D945*100</f>
        <v>100</v>
      </c>
      <c r="H945" s="520">
        <f>H946</f>
        <v>100</v>
      </c>
      <c r="I945" s="4856"/>
      <c r="J945" s="4857"/>
    </row>
    <row r="946" spans="1:12" ht="20.25" hidden="1" customHeight="1" x14ac:dyDescent="0.25">
      <c r="B946" s="1024"/>
      <c r="C946" s="61" t="s">
        <v>2376</v>
      </c>
      <c r="D946" s="1963">
        <v>300000000</v>
      </c>
      <c r="E946" s="135">
        <v>300000000</v>
      </c>
      <c r="F946" s="135"/>
      <c r="G946" s="173">
        <f t="shared" ref="G946" si="80">E946/D946*100</f>
        <v>100</v>
      </c>
      <c r="H946" s="173">
        <v>100</v>
      </c>
      <c r="I946" s="4856"/>
      <c r="J946" s="4857"/>
    </row>
    <row r="947" spans="1:12" ht="12" hidden="1" customHeight="1" x14ac:dyDescent="0.25">
      <c r="B947" s="1024"/>
      <c r="C947" s="64"/>
      <c r="D947" s="2164"/>
      <c r="E947" s="2436"/>
      <c r="F947" s="2436"/>
      <c r="G947" s="377"/>
      <c r="H947" s="377"/>
      <c r="I947" s="4856"/>
      <c r="J947" s="4857"/>
    </row>
    <row r="948" spans="1:12" ht="19.5" hidden="1" customHeight="1" x14ac:dyDescent="0.25">
      <c r="B948" s="1029"/>
      <c r="C948" s="2028" t="s">
        <v>2400</v>
      </c>
      <c r="D948" s="1988">
        <f>D949</f>
        <v>350000000</v>
      </c>
      <c r="E948" s="1988">
        <f>E949</f>
        <v>350000000</v>
      </c>
      <c r="F948" s="1988"/>
      <c r="G948" s="164">
        <f>E948/D948*100</f>
        <v>100</v>
      </c>
      <c r="H948" s="164">
        <f>H949</f>
        <v>100</v>
      </c>
      <c r="I948" s="4856"/>
      <c r="J948" s="4857"/>
    </row>
    <row r="949" spans="1:12" ht="24" hidden="1" customHeight="1" x14ac:dyDescent="0.25">
      <c r="B949" s="1024"/>
      <c r="C949" s="61" t="s">
        <v>2407</v>
      </c>
      <c r="D949" s="2164">
        <v>350000000</v>
      </c>
      <c r="E949" s="2436">
        <v>350000000</v>
      </c>
      <c r="F949" s="2436"/>
      <c r="G949" s="173">
        <f t="shared" ref="G949" si="81">E949/D949*100</f>
        <v>100</v>
      </c>
      <c r="H949" s="173">
        <v>100</v>
      </c>
      <c r="I949" s="4856"/>
      <c r="J949" s="4857"/>
    </row>
    <row r="950" spans="1:12" ht="12" hidden="1" customHeight="1" x14ac:dyDescent="0.25">
      <c r="B950" s="1024"/>
      <c r="C950" s="64"/>
      <c r="D950" s="2204"/>
      <c r="E950" s="2437"/>
      <c r="F950" s="2437"/>
      <c r="G950" s="2438"/>
      <c r="H950" s="2438"/>
      <c r="I950" s="4856"/>
      <c r="J950" s="4857"/>
    </row>
    <row r="951" spans="1:12" ht="21" hidden="1" customHeight="1" x14ac:dyDescent="0.25">
      <c r="B951" s="1029"/>
      <c r="C951" s="56" t="s">
        <v>2472</v>
      </c>
      <c r="D951" s="1988">
        <f>D952</f>
        <v>2000000000</v>
      </c>
      <c r="E951" s="346">
        <v>0</v>
      </c>
      <c r="F951" s="346"/>
      <c r="G951" s="346">
        <v>0</v>
      </c>
      <c r="H951" s="346">
        <v>0</v>
      </c>
      <c r="I951" s="4856"/>
      <c r="J951" s="4857"/>
    </row>
    <row r="952" spans="1:12" ht="21" hidden="1" customHeight="1" x14ac:dyDescent="0.25">
      <c r="B952" s="1024"/>
      <c r="C952" s="59" t="s">
        <v>2477</v>
      </c>
      <c r="D952" s="1994">
        <f>D953</f>
        <v>2000000000</v>
      </c>
      <c r="E952" s="1476">
        <v>0</v>
      </c>
      <c r="F952" s="1476"/>
      <c r="G952" s="1476">
        <v>0</v>
      </c>
      <c r="H952" s="1476">
        <v>0</v>
      </c>
      <c r="I952" s="4856"/>
      <c r="J952" s="4857"/>
    </row>
    <row r="953" spans="1:12" ht="16.5" hidden="1" customHeight="1" x14ac:dyDescent="0.25">
      <c r="B953" s="1024"/>
      <c r="C953" s="61" t="s">
        <v>2478</v>
      </c>
      <c r="D953" s="1963">
        <v>2000000000</v>
      </c>
      <c r="E953" s="344">
        <v>0</v>
      </c>
      <c r="F953" s="344"/>
      <c r="G953" s="344">
        <v>0</v>
      </c>
      <c r="H953" s="344">
        <v>0</v>
      </c>
      <c r="I953" s="4856"/>
      <c r="J953" s="4857"/>
    </row>
    <row r="954" spans="1:12" ht="12" hidden="1" customHeight="1" x14ac:dyDescent="0.25">
      <c r="B954" s="1024"/>
      <c r="C954" s="119"/>
      <c r="D954" s="1956"/>
      <c r="E954" s="2205"/>
      <c r="F954" s="1956"/>
      <c r="G954" s="207"/>
      <c r="H954" s="1956"/>
      <c r="I954" s="4856"/>
      <c r="J954" s="4857"/>
    </row>
    <row r="955" spans="1:12" ht="17.25" customHeight="1" x14ac:dyDescent="0.25">
      <c r="B955" s="2455"/>
      <c r="C955" s="422" t="s">
        <v>2481</v>
      </c>
      <c r="D955" s="2329">
        <f>SUM(D956+D1049+D1041+D1046)</f>
        <v>49335636045</v>
      </c>
      <c r="E955" s="2329">
        <f>SUM(E956+E1049+E1041+E1046)</f>
        <v>47430043900</v>
      </c>
      <c r="F955" s="1900">
        <f>D955-E955</f>
        <v>1905592145</v>
      </c>
      <c r="G955" s="2329">
        <f>E955/D955*100</f>
        <v>96.137493508218128</v>
      </c>
      <c r="H955" s="2329">
        <f>SUM(H956+H1041+H1049)/3</f>
        <v>98.628917378917379</v>
      </c>
      <c r="I955" s="4885"/>
      <c r="J955" s="4857"/>
    </row>
    <row r="956" spans="1:12" ht="20.25" hidden="1" customHeight="1" x14ac:dyDescent="0.25">
      <c r="B956" s="2105"/>
      <c r="C956" s="2206" t="s">
        <v>2640</v>
      </c>
      <c r="D956" s="353">
        <f>SUM(D957+D961+D968+D986+D989+D1007+D1010+D1023+D1026+D1038)</f>
        <v>45705100000</v>
      </c>
      <c r="E956" s="353">
        <f>SUM(E957+E961+E968+E986+E989+E1007+E1010+E1023+E1026+E1038)</f>
        <v>43845479800</v>
      </c>
      <c r="F956" s="353"/>
      <c r="G956" s="386">
        <f>E956/D956*100</f>
        <v>95.931263250709435</v>
      </c>
      <c r="H956" s="370">
        <f>SUM(H957+H961+H968+H986+H989+H1007+H1010+H1023+H1026)/9</f>
        <v>95.886752136752136</v>
      </c>
      <c r="I956" s="4856"/>
      <c r="J956" s="4857"/>
    </row>
    <row r="957" spans="1:12" ht="14.25" hidden="1" customHeight="1" x14ac:dyDescent="0.25">
      <c r="A957" s="999"/>
      <c r="B957" s="1024"/>
      <c r="C957" s="138" t="s">
        <v>36</v>
      </c>
      <c r="D957" s="193">
        <f>SUM(D958:D959)</f>
        <v>800000000</v>
      </c>
      <c r="E957" s="193">
        <f>SUM(E958:E959)</f>
        <v>800000000</v>
      </c>
      <c r="F957" s="72"/>
      <c r="G957" s="521">
        <f>E957/D957*100</f>
        <v>100</v>
      </c>
      <c r="H957" s="142">
        <f>SUM(H958:H959)/2</f>
        <v>100</v>
      </c>
      <c r="I957" s="4637"/>
      <c r="J957" s="4890"/>
      <c r="K957" s="536"/>
      <c r="L957" s="536"/>
    </row>
    <row r="958" spans="1:12" ht="14.25" hidden="1" customHeight="1" x14ac:dyDescent="0.25">
      <c r="A958" s="999"/>
      <c r="B958" s="1024"/>
      <c r="C958" s="132" t="s">
        <v>2483</v>
      </c>
      <c r="D958" s="206">
        <v>300000000</v>
      </c>
      <c r="E958" s="368">
        <v>300000000</v>
      </c>
      <c r="F958" s="368"/>
      <c r="G958" s="256">
        <f>E958/D958*100</f>
        <v>100</v>
      </c>
      <c r="H958" s="140">
        <v>100</v>
      </c>
      <c r="I958" s="4637"/>
      <c r="J958" s="4890"/>
      <c r="K958" s="536"/>
      <c r="L958" s="536"/>
    </row>
    <row r="959" spans="1:12" ht="14.25" hidden="1" customHeight="1" x14ac:dyDescent="0.25">
      <c r="A959" s="999"/>
      <c r="B959" s="1024"/>
      <c r="C959" s="132" t="s">
        <v>2484</v>
      </c>
      <c r="D959" s="206">
        <v>500000000</v>
      </c>
      <c r="E959" s="206">
        <v>500000000</v>
      </c>
      <c r="F959" s="206"/>
      <c r="G959" s="256">
        <f>E959/D959*100</f>
        <v>100</v>
      </c>
      <c r="H959" s="140">
        <v>100</v>
      </c>
      <c r="I959" s="4637"/>
      <c r="J959" s="4890"/>
      <c r="K959" s="536"/>
      <c r="L959" s="536"/>
    </row>
    <row r="960" spans="1:12" ht="9.75" hidden="1" customHeight="1" x14ac:dyDescent="0.25">
      <c r="A960" s="999"/>
      <c r="B960" s="1024"/>
      <c r="C960" s="119"/>
      <c r="D960" s="923"/>
      <c r="E960" s="368"/>
      <c r="F960" s="368"/>
      <c r="G960" s="140"/>
      <c r="H960" s="140"/>
      <c r="I960" s="4637"/>
      <c r="J960" s="4890"/>
      <c r="K960" s="536"/>
      <c r="L960" s="536"/>
    </row>
    <row r="961" spans="1:12" ht="17.25" hidden="1" customHeight="1" x14ac:dyDescent="0.25">
      <c r="A961" s="999"/>
      <c r="B961" s="1024"/>
      <c r="C961" s="138" t="s">
        <v>2485</v>
      </c>
      <c r="D961" s="157">
        <f>SUM(D962:D966)</f>
        <v>4209368500</v>
      </c>
      <c r="E961" s="157">
        <f>SUM(E962:E966)</f>
        <v>4209368500</v>
      </c>
      <c r="F961" s="72"/>
      <c r="G961" s="521">
        <f>E961/D961*100</f>
        <v>100</v>
      </c>
      <c r="H961" s="142">
        <f>SUM(H962:H966)/5</f>
        <v>100</v>
      </c>
      <c r="I961" s="4637"/>
      <c r="J961" s="4890"/>
      <c r="K961" s="536"/>
      <c r="L961" s="536"/>
    </row>
    <row r="962" spans="1:12" ht="14.25" hidden="1" customHeight="1" x14ac:dyDescent="0.25">
      <c r="A962" s="999"/>
      <c r="B962" s="1024"/>
      <c r="C962" s="132" t="s">
        <v>2486</v>
      </c>
      <c r="D962" s="206">
        <v>893000000</v>
      </c>
      <c r="E962" s="368">
        <v>893000000</v>
      </c>
      <c r="F962" s="368"/>
      <c r="G962" s="256">
        <f>E962/D962*100</f>
        <v>100</v>
      </c>
      <c r="H962" s="140">
        <v>100</v>
      </c>
      <c r="I962" s="4637"/>
      <c r="J962" s="4890"/>
      <c r="K962" s="536"/>
      <c r="L962" s="536"/>
    </row>
    <row r="963" spans="1:12" ht="14.25" hidden="1" customHeight="1" x14ac:dyDescent="0.25">
      <c r="A963" s="999"/>
      <c r="B963" s="1024"/>
      <c r="C963" s="132" t="s">
        <v>2487</v>
      </c>
      <c r="D963" s="206">
        <v>592810000</v>
      </c>
      <c r="E963" s="368">
        <v>592810000</v>
      </c>
      <c r="F963" s="368"/>
      <c r="G963" s="256">
        <f>E963/D963*100</f>
        <v>100</v>
      </c>
      <c r="H963" s="140">
        <v>100</v>
      </c>
      <c r="I963" s="4637"/>
      <c r="J963" s="4890"/>
      <c r="K963" s="536"/>
      <c r="L963" s="536"/>
    </row>
    <row r="964" spans="1:12" ht="14.25" hidden="1" customHeight="1" x14ac:dyDescent="0.25">
      <c r="A964" s="999"/>
      <c r="B964" s="1024"/>
      <c r="C964" s="132" t="s">
        <v>2488</v>
      </c>
      <c r="D964" s="206">
        <v>282443000</v>
      </c>
      <c r="E964" s="368">
        <v>282443000</v>
      </c>
      <c r="F964" s="368"/>
      <c r="G964" s="256">
        <f t="shared" ref="G964:G966" si="82">E964/D964*100</f>
        <v>100</v>
      </c>
      <c r="H964" s="140">
        <v>100</v>
      </c>
      <c r="I964" s="4637"/>
      <c r="J964" s="4890"/>
      <c r="K964" s="536"/>
      <c r="L964" s="536"/>
    </row>
    <row r="965" spans="1:12" ht="14.25" hidden="1" customHeight="1" x14ac:dyDescent="0.25">
      <c r="A965" s="999"/>
      <c r="B965" s="1024"/>
      <c r="C965" s="132" t="s">
        <v>2489</v>
      </c>
      <c r="D965" s="206">
        <v>1679700000</v>
      </c>
      <c r="E965" s="368">
        <v>1679700000</v>
      </c>
      <c r="F965" s="368"/>
      <c r="G965" s="256">
        <f t="shared" si="82"/>
        <v>100</v>
      </c>
      <c r="H965" s="140">
        <v>100</v>
      </c>
      <c r="I965" s="4637"/>
      <c r="J965" s="4890"/>
      <c r="K965" s="536"/>
      <c r="L965" s="536"/>
    </row>
    <row r="966" spans="1:12" ht="14.25" hidden="1" customHeight="1" x14ac:dyDescent="0.25">
      <c r="A966" s="999"/>
      <c r="B966" s="1024"/>
      <c r="C966" s="132" t="s">
        <v>2490</v>
      </c>
      <c r="D966" s="206">
        <v>761415500</v>
      </c>
      <c r="E966" s="368">
        <v>761415500</v>
      </c>
      <c r="F966" s="368"/>
      <c r="G966" s="256">
        <f t="shared" si="82"/>
        <v>100</v>
      </c>
      <c r="H966" s="140">
        <v>100</v>
      </c>
      <c r="I966" s="4637"/>
      <c r="J966" s="4890"/>
      <c r="K966" s="536"/>
      <c r="L966" s="536"/>
    </row>
    <row r="967" spans="1:12" ht="12" hidden="1" customHeight="1" x14ac:dyDescent="0.25">
      <c r="A967" s="999"/>
      <c r="B967" s="1024"/>
      <c r="C967" s="177"/>
      <c r="D967" s="245"/>
      <c r="E967" s="368"/>
      <c r="F967" s="368"/>
      <c r="G967" s="140"/>
      <c r="H967" s="140"/>
      <c r="I967" s="4637"/>
      <c r="J967" s="4890"/>
      <c r="K967" s="536"/>
      <c r="L967" s="536"/>
    </row>
    <row r="968" spans="1:12" ht="16.5" hidden="1" customHeight="1" x14ac:dyDescent="0.25">
      <c r="A968" s="999"/>
      <c r="B968" s="1024"/>
      <c r="C968" s="138" t="s">
        <v>248</v>
      </c>
      <c r="D968" s="157">
        <f>SUM(D969:D984)</f>
        <v>17514060000</v>
      </c>
      <c r="E968" s="157">
        <f>SUM(E969:E984)</f>
        <v>16369625400</v>
      </c>
      <c r="F968" s="72"/>
      <c r="G968" s="521">
        <f>E968/D968*100</f>
        <v>93.465623618966703</v>
      </c>
      <c r="H968" s="142">
        <f>SUM(H969:H984)/16</f>
        <v>93.75</v>
      </c>
      <c r="I968" s="4637"/>
      <c r="J968" s="4890"/>
      <c r="K968" s="536"/>
      <c r="L968" s="536"/>
    </row>
    <row r="969" spans="1:12" ht="15" hidden="1" customHeight="1" x14ac:dyDescent="0.25">
      <c r="A969" s="999"/>
      <c r="B969" s="1024"/>
      <c r="C969" s="132" t="s">
        <v>3315</v>
      </c>
      <c r="D969" s="206">
        <v>10946860000</v>
      </c>
      <c r="E969" s="256">
        <v>10946860000</v>
      </c>
      <c r="F969" s="256"/>
      <c r="G969" s="256">
        <f>E969/D969*100</f>
        <v>100</v>
      </c>
      <c r="H969" s="140">
        <v>100</v>
      </c>
      <c r="I969" s="4637"/>
      <c r="J969" s="4890"/>
      <c r="K969" s="536"/>
      <c r="L969" s="536"/>
    </row>
    <row r="970" spans="1:12" ht="14.25" hidden="1" customHeight="1" x14ac:dyDescent="0.25">
      <c r="A970" s="999"/>
      <c r="B970" s="1024"/>
      <c r="C970" s="132" t="s">
        <v>2491</v>
      </c>
      <c r="D970" s="206">
        <v>100000000</v>
      </c>
      <c r="E970" s="984">
        <v>100000000</v>
      </c>
      <c r="F970" s="984"/>
      <c r="G970" s="256">
        <f t="shared" ref="G970:G984" si="83">E970/D970*100</f>
        <v>100</v>
      </c>
      <c r="H970" s="140">
        <v>100</v>
      </c>
      <c r="I970" s="4637"/>
      <c r="J970" s="4890"/>
      <c r="K970" s="536"/>
      <c r="L970" s="536"/>
    </row>
    <row r="971" spans="1:12" ht="14.25" hidden="1" customHeight="1" x14ac:dyDescent="0.25">
      <c r="A971" s="999"/>
      <c r="B971" s="1024"/>
      <c r="C971" s="132" t="s">
        <v>2492</v>
      </c>
      <c r="D971" s="206">
        <v>200000000</v>
      </c>
      <c r="E971" s="206">
        <v>200000000</v>
      </c>
      <c r="F971" s="206"/>
      <c r="G971" s="256">
        <f t="shared" si="83"/>
        <v>100</v>
      </c>
      <c r="H971" s="140">
        <v>100</v>
      </c>
      <c r="I971" s="4637"/>
      <c r="J971" s="4890"/>
      <c r="K971" s="536"/>
      <c r="L971" s="536"/>
    </row>
    <row r="972" spans="1:12" ht="16.5" hidden="1" customHeight="1" x14ac:dyDescent="0.25">
      <c r="A972" s="999"/>
      <c r="B972" s="1024"/>
      <c r="C972" s="132" t="s">
        <v>2493</v>
      </c>
      <c r="D972" s="206">
        <v>398550000</v>
      </c>
      <c r="E972" s="256">
        <v>398550000</v>
      </c>
      <c r="F972" s="256"/>
      <c r="G972" s="256">
        <f t="shared" si="83"/>
        <v>100</v>
      </c>
      <c r="H972" s="140">
        <v>100</v>
      </c>
      <c r="I972" s="4637"/>
      <c r="J972" s="4890"/>
      <c r="K972" s="536"/>
      <c r="L972" s="536"/>
    </row>
    <row r="973" spans="1:12" ht="18.75" hidden="1" customHeight="1" x14ac:dyDescent="0.25">
      <c r="A973" s="999"/>
      <c r="B973" s="1024"/>
      <c r="C973" s="132" t="s">
        <v>2494</v>
      </c>
      <c r="D973" s="206">
        <v>0</v>
      </c>
      <c r="E973" s="206">
        <v>0</v>
      </c>
      <c r="F973" s="206"/>
      <c r="G973" s="206">
        <v>0</v>
      </c>
      <c r="H973" s="140">
        <v>0</v>
      </c>
      <c r="I973" s="4637"/>
      <c r="J973" s="4890"/>
      <c r="K973" s="536"/>
      <c r="L973" s="536"/>
    </row>
    <row r="974" spans="1:12" ht="19.5" hidden="1" customHeight="1" x14ac:dyDescent="0.25">
      <c r="A974" s="999"/>
      <c r="B974" s="1024"/>
      <c r="C974" s="132" t="s">
        <v>2495</v>
      </c>
      <c r="D974" s="206">
        <v>200000000</v>
      </c>
      <c r="E974" s="936">
        <v>200000000</v>
      </c>
      <c r="F974" s="936"/>
      <c r="G974" s="256">
        <f t="shared" si="83"/>
        <v>100</v>
      </c>
      <c r="H974" s="140">
        <v>100</v>
      </c>
      <c r="I974" s="4637"/>
      <c r="J974" s="4890"/>
      <c r="K974" s="536"/>
      <c r="L974" s="536"/>
    </row>
    <row r="975" spans="1:12" ht="17.25" hidden="1" customHeight="1" x14ac:dyDescent="0.25">
      <c r="A975" s="999"/>
      <c r="B975" s="1024"/>
      <c r="C975" s="132" t="s">
        <v>2496</v>
      </c>
      <c r="D975" s="206">
        <v>200000000</v>
      </c>
      <c r="E975" s="936">
        <v>200000000</v>
      </c>
      <c r="F975" s="936"/>
      <c r="G975" s="256">
        <f t="shared" si="83"/>
        <v>100</v>
      </c>
      <c r="H975" s="140">
        <v>100</v>
      </c>
      <c r="I975" s="4637"/>
      <c r="J975" s="4890"/>
      <c r="K975" s="536"/>
      <c r="L975" s="536"/>
    </row>
    <row r="976" spans="1:12" ht="16.5" hidden="1" customHeight="1" x14ac:dyDescent="0.25">
      <c r="A976" s="999"/>
      <c r="B976" s="1024"/>
      <c r="C976" s="132" t="s">
        <v>2497</v>
      </c>
      <c r="D976" s="206">
        <v>200000000</v>
      </c>
      <c r="E976" s="936">
        <v>200000000</v>
      </c>
      <c r="F976" s="936"/>
      <c r="G976" s="256">
        <f t="shared" si="83"/>
        <v>100</v>
      </c>
      <c r="H976" s="154">
        <v>100</v>
      </c>
      <c r="I976" s="4637"/>
      <c r="J976" s="4890"/>
      <c r="K976" s="536"/>
      <c r="L976" s="536"/>
    </row>
    <row r="977" spans="1:12" ht="16.5" hidden="1" customHeight="1" x14ac:dyDescent="0.25">
      <c r="A977" s="999"/>
      <c r="B977" s="1024"/>
      <c r="C977" s="132" t="s">
        <v>2498</v>
      </c>
      <c r="D977" s="206">
        <v>650000000</v>
      </c>
      <c r="E977" s="936">
        <v>650000000</v>
      </c>
      <c r="F977" s="936"/>
      <c r="G977" s="256">
        <f t="shared" si="83"/>
        <v>100</v>
      </c>
      <c r="H977" s="140">
        <v>100</v>
      </c>
      <c r="I977" s="4637"/>
      <c r="J977" s="4890"/>
      <c r="K977" s="536"/>
      <c r="L977" s="536"/>
    </row>
    <row r="978" spans="1:12" ht="19.5" hidden="1" customHeight="1" x14ac:dyDescent="0.25">
      <c r="A978" s="999"/>
      <c r="B978" s="1024"/>
      <c r="C978" s="132" t="s">
        <v>2499</v>
      </c>
      <c r="D978" s="206">
        <v>200000000</v>
      </c>
      <c r="E978" s="936">
        <v>200000000</v>
      </c>
      <c r="F978" s="936"/>
      <c r="G978" s="256">
        <f t="shared" si="83"/>
        <v>100</v>
      </c>
      <c r="H978" s="140">
        <v>100</v>
      </c>
      <c r="I978" s="4637"/>
      <c r="J978" s="4890"/>
      <c r="K978" s="536"/>
      <c r="L978" s="536"/>
    </row>
    <row r="979" spans="1:12" ht="16.5" hidden="1" customHeight="1" x14ac:dyDescent="0.25">
      <c r="A979" s="999"/>
      <c r="B979" s="1024"/>
      <c r="C979" s="132" t="s">
        <v>2500</v>
      </c>
      <c r="D979" s="206">
        <v>1200000000</v>
      </c>
      <c r="E979" s="936">
        <v>1200000000</v>
      </c>
      <c r="F979" s="936"/>
      <c r="G979" s="256">
        <f t="shared" si="83"/>
        <v>100</v>
      </c>
      <c r="H979" s="140">
        <v>100</v>
      </c>
      <c r="I979" s="4637"/>
      <c r="J979" s="4890"/>
      <c r="K979" s="536"/>
      <c r="L979" s="536"/>
    </row>
    <row r="980" spans="1:12" ht="17.25" hidden="1" customHeight="1" x14ac:dyDescent="0.25">
      <c r="A980" s="999"/>
      <c r="B980" s="1024"/>
      <c r="C980" s="132" t="s">
        <v>2501</v>
      </c>
      <c r="D980" s="206">
        <v>150000000</v>
      </c>
      <c r="E980" s="893">
        <v>150000000</v>
      </c>
      <c r="F980" s="893"/>
      <c r="G980" s="256">
        <f t="shared" si="83"/>
        <v>100</v>
      </c>
      <c r="H980" s="154">
        <v>100</v>
      </c>
      <c r="I980" s="4637"/>
      <c r="J980" s="4890"/>
      <c r="K980" s="536"/>
      <c r="L980" s="536"/>
    </row>
    <row r="981" spans="1:12" ht="19.5" hidden="1" customHeight="1" x14ac:dyDescent="0.25">
      <c r="A981" s="999"/>
      <c r="B981" s="1024"/>
      <c r="C981" s="132" t="s">
        <v>2502</v>
      </c>
      <c r="D981" s="206">
        <v>500000000</v>
      </c>
      <c r="E981" s="893">
        <v>500000000</v>
      </c>
      <c r="F981" s="893"/>
      <c r="G981" s="256">
        <f t="shared" si="83"/>
        <v>100</v>
      </c>
      <c r="H981" s="154">
        <v>100</v>
      </c>
      <c r="I981" s="4637"/>
      <c r="J981" s="4890"/>
      <c r="K981" s="536"/>
      <c r="L981" s="536"/>
    </row>
    <row r="982" spans="1:12" ht="19.5" hidden="1" customHeight="1" x14ac:dyDescent="0.25">
      <c r="A982" s="999"/>
      <c r="B982" s="1024"/>
      <c r="C982" s="132" t="s">
        <v>2503</v>
      </c>
      <c r="D982" s="206">
        <v>600000000</v>
      </c>
      <c r="E982" s="893">
        <v>600000000</v>
      </c>
      <c r="F982" s="893"/>
      <c r="G982" s="256">
        <f t="shared" si="83"/>
        <v>100</v>
      </c>
      <c r="H982" s="154">
        <v>100</v>
      </c>
      <c r="I982" s="4637"/>
      <c r="J982" s="4890"/>
      <c r="K982" s="536"/>
      <c r="L982" s="536"/>
    </row>
    <row r="983" spans="1:12" ht="16.5" hidden="1" customHeight="1" x14ac:dyDescent="0.25">
      <c r="A983" s="999"/>
      <c r="B983" s="1024"/>
      <c r="C983" s="132" t="s">
        <v>2504</v>
      </c>
      <c r="D983" s="206">
        <v>268650000</v>
      </c>
      <c r="E983" s="936">
        <v>268650000</v>
      </c>
      <c r="F983" s="936"/>
      <c r="G983" s="256">
        <f t="shared" si="83"/>
        <v>100</v>
      </c>
      <c r="H983" s="140">
        <v>100</v>
      </c>
      <c r="I983" s="4637"/>
      <c r="J983" s="4890"/>
      <c r="K983" s="536"/>
      <c r="L983" s="536"/>
    </row>
    <row r="984" spans="1:12" ht="18" hidden="1" customHeight="1" x14ac:dyDescent="0.25">
      <c r="A984" s="999"/>
      <c r="B984" s="1024"/>
      <c r="C984" s="211" t="s">
        <v>3988</v>
      </c>
      <c r="D984" s="901">
        <v>1700000000</v>
      </c>
      <c r="E984" s="937">
        <v>555565400</v>
      </c>
      <c r="F984" s="937"/>
      <c r="G984" s="522">
        <f t="shared" si="83"/>
        <v>32.680317647058821</v>
      </c>
      <c r="H984" s="140">
        <v>100</v>
      </c>
      <c r="I984" s="4637"/>
      <c r="J984" s="4890"/>
      <c r="K984" s="536"/>
      <c r="L984" s="536"/>
    </row>
    <row r="985" spans="1:12" ht="12" hidden="1" customHeight="1" x14ac:dyDescent="0.25">
      <c r="A985" s="999"/>
      <c r="B985" s="1024"/>
      <c r="C985" s="168"/>
      <c r="D985" s="189"/>
      <c r="E985" s="985"/>
      <c r="F985" s="985"/>
      <c r="G985" s="140"/>
      <c r="H985" s="140"/>
      <c r="I985" s="4637"/>
      <c r="J985" s="4890"/>
      <c r="K985" s="536"/>
      <c r="L985" s="536"/>
    </row>
    <row r="986" spans="1:12" ht="16.5" hidden="1" customHeight="1" x14ac:dyDescent="0.25">
      <c r="A986" s="999"/>
      <c r="B986" s="1024"/>
      <c r="C986" s="138" t="s">
        <v>2505</v>
      </c>
      <c r="D986" s="205">
        <f>D987</f>
        <v>200000000</v>
      </c>
      <c r="E986" s="205">
        <f>E987</f>
        <v>200000000</v>
      </c>
      <c r="F986" s="4943"/>
      <c r="G986" s="521">
        <f>E986/D986*100</f>
        <v>100</v>
      </c>
      <c r="H986" s="142">
        <v>100</v>
      </c>
      <c r="I986" s="4637"/>
      <c r="J986" s="4890"/>
      <c r="K986" s="536"/>
      <c r="L986" s="536"/>
    </row>
    <row r="987" spans="1:12" ht="18" hidden="1" customHeight="1" x14ac:dyDescent="0.25">
      <c r="A987" s="999"/>
      <c r="B987" s="1024"/>
      <c r="C987" s="132" t="s">
        <v>2506</v>
      </c>
      <c r="D987" s="206">
        <v>200000000</v>
      </c>
      <c r="E987" s="206">
        <v>200000000</v>
      </c>
      <c r="F987" s="206"/>
      <c r="G987" s="256">
        <f>E987/D987*100</f>
        <v>100</v>
      </c>
      <c r="H987" s="140">
        <v>100</v>
      </c>
      <c r="I987" s="4637"/>
      <c r="J987" s="4890"/>
      <c r="K987" s="536"/>
      <c r="L987" s="536"/>
    </row>
    <row r="988" spans="1:12" ht="11.25" hidden="1" customHeight="1" x14ac:dyDescent="0.25">
      <c r="A988" s="999"/>
      <c r="B988" s="1024"/>
      <c r="C988" s="177"/>
      <c r="D988" s="245"/>
      <c r="E988" s="368"/>
      <c r="F988" s="368"/>
      <c r="G988" s="140"/>
      <c r="H988" s="140"/>
      <c r="I988" s="4637"/>
      <c r="J988" s="4890"/>
      <c r="K988" s="536"/>
      <c r="L988" s="536"/>
    </row>
    <row r="989" spans="1:12" ht="14.25" hidden="1" customHeight="1" x14ac:dyDescent="0.25">
      <c r="A989" s="999"/>
      <c r="B989" s="1024"/>
      <c r="C989" s="138" t="s">
        <v>663</v>
      </c>
      <c r="D989" s="157">
        <f>SUM(D990:D1005)</f>
        <v>3048884000</v>
      </c>
      <c r="E989" s="157">
        <f>SUM(E990:E1005)</f>
        <v>2368169600</v>
      </c>
      <c r="F989" s="72"/>
      <c r="G989" s="521">
        <f>E989/D989*100</f>
        <v>77.673325715245312</v>
      </c>
      <c r="H989" s="142">
        <f>SUM(H990:H1005)/13</f>
        <v>69.230769230769226</v>
      </c>
      <c r="I989" s="4637"/>
      <c r="J989" s="4890"/>
      <c r="K989" s="536"/>
      <c r="L989" s="536"/>
    </row>
    <row r="990" spans="1:12" ht="15.75" hidden="1" customHeight="1" x14ac:dyDescent="0.25">
      <c r="A990" s="999"/>
      <c r="B990" s="1024"/>
      <c r="C990" s="132" t="s">
        <v>2507</v>
      </c>
      <c r="D990" s="206">
        <v>200000000</v>
      </c>
      <c r="E990" s="893">
        <v>0</v>
      </c>
      <c r="F990" s="893"/>
      <c r="G990" s="893">
        <v>0</v>
      </c>
      <c r="H990" s="893">
        <v>0</v>
      </c>
      <c r="I990" s="4637"/>
      <c r="J990" s="4890"/>
      <c r="K990" s="536"/>
      <c r="L990" s="536"/>
    </row>
    <row r="991" spans="1:12" ht="14.25" hidden="1" customHeight="1" x14ac:dyDescent="0.25">
      <c r="A991" s="999"/>
      <c r="B991" s="1024"/>
      <c r="C991" s="132" t="s">
        <v>2508</v>
      </c>
      <c r="D991" s="206">
        <v>250000000</v>
      </c>
      <c r="E991" s="893">
        <v>0</v>
      </c>
      <c r="F991" s="893"/>
      <c r="G991" s="893">
        <v>0</v>
      </c>
      <c r="H991" s="893">
        <v>0</v>
      </c>
      <c r="I991" s="4637"/>
      <c r="J991" s="4890"/>
      <c r="K991" s="536"/>
      <c r="L991" s="536"/>
    </row>
    <row r="992" spans="1:12" ht="14.25" hidden="1" customHeight="1" x14ac:dyDescent="0.25">
      <c r="A992" s="999"/>
      <c r="B992" s="1024"/>
      <c r="C992" s="132" t="s">
        <v>2509</v>
      </c>
      <c r="D992" s="206">
        <v>300000000</v>
      </c>
      <c r="E992" s="893">
        <v>300000000</v>
      </c>
      <c r="F992" s="893"/>
      <c r="G992" s="256">
        <f t="shared" ref="G992:G1005" si="84">E992/D992*100</f>
        <v>100</v>
      </c>
      <c r="H992" s="140">
        <v>100</v>
      </c>
      <c r="I992" s="4637"/>
      <c r="J992" s="4890"/>
      <c r="K992" s="536"/>
      <c r="L992" s="536"/>
    </row>
    <row r="993" spans="1:12" ht="14.25" hidden="1" customHeight="1" x14ac:dyDescent="0.25">
      <c r="A993" s="999"/>
      <c r="B993" s="1024"/>
      <c r="C993" s="132" t="s">
        <v>2510</v>
      </c>
      <c r="D993" s="206">
        <v>210000000</v>
      </c>
      <c r="E993" s="893">
        <v>210000000</v>
      </c>
      <c r="F993" s="893"/>
      <c r="G993" s="256">
        <f t="shared" si="84"/>
        <v>100</v>
      </c>
      <c r="H993" s="140">
        <v>100</v>
      </c>
      <c r="I993" s="4637"/>
      <c r="J993" s="4890"/>
      <c r="K993" s="536"/>
      <c r="L993" s="536"/>
    </row>
    <row r="994" spans="1:12" ht="14.25" hidden="1" customHeight="1" x14ac:dyDescent="0.25">
      <c r="A994" s="999"/>
      <c r="B994" s="1024"/>
      <c r="C994" s="132" t="s">
        <v>2511</v>
      </c>
      <c r="D994" s="206">
        <v>200000000</v>
      </c>
      <c r="E994" s="893">
        <v>0</v>
      </c>
      <c r="F994" s="893"/>
      <c r="G994" s="893">
        <v>0</v>
      </c>
      <c r="H994" s="893">
        <v>0</v>
      </c>
      <c r="I994" s="4637"/>
      <c r="J994" s="4890"/>
      <c r="K994" s="536"/>
      <c r="L994" s="536"/>
    </row>
    <row r="995" spans="1:12" ht="14.25" hidden="1" customHeight="1" x14ac:dyDescent="0.25">
      <c r="A995" s="999"/>
      <c r="B995" s="1024"/>
      <c r="C995" s="132" t="s">
        <v>2512</v>
      </c>
      <c r="D995" s="984">
        <v>0</v>
      </c>
      <c r="E995" s="984">
        <v>0</v>
      </c>
      <c r="F995" s="984"/>
      <c r="G995" s="984">
        <v>0</v>
      </c>
      <c r="H995" s="984">
        <v>0</v>
      </c>
      <c r="I995" s="4637"/>
      <c r="J995" s="4890"/>
      <c r="K995" s="536"/>
      <c r="L995" s="536"/>
    </row>
    <row r="996" spans="1:12" ht="14.25" hidden="1" customHeight="1" x14ac:dyDescent="0.25">
      <c r="A996" s="999"/>
      <c r="B996" s="1024"/>
      <c r="C996" s="132" t="s">
        <v>2513</v>
      </c>
      <c r="D996" s="984">
        <v>0</v>
      </c>
      <c r="E996" s="984">
        <v>0</v>
      </c>
      <c r="F996" s="984"/>
      <c r="G996" s="984">
        <v>0</v>
      </c>
      <c r="H996" s="984">
        <v>0</v>
      </c>
      <c r="I996" s="4637"/>
      <c r="J996" s="4890"/>
      <c r="K996" s="536"/>
      <c r="L996" s="536"/>
    </row>
    <row r="997" spans="1:12" ht="14.25" hidden="1" customHeight="1" x14ac:dyDescent="0.25">
      <c r="A997" s="999"/>
      <c r="B997" s="1024"/>
      <c r="C997" s="132" t="s">
        <v>2514</v>
      </c>
      <c r="D997" s="206">
        <v>200000000</v>
      </c>
      <c r="E997" s="893">
        <v>180450000</v>
      </c>
      <c r="F997" s="893"/>
      <c r="G997" s="256">
        <f t="shared" si="84"/>
        <v>90.224999999999994</v>
      </c>
      <c r="H997" s="154">
        <v>100</v>
      </c>
      <c r="I997" s="4637"/>
      <c r="J997" s="4890"/>
      <c r="K997" s="536"/>
      <c r="L997" s="536"/>
    </row>
    <row r="998" spans="1:12" ht="14.25" hidden="1" customHeight="1" x14ac:dyDescent="0.25">
      <c r="A998" s="999"/>
      <c r="B998" s="1024"/>
      <c r="C998" s="170" t="s">
        <v>2515</v>
      </c>
      <c r="D998" s="372">
        <v>300000000</v>
      </c>
      <c r="E998" s="984">
        <v>300000000</v>
      </c>
      <c r="F998" s="984"/>
      <c r="G998" s="256">
        <f t="shared" si="84"/>
        <v>100</v>
      </c>
      <c r="H998" s="140">
        <v>100</v>
      </c>
      <c r="I998" s="4637"/>
      <c r="J998" s="4890"/>
      <c r="K998" s="536"/>
      <c r="L998" s="536"/>
    </row>
    <row r="999" spans="1:12" ht="14.25" hidden="1" customHeight="1" x14ac:dyDescent="0.25">
      <c r="A999" s="999"/>
      <c r="B999" s="1024"/>
      <c r="C999" s="177" t="s">
        <v>2516</v>
      </c>
      <c r="D999" s="938" t="s">
        <v>3317</v>
      </c>
      <c r="E999" s="420" t="s">
        <v>3317</v>
      </c>
      <c r="F999" s="938"/>
      <c r="G999" s="938" t="s">
        <v>3317</v>
      </c>
      <c r="H999" s="938" t="s">
        <v>3317</v>
      </c>
      <c r="I999" s="4637"/>
      <c r="J999" s="4890"/>
      <c r="K999" s="536"/>
      <c r="L999" s="536"/>
    </row>
    <row r="1000" spans="1:12" ht="20.25" hidden="1" customHeight="1" x14ac:dyDescent="0.25">
      <c r="A1000" s="999"/>
      <c r="B1000" s="1024"/>
      <c r="C1000" s="168" t="s">
        <v>2517</v>
      </c>
      <c r="D1000" s="189">
        <v>338884000</v>
      </c>
      <c r="E1000" s="984">
        <v>338884000</v>
      </c>
      <c r="F1000" s="984"/>
      <c r="G1000" s="256">
        <f t="shared" si="84"/>
        <v>100</v>
      </c>
      <c r="H1000" s="154">
        <v>100</v>
      </c>
      <c r="I1000" s="4637"/>
      <c r="J1000" s="4890"/>
      <c r="K1000" s="536"/>
      <c r="L1000" s="536"/>
    </row>
    <row r="1001" spans="1:12" ht="19.5" hidden="1" customHeight="1" x14ac:dyDescent="0.25">
      <c r="A1001" s="999"/>
      <c r="B1001" s="1024"/>
      <c r="C1001" s="168" t="s">
        <v>2518</v>
      </c>
      <c r="D1001" s="938" t="s">
        <v>3317</v>
      </c>
      <c r="E1001" s="420" t="s">
        <v>3317</v>
      </c>
      <c r="F1001" s="938"/>
      <c r="G1001" s="938" t="s">
        <v>3317</v>
      </c>
      <c r="H1001" s="938" t="s">
        <v>3317</v>
      </c>
      <c r="I1001" s="4637"/>
      <c r="J1001" s="4890"/>
      <c r="K1001" s="536"/>
      <c r="L1001" s="536"/>
    </row>
    <row r="1002" spans="1:12" ht="16.5" hidden="1" customHeight="1" x14ac:dyDescent="0.25">
      <c r="A1002" s="999"/>
      <c r="B1002" s="1024"/>
      <c r="C1002" s="168" t="s">
        <v>2519</v>
      </c>
      <c r="D1002" s="189">
        <v>300000000</v>
      </c>
      <c r="E1002" s="2212">
        <v>300000000</v>
      </c>
      <c r="F1002" s="2212"/>
      <c r="G1002" s="256">
        <f t="shared" si="84"/>
        <v>100</v>
      </c>
      <c r="H1002" s="154">
        <v>100</v>
      </c>
      <c r="I1002" s="4637"/>
      <c r="J1002" s="4890"/>
      <c r="K1002" s="536"/>
      <c r="L1002" s="536"/>
    </row>
    <row r="1003" spans="1:12" ht="16.5" hidden="1" customHeight="1" x14ac:dyDescent="0.25">
      <c r="A1003" s="999"/>
      <c r="B1003" s="1024"/>
      <c r="C1003" s="168" t="s">
        <v>3989</v>
      </c>
      <c r="D1003" s="189">
        <v>300000000</v>
      </c>
      <c r="E1003" s="984">
        <v>294450000</v>
      </c>
      <c r="F1003" s="984"/>
      <c r="G1003" s="256">
        <f t="shared" si="84"/>
        <v>98.15</v>
      </c>
      <c r="H1003" s="154">
        <v>100</v>
      </c>
      <c r="I1003" s="4637"/>
      <c r="J1003" s="4890"/>
      <c r="K1003" s="536"/>
      <c r="L1003" s="536"/>
    </row>
    <row r="1004" spans="1:12" ht="16.5" hidden="1" customHeight="1" x14ac:dyDescent="0.25">
      <c r="A1004" s="999"/>
      <c r="B1004" s="1024"/>
      <c r="C1004" s="168" t="s">
        <v>3990</v>
      </c>
      <c r="D1004" s="189">
        <v>250000000</v>
      </c>
      <c r="E1004" s="984">
        <v>250000000</v>
      </c>
      <c r="F1004" s="984"/>
      <c r="G1004" s="256">
        <f t="shared" si="84"/>
        <v>100</v>
      </c>
      <c r="H1004" s="154">
        <v>100</v>
      </c>
      <c r="I1004" s="4637"/>
      <c r="J1004" s="4890"/>
      <c r="K1004" s="536"/>
      <c r="L1004" s="536"/>
    </row>
    <row r="1005" spans="1:12" ht="16.5" hidden="1" customHeight="1" x14ac:dyDescent="0.25">
      <c r="A1005" s="999"/>
      <c r="B1005" s="1024"/>
      <c r="C1005" s="168" t="s">
        <v>3991</v>
      </c>
      <c r="D1005" s="189">
        <v>200000000</v>
      </c>
      <c r="E1005" s="984">
        <v>194385600</v>
      </c>
      <c r="F1005" s="984"/>
      <c r="G1005" s="256">
        <f t="shared" si="84"/>
        <v>97.192800000000005</v>
      </c>
      <c r="H1005" s="154">
        <v>100</v>
      </c>
      <c r="I1005" s="4637"/>
      <c r="J1005" s="4890"/>
      <c r="K1005" s="536"/>
      <c r="L1005" s="536"/>
    </row>
    <row r="1006" spans="1:12" ht="9" hidden="1" customHeight="1" x14ac:dyDescent="0.25">
      <c r="A1006" s="999"/>
      <c r="B1006" s="1024"/>
      <c r="C1006" s="177"/>
      <c r="D1006" s="189"/>
      <c r="E1006" s="2212"/>
      <c r="F1006" s="2212"/>
      <c r="G1006" s="154"/>
      <c r="H1006" s="154"/>
      <c r="I1006" s="4637"/>
      <c r="J1006" s="4890"/>
      <c r="K1006" s="536"/>
      <c r="L1006" s="536"/>
    </row>
    <row r="1007" spans="1:12" ht="17.25" hidden="1" customHeight="1" x14ac:dyDescent="0.25">
      <c r="A1007" s="999"/>
      <c r="B1007" s="1024"/>
      <c r="C1007" s="175" t="s">
        <v>2520</v>
      </c>
      <c r="D1007" s="371">
        <f>D1008</f>
        <v>300000000</v>
      </c>
      <c r="E1007" s="371">
        <f>E1008</f>
        <v>300000000</v>
      </c>
      <c r="F1007" s="371"/>
      <c r="G1007" s="255">
        <f t="shared" ref="G1007:G1008" si="85">E1007/D1007*100</f>
        <v>100</v>
      </c>
      <c r="H1007" s="234">
        <f>H1008</f>
        <v>100</v>
      </c>
      <c r="I1007" s="4641"/>
      <c r="J1007" s="4890"/>
      <c r="K1007" s="536"/>
      <c r="L1007" s="536"/>
    </row>
    <row r="1008" spans="1:12" ht="16.5" hidden="1" customHeight="1" x14ac:dyDescent="0.25">
      <c r="A1008" s="999"/>
      <c r="B1008" s="1024"/>
      <c r="C1008" s="168" t="s">
        <v>3316</v>
      </c>
      <c r="D1008" s="189">
        <v>300000000</v>
      </c>
      <c r="E1008" s="2212">
        <v>300000000</v>
      </c>
      <c r="F1008" s="2212"/>
      <c r="G1008" s="256">
        <f t="shared" si="85"/>
        <v>100</v>
      </c>
      <c r="H1008" s="154">
        <v>100</v>
      </c>
      <c r="I1008" s="4637"/>
      <c r="J1008" s="4890"/>
      <c r="K1008" s="536"/>
      <c r="L1008" s="536"/>
    </row>
    <row r="1009" spans="1:12" ht="8.25" hidden="1" customHeight="1" x14ac:dyDescent="0.25">
      <c r="A1009" s="999"/>
      <c r="B1009" s="1024"/>
      <c r="C1009" s="177"/>
      <c r="D1009" s="189"/>
      <c r="E1009" s="2212"/>
      <c r="F1009" s="2212"/>
      <c r="G1009" s="154"/>
      <c r="H1009" s="154"/>
      <c r="I1009" s="4637"/>
      <c r="J1009" s="4890"/>
      <c r="K1009" s="536"/>
      <c r="L1009" s="536"/>
    </row>
    <row r="1010" spans="1:12" ht="16.5" hidden="1" customHeight="1" x14ac:dyDescent="0.25">
      <c r="A1010" s="999"/>
      <c r="B1010" s="2098"/>
      <c r="C1010" s="387" t="s">
        <v>2521</v>
      </c>
      <c r="D1010" s="92">
        <f>SUM(D1011:D1021)</f>
        <v>15294000000</v>
      </c>
      <c r="E1010" s="92">
        <f>SUM(E1011:E1021)</f>
        <v>15259600000</v>
      </c>
      <c r="F1010" s="92"/>
      <c r="G1010" s="255">
        <f>E1010/D1010*100</f>
        <v>99.775075192886092</v>
      </c>
      <c r="H1010" s="234">
        <f>SUM(H1011:H1021)/10</f>
        <v>100</v>
      </c>
      <c r="I1010" s="4637"/>
      <c r="J1010" s="4890"/>
      <c r="K1010" s="536"/>
      <c r="L1010" s="536"/>
    </row>
    <row r="1011" spans="1:12" ht="14.25" hidden="1" customHeight="1" x14ac:dyDescent="0.25">
      <c r="A1011" s="999"/>
      <c r="B1011" s="2098"/>
      <c r="C1011" s="2213" t="s">
        <v>2522</v>
      </c>
      <c r="D1011" s="368">
        <v>500000000</v>
      </c>
      <c r="E1011" s="893">
        <v>500000000</v>
      </c>
      <c r="F1011" s="893"/>
      <c r="G1011" s="256">
        <f t="shared" ref="G1011:G1024" si="86">E1011/D1011*100</f>
        <v>100</v>
      </c>
      <c r="H1011" s="154">
        <v>100</v>
      </c>
      <c r="I1011" s="4637"/>
      <c r="J1011" s="4890"/>
      <c r="K1011" s="536"/>
      <c r="L1011" s="536"/>
    </row>
    <row r="1012" spans="1:12" ht="14.25" hidden="1" customHeight="1" x14ac:dyDescent="0.25">
      <c r="A1012" s="999"/>
      <c r="B1012" s="2098"/>
      <c r="C1012" s="2213" t="s">
        <v>2523</v>
      </c>
      <c r="D1012" s="368">
        <v>700000000</v>
      </c>
      <c r="E1012" s="893">
        <v>700000000</v>
      </c>
      <c r="F1012" s="893"/>
      <c r="G1012" s="256">
        <f t="shared" si="86"/>
        <v>100</v>
      </c>
      <c r="H1012" s="154">
        <v>100</v>
      </c>
      <c r="I1012" s="4637"/>
      <c r="J1012" s="4890"/>
      <c r="K1012" s="536"/>
      <c r="L1012" s="536"/>
    </row>
    <row r="1013" spans="1:12" ht="14.25" hidden="1" customHeight="1" x14ac:dyDescent="0.25">
      <c r="A1013" s="999"/>
      <c r="B1013" s="2439"/>
      <c r="C1013" s="2214" t="s">
        <v>2524</v>
      </c>
      <c r="D1013" s="923">
        <v>4740000000</v>
      </c>
      <c r="E1013" s="923">
        <v>4739900000</v>
      </c>
      <c r="F1013" s="923"/>
      <c r="G1013" s="256">
        <f t="shared" si="86"/>
        <v>99.997890295358644</v>
      </c>
      <c r="H1013" s="239">
        <v>100</v>
      </c>
      <c r="I1013" s="4637"/>
      <c r="J1013" s="4890"/>
      <c r="K1013" s="536"/>
      <c r="L1013" s="536"/>
    </row>
    <row r="1014" spans="1:12" ht="14.25" hidden="1" customHeight="1" x14ac:dyDescent="0.25">
      <c r="A1014" s="999"/>
      <c r="B1014" s="2098"/>
      <c r="C1014" s="2214" t="s">
        <v>2525</v>
      </c>
      <c r="D1014" s="897">
        <v>6354000000</v>
      </c>
      <c r="E1014" s="897">
        <v>6319700000</v>
      </c>
      <c r="F1014" s="897"/>
      <c r="G1014" s="256">
        <f t="shared" si="86"/>
        <v>99.460182562165571</v>
      </c>
      <c r="H1014" s="133">
        <v>100</v>
      </c>
      <c r="I1014" s="4637"/>
      <c r="J1014" s="4890"/>
      <c r="K1014" s="536"/>
      <c r="L1014" s="536"/>
    </row>
    <row r="1015" spans="1:12" ht="14.25" hidden="1" customHeight="1" x14ac:dyDescent="0.25">
      <c r="A1015" s="999"/>
      <c r="B1015" s="2098"/>
      <c r="C1015" s="2214" t="s">
        <v>2526</v>
      </c>
      <c r="D1015" s="368">
        <v>200000000</v>
      </c>
      <c r="E1015" s="368">
        <v>200000000</v>
      </c>
      <c r="F1015" s="368"/>
      <c r="G1015" s="256">
        <f t="shared" si="86"/>
        <v>100</v>
      </c>
      <c r="H1015" s="140">
        <v>100</v>
      </c>
      <c r="I1015" s="4637"/>
      <c r="J1015" s="4890"/>
      <c r="K1015" s="536"/>
      <c r="L1015" s="536"/>
    </row>
    <row r="1016" spans="1:12" ht="14.25" hidden="1" customHeight="1" x14ac:dyDescent="0.25">
      <c r="A1016" s="999"/>
      <c r="B1016" s="2098"/>
      <c r="C1016" s="2214" t="s">
        <v>2527</v>
      </c>
      <c r="D1016" s="368">
        <v>500000000</v>
      </c>
      <c r="E1016" s="368">
        <v>500000000</v>
      </c>
      <c r="F1016" s="368"/>
      <c r="G1016" s="256">
        <f t="shared" si="86"/>
        <v>100</v>
      </c>
      <c r="H1016" s="140">
        <v>100</v>
      </c>
      <c r="I1016" s="4637"/>
      <c r="J1016" s="4890"/>
      <c r="K1016" s="536"/>
      <c r="L1016" s="536"/>
    </row>
    <row r="1017" spans="1:12" ht="14.25" hidden="1" customHeight="1" x14ac:dyDescent="0.25">
      <c r="A1017" s="999"/>
      <c r="B1017" s="2098"/>
      <c r="C1017" s="2214" t="s">
        <v>2528</v>
      </c>
      <c r="D1017" s="939" t="s">
        <v>3317</v>
      </c>
      <c r="E1017" s="939"/>
      <c r="F1017" s="939"/>
      <c r="G1017" s="939" t="s">
        <v>3317</v>
      </c>
      <c r="H1017" s="939" t="s">
        <v>3317</v>
      </c>
      <c r="I1017" s="4637"/>
      <c r="J1017" s="4890"/>
      <c r="K1017" s="536"/>
      <c r="L1017" s="536"/>
    </row>
    <row r="1018" spans="1:12" ht="14.25" hidden="1" customHeight="1" x14ac:dyDescent="0.25">
      <c r="A1018" s="999"/>
      <c r="B1018" s="2098"/>
      <c r="C1018" s="2214" t="s">
        <v>2529</v>
      </c>
      <c r="D1018" s="368">
        <v>700000000</v>
      </c>
      <c r="E1018" s="368">
        <v>700000000</v>
      </c>
      <c r="F1018" s="368"/>
      <c r="G1018" s="256">
        <f t="shared" si="86"/>
        <v>100</v>
      </c>
      <c r="H1018" s="140">
        <v>100</v>
      </c>
      <c r="I1018" s="4637"/>
      <c r="J1018" s="4890"/>
      <c r="K1018" s="536"/>
      <c r="L1018" s="536"/>
    </row>
    <row r="1019" spans="1:12" ht="14.25" hidden="1" customHeight="1" x14ac:dyDescent="0.25">
      <c r="A1019" s="999"/>
      <c r="B1019" s="2098"/>
      <c r="C1019" s="2214" t="s">
        <v>2530</v>
      </c>
      <c r="D1019" s="368">
        <v>500000000</v>
      </c>
      <c r="E1019" s="368">
        <v>500000000</v>
      </c>
      <c r="F1019" s="368"/>
      <c r="G1019" s="256">
        <f t="shared" si="86"/>
        <v>100</v>
      </c>
      <c r="H1019" s="140">
        <v>100</v>
      </c>
      <c r="I1019" s="4637"/>
      <c r="J1019" s="4890"/>
      <c r="K1019" s="536"/>
      <c r="L1019" s="536"/>
    </row>
    <row r="1020" spans="1:12" ht="14.25" hidden="1" customHeight="1" x14ac:dyDescent="0.25">
      <c r="A1020" s="999"/>
      <c r="B1020" s="2098"/>
      <c r="C1020" s="2214" t="s">
        <v>2531</v>
      </c>
      <c r="D1020" s="368">
        <v>600000000</v>
      </c>
      <c r="E1020" s="368">
        <v>600000000</v>
      </c>
      <c r="F1020" s="368"/>
      <c r="G1020" s="256">
        <f t="shared" si="86"/>
        <v>100</v>
      </c>
      <c r="H1020" s="140">
        <v>100</v>
      </c>
      <c r="I1020" s="4637"/>
      <c r="J1020" s="4890"/>
      <c r="K1020" s="536"/>
      <c r="L1020" s="536"/>
    </row>
    <row r="1021" spans="1:12" ht="17.25" hidden="1" customHeight="1" x14ac:dyDescent="0.25">
      <c r="A1021" s="999"/>
      <c r="B1021" s="2098"/>
      <c r="C1021" s="2214" t="s">
        <v>3992</v>
      </c>
      <c r="D1021" s="368">
        <v>500000000</v>
      </c>
      <c r="E1021" s="368">
        <v>500000000</v>
      </c>
      <c r="F1021" s="368"/>
      <c r="G1021" s="256">
        <f t="shared" si="86"/>
        <v>100</v>
      </c>
      <c r="H1021" s="140">
        <v>100</v>
      </c>
      <c r="I1021" s="4637"/>
      <c r="J1021" s="4890"/>
      <c r="K1021" s="536"/>
      <c r="L1021" s="536"/>
    </row>
    <row r="1022" spans="1:12" ht="11.25" hidden="1" customHeight="1" x14ac:dyDescent="0.25">
      <c r="A1022" s="999"/>
      <c r="B1022" s="2098"/>
      <c r="C1022" s="2214"/>
      <c r="D1022" s="368"/>
      <c r="E1022" s="368"/>
      <c r="F1022" s="368"/>
      <c r="G1022" s="140"/>
      <c r="H1022" s="140"/>
      <c r="I1022" s="4637"/>
      <c r="J1022" s="4890"/>
      <c r="K1022" s="536"/>
      <c r="L1022" s="536"/>
    </row>
    <row r="1023" spans="1:12" ht="20.25" hidden="1" customHeight="1" x14ac:dyDescent="0.25">
      <c r="A1023" s="999"/>
      <c r="B1023" s="2098"/>
      <c r="C1023" s="2215" t="s">
        <v>2532</v>
      </c>
      <c r="D1023" s="680">
        <f>D1024</f>
        <v>200000000</v>
      </c>
      <c r="E1023" s="680">
        <f>E1024</f>
        <v>200000000</v>
      </c>
      <c r="F1023" s="680"/>
      <c r="G1023" s="255">
        <f t="shared" si="86"/>
        <v>100</v>
      </c>
      <c r="H1023" s="142">
        <f>H1024</f>
        <v>100</v>
      </c>
      <c r="I1023" s="4641"/>
      <c r="J1023" s="4890"/>
      <c r="K1023" s="536"/>
      <c r="L1023" s="536"/>
    </row>
    <row r="1024" spans="1:12" ht="17.25" hidden="1" customHeight="1" x14ac:dyDescent="0.25">
      <c r="A1024" s="999"/>
      <c r="B1024" s="2098"/>
      <c r="C1024" s="2214" t="s">
        <v>2533</v>
      </c>
      <c r="D1024" s="368">
        <v>200000000</v>
      </c>
      <c r="E1024" s="368">
        <v>200000000</v>
      </c>
      <c r="F1024" s="368"/>
      <c r="G1024" s="256">
        <f t="shared" si="86"/>
        <v>100</v>
      </c>
      <c r="H1024" s="140">
        <v>100</v>
      </c>
      <c r="I1024" s="4637"/>
      <c r="J1024" s="4890"/>
      <c r="K1024" s="536"/>
      <c r="L1024" s="536"/>
    </row>
    <row r="1025" spans="1:12" ht="10.5" hidden="1" customHeight="1" x14ac:dyDescent="0.25">
      <c r="A1025" s="999"/>
      <c r="B1025" s="2098"/>
      <c r="C1025" s="2214"/>
      <c r="D1025" s="368"/>
      <c r="E1025" s="368"/>
      <c r="F1025" s="368"/>
      <c r="G1025" s="140"/>
      <c r="H1025" s="140"/>
      <c r="I1025" s="4637"/>
      <c r="J1025" s="4890"/>
      <c r="K1025" s="536"/>
      <c r="L1025" s="536"/>
    </row>
    <row r="1026" spans="1:12" ht="18" hidden="1" customHeight="1" x14ac:dyDescent="0.25">
      <c r="A1026" s="999"/>
      <c r="B1026" s="2098"/>
      <c r="C1026" s="2215" t="s">
        <v>2534</v>
      </c>
      <c r="D1026" s="328">
        <f>SUM(D1027:D1036)</f>
        <v>4138787500</v>
      </c>
      <c r="E1026" s="328">
        <f>SUM(E1027:E1036)</f>
        <v>4138716300</v>
      </c>
      <c r="F1026" s="328"/>
      <c r="G1026" s="255">
        <f t="shared" ref="G1026:G1036" si="87">E1026/D1026*100</f>
        <v>99.998279689401798</v>
      </c>
      <c r="H1026" s="142">
        <f>SUM(H1027:H1036)/8</f>
        <v>100</v>
      </c>
      <c r="I1026" s="4641"/>
      <c r="J1026" s="4890"/>
      <c r="K1026" s="536"/>
      <c r="L1026" s="536"/>
    </row>
    <row r="1027" spans="1:12" ht="14.25" hidden="1" customHeight="1" x14ac:dyDescent="0.25">
      <c r="A1027" s="999"/>
      <c r="B1027" s="2098"/>
      <c r="C1027" s="2214" t="s">
        <v>2535</v>
      </c>
      <c r="D1027" s="368">
        <v>400000000</v>
      </c>
      <c r="E1027" s="368">
        <v>400000000</v>
      </c>
      <c r="F1027" s="368"/>
      <c r="G1027" s="256">
        <f t="shared" si="87"/>
        <v>100</v>
      </c>
      <c r="H1027" s="140">
        <v>100</v>
      </c>
      <c r="I1027" s="4637"/>
      <c r="J1027" s="4890"/>
      <c r="K1027" s="536"/>
      <c r="L1027" s="536"/>
    </row>
    <row r="1028" spans="1:12" ht="14.25" hidden="1" customHeight="1" x14ac:dyDescent="0.25">
      <c r="A1028" s="999"/>
      <c r="B1028" s="2098"/>
      <c r="C1028" s="2214" t="s">
        <v>2536</v>
      </c>
      <c r="D1028" s="368">
        <v>800000000</v>
      </c>
      <c r="E1028" s="368">
        <v>800000000</v>
      </c>
      <c r="F1028" s="368"/>
      <c r="G1028" s="256">
        <f t="shared" si="87"/>
        <v>100</v>
      </c>
      <c r="H1028" s="140">
        <v>100</v>
      </c>
      <c r="I1028" s="4637"/>
      <c r="J1028" s="4890"/>
      <c r="K1028" s="536"/>
      <c r="L1028" s="536"/>
    </row>
    <row r="1029" spans="1:12" ht="14.25" hidden="1" customHeight="1" x14ac:dyDescent="0.25">
      <c r="A1029" s="999"/>
      <c r="B1029" s="2098"/>
      <c r="C1029" s="2214" t="s">
        <v>2537</v>
      </c>
      <c r="D1029" s="368">
        <v>360000000</v>
      </c>
      <c r="E1029" s="368">
        <v>360000000</v>
      </c>
      <c r="F1029" s="368"/>
      <c r="G1029" s="256">
        <f t="shared" si="87"/>
        <v>100</v>
      </c>
      <c r="H1029" s="140">
        <v>100</v>
      </c>
      <c r="I1029" s="4637"/>
      <c r="J1029" s="4890"/>
      <c r="K1029" s="536"/>
      <c r="L1029" s="536"/>
    </row>
    <row r="1030" spans="1:12" ht="14.25" hidden="1" customHeight="1" x14ac:dyDescent="0.25">
      <c r="A1030" s="999"/>
      <c r="B1030" s="2098"/>
      <c r="C1030" s="2214" t="s">
        <v>2538</v>
      </c>
      <c r="D1030" s="368">
        <v>728787500</v>
      </c>
      <c r="E1030" s="368">
        <v>728787500</v>
      </c>
      <c r="F1030" s="368"/>
      <c r="G1030" s="256">
        <f t="shared" si="87"/>
        <v>100</v>
      </c>
      <c r="H1030" s="140">
        <v>100</v>
      </c>
      <c r="I1030" s="4637"/>
      <c r="J1030" s="4890"/>
      <c r="K1030" s="536"/>
      <c r="L1030" s="536"/>
    </row>
    <row r="1031" spans="1:12" ht="14.25" hidden="1" customHeight="1" x14ac:dyDescent="0.25">
      <c r="A1031" s="999"/>
      <c r="B1031" s="2098"/>
      <c r="C1031" s="2214" t="s">
        <v>2539</v>
      </c>
      <c r="D1031" s="368">
        <v>150000000</v>
      </c>
      <c r="E1031" s="368">
        <v>150000000</v>
      </c>
      <c r="F1031" s="368"/>
      <c r="G1031" s="256">
        <f t="shared" si="87"/>
        <v>100</v>
      </c>
      <c r="H1031" s="140">
        <v>100</v>
      </c>
      <c r="I1031" s="4637"/>
      <c r="J1031" s="4890"/>
      <c r="K1031" s="536"/>
      <c r="L1031" s="536"/>
    </row>
    <row r="1032" spans="1:12" ht="14.25" hidden="1" customHeight="1" x14ac:dyDescent="0.25">
      <c r="A1032" s="999"/>
      <c r="B1032" s="2098"/>
      <c r="C1032" s="2214" t="s">
        <v>2540</v>
      </c>
      <c r="D1032" s="939" t="s">
        <v>3317</v>
      </c>
      <c r="E1032" s="939" t="s">
        <v>3317</v>
      </c>
      <c r="F1032" s="939"/>
      <c r="G1032" s="939" t="s">
        <v>3317</v>
      </c>
      <c r="H1032" s="939" t="s">
        <v>3317</v>
      </c>
      <c r="I1032" s="4637"/>
      <c r="J1032" s="4890"/>
      <c r="K1032" s="536"/>
      <c r="L1032" s="536"/>
    </row>
    <row r="1033" spans="1:12" ht="14.25" hidden="1" customHeight="1" x14ac:dyDescent="0.25">
      <c r="A1033" s="999"/>
      <c r="B1033" s="2098"/>
      <c r="C1033" s="2214" t="s">
        <v>2541</v>
      </c>
      <c r="D1033" s="368">
        <v>700000000</v>
      </c>
      <c r="E1033" s="368">
        <v>699928800</v>
      </c>
      <c r="F1033" s="368"/>
      <c r="G1033" s="256">
        <f t="shared" si="87"/>
        <v>99.989828571428575</v>
      </c>
      <c r="H1033" s="140">
        <v>100</v>
      </c>
      <c r="I1033" s="4637"/>
      <c r="J1033" s="4890"/>
      <c r="K1033" s="536"/>
      <c r="L1033" s="536"/>
    </row>
    <row r="1034" spans="1:12" ht="14.25" hidden="1" customHeight="1" x14ac:dyDescent="0.25">
      <c r="A1034" s="999"/>
      <c r="B1034" s="2098"/>
      <c r="C1034" s="2214" t="s">
        <v>2542</v>
      </c>
      <c r="D1034" s="939" t="s">
        <v>3317</v>
      </c>
      <c r="E1034" s="939" t="s">
        <v>3317</v>
      </c>
      <c r="F1034" s="939"/>
      <c r="G1034" s="939" t="s">
        <v>3317</v>
      </c>
      <c r="H1034" s="939" t="s">
        <v>3317</v>
      </c>
      <c r="I1034" s="4637"/>
      <c r="J1034" s="4890"/>
      <c r="K1034" s="536"/>
      <c r="L1034" s="536"/>
    </row>
    <row r="1035" spans="1:12" ht="14.25" hidden="1" customHeight="1" x14ac:dyDescent="0.25">
      <c r="A1035" s="999"/>
      <c r="B1035" s="2098"/>
      <c r="C1035" s="2214" t="s">
        <v>2543</v>
      </c>
      <c r="D1035" s="368">
        <v>600000000</v>
      </c>
      <c r="E1035" s="368">
        <v>600000000</v>
      </c>
      <c r="F1035" s="368"/>
      <c r="G1035" s="256">
        <f t="shared" si="87"/>
        <v>100</v>
      </c>
      <c r="H1035" s="140">
        <v>100</v>
      </c>
      <c r="I1035" s="4637"/>
      <c r="J1035" s="4890"/>
      <c r="K1035" s="536"/>
      <c r="L1035" s="536"/>
    </row>
    <row r="1036" spans="1:12" ht="14.25" hidden="1" customHeight="1" x14ac:dyDescent="0.25">
      <c r="A1036" s="999"/>
      <c r="B1036" s="2098"/>
      <c r="C1036" s="2214" t="s">
        <v>2544</v>
      </c>
      <c r="D1036" s="368">
        <v>400000000</v>
      </c>
      <c r="E1036" s="368">
        <v>400000000</v>
      </c>
      <c r="F1036" s="368"/>
      <c r="G1036" s="256">
        <f t="shared" si="87"/>
        <v>100</v>
      </c>
      <c r="H1036" s="140">
        <v>100</v>
      </c>
      <c r="I1036" s="4637"/>
      <c r="J1036" s="4890"/>
      <c r="K1036" s="536"/>
      <c r="L1036" s="536"/>
    </row>
    <row r="1037" spans="1:12" ht="9.75" hidden="1" customHeight="1" x14ac:dyDescent="0.25">
      <c r="A1037" s="999"/>
      <c r="B1037" s="2098"/>
      <c r="C1037" s="2214"/>
      <c r="D1037" s="368"/>
      <c r="E1037" s="368"/>
      <c r="F1037" s="368"/>
      <c r="G1037" s="140"/>
      <c r="H1037" s="140"/>
      <c r="I1037" s="4637"/>
      <c r="J1037" s="4890"/>
      <c r="K1037" s="536"/>
      <c r="L1037" s="536"/>
    </row>
    <row r="1038" spans="1:12" ht="17.25" hidden="1" customHeight="1" x14ac:dyDescent="0.25">
      <c r="A1038" s="999"/>
      <c r="B1038" s="2098"/>
      <c r="C1038" s="2215" t="s">
        <v>2545</v>
      </c>
      <c r="D1038" s="328">
        <v>0</v>
      </c>
      <c r="E1038" s="328">
        <v>0</v>
      </c>
      <c r="F1038" s="328"/>
      <c r="G1038" s="328">
        <v>0</v>
      </c>
      <c r="H1038" s="328">
        <v>0</v>
      </c>
      <c r="I1038" s="4641"/>
      <c r="J1038" s="4890"/>
      <c r="K1038" s="536"/>
      <c r="L1038" s="536"/>
    </row>
    <row r="1039" spans="1:12" ht="15.75" hidden="1" customHeight="1" x14ac:dyDescent="0.25">
      <c r="A1039" s="999"/>
      <c r="B1039" s="2098"/>
      <c r="C1039" s="2213" t="s">
        <v>2546</v>
      </c>
      <c r="D1039" s="71">
        <v>0</v>
      </c>
      <c r="E1039" s="71">
        <v>0</v>
      </c>
      <c r="F1039" s="71"/>
      <c r="G1039" s="71">
        <v>0</v>
      </c>
      <c r="H1039" s="71">
        <v>0</v>
      </c>
      <c r="I1039" s="4637"/>
      <c r="J1039" s="4890"/>
      <c r="K1039" s="536"/>
      <c r="L1039" s="536"/>
    </row>
    <row r="1040" spans="1:12" ht="10.5" hidden="1" customHeight="1" x14ac:dyDescent="0.25">
      <c r="B1040" s="1024"/>
      <c r="C1040" s="64"/>
      <c r="D1040" s="1956"/>
      <c r="E1040" s="1956"/>
      <c r="F1040" s="1956"/>
      <c r="G1040" s="1956"/>
      <c r="H1040" s="1956"/>
      <c r="I1040" s="4856"/>
      <c r="J1040" s="4857"/>
    </row>
    <row r="1041" spans="1:10" ht="21" hidden="1" customHeight="1" x14ac:dyDescent="0.25">
      <c r="B1041" s="1029"/>
      <c r="C1041" s="56" t="s">
        <v>3088</v>
      </c>
      <c r="D1041" s="1154">
        <f>D1042</f>
        <v>563400000</v>
      </c>
      <c r="E1041" s="1154">
        <f>E1042</f>
        <v>559564100</v>
      </c>
      <c r="F1041" s="1154"/>
      <c r="G1041" s="1154">
        <f>E1041/D1041*100</f>
        <v>99.319151579694704</v>
      </c>
      <c r="H1041" s="1154">
        <f>H1042</f>
        <v>100</v>
      </c>
      <c r="I1041" s="4856"/>
      <c r="J1041" s="4857"/>
    </row>
    <row r="1042" spans="1:10" ht="24" hidden="1" customHeight="1" x14ac:dyDescent="0.25">
      <c r="B1042" s="1993"/>
      <c r="C1042" s="69" t="s">
        <v>3329</v>
      </c>
      <c r="D1042" s="247">
        <f>SUM(D1043:D1044)</f>
        <v>563400000</v>
      </c>
      <c r="E1042" s="247">
        <f>SUM(E1043:E1044)</f>
        <v>559564100</v>
      </c>
      <c r="F1042" s="247"/>
      <c r="G1042" s="247">
        <f>E1042/D1042*100</f>
        <v>99.319151579694704</v>
      </c>
      <c r="H1042" s="247">
        <f>SUM(H1043:H1044)/2</f>
        <v>100</v>
      </c>
      <c r="I1042" s="4856"/>
      <c r="J1042" s="4857"/>
    </row>
    <row r="1043" spans="1:10" ht="36" hidden="1" customHeight="1" x14ac:dyDescent="0.25">
      <c r="B1043" s="1024"/>
      <c r="C1043" s="329" t="s">
        <v>3332</v>
      </c>
      <c r="D1043" s="347">
        <v>313400000</v>
      </c>
      <c r="E1043" s="374">
        <v>310131400</v>
      </c>
      <c r="F1043" s="374"/>
      <c r="G1043" s="374">
        <v>98.95705169112955</v>
      </c>
      <c r="H1043" s="374">
        <v>100</v>
      </c>
      <c r="I1043" s="4856"/>
      <c r="J1043" s="4857"/>
    </row>
    <row r="1044" spans="1:10" ht="19.5" hidden="1" customHeight="1" x14ac:dyDescent="0.25">
      <c r="B1044" s="1024"/>
      <c r="C1044" s="61" t="s">
        <v>3333</v>
      </c>
      <c r="D1044" s="201">
        <v>250000000</v>
      </c>
      <c r="E1044" s="374">
        <v>249432700</v>
      </c>
      <c r="F1044" s="374"/>
      <c r="G1044" s="374">
        <v>99.773080000000007</v>
      </c>
      <c r="H1044" s="374">
        <v>100</v>
      </c>
      <c r="I1044" s="4856"/>
      <c r="J1044" s="4857"/>
    </row>
    <row r="1045" spans="1:10" ht="15.75" hidden="1" customHeight="1" x14ac:dyDescent="0.25">
      <c r="B1045" s="1024"/>
      <c r="C1045" s="66"/>
      <c r="D1045" s="1935"/>
      <c r="E1045" s="1935"/>
      <c r="F1045" s="1935"/>
      <c r="G1045" s="1935"/>
      <c r="H1045" s="1935"/>
      <c r="I1045" s="4856"/>
      <c r="J1045" s="4857"/>
    </row>
    <row r="1046" spans="1:10" ht="19.5" hidden="1" customHeight="1" x14ac:dyDescent="0.25">
      <c r="B1046" s="1029"/>
      <c r="C1046" s="56" t="s">
        <v>3404</v>
      </c>
      <c r="D1046" s="78">
        <v>0</v>
      </c>
      <c r="E1046" s="78">
        <v>0</v>
      </c>
      <c r="F1046" s="78"/>
      <c r="G1046" s="78">
        <v>0</v>
      </c>
      <c r="H1046" s="78">
        <v>0</v>
      </c>
      <c r="I1046" s="4856"/>
      <c r="J1046" s="4857"/>
    </row>
    <row r="1047" spans="1:10" ht="24.75" hidden="1" customHeight="1" x14ac:dyDescent="0.25">
      <c r="B1047" s="1024"/>
      <c r="C1047" s="329" t="s">
        <v>3407</v>
      </c>
      <c r="D1047" s="153">
        <v>0</v>
      </c>
      <c r="E1047" s="153">
        <v>0</v>
      </c>
      <c r="F1047" s="153"/>
      <c r="G1047" s="153">
        <v>0</v>
      </c>
      <c r="H1047" s="153">
        <v>0</v>
      </c>
      <c r="I1047" s="4856"/>
      <c r="J1047" s="4857"/>
    </row>
    <row r="1048" spans="1:10" ht="10.5" hidden="1" customHeight="1" x14ac:dyDescent="0.25">
      <c r="B1048" s="1024"/>
      <c r="C1048" s="335"/>
      <c r="D1048" s="2205"/>
      <c r="E1048" s="2205"/>
      <c r="F1048" s="2205"/>
      <c r="G1048" s="2205"/>
      <c r="H1048" s="2205"/>
      <c r="I1048" s="4856"/>
      <c r="J1048" s="4857"/>
    </row>
    <row r="1049" spans="1:10" s="32" customFormat="1" ht="20.25" hidden="1" customHeight="1" x14ac:dyDescent="0.25">
      <c r="A1049" s="1095"/>
      <c r="B1049" s="1029"/>
      <c r="C1049" s="56" t="s">
        <v>3419</v>
      </c>
      <c r="D1049" s="200">
        <f>D1050</f>
        <v>3067136045</v>
      </c>
      <c r="E1049" s="200">
        <f>E1050</f>
        <v>3025000000</v>
      </c>
      <c r="F1049" s="200"/>
      <c r="G1049" s="200">
        <f>E1049/D1049*100</f>
        <v>98.626208802550849</v>
      </c>
      <c r="H1049" s="200">
        <f>H1050</f>
        <v>100</v>
      </c>
      <c r="I1049" s="4881"/>
      <c r="J1049" s="4882"/>
    </row>
    <row r="1050" spans="1:10" s="32" customFormat="1" ht="22.5" hidden="1" customHeight="1" x14ac:dyDescent="0.25">
      <c r="A1050" s="1095"/>
      <c r="B1050" s="1024"/>
      <c r="C1050" s="59" t="s">
        <v>3420</v>
      </c>
      <c r="D1050" s="101">
        <f>D1051</f>
        <v>3067136045</v>
      </c>
      <c r="E1050" s="101">
        <f>E1051</f>
        <v>3025000000</v>
      </c>
      <c r="F1050" s="101"/>
      <c r="G1050" s="101">
        <f>E1050/D1050*100</f>
        <v>98.626208802550849</v>
      </c>
      <c r="H1050" s="101">
        <f>H1051</f>
        <v>100</v>
      </c>
      <c r="I1050" s="4881"/>
      <c r="J1050" s="4882"/>
    </row>
    <row r="1051" spans="1:10" ht="19.5" hidden="1" customHeight="1" x14ac:dyDescent="0.25">
      <c r="B1051" s="1024"/>
      <c r="C1051" s="61" t="s">
        <v>3421</v>
      </c>
      <c r="D1051" s="201">
        <v>3067136045</v>
      </c>
      <c r="E1051" s="984">
        <v>3025000000</v>
      </c>
      <c r="F1051" s="984"/>
      <c r="G1051" s="140">
        <f>E1051/D1051*100</f>
        <v>98.626208802550849</v>
      </c>
      <c r="H1051" s="73">
        <v>100</v>
      </c>
      <c r="I1051" s="4856"/>
      <c r="J1051" s="4857"/>
    </row>
    <row r="1052" spans="1:10" ht="12" hidden="1" customHeight="1" x14ac:dyDescent="0.25">
      <c r="B1052" s="1024"/>
      <c r="C1052" s="64"/>
      <c r="D1052" s="2164"/>
      <c r="E1052" s="2436"/>
      <c r="F1052" s="2436"/>
      <c r="G1052" s="2438"/>
      <c r="H1052" s="1926"/>
      <c r="I1052" s="4856"/>
      <c r="J1052" s="4857"/>
    </row>
    <row r="1053" spans="1:10" s="121" customFormat="1" ht="18.75" customHeight="1" x14ac:dyDescent="0.25">
      <c r="A1053" s="1066"/>
      <c r="B1053" s="2455"/>
      <c r="C1053" s="422" t="s">
        <v>2639</v>
      </c>
      <c r="D1053" s="2382">
        <f>SUM(D1055+D1088+D1093)</f>
        <v>49258762300</v>
      </c>
      <c r="E1053" s="2382">
        <f>SUM(E1055+E1088+E1093)</f>
        <v>47135491059</v>
      </c>
      <c r="F1053" s="1900">
        <f>D1053-E1053</f>
        <v>2123271241</v>
      </c>
      <c r="G1053" s="424">
        <f>E1053/D1053*100</f>
        <v>95.689556249772039</v>
      </c>
      <c r="H1053" s="424">
        <f>SUM(H1055+H1088+H1093)/3</f>
        <v>99.019607843137251</v>
      </c>
      <c r="I1053" s="4648"/>
      <c r="J1053" s="4650"/>
    </row>
    <row r="1054" spans="1:10" ht="9" hidden="1" customHeight="1" x14ac:dyDescent="0.25">
      <c r="B1054" s="1024"/>
      <c r="C1054" s="59"/>
      <c r="D1054" s="2231"/>
      <c r="E1054" s="2231"/>
      <c r="F1054" s="2231"/>
      <c r="G1054" s="101"/>
      <c r="H1054" s="101"/>
      <c r="I1054" s="4856"/>
      <c r="J1054" s="4857"/>
    </row>
    <row r="1055" spans="1:10" ht="19.5" hidden="1" customHeight="1" x14ac:dyDescent="0.25">
      <c r="B1055" s="1029"/>
      <c r="C1055" s="56" t="s">
        <v>2640</v>
      </c>
      <c r="D1055" s="200">
        <f>SUM(D1056+D1059+D1064+D1085)</f>
        <v>27690235300</v>
      </c>
      <c r="E1055" s="200">
        <f>SUM(E1056+E1059+E1064+E1085)</f>
        <v>25945913300</v>
      </c>
      <c r="F1055" s="200"/>
      <c r="G1055" s="131">
        <f>E1055/D1055*100</f>
        <v>93.700588019199685</v>
      </c>
      <c r="H1055" s="200">
        <f>SUM(H1056+H1059+H1064+H1085)/4</f>
        <v>97.058823529411768</v>
      </c>
      <c r="I1055" s="4856"/>
      <c r="J1055" s="4857"/>
    </row>
    <row r="1056" spans="1:10" ht="19.5" hidden="1" customHeight="1" x14ac:dyDescent="0.25">
      <c r="A1056" s="999"/>
      <c r="B1056" s="1024"/>
      <c r="C1056" s="69" t="s">
        <v>1454</v>
      </c>
      <c r="D1056" s="2440">
        <f>D1057</f>
        <v>15737400000</v>
      </c>
      <c r="E1056" s="2440">
        <f>E1057</f>
        <v>15737400000</v>
      </c>
      <c r="F1056" s="128"/>
      <c r="G1056" s="234">
        <f>E1056/D1056*100</f>
        <v>100</v>
      </c>
      <c r="H1056" s="257">
        <f>H1057</f>
        <v>100</v>
      </c>
      <c r="I1056" s="4637"/>
      <c r="J1056" s="4890"/>
    </row>
    <row r="1057" spans="1:10" ht="16.5" hidden="1" customHeight="1" x14ac:dyDescent="0.25">
      <c r="A1057" s="999"/>
      <c r="B1057" s="1024"/>
      <c r="C1057" s="61" t="s">
        <v>2641</v>
      </c>
      <c r="D1057" s="135">
        <v>15737400000</v>
      </c>
      <c r="E1057" s="169">
        <v>15737400000</v>
      </c>
      <c r="F1057" s="169"/>
      <c r="G1057" s="140">
        <f>E1057/D1057*100</f>
        <v>100</v>
      </c>
      <c r="H1057" s="344">
        <v>100</v>
      </c>
      <c r="I1057" s="4637"/>
      <c r="J1057" s="4890"/>
    </row>
    <row r="1058" spans="1:10" ht="13.5" hidden="1" customHeight="1" x14ac:dyDescent="0.25">
      <c r="A1058" s="999"/>
      <c r="B1058" s="1024"/>
      <c r="C1058" s="63"/>
      <c r="D1058" s="1929"/>
      <c r="E1058" s="1929"/>
      <c r="F1058" s="1929"/>
      <c r="G1058" s="348"/>
      <c r="H1058" s="348"/>
      <c r="I1058" s="4637"/>
      <c r="J1058" s="4890"/>
    </row>
    <row r="1059" spans="1:10" ht="18" hidden="1" customHeight="1" x14ac:dyDescent="0.25">
      <c r="A1059" s="999"/>
      <c r="B1059" s="1024"/>
      <c r="C1059" s="216" t="s">
        <v>2485</v>
      </c>
      <c r="D1059" s="2381">
        <f>SUM(D1060:D1062)</f>
        <v>1880016000</v>
      </c>
      <c r="E1059" s="2381">
        <f>SUM(E1060:E1062)</f>
        <v>1744701500</v>
      </c>
      <c r="F1059" s="101"/>
      <c r="G1059" s="234">
        <f>E1059/D1059*100</f>
        <v>92.802481468242831</v>
      </c>
      <c r="H1059" s="202">
        <f>SUM(H1060:H1062)/3</f>
        <v>100</v>
      </c>
      <c r="I1059" s="4637"/>
      <c r="J1059" s="4890"/>
    </row>
    <row r="1060" spans="1:10" ht="17.25" hidden="1" customHeight="1" x14ac:dyDescent="0.25">
      <c r="A1060" s="999"/>
      <c r="B1060" s="1024"/>
      <c r="C1060" s="61" t="s">
        <v>2642</v>
      </c>
      <c r="D1060" s="2233">
        <v>792000000</v>
      </c>
      <c r="E1060" s="2233">
        <v>792000000</v>
      </c>
      <c r="F1060" s="2233"/>
      <c r="G1060" s="140">
        <f>E1060/D1060*100</f>
        <v>100</v>
      </c>
      <c r="H1060" s="140">
        <v>100</v>
      </c>
      <c r="I1060" s="4637"/>
      <c r="J1060" s="4890"/>
    </row>
    <row r="1061" spans="1:10" ht="17.25" hidden="1" customHeight="1" x14ac:dyDescent="0.25">
      <c r="A1061" s="999"/>
      <c r="B1061" s="1024"/>
      <c r="C1061" s="61" t="s">
        <v>2643</v>
      </c>
      <c r="D1061" s="2233">
        <v>265000000</v>
      </c>
      <c r="E1061" s="2233">
        <v>265000000</v>
      </c>
      <c r="F1061" s="2233"/>
      <c r="G1061" s="140">
        <f t="shared" ref="G1061:G1062" si="88">E1061/D1061*100</f>
        <v>100</v>
      </c>
      <c r="H1061" s="140">
        <v>100</v>
      </c>
      <c r="I1061" s="4637"/>
      <c r="J1061" s="4890"/>
    </row>
    <row r="1062" spans="1:10" ht="15.75" hidden="1" customHeight="1" x14ac:dyDescent="0.25">
      <c r="A1062" s="999"/>
      <c r="B1062" s="1024"/>
      <c r="C1062" s="61" t="s">
        <v>2644</v>
      </c>
      <c r="D1062" s="2233">
        <v>823016000</v>
      </c>
      <c r="E1062" s="2233">
        <v>687701500</v>
      </c>
      <c r="F1062" s="2233"/>
      <c r="G1062" s="140">
        <f t="shared" si="88"/>
        <v>83.558703597499928</v>
      </c>
      <c r="H1062" s="140">
        <v>100</v>
      </c>
      <c r="I1062" s="4637"/>
      <c r="J1062" s="4890"/>
    </row>
    <row r="1063" spans="1:10" ht="15" hidden="1" customHeight="1" x14ac:dyDescent="0.25">
      <c r="A1063" s="999"/>
      <c r="B1063" s="1024"/>
      <c r="C1063" s="66"/>
      <c r="D1063" s="339"/>
      <c r="E1063" s="1929"/>
      <c r="F1063" s="1929"/>
      <c r="G1063" s="348"/>
      <c r="H1063" s="348"/>
      <c r="I1063" s="4637"/>
      <c r="J1063" s="4890"/>
    </row>
    <row r="1064" spans="1:10" ht="19.5" hidden="1" customHeight="1" x14ac:dyDescent="0.25">
      <c r="A1064" s="999"/>
      <c r="B1064" s="1024"/>
      <c r="C1064" s="388" t="s">
        <v>2645</v>
      </c>
      <c r="D1064" s="84">
        <f>SUM(D1065:D1083)</f>
        <v>9956969300</v>
      </c>
      <c r="E1064" s="84">
        <f>SUM(E1065:E1083)</f>
        <v>8347961800</v>
      </c>
      <c r="F1064" s="156"/>
      <c r="G1064" s="234">
        <f>E1064/D1064*100</f>
        <v>83.840389062965173</v>
      </c>
      <c r="H1064" s="142">
        <f>SUM(H1065:H1083)/17</f>
        <v>88.235294117647058</v>
      </c>
      <c r="I1064" s="4637"/>
      <c r="J1064" s="4890"/>
    </row>
    <row r="1065" spans="1:10" ht="15.75" hidden="1" customHeight="1" x14ac:dyDescent="0.25">
      <c r="A1065" s="999"/>
      <c r="B1065" s="1024"/>
      <c r="C1065" s="389" t="s">
        <v>2646</v>
      </c>
      <c r="D1065" s="2236">
        <v>258000000</v>
      </c>
      <c r="E1065" s="2236">
        <v>258000000</v>
      </c>
      <c r="F1065" s="2236"/>
      <c r="G1065" s="140">
        <f>E1065/D1065*100</f>
        <v>100</v>
      </c>
      <c r="H1065" s="140">
        <v>100</v>
      </c>
      <c r="I1065" s="4637"/>
      <c r="J1065" s="4890"/>
    </row>
    <row r="1066" spans="1:10" ht="14.25" hidden="1" customHeight="1" x14ac:dyDescent="0.25">
      <c r="A1066" s="999"/>
      <c r="B1066" s="1024"/>
      <c r="C1066" s="389" t="s">
        <v>2647</v>
      </c>
      <c r="D1066" s="2236">
        <v>103200300</v>
      </c>
      <c r="E1066" s="2236">
        <v>103200000</v>
      </c>
      <c r="F1066" s="2236"/>
      <c r="G1066" s="140">
        <f t="shared" ref="G1066:G1083" si="89">E1066/D1066*100</f>
        <v>99.999709303170619</v>
      </c>
      <c r="H1066" s="140">
        <v>100</v>
      </c>
      <c r="I1066" s="4637"/>
      <c r="J1066" s="4890"/>
    </row>
    <row r="1067" spans="1:10" ht="15" hidden="1" customHeight="1" x14ac:dyDescent="0.25">
      <c r="A1067" s="999"/>
      <c r="B1067" s="1024"/>
      <c r="C1067" s="390" t="s">
        <v>2648</v>
      </c>
      <c r="D1067" s="2236">
        <v>900000000</v>
      </c>
      <c r="E1067" s="344">
        <v>0</v>
      </c>
      <c r="F1067" s="344"/>
      <c r="G1067" s="140">
        <f t="shared" si="89"/>
        <v>0</v>
      </c>
      <c r="H1067" s="344">
        <v>0</v>
      </c>
      <c r="I1067" s="4637"/>
      <c r="J1067" s="4890"/>
    </row>
    <row r="1068" spans="1:10" ht="15" hidden="1" customHeight="1" x14ac:dyDescent="0.25">
      <c r="A1068" s="999"/>
      <c r="B1068" s="1024"/>
      <c r="C1068" s="389" t="s">
        <v>2649</v>
      </c>
      <c r="D1068" s="2236">
        <v>675000000</v>
      </c>
      <c r="E1068" s="344">
        <v>0</v>
      </c>
      <c r="F1068" s="344"/>
      <c r="G1068" s="140">
        <f t="shared" si="89"/>
        <v>0</v>
      </c>
      <c r="H1068" s="344">
        <v>0</v>
      </c>
      <c r="I1068" s="4637"/>
      <c r="J1068" s="4890"/>
    </row>
    <row r="1069" spans="1:10" ht="15" hidden="1" customHeight="1" x14ac:dyDescent="0.25">
      <c r="A1069" s="999"/>
      <c r="B1069" s="1024"/>
      <c r="C1069" s="389" t="s">
        <v>2650</v>
      </c>
      <c r="D1069" s="2236">
        <v>71750200</v>
      </c>
      <c r="E1069" s="344">
        <v>71750200</v>
      </c>
      <c r="F1069" s="344"/>
      <c r="G1069" s="140">
        <f t="shared" si="89"/>
        <v>100</v>
      </c>
      <c r="H1069" s="344">
        <v>100</v>
      </c>
      <c r="I1069" s="4637"/>
      <c r="J1069" s="4890"/>
    </row>
    <row r="1070" spans="1:10" ht="16.5" hidden="1" customHeight="1" x14ac:dyDescent="0.25">
      <c r="A1070" s="999"/>
      <c r="B1070" s="1024"/>
      <c r="C1070" s="389" t="s">
        <v>2651</v>
      </c>
      <c r="D1070" s="2236">
        <v>0</v>
      </c>
      <c r="E1070" s="2236">
        <v>0</v>
      </c>
      <c r="F1070" s="2236"/>
      <c r="G1070" s="2236">
        <v>0</v>
      </c>
      <c r="H1070" s="2236">
        <v>0</v>
      </c>
      <c r="I1070" s="4637"/>
      <c r="J1070" s="4890"/>
    </row>
    <row r="1071" spans="1:10" ht="13.5" hidden="1" customHeight="1" x14ac:dyDescent="0.25">
      <c r="A1071" s="999"/>
      <c r="B1071" s="1024"/>
      <c r="C1071" s="389" t="s">
        <v>2652</v>
      </c>
      <c r="D1071" s="2236">
        <v>425025500</v>
      </c>
      <c r="E1071" s="2236">
        <v>425025500</v>
      </c>
      <c r="F1071" s="2236"/>
      <c r="G1071" s="140">
        <f t="shared" si="89"/>
        <v>100</v>
      </c>
      <c r="H1071" s="140">
        <v>100</v>
      </c>
      <c r="I1071" s="4637"/>
      <c r="J1071" s="4890"/>
    </row>
    <row r="1072" spans="1:10" ht="31.5" hidden="1" x14ac:dyDescent="0.25">
      <c r="A1072" s="999"/>
      <c r="B1072" s="1024"/>
      <c r="C1072" s="389" t="s">
        <v>2653</v>
      </c>
      <c r="D1072" s="2236">
        <v>0</v>
      </c>
      <c r="E1072" s="2236">
        <v>0</v>
      </c>
      <c r="F1072" s="2236"/>
      <c r="G1072" s="2236">
        <v>0</v>
      </c>
      <c r="H1072" s="2236">
        <v>0</v>
      </c>
      <c r="I1072" s="4637"/>
      <c r="J1072" s="4890"/>
    </row>
    <row r="1073" spans="1:10" ht="16.5" hidden="1" customHeight="1" x14ac:dyDescent="0.25">
      <c r="A1073" s="999"/>
      <c r="B1073" s="1024"/>
      <c r="C1073" s="389" t="s">
        <v>2654</v>
      </c>
      <c r="D1073" s="2236">
        <v>246000000</v>
      </c>
      <c r="E1073" s="344">
        <v>246000000</v>
      </c>
      <c r="F1073" s="344"/>
      <c r="G1073" s="140">
        <f t="shared" si="89"/>
        <v>100</v>
      </c>
      <c r="H1073" s="344">
        <v>100</v>
      </c>
      <c r="I1073" s="4637"/>
      <c r="J1073" s="4890"/>
    </row>
    <row r="1074" spans="1:10" ht="14.25" hidden="1" customHeight="1" x14ac:dyDescent="0.25">
      <c r="A1074" s="999"/>
      <c r="B1074" s="1024"/>
      <c r="C1074" s="389" t="s">
        <v>2655</v>
      </c>
      <c r="D1074" s="2236">
        <v>205000000</v>
      </c>
      <c r="E1074" s="2236">
        <v>205000000</v>
      </c>
      <c r="F1074" s="2236"/>
      <c r="G1074" s="140">
        <f t="shared" si="89"/>
        <v>100</v>
      </c>
      <c r="H1074" s="140">
        <v>100</v>
      </c>
      <c r="I1074" s="4637"/>
      <c r="J1074" s="4890"/>
    </row>
    <row r="1075" spans="1:10" hidden="1" x14ac:dyDescent="0.25">
      <c r="A1075" s="999"/>
      <c r="B1075" s="1024"/>
      <c r="C1075" s="389" t="s">
        <v>2656</v>
      </c>
      <c r="D1075" s="2236">
        <v>687150000</v>
      </c>
      <c r="E1075" s="2236">
        <v>687150000</v>
      </c>
      <c r="F1075" s="2236"/>
      <c r="G1075" s="140">
        <f t="shared" si="89"/>
        <v>100</v>
      </c>
      <c r="H1075" s="140">
        <v>100</v>
      </c>
      <c r="I1075" s="4637"/>
      <c r="J1075" s="4890"/>
    </row>
    <row r="1076" spans="1:10" ht="14.25" hidden="1" customHeight="1" x14ac:dyDescent="0.25">
      <c r="A1076" s="999"/>
      <c r="B1076" s="1024"/>
      <c r="C1076" s="389" t="s">
        <v>2657</v>
      </c>
      <c r="D1076" s="2236">
        <v>52400000</v>
      </c>
      <c r="E1076" s="2236">
        <v>52400000</v>
      </c>
      <c r="F1076" s="2236"/>
      <c r="G1076" s="140">
        <f t="shared" si="89"/>
        <v>100</v>
      </c>
      <c r="H1076" s="140">
        <v>100</v>
      </c>
      <c r="I1076" s="4637"/>
      <c r="J1076" s="4890"/>
    </row>
    <row r="1077" spans="1:10" ht="14.25" hidden="1" customHeight="1" x14ac:dyDescent="0.25">
      <c r="A1077" s="999"/>
      <c r="B1077" s="1024"/>
      <c r="C1077" s="389" t="s">
        <v>2658</v>
      </c>
      <c r="D1077" s="2236">
        <v>121900000</v>
      </c>
      <c r="E1077" s="2236">
        <v>121900000</v>
      </c>
      <c r="F1077" s="2236"/>
      <c r="G1077" s="140">
        <f t="shared" si="89"/>
        <v>100</v>
      </c>
      <c r="H1077" s="140">
        <v>100</v>
      </c>
      <c r="I1077" s="4637"/>
      <c r="J1077" s="4890"/>
    </row>
    <row r="1078" spans="1:10" ht="14.25" hidden="1" customHeight="1" x14ac:dyDescent="0.25">
      <c r="A1078" s="999"/>
      <c r="B1078" s="1024"/>
      <c r="C1078" s="389" t="s">
        <v>2659</v>
      </c>
      <c r="D1078" s="2236">
        <v>90200000</v>
      </c>
      <c r="E1078" s="344">
        <v>90200000</v>
      </c>
      <c r="F1078" s="344"/>
      <c r="G1078" s="140">
        <f t="shared" si="89"/>
        <v>100</v>
      </c>
      <c r="H1078" s="140">
        <v>100</v>
      </c>
      <c r="I1078" s="4637"/>
      <c r="J1078" s="4890"/>
    </row>
    <row r="1079" spans="1:10" ht="14.25" hidden="1" customHeight="1" x14ac:dyDescent="0.25">
      <c r="A1079" s="999"/>
      <c r="B1079" s="1024"/>
      <c r="C1079" s="389" t="s">
        <v>2660</v>
      </c>
      <c r="D1079" s="2236">
        <v>38500000</v>
      </c>
      <c r="E1079" s="344">
        <v>38500000</v>
      </c>
      <c r="F1079" s="344"/>
      <c r="G1079" s="140">
        <f t="shared" si="89"/>
        <v>100</v>
      </c>
      <c r="H1079" s="140">
        <v>100</v>
      </c>
      <c r="I1079" s="4637"/>
      <c r="J1079" s="4890"/>
    </row>
    <row r="1080" spans="1:10" ht="14.25" hidden="1" customHeight="1" x14ac:dyDescent="0.25">
      <c r="A1080" s="999"/>
      <c r="B1080" s="1024"/>
      <c r="C1080" s="389" t="s">
        <v>2661</v>
      </c>
      <c r="D1080" s="2236">
        <v>223307000</v>
      </c>
      <c r="E1080" s="2236">
        <v>223307000</v>
      </c>
      <c r="F1080" s="2236"/>
      <c r="G1080" s="140">
        <f t="shared" si="89"/>
        <v>100</v>
      </c>
      <c r="H1080" s="140">
        <v>100</v>
      </c>
      <c r="I1080" s="4637"/>
      <c r="J1080" s="4890"/>
    </row>
    <row r="1081" spans="1:10" ht="15.75" hidden="1" customHeight="1" x14ac:dyDescent="0.25">
      <c r="A1081" s="999"/>
      <c r="B1081" s="1024"/>
      <c r="C1081" s="389" t="s">
        <v>2662</v>
      </c>
      <c r="D1081" s="2236">
        <v>179460100</v>
      </c>
      <c r="E1081" s="2236">
        <v>179460100</v>
      </c>
      <c r="F1081" s="2236"/>
      <c r="G1081" s="140">
        <f t="shared" si="89"/>
        <v>100</v>
      </c>
      <c r="H1081" s="140">
        <v>100</v>
      </c>
      <c r="I1081" s="4637"/>
      <c r="J1081" s="4890"/>
    </row>
    <row r="1082" spans="1:10" ht="16.5" hidden="1" customHeight="1" x14ac:dyDescent="0.25">
      <c r="A1082" s="999"/>
      <c r="B1082" s="1024"/>
      <c r="C1082" s="389" t="s">
        <v>2663</v>
      </c>
      <c r="D1082" s="339">
        <v>4998076200</v>
      </c>
      <c r="E1082" s="261">
        <v>4964069000</v>
      </c>
      <c r="F1082" s="261"/>
      <c r="G1082" s="140">
        <f t="shared" si="89"/>
        <v>99.319594207067112</v>
      </c>
      <c r="H1082" s="140">
        <v>100</v>
      </c>
      <c r="I1082" s="4637"/>
      <c r="J1082" s="4890"/>
    </row>
    <row r="1083" spans="1:10" ht="16.5" hidden="1" customHeight="1" x14ac:dyDescent="0.25">
      <c r="A1083" s="999"/>
      <c r="B1083" s="1024"/>
      <c r="C1083" s="389" t="s">
        <v>4002</v>
      </c>
      <c r="D1083" s="2033">
        <v>682000000</v>
      </c>
      <c r="E1083" s="957">
        <v>682000000</v>
      </c>
      <c r="F1083" s="957"/>
      <c r="G1083" s="140">
        <f t="shared" si="89"/>
        <v>100</v>
      </c>
      <c r="H1083" s="140">
        <v>100</v>
      </c>
      <c r="I1083" s="4637"/>
      <c r="J1083" s="4890"/>
    </row>
    <row r="1084" spans="1:10" ht="12.75" hidden="1" customHeight="1" x14ac:dyDescent="0.25">
      <c r="A1084" s="999"/>
      <c r="B1084" s="1024"/>
      <c r="C1084" s="61"/>
      <c r="D1084" s="2033"/>
      <c r="E1084" s="957"/>
      <c r="F1084" s="957"/>
      <c r="G1084" s="140"/>
      <c r="H1084" s="140"/>
      <c r="I1084" s="4637"/>
      <c r="J1084" s="4890"/>
    </row>
    <row r="1085" spans="1:10" ht="21.75" hidden="1" customHeight="1" x14ac:dyDescent="0.25">
      <c r="A1085" s="999"/>
      <c r="B1085" s="1024"/>
      <c r="C1085" s="63" t="s">
        <v>1720</v>
      </c>
      <c r="D1085" s="242">
        <f>D1086</f>
        <v>115850000</v>
      </c>
      <c r="E1085" s="242">
        <f>E1086</f>
        <v>115850000</v>
      </c>
      <c r="F1085" s="242"/>
      <c r="G1085" s="142">
        <f t="shared" ref="G1085:G1086" si="90">E1085/D1085*100</f>
        <v>100</v>
      </c>
      <c r="H1085" s="142">
        <f>H1086</f>
        <v>100</v>
      </c>
      <c r="I1085" s="4637"/>
      <c r="J1085" s="4890"/>
    </row>
    <row r="1086" spans="1:10" ht="15.75" hidden="1" customHeight="1" x14ac:dyDescent="0.25">
      <c r="A1086" s="999"/>
      <c r="B1086" s="1024"/>
      <c r="C1086" s="61" t="s">
        <v>2664</v>
      </c>
      <c r="D1086" s="2441">
        <v>115850000</v>
      </c>
      <c r="E1086" s="2441">
        <v>115850000</v>
      </c>
      <c r="F1086" s="2441"/>
      <c r="G1086" s="140">
        <f t="shared" si="90"/>
        <v>100</v>
      </c>
      <c r="H1086" s="140">
        <v>100</v>
      </c>
      <c r="I1086" s="4637"/>
      <c r="J1086" s="4890"/>
    </row>
    <row r="1087" spans="1:10" ht="12" hidden="1" customHeight="1" x14ac:dyDescent="0.25">
      <c r="B1087" s="1024"/>
      <c r="C1087" s="366"/>
      <c r="D1087" s="2442"/>
      <c r="E1087" s="2443"/>
      <c r="F1087" s="2443"/>
      <c r="G1087" s="2443"/>
      <c r="H1087" s="2069"/>
      <c r="I1087" s="4856"/>
      <c r="J1087" s="4857"/>
    </row>
    <row r="1088" spans="1:10" s="32" customFormat="1" ht="20.25" hidden="1" customHeight="1" x14ac:dyDescent="0.25">
      <c r="A1088" s="1095"/>
      <c r="B1088" s="1029"/>
      <c r="C1088" s="342" t="s">
        <v>2785</v>
      </c>
      <c r="D1088" s="2009">
        <f>D1089</f>
        <v>573000000</v>
      </c>
      <c r="E1088" s="2009">
        <f>E1089</f>
        <v>570760759</v>
      </c>
      <c r="F1088" s="2009"/>
      <c r="G1088" s="131">
        <f>E1088/D1088*100</f>
        <v>99.609207504363013</v>
      </c>
      <c r="H1088" s="538">
        <f>H1089</f>
        <v>100</v>
      </c>
      <c r="I1088" s="4881"/>
      <c r="J1088" s="4882"/>
    </row>
    <row r="1089" spans="1:12" ht="21.75" hidden="1" customHeight="1" x14ac:dyDescent="0.25">
      <c r="B1089" s="1024"/>
      <c r="C1089" s="59" t="s">
        <v>2786</v>
      </c>
      <c r="D1089" s="2231">
        <f>D1090</f>
        <v>573000000</v>
      </c>
      <c r="E1089" s="2231">
        <f>E1090</f>
        <v>570760759</v>
      </c>
      <c r="F1089" s="2231"/>
      <c r="G1089" s="234">
        <f>E1089/D1089*100</f>
        <v>99.609207504363013</v>
      </c>
      <c r="H1089" s="101">
        <f>H1090</f>
        <v>100</v>
      </c>
      <c r="I1089" s="4856"/>
      <c r="J1089" s="4857"/>
    </row>
    <row r="1090" spans="1:12" ht="20.25" hidden="1" customHeight="1" x14ac:dyDescent="0.25">
      <c r="B1090" s="1024"/>
      <c r="C1090" s="61" t="s">
        <v>2788</v>
      </c>
      <c r="D1090" s="675">
        <v>573000000</v>
      </c>
      <c r="E1090" s="419">
        <v>570760759</v>
      </c>
      <c r="F1090" s="419"/>
      <c r="G1090" s="140">
        <f>E1090/D1090*100</f>
        <v>99.609207504363013</v>
      </c>
      <c r="H1090" s="201">
        <v>100</v>
      </c>
      <c r="I1090" s="4856"/>
      <c r="J1090" s="4857"/>
    </row>
    <row r="1091" spans="1:12" ht="12" hidden="1" customHeight="1" x14ac:dyDescent="0.25">
      <c r="B1091" s="1024"/>
      <c r="C1091" s="366"/>
      <c r="D1091" s="2442"/>
      <c r="E1091" s="2443"/>
      <c r="F1091" s="2443"/>
      <c r="G1091" s="2443"/>
      <c r="H1091" s="2069"/>
      <c r="I1091" s="4856"/>
      <c r="J1091" s="4857"/>
    </row>
    <row r="1092" spans="1:12" ht="12" hidden="1" customHeight="1" x14ac:dyDescent="0.25">
      <c r="B1092" s="1024"/>
      <c r="C1092" s="366"/>
      <c r="D1092" s="2442"/>
      <c r="E1092" s="2443"/>
      <c r="F1092" s="2443"/>
      <c r="G1092" s="2443"/>
      <c r="H1092" s="2069"/>
      <c r="I1092" s="4856"/>
      <c r="J1092" s="4857"/>
    </row>
    <row r="1093" spans="1:12" ht="20.25" hidden="1" customHeight="1" x14ac:dyDescent="0.25">
      <c r="B1093" s="1029"/>
      <c r="C1093" s="56" t="s">
        <v>3072</v>
      </c>
      <c r="D1093" s="127">
        <f>D1094</f>
        <v>20995527000</v>
      </c>
      <c r="E1093" s="127">
        <f>E1094</f>
        <v>20618817000</v>
      </c>
      <c r="F1093" s="127"/>
      <c r="G1093" s="200">
        <f>E1093/D1093*100</f>
        <v>98.205760684168581</v>
      </c>
      <c r="H1093" s="200">
        <f>H1094</f>
        <v>100</v>
      </c>
      <c r="I1093" s="4856"/>
      <c r="J1093" s="4857"/>
    </row>
    <row r="1094" spans="1:12" ht="23.25" hidden="1" customHeight="1" x14ac:dyDescent="0.25">
      <c r="B1094" s="2460"/>
      <c r="C1094" s="360" t="s">
        <v>3073</v>
      </c>
      <c r="D1094" s="2440">
        <f>D1095+D1096</f>
        <v>20995527000</v>
      </c>
      <c r="E1094" s="2440">
        <f>E1095+E1096</f>
        <v>20618817000</v>
      </c>
      <c r="F1094" s="2440"/>
      <c r="G1094" s="414">
        <f>E1094/D1094*100</f>
        <v>98.205760684168581</v>
      </c>
      <c r="H1094" s="414">
        <f>SUM(H1095:H1096)/2</f>
        <v>100</v>
      </c>
      <c r="I1094" s="4856"/>
      <c r="J1094" s="4857"/>
    </row>
    <row r="1095" spans="1:12" ht="22.5" hidden="1" customHeight="1" x14ac:dyDescent="0.25">
      <c r="B1095" s="1024"/>
      <c r="C1095" s="329" t="s">
        <v>3074</v>
      </c>
      <c r="D1095" s="2417">
        <v>11500000000</v>
      </c>
      <c r="E1095" s="2417">
        <v>11500000000</v>
      </c>
      <c r="F1095" s="2417"/>
      <c r="G1095" s="347">
        <f t="shared" ref="G1095:G1096" si="91">E1095/D1095*100</f>
        <v>100</v>
      </c>
      <c r="H1095" s="1476">
        <v>100</v>
      </c>
      <c r="I1095" s="4856"/>
      <c r="J1095" s="4857"/>
    </row>
    <row r="1096" spans="1:12" ht="20.25" hidden="1" customHeight="1" x14ac:dyDescent="0.25">
      <c r="B1096" s="1024"/>
      <c r="C1096" s="82" t="s">
        <v>3075</v>
      </c>
      <c r="D1096" s="2244">
        <v>9495527000</v>
      </c>
      <c r="E1096" s="344">
        <v>9118817000</v>
      </c>
      <c r="F1096" s="344"/>
      <c r="G1096" s="201">
        <f t="shared" si="91"/>
        <v>96.03276363702615</v>
      </c>
      <c r="H1096" s="344">
        <v>100</v>
      </c>
      <c r="I1096" s="4856"/>
      <c r="J1096" s="4857"/>
    </row>
    <row r="1097" spans="1:12" ht="12" hidden="1" customHeight="1" x14ac:dyDescent="0.25">
      <c r="B1097" s="1024"/>
      <c r="C1097" s="64"/>
      <c r="D1097" s="1956"/>
      <c r="E1097" s="1956"/>
      <c r="F1097" s="1956"/>
      <c r="G1097" s="1956"/>
      <c r="H1097" s="1956"/>
      <c r="I1097" s="4856"/>
      <c r="J1097" s="4857"/>
    </row>
    <row r="1098" spans="1:12" s="1" customFormat="1" ht="18.75" customHeight="1" thickBot="1" x14ac:dyDescent="0.3">
      <c r="A1098" s="1015"/>
      <c r="B1098" s="2455" t="s">
        <v>809</v>
      </c>
      <c r="C1098" s="422" t="s">
        <v>2804</v>
      </c>
      <c r="D1098" s="2402">
        <f>SUM(D1100+D1196+D1162+D1166+D1177+D1181)</f>
        <v>30449990500</v>
      </c>
      <c r="E1098" s="2402">
        <f>SUM(E1100+E1196+E1162+E1166+E1177+E1181)</f>
        <v>23347158915</v>
      </c>
      <c r="F1098" s="1900">
        <f>D1098-E1098</f>
        <v>7102831585</v>
      </c>
      <c r="G1098" s="424">
        <f>E1098/D1098*100</f>
        <v>76.673780620719739</v>
      </c>
      <c r="H1098" s="424">
        <f>SUM(H1100+H1162+H1166+H1177+H1181+H1196)/6</f>
        <v>88.002340252340261</v>
      </c>
      <c r="I1098" s="4880"/>
      <c r="J1098" s="4763"/>
    </row>
    <row r="1099" spans="1:12" ht="9.75" hidden="1" customHeight="1" x14ac:dyDescent="0.25">
      <c r="B1099" s="1024"/>
      <c r="C1099" s="53"/>
      <c r="D1099" s="1929"/>
      <c r="E1099" s="1929"/>
      <c r="F1099" s="1956"/>
      <c r="G1099" s="1935"/>
      <c r="H1099" s="1956"/>
      <c r="I1099" s="4856"/>
      <c r="J1099" s="4857"/>
    </row>
    <row r="1100" spans="1:12" ht="22.5" hidden="1" customHeight="1" x14ac:dyDescent="0.25">
      <c r="A1100" s="999"/>
      <c r="B1100" s="1029"/>
      <c r="C1100" s="124" t="s">
        <v>2805</v>
      </c>
      <c r="D1100" s="200">
        <f>SUM(D1101+D1110+D1123+D1130+D1134+D1138+D1142+D1147)</f>
        <v>24049225000</v>
      </c>
      <c r="E1100" s="200">
        <f>SUM(E1101+E1110+E1123+E1130+E1134+E1138+E1142+E1147)</f>
        <v>18957379784</v>
      </c>
      <c r="F1100" s="200"/>
      <c r="G1100" s="200">
        <f>SUM(E1100/D1100*100)</f>
        <v>78.827404142960944</v>
      </c>
      <c r="H1100" s="200">
        <f>SUM(H1110+H1123+H1130+H1134+H1138+H1142+H1147)/7</f>
        <v>78.847374847374837</v>
      </c>
      <c r="I1100" s="4856"/>
      <c r="J1100" s="4857"/>
    </row>
    <row r="1101" spans="1:12" ht="17.25" hidden="1" customHeight="1" x14ac:dyDescent="0.25">
      <c r="A1101" s="999"/>
      <c r="B1101" s="1024"/>
      <c r="C1101" s="134" t="s">
        <v>243</v>
      </c>
      <c r="D1101" s="4623">
        <v>0</v>
      </c>
      <c r="E1101" s="4623">
        <v>0</v>
      </c>
      <c r="F1101" s="4623"/>
      <c r="G1101" s="4623">
        <v>0</v>
      </c>
      <c r="H1101" s="4623">
        <v>0</v>
      </c>
      <c r="I1101" s="4637"/>
      <c r="J1101" s="4890"/>
      <c r="K1101" s="536"/>
      <c r="L1101" s="536"/>
    </row>
    <row r="1102" spans="1:12" ht="14.25" hidden="1" customHeight="1" x14ac:dyDescent="0.25">
      <c r="A1102" s="999"/>
      <c r="B1102" s="1024"/>
      <c r="C1102" s="82" t="s">
        <v>356</v>
      </c>
      <c r="D1102" s="4624" t="s">
        <v>3317</v>
      </c>
      <c r="E1102" s="4625" t="s">
        <v>3317</v>
      </c>
      <c r="F1102" s="4625"/>
      <c r="G1102" s="4625" t="s">
        <v>3317</v>
      </c>
      <c r="H1102" s="4625" t="s">
        <v>3317</v>
      </c>
      <c r="I1102" s="4637"/>
      <c r="J1102" s="4890"/>
      <c r="K1102" s="536"/>
      <c r="L1102" s="536"/>
    </row>
    <row r="1103" spans="1:12" ht="15.75" hidden="1" customHeight="1" x14ac:dyDescent="0.25">
      <c r="A1103" s="999"/>
      <c r="B1103" s="1024"/>
      <c r="C1103" s="82" t="s">
        <v>2806</v>
      </c>
      <c r="D1103" s="4624" t="s">
        <v>3317</v>
      </c>
      <c r="E1103" s="4625" t="s">
        <v>3317</v>
      </c>
      <c r="F1103" s="4625"/>
      <c r="G1103" s="4625" t="s">
        <v>3317</v>
      </c>
      <c r="H1103" s="4625" t="s">
        <v>3317</v>
      </c>
      <c r="I1103" s="4637"/>
      <c r="J1103" s="4890"/>
      <c r="K1103" s="536"/>
      <c r="L1103" s="536"/>
    </row>
    <row r="1104" spans="1:12" ht="15.75" hidden="1" customHeight="1" x14ac:dyDescent="0.25">
      <c r="A1104" s="999"/>
      <c r="B1104" s="1024"/>
      <c r="C1104" s="82" t="s">
        <v>2807</v>
      </c>
      <c r="D1104" s="4624" t="s">
        <v>3317</v>
      </c>
      <c r="E1104" s="4625" t="s">
        <v>3317</v>
      </c>
      <c r="F1104" s="4625"/>
      <c r="G1104" s="4625" t="s">
        <v>3317</v>
      </c>
      <c r="H1104" s="4625" t="s">
        <v>3317</v>
      </c>
      <c r="I1104" s="4637"/>
      <c r="J1104" s="4890"/>
      <c r="K1104" s="536"/>
      <c r="L1104" s="536"/>
    </row>
    <row r="1105" spans="1:16375" ht="15.75" hidden="1" customHeight="1" x14ac:dyDescent="0.25">
      <c r="A1105" s="999"/>
      <c r="B1105" s="1024"/>
      <c r="C1105" s="82" t="s">
        <v>2808</v>
      </c>
      <c r="D1105" s="4624" t="s">
        <v>3317</v>
      </c>
      <c r="E1105" s="4625" t="s">
        <v>3317</v>
      </c>
      <c r="F1105" s="4625"/>
      <c r="G1105" s="4625" t="s">
        <v>3317</v>
      </c>
      <c r="H1105" s="4625" t="s">
        <v>3317</v>
      </c>
      <c r="I1105" s="4637"/>
      <c r="J1105" s="4890"/>
      <c r="K1105" s="536"/>
      <c r="L1105" s="536"/>
    </row>
    <row r="1106" spans="1:16375" ht="16.5" hidden="1" customHeight="1" x14ac:dyDescent="0.25">
      <c r="A1106" s="999"/>
      <c r="B1106" s="1024"/>
      <c r="C1106" s="82" t="s">
        <v>2809</v>
      </c>
      <c r="D1106" s="4624" t="s">
        <v>3317</v>
      </c>
      <c r="E1106" s="4625" t="s">
        <v>3317</v>
      </c>
      <c r="F1106" s="4625"/>
      <c r="G1106" s="4625" t="s">
        <v>3317</v>
      </c>
      <c r="H1106" s="4625" t="s">
        <v>3317</v>
      </c>
      <c r="I1106" s="4637"/>
      <c r="J1106" s="4890"/>
      <c r="K1106" s="536"/>
      <c r="L1106" s="536"/>
    </row>
    <row r="1107" spans="1:16375" ht="15.75" hidden="1" customHeight="1" x14ac:dyDescent="0.25">
      <c r="A1107" s="999"/>
      <c r="B1107" s="1024"/>
      <c r="C1107" s="82" t="s">
        <v>2810</v>
      </c>
      <c r="D1107" s="4624" t="s">
        <v>3317</v>
      </c>
      <c r="E1107" s="4625" t="s">
        <v>3317</v>
      </c>
      <c r="F1107" s="4625"/>
      <c r="G1107" s="4625" t="s">
        <v>3317</v>
      </c>
      <c r="H1107" s="4625" t="s">
        <v>3317</v>
      </c>
      <c r="I1107" s="4637"/>
      <c r="J1107" s="4890"/>
      <c r="K1107" s="536"/>
      <c r="L1107" s="536"/>
    </row>
    <row r="1108" spans="1:16375" ht="16.5" hidden="1" customHeight="1" x14ac:dyDescent="0.25">
      <c r="A1108" s="999"/>
      <c r="B1108" s="1024"/>
      <c r="C1108" s="82" t="s">
        <v>2811</v>
      </c>
      <c r="D1108" s="4624" t="s">
        <v>3317</v>
      </c>
      <c r="E1108" s="4625" t="s">
        <v>3317</v>
      </c>
      <c r="F1108" s="4625"/>
      <c r="G1108" s="4625" t="s">
        <v>3317</v>
      </c>
      <c r="H1108" s="4625" t="s">
        <v>3317</v>
      </c>
      <c r="I1108" s="4637"/>
      <c r="J1108" s="4890"/>
      <c r="K1108" s="536"/>
      <c r="L1108" s="536"/>
    </row>
    <row r="1109" spans="1:16375" ht="10.5" hidden="1" customHeight="1" x14ac:dyDescent="0.25">
      <c r="A1109" s="999"/>
      <c r="B1109" s="1024"/>
      <c r="C1109" s="119"/>
      <c r="D1109" s="4626"/>
      <c r="E1109" s="4627"/>
      <c r="F1109" s="4627"/>
      <c r="G1109" s="348"/>
      <c r="H1109" s="348"/>
      <c r="I1109" s="4637"/>
      <c r="J1109" s="4890"/>
      <c r="K1109" s="536"/>
      <c r="L1109" s="536"/>
    </row>
    <row r="1110" spans="1:16375" ht="17.25" hidden="1" customHeight="1" x14ac:dyDescent="0.25">
      <c r="A1110" s="999"/>
      <c r="B1110" s="1024"/>
      <c r="C1110" s="134" t="s">
        <v>1247</v>
      </c>
      <c r="D1110" s="4628">
        <f>SUM(D1111:D1121)</f>
        <v>8198600000</v>
      </c>
      <c r="E1110" s="84">
        <f>SUM(E1111:E1121)</f>
        <v>7949910000</v>
      </c>
      <c r="F1110" s="84"/>
      <c r="G1110" s="202">
        <f>SUM(E1110/D1110*100)</f>
        <v>96.966677237577144</v>
      </c>
      <c r="H1110" s="202">
        <f>SUM(H1111:H1121)/9</f>
        <v>98.111111111111114</v>
      </c>
      <c r="I1110" s="4637"/>
      <c r="J1110" s="4890"/>
      <c r="K1110" s="536"/>
      <c r="L1110" s="536"/>
    </row>
    <row r="1111" spans="1:16375" ht="15.75" hidden="1" customHeight="1" x14ac:dyDescent="0.25">
      <c r="A1111" s="999"/>
      <c r="B1111" s="1024"/>
      <c r="C1111" s="82" t="s">
        <v>363</v>
      </c>
      <c r="D1111" s="576">
        <v>587000000</v>
      </c>
      <c r="E1111" s="576">
        <v>586200000</v>
      </c>
      <c r="F1111" s="576"/>
      <c r="G1111" s="201">
        <f>SUM(E1111/D1111*100)</f>
        <v>99.863713798977855</v>
      </c>
      <c r="H1111" s="576">
        <v>100</v>
      </c>
      <c r="I1111" s="4637"/>
      <c r="J1111" s="4890"/>
      <c r="K1111" s="536"/>
      <c r="L1111" s="536"/>
    </row>
    <row r="1112" spans="1:16375" ht="15.75" hidden="1" customHeight="1" x14ac:dyDescent="0.25">
      <c r="A1112" s="999"/>
      <c r="B1112" s="1024"/>
      <c r="C1112" s="82" t="s">
        <v>2812</v>
      </c>
      <c r="D1112" s="576">
        <v>420000000</v>
      </c>
      <c r="E1112" s="576">
        <v>417690000</v>
      </c>
      <c r="F1112" s="576"/>
      <c r="G1112" s="201">
        <f t="shared" ref="G1112:G1118" si="92">SUM(E1112/D1112*100)</f>
        <v>99.45</v>
      </c>
      <c r="H1112" s="576">
        <v>100</v>
      </c>
      <c r="I1112" s="4637"/>
      <c r="J1112" s="4890"/>
      <c r="K1112" s="536"/>
      <c r="L1112" s="536"/>
    </row>
    <row r="1113" spans="1:16375" ht="15.75" hidden="1" customHeight="1" x14ac:dyDescent="0.25">
      <c r="A1113" s="999"/>
      <c r="B1113" s="1024"/>
      <c r="C1113" s="82" t="s">
        <v>2813</v>
      </c>
      <c r="D1113" s="4624" t="s">
        <v>3317</v>
      </c>
      <c r="E1113" s="4625" t="s">
        <v>3317</v>
      </c>
      <c r="F1113" s="4625"/>
      <c r="G1113" s="4625" t="s">
        <v>3317</v>
      </c>
      <c r="H1113" s="4625" t="s">
        <v>3317</v>
      </c>
      <c r="I1113" s="4637"/>
      <c r="J1113" s="4890"/>
      <c r="K1113" s="536"/>
      <c r="L1113" s="536"/>
    </row>
    <row r="1114" spans="1:16375" ht="15" hidden="1" customHeight="1" x14ac:dyDescent="0.25">
      <c r="A1114" s="999"/>
      <c r="B1114" s="1024"/>
      <c r="C1114" s="82" t="s">
        <v>2814</v>
      </c>
      <c r="D1114" s="576">
        <v>3654000000</v>
      </c>
      <c r="E1114" s="576">
        <v>3566100000</v>
      </c>
      <c r="F1114" s="576"/>
      <c r="G1114" s="201">
        <f t="shared" si="92"/>
        <v>97.594417077175706</v>
      </c>
      <c r="H1114" s="576">
        <v>100</v>
      </c>
      <c r="I1114" s="4637"/>
      <c r="J1114" s="4890"/>
      <c r="K1114" s="536"/>
      <c r="L1114" s="536"/>
    </row>
    <row r="1115" spans="1:16375" s="513" customFormat="1" ht="15.75" hidden="1" customHeight="1" x14ac:dyDescent="0.25">
      <c r="A1115" s="566" t="s">
        <v>3783</v>
      </c>
      <c r="B1115" s="379"/>
      <c r="C1115" s="379" t="s">
        <v>3784</v>
      </c>
      <c r="D1115" s="576">
        <v>46000000</v>
      </c>
      <c r="E1115" s="232">
        <v>45800000</v>
      </c>
      <c r="F1115" s="232"/>
      <c r="G1115" s="201">
        <f t="shared" si="92"/>
        <v>99.565217391304344</v>
      </c>
      <c r="H1115" s="232">
        <v>99</v>
      </c>
      <c r="I1115" s="4649"/>
      <c r="J1115" s="4911"/>
      <c r="K1115" s="4379" t="s">
        <v>3783</v>
      </c>
      <c r="L1115" s="1217" t="s">
        <v>3783</v>
      </c>
      <c r="M1115" s="379" t="s">
        <v>3783</v>
      </c>
      <c r="N1115" s="379" t="s">
        <v>3783</v>
      </c>
      <c r="O1115" s="379" t="s">
        <v>3783</v>
      </c>
      <c r="P1115" s="379" t="s">
        <v>3783</v>
      </c>
      <c r="Q1115" s="379" t="s">
        <v>3783</v>
      </c>
      <c r="R1115" s="379" t="s">
        <v>3783</v>
      </c>
      <c r="S1115" s="379" t="s">
        <v>3783</v>
      </c>
      <c r="T1115" s="379" t="s">
        <v>3783</v>
      </c>
      <c r="U1115" s="379" t="s">
        <v>3783</v>
      </c>
      <c r="V1115" s="379" t="s">
        <v>3783</v>
      </c>
      <c r="W1115" s="379" t="s">
        <v>3783</v>
      </c>
      <c r="X1115" s="379" t="s">
        <v>3783</v>
      </c>
      <c r="Y1115" s="379" t="s">
        <v>3783</v>
      </c>
      <c r="Z1115" s="379" t="s">
        <v>3783</v>
      </c>
      <c r="AA1115" s="379" t="s">
        <v>3783</v>
      </c>
      <c r="AB1115" s="379" t="s">
        <v>3783</v>
      </c>
      <c r="AC1115" s="379" t="s">
        <v>3783</v>
      </c>
      <c r="AD1115" s="379" t="s">
        <v>3783</v>
      </c>
      <c r="AE1115" s="379" t="s">
        <v>3783</v>
      </c>
      <c r="AF1115" s="379" t="s">
        <v>3783</v>
      </c>
      <c r="AG1115" s="379" t="s">
        <v>3783</v>
      </c>
      <c r="AH1115" s="379" t="s">
        <v>3783</v>
      </c>
      <c r="AI1115" s="379" t="s">
        <v>3783</v>
      </c>
      <c r="AJ1115" s="379" t="s">
        <v>3783</v>
      </c>
      <c r="AK1115" s="379" t="s">
        <v>3783</v>
      </c>
      <c r="AL1115" s="379" t="s">
        <v>3783</v>
      </c>
      <c r="AM1115" s="379" t="s">
        <v>3783</v>
      </c>
      <c r="AN1115" s="379" t="s">
        <v>3783</v>
      </c>
      <c r="AO1115" s="379" t="s">
        <v>3783</v>
      </c>
      <c r="AP1115" s="379" t="s">
        <v>3783</v>
      </c>
      <c r="AQ1115" s="379" t="s">
        <v>3783</v>
      </c>
      <c r="AR1115" s="379" t="s">
        <v>3783</v>
      </c>
      <c r="AS1115" s="379" t="s">
        <v>3783</v>
      </c>
      <c r="AT1115" s="379" t="s">
        <v>3783</v>
      </c>
      <c r="AU1115" s="379" t="s">
        <v>3783</v>
      </c>
      <c r="AV1115" s="379" t="s">
        <v>3783</v>
      </c>
      <c r="AW1115" s="379" t="s">
        <v>3783</v>
      </c>
      <c r="AX1115" s="379" t="s">
        <v>3783</v>
      </c>
      <c r="AY1115" s="379" t="s">
        <v>3783</v>
      </c>
      <c r="AZ1115" s="379" t="s">
        <v>3783</v>
      </c>
      <c r="BA1115" s="379" t="s">
        <v>3783</v>
      </c>
      <c r="BB1115" s="379" t="s">
        <v>3783</v>
      </c>
      <c r="BC1115" s="379" t="s">
        <v>3783</v>
      </c>
      <c r="BD1115" s="379" t="s">
        <v>3783</v>
      </c>
      <c r="BE1115" s="379" t="s">
        <v>3783</v>
      </c>
      <c r="BF1115" s="379" t="s">
        <v>3783</v>
      </c>
      <c r="BG1115" s="379" t="s">
        <v>3783</v>
      </c>
      <c r="BH1115" s="379" t="s">
        <v>3783</v>
      </c>
      <c r="BI1115" s="379" t="s">
        <v>3783</v>
      </c>
      <c r="BJ1115" s="379" t="s">
        <v>3783</v>
      </c>
      <c r="BK1115" s="379" t="s">
        <v>3783</v>
      </c>
      <c r="BL1115" s="379" t="s">
        <v>3783</v>
      </c>
      <c r="BM1115" s="379" t="s">
        <v>3783</v>
      </c>
      <c r="BN1115" s="379" t="s">
        <v>3783</v>
      </c>
      <c r="BO1115" s="379" t="s">
        <v>3783</v>
      </c>
      <c r="BP1115" s="379" t="s">
        <v>3783</v>
      </c>
      <c r="BQ1115" s="379" t="s">
        <v>3783</v>
      </c>
      <c r="BR1115" s="379" t="s">
        <v>3783</v>
      </c>
      <c r="BS1115" s="379" t="s">
        <v>3783</v>
      </c>
      <c r="BT1115" s="379" t="s">
        <v>3783</v>
      </c>
      <c r="BU1115" s="379" t="s">
        <v>3783</v>
      </c>
      <c r="BV1115" s="379" t="s">
        <v>3783</v>
      </c>
      <c r="BW1115" s="379" t="s">
        <v>3783</v>
      </c>
      <c r="BX1115" s="379" t="s">
        <v>3783</v>
      </c>
      <c r="BY1115" s="379" t="s">
        <v>3783</v>
      </c>
      <c r="BZ1115" s="379" t="s">
        <v>3783</v>
      </c>
      <c r="CA1115" s="379" t="s">
        <v>3783</v>
      </c>
      <c r="CB1115" s="379" t="s">
        <v>3783</v>
      </c>
      <c r="CC1115" s="379" t="s">
        <v>3783</v>
      </c>
      <c r="CD1115" s="379" t="s">
        <v>3783</v>
      </c>
      <c r="CE1115" s="379" t="s">
        <v>3783</v>
      </c>
      <c r="CF1115" s="379" t="s">
        <v>3783</v>
      </c>
      <c r="CG1115" s="379" t="s">
        <v>3783</v>
      </c>
      <c r="CH1115" s="379" t="s">
        <v>3783</v>
      </c>
      <c r="CI1115" s="379" t="s">
        <v>3783</v>
      </c>
      <c r="CJ1115" s="379" t="s">
        <v>3783</v>
      </c>
      <c r="CK1115" s="379" t="s">
        <v>3783</v>
      </c>
      <c r="CL1115" s="379" t="s">
        <v>3783</v>
      </c>
      <c r="CM1115" s="379" t="s">
        <v>3783</v>
      </c>
      <c r="CN1115" s="379" t="s">
        <v>3783</v>
      </c>
      <c r="CO1115" s="379" t="s">
        <v>3783</v>
      </c>
      <c r="CP1115" s="379" t="s">
        <v>3783</v>
      </c>
      <c r="CQ1115" s="379" t="s">
        <v>3783</v>
      </c>
      <c r="CR1115" s="379" t="s">
        <v>3783</v>
      </c>
      <c r="CS1115" s="379" t="s">
        <v>3783</v>
      </c>
      <c r="CT1115" s="379" t="s">
        <v>3783</v>
      </c>
      <c r="CU1115" s="379" t="s">
        <v>3783</v>
      </c>
      <c r="CV1115" s="379" t="s">
        <v>3783</v>
      </c>
      <c r="CW1115" s="379" t="s">
        <v>3783</v>
      </c>
      <c r="CX1115" s="379" t="s">
        <v>3783</v>
      </c>
      <c r="CY1115" s="379" t="s">
        <v>3783</v>
      </c>
      <c r="CZ1115" s="379" t="s">
        <v>3783</v>
      </c>
      <c r="DA1115" s="379" t="s">
        <v>3783</v>
      </c>
      <c r="DB1115" s="379" t="s">
        <v>3783</v>
      </c>
      <c r="DC1115" s="379" t="s">
        <v>3783</v>
      </c>
      <c r="DD1115" s="379" t="s">
        <v>3783</v>
      </c>
      <c r="DE1115" s="379" t="s">
        <v>3783</v>
      </c>
      <c r="DF1115" s="379" t="s">
        <v>3783</v>
      </c>
      <c r="DG1115" s="379" t="s">
        <v>3783</v>
      </c>
      <c r="DH1115" s="379" t="s">
        <v>3783</v>
      </c>
      <c r="DI1115" s="379" t="s">
        <v>3783</v>
      </c>
      <c r="DJ1115" s="379" t="s">
        <v>3783</v>
      </c>
      <c r="DK1115" s="379" t="s">
        <v>3783</v>
      </c>
      <c r="DL1115" s="379" t="s">
        <v>3783</v>
      </c>
      <c r="DM1115" s="379" t="s">
        <v>3783</v>
      </c>
      <c r="DN1115" s="379" t="s">
        <v>3783</v>
      </c>
      <c r="DO1115" s="379" t="s">
        <v>3783</v>
      </c>
      <c r="DP1115" s="379" t="s">
        <v>3783</v>
      </c>
      <c r="DQ1115" s="379" t="s">
        <v>3783</v>
      </c>
      <c r="DR1115" s="379" t="s">
        <v>3783</v>
      </c>
      <c r="DS1115" s="379" t="s">
        <v>3783</v>
      </c>
      <c r="DT1115" s="379" t="s">
        <v>3783</v>
      </c>
      <c r="DU1115" s="379" t="s">
        <v>3783</v>
      </c>
      <c r="DV1115" s="379" t="s">
        <v>3783</v>
      </c>
      <c r="DW1115" s="379" t="s">
        <v>3783</v>
      </c>
      <c r="DX1115" s="379" t="s">
        <v>3783</v>
      </c>
      <c r="DY1115" s="379" t="s">
        <v>3783</v>
      </c>
      <c r="DZ1115" s="379" t="s">
        <v>3783</v>
      </c>
      <c r="EA1115" s="379" t="s">
        <v>3783</v>
      </c>
      <c r="EB1115" s="379" t="s">
        <v>3783</v>
      </c>
      <c r="EC1115" s="379" t="s">
        <v>3783</v>
      </c>
      <c r="ED1115" s="379" t="s">
        <v>3783</v>
      </c>
      <c r="EE1115" s="379" t="s">
        <v>3783</v>
      </c>
      <c r="EF1115" s="379" t="s">
        <v>3783</v>
      </c>
      <c r="EG1115" s="379" t="s">
        <v>3783</v>
      </c>
      <c r="EH1115" s="379" t="s">
        <v>3783</v>
      </c>
      <c r="EI1115" s="379" t="s">
        <v>3783</v>
      </c>
      <c r="EJ1115" s="379" t="s">
        <v>3783</v>
      </c>
      <c r="EK1115" s="379" t="s">
        <v>3783</v>
      </c>
      <c r="EL1115" s="379" t="s">
        <v>3783</v>
      </c>
      <c r="EM1115" s="379" t="s">
        <v>3783</v>
      </c>
      <c r="EN1115" s="379" t="s">
        <v>3783</v>
      </c>
      <c r="EO1115" s="379" t="s">
        <v>3783</v>
      </c>
      <c r="EP1115" s="379" t="s">
        <v>3783</v>
      </c>
      <c r="EQ1115" s="379" t="s">
        <v>3783</v>
      </c>
      <c r="ER1115" s="379" t="s">
        <v>3783</v>
      </c>
      <c r="ES1115" s="379" t="s">
        <v>3783</v>
      </c>
      <c r="ET1115" s="379" t="s">
        <v>3783</v>
      </c>
      <c r="EU1115" s="379" t="s">
        <v>3783</v>
      </c>
      <c r="EV1115" s="379" t="s">
        <v>3783</v>
      </c>
      <c r="EW1115" s="379" t="s">
        <v>3783</v>
      </c>
      <c r="EX1115" s="379" t="s">
        <v>3783</v>
      </c>
      <c r="EY1115" s="379" t="s">
        <v>3783</v>
      </c>
      <c r="EZ1115" s="379" t="s">
        <v>3783</v>
      </c>
      <c r="FA1115" s="379" t="s">
        <v>3783</v>
      </c>
      <c r="FB1115" s="379" t="s">
        <v>3783</v>
      </c>
      <c r="FC1115" s="379" t="s">
        <v>3783</v>
      </c>
      <c r="FD1115" s="379" t="s">
        <v>3783</v>
      </c>
      <c r="FE1115" s="379" t="s">
        <v>3783</v>
      </c>
      <c r="FF1115" s="379" t="s">
        <v>3783</v>
      </c>
      <c r="FG1115" s="379" t="s">
        <v>3783</v>
      </c>
      <c r="FH1115" s="379" t="s">
        <v>3783</v>
      </c>
      <c r="FI1115" s="379" t="s">
        <v>3783</v>
      </c>
      <c r="FJ1115" s="379" t="s">
        <v>3783</v>
      </c>
      <c r="FK1115" s="379" t="s">
        <v>3783</v>
      </c>
      <c r="FL1115" s="379" t="s">
        <v>3783</v>
      </c>
      <c r="FM1115" s="379" t="s">
        <v>3783</v>
      </c>
      <c r="FN1115" s="379" t="s">
        <v>3783</v>
      </c>
      <c r="FO1115" s="379" t="s">
        <v>3783</v>
      </c>
      <c r="FP1115" s="379" t="s">
        <v>3783</v>
      </c>
      <c r="FQ1115" s="379" t="s">
        <v>3783</v>
      </c>
      <c r="FR1115" s="379" t="s">
        <v>3783</v>
      </c>
      <c r="FS1115" s="379" t="s">
        <v>3783</v>
      </c>
      <c r="FT1115" s="379" t="s">
        <v>3783</v>
      </c>
      <c r="FU1115" s="379" t="s">
        <v>3783</v>
      </c>
      <c r="FV1115" s="379" t="s">
        <v>3783</v>
      </c>
      <c r="FW1115" s="379" t="s">
        <v>3783</v>
      </c>
      <c r="FX1115" s="379" t="s">
        <v>3783</v>
      </c>
      <c r="FY1115" s="379" t="s">
        <v>3783</v>
      </c>
      <c r="FZ1115" s="379" t="s">
        <v>3783</v>
      </c>
      <c r="GA1115" s="379" t="s">
        <v>3783</v>
      </c>
      <c r="GB1115" s="379" t="s">
        <v>3783</v>
      </c>
      <c r="GC1115" s="379" t="s">
        <v>3783</v>
      </c>
      <c r="GD1115" s="379" t="s">
        <v>3783</v>
      </c>
      <c r="GE1115" s="379" t="s">
        <v>3783</v>
      </c>
      <c r="GF1115" s="379" t="s">
        <v>3783</v>
      </c>
      <c r="GG1115" s="379" t="s">
        <v>3783</v>
      </c>
      <c r="GH1115" s="379" t="s">
        <v>3783</v>
      </c>
      <c r="GI1115" s="379" t="s">
        <v>3783</v>
      </c>
      <c r="GJ1115" s="379" t="s">
        <v>3783</v>
      </c>
      <c r="GK1115" s="379" t="s">
        <v>3783</v>
      </c>
      <c r="GL1115" s="379" t="s">
        <v>3783</v>
      </c>
      <c r="GM1115" s="379" t="s">
        <v>3783</v>
      </c>
      <c r="GN1115" s="379" t="s">
        <v>3783</v>
      </c>
      <c r="GO1115" s="379" t="s">
        <v>3783</v>
      </c>
      <c r="GP1115" s="379" t="s">
        <v>3783</v>
      </c>
      <c r="GQ1115" s="379" t="s">
        <v>3783</v>
      </c>
      <c r="GR1115" s="379" t="s">
        <v>3783</v>
      </c>
      <c r="GS1115" s="379" t="s">
        <v>3783</v>
      </c>
      <c r="GT1115" s="379" t="s">
        <v>3783</v>
      </c>
      <c r="GU1115" s="379" t="s">
        <v>3783</v>
      </c>
      <c r="GV1115" s="379" t="s">
        <v>3783</v>
      </c>
      <c r="GW1115" s="379" t="s">
        <v>3783</v>
      </c>
      <c r="GX1115" s="379" t="s">
        <v>3783</v>
      </c>
      <c r="GY1115" s="379" t="s">
        <v>3783</v>
      </c>
      <c r="GZ1115" s="379" t="s">
        <v>3783</v>
      </c>
      <c r="HA1115" s="379" t="s">
        <v>3783</v>
      </c>
      <c r="HB1115" s="379" t="s">
        <v>3783</v>
      </c>
      <c r="HC1115" s="379" t="s">
        <v>3783</v>
      </c>
      <c r="HD1115" s="379" t="s">
        <v>3783</v>
      </c>
      <c r="HE1115" s="379" t="s">
        <v>3783</v>
      </c>
      <c r="HF1115" s="379" t="s">
        <v>3783</v>
      </c>
      <c r="HG1115" s="379" t="s">
        <v>3783</v>
      </c>
      <c r="HH1115" s="379" t="s">
        <v>3783</v>
      </c>
      <c r="HI1115" s="379" t="s">
        <v>3783</v>
      </c>
      <c r="HJ1115" s="379" t="s">
        <v>3783</v>
      </c>
      <c r="HK1115" s="379" t="s">
        <v>3783</v>
      </c>
      <c r="HL1115" s="379" t="s">
        <v>3783</v>
      </c>
      <c r="HM1115" s="379" t="s">
        <v>3783</v>
      </c>
      <c r="HN1115" s="379" t="s">
        <v>3783</v>
      </c>
      <c r="HO1115" s="379" t="s">
        <v>3783</v>
      </c>
      <c r="HP1115" s="379" t="s">
        <v>3783</v>
      </c>
      <c r="HQ1115" s="379" t="s">
        <v>3783</v>
      </c>
      <c r="HR1115" s="379" t="s">
        <v>3783</v>
      </c>
      <c r="HS1115" s="379" t="s">
        <v>3783</v>
      </c>
      <c r="HT1115" s="379" t="s">
        <v>3783</v>
      </c>
      <c r="HU1115" s="379" t="s">
        <v>3783</v>
      </c>
      <c r="HV1115" s="379" t="s">
        <v>3783</v>
      </c>
      <c r="HW1115" s="379" t="s">
        <v>3783</v>
      </c>
      <c r="HX1115" s="379" t="s">
        <v>3783</v>
      </c>
      <c r="HY1115" s="379" t="s">
        <v>3783</v>
      </c>
      <c r="HZ1115" s="379" t="s">
        <v>3783</v>
      </c>
      <c r="IA1115" s="379" t="s">
        <v>3783</v>
      </c>
      <c r="IB1115" s="379" t="s">
        <v>3783</v>
      </c>
      <c r="IC1115" s="379" t="s">
        <v>3783</v>
      </c>
      <c r="ID1115" s="379" t="s">
        <v>3783</v>
      </c>
      <c r="IE1115" s="379" t="s">
        <v>3783</v>
      </c>
      <c r="IF1115" s="379" t="s">
        <v>3783</v>
      </c>
      <c r="IG1115" s="379" t="s">
        <v>3783</v>
      </c>
      <c r="IH1115" s="379" t="s">
        <v>3783</v>
      </c>
      <c r="II1115" s="379" t="s">
        <v>3783</v>
      </c>
      <c r="IJ1115" s="379" t="s">
        <v>3783</v>
      </c>
      <c r="IK1115" s="379" t="s">
        <v>3783</v>
      </c>
      <c r="IL1115" s="379" t="s">
        <v>3783</v>
      </c>
      <c r="IM1115" s="379" t="s">
        <v>3783</v>
      </c>
      <c r="IN1115" s="379" t="s">
        <v>3783</v>
      </c>
      <c r="IO1115" s="379" t="s">
        <v>3783</v>
      </c>
      <c r="IP1115" s="379" t="s">
        <v>3783</v>
      </c>
      <c r="IQ1115" s="379" t="s">
        <v>3783</v>
      </c>
      <c r="IR1115" s="379" t="s">
        <v>3783</v>
      </c>
      <c r="IS1115" s="379" t="s">
        <v>3783</v>
      </c>
      <c r="IT1115" s="379" t="s">
        <v>3783</v>
      </c>
      <c r="IU1115" s="379" t="s">
        <v>3783</v>
      </c>
      <c r="IV1115" s="379" t="s">
        <v>3783</v>
      </c>
      <c r="IW1115" s="379" t="s">
        <v>3783</v>
      </c>
      <c r="IX1115" s="379" t="s">
        <v>3783</v>
      </c>
      <c r="IY1115" s="379" t="s">
        <v>3783</v>
      </c>
      <c r="IZ1115" s="379" t="s">
        <v>3783</v>
      </c>
      <c r="JA1115" s="379" t="s">
        <v>3783</v>
      </c>
      <c r="JB1115" s="379" t="s">
        <v>3783</v>
      </c>
      <c r="JC1115" s="379" t="s">
        <v>3783</v>
      </c>
      <c r="JD1115" s="379" t="s">
        <v>3783</v>
      </c>
      <c r="JE1115" s="379" t="s">
        <v>3783</v>
      </c>
      <c r="JF1115" s="379" t="s">
        <v>3783</v>
      </c>
      <c r="JG1115" s="379" t="s">
        <v>3783</v>
      </c>
      <c r="JH1115" s="379" t="s">
        <v>3783</v>
      </c>
      <c r="JI1115" s="379" t="s">
        <v>3783</v>
      </c>
      <c r="JJ1115" s="379" t="s">
        <v>3783</v>
      </c>
      <c r="JK1115" s="379" t="s">
        <v>3783</v>
      </c>
      <c r="JL1115" s="379" t="s">
        <v>3783</v>
      </c>
      <c r="JM1115" s="379" t="s">
        <v>3783</v>
      </c>
      <c r="JN1115" s="379" t="s">
        <v>3783</v>
      </c>
      <c r="JO1115" s="379" t="s">
        <v>3783</v>
      </c>
      <c r="JP1115" s="379" t="s">
        <v>3783</v>
      </c>
      <c r="JQ1115" s="379" t="s">
        <v>3783</v>
      </c>
      <c r="JR1115" s="379" t="s">
        <v>3783</v>
      </c>
      <c r="JS1115" s="379" t="s">
        <v>3783</v>
      </c>
      <c r="JT1115" s="379" t="s">
        <v>3783</v>
      </c>
      <c r="JU1115" s="379" t="s">
        <v>3783</v>
      </c>
      <c r="JV1115" s="379" t="s">
        <v>3783</v>
      </c>
      <c r="JW1115" s="379" t="s">
        <v>3783</v>
      </c>
      <c r="JX1115" s="379" t="s">
        <v>3783</v>
      </c>
      <c r="JY1115" s="379" t="s">
        <v>3783</v>
      </c>
      <c r="JZ1115" s="379" t="s">
        <v>3783</v>
      </c>
      <c r="KA1115" s="379" t="s">
        <v>3783</v>
      </c>
      <c r="KB1115" s="379" t="s">
        <v>3783</v>
      </c>
      <c r="KC1115" s="379" t="s">
        <v>3783</v>
      </c>
      <c r="KD1115" s="379" t="s">
        <v>3783</v>
      </c>
      <c r="KE1115" s="379" t="s">
        <v>3783</v>
      </c>
      <c r="KF1115" s="379" t="s">
        <v>3783</v>
      </c>
      <c r="KG1115" s="379" t="s">
        <v>3783</v>
      </c>
      <c r="KH1115" s="379" t="s">
        <v>3783</v>
      </c>
      <c r="KI1115" s="379" t="s">
        <v>3783</v>
      </c>
      <c r="KJ1115" s="379" t="s">
        <v>3783</v>
      </c>
      <c r="KK1115" s="379" t="s">
        <v>3783</v>
      </c>
      <c r="KL1115" s="379" t="s">
        <v>3783</v>
      </c>
      <c r="KM1115" s="379" t="s">
        <v>3783</v>
      </c>
      <c r="KN1115" s="379" t="s">
        <v>3783</v>
      </c>
      <c r="KO1115" s="379" t="s">
        <v>3783</v>
      </c>
      <c r="KP1115" s="379" t="s">
        <v>3783</v>
      </c>
      <c r="KQ1115" s="379" t="s">
        <v>3783</v>
      </c>
      <c r="KR1115" s="379" t="s">
        <v>3783</v>
      </c>
      <c r="KS1115" s="379" t="s">
        <v>3783</v>
      </c>
      <c r="KT1115" s="379" t="s">
        <v>3783</v>
      </c>
      <c r="KU1115" s="379" t="s">
        <v>3783</v>
      </c>
      <c r="KV1115" s="379" t="s">
        <v>3783</v>
      </c>
      <c r="KW1115" s="379" t="s">
        <v>3783</v>
      </c>
      <c r="KX1115" s="379" t="s">
        <v>3783</v>
      </c>
      <c r="KY1115" s="379" t="s">
        <v>3783</v>
      </c>
      <c r="KZ1115" s="379" t="s">
        <v>3783</v>
      </c>
      <c r="LA1115" s="379" t="s">
        <v>3783</v>
      </c>
      <c r="LB1115" s="379" t="s">
        <v>3783</v>
      </c>
      <c r="LC1115" s="379" t="s">
        <v>3783</v>
      </c>
      <c r="LD1115" s="379" t="s">
        <v>3783</v>
      </c>
      <c r="LE1115" s="379" t="s">
        <v>3783</v>
      </c>
      <c r="LF1115" s="379" t="s">
        <v>3783</v>
      </c>
      <c r="LG1115" s="379" t="s">
        <v>3783</v>
      </c>
      <c r="LH1115" s="379" t="s">
        <v>3783</v>
      </c>
      <c r="LI1115" s="379" t="s">
        <v>3783</v>
      </c>
      <c r="LJ1115" s="379" t="s">
        <v>3783</v>
      </c>
      <c r="LK1115" s="379" t="s">
        <v>3783</v>
      </c>
      <c r="LL1115" s="379" t="s">
        <v>3783</v>
      </c>
      <c r="LM1115" s="379" t="s">
        <v>3783</v>
      </c>
      <c r="LN1115" s="379" t="s">
        <v>3783</v>
      </c>
      <c r="LO1115" s="379" t="s">
        <v>3783</v>
      </c>
      <c r="LP1115" s="379" t="s">
        <v>3783</v>
      </c>
      <c r="LQ1115" s="379" t="s">
        <v>3783</v>
      </c>
      <c r="LR1115" s="379" t="s">
        <v>3783</v>
      </c>
      <c r="LS1115" s="379" t="s">
        <v>3783</v>
      </c>
      <c r="LT1115" s="379" t="s">
        <v>3783</v>
      </c>
      <c r="LU1115" s="379" t="s">
        <v>3783</v>
      </c>
      <c r="LV1115" s="379" t="s">
        <v>3783</v>
      </c>
      <c r="LW1115" s="379" t="s">
        <v>3783</v>
      </c>
      <c r="LX1115" s="379" t="s">
        <v>3783</v>
      </c>
      <c r="LY1115" s="379" t="s">
        <v>3783</v>
      </c>
      <c r="LZ1115" s="379" t="s">
        <v>3783</v>
      </c>
      <c r="MA1115" s="379" t="s">
        <v>3783</v>
      </c>
      <c r="MB1115" s="379" t="s">
        <v>3783</v>
      </c>
      <c r="MC1115" s="379" t="s">
        <v>3783</v>
      </c>
      <c r="MD1115" s="379" t="s">
        <v>3783</v>
      </c>
      <c r="ME1115" s="379" t="s">
        <v>3783</v>
      </c>
      <c r="MF1115" s="379" t="s">
        <v>3783</v>
      </c>
      <c r="MG1115" s="379" t="s">
        <v>3783</v>
      </c>
      <c r="MH1115" s="379" t="s">
        <v>3783</v>
      </c>
      <c r="MI1115" s="379" t="s">
        <v>3783</v>
      </c>
      <c r="MJ1115" s="379" t="s">
        <v>3783</v>
      </c>
      <c r="MK1115" s="379" t="s">
        <v>3783</v>
      </c>
      <c r="ML1115" s="379" t="s">
        <v>3783</v>
      </c>
      <c r="MM1115" s="379" t="s">
        <v>3783</v>
      </c>
      <c r="MN1115" s="379" t="s">
        <v>3783</v>
      </c>
      <c r="MO1115" s="379" t="s">
        <v>3783</v>
      </c>
      <c r="MP1115" s="379" t="s">
        <v>3783</v>
      </c>
      <c r="MQ1115" s="379" t="s">
        <v>3783</v>
      </c>
      <c r="MR1115" s="379" t="s">
        <v>3783</v>
      </c>
      <c r="MS1115" s="379" t="s">
        <v>3783</v>
      </c>
      <c r="MT1115" s="379" t="s">
        <v>3783</v>
      </c>
      <c r="MU1115" s="379" t="s">
        <v>3783</v>
      </c>
      <c r="MV1115" s="379" t="s">
        <v>3783</v>
      </c>
      <c r="MW1115" s="379" t="s">
        <v>3783</v>
      </c>
      <c r="MX1115" s="379" t="s">
        <v>3783</v>
      </c>
      <c r="MY1115" s="379" t="s">
        <v>3783</v>
      </c>
      <c r="MZ1115" s="379" t="s">
        <v>3783</v>
      </c>
      <c r="NA1115" s="379" t="s">
        <v>3783</v>
      </c>
      <c r="NB1115" s="379" t="s">
        <v>3783</v>
      </c>
      <c r="NC1115" s="379" t="s">
        <v>3783</v>
      </c>
      <c r="ND1115" s="379" t="s">
        <v>3783</v>
      </c>
      <c r="NE1115" s="379" t="s">
        <v>3783</v>
      </c>
      <c r="NF1115" s="379" t="s">
        <v>3783</v>
      </c>
      <c r="NG1115" s="379" t="s">
        <v>3783</v>
      </c>
      <c r="NH1115" s="379" t="s">
        <v>3783</v>
      </c>
      <c r="NI1115" s="379" t="s">
        <v>3783</v>
      </c>
      <c r="NJ1115" s="379" t="s">
        <v>3783</v>
      </c>
      <c r="NK1115" s="379" t="s">
        <v>3783</v>
      </c>
      <c r="NL1115" s="379" t="s">
        <v>3783</v>
      </c>
      <c r="NM1115" s="379" t="s">
        <v>3783</v>
      </c>
      <c r="NN1115" s="379" t="s">
        <v>3783</v>
      </c>
      <c r="NO1115" s="379" t="s">
        <v>3783</v>
      </c>
      <c r="NP1115" s="379" t="s">
        <v>3783</v>
      </c>
      <c r="NQ1115" s="379" t="s">
        <v>3783</v>
      </c>
      <c r="NR1115" s="379" t="s">
        <v>3783</v>
      </c>
      <c r="NS1115" s="379" t="s">
        <v>3783</v>
      </c>
      <c r="NT1115" s="379" t="s">
        <v>3783</v>
      </c>
      <c r="NU1115" s="379" t="s">
        <v>3783</v>
      </c>
      <c r="NV1115" s="379" t="s">
        <v>3783</v>
      </c>
      <c r="NW1115" s="379" t="s">
        <v>3783</v>
      </c>
      <c r="NX1115" s="379" t="s">
        <v>3783</v>
      </c>
      <c r="NY1115" s="379" t="s">
        <v>3783</v>
      </c>
      <c r="NZ1115" s="379" t="s">
        <v>3783</v>
      </c>
      <c r="OA1115" s="379" t="s">
        <v>3783</v>
      </c>
      <c r="OB1115" s="379" t="s">
        <v>3783</v>
      </c>
      <c r="OC1115" s="379" t="s">
        <v>3783</v>
      </c>
      <c r="OD1115" s="379" t="s">
        <v>3783</v>
      </c>
      <c r="OE1115" s="379" t="s">
        <v>3783</v>
      </c>
      <c r="OF1115" s="379" t="s">
        <v>3783</v>
      </c>
      <c r="OG1115" s="379" t="s">
        <v>3783</v>
      </c>
      <c r="OH1115" s="379" t="s">
        <v>3783</v>
      </c>
      <c r="OI1115" s="379" t="s">
        <v>3783</v>
      </c>
      <c r="OJ1115" s="379" t="s">
        <v>3783</v>
      </c>
      <c r="OK1115" s="379" t="s">
        <v>3783</v>
      </c>
      <c r="OL1115" s="379" t="s">
        <v>3783</v>
      </c>
      <c r="OM1115" s="379" t="s">
        <v>3783</v>
      </c>
      <c r="ON1115" s="379" t="s">
        <v>3783</v>
      </c>
      <c r="OO1115" s="379" t="s">
        <v>3783</v>
      </c>
      <c r="OP1115" s="379" t="s">
        <v>3783</v>
      </c>
      <c r="OQ1115" s="379" t="s">
        <v>3783</v>
      </c>
      <c r="OR1115" s="379" t="s">
        <v>3783</v>
      </c>
      <c r="OS1115" s="379" t="s">
        <v>3783</v>
      </c>
      <c r="OT1115" s="379" t="s">
        <v>3783</v>
      </c>
      <c r="OU1115" s="379" t="s">
        <v>3783</v>
      </c>
      <c r="OV1115" s="379" t="s">
        <v>3783</v>
      </c>
      <c r="OW1115" s="379" t="s">
        <v>3783</v>
      </c>
      <c r="OX1115" s="379" t="s">
        <v>3783</v>
      </c>
      <c r="OY1115" s="379" t="s">
        <v>3783</v>
      </c>
      <c r="OZ1115" s="379" t="s">
        <v>3783</v>
      </c>
      <c r="PA1115" s="379" t="s">
        <v>3783</v>
      </c>
      <c r="PB1115" s="379" t="s">
        <v>3783</v>
      </c>
      <c r="PC1115" s="379" t="s">
        <v>3783</v>
      </c>
      <c r="PD1115" s="379" t="s">
        <v>3783</v>
      </c>
      <c r="PE1115" s="379" t="s">
        <v>3783</v>
      </c>
      <c r="PF1115" s="379" t="s">
        <v>3783</v>
      </c>
      <c r="PG1115" s="379" t="s">
        <v>3783</v>
      </c>
      <c r="PH1115" s="379" t="s">
        <v>3783</v>
      </c>
      <c r="PI1115" s="379" t="s">
        <v>3783</v>
      </c>
      <c r="PJ1115" s="379" t="s">
        <v>3783</v>
      </c>
      <c r="PK1115" s="379" t="s">
        <v>3783</v>
      </c>
      <c r="PL1115" s="379" t="s">
        <v>3783</v>
      </c>
      <c r="PM1115" s="379" t="s">
        <v>3783</v>
      </c>
      <c r="PN1115" s="379" t="s">
        <v>3783</v>
      </c>
      <c r="PO1115" s="379" t="s">
        <v>3783</v>
      </c>
      <c r="PP1115" s="379" t="s">
        <v>3783</v>
      </c>
      <c r="PQ1115" s="379" t="s">
        <v>3783</v>
      </c>
      <c r="PR1115" s="379" t="s">
        <v>3783</v>
      </c>
      <c r="PS1115" s="379" t="s">
        <v>3783</v>
      </c>
      <c r="PT1115" s="379" t="s">
        <v>3783</v>
      </c>
      <c r="PU1115" s="379" t="s">
        <v>3783</v>
      </c>
      <c r="PV1115" s="379" t="s">
        <v>3783</v>
      </c>
      <c r="PW1115" s="379" t="s">
        <v>3783</v>
      </c>
      <c r="PX1115" s="379" t="s">
        <v>3783</v>
      </c>
      <c r="PY1115" s="379" t="s">
        <v>3783</v>
      </c>
      <c r="PZ1115" s="379" t="s">
        <v>3783</v>
      </c>
      <c r="QA1115" s="379" t="s">
        <v>3783</v>
      </c>
      <c r="QB1115" s="379" t="s">
        <v>3783</v>
      </c>
      <c r="QC1115" s="379" t="s">
        <v>3783</v>
      </c>
      <c r="QD1115" s="379" t="s">
        <v>3783</v>
      </c>
      <c r="QE1115" s="379" t="s">
        <v>3783</v>
      </c>
      <c r="QF1115" s="379" t="s">
        <v>3783</v>
      </c>
      <c r="QG1115" s="379" t="s">
        <v>3783</v>
      </c>
      <c r="QH1115" s="379" t="s">
        <v>3783</v>
      </c>
      <c r="QI1115" s="379" t="s">
        <v>3783</v>
      </c>
      <c r="QJ1115" s="379" t="s">
        <v>3783</v>
      </c>
      <c r="QK1115" s="379" t="s">
        <v>3783</v>
      </c>
      <c r="QL1115" s="379" t="s">
        <v>3783</v>
      </c>
      <c r="QM1115" s="379" t="s">
        <v>3783</v>
      </c>
      <c r="QN1115" s="379" t="s">
        <v>3783</v>
      </c>
      <c r="QO1115" s="379" t="s">
        <v>3783</v>
      </c>
      <c r="QP1115" s="379" t="s">
        <v>3783</v>
      </c>
      <c r="QQ1115" s="379" t="s">
        <v>3783</v>
      </c>
      <c r="QR1115" s="379" t="s">
        <v>3783</v>
      </c>
      <c r="QS1115" s="379" t="s">
        <v>3783</v>
      </c>
      <c r="QT1115" s="379" t="s">
        <v>3783</v>
      </c>
      <c r="QU1115" s="379" t="s">
        <v>3783</v>
      </c>
      <c r="QV1115" s="379" t="s">
        <v>3783</v>
      </c>
      <c r="QW1115" s="379" t="s">
        <v>3783</v>
      </c>
      <c r="QX1115" s="379" t="s">
        <v>3783</v>
      </c>
      <c r="QY1115" s="379" t="s">
        <v>3783</v>
      </c>
      <c r="QZ1115" s="379" t="s">
        <v>3783</v>
      </c>
      <c r="RA1115" s="379" t="s">
        <v>3783</v>
      </c>
      <c r="RB1115" s="379" t="s">
        <v>3783</v>
      </c>
      <c r="RC1115" s="379" t="s">
        <v>3783</v>
      </c>
      <c r="RD1115" s="379" t="s">
        <v>3783</v>
      </c>
      <c r="RE1115" s="379" t="s">
        <v>3783</v>
      </c>
      <c r="RF1115" s="379" t="s">
        <v>3783</v>
      </c>
      <c r="RG1115" s="379" t="s">
        <v>3783</v>
      </c>
      <c r="RH1115" s="379" t="s">
        <v>3783</v>
      </c>
      <c r="RI1115" s="379" t="s">
        <v>3783</v>
      </c>
      <c r="RJ1115" s="379" t="s">
        <v>3783</v>
      </c>
      <c r="RK1115" s="379" t="s">
        <v>3783</v>
      </c>
      <c r="RL1115" s="379" t="s">
        <v>3783</v>
      </c>
      <c r="RM1115" s="379" t="s">
        <v>3783</v>
      </c>
      <c r="RN1115" s="379" t="s">
        <v>3783</v>
      </c>
      <c r="RO1115" s="379" t="s">
        <v>3783</v>
      </c>
      <c r="RP1115" s="379" t="s">
        <v>3783</v>
      </c>
      <c r="RQ1115" s="379" t="s">
        <v>3783</v>
      </c>
      <c r="RR1115" s="379" t="s">
        <v>3783</v>
      </c>
      <c r="RS1115" s="379" t="s">
        <v>3783</v>
      </c>
      <c r="RT1115" s="379" t="s">
        <v>3783</v>
      </c>
      <c r="RU1115" s="379" t="s">
        <v>3783</v>
      </c>
      <c r="RV1115" s="379" t="s">
        <v>3783</v>
      </c>
      <c r="RW1115" s="379" t="s">
        <v>3783</v>
      </c>
      <c r="RX1115" s="379" t="s">
        <v>3783</v>
      </c>
      <c r="RY1115" s="379" t="s">
        <v>3783</v>
      </c>
      <c r="RZ1115" s="379" t="s">
        <v>3783</v>
      </c>
      <c r="SA1115" s="379" t="s">
        <v>3783</v>
      </c>
      <c r="SB1115" s="379" t="s">
        <v>3783</v>
      </c>
      <c r="SC1115" s="379" t="s">
        <v>3783</v>
      </c>
      <c r="SD1115" s="379" t="s">
        <v>3783</v>
      </c>
      <c r="SE1115" s="379" t="s">
        <v>3783</v>
      </c>
      <c r="SF1115" s="379" t="s">
        <v>3783</v>
      </c>
      <c r="SG1115" s="379" t="s">
        <v>3783</v>
      </c>
      <c r="SH1115" s="379" t="s">
        <v>3783</v>
      </c>
      <c r="SI1115" s="379" t="s">
        <v>3783</v>
      </c>
      <c r="SJ1115" s="379" t="s">
        <v>3783</v>
      </c>
      <c r="SK1115" s="379" t="s">
        <v>3783</v>
      </c>
      <c r="SL1115" s="379" t="s">
        <v>3783</v>
      </c>
      <c r="SM1115" s="379" t="s">
        <v>3783</v>
      </c>
      <c r="SN1115" s="379" t="s">
        <v>3783</v>
      </c>
      <c r="SO1115" s="379" t="s">
        <v>3783</v>
      </c>
      <c r="SP1115" s="379" t="s">
        <v>3783</v>
      </c>
      <c r="SQ1115" s="379" t="s">
        <v>3783</v>
      </c>
      <c r="SR1115" s="379" t="s">
        <v>3783</v>
      </c>
      <c r="SS1115" s="379" t="s">
        <v>3783</v>
      </c>
      <c r="ST1115" s="379" t="s">
        <v>3783</v>
      </c>
      <c r="SU1115" s="379" t="s">
        <v>3783</v>
      </c>
      <c r="SV1115" s="379" t="s">
        <v>3783</v>
      </c>
      <c r="SW1115" s="379" t="s">
        <v>3783</v>
      </c>
      <c r="SX1115" s="379" t="s">
        <v>3783</v>
      </c>
      <c r="SY1115" s="379" t="s">
        <v>3783</v>
      </c>
      <c r="SZ1115" s="379" t="s">
        <v>3783</v>
      </c>
      <c r="TA1115" s="379" t="s">
        <v>3783</v>
      </c>
      <c r="TB1115" s="379" t="s">
        <v>3783</v>
      </c>
      <c r="TC1115" s="379" t="s">
        <v>3783</v>
      </c>
      <c r="TD1115" s="379" t="s">
        <v>3783</v>
      </c>
      <c r="TE1115" s="379" t="s">
        <v>3783</v>
      </c>
      <c r="TF1115" s="379" t="s">
        <v>3783</v>
      </c>
      <c r="TG1115" s="379" t="s">
        <v>3783</v>
      </c>
      <c r="TH1115" s="379" t="s">
        <v>3783</v>
      </c>
      <c r="TI1115" s="379" t="s">
        <v>3783</v>
      </c>
      <c r="TJ1115" s="379" t="s">
        <v>3783</v>
      </c>
      <c r="TK1115" s="379" t="s">
        <v>3783</v>
      </c>
      <c r="TL1115" s="379" t="s">
        <v>3783</v>
      </c>
      <c r="TM1115" s="379" t="s">
        <v>3783</v>
      </c>
      <c r="TN1115" s="379" t="s">
        <v>3783</v>
      </c>
      <c r="TO1115" s="379" t="s">
        <v>3783</v>
      </c>
      <c r="TP1115" s="379" t="s">
        <v>3783</v>
      </c>
      <c r="TQ1115" s="379" t="s">
        <v>3783</v>
      </c>
      <c r="TR1115" s="379" t="s">
        <v>3783</v>
      </c>
      <c r="TS1115" s="379" t="s">
        <v>3783</v>
      </c>
      <c r="TT1115" s="379" t="s">
        <v>3783</v>
      </c>
      <c r="TU1115" s="379" t="s">
        <v>3783</v>
      </c>
      <c r="TV1115" s="379" t="s">
        <v>3783</v>
      </c>
      <c r="TW1115" s="379" t="s">
        <v>3783</v>
      </c>
      <c r="TX1115" s="379" t="s">
        <v>3783</v>
      </c>
      <c r="TY1115" s="379" t="s">
        <v>3783</v>
      </c>
      <c r="TZ1115" s="379" t="s">
        <v>3783</v>
      </c>
      <c r="UA1115" s="379" t="s">
        <v>3783</v>
      </c>
      <c r="UB1115" s="379" t="s">
        <v>3783</v>
      </c>
      <c r="UC1115" s="379" t="s">
        <v>3783</v>
      </c>
      <c r="UD1115" s="379" t="s">
        <v>3783</v>
      </c>
      <c r="UE1115" s="379" t="s">
        <v>3783</v>
      </c>
      <c r="UF1115" s="379" t="s">
        <v>3783</v>
      </c>
      <c r="UG1115" s="379" t="s">
        <v>3783</v>
      </c>
      <c r="UH1115" s="379" t="s">
        <v>3783</v>
      </c>
      <c r="UI1115" s="379" t="s">
        <v>3783</v>
      </c>
      <c r="UJ1115" s="379" t="s">
        <v>3783</v>
      </c>
      <c r="UK1115" s="379" t="s">
        <v>3783</v>
      </c>
      <c r="UL1115" s="379" t="s">
        <v>3783</v>
      </c>
      <c r="UM1115" s="379" t="s">
        <v>3783</v>
      </c>
      <c r="UN1115" s="379" t="s">
        <v>3783</v>
      </c>
      <c r="UO1115" s="379" t="s">
        <v>3783</v>
      </c>
      <c r="UP1115" s="379" t="s">
        <v>3783</v>
      </c>
      <c r="UQ1115" s="379" t="s">
        <v>3783</v>
      </c>
      <c r="UR1115" s="379" t="s">
        <v>3783</v>
      </c>
      <c r="US1115" s="379" t="s">
        <v>3783</v>
      </c>
      <c r="UT1115" s="379" t="s">
        <v>3783</v>
      </c>
      <c r="UU1115" s="379" t="s">
        <v>3783</v>
      </c>
      <c r="UV1115" s="379" t="s">
        <v>3783</v>
      </c>
      <c r="UW1115" s="379" t="s">
        <v>3783</v>
      </c>
      <c r="UX1115" s="379" t="s">
        <v>3783</v>
      </c>
      <c r="UY1115" s="379" t="s">
        <v>3783</v>
      </c>
      <c r="UZ1115" s="379" t="s">
        <v>3783</v>
      </c>
      <c r="VA1115" s="379" t="s">
        <v>3783</v>
      </c>
      <c r="VB1115" s="379" t="s">
        <v>3783</v>
      </c>
      <c r="VC1115" s="379" t="s">
        <v>3783</v>
      </c>
      <c r="VD1115" s="379" t="s">
        <v>3783</v>
      </c>
      <c r="VE1115" s="379" t="s">
        <v>3783</v>
      </c>
      <c r="VF1115" s="379" t="s">
        <v>3783</v>
      </c>
      <c r="VG1115" s="379" t="s">
        <v>3783</v>
      </c>
      <c r="VH1115" s="379" t="s">
        <v>3783</v>
      </c>
      <c r="VI1115" s="379" t="s">
        <v>3783</v>
      </c>
      <c r="VJ1115" s="379" t="s">
        <v>3783</v>
      </c>
      <c r="VK1115" s="379" t="s">
        <v>3783</v>
      </c>
      <c r="VL1115" s="379" t="s">
        <v>3783</v>
      </c>
      <c r="VM1115" s="379" t="s">
        <v>3783</v>
      </c>
      <c r="VN1115" s="379" t="s">
        <v>3783</v>
      </c>
      <c r="VO1115" s="379" t="s">
        <v>3783</v>
      </c>
      <c r="VP1115" s="379" t="s">
        <v>3783</v>
      </c>
      <c r="VQ1115" s="379" t="s">
        <v>3783</v>
      </c>
      <c r="VR1115" s="379" t="s">
        <v>3783</v>
      </c>
      <c r="VS1115" s="379" t="s">
        <v>3783</v>
      </c>
      <c r="VT1115" s="379" t="s">
        <v>3783</v>
      </c>
      <c r="VU1115" s="379" t="s">
        <v>3783</v>
      </c>
      <c r="VV1115" s="379" t="s">
        <v>3783</v>
      </c>
      <c r="VW1115" s="379" t="s">
        <v>3783</v>
      </c>
      <c r="VX1115" s="379" t="s">
        <v>3783</v>
      </c>
      <c r="VY1115" s="379" t="s">
        <v>3783</v>
      </c>
      <c r="VZ1115" s="379" t="s">
        <v>3783</v>
      </c>
      <c r="WA1115" s="379" t="s">
        <v>3783</v>
      </c>
      <c r="WB1115" s="379" t="s">
        <v>3783</v>
      </c>
      <c r="WC1115" s="379" t="s">
        <v>3783</v>
      </c>
      <c r="WD1115" s="379" t="s">
        <v>3783</v>
      </c>
      <c r="WE1115" s="379" t="s">
        <v>3783</v>
      </c>
      <c r="WF1115" s="379" t="s">
        <v>3783</v>
      </c>
      <c r="WG1115" s="379" t="s">
        <v>3783</v>
      </c>
      <c r="WH1115" s="379" t="s">
        <v>3783</v>
      </c>
      <c r="WI1115" s="379" t="s">
        <v>3783</v>
      </c>
      <c r="WJ1115" s="379" t="s">
        <v>3783</v>
      </c>
      <c r="WK1115" s="379" t="s">
        <v>3783</v>
      </c>
      <c r="WL1115" s="379" t="s">
        <v>3783</v>
      </c>
      <c r="WM1115" s="379" t="s">
        <v>3783</v>
      </c>
      <c r="WN1115" s="379" t="s">
        <v>3783</v>
      </c>
      <c r="WO1115" s="379" t="s">
        <v>3783</v>
      </c>
      <c r="WP1115" s="379" t="s">
        <v>3783</v>
      </c>
      <c r="WQ1115" s="379" t="s">
        <v>3783</v>
      </c>
      <c r="WR1115" s="379" t="s">
        <v>3783</v>
      </c>
      <c r="WS1115" s="379" t="s">
        <v>3783</v>
      </c>
      <c r="WT1115" s="379" t="s">
        <v>3783</v>
      </c>
      <c r="WU1115" s="379" t="s">
        <v>3783</v>
      </c>
      <c r="WV1115" s="379" t="s">
        <v>3783</v>
      </c>
      <c r="WW1115" s="379" t="s">
        <v>3783</v>
      </c>
      <c r="WX1115" s="379" t="s">
        <v>3783</v>
      </c>
      <c r="WY1115" s="379" t="s">
        <v>3783</v>
      </c>
      <c r="WZ1115" s="379" t="s">
        <v>3783</v>
      </c>
      <c r="XA1115" s="379" t="s">
        <v>3783</v>
      </c>
      <c r="XB1115" s="379" t="s">
        <v>3783</v>
      </c>
      <c r="XC1115" s="379" t="s">
        <v>3783</v>
      </c>
      <c r="XD1115" s="379" t="s">
        <v>3783</v>
      </c>
      <c r="XE1115" s="379" t="s">
        <v>3783</v>
      </c>
      <c r="XF1115" s="379" t="s">
        <v>3783</v>
      </c>
      <c r="XG1115" s="379" t="s">
        <v>3783</v>
      </c>
      <c r="XH1115" s="379" t="s">
        <v>3783</v>
      </c>
      <c r="XI1115" s="379" t="s">
        <v>3783</v>
      </c>
      <c r="XJ1115" s="379" t="s">
        <v>3783</v>
      </c>
      <c r="XK1115" s="379" t="s">
        <v>3783</v>
      </c>
      <c r="XL1115" s="379" t="s">
        <v>3783</v>
      </c>
      <c r="XM1115" s="379" t="s">
        <v>3783</v>
      </c>
      <c r="XN1115" s="379" t="s">
        <v>3783</v>
      </c>
      <c r="XO1115" s="379" t="s">
        <v>3783</v>
      </c>
      <c r="XP1115" s="379" t="s">
        <v>3783</v>
      </c>
      <c r="XQ1115" s="379" t="s">
        <v>3783</v>
      </c>
      <c r="XR1115" s="379" t="s">
        <v>3783</v>
      </c>
      <c r="XS1115" s="379" t="s">
        <v>3783</v>
      </c>
      <c r="XT1115" s="379" t="s">
        <v>3783</v>
      </c>
      <c r="XU1115" s="379" t="s">
        <v>3783</v>
      </c>
      <c r="XV1115" s="379" t="s">
        <v>3783</v>
      </c>
      <c r="XW1115" s="379" t="s">
        <v>3783</v>
      </c>
      <c r="XX1115" s="379" t="s">
        <v>3783</v>
      </c>
      <c r="XY1115" s="379" t="s">
        <v>3783</v>
      </c>
      <c r="XZ1115" s="379" t="s">
        <v>3783</v>
      </c>
      <c r="YA1115" s="379" t="s">
        <v>3783</v>
      </c>
      <c r="YB1115" s="379" t="s">
        <v>3783</v>
      </c>
      <c r="YC1115" s="379" t="s">
        <v>3783</v>
      </c>
      <c r="YD1115" s="379" t="s">
        <v>3783</v>
      </c>
      <c r="YE1115" s="379" t="s">
        <v>3783</v>
      </c>
      <c r="YF1115" s="379" t="s">
        <v>3783</v>
      </c>
      <c r="YG1115" s="379" t="s">
        <v>3783</v>
      </c>
      <c r="YH1115" s="379" t="s">
        <v>3783</v>
      </c>
      <c r="YI1115" s="379" t="s">
        <v>3783</v>
      </c>
      <c r="YJ1115" s="379" t="s">
        <v>3783</v>
      </c>
      <c r="YK1115" s="379" t="s">
        <v>3783</v>
      </c>
      <c r="YL1115" s="379" t="s">
        <v>3783</v>
      </c>
      <c r="YM1115" s="379" t="s">
        <v>3783</v>
      </c>
      <c r="YN1115" s="379" t="s">
        <v>3783</v>
      </c>
      <c r="YO1115" s="379" t="s">
        <v>3783</v>
      </c>
      <c r="YP1115" s="379" t="s">
        <v>3783</v>
      </c>
      <c r="YQ1115" s="379" t="s">
        <v>3783</v>
      </c>
      <c r="YR1115" s="379" t="s">
        <v>3783</v>
      </c>
      <c r="YS1115" s="379" t="s">
        <v>3783</v>
      </c>
      <c r="YT1115" s="379" t="s">
        <v>3783</v>
      </c>
      <c r="YU1115" s="379" t="s">
        <v>3783</v>
      </c>
      <c r="YV1115" s="379" t="s">
        <v>3783</v>
      </c>
      <c r="YW1115" s="379" t="s">
        <v>3783</v>
      </c>
      <c r="YX1115" s="379" t="s">
        <v>3783</v>
      </c>
      <c r="YY1115" s="379" t="s">
        <v>3783</v>
      </c>
      <c r="YZ1115" s="379" t="s">
        <v>3783</v>
      </c>
      <c r="ZA1115" s="379" t="s">
        <v>3783</v>
      </c>
      <c r="ZB1115" s="379" t="s">
        <v>3783</v>
      </c>
      <c r="ZC1115" s="379" t="s">
        <v>3783</v>
      </c>
      <c r="ZD1115" s="379" t="s">
        <v>3783</v>
      </c>
      <c r="ZE1115" s="379" t="s">
        <v>3783</v>
      </c>
      <c r="ZF1115" s="379" t="s">
        <v>3783</v>
      </c>
      <c r="ZG1115" s="379" t="s">
        <v>3783</v>
      </c>
      <c r="ZH1115" s="379" t="s">
        <v>3783</v>
      </c>
      <c r="ZI1115" s="379" t="s">
        <v>3783</v>
      </c>
      <c r="ZJ1115" s="379" t="s">
        <v>3783</v>
      </c>
      <c r="ZK1115" s="379" t="s">
        <v>3783</v>
      </c>
      <c r="ZL1115" s="379" t="s">
        <v>3783</v>
      </c>
      <c r="ZM1115" s="379" t="s">
        <v>3783</v>
      </c>
      <c r="ZN1115" s="379" t="s">
        <v>3783</v>
      </c>
      <c r="ZO1115" s="379" t="s">
        <v>3783</v>
      </c>
      <c r="ZP1115" s="379" t="s">
        <v>3783</v>
      </c>
      <c r="ZQ1115" s="379" t="s">
        <v>3783</v>
      </c>
      <c r="ZR1115" s="379" t="s">
        <v>3783</v>
      </c>
      <c r="ZS1115" s="379" t="s">
        <v>3783</v>
      </c>
      <c r="ZT1115" s="379" t="s">
        <v>3783</v>
      </c>
      <c r="ZU1115" s="379" t="s">
        <v>3783</v>
      </c>
      <c r="ZV1115" s="379" t="s">
        <v>3783</v>
      </c>
      <c r="ZW1115" s="379" t="s">
        <v>3783</v>
      </c>
      <c r="ZX1115" s="379" t="s">
        <v>3783</v>
      </c>
      <c r="ZY1115" s="379" t="s">
        <v>3783</v>
      </c>
      <c r="ZZ1115" s="379" t="s">
        <v>3783</v>
      </c>
      <c r="AAA1115" s="379" t="s">
        <v>3783</v>
      </c>
      <c r="AAB1115" s="379" t="s">
        <v>3783</v>
      </c>
      <c r="AAC1115" s="379" t="s">
        <v>3783</v>
      </c>
      <c r="AAD1115" s="379" t="s">
        <v>3783</v>
      </c>
      <c r="AAE1115" s="379" t="s">
        <v>3783</v>
      </c>
      <c r="AAF1115" s="379" t="s">
        <v>3783</v>
      </c>
      <c r="AAG1115" s="379" t="s">
        <v>3783</v>
      </c>
      <c r="AAH1115" s="379" t="s">
        <v>3783</v>
      </c>
      <c r="AAI1115" s="379" t="s">
        <v>3783</v>
      </c>
      <c r="AAJ1115" s="379" t="s">
        <v>3783</v>
      </c>
      <c r="AAK1115" s="379" t="s">
        <v>3783</v>
      </c>
      <c r="AAL1115" s="379" t="s">
        <v>3783</v>
      </c>
      <c r="AAM1115" s="379" t="s">
        <v>3783</v>
      </c>
      <c r="AAN1115" s="379" t="s">
        <v>3783</v>
      </c>
      <c r="AAO1115" s="379" t="s">
        <v>3783</v>
      </c>
      <c r="AAP1115" s="379" t="s">
        <v>3783</v>
      </c>
      <c r="AAQ1115" s="379" t="s">
        <v>3783</v>
      </c>
      <c r="AAR1115" s="379" t="s">
        <v>3783</v>
      </c>
      <c r="AAS1115" s="379" t="s">
        <v>3783</v>
      </c>
      <c r="AAT1115" s="379" t="s">
        <v>3783</v>
      </c>
      <c r="AAU1115" s="379" t="s">
        <v>3783</v>
      </c>
      <c r="AAV1115" s="379" t="s">
        <v>3783</v>
      </c>
      <c r="AAW1115" s="379" t="s">
        <v>3783</v>
      </c>
      <c r="AAX1115" s="379" t="s">
        <v>3783</v>
      </c>
      <c r="AAY1115" s="379" t="s">
        <v>3783</v>
      </c>
      <c r="AAZ1115" s="379" t="s">
        <v>3783</v>
      </c>
      <c r="ABA1115" s="379" t="s">
        <v>3783</v>
      </c>
      <c r="ABB1115" s="379" t="s">
        <v>3783</v>
      </c>
      <c r="ABC1115" s="379" t="s">
        <v>3783</v>
      </c>
      <c r="ABD1115" s="379" t="s">
        <v>3783</v>
      </c>
      <c r="ABE1115" s="379" t="s">
        <v>3783</v>
      </c>
      <c r="ABF1115" s="379" t="s">
        <v>3783</v>
      </c>
      <c r="ABG1115" s="379" t="s">
        <v>3783</v>
      </c>
      <c r="ABH1115" s="379" t="s">
        <v>3783</v>
      </c>
      <c r="ABI1115" s="379" t="s">
        <v>3783</v>
      </c>
      <c r="ABJ1115" s="379" t="s">
        <v>3783</v>
      </c>
      <c r="ABK1115" s="379" t="s">
        <v>3783</v>
      </c>
      <c r="ABL1115" s="379" t="s">
        <v>3783</v>
      </c>
      <c r="ABM1115" s="379" t="s">
        <v>3783</v>
      </c>
      <c r="ABN1115" s="379" t="s">
        <v>3783</v>
      </c>
      <c r="ABO1115" s="379" t="s">
        <v>3783</v>
      </c>
      <c r="ABP1115" s="379" t="s">
        <v>3783</v>
      </c>
      <c r="ABQ1115" s="379" t="s">
        <v>3783</v>
      </c>
      <c r="ABR1115" s="379" t="s">
        <v>3783</v>
      </c>
      <c r="ABS1115" s="379" t="s">
        <v>3783</v>
      </c>
      <c r="ABT1115" s="379" t="s">
        <v>3783</v>
      </c>
      <c r="ABU1115" s="379" t="s">
        <v>3783</v>
      </c>
      <c r="ABV1115" s="379" t="s">
        <v>3783</v>
      </c>
      <c r="ABW1115" s="379" t="s">
        <v>3783</v>
      </c>
      <c r="ABX1115" s="379" t="s">
        <v>3783</v>
      </c>
      <c r="ABY1115" s="379" t="s">
        <v>3783</v>
      </c>
      <c r="ABZ1115" s="379" t="s">
        <v>3783</v>
      </c>
      <c r="ACA1115" s="379" t="s">
        <v>3783</v>
      </c>
      <c r="ACB1115" s="379" t="s">
        <v>3783</v>
      </c>
      <c r="ACC1115" s="379" t="s">
        <v>3783</v>
      </c>
      <c r="ACD1115" s="379" t="s">
        <v>3783</v>
      </c>
      <c r="ACE1115" s="379" t="s">
        <v>3783</v>
      </c>
      <c r="ACF1115" s="379" t="s">
        <v>3783</v>
      </c>
      <c r="ACG1115" s="379" t="s">
        <v>3783</v>
      </c>
      <c r="ACH1115" s="379" t="s">
        <v>3783</v>
      </c>
      <c r="ACI1115" s="379" t="s">
        <v>3783</v>
      </c>
      <c r="ACJ1115" s="379" t="s">
        <v>3783</v>
      </c>
      <c r="ACK1115" s="379" t="s">
        <v>3783</v>
      </c>
      <c r="ACL1115" s="379" t="s">
        <v>3783</v>
      </c>
      <c r="ACM1115" s="379" t="s">
        <v>3783</v>
      </c>
      <c r="ACN1115" s="379" t="s">
        <v>3783</v>
      </c>
      <c r="ACO1115" s="379" t="s">
        <v>3783</v>
      </c>
      <c r="ACP1115" s="379" t="s">
        <v>3783</v>
      </c>
      <c r="ACQ1115" s="379" t="s">
        <v>3783</v>
      </c>
      <c r="ACR1115" s="379" t="s">
        <v>3783</v>
      </c>
      <c r="ACS1115" s="379" t="s">
        <v>3783</v>
      </c>
      <c r="ACT1115" s="379" t="s">
        <v>3783</v>
      </c>
      <c r="ACU1115" s="379" t="s">
        <v>3783</v>
      </c>
      <c r="ACV1115" s="379" t="s">
        <v>3783</v>
      </c>
      <c r="ACW1115" s="379" t="s">
        <v>3783</v>
      </c>
      <c r="ACX1115" s="379" t="s">
        <v>3783</v>
      </c>
      <c r="ACY1115" s="379" t="s">
        <v>3783</v>
      </c>
      <c r="ACZ1115" s="379" t="s">
        <v>3783</v>
      </c>
      <c r="ADA1115" s="379" t="s">
        <v>3783</v>
      </c>
      <c r="ADB1115" s="379" t="s">
        <v>3783</v>
      </c>
      <c r="ADC1115" s="379" t="s">
        <v>3783</v>
      </c>
      <c r="ADD1115" s="379" t="s">
        <v>3783</v>
      </c>
      <c r="ADE1115" s="379" t="s">
        <v>3783</v>
      </c>
      <c r="ADF1115" s="379" t="s">
        <v>3783</v>
      </c>
      <c r="ADG1115" s="379" t="s">
        <v>3783</v>
      </c>
      <c r="ADH1115" s="379" t="s">
        <v>3783</v>
      </c>
      <c r="ADI1115" s="379" t="s">
        <v>3783</v>
      </c>
      <c r="ADJ1115" s="379" t="s">
        <v>3783</v>
      </c>
      <c r="ADK1115" s="379" t="s">
        <v>3783</v>
      </c>
      <c r="ADL1115" s="379" t="s">
        <v>3783</v>
      </c>
      <c r="ADM1115" s="379" t="s">
        <v>3783</v>
      </c>
      <c r="ADN1115" s="379" t="s">
        <v>3783</v>
      </c>
      <c r="ADO1115" s="379" t="s">
        <v>3783</v>
      </c>
      <c r="ADP1115" s="379" t="s">
        <v>3783</v>
      </c>
      <c r="ADQ1115" s="379" t="s">
        <v>3783</v>
      </c>
      <c r="ADR1115" s="379" t="s">
        <v>3783</v>
      </c>
      <c r="ADS1115" s="379" t="s">
        <v>3783</v>
      </c>
      <c r="ADT1115" s="379" t="s">
        <v>3783</v>
      </c>
      <c r="ADU1115" s="379" t="s">
        <v>3783</v>
      </c>
      <c r="ADV1115" s="379" t="s">
        <v>3783</v>
      </c>
      <c r="ADW1115" s="379" t="s">
        <v>3783</v>
      </c>
      <c r="ADX1115" s="379" t="s">
        <v>3783</v>
      </c>
      <c r="ADY1115" s="379" t="s">
        <v>3783</v>
      </c>
      <c r="ADZ1115" s="379" t="s">
        <v>3783</v>
      </c>
      <c r="AEA1115" s="379" t="s">
        <v>3783</v>
      </c>
      <c r="AEB1115" s="379" t="s">
        <v>3783</v>
      </c>
      <c r="AEC1115" s="379" t="s">
        <v>3783</v>
      </c>
      <c r="AED1115" s="379" t="s">
        <v>3783</v>
      </c>
      <c r="AEE1115" s="379" t="s">
        <v>3783</v>
      </c>
      <c r="AEF1115" s="379" t="s">
        <v>3783</v>
      </c>
      <c r="AEG1115" s="379" t="s">
        <v>3783</v>
      </c>
      <c r="AEH1115" s="379" t="s">
        <v>3783</v>
      </c>
      <c r="AEI1115" s="379" t="s">
        <v>3783</v>
      </c>
      <c r="AEJ1115" s="379" t="s">
        <v>3783</v>
      </c>
      <c r="AEK1115" s="379" t="s">
        <v>3783</v>
      </c>
      <c r="AEL1115" s="379" t="s">
        <v>3783</v>
      </c>
      <c r="AEM1115" s="379" t="s">
        <v>3783</v>
      </c>
      <c r="AEN1115" s="379" t="s">
        <v>3783</v>
      </c>
      <c r="AEO1115" s="379" t="s">
        <v>3783</v>
      </c>
      <c r="AEP1115" s="379" t="s">
        <v>3783</v>
      </c>
      <c r="AEQ1115" s="379" t="s">
        <v>3783</v>
      </c>
      <c r="AER1115" s="379" t="s">
        <v>3783</v>
      </c>
      <c r="AES1115" s="379" t="s">
        <v>3783</v>
      </c>
      <c r="AET1115" s="379" t="s">
        <v>3783</v>
      </c>
      <c r="AEU1115" s="379" t="s">
        <v>3783</v>
      </c>
      <c r="AEV1115" s="379" t="s">
        <v>3783</v>
      </c>
      <c r="AEW1115" s="379" t="s">
        <v>3783</v>
      </c>
      <c r="AEX1115" s="379" t="s">
        <v>3783</v>
      </c>
      <c r="AEY1115" s="379" t="s">
        <v>3783</v>
      </c>
      <c r="AEZ1115" s="379" t="s">
        <v>3783</v>
      </c>
      <c r="AFA1115" s="379" t="s">
        <v>3783</v>
      </c>
      <c r="AFB1115" s="379" t="s">
        <v>3783</v>
      </c>
      <c r="AFC1115" s="379" t="s">
        <v>3783</v>
      </c>
      <c r="AFD1115" s="379" t="s">
        <v>3783</v>
      </c>
      <c r="AFE1115" s="379" t="s">
        <v>3783</v>
      </c>
      <c r="AFF1115" s="379" t="s">
        <v>3783</v>
      </c>
      <c r="AFG1115" s="379" t="s">
        <v>3783</v>
      </c>
      <c r="AFH1115" s="379" t="s">
        <v>3783</v>
      </c>
      <c r="AFI1115" s="379" t="s">
        <v>3783</v>
      </c>
      <c r="AFJ1115" s="379" t="s">
        <v>3783</v>
      </c>
      <c r="AFK1115" s="379" t="s">
        <v>3783</v>
      </c>
      <c r="AFL1115" s="379" t="s">
        <v>3783</v>
      </c>
      <c r="AFM1115" s="379" t="s">
        <v>3783</v>
      </c>
      <c r="AFN1115" s="379" t="s">
        <v>3783</v>
      </c>
      <c r="AFO1115" s="379" t="s">
        <v>3783</v>
      </c>
      <c r="AFP1115" s="379" t="s">
        <v>3783</v>
      </c>
      <c r="AFQ1115" s="379" t="s">
        <v>3783</v>
      </c>
      <c r="AFR1115" s="379" t="s">
        <v>3783</v>
      </c>
      <c r="AFS1115" s="379" t="s">
        <v>3783</v>
      </c>
      <c r="AFT1115" s="379" t="s">
        <v>3783</v>
      </c>
      <c r="AFU1115" s="379" t="s">
        <v>3783</v>
      </c>
      <c r="AFV1115" s="379" t="s">
        <v>3783</v>
      </c>
      <c r="AFW1115" s="379" t="s">
        <v>3783</v>
      </c>
      <c r="AFX1115" s="379" t="s">
        <v>3783</v>
      </c>
      <c r="AFY1115" s="379" t="s">
        <v>3783</v>
      </c>
      <c r="AFZ1115" s="379" t="s">
        <v>3783</v>
      </c>
      <c r="AGA1115" s="379" t="s">
        <v>3783</v>
      </c>
      <c r="AGB1115" s="379" t="s">
        <v>3783</v>
      </c>
      <c r="AGC1115" s="379" t="s">
        <v>3783</v>
      </c>
      <c r="AGD1115" s="379" t="s">
        <v>3783</v>
      </c>
      <c r="AGE1115" s="379" t="s">
        <v>3783</v>
      </c>
      <c r="AGF1115" s="379" t="s">
        <v>3783</v>
      </c>
      <c r="AGG1115" s="379" t="s">
        <v>3783</v>
      </c>
      <c r="AGH1115" s="379" t="s">
        <v>3783</v>
      </c>
      <c r="AGI1115" s="379" t="s">
        <v>3783</v>
      </c>
      <c r="AGJ1115" s="379" t="s">
        <v>3783</v>
      </c>
      <c r="AGK1115" s="379" t="s">
        <v>3783</v>
      </c>
      <c r="AGL1115" s="379" t="s">
        <v>3783</v>
      </c>
      <c r="AGM1115" s="379" t="s">
        <v>3783</v>
      </c>
      <c r="AGN1115" s="379" t="s">
        <v>3783</v>
      </c>
      <c r="AGO1115" s="379" t="s">
        <v>3783</v>
      </c>
      <c r="AGP1115" s="379" t="s">
        <v>3783</v>
      </c>
      <c r="AGQ1115" s="379" t="s">
        <v>3783</v>
      </c>
      <c r="AGR1115" s="379" t="s">
        <v>3783</v>
      </c>
      <c r="AGS1115" s="379" t="s">
        <v>3783</v>
      </c>
      <c r="AGT1115" s="379" t="s">
        <v>3783</v>
      </c>
      <c r="AGU1115" s="379" t="s">
        <v>3783</v>
      </c>
      <c r="AGV1115" s="379" t="s">
        <v>3783</v>
      </c>
      <c r="AGW1115" s="379" t="s">
        <v>3783</v>
      </c>
      <c r="AGX1115" s="379" t="s">
        <v>3783</v>
      </c>
      <c r="AGY1115" s="379" t="s">
        <v>3783</v>
      </c>
      <c r="AGZ1115" s="379" t="s">
        <v>3783</v>
      </c>
      <c r="AHA1115" s="379" t="s">
        <v>3783</v>
      </c>
      <c r="AHB1115" s="379" t="s">
        <v>3783</v>
      </c>
      <c r="AHC1115" s="379" t="s">
        <v>3783</v>
      </c>
      <c r="AHD1115" s="379" t="s">
        <v>3783</v>
      </c>
      <c r="AHE1115" s="379" t="s">
        <v>3783</v>
      </c>
      <c r="AHF1115" s="379" t="s">
        <v>3783</v>
      </c>
      <c r="AHG1115" s="379" t="s">
        <v>3783</v>
      </c>
      <c r="AHH1115" s="379" t="s">
        <v>3783</v>
      </c>
      <c r="AHI1115" s="379" t="s">
        <v>3783</v>
      </c>
      <c r="AHJ1115" s="379" t="s">
        <v>3783</v>
      </c>
      <c r="AHK1115" s="379" t="s">
        <v>3783</v>
      </c>
      <c r="AHL1115" s="379" t="s">
        <v>3783</v>
      </c>
      <c r="AHM1115" s="379" t="s">
        <v>3783</v>
      </c>
      <c r="AHN1115" s="379" t="s">
        <v>3783</v>
      </c>
      <c r="AHO1115" s="379" t="s">
        <v>3783</v>
      </c>
      <c r="AHP1115" s="379" t="s">
        <v>3783</v>
      </c>
      <c r="AHQ1115" s="379" t="s">
        <v>3783</v>
      </c>
      <c r="AHR1115" s="379" t="s">
        <v>3783</v>
      </c>
      <c r="AHS1115" s="379" t="s">
        <v>3783</v>
      </c>
      <c r="AHT1115" s="379" t="s">
        <v>3783</v>
      </c>
      <c r="AHU1115" s="379" t="s">
        <v>3783</v>
      </c>
      <c r="AHV1115" s="379" t="s">
        <v>3783</v>
      </c>
      <c r="AHW1115" s="379" t="s">
        <v>3783</v>
      </c>
      <c r="AHX1115" s="379" t="s">
        <v>3783</v>
      </c>
      <c r="AHY1115" s="379" t="s">
        <v>3783</v>
      </c>
      <c r="AHZ1115" s="379" t="s">
        <v>3783</v>
      </c>
      <c r="AIA1115" s="379" t="s">
        <v>3783</v>
      </c>
      <c r="AIB1115" s="379" t="s">
        <v>3783</v>
      </c>
      <c r="AIC1115" s="379" t="s">
        <v>3783</v>
      </c>
      <c r="AID1115" s="379" t="s">
        <v>3783</v>
      </c>
      <c r="AIE1115" s="379" t="s">
        <v>3783</v>
      </c>
      <c r="AIF1115" s="379" t="s">
        <v>3783</v>
      </c>
      <c r="AIG1115" s="379" t="s">
        <v>3783</v>
      </c>
      <c r="AIH1115" s="379" t="s">
        <v>3783</v>
      </c>
      <c r="AII1115" s="379" t="s">
        <v>3783</v>
      </c>
      <c r="AIJ1115" s="379" t="s">
        <v>3783</v>
      </c>
      <c r="AIK1115" s="379" t="s">
        <v>3783</v>
      </c>
      <c r="AIL1115" s="379" t="s">
        <v>3783</v>
      </c>
      <c r="AIM1115" s="379" t="s">
        <v>3783</v>
      </c>
      <c r="AIN1115" s="379" t="s">
        <v>3783</v>
      </c>
      <c r="AIO1115" s="379" t="s">
        <v>3783</v>
      </c>
      <c r="AIP1115" s="379" t="s">
        <v>3783</v>
      </c>
      <c r="AIQ1115" s="379" t="s">
        <v>3783</v>
      </c>
      <c r="AIR1115" s="379" t="s">
        <v>3783</v>
      </c>
      <c r="AIS1115" s="379" t="s">
        <v>3783</v>
      </c>
      <c r="AIT1115" s="379" t="s">
        <v>3783</v>
      </c>
      <c r="AIU1115" s="379" t="s">
        <v>3783</v>
      </c>
      <c r="AIV1115" s="379" t="s">
        <v>3783</v>
      </c>
      <c r="AIW1115" s="379" t="s">
        <v>3783</v>
      </c>
      <c r="AIX1115" s="379" t="s">
        <v>3783</v>
      </c>
      <c r="AIY1115" s="379" t="s">
        <v>3783</v>
      </c>
      <c r="AIZ1115" s="379" t="s">
        <v>3783</v>
      </c>
      <c r="AJA1115" s="379" t="s">
        <v>3783</v>
      </c>
      <c r="AJB1115" s="379" t="s">
        <v>3783</v>
      </c>
      <c r="AJC1115" s="379" t="s">
        <v>3783</v>
      </c>
      <c r="AJD1115" s="379" t="s">
        <v>3783</v>
      </c>
      <c r="AJE1115" s="379" t="s">
        <v>3783</v>
      </c>
      <c r="AJF1115" s="379" t="s">
        <v>3783</v>
      </c>
      <c r="AJG1115" s="379" t="s">
        <v>3783</v>
      </c>
      <c r="AJH1115" s="379" t="s">
        <v>3783</v>
      </c>
      <c r="AJI1115" s="379" t="s">
        <v>3783</v>
      </c>
      <c r="AJJ1115" s="379" t="s">
        <v>3783</v>
      </c>
      <c r="AJK1115" s="379" t="s">
        <v>3783</v>
      </c>
      <c r="AJL1115" s="379" t="s">
        <v>3783</v>
      </c>
      <c r="AJM1115" s="379" t="s">
        <v>3783</v>
      </c>
      <c r="AJN1115" s="379" t="s">
        <v>3783</v>
      </c>
      <c r="AJO1115" s="379" t="s">
        <v>3783</v>
      </c>
      <c r="AJP1115" s="379" t="s">
        <v>3783</v>
      </c>
      <c r="AJQ1115" s="379" t="s">
        <v>3783</v>
      </c>
      <c r="AJR1115" s="379" t="s">
        <v>3783</v>
      </c>
      <c r="AJS1115" s="379" t="s">
        <v>3783</v>
      </c>
      <c r="AJT1115" s="379" t="s">
        <v>3783</v>
      </c>
      <c r="AJU1115" s="379" t="s">
        <v>3783</v>
      </c>
      <c r="AJV1115" s="379" t="s">
        <v>3783</v>
      </c>
      <c r="AJW1115" s="379" t="s">
        <v>3783</v>
      </c>
      <c r="AJX1115" s="379" t="s">
        <v>3783</v>
      </c>
      <c r="AJY1115" s="379" t="s">
        <v>3783</v>
      </c>
      <c r="AJZ1115" s="379" t="s">
        <v>3783</v>
      </c>
      <c r="AKA1115" s="379" t="s">
        <v>3783</v>
      </c>
      <c r="AKB1115" s="379" t="s">
        <v>3783</v>
      </c>
      <c r="AKC1115" s="379" t="s">
        <v>3783</v>
      </c>
      <c r="AKD1115" s="379" t="s">
        <v>3783</v>
      </c>
      <c r="AKE1115" s="379" t="s">
        <v>3783</v>
      </c>
      <c r="AKF1115" s="379" t="s">
        <v>3783</v>
      </c>
      <c r="AKG1115" s="379" t="s">
        <v>3783</v>
      </c>
      <c r="AKH1115" s="379" t="s">
        <v>3783</v>
      </c>
      <c r="AKI1115" s="379" t="s">
        <v>3783</v>
      </c>
      <c r="AKJ1115" s="379" t="s">
        <v>3783</v>
      </c>
      <c r="AKK1115" s="379" t="s">
        <v>3783</v>
      </c>
      <c r="AKL1115" s="379" t="s">
        <v>3783</v>
      </c>
      <c r="AKM1115" s="379" t="s">
        <v>3783</v>
      </c>
      <c r="AKN1115" s="379" t="s">
        <v>3783</v>
      </c>
      <c r="AKO1115" s="379" t="s">
        <v>3783</v>
      </c>
      <c r="AKP1115" s="379" t="s">
        <v>3783</v>
      </c>
      <c r="AKQ1115" s="379" t="s">
        <v>3783</v>
      </c>
      <c r="AKR1115" s="379" t="s">
        <v>3783</v>
      </c>
      <c r="AKS1115" s="379" t="s">
        <v>3783</v>
      </c>
      <c r="AKT1115" s="379" t="s">
        <v>3783</v>
      </c>
      <c r="AKU1115" s="379" t="s">
        <v>3783</v>
      </c>
      <c r="AKV1115" s="379" t="s">
        <v>3783</v>
      </c>
      <c r="AKW1115" s="379" t="s">
        <v>3783</v>
      </c>
      <c r="AKX1115" s="379" t="s">
        <v>3783</v>
      </c>
      <c r="AKY1115" s="379" t="s">
        <v>3783</v>
      </c>
      <c r="AKZ1115" s="379" t="s">
        <v>3783</v>
      </c>
      <c r="ALA1115" s="379" t="s">
        <v>3783</v>
      </c>
      <c r="ALB1115" s="379" t="s">
        <v>3783</v>
      </c>
      <c r="ALC1115" s="379" t="s">
        <v>3783</v>
      </c>
      <c r="ALD1115" s="379" t="s">
        <v>3783</v>
      </c>
      <c r="ALE1115" s="379" t="s">
        <v>3783</v>
      </c>
      <c r="ALF1115" s="379" t="s">
        <v>3783</v>
      </c>
      <c r="ALG1115" s="379" t="s">
        <v>3783</v>
      </c>
      <c r="ALH1115" s="379" t="s">
        <v>3783</v>
      </c>
      <c r="ALI1115" s="379" t="s">
        <v>3783</v>
      </c>
      <c r="ALJ1115" s="379" t="s">
        <v>3783</v>
      </c>
      <c r="ALK1115" s="379" t="s">
        <v>3783</v>
      </c>
      <c r="ALL1115" s="379" t="s">
        <v>3783</v>
      </c>
      <c r="ALM1115" s="379" t="s">
        <v>3783</v>
      </c>
      <c r="ALN1115" s="379" t="s">
        <v>3783</v>
      </c>
      <c r="ALO1115" s="379" t="s">
        <v>3783</v>
      </c>
      <c r="ALP1115" s="379" t="s">
        <v>3783</v>
      </c>
      <c r="ALQ1115" s="379" t="s">
        <v>3783</v>
      </c>
      <c r="ALR1115" s="379" t="s">
        <v>3783</v>
      </c>
      <c r="ALS1115" s="379" t="s">
        <v>3783</v>
      </c>
      <c r="ALT1115" s="379" t="s">
        <v>3783</v>
      </c>
      <c r="ALU1115" s="379" t="s">
        <v>3783</v>
      </c>
      <c r="ALV1115" s="379" t="s">
        <v>3783</v>
      </c>
      <c r="ALW1115" s="379" t="s">
        <v>3783</v>
      </c>
      <c r="ALX1115" s="379" t="s">
        <v>3783</v>
      </c>
      <c r="ALY1115" s="379" t="s">
        <v>3783</v>
      </c>
      <c r="ALZ1115" s="379" t="s">
        <v>3783</v>
      </c>
      <c r="AMA1115" s="379" t="s">
        <v>3783</v>
      </c>
      <c r="AMB1115" s="379" t="s">
        <v>3783</v>
      </c>
      <c r="AMC1115" s="379" t="s">
        <v>3783</v>
      </c>
      <c r="AMD1115" s="379" t="s">
        <v>3783</v>
      </c>
      <c r="AME1115" s="379" t="s">
        <v>3783</v>
      </c>
      <c r="AMF1115" s="379" t="s">
        <v>3783</v>
      </c>
      <c r="AMG1115" s="379" t="s">
        <v>3783</v>
      </c>
      <c r="AMH1115" s="379" t="s">
        <v>3783</v>
      </c>
      <c r="AMI1115" s="379" t="s">
        <v>3783</v>
      </c>
      <c r="AMJ1115" s="379" t="s">
        <v>3783</v>
      </c>
      <c r="AMK1115" s="379" t="s">
        <v>3783</v>
      </c>
      <c r="AML1115" s="379" t="s">
        <v>3783</v>
      </c>
      <c r="AMM1115" s="379" t="s">
        <v>3783</v>
      </c>
      <c r="AMN1115" s="379" t="s">
        <v>3783</v>
      </c>
      <c r="AMO1115" s="379" t="s">
        <v>3783</v>
      </c>
      <c r="AMP1115" s="379" t="s">
        <v>3783</v>
      </c>
      <c r="AMQ1115" s="379" t="s">
        <v>3783</v>
      </c>
      <c r="AMR1115" s="379" t="s">
        <v>3783</v>
      </c>
      <c r="AMS1115" s="379" t="s">
        <v>3783</v>
      </c>
      <c r="AMT1115" s="379" t="s">
        <v>3783</v>
      </c>
      <c r="AMU1115" s="379" t="s">
        <v>3783</v>
      </c>
      <c r="AMV1115" s="379" t="s">
        <v>3783</v>
      </c>
      <c r="AMW1115" s="379" t="s">
        <v>3783</v>
      </c>
      <c r="AMX1115" s="379" t="s">
        <v>3783</v>
      </c>
      <c r="AMY1115" s="379" t="s">
        <v>3783</v>
      </c>
      <c r="AMZ1115" s="379" t="s">
        <v>3783</v>
      </c>
      <c r="ANA1115" s="379" t="s">
        <v>3783</v>
      </c>
      <c r="ANB1115" s="379" t="s">
        <v>3783</v>
      </c>
      <c r="ANC1115" s="379" t="s">
        <v>3783</v>
      </c>
      <c r="AND1115" s="379" t="s">
        <v>3783</v>
      </c>
      <c r="ANE1115" s="379" t="s">
        <v>3783</v>
      </c>
      <c r="ANF1115" s="379" t="s">
        <v>3783</v>
      </c>
      <c r="ANG1115" s="379" t="s">
        <v>3783</v>
      </c>
      <c r="ANH1115" s="379" t="s">
        <v>3783</v>
      </c>
      <c r="ANI1115" s="379" t="s">
        <v>3783</v>
      </c>
      <c r="ANJ1115" s="379" t="s">
        <v>3783</v>
      </c>
      <c r="ANK1115" s="379" t="s">
        <v>3783</v>
      </c>
      <c r="ANL1115" s="379" t="s">
        <v>3783</v>
      </c>
      <c r="ANM1115" s="379" t="s">
        <v>3783</v>
      </c>
      <c r="ANN1115" s="379" t="s">
        <v>3783</v>
      </c>
      <c r="ANO1115" s="379" t="s">
        <v>3783</v>
      </c>
      <c r="ANP1115" s="379" t="s">
        <v>3783</v>
      </c>
      <c r="ANQ1115" s="379" t="s">
        <v>3783</v>
      </c>
      <c r="ANR1115" s="379" t="s">
        <v>3783</v>
      </c>
      <c r="ANS1115" s="379" t="s">
        <v>3783</v>
      </c>
      <c r="ANT1115" s="379" t="s">
        <v>3783</v>
      </c>
      <c r="ANU1115" s="379" t="s">
        <v>3783</v>
      </c>
      <c r="ANV1115" s="379" t="s">
        <v>3783</v>
      </c>
      <c r="ANW1115" s="379" t="s">
        <v>3783</v>
      </c>
      <c r="ANX1115" s="379" t="s">
        <v>3783</v>
      </c>
      <c r="ANY1115" s="379" t="s">
        <v>3783</v>
      </c>
      <c r="ANZ1115" s="379" t="s">
        <v>3783</v>
      </c>
      <c r="AOA1115" s="379" t="s">
        <v>3783</v>
      </c>
      <c r="AOB1115" s="379" t="s">
        <v>3783</v>
      </c>
      <c r="AOC1115" s="379" t="s">
        <v>3783</v>
      </c>
      <c r="AOD1115" s="379" t="s">
        <v>3783</v>
      </c>
      <c r="AOE1115" s="379" t="s">
        <v>3783</v>
      </c>
      <c r="AOF1115" s="379" t="s">
        <v>3783</v>
      </c>
      <c r="AOG1115" s="379" t="s">
        <v>3783</v>
      </c>
      <c r="AOH1115" s="379" t="s">
        <v>3783</v>
      </c>
      <c r="AOI1115" s="379" t="s">
        <v>3783</v>
      </c>
      <c r="AOJ1115" s="379" t="s">
        <v>3783</v>
      </c>
      <c r="AOK1115" s="379" t="s">
        <v>3783</v>
      </c>
      <c r="AOL1115" s="379" t="s">
        <v>3783</v>
      </c>
      <c r="AOM1115" s="379" t="s">
        <v>3783</v>
      </c>
      <c r="AON1115" s="379" t="s">
        <v>3783</v>
      </c>
      <c r="AOO1115" s="379" t="s">
        <v>3783</v>
      </c>
      <c r="AOP1115" s="379" t="s">
        <v>3783</v>
      </c>
      <c r="AOQ1115" s="379" t="s">
        <v>3783</v>
      </c>
      <c r="AOR1115" s="379" t="s">
        <v>3783</v>
      </c>
      <c r="AOS1115" s="379" t="s">
        <v>3783</v>
      </c>
      <c r="AOT1115" s="379" t="s">
        <v>3783</v>
      </c>
      <c r="AOU1115" s="379" t="s">
        <v>3783</v>
      </c>
      <c r="AOV1115" s="379" t="s">
        <v>3783</v>
      </c>
      <c r="AOW1115" s="379" t="s">
        <v>3783</v>
      </c>
      <c r="AOX1115" s="379" t="s">
        <v>3783</v>
      </c>
      <c r="AOY1115" s="379" t="s">
        <v>3783</v>
      </c>
      <c r="AOZ1115" s="379" t="s">
        <v>3783</v>
      </c>
      <c r="APA1115" s="379" t="s">
        <v>3783</v>
      </c>
      <c r="APB1115" s="379" t="s">
        <v>3783</v>
      </c>
      <c r="APC1115" s="379" t="s">
        <v>3783</v>
      </c>
      <c r="APD1115" s="379" t="s">
        <v>3783</v>
      </c>
      <c r="APE1115" s="379" t="s">
        <v>3783</v>
      </c>
      <c r="APF1115" s="379" t="s">
        <v>3783</v>
      </c>
      <c r="APG1115" s="379" t="s">
        <v>3783</v>
      </c>
      <c r="APH1115" s="379" t="s">
        <v>3783</v>
      </c>
      <c r="API1115" s="379" t="s">
        <v>3783</v>
      </c>
      <c r="APJ1115" s="379" t="s">
        <v>3783</v>
      </c>
      <c r="APK1115" s="379" t="s">
        <v>3783</v>
      </c>
      <c r="APL1115" s="379" t="s">
        <v>3783</v>
      </c>
      <c r="APM1115" s="379" t="s">
        <v>3783</v>
      </c>
      <c r="APN1115" s="379" t="s">
        <v>3783</v>
      </c>
      <c r="APO1115" s="379" t="s">
        <v>3783</v>
      </c>
      <c r="APP1115" s="379" t="s">
        <v>3783</v>
      </c>
      <c r="APQ1115" s="379" t="s">
        <v>3783</v>
      </c>
      <c r="APR1115" s="379" t="s">
        <v>3783</v>
      </c>
      <c r="APS1115" s="379" t="s">
        <v>3783</v>
      </c>
      <c r="APT1115" s="379" t="s">
        <v>3783</v>
      </c>
      <c r="APU1115" s="379" t="s">
        <v>3783</v>
      </c>
      <c r="APV1115" s="379" t="s">
        <v>3783</v>
      </c>
      <c r="APW1115" s="379" t="s">
        <v>3783</v>
      </c>
      <c r="APX1115" s="379" t="s">
        <v>3783</v>
      </c>
      <c r="APY1115" s="379" t="s">
        <v>3783</v>
      </c>
      <c r="APZ1115" s="379" t="s">
        <v>3783</v>
      </c>
      <c r="AQA1115" s="379" t="s">
        <v>3783</v>
      </c>
      <c r="AQB1115" s="379" t="s">
        <v>3783</v>
      </c>
      <c r="AQC1115" s="379" t="s">
        <v>3783</v>
      </c>
      <c r="AQD1115" s="379" t="s">
        <v>3783</v>
      </c>
      <c r="AQE1115" s="379" t="s">
        <v>3783</v>
      </c>
      <c r="AQF1115" s="379" t="s">
        <v>3783</v>
      </c>
      <c r="AQG1115" s="379" t="s">
        <v>3783</v>
      </c>
      <c r="AQH1115" s="379" t="s">
        <v>3783</v>
      </c>
      <c r="AQI1115" s="379" t="s">
        <v>3783</v>
      </c>
      <c r="AQJ1115" s="379" t="s">
        <v>3783</v>
      </c>
      <c r="AQK1115" s="379" t="s">
        <v>3783</v>
      </c>
      <c r="AQL1115" s="379" t="s">
        <v>3783</v>
      </c>
      <c r="AQM1115" s="379" t="s">
        <v>3783</v>
      </c>
      <c r="AQN1115" s="379" t="s">
        <v>3783</v>
      </c>
      <c r="AQO1115" s="379" t="s">
        <v>3783</v>
      </c>
      <c r="AQP1115" s="379" t="s">
        <v>3783</v>
      </c>
      <c r="AQQ1115" s="379" t="s">
        <v>3783</v>
      </c>
      <c r="AQR1115" s="379" t="s">
        <v>3783</v>
      </c>
      <c r="AQS1115" s="379" t="s">
        <v>3783</v>
      </c>
      <c r="AQT1115" s="379" t="s">
        <v>3783</v>
      </c>
      <c r="AQU1115" s="379" t="s">
        <v>3783</v>
      </c>
      <c r="AQV1115" s="379" t="s">
        <v>3783</v>
      </c>
      <c r="AQW1115" s="379" t="s">
        <v>3783</v>
      </c>
      <c r="AQX1115" s="379" t="s">
        <v>3783</v>
      </c>
      <c r="AQY1115" s="379" t="s">
        <v>3783</v>
      </c>
      <c r="AQZ1115" s="379" t="s">
        <v>3783</v>
      </c>
      <c r="ARA1115" s="379" t="s">
        <v>3783</v>
      </c>
      <c r="ARB1115" s="379" t="s">
        <v>3783</v>
      </c>
      <c r="ARC1115" s="379" t="s">
        <v>3783</v>
      </c>
      <c r="ARD1115" s="379" t="s">
        <v>3783</v>
      </c>
      <c r="ARE1115" s="379" t="s">
        <v>3783</v>
      </c>
      <c r="ARF1115" s="379" t="s">
        <v>3783</v>
      </c>
      <c r="ARG1115" s="379" t="s">
        <v>3783</v>
      </c>
      <c r="ARH1115" s="379" t="s">
        <v>3783</v>
      </c>
      <c r="ARI1115" s="379" t="s">
        <v>3783</v>
      </c>
      <c r="ARJ1115" s="379" t="s">
        <v>3783</v>
      </c>
      <c r="ARK1115" s="379" t="s">
        <v>3783</v>
      </c>
      <c r="ARL1115" s="379" t="s">
        <v>3783</v>
      </c>
      <c r="ARM1115" s="379" t="s">
        <v>3783</v>
      </c>
      <c r="ARN1115" s="379" t="s">
        <v>3783</v>
      </c>
      <c r="ARO1115" s="379" t="s">
        <v>3783</v>
      </c>
      <c r="ARP1115" s="379" t="s">
        <v>3783</v>
      </c>
      <c r="ARQ1115" s="379" t="s">
        <v>3783</v>
      </c>
      <c r="ARR1115" s="379" t="s">
        <v>3783</v>
      </c>
      <c r="ARS1115" s="379" t="s">
        <v>3783</v>
      </c>
      <c r="ART1115" s="379" t="s">
        <v>3783</v>
      </c>
      <c r="ARU1115" s="379" t="s">
        <v>3783</v>
      </c>
      <c r="ARV1115" s="379" t="s">
        <v>3783</v>
      </c>
      <c r="ARW1115" s="379" t="s">
        <v>3783</v>
      </c>
      <c r="ARX1115" s="379" t="s">
        <v>3783</v>
      </c>
      <c r="ARY1115" s="379" t="s">
        <v>3783</v>
      </c>
      <c r="ARZ1115" s="379" t="s">
        <v>3783</v>
      </c>
      <c r="ASA1115" s="379" t="s">
        <v>3783</v>
      </c>
      <c r="ASB1115" s="379" t="s">
        <v>3783</v>
      </c>
      <c r="ASC1115" s="379" t="s">
        <v>3783</v>
      </c>
      <c r="ASD1115" s="379" t="s">
        <v>3783</v>
      </c>
      <c r="ASE1115" s="379" t="s">
        <v>3783</v>
      </c>
      <c r="ASF1115" s="379" t="s">
        <v>3783</v>
      </c>
      <c r="ASG1115" s="379" t="s">
        <v>3783</v>
      </c>
      <c r="ASH1115" s="379" t="s">
        <v>3783</v>
      </c>
      <c r="ASI1115" s="379" t="s">
        <v>3783</v>
      </c>
      <c r="ASJ1115" s="379" t="s">
        <v>3783</v>
      </c>
      <c r="ASK1115" s="379" t="s">
        <v>3783</v>
      </c>
      <c r="ASL1115" s="379" t="s">
        <v>3783</v>
      </c>
      <c r="ASM1115" s="379" t="s">
        <v>3783</v>
      </c>
      <c r="ASN1115" s="379" t="s">
        <v>3783</v>
      </c>
      <c r="ASO1115" s="379" t="s">
        <v>3783</v>
      </c>
      <c r="ASP1115" s="379" t="s">
        <v>3783</v>
      </c>
      <c r="ASQ1115" s="379" t="s">
        <v>3783</v>
      </c>
      <c r="ASR1115" s="379" t="s">
        <v>3783</v>
      </c>
      <c r="ASS1115" s="379" t="s">
        <v>3783</v>
      </c>
      <c r="AST1115" s="379" t="s">
        <v>3783</v>
      </c>
      <c r="ASU1115" s="379" t="s">
        <v>3783</v>
      </c>
      <c r="ASV1115" s="379" t="s">
        <v>3783</v>
      </c>
      <c r="ASW1115" s="379" t="s">
        <v>3783</v>
      </c>
      <c r="ASX1115" s="379" t="s">
        <v>3783</v>
      </c>
      <c r="ASY1115" s="379" t="s">
        <v>3783</v>
      </c>
      <c r="ASZ1115" s="379" t="s">
        <v>3783</v>
      </c>
      <c r="ATA1115" s="379" t="s">
        <v>3783</v>
      </c>
      <c r="ATB1115" s="379" t="s">
        <v>3783</v>
      </c>
      <c r="ATC1115" s="379" t="s">
        <v>3783</v>
      </c>
      <c r="ATD1115" s="379" t="s">
        <v>3783</v>
      </c>
      <c r="ATE1115" s="379" t="s">
        <v>3783</v>
      </c>
      <c r="ATF1115" s="379" t="s">
        <v>3783</v>
      </c>
      <c r="ATG1115" s="379" t="s">
        <v>3783</v>
      </c>
      <c r="ATH1115" s="379" t="s">
        <v>3783</v>
      </c>
      <c r="ATI1115" s="379" t="s">
        <v>3783</v>
      </c>
      <c r="ATJ1115" s="379" t="s">
        <v>3783</v>
      </c>
      <c r="ATK1115" s="379" t="s">
        <v>3783</v>
      </c>
      <c r="ATL1115" s="379" t="s">
        <v>3783</v>
      </c>
      <c r="ATM1115" s="379" t="s">
        <v>3783</v>
      </c>
      <c r="ATN1115" s="379" t="s">
        <v>3783</v>
      </c>
      <c r="ATO1115" s="379" t="s">
        <v>3783</v>
      </c>
      <c r="ATP1115" s="379" t="s">
        <v>3783</v>
      </c>
      <c r="ATQ1115" s="379" t="s">
        <v>3783</v>
      </c>
      <c r="ATR1115" s="379" t="s">
        <v>3783</v>
      </c>
      <c r="ATS1115" s="379" t="s">
        <v>3783</v>
      </c>
      <c r="ATT1115" s="379" t="s">
        <v>3783</v>
      </c>
      <c r="ATU1115" s="379" t="s">
        <v>3783</v>
      </c>
      <c r="ATV1115" s="379" t="s">
        <v>3783</v>
      </c>
      <c r="ATW1115" s="379" t="s">
        <v>3783</v>
      </c>
      <c r="ATX1115" s="379" t="s">
        <v>3783</v>
      </c>
      <c r="ATY1115" s="379" t="s">
        <v>3783</v>
      </c>
      <c r="ATZ1115" s="379" t="s">
        <v>3783</v>
      </c>
      <c r="AUA1115" s="379" t="s">
        <v>3783</v>
      </c>
      <c r="AUB1115" s="379" t="s">
        <v>3783</v>
      </c>
      <c r="AUC1115" s="379" t="s">
        <v>3783</v>
      </c>
      <c r="AUD1115" s="379" t="s">
        <v>3783</v>
      </c>
      <c r="AUE1115" s="379" t="s">
        <v>3783</v>
      </c>
      <c r="AUF1115" s="379" t="s">
        <v>3783</v>
      </c>
      <c r="AUG1115" s="379" t="s">
        <v>3783</v>
      </c>
      <c r="AUH1115" s="379" t="s">
        <v>3783</v>
      </c>
      <c r="AUI1115" s="379" t="s">
        <v>3783</v>
      </c>
      <c r="AUJ1115" s="379" t="s">
        <v>3783</v>
      </c>
      <c r="AUK1115" s="379" t="s">
        <v>3783</v>
      </c>
      <c r="AUL1115" s="379" t="s">
        <v>3783</v>
      </c>
      <c r="AUM1115" s="379" t="s">
        <v>3783</v>
      </c>
      <c r="AUN1115" s="379" t="s">
        <v>3783</v>
      </c>
      <c r="AUO1115" s="379" t="s">
        <v>3783</v>
      </c>
      <c r="AUP1115" s="379" t="s">
        <v>3783</v>
      </c>
      <c r="AUQ1115" s="379" t="s">
        <v>3783</v>
      </c>
      <c r="AUR1115" s="379" t="s">
        <v>3783</v>
      </c>
      <c r="AUS1115" s="379" t="s">
        <v>3783</v>
      </c>
      <c r="AUT1115" s="379" t="s">
        <v>3783</v>
      </c>
      <c r="AUU1115" s="379" t="s">
        <v>3783</v>
      </c>
      <c r="AUV1115" s="379" t="s">
        <v>3783</v>
      </c>
      <c r="AUW1115" s="379" t="s">
        <v>3783</v>
      </c>
      <c r="AUX1115" s="379" t="s">
        <v>3783</v>
      </c>
      <c r="AUY1115" s="379" t="s">
        <v>3783</v>
      </c>
      <c r="AUZ1115" s="379" t="s">
        <v>3783</v>
      </c>
      <c r="AVA1115" s="379" t="s">
        <v>3783</v>
      </c>
      <c r="AVB1115" s="379" t="s">
        <v>3783</v>
      </c>
      <c r="AVC1115" s="379" t="s">
        <v>3783</v>
      </c>
      <c r="AVD1115" s="379" t="s">
        <v>3783</v>
      </c>
      <c r="AVE1115" s="379" t="s">
        <v>3783</v>
      </c>
      <c r="AVF1115" s="379" t="s">
        <v>3783</v>
      </c>
      <c r="AVG1115" s="379" t="s">
        <v>3783</v>
      </c>
      <c r="AVH1115" s="379" t="s">
        <v>3783</v>
      </c>
      <c r="AVI1115" s="379" t="s">
        <v>3783</v>
      </c>
      <c r="AVJ1115" s="379" t="s">
        <v>3783</v>
      </c>
      <c r="AVK1115" s="379" t="s">
        <v>3783</v>
      </c>
      <c r="AVL1115" s="379" t="s">
        <v>3783</v>
      </c>
      <c r="AVM1115" s="379" t="s">
        <v>3783</v>
      </c>
      <c r="AVN1115" s="379" t="s">
        <v>3783</v>
      </c>
      <c r="AVO1115" s="379" t="s">
        <v>3783</v>
      </c>
      <c r="AVP1115" s="379" t="s">
        <v>3783</v>
      </c>
      <c r="AVQ1115" s="379" t="s">
        <v>3783</v>
      </c>
      <c r="AVR1115" s="379" t="s">
        <v>3783</v>
      </c>
      <c r="AVS1115" s="379" t="s">
        <v>3783</v>
      </c>
      <c r="AVT1115" s="379" t="s">
        <v>3783</v>
      </c>
      <c r="AVU1115" s="379" t="s">
        <v>3783</v>
      </c>
      <c r="AVV1115" s="379" t="s">
        <v>3783</v>
      </c>
      <c r="AVW1115" s="379" t="s">
        <v>3783</v>
      </c>
      <c r="AVX1115" s="379" t="s">
        <v>3783</v>
      </c>
      <c r="AVY1115" s="379" t="s">
        <v>3783</v>
      </c>
      <c r="AVZ1115" s="379" t="s">
        <v>3783</v>
      </c>
      <c r="AWA1115" s="379" t="s">
        <v>3783</v>
      </c>
      <c r="AWB1115" s="379" t="s">
        <v>3783</v>
      </c>
      <c r="AWC1115" s="379" t="s">
        <v>3783</v>
      </c>
      <c r="AWD1115" s="379" t="s">
        <v>3783</v>
      </c>
      <c r="AWE1115" s="379" t="s">
        <v>3783</v>
      </c>
      <c r="AWF1115" s="379" t="s">
        <v>3783</v>
      </c>
      <c r="AWG1115" s="379" t="s">
        <v>3783</v>
      </c>
      <c r="AWH1115" s="379" t="s">
        <v>3783</v>
      </c>
      <c r="AWI1115" s="379" t="s">
        <v>3783</v>
      </c>
      <c r="AWJ1115" s="379" t="s">
        <v>3783</v>
      </c>
      <c r="AWK1115" s="379" t="s">
        <v>3783</v>
      </c>
      <c r="AWL1115" s="379" t="s">
        <v>3783</v>
      </c>
      <c r="AWM1115" s="379" t="s">
        <v>3783</v>
      </c>
      <c r="AWN1115" s="379" t="s">
        <v>3783</v>
      </c>
      <c r="AWO1115" s="379" t="s">
        <v>3783</v>
      </c>
      <c r="AWP1115" s="379" t="s">
        <v>3783</v>
      </c>
      <c r="AWQ1115" s="379" t="s">
        <v>3783</v>
      </c>
      <c r="AWR1115" s="379" t="s">
        <v>3783</v>
      </c>
      <c r="AWS1115" s="379" t="s">
        <v>3783</v>
      </c>
      <c r="AWT1115" s="379" t="s">
        <v>3783</v>
      </c>
      <c r="AWU1115" s="379" t="s">
        <v>3783</v>
      </c>
      <c r="AWV1115" s="379" t="s">
        <v>3783</v>
      </c>
      <c r="AWW1115" s="379" t="s">
        <v>3783</v>
      </c>
      <c r="AWX1115" s="379" t="s">
        <v>3783</v>
      </c>
      <c r="AWY1115" s="379" t="s">
        <v>3783</v>
      </c>
      <c r="AWZ1115" s="379" t="s">
        <v>3783</v>
      </c>
      <c r="AXA1115" s="379" t="s">
        <v>3783</v>
      </c>
      <c r="AXB1115" s="379" t="s">
        <v>3783</v>
      </c>
      <c r="AXC1115" s="379" t="s">
        <v>3783</v>
      </c>
      <c r="AXD1115" s="379" t="s">
        <v>3783</v>
      </c>
      <c r="AXE1115" s="379" t="s">
        <v>3783</v>
      </c>
      <c r="AXF1115" s="379" t="s">
        <v>3783</v>
      </c>
      <c r="AXG1115" s="379" t="s">
        <v>3783</v>
      </c>
      <c r="AXH1115" s="379" t="s">
        <v>3783</v>
      </c>
      <c r="AXI1115" s="379" t="s">
        <v>3783</v>
      </c>
      <c r="AXJ1115" s="379" t="s">
        <v>3783</v>
      </c>
      <c r="AXK1115" s="379" t="s">
        <v>3783</v>
      </c>
      <c r="AXL1115" s="379" t="s">
        <v>3783</v>
      </c>
      <c r="AXM1115" s="379" t="s">
        <v>3783</v>
      </c>
      <c r="AXN1115" s="379" t="s">
        <v>3783</v>
      </c>
      <c r="AXO1115" s="379" t="s">
        <v>3783</v>
      </c>
      <c r="AXP1115" s="379" t="s">
        <v>3783</v>
      </c>
      <c r="AXQ1115" s="379" t="s">
        <v>3783</v>
      </c>
      <c r="AXR1115" s="379" t="s">
        <v>3783</v>
      </c>
      <c r="AXS1115" s="379" t="s">
        <v>3783</v>
      </c>
      <c r="AXT1115" s="379" t="s">
        <v>3783</v>
      </c>
      <c r="AXU1115" s="379" t="s">
        <v>3783</v>
      </c>
      <c r="AXV1115" s="379" t="s">
        <v>3783</v>
      </c>
      <c r="AXW1115" s="379" t="s">
        <v>3783</v>
      </c>
      <c r="AXX1115" s="379" t="s">
        <v>3783</v>
      </c>
      <c r="AXY1115" s="379" t="s">
        <v>3783</v>
      </c>
      <c r="AXZ1115" s="379" t="s">
        <v>3783</v>
      </c>
      <c r="AYA1115" s="379" t="s">
        <v>3783</v>
      </c>
      <c r="AYB1115" s="379" t="s">
        <v>3783</v>
      </c>
      <c r="AYC1115" s="379" t="s">
        <v>3783</v>
      </c>
      <c r="AYD1115" s="379" t="s">
        <v>3783</v>
      </c>
      <c r="AYE1115" s="379" t="s">
        <v>3783</v>
      </c>
      <c r="AYF1115" s="379" t="s">
        <v>3783</v>
      </c>
      <c r="AYG1115" s="379" t="s">
        <v>3783</v>
      </c>
      <c r="AYH1115" s="379" t="s">
        <v>3783</v>
      </c>
      <c r="AYI1115" s="379" t="s">
        <v>3783</v>
      </c>
      <c r="AYJ1115" s="379" t="s">
        <v>3783</v>
      </c>
      <c r="AYK1115" s="379" t="s">
        <v>3783</v>
      </c>
      <c r="AYL1115" s="379" t="s">
        <v>3783</v>
      </c>
      <c r="AYM1115" s="379" t="s">
        <v>3783</v>
      </c>
      <c r="AYN1115" s="379" t="s">
        <v>3783</v>
      </c>
      <c r="AYO1115" s="379" t="s">
        <v>3783</v>
      </c>
      <c r="AYP1115" s="379" t="s">
        <v>3783</v>
      </c>
      <c r="AYQ1115" s="379" t="s">
        <v>3783</v>
      </c>
      <c r="AYR1115" s="379" t="s">
        <v>3783</v>
      </c>
      <c r="AYS1115" s="379" t="s">
        <v>3783</v>
      </c>
      <c r="AYT1115" s="379" t="s">
        <v>3783</v>
      </c>
      <c r="AYU1115" s="379" t="s">
        <v>3783</v>
      </c>
      <c r="AYV1115" s="379" t="s">
        <v>3783</v>
      </c>
      <c r="AYW1115" s="379" t="s">
        <v>3783</v>
      </c>
      <c r="AYX1115" s="379" t="s">
        <v>3783</v>
      </c>
      <c r="AYY1115" s="379" t="s">
        <v>3783</v>
      </c>
      <c r="AYZ1115" s="379" t="s">
        <v>3783</v>
      </c>
      <c r="AZA1115" s="379" t="s">
        <v>3783</v>
      </c>
      <c r="AZB1115" s="379" t="s">
        <v>3783</v>
      </c>
      <c r="AZC1115" s="379" t="s">
        <v>3783</v>
      </c>
      <c r="AZD1115" s="379" t="s">
        <v>3783</v>
      </c>
      <c r="AZE1115" s="379" t="s">
        <v>3783</v>
      </c>
      <c r="AZF1115" s="379" t="s">
        <v>3783</v>
      </c>
      <c r="AZG1115" s="379" t="s">
        <v>3783</v>
      </c>
      <c r="AZH1115" s="379" t="s">
        <v>3783</v>
      </c>
      <c r="AZI1115" s="379" t="s">
        <v>3783</v>
      </c>
      <c r="AZJ1115" s="379" t="s">
        <v>3783</v>
      </c>
      <c r="AZK1115" s="379" t="s">
        <v>3783</v>
      </c>
      <c r="AZL1115" s="379" t="s">
        <v>3783</v>
      </c>
      <c r="AZM1115" s="379" t="s">
        <v>3783</v>
      </c>
      <c r="AZN1115" s="379" t="s">
        <v>3783</v>
      </c>
      <c r="AZO1115" s="379" t="s">
        <v>3783</v>
      </c>
      <c r="AZP1115" s="379" t="s">
        <v>3783</v>
      </c>
      <c r="AZQ1115" s="379" t="s">
        <v>3783</v>
      </c>
      <c r="AZR1115" s="379" t="s">
        <v>3783</v>
      </c>
      <c r="AZS1115" s="379" t="s">
        <v>3783</v>
      </c>
      <c r="AZT1115" s="379" t="s">
        <v>3783</v>
      </c>
      <c r="AZU1115" s="379" t="s">
        <v>3783</v>
      </c>
      <c r="AZV1115" s="379" t="s">
        <v>3783</v>
      </c>
      <c r="AZW1115" s="379" t="s">
        <v>3783</v>
      </c>
      <c r="AZX1115" s="379" t="s">
        <v>3783</v>
      </c>
      <c r="AZY1115" s="379" t="s">
        <v>3783</v>
      </c>
      <c r="AZZ1115" s="379" t="s">
        <v>3783</v>
      </c>
      <c r="BAA1115" s="379" t="s">
        <v>3783</v>
      </c>
      <c r="BAB1115" s="379" t="s">
        <v>3783</v>
      </c>
      <c r="BAC1115" s="379" t="s">
        <v>3783</v>
      </c>
      <c r="BAD1115" s="379" t="s">
        <v>3783</v>
      </c>
      <c r="BAE1115" s="379" t="s">
        <v>3783</v>
      </c>
      <c r="BAF1115" s="379" t="s">
        <v>3783</v>
      </c>
      <c r="BAG1115" s="379" t="s">
        <v>3783</v>
      </c>
      <c r="BAH1115" s="379" t="s">
        <v>3783</v>
      </c>
      <c r="BAI1115" s="379" t="s">
        <v>3783</v>
      </c>
      <c r="BAJ1115" s="379" t="s">
        <v>3783</v>
      </c>
      <c r="BAK1115" s="379" t="s">
        <v>3783</v>
      </c>
      <c r="BAL1115" s="379" t="s">
        <v>3783</v>
      </c>
      <c r="BAM1115" s="379" t="s">
        <v>3783</v>
      </c>
      <c r="BAN1115" s="379" t="s">
        <v>3783</v>
      </c>
      <c r="BAO1115" s="379" t="s">
        <v>3783</v>
      </c>
      <c r="BAP1115" s="379" t="s">
        <v>3783</v>
      </c>
      <c r="BAQ1115" s="379" t="s">
        <v>3783</v>
      </c>
      <c r="BAR1115" s="379" t="s">
        <v>3783</v>
      </c>
      <c r="BAS1115" s="379" t="s">
        <v>3783</v>
      </c>
      <c r="BAT1115" s="379" t="s">
        <v>3783</v>
      </c>
      <c r="BAU1115" s="379" t="s">
        <v>3783</v>
      </c>
      <c r="BAV1115" s="379" t="s">
        <v>3783</v>
      </c>
      <c r="BAW1115" s="379" t="s">
        <v>3783</v>
      </c>
      <c r="BAX1115" s="379" t="s">
        <v>3783</v>
      </c>
      <c r="BAY1115" s="379" t="s">
        <v>3783</v>
      </c>
      <c r="BAZ1115" s="379" t="s">
        <v>3783</v>
      </c>
      <c r="BBA1115" s="379" t="s">
        <v>3783</v>
      </c>
      <c r="BBB1115" s="379" t="s">
        <v>3783</v>
      </c>
      <c r="BBC1115" s="379" t="s">
        <v>3783</v>
      </c>
      <c r="BBD1115" s="379" t="s">
        <v>3783</v>
      </c>
      <c r="BBE1115" s="379" t="s">
        <v>3783</v>
      </c>
      <c r="BBF1115" s="379" t="s">
        <v>3783</v>
      </c>
      <c r="BBG1115" s="379" t="s">
        <v>3783</v>
      </c>
      <c r="BBH1115" s="379" t="s">
        <v>3783</v>
      </c>
      <c r="BBI1115" s="379" t="s">
        <v>3783</v>
      </c>
      <c r="BBJ1115" s="379" t="s">
        <v>3783</v>
      </c>
      <c r="BBK1115" s="379" t="s">
        <v>3783</v>
      </c>
      <c r="BBL1115" s="379" t="s">
        <v>3783</v>
      </c>
      <c r="BBM1115" s="379" t="s">
        <v>3783</v>
      </c>
      <c r="BBN1115" s="379" t="s">
        <v>3783</v>
      </c>
      <c r="BBO1115" s="379" t="s">
        <v>3783</v>
      </c>
      <c r="BBP1115" s="379" t="s">
        <v>3783</v>
      </c>
      <c r="BBQ1115" s="379" t="s">
        <v>3783</v>
      </c>
      <c r="BBR1115" s="379" t="s">
        <v>3783</v>
      </c>
      <c r="BBS1115" s="379" t="s">
        <v>3783</v>
      </c>
      <c r="BBT1115" s="379" t="s">
        <v>3783</v>
      </c>
      <c r="BBU1115" s="379" t="s">
        <v>3783</v>
      </c>
      <c r="BBV1115" s="379" t="s">
        <v>3783</v>
      </c>
      <c r="BBW1115" s="379" t="s">
        <v>3783</v>
      </c>
      <c r="BBX1115" s="379" t="s">
        <v>3783</v>
      </c>
      <c r="BBY1115" s="379" t="s">
        <v>3783</v>
      </c>
      <c r="BBZ1115" s="379" t="s">
        <v>3783</v>
      </c>
      <c r="BCA1115" s="379" t="s">
        <v>3783</v>
      </c>
      <c r="BCB1115" s="379" t="s">
        <v>3783</v>
      </c>
      <c r="BCC1115" s="379" t="s">
        <v>3783</v>
      </c>
      <c r="BCD1115" s="379" t="s">
        <v>3783</v>
      </c>
      <c r="BCE1115" s="379" t="s">
        <v>3783</v>
      </c>
      <c r="BCF1115" s="379" t="s">
        <v>3783</v>
      </c>
      <c r="BCG1115" s="379" t="s">
        <v>3783</v>
      </c>
      <c r="BCH1115" s="379" t="s">
        <v>3783</v>
      </c>
      <c r="BCI1115" s="379" t="s">
        <v>3783</v>
      </c>
      <c r="BCJ1115" s="379" t="s">
        <v>3783</v>
      </c>
      <c r="BCK1115" s="379" t="s">
        <v>3783</v>
      </c>
      <c r="BCL1115" s="379" t="s">
        <v>3783</v>
      </c>
      <c r="BCM1115" s="379" t="s">
        <v>3783</v>
      </c>
      <c r="BCN1115" s="379" t="s">
        <v>3783</v>
      </c>
      <c r="BCO1115" s="379" t="s">
        <v>3783</v>
      </c>
      <c r="BCP1115" s="379" t="s">
        <v>3783</v>
      </c>
      <c r="BCQ1115" s="379" t="s">
        <v>3783</v>
      </c>
      <c r="BCR1115" s="379" t="s">
        <v>3783</v>
      </c>
      <c r="BCS1115" s="379" t="s">
        <v>3783</v>
      </c>
      <c r="BCT1115" s="379" t="s">
        <v>3783</v>
      </c>
      <c r="BCU1115" s="379" t="s">
        <v>3783</v>
      </c>
      <c r="BCV1115" s="379" t="s">
        <v>3783</v>
      </c>
      <c r="BCW1115" s="379" t="s">
        <v>3783</v>
      </c>
      <c r="BCX1115" s="379" t="s">
        <v>3783</v>
      </c>
      <c r="BCY1115" s="379" t="s">
        <v>3783</v>
      </c>
      <c r="BCZ1115" s="379" t="s">
        <v>3783</v>
      </c>
      <c r="BDA1115" s="379" t="s">
        <v>3783</v>
      </c>
      <c r="BDB1115" s="379" t="s">
        <v>3783</v>
      </c>
      <c r="BDC1115" s="379" t="s">
        <v>3783</v>
      </c>
      <c r="BDD1115" s="379" t="s">
        <v>3783</v>
      </c>
      <c r="BDE1115" s="379" t="s">
        <v>3783</v>
      </c>
      <c r="BDF1115" s="379" t="s">
        <v>3783</v>
      </c>
      <c r="BDG1115" s="379" t="s">
        <v>3783</v>
      </c>
      <c r="BDH1115" s="379" t="s">
        <v>3783</v>
      </c>
      <c r="BDI1115" s="379" t="s">
        <v>3783</v>
      </c>
      <c r="BDJ1115" s="379" t="s">
        <v>3783</v>
      </c>
      <c r="BDK1115" s="379" t="s">
        <v>3783</v>
      </c>
      <c r="BDL1115" s="379" t="s">
        <v>3783</v>
      </c>
      <c r="BDM1115" s="379" t="s">
        <v>3783</v>
      </c>
      <c r="BDN1115" s="379" t="s">
        <v>3783</v>
      </c>
      <c r="BDO1115" s="379" t="s">
        <v>3783</v>
      </c>
      <c r="BDP1115" s="379" t="s">
        <v>3783</v>
      </c>
      <c r="BDQ1115" s="379" t="s">
        <v>3783</v>
      </c>
      <c r="BDR1115" s="379" t="s">
        <v>3783</v>
      </c>
      <c r="BDS1115" s="379" t="s">
        <v>3783</v>
      </c>
      <c r="BDT1115" s="379" t="s">
        <v>3783</v>
      </c>
      <c r="BDU1115" s="379" t="s">
        <v>3783</v>
      </c>
      <c r="BDV1115" s="379" t="s">
        <v>3783</v>
      </c>
      <c r="BDW1115" s="379" t="s">
        <v>3783</v>
      </c>
      <c r="BDX1115" s="379" t="s">
        <v>3783</v>
      </c>
      <c r="BDY1115" s="379" t="s">
        <v>3783</v>
      </c>
      <c r="BDZ1115" s="379" t="s">
        <v>3783</v>
      </c>
      <c r="BEA1115" s="379" t="s">
        <v>3783</v>
      </c>
      <c r="BEB1115" s="379" t="s">
        <v>3783</v>
      </c>
      <c r="BEC1115" s="379" t="s">
        <v>3783</v>
      </c>
      <c r="BED1115" s="379" t="s">
        <v>3783</v>
      </c>
      <c r="BEE1115" s="379" t="s">
        <v>3783</v>
      </c>
      <c r="BEF1115" s="379" t="s">
        <v>3783</v>
      </c>
      <c r="BEG1115" s="379" t="s">
        <v>3783</v>
      </c>
      <c r="BEH1115" s="379" t="s">
        <v>3783</v>
      </c>
      <c r="BEI1115" s="379" t="s">
        <v>3783</v>
      </c>
      <c r="BEJ1115" s="379" t="s">
        <v>3783</v>
      </c>
      <c r="BEK1115" s="379" t="s">
        <v>3783</v>
      </c>
      <c r="BEL1115" s="379" t="s">
        <v>3783</v>
      </c>
      <c r="BEM1115" s="379" t="s">
        <v>3783</v>
      </c>
      <c r="BEN1115" s="379" t="s">
        <v>3783</v>
      </c>
      <c r="BEO1115" s="379" t="s">
        <v>3783</v>
      </c>
      <c r="BEP1115" s="379" t="s">
        <v>3783</v>
      </c>
      <c r="BEQ1115" s="379" t="s">
        <v>3783</v>
      </c>
      <c r="BER1115" s="379" t="s">
        <v>3783</v>
      </c>
      <c r="BES1115" s="379" t="s">
        <v>3783</v>
      </c>
      <c r="BET1115" s="379" t="s">
        <v>3783</v>
      </c>
      <c r="BEU1115" s="379" t="s">
        <v>3783</v>
      </c>
      <c r="BEV1115" s="379" t="s">
        <v>3783</v>
      </c>
      <c r="BEW1115" s="379" t="s">
        <v>3783</v>
      </c>
      <c r="BEX1115" s="379" t="s">
        <v>3783</v>
      </c>
      <c r="BEY1115" s="379" t="s">
        <v>3783</v>
      </c>
      <c r="BEZ1115" s="379" t="s">
        <v>3783</v>
      </c>
      <c r="BFA1115" s="379" t="s">
        <v>3783</v>
      </c>
      <c r="BFB1115" s="379" t="s">
        <v>3783</v>
      </c>
      <c r="BFC1115" s="379" t="s">
        <v>3783</v>
      </c>
      <c r="BFD1115" s="379" t="s">
        <v>3783</v>
      </c>
      <c r="BFE1115" s="379" t="s">
        <v>3783</v>
      </c>
      <c r="BFF1115" s="379" t="s">
        <v>3783</v>
      </c>
      <c r="BFG1115" s="379" t="s">
        <v>3783</v>
      </c>
      <c r="BFH1115" s="379" t="s">
        <v>3783</v>
      </c>
      <c r="BFI1115" s="379" t="s">
        <v>3783</v>
      </c>
      <c r="BFJ1115" s="379" t="s">
        <v>3783</v>
      </c>
      <c r="BFK1115" s="379" t="s">
        <v>3783</v>
      </c>
      <c r="BFL1115" s="379" t="s">
        <v>3783</v>
      </c>
      <c r="BFM1115" s="379" t="s">
        <v>3783</v>
      </c>
      <c r="BFN1115" s="379" t="s">
        <v>3783</v>
      </c>
      <c r="BFO1115" s="379" t="s">
        <v>3783</v>
      </c>
      <c r="BFP1115" s="379" t="s">
        <v>3783</v>
      </c>
      <c r="BFQ1115" s="379" t="s">
        <v>3783</v>
      </c>
      <c r="BFR1115" s="379" t="s">
        <v>3783</v>
      </c>
      <c r="BFS1115" s="379" t="s">
        <v>3783</v>
      </c>
      <c r="BFT1115" s="379" t="s">
        <v>3783</v>
      </c>
      <c r="BFU1115" s="379" t="s">
        <v>3783</v>
      </c>
      <c r="BFV1115" s="379" t="s">
        <v>3783</v>
      </c>
      <c r="BFW1115" s="379" t="s">
        <v>3783</v>
      </c>
      <c r="BFX1115" s="379" t="s">
        <v>3783</v>
      </c>
      <c r="BFY1115" s="379" t="s">
        <v>3783</v>
      </c>
      <c r="BFZ1115" s="379" t="s">
        <v>3783</v>
      </c>
      <c r="BGA1115" s="379" t="s">
        <v>3783</v>
      </c>
      <c r="BGB1115" s="379" t="s">
        <v>3783</v>
      </c>
      <c r="BGC1115" s="379" t="s">
        <v>3783</v>
      </c>
      <c r="BGD1115" s="379" t="s">
        <v>3783</v>
      </c>
      <c r="BGE1115" s="379" t="s">
        <v>3783</v>
      </c>
      <c r="BGF1115" s="379" t="s">
        <v>3783</v>
      </c>
      <c r="BGG1115" s="379" t="s">
        <v>3783</v>
      </c>
      <c r="BGH1115" s="379" t="s">
        <v>3783</v>
      </c>
      <c r="BGI1115" s="379" t="s">
        <v>3783</v>
      </c>
      <c r="BGJ1115" s="379" t="s">
        <v>3783</v>
      </c>
      <c r="BGK1115" s="379" t="s">
        <v>3783</v>
      </c>
      <c r="BGL1115" s="379" t="s">
        <v>3783</v>
      </c>
      <c r="BGM1115" s="379" t="s">
        <v>3783</v>
      </c>
      <c r="BGN1115" s="379" t="s">
        <v>3783</v>
      </c>
      <c r="BGO1115" s="379" t="s">
        <v>3783</v>
      </c>
      <c r="BGP1115" s="379" t="s">
        <v>3783</v>
      </c>
      <c r="BGQ1115" s="379" t="s">
        <v>3783</v>
      </c>
      <c r="BGR1115" s="379" t="s">
        <v>3783</v>
      </c>
      <c r="BGS1115" s="379" t="s">
        <v>3783</v>
      </c>
      <c r="BGT1115" s="379" t="s">
        <v>3783</v>
      </c>
      <c r="BGU1115" s="379" t="s">
        <v>3783</v>
      </c>
      <c r="BGV1115" s="379" t="s">
        <v>3783</v>
      </c>
      <c r="BGW1115" s="379" t="s">
        <v>3783</v>
      </c>
      <c r="BGX1115" s="379" t="s">
        <v>3783</v>
      </c>
      <c r="BGY1115" s="379" t="s">
        <v>3783</v>
      </c>
      <c r="BGZ1115" s="379" t="s">
        <v>3783</v>
      </c>
      <c r="BHA1115" s="379" t="s">
        <v>3783</v>
      </c>
      <c r="BHB1115" s="379" t="s">
        <v>3783</v>
      </c>
      <c r="BHC1115" s="379" t="s">
        <v>3783</v>
      </c>
      <c r="BHD1115" s="379" t="s">
        <v>3783</v>
      </c>
      <c r="BHE1115" s="379" t="s">
        <v>3783</v>
      </c>
      <c r="BHF1115" s="379" t="s">
        <v>3783</v>
      </c>
      <c r="BHG1115" s="379" t="s">
        <v>3783</v>
      </c>
      <c r="BHH1115" s="379" t="s">
        <v>3783</v>
      </c>
      <c r="BHI1115" s="379" t="s">
        <v>3783</v>
      </c>
      <c r="BHJ1115" s="379" t="s">
        <v>3783</v>
      </c>
      <c r="BHK1115" s="379" t="s">
        <v>3783</v>
      </c>
      <c r="BHL1115" s="379" t="s">
        <v>3783</v>
      </c>
      <c r="BHM1115" s="379" t="s">
        <v>3783</v>
      </c>
      <c r="BHN1115" s="379" t="s">
        <v>3783</v>
      </c>
      <c r="BHO1115" s="379" t="s">
        <v>3783</v>
      </c>
      <c r="BHP1115" s="379" t="s">
        <v>3783</v>
      </c>
      <c r="BHQ1115" s="379" t="s">
        <v>3783</v>
      </c>
      <c r="BHR1115" s="379" t="s">
        <v>3783</v>
      </c>
      <c r="BHS1115" s="379" t="s">
        <v>3783</v>
      </c>
      <c r="BHT1115" s="379" t="s">
        <v>3783</v>
      </c>
      <c r="BHU1115" s="379" t="s">
        <v>3783</v>
      </c>
      <c r="BHV1115" s="379" t="s">
        <v>3783</v>
      </c>
      <c r="BHW1115" s="379" t="s">
        <v>3783</v>
      </c>
      <c r="BHX1115" s="379" t="s">
        <v>3783</v>
      </c>
      <c r="BHY1115" s="379" t="s">
        <v>3783</v>
      </c>
      <c r="BHZ1115" s="379" t="s">
        <v>3783</v>
      </c>
      <c r="BIA1115" s="379" t="s">
        <v>3783</v>
      </c>
      <c r="BIB1115" s="379" t="s">
        <v>3783</v>
      </c>
      <c r="BIC1115" s="379" t="s">
        <v>3783</v>
      </c>
      <c r="BID1115" s="379" t="s">
        <v>3783</v>
      </c>
      <c r="BIE1115" s="379" t="s">
        <v>3783</v>
      </c>
      <c r="BIF1115" s="379" t="s">
        <v>3783</v>
      </c>
      <c r="BIG1115" s="379" t="s">
        <v>3783</v>
      </c>
      <c r="BIH1115" s="379" t="s">
        <v>3783</v>
      </c>
      <c r="BII1115" s="379" t="s">
        <v>3783</v>
      </c>
      <c r="BIJ1115" s="379" t="s">
        <v>3783</v>
      </c>
      <c r="BIK1115" s="379" t="s">
        <v>3783</v>
      </c>
      <c r="BIL1115" s="379" t="s">
        <v>3783</v>
      </c>
      <c r="BIM1115" s="379" t="s">
        <v>3783</v>
      </c>
      <c r="BIN1115" s="379" t="s">
        <v>3783</v>
      </c>
      <c r="BIO1115" s="379" t="s">
        <v>3783</v>
      </c>
      <c r="BIP1115" s="379" t="s">
        <v>3783</v>
      </c>
      <c r="BIQ1115" s="379" t="s">
        <v>3783</v>
      </c>
      <c r="BIR1115" s="379" t="s">
        <v>3783</v>
      </c>
      <c r="BIS1115" s="379" t="s">
        <v>3783</v>
      </c>
      <c r="BIT1115" s="379" t="s">
        <v>3783</v>
      </c>
      <c r="BIU1115" s="379" t="s">
        <v>3783</v>
      </c>
      <c r="BIV1115" s="379" t="s">
        <v>3783</v>
      </c>
      <c r="BIW1115" s="379" t="s">
        <v>3783</v>
      </c>
      <c r="BIX1115" s="379" t="s">
        <v>3783</v>
      </c>
      <c r="BIY1115" s="379" t="s">
        <v>3783</v>
      </c>
      <c r="BIZ1115" s="379" t="s">
        <v>3783</v>
      </c>
      <c r="BJA1115" s="379" t="s">
        <v>3783</v>
      </c>
      <c r="BJB1115" s="379" t="s">
        <v>3783</v>
      </c>
      <c r="BJC1115" s="379" t="s">
        <v>3783</v>
      </c>
      <c r="BJD1115" s="379" t="s">
        <v>3783</v>
      </c>
      <c r="BJE1115" s="379" t="s">
        <v>3783</v>
      </c>
      <c r="BJF1115" s="379" t="s">
        <v>3783</v>
      </c>
      <c r="BJG1115" s="379" t="s">
        <v>3783</v>
      </c>
      <c r="BJH1115" s="379" t="s">
        <v>3783</v>
      </c>
      <c r="BJI1115" s="379" t="s">
        <v>3783</v>
      </c>
      <c r="BJJ1115" s="379" t="s">
        <v>3783</v>
      </c>
      <c r="BJK1115" s="379" t="s">
        <v>3783</v>
      </c>
      <c r="BJL1115" s="379" t="s">
        <v>3783</v>
      </c>
      <c r="BJM1115" s="379" t="s">
        <v>3783</v>
      </c>
      <c r="BJN1115" s="379" t="s">
        <v>3783</v>
      </c>
      <c r="BJO1115" s="379" t="s">
        <v>3783</v>
      </c>
      <c r="BJP1115" s="379" t="s">
        <v>3783</v>
      </c>
      <c r="BJQ1115" s="379" t="s">
        <v>3783</v>
      </c>
      <c r="BJR1115" s="379" t="s">
        <v>3783</v>
      </c>
      <c r="BJS1115" s="379" t="s">
        <v>3783</v>
      </c>
      <c r="BJT1115" s="379" t="s">
        <v>3783</v>
      </c>
      <c r="BJU1115" s="379" t="s">
        <v>3783</v>
      </c>
      <c r="BJV1115" s="379" t="s">
        <v>3783</v>
      </c>
      <c r="BJW1115" s="379" t="s">
        <v>3783</v>
      </c>
      <c r="BJX1115" s="379" t="s">
        <v>3783</v>
      </c>
      <c r="BJY1115" s="379" t="s">
        <v>3783</v>
      </c>
      <c r="BJZ1115" s="379" t="s">
        <v>3783</v>
      </c>
      <c r="BKA1115" s="379" t="s">
        <v>3783</v>
      </c>
      <c r="BKB1115" s="379" t="s">
        <v>3783</v>
      </c>
      <c r="BKC1115" s="379" t="s">
        <v>3783</v>
      </c>
      <c r="BKD1115" s="379" t="s">
        <v>3783</v>
      </c>
      <c r="BKE1115" s="379" t="s">
        <v>3783</v>
      </c>
      <c r="BKF1115" s="379" t="s">
        <v>3783</v>
      </c>
      <c r="BKG1115" s="379" t="s">
        <v>3783</v>
      </c>
      <c r="BKH1115" s="379" t="s">
        <v>3783</v>
      </c>
      <c r="BKI1115" s="379" t="s">
        <v>3783</v>
      </c>
      <c r="BKJ1115" s="379" t="s">
        <v>3783</v>
      </c>
      <c r="BKK1115" s="379" t="s">
        <v>3783</v>
      </c>
      <c r="BKL1115" s="379" t="s">
        <v>3783</v>
      </c>
      <c r="BKM1115" s="379" t="s">
        <v>3783</v>
      </c>
      <c r="BKN1115" s="379" t="s">
        <v>3783</v>
      </c>
      <c r="BKO1115" s="379" t="s">
        <v>3783</v>
      </c>
      <c r="BKP1115" s="379" t="s">
        <v>3783</v>
      </c>
      <c r="BKQ1115" s="379" t="s">
        <v>3783</v>
      </c>
      <c r="BKR1115" s="379" t="s">
        <v>3783</v>
      </c>
      <c r="BKS1115" s="379" t="s">
        <v>3783</v>
      </c>
      <c r="BKT1115" s="379" t="s">
        <v>3783</v>
      </c>
      <c r="BKU1115" s="379" t="s">
        <v>3783</v>
      </c>
      <c r="BKV1115" s="379" t="s">
        <v>3783</v>
      </c>
      <c r="BKW1115" s="379" t="s">
        <v>3783</v>
      </c>
      <c r="BKX1115" s="379" t="s">
        <v>3783</v>
      </c>
      <c r="BKY1115" s="379" t="s">
        <v>3783</v>
      </c>
      <c r="BKZ1115" s="379" t="s">
        <v>3783</v>
      </c>
      <c r="BLA1115" s="379" t="s">
        <v>3783</v>
      </c>
      <c r="BLB1115" s="379" t="s">
        <v>3783</v>
      </c>
      <c r="BLC1115" s="379" t="s">
        <v>3783</v>
      </c>
      <c r="BLD1115" s="379" t="s">
        <v>3783</v>
      </c>
      <c r="BLE1115" s="379" t="s">
        <v>3783</v>
      </c>
      <c r="BLF1115" s="379" t="s">
        <v>3783</v>
      </c>
      <c r="BLG1115" s="379" t="s">
        <v>3783</v>
      </c>
      <c r="BLH1115" s="379" t="s">
        <v>3783</v>
      </c>
      <c r="BLI1115" s="379" t="s">
        <v>3783</v>
      </c>
      <c r="BLJ1115" s="379" t="s">
        <v>3783</v>
      </c>
      <c r="BLK1115" s="379" t="s">
        <v>3783</v>
      </c>
      <c r="BLL1115" s="379" t="s">
        <v>3783</v>
      </c>
      <c r="BLM1115" s="379" t="s">
        <v>3783</v>
      </c>
      <c r="BLN1115" s="379" t="s">
        <v>3783</v>
      </c>
      <c r="BLO1115" s="379" t="s">
        <v>3783</v>
      </c>
      <c r="BLP1115" s="379" t="s">
        <v>3783</v>
      </c>
      <c r="BLQ1115" s="379" t="s">
        <v>3783</v>
      </c>
      <c r="BLR1115" s="379" t="s">
        <v>3783</v>
      </c>
      <c r="BLS1115" s="379" t="s">
        <v>3783</v>
      </c>
      <c r="BLT1115" s="379" t="s">
        <v>3783</v>
      </c>
      <c r="BLU1115" s="379" t="s">
        <v>3783</v>
      </c>
      <c r="BLV1115" s="379" t="s">
        <v>3783</v>
      </c>
      <c r="BLW1115" s="379" t="s">
        <v>3783</v>
      </c>
      <c r="BLX1115" s="379" t="s">
        <v>3783</v>
      </c>
      <c r="BLY1115" s="379" t="s">
        <v>3783</v>
      </c>
      <c r="BLZ1115" s="379" t="s">
        <v>3783</v>
      </c>
      <c r="BMA1115" s="379" t="s">
        <v>3783</v>
      </c>
      <c r="BMB1115" s="379" t="s">
        <v>3783</v>
      </c>
      <c r="BMC1115" s="379" t="s">
        <v>3783</v>
      </c>
      <c r="BMD1115" s="379" t="s">
        <v>3783</v>
      </c>
      <c r="BME1115" s="379" t="s">
        <v>3783</v>
      </c>
      <c r="BMF1115" s="379" t="s">
        <v>3783</v>
      </c>
      <c r="BMG1115" s="379" t="s">
        <v>3783</v>
      </c>
      <c r="BMH1115" s="379" t="s">
        <v>3783</v>
      </c>
      <c r="BMI1115" s="379" t="s">
        <v>3783</v>
      </c>
      <c r="BMJ1115" s="379" t="s">
        <v>3783</v>
      </c>
      <c r="BMK1115" s="379" t="s">
        <v>3783</v>
      </c>
      <c r="BML1115" s="379" t="s">
        <v>3783</v>
      </c>
      <c r="BMM1115" s="379" t="s">
        <v>3783</v>
      </c>
      <c r="BMN1115" s="379" t="s">
        <v>3783</v>
      </c>
      <c r="BMO1115" s="379" t="s">
        <v>3783</v>
      </c>
      <c r="BMP1115" s="379" t="s">
        <v>3783</v>
      </c>
      <c r="BMQ1115" s="379" t="s">
        <v>3783</v>
      </c>
      <c r="BMR1115" s="379" t="s">
        <v>3783</v>
      </c>
      <c r="BMS1115" s="379" t="s">
        <v>3783</v>
      </c>
      <c r="BMT1115" s="379" t="s">
        <v>3783</v>
      </c>
      <c r="BMU1115" s="379" t="s">
        <v>3783</v>
      </c>
      <c r="BMV1115" s="379" t="s">
        <v>3783</v>
      </c>
      <c r="BMW1115" s="379" t="s">
        <v>3783</v>
      </c>
      <c r="BMX1115" s="379" t="s">
        <v>3783</v>
      </c>
      <c r="BMY1115" s="379" t="s">
        <v>3783</v>
      </c>
      <c r="BMZ1115" s="379" t="s">
        <v>3783</v>
      </c>
      <c r="BNA1115" s="379" t="s">
        <v>3783</v>
      </c>
      <c r="BNB1115" s="379" t="s">
        <v>3783</v>
      </c>
      <c r="BNC1115" s="379" t="s">
        <v>3783</v>
      </c>
      <c r="BND1115" s="379" t="s">
        <v>3783</v>
      </c>
      <c r="BNE1115" s="379" t="s">
        <v>3783</v>
      </c>
      <c r="BNF1115" s="379" t="s">
        <v>3783</v>
      </c>
      <c r="BNG1115" s="379" t="s">
        <v>3783</v>
      </c>
      <c r="BNH1115" s="379" t="s">
        <v>3783</v>
      </c>
      <c r="BNI1115" s="379" t="s">
        <v>3783</v>
      </c>
      <c r="BNJ1115" s="379" t="s">
        <v>3783</v>
      </c>
      <c r="BNK1115" s="379" t="s">
        <v>3783</v>
      </c>
      <c r="BNL1115" s="379" t="s">
        <v>3783</v>
      </c>
      <c r="BNM1115" s="379" t="s">
        <v>3783</v>
      </c>
      <c r="BNN1115" s="379" t="s">
        <v>3783</v>
      </c>
      <c r="BNO1115" s="379" t="s">
        <v>3783</v>
      </c>
      <c r="BNP1115" s="379" t="s">
        <v>3783</v>
      </c>
      <c r="BNQ1115" s="379" t="s">
        <v>3783</v>
      </c>
      <c r="BNR1115" s="379" t="s">
        <v>3783</v>
      </c>
      <c r="BNS1115" s="379" t="s">
        <v>3783</v>
      </c>
      <c r="BNT1115" s="379" t="s">
        <v>3783</v>
      </c>
      <c r="BNU1115" s="379" t="s">
        <v>3783</v>
      </c>
      <c r="BNV1115" s="379" t="s">
        <v>3783</v>
      </c>
      <c r="BNW1115" s="379" t="s">
        <v>3783</v>
      </c>
      <c r="BNX1115" s="379" t="s">
        <v>3783</v>
      </c>
      <c r="BNY1115" s="379" t="s">
        <v>3783</v>
      </c>
      <c r="BNZ1115" s="379" t="s">
        <v>3783</v>
      </c>
      <c r="BOA1115" s="379" t="s">
        <v>3783</v>
      </c>
      <c r="BOB1115" s="379" t="s">
        <v>3783</v>
      </c>
      <c r="BOC1115" s="379" t="s">
        <v>3783</v>
      </c>
      <c r="BOD1115" s="379" t="s">
        <v>3783</v>
      </c>
      <c r="BOE1115" s="379" t="s">
        <v>3783</v>
      </c>
      <c r="BOF1115" s="379" t="s">
        <v>3783</v>
      </c>
      <c r="BOG1115" s="379" t="s">
        <v>3783</v>
      </c>
      <c r="BOH1115" s="379" t="s">
        <v>3783</v>
      </c>
      <c r="BOI1115" s="379" t="s">
        <v>3783</v>
      </c>
      <c r="BOJ1115" s="379" t="s">
        <v>3783</v>
      </c>
      <c r="BOK1115" s="379" t="s">
        <v>3783</v>
      </c>
      <c r="BOL1115" s="379" t="s">
        <v>3783</v>
      </c>
      <c r="BOM1115" s="379" t="s">
        <v>3783</v>
      </c>
      <c r="BON1115" s="379" t="s">
        <v>3783</v>
      </c>
      <c r="BOO1115" s="379" t="s">
        <v>3783</v>
      </c>
      <c r="BOP1115" s="379" t="s">
        <v>3783</v>
      </c>
      <c r="BOQ1115" s="379" t="s">
        <v>3783</v>
      </c>
      <c r="BOR1115" s="379" t="s">
        <v>3783</v>
      </c>
      <c r="BOS1115" s="379" t="s">
        <v>3783</v>
      </c>
      <c r="BOT1115" s="379" t="s">
        <v>3783</v>
      </c>
      <c r="BOU1115" s="379" t="s">
        <v>3783</v>
      </c>
      <c r="BOV1115" s="379" t="s">
        <v>3783</v>
      </c>
      <c r="BOW1115" s="379" t="s">
        <v>3783</v>
      </c>
      <c r="BOX1115" s="379" t="s">
        <v>3783</v>
      </c>
      <c r="BOY1115" s="379" t="s">
        <v>3783</v>
      </c>
      <c r="BOZ1115" s="379" t="s">
        <v>3783</v>
      </c>
      <c r="BPA1115" s="379" t="s">
        <v>3783</v>
      </c>
      <c r="BPB1115" s="379" t="s">
        <v>3783</v>
      </c>
      <c r="BPC1115" s="379" t="s">
        <v>3783</v>
      </c>
      <c r="BPD1115" s="379" t="s">
        <v>3783</v>
      </c>
      <c r="BPE1115" s="379" t="s">
        <v>3783</v>
      </c>
      <c r="BPF1115" s="379" t="s">
        <v>3783</v>
      </c>
      <c r="BPG1115" s="379" t="s">
        <v>3783</v>
      </c>
      <c r="BPH1115" s="379" t="s">
        <v>3783</v>
      </c>
      <c r="BPI1115" s="379" t="s">
        <v>3783</v>
      </c>
      <c r="BPJ1115" s="379" t="s">
        <v>3783</v>
      </c>
      <c r="BPK1115" s="379" t="s">
        <v>3783</v>
      </c>
      <c r="BPL1115" s="379" t="s">
        <v>3783</v>
      </c>
      <c r="BPM1115" s="379" t="s">
        <v>3783</v>
      </c>
      <c r="BPN1115" s="379" t="s">
        <v>3783</v>
      </c>
      <c r="BPO1115" s="379" t="s">
        <v>3783</v>
      </c>
      <c r="BPP1115" s="379" t="s">
        <v>3783</v>
      </c>
      <c r="BPQ1115" s="379" t="s">
        <v>3783</v>
      </c>
      <c r="BPR1115" s="379" t="s">
        <v>3783</v>
      </c>
      <c r="BPS1115" s="379" t="s">
        <v>3783</v>
      </c>
      <c r="BPT1115" s="379" t="s">
        <v>3783</v>
      </c>
      <c r="BPU1115" s="379" t="s">
        <v>3783</v>
      </c>
      <c r="BPV1115" s="379" t="s">
        <v>3783</v>
      </c>
      <c r="BPW1115" s="379" t="s">
        <v>3783</v>
      </c>
      <c r="BPX1115" s="379" t="s">
        <v>3783</v>
      </c>
      <c r="BPY1115" s="379" t="s">
        <v>3783</v>
      </c>
      <c r="BPZ1115" s="379" t="s">
        <v>3783</v>
      </c>
      <c r="BQA1115" s="379" t="s">
        <v>3783</v>
      </c>
      <c r="BQB1115" s="379" t="s">
        <v>3783</v>
      </c>
      <c r="BQC1115" s="379" t="s">
        <v>3783</v>
      </c>
      <c r="BQD1115" s="379" t="s">
        <v>3783</v>
      </c>
      <c r="BQE1115" s="379" t="s">
        <v>3783</v>
      </c>
      <c r="BQF1115" s="379" t="s">
        <v>3783</v>
      </c>
      <c r="BQG1115" s="379" t="s">
        <v>3783</v>
      </c>
      <c r="BQH1115" s="379" t="s">
        <v>3783</v>
      </c>
      <c r="BQI1115" s="379" t="s">
        <v>3783</v>
      </c>
      <c r="BQJ1115" s="379" t="s">
        <v>3783</v>
      </c>
      <c r="BQK1115" s="379" t="s">
        <v>3783</v>
      </c>
      <c r="BQL1115" s="379" t="s">
        <v>3783</v>
      </c>
      <c r="BQM1115" s="379" t="s">
        <v>3783</v>
      </c>
      <c r="BQN1115" s="379" t="s">
        <v>3783</v>
      </c>
      <c r="BQO1115" s="379" t="s">
        <v>3783</v>
      </c>
      <c r="BQP1115" s="379" t="s">
        <v>3783</v>
      </c>
      <c r="BQQ1115" s="379" t="s">
        <v>3783</v>
      </c>
      <c r="BQR1115" s="379" t="s">
        <v>3783</v>
      </c>
      <c r="BQS1115" s="379" t="s">
        <v>3783</v>
      </c>
      <c r="BQT1115" s="379" t="s">
        <v>3783</v>
      </c>
      <c r="BQU1115" s="379" t="s">
        <v>3783</v>
      </c>
      <c r="BQV1115" s="379" t="s">
        <v>3783</v>
      </c>
      <c r="BQW1115" s="379" t="s">
        <v>3783</v>
      </c>
      <c r="BQX1115" s="379" t="s">
        <v>3783</v>
      </c>
      <c r="BQY1115" s="379" t="s">
        <v>3783</v>
      </c>
      <c r="BQZ1115" s="379" t="s">
        <v>3783</v>
      </c>
      <c r="BRA1115" s="379" t="s">
        <v>3783</v>
      </c>
      <c r="BRB1115" s="379" t="s">
        <v>3783</v>
      </c>
      <c r="BRC1115" s="379" t="s">
        <v>3783</v>
      </c>
      <c r="BRD1115" s="379" t="s">
        <v>3783</v>
      </c>
      <c r="BRE1115" s="379" t="s">
        <v>3783</v>
      </c>
      <c r="BRF1115" s="379" t="s">
        <v>3783</v>
      </c>
      <c r="BRG1115" s="379" t="s">
        <v>3783</v>
      </c>
      <c r="BRH1115" s="379" t="s">
        <v>3783</v>
      </c>
      <c r="BRI1115" s="379" t="s">
        <v>3783</v>
      </c>
      <c r="BRJ1115" s="379" t="s">
        <v>3783</v>
      </c>
      <c r="BRK1115" s="379" t="s">
        <v>3783</v>
      </c>
      <c r="BRL1115" s="379" t="s">
        <v>3783</v>
      </c>
      <c r="BRM1115" s="379" t="s">
        <v>3783</v>
      </c>
      <c r="BRN1115" s="379" t="s">
        <v>3783</v>
      </c>
      <c r="BRO1115" s="379" t="s">
        <v>3783</v>
      </c>
      <c r="BRP1115" s="379" t="s">
        <v>3783</v>
      </c>
      <c r="BRQ1115" s="379" t="s">
        <v>3783</v>
      </c>
      <c r="BRR1115" s="379" t="s">
        <v>3783</v>
      </c>
      <c r="BRS1115" s="379" t="s">
        <v>3783</v>
      </c>
      <c r="BRT1115" s="379" t="s">
        <v>3783</v>
      </c>
      <c r="BRU1115" s="379" t="s">
        <v>3783</v>
      </c>
      <c r="BRV1115" s="379" t="s">
        <v>3783</v>
      </c>
      <c r="BRW1115" s="379" t="s">
        <v>3783</v>
      </c>
      <c r="BRX1115" s="379" t="s">
        <v>3783</v>
      </c>
      <c r="BRY1115" s="379" t="s">
        <v>3783</v>
      </c>
      <c r="BRZ1115" s="379" t="s">
        <v>3783</v>
      </c>
      <c r="BSA1115" s="379" t="s">
        <v>3783</v>
      </c>
      <c r="BSB1115" s="379" t="s">
        <v>3783</v>
      </c>
      <c r="BSC1115" s="379" t="s">
        <v>3783</v>
      </c>
      <c r="BSD1115" s="379" t="s">
        <v>3783</v>
      </c>
      <c r="BSE1115" s="379" t="s">
        <v>3783</v>
      </c>
      <c r="BSF1115" s="379" t="s">
        <v>3783</v>
      </c>
      <c r="BSG1115" s="379" t="s">
        <v>3783</v>
      </c>
      <c r="BSH1115" s="379" t="s">
        <v>3783</v>
      </c>
      <c r="BSI1115" s="379" t="s">
        <v>3783</v>
      </c>
      <c r="BSJ1115" s="379" t="s">
        <v>3783</v>
      </c>
      <c r="BSK1115" s="379" t="s">
        <v>3783</v>
      </c>
      <c r="BSL1115" s="379" t="s">
        <v>3783</v>
      </c>
      <c r="BSM1115" s="379" t="s">
        <v>3783</v>
      </c>
      <c r="BSN1115" s="379" t="s">
        <v>3783</v>
      </c>
      <c r="BSO1115" s="379" t="s">
        <v>3783</v>
      </c>
      <c r="BSP1115" s="379" t="s">
        <v>3783</v>
      </c>
      <c r="BSQ1115" s="379" t="s">
        <v>3783</v>
      </c>
      <c r="BSR1115" s="379" t="s">
        <v>3783</v>
      </c>
      <c r="BSS1115" s="379" t="s">
        <v>3783</v>
      </c>
      <c r="BST1115" s="379" t="s">
        <v>3783</v>
      </c>
      <c r="BSU1115" s="379" t="s">
        <v>3783</v>
      </c>
      <c r="BSV1115" s="379" t="s">
        <v>3783</v>
      </c>
      <c r="BSW1115" s="379" t="s">
        <v>3783</v>
      </c>
      <c r="BSX1115" s="379" t="s">
        <v>3783</v>
      </c>
      <c r="BSY1115" s="379" t="s">
        <v>3783</v>
      </c>
      <c r="BSZ1115" s="379" t="s">
        <v>3783</v>
      </c>
      <c r="BTA1115" s="379" t="s">
        <v>3783</v>
      </c>
      <c r="BTB1115" s="379" t="s">
        <v>3783</v>
      </c>
      <c r="BTC1115" s="379" t="s">
        <v>3783</v>
      </c>
      <c r="BTD1115" s="379" t="s">
        <v>3783</v>
      </c>
      <c r="BTE1115" s="379" t="s">
        <v>3783</v>
      </c>
      <c r="BTF1115" s="379" t="s">
        <v>3783</v>
      </c>
      <c r="BTG1115" s="379" t="s">
        <v>3783</v>
      </c>
      <c r="BTH1115" s="379" t="s">
        <v>3783</v>
      </c>
      <c r="BTI1115" s="379" t="s">
        <v>3783</v>
      </c>
      <c r="BTJ1115" s="379" t="s">
        <v>3783</v>
      </c>
      <c r="BTK1115" s="379" t="s">
        <v>3783</v>
      </c>
      <c r="BTL1115" s="379" t="s">
        <v>3783</v>
      </c>
      <c r="BTM1115" s="379" t="s">
        <v>3783</v>
      </c>
      <c r="BTN1115" s="379" t="s">
        <v>3783</v>
      </c>
      <c r="BTO1115" s="379" t="s">
        <v>3783</v>
      </c>
      <c r="BTP1115" s="379" t="s">
        <v>3783</v>
      </c>
      <c r="BTQ1115" s="379" t="s">
        <v>3783</v>
      </c>
      <c r="BTR1115" s="379" t="s">
        <v>3783</v>
      </c>
      <c r="BTS1115" s="379" t="s">
        <v>3783</v>
      </c>
      <c r="BTT1115" s="379" t="s">
        <v>3783</v>
      </c>
      <c r="BTU1115" s="379" t="s">
        <v>3783</v>
      </c>
      <c r="BTV1115" s="379" t="s">
        <v>3783</v>
      </c>
      <c r="BTW1115" s="379" t="s">
        <v>3783</v>
      </c>
      <c r="BTX1115" s="379" t="s">
        <v>3783</v>
      </c>
      <c r="BTY1115" s="379" t="s">
        <v>3783</v>
      </c>
      <c r="BTZ1115" s="379" t="s">
        <v>3783</v>
      </c>
      <c r="BUA1115" s="379" t="s">
        <v>3783</v>
      </c>
      <c r="BUB1115" s="379" t="s">
        <v>3783</v>
      </c>
      <c r="BUC1115" s="379" t="s">
        <v>3783</v>
      </c>
      <c r="BUD1115" s="379" t="s">
        <v>3783</v>
      </c>
      <c r="BUE1115" s="379" t="s">
        <v>3783</v>
      </c>
      <c r="BUF1115" s="379" t="s">
        <v>3783</v>
      </c>
      <c r="BUG1115" s="379" t="s">
        <v>3783</v>
      </c>
      <c r="BUH1115" s="379" t="s">
        <v>3783</v>
      </c>
      <c r="BUI1115" s="379" t="s">
        <v>3783</v>
      </c>
      <c r="BUJ1115" s="379" t="s">
        <v>3783</v>
      </c>
      <c r="BUK1115" s="379" t="s">
        <v>3783</v>
      </c>
      <c r="BUL1115" s="379" t="s">
        <v>3783</v>
      </c>
      <c r="BUM1115" s="379" t="s">
        <v>3783</v>
      </c>
      <c r="BUN1115" s="379" t="s">
        <v>3783</v>
      </c>
      <c r="BUO1115" s="379" t="s">
        <v>3783</v>
      </c>
      <c r="BUP1115" s="379" t="s">
        <v>3783</v>
      </c>
      <c r="BUQ1115" s="379" t="s">
        <v>3783</v>
      </c>
      <c r="BUR1115" s="379" t="s">
        <v>3783</v>
      </c>
      <c r="BUS1115" s="379" t="s">
        <v>3783</v>
      </c>
      <c r="BUT1115" s="379" t="s">
        <v>3783</v>
      </c>
      <c r="BUU1115" s="379" t="s">
        <v>3783</v>
      </c>
      <c r="BUV1115" s="379" t="s">
        <v>3783</v>
      </c>
      <c r="BUW1115" s="379" t="s">
        <v>3783</v>
      </c>
      <c r="BUX1115" s="379" t="s">
        <v>3783</v>
      </c>
      <c r="BUY1115" s="379" t="s">
        <v>3783</v>
      </c>
      <c r="BUZ1115" s="379" t="s">
        <v>3783</v>
      </c>
      <c r="BVA1115" s="379" t="s">
        <v>3783</v>
      </c>
      <c r="BVB1115" s="379" t="s">
        <v>3783</v>
      </c>
      <c r="BVC1115" s="379" t="s">
        <v>3783</v>
      </c>
      <c r="BVD1115" s="379" t="s">
        <v>3783</v>
      </c>
      <c r="BVE1115" s="379" t="s">
        <v>3783</v>
      </c>
      <c r="BVF1115" s="379" t="s">
        <v>3783</v>
      </c>
      <c r="BVG1115" s="379" t="s">
        <v>3783</v>
      </c>
      <c r="BVH1115" s="379" t="s">
        <v>3783</v>
      </c>
      <c r="BVI1115" s="379" t="s">
        <v>3783</v>
      </c>
      <c r="BVJ1115" s="379" t="s">
        <v>3783</v>
      </c>
      <c r="BVK1115" s="379" t="s">
        <v>3783</v>
      </c>
      <c r="BVL1115" s="379" t="s">
        <v>3783</v>
      </c>
      <c r="BVM1115" s="379" t="s">
        <v>3783</v>
      </c>
      <c r="BVN1115" s="379" t="s">
        <v>3783</v>
      </c>
      <c r="BVO1115" s="379" t="s">
        <v>3783</v>
      </c>
      <c r="BVP1115" s="379" t="s">
        <v>3783</v>
      </c>
      <c r="BVQ1115" s="379" t="s">
        <v>3783</v>
      </c>
      <c r="BVR1115" s="379" t="s">
        <v>3783</v>
      </c>
      <c r="BVS1115" s="379" t="s">
        <v>3783</v>
      </c>
      <c r="BVT1115" s="379" t="s">
        <v>3783</v>
      </c>
      <c r="BVU1115" s="379" t="s">
        <v>3783</v>
      </c>
      <c r="BVV1115" s="379" t="s">
        <v>3783</v>
      </c>
      <c r="BVW1115" s="379" t="s">
        <v>3783</v>
      </c>
      <c r="BVX1115" s="379" t="s">
        <v>3783</v>
      </c>
      <c r="BVY1115" s="379" t="s">
        <v>3783</v>
      </c>
      <c r="BVZ1115" s="379" t="s">
        <v>3783</v>
      </c>
      <c r="BWA1115" s="379" t="s">
        <v>3783</v>
      </c>
      <c r="BWB1115" s="379" t="s">
        <v>3783</v>
      </c>
      <c r="BWC1115" s="379" t="s">
        <v>3783</v>
      </c>
      <c r="BWD1115" s="379" t="s">
        <v>3783</v>
      </c>
      <c r="BWE1115" s="379" t="s">
        <v>3783</v>
      </c>
      <c r="BWF1115" s="379" t="s">
        <v>3783</v>
      </c>
      <c r="BWG1115" s="379" t="s">
        <v>3783</v>
      </c>
      <c r="BWH1115" s="379" t="s">
        <v>3783</v>
      </c>
      <c r="BWI1115" s="379" t="s">
        <v>3783</v>
      </c>
      <c r="BWJ1115" s="379" t="s">
        <v>3783</v>
      </c>
      <c r="BWK1115" s="379" t="s">
        <v>3783</v>
      </c>
      <c r="BWL1115" s="379" t="s">
        <v>3783</v>
      </c>
      <c r="BWM1115" s="379" t="s">
        <v>3783</v>
      </c>
      <c r="BWN1115" s="379" t="s">
        <v>3783</v>
      </c>
      <c r="BWO1115" s="379" t="s">
        <v>3783</v>
      </c>
      <c r="BWP1115" s="379" t="s">
        <v>3783</v>
      </c>
      <c r="BWQ1115" s="379" t="s">
        <v>3783</v>
      </c>
      <c r="BWR1115" s="379" t="s">
        <v>3783</v>
      </c>
      <c r="BWS1115" s="379" t="s">
        <v>3783</v>
      </c>
      <c r="BWT1115" s="379" t="s">
        <v>3783</v>
      </c>
      <c r="BWU1115" s="379" t="s">
        <v>3783</v>
      </c>
      <c r="BWV1115" s="379" t="s">
        <v>3783</v>
      </c>
      <c r="BWW1115" s="379" t="s">
        <v>3783</v>
      </c>
      <c r="BWX1115" s="379" t="s">
        <v>3783</v>
      </c>
      <c r="BWY1115" s="379" t="s">
        <v>3783</v>
      </c>
      <c r="BWZ1115" s="379" t="s">
        <v>3783</v>
      </c>
      <c r="BXA1115" s="379" t="s">
        <v>3783</v>
      </c>
      <c r="BXB1115" s="379" t="s">
        <v>3783</v>
      </c>
      <c r="BXC1115" s="379" t="s">
        <v>3783</v>
      </c>
      <c r="BXD1115" s="379" t="s">
        <v>3783</v>
      </c>
      <c r="BXE1115" s="379" t="s">
        <v>3783</v>
      </c>
      <c r="BXF1115" s="379" t="s">
        <v>3783</v>
      </c>
      <c r="BXG1115" s="379" t="s">
        <v>3783</v>
      </c>
      <c r="BXH1115" s="379" t="s">
        <v>3783</v>
      </c>
      <c r="BXI1115" s="379" t="s">
        <v>3783</v>
      </c>
      <c r="BXJ1115" s="379" t="s">
        <v>3783</v>
      </c>
      <c r="BXK1115" s="379" t="s">
        <v>3783</v>
      </c>
      <c r="BXL1115" s="379" t="s">
        <v>3783</v>
      </c>
      <c r="BXM1115" s="379" t="s">
        <v>3783</v>
      </c>
      <c r="BXN1115" s="379" t="s">
        <v>3783</v>
      </c>
      <c r="BXO1115" s="379" t="s">
        <v>3783</v>
      </c>
      <c r="BXP1115" s="379" t="s">
        <v>3783</v>
      </c>
      <c r="BXQ1115" s="379" t="s">
        <v>3783</v>
      </c>
      <c r="BXR1115" s="379" t="s">
        <v>3783</v>
      </c>
      <c r="BXS1115" s="379" t="s">
        <v>3783</v>
      </c>
      <c r="BXT1115" s="379" t="s">
        <v>3783</v>
      </c>
      <c r="BXU1115" s="379" t="s">
        <v>3783</v>
      </c>
      <c r="BXV1115" s="379" t="s">
        <v>3783</v>
      </c>
      <c r="BXW1115" s="379" t="s">
        <v>3783</v>
      </c>
      <c r="BXX1115" s="379" t="s">
        <v>3783</v>
      </c>
      <c r="BXY1115" s="379" t="s">
        <v>3783</v>
      </c>
      <c r="BXZ1115" s="379" t="s">
        <v>3783</v>
      </c>
      <c r="BYA1115" s="379" t="s">
        <v>3783</v>
      </c>
      <c r="BYB1115" s="379" t="s">
        <v>3783</v>
      </c>
      <c r="BYC1115" s="379" t="s">
        <v>3783</v>
      </c>
      <c r="BYD1115" s="379" t="s">
        <v>3783</v>
      </c>
      <c r="BYE1115" s="379" t="s">
        <v>3783</v>
      </c>
      <c r="BYF1115" s="379" t="s">
        <v>3783</v>
      </c>
      <c r="BYG1115" s="379" t="s">
        <v>3783</v>
      </c>
      <c r="BYH1115" s="379" t="s">
        <v>3783</v>
      </c>
      <c r="BYI1115" s="379" t="s">
        <v>3783</v>
      </c>
      <c r="BYJ1115" s="379" t="s">
        <v>3783</v>
      </c>
      <c r="BYK1115" s="379" t="s">
        <v>3783</v>
      </c>
      <c r="BYL1115" s="379" t="s">
        <v>3783</v>
      </c>
      <c r="BYM1115" s="379" t="s">
        <v>3783</v>
      </c>
      <c r="BYN1115" s="379" t="s">
        <v>3783</v>
      </c>
      <c r="BYO1115" s="379" t="s">
        <v>3783</v>
      </c>
      <c r="BYP1115" s="379" t="s">
        <v>3783</v>
      </c>
      <c r="BYQ1115" s="379" t="s">
        <v>3783</v>
      </c>
      <c r="BYR1115" s="379" t="s">
        <v>3783</v>
      </c>
      <c r="BYS1115" s="379" t="s">
        <v>3783</v>
      </c>
      <c r="BYT1115" s="379" t="s">
        <v>3783</v>
      </c>
      <c r="BYU1115" s="379" t="s">
        <v>3783</v>
      </c>
      <c r="BYV1115" s="379" t="s">
        <v>3783</v>
      </c>
      <c r="BYW1115" s="379" t="s">
        <v>3783</v>
      </c>
      <c r="BYX1115" s="379" t="s">
        <v>3783</v>
      </c>
      <c r="BYY1115" s="379" t="s">
        <v>3783</v>
      </c>
      <c r="BYZ1115" s="379" t="s">
        <v>3783</v>
      </c>
      <c r="BZA1115" s="379" t="s">
        <v>3783</v>
      </c>
      <c r="BZB1115" s="379" t="s">
        <v>3783</v>
      </c>
      <c r="BZC1115" s="379" t="s">
        <v>3783</v>
      </c>
      <c r="BZD1115" s="379" t="s">
        <v>3783</v>
      </c>
      <c r="BZE1115" s="379" t="s">
        <v>3783</v>
      </c>
      <c r="BZF1115" s="379" t="s">
        <v>3783</v>
      </c>
      <c r="BZG1115" s="379" t="s">
        <v>3783</v>
      </c>
      <c r="BZH1115" s="379" t="s">
        <v>3783</v>
      </c>
      <c r="BZI1115" s="379" t="s">
        <v>3783</v>
      </c>
      <c r="BZJ1115" s="379" t="s">
        <v>3783</v>
      </c>
      <c r="BZK1115" s="379" t="s">
        <v>3783</v>
      </c>
      <c r="BZL1115" s="379" t="s">
        <v>3783</v>
      </c>
      <c r="BZM1115" s="379" t="s">
        <v>3783</v>
      </c>
      <c r="BZN1115" s="379" t="s">
        <v>3783</v>
      </c>
      <c r="BZO1115" s="379" t="s">
        <v>3783</v>
      </c>
      <c r="BZP1115" s="379" t="s">
        <v>3783</v>
      </c>
      <c r="BZQ1115" s="379" t="s">
        <v>3783</v>
      </c>
      <c r="BZR1115" s="379" t="s">
        <v>3783</v>
      </c>
      <c r="BZS1115" s="379" t="s">
        <v>3783</v>
      </c>
      <c r="BZT1115" s="379" t="s">
        <v>3783</v>
      </c>
      <c r="BZU1115" s="379" t="s">
        <v>3783</v>
      </c>
      <c r="BZV1115" s="379" t="s">
        <v>3783</v>
      </c>
      <c r="BZW1115" s="379" t="s">
        <v>3783</v>
      </c>
      <c r="BZX1115" s="379" t="s">
        <v>3783</v>
      </c>
      <c r="BZY1115" s="379" t="s">
        <v>3783</v>
      </c>
      <c r="BZZ1115" s="379" t="s">
        <v>3783</v>
      </c>
      <c r="CAA1115" s="379" t="s">
        <v>3783</v>
      </c>
      <c r="CAB1115" s="379" t="s">
        <v>3783</v>
      </c>
      <c r="CAC1115" s="379" t="s">
        <v>3783</v>
      </c>
      <c r="CAD1115" s="379" t="s">
        <v>3783</v>
      </c>
      <c r="CAE1115" s="379" t="s">
        <v>3783</v>
      </c>
      <c r="CAF1115" s="379" t="s">
        <v>3783</v>
      </c>
      <c r="CAG1115" s="379" t="s">
        <v>3783</v>
      </c>
      <c r="CAH1115" s="379" t="s">
        <v>3783</v>
      </c>
      <c r="CAI1115" s="379" t="s">
        <v>3783</v>
      </c>
      <c r="CAJ1115" s="379" t="s">
        <v>3783</v>
      </c>
      <c r="CAK1115" s="379" t="s">
        <v>3783</v>
      </c>
      <c r="CAL1115" s="379" t="s">
        <v>3783</v>
      </c>
      <c r="CAM1115" s="379" t="s">
        <v>3783</v>
      </c>
      <c r="CAN1115" s="379" t="s">
        <v>3783</v>
      </c>
      <c r="CAO1115" s="379" t="s">
        <v>3783</v>
      </c>
      <c r="CAP1115" s="379" t="s">
        <v>3783</v>
      </c>
      <c r="CAQ1115" s="379" t="s">
        <v>3783</v>
      </c>
      <c r="CAR1115" s="379" t="s">
        <v>3783</v>
      </c>
      <c r="CAS1115" s="379" t="s">
        <v>3783</v>
      </c>
      <c r="CAT1115" s="379" t="s">
        <v>3783</v>
      </c>
      <c r="CAU1115" s="379" t="s">
        <v>3783</v>
      </c>
      <c r="CAV1115" s="379" t="s">
        <v>3783</v>
      </c>
      <c r="CAW1115" s="379" t="s">
        <v>3783</v>
      </c>
      <c r="CAX1115" s="379" t="s">
        <v>3783</v>
      </c>
      <c r="CAY1115" s="379" t="s">
        <v>3783</v>
      </c>
      <c r="CAZ1115" s="379" t="s">
        <v>3783</v>
      </c>
      <c r="CBA1115" s="379" t="s">
        <v>3783</v>
      </c>
      <c r="CBB1115" s="379" t="s">
        <v>3783</v>
      </c>
      <c r="CBC1115" s="379" t="s">
        <v>3783</v>
      </c>
      <c r="CBD1115" s="379" t="s">
        <v>3783</v>
      </c>
      <c r="CBE1115" s="379" t="s">
        <v>3783</v>
      </c>
      <c r="CBF1115" s="379" t="s">
        <v>3783</v>
      </c>
      <c r="CBG1115" s="379" t="s">
        <v>3783</v>
      </c>
      <c r="CBH1115" s="379" t="s">
        <v>3783</v>
      </c>
      <c r="CBI1115" s="379" t="s">
        <v>3783</v>
      </c>
      <c r="CBJ1115" s="379" t="s">
        <v>3783</v>
      </c>
      <c r="CBK1115" s="379" t="s">
        <v>3783</v>
      </c>
      <c r="CBL1115" s="379" t="s">
        <v>3783</v>
      </c>
      <c r="CBM1115" s="379" t="s">
        <v>3783</v>
      </c>
      <c r="CBN1115" s="379" t="s">
        <v>3783</v>
      </c>
      <c r="CBO1115" s="379" t="s">
        <v>3783</v>
      </c>
      <c r="CBP1115" s="379" t="s">
        <v>3783</v>
      </c>
      <c r="CBQ1115" s="379" t="s">
        <v>3783</v>
      </c>
      <c r="CBR1115" s="379" t="s">
        <v>3783</v>
      </c>
      <c r="CBS1115" s="379" t="s">
        <v>3783</v>
      </c>
      <c r="CBT1115" s="379" t="s">
        <v>3783</v>
      </c>
      <c r="CBU1115" s="379" t="s">
        <v>3783</v>
      </c>
      <c r="CBV1115" s="379" t="s">
        <v>3783</v>
      </c>
      <c r="CBW1115" s="379" t="s">
        <v>3783</v>
      </c>
      <c r="CBX1115" s="379" t="s">
        <v>3783</v>
      </c>
      <c r="CBY1115" s="379" t="s">
        <v>3783</v>
      </c>
      <c r="CBZ1115" s="379" t="s">
        <v>3783</v>
      </c>
      <c r="CCA1115" s="379" t="s">
        <v>3783</v>
      </c>
      <c r="CCB1115" s="379" t="s">
        <v>3783</v>
      </c>
      <c r="CCC1115" s="379" t="s">
        <v>3783</v>
      </c>
      <c r="CCD1115" s="379" t="s">
        <v>3783</v>
      </c>
      <c r="CCE1115" s="379" t="s">
        <v>3783</v>
      </c>
      <c r="CCF1115" s="379" t="s">
        <v>3783</v>
      </c>
      <c r="CCG1115" s="379" t="s">
        <v>3783</v>
      </c>
      <c r="CCH1115" s="379" t="s">
        <v>3783</v>
      </c>
      <c r="CCI1115" s="379" t="s">
        <v>3783</v>
      </c>
      <c r="CCJ1115" s="379" t="s">
        <v>3783</v>
      </c>
      <c r="CCK1115" s="379" t="s">
        <v>3783</v>
      </c>
      <c r="CCL1115" s="379" t="s">
        <v>3783</v>
      </c>
      <c r="CCM1115" s="379" t="s">
        <v>3783</v>
      </c>
      <c r="CCN1115" s="379" t="s">
        <v>3783</v>
      </c>
      <c r="CCO1115" s="379" t="s">
        <v>3783</v>
      </c>
      <c r="CCP1115" s="379" t="s">
        <v>3783</v>
      </c>
      <c r="CCQ1115" s="379" t="s">
        <v>3783</v>
      </c>
      <c r="CCR1115" s="379" t="s">
        <v>3783</v>
      </c>
      <c r="CCS1115" s="379" t="s">
        <v>3783</v>
      </c>
      <c r="CCT1115" s="379" t="s">
        <v>3783</v>
      </c>
      <c r="CCU1115" s="379" t="s">
        <v>3783</v>
      </c>
      <c r="CCV1115" s="379" t="s">
        <v>3783</v>
      </c>
      <c r="CCW1115" s="379" t="s">
        <v>3783</v>
      </c>
      <c r="CCX1115" s="379" t="s">
        <v>3783</v>
      </c>
      <c r="CCY1115" s="379" t="s">
        <v>3783</v>
      </c>
      <c r="CCZ1115" s="379" t="s">
        <v>3783</v>
      </c>
      <c r="CDA1115" s="379" t="s">
        <v>3783</v>
      </c>
      <c r="CDB1115" s="379" t="s">
        <v>3783</v>
      </c>
      <c r="CDC1115" s="379" t="s">
        <v>3783</v>
      </c>
      <c r="CDD1115" s="379" t="s">
        <v>3783</v>
      </c>
      <c r="CDE1115" s="379" t="s">
        <v>3783</v>
      </c>
      <c r="CDF1115" s="379" t="s">
        <v>3783</v>
      </c>
      <c r="CDG1115" s="379" t="s">
        <v>3783</v>
      </c>
      <c r="CDH1115" s="379" t="s">
        <v>3783</v>
      </c>
      <c r="CDI1115" s="379" t="s">
        <v>3783</v>
      </c>
      <c r="CDJ1115" s="379" t="s">
        <v>3783</v>
      </c>
      <c r="CDK1115" s="379" t="s">
        <v>3783</v>
      </c>
      <c r="CDL1115" s="379" t="s">
        <v>3783</v>
      </c>
      <c r="CDM1115" s="379" t="s">
        <v>3783</v>
      </c>
      <c r="CDN1115" s="379" t="s">
        <v>3783</v>
      </c>
      <c r="CDO1115" s="379" t="s">
        <v>3783</v>
      </c>
      <c r="CDP1115" s="379" t="s">
        <v>3783</v>
      </c>
      <c r="CDQ1115" s="379" t="s">
        <v>3783</v>
      </c>
      <c r="CDR1115" s="379" t="s">
        <v>3783</v>
      </c>
      <c r="CDS1115" s="379" t="s">
        <v>3783</v>
      </c>
      <c r="CDT1115" s="379" t="s">
        <v>3783</v>
      </c>
      <c r="CDU1115" s="379" t="s">
        <v>3783</v>
      </c>
      <c r="CDV1115" s="379" t="s">
        <v>3783</v>
      </c>
      <c r="CDW1115" s="379" t="s">
        <v>3783</v>
      </c>
      <c r="CDX1115" s="379" t="s">
        <v>3783</v>
      </c>
      <c r="CDY1115" s="379" t="s">
        <v>3783</v>
      </c>
      <c r="CDZ1115" s="379" t="s">
        <v>3783</v>
      </c>
      <c r="CEA1115" s="379" t="s">
        <v>3783</v>
      </c>
      <c r="CEB1115" s="379" t="s">
        <v>3783</v>
      </c>
      <c r="CEC1115" s="379" t="s">
        <v>3783</v>
      </c>
      <c r="CED1115" s="379" t="s">
        <v>3783</v>
      </c>
      <c r="CEE1115" s="379" t="s">
        <v>3783</v>
      </c>
      <c r="CEF1115" s="379" t="s">
        <v>3783</v>
      </c>
      <c r="CEG1115" s="379" t="s">
        <v>3783</v>
      </c>
      <c r="CEH1115" s="379" t="s">
        <v>3783</v>
      </c>
      <c r="CEI1115" s="379" t="s">
        <v>3783</v>
      </c>
      <c r="CEJ1115" s="379" t="s">
        <v>3783</v>
      </c>
      <c r="CEK1115" s="379" t="s">
        <v>3783</v>
      </c>
      <c r="CEL1115" s="379" t="s">
        <v>3783</v>
      </c>
      <c r="CEM1115" s="379" t="s">
        <v>3783</v>
      </c>
      <c r="CEN1115" s="379" t="s">
        <v>3783</v>
      </c>
      <c r="CEO1115" s="379" t="s">
        <v>3783</v>
      </c>
      <c r="CEP1115" s="379" t="s">
        <v>3783</v>
      </c>
      <c r="CEQ1115" s="379" t="s">
        <v>3783</v>
      </c>
      <c r="CER1115" s="379" t="s">
        <v>3783</v>
      </c>
      <c r="CES1115" s="379" t="s">
        <v>3783</v>
      </c>
      <c r="CET1115" s="379" t="s">
        <v>3783</v>
      </c>
      <c r="CEU1115" s="379" t="s">
        <v>3783</v>
      </c>
      <c r="CEV1115" s="379" t="s">
        <v>3783</v>
      </c>
      <c r="CEW1115" s="379" t="s">
        <v>3783</v>
      </c>
      <c r="CEX1115" s="379" t="s">
        <v>3783</v>
      </c>
      <c r="CEY1115" s="379" t="s">
        <v>3783</v>
      </c>
      <c r="CEZ1115" s="379" t="s">
        <v>3783</v>
      </c>
      <c r="CFA1115" s="379" t="s">
        <v>3783</v>
      </c>
      <c r="CFB1115" s="379" t="s">
        <v>3783</v>
      </c>
      <c r="CFC1115" s="379" t="s">
        <v>3783</v>
      </c>
      <c r="CFD1115" s="379" t="s">
        <v>3783</v>
      </c>
      <c r="CFE1115" s="379" t="s">
        <v>3783</v>
      </c>
      <c r="CFF1115" s="379" t="s">
        <v>3783</v>
      </c>
      <c r="CFG1115" s="379" t="s">
        <v>3783</v>
      </c>
      <c r="CFH1115" s="379" t="s">
        <v>3783</v>
      </c>
      <c r="CFI1115" s="379" t="s">
        <v>3783</v>
      </c>
      <c r="CFJ1115" s="379" t="s">
        <v>3783</v>
      </c>
      <c r="CFK1115" s="379" t="s">
        <v>3783</v>
      </c>
      <c r="CFL1115" s="379" t="s">
        <v>3783</v>
      </c>
      <c r="CFM1115" s="379" t="s">
        <v>3783</v>
      </c>
      <c r="CFN1115" s="379" t="s">
        <v>3783</v>
      </c>
      <c r="CFO1115" s="379" t="s">
        <v>3783</v>
      </c>
      <c r="CFP1115" s="379" t="s">
        <v>3783</v>
      </c>
      <c r="CFQ1115" s="379" t="s">
        <v>3783</v>
      </c>
      <c r="CFR1115" s="379" t="s">
        <v>3783</v>
      </c>
      <c r="CFS1115" s="379" t="s">
        <v>3783</v>
      </c>
      <c r="CFT1115" s="379" t="s">
        <v>3783</v>
      </c>
      <c r="CFU1115" s="379" t="s">
        <v>3783</v>
      </c>
      <c r="CFV1115" s="379" t="s">
        <v>3783</v>
      </c>
      <c r="CFW1115" s="379" t="s">
        <v>3783</v>
      </c>
      <c r="CFX1115" s="379" t="s">
        <v>3783</v>
      </c>
      <c r="CFY1115" s="379" t="s">
        <v>3783</v>
      </c>
      <c r="CFZ1115" s="379" t="s">
        <v>3783</v>
      </c>
      <c r="CGA1115" s="379" t="s">
        <v>3783</v>
      </c>
      <c r="CGB1115" s="379" t="s">
        <v>3783</v>
      </c>
      <c r="CGC1115" s="379" t="s">
        <v>3783</v>
      </c>
      <c r="CGD1115" s="379" t="s">
        <v>3783</v>
      </c>
      <c r="CGE1115" s="379" t="s">
        <v>3783</v>
      </c>
      <c r="CGF1115" s="379" t="s">
        <v>3783</v>
      </c>
      <c r="CGG1115" s="379" t="s">
        <v>3783</v>
      </c>
      <c r="CGH1115" s="379" t="s">
        <v>3783</v>
      </c>
      <c r="CGI1115" s="379" t="s">
        <v>3783</v>
      </c>
      <c r="CGJ1115" s="379" t="s">
        <v>3783</v>
      </c>
      <c r="CGK1115" s="379" t="s">
        <v>3783</v>
      </c>
      <c r="CGL1115" s="379" t="s">
        <v>3783</v>
      </c>
      <c r="CGM1115" s="379" t="s">
        <v>3783</v>
      </c>
      <c r="CGN1115" s="379" t="s">
        <v>3783</v>
      </c>
      <c r="CGO1115" s="379" t="s">
        <v>3783</v>
      </c>
      <c r="CGP1115" s="379" t="s">
        <v>3783</v>
      </c>
      <c r="CGQ1115" s="379" t="s">
        <v>3783</v>
      </c>
      <c r="CGR1115" s="379" t="s">
        <v>3783</v>
      </c>
      <c r="CGS1115" s="379" t="s">
        <v>3783</v>
      </c>
      <c r="CGT1115" s="379" t="s">
        <v>3783</v>
      </c>
      <c r="CGU1115" s="379" t="s">
        <v>3783</v>
      </c>
      <c r="CGV1115" s="379" t="s">
        <v>3783</v>
      </c>
      <c r="CGW1115" s="379" t="s">
        <v>3783</v>
      </c>
      <c r="CGX1115" s="379" t="s">
        <v>3783</v>
      </c>
      <c r="CGY1115" s="379" t="s">
        <v>3783</v>
      </c>
      <c r="CGZ1115" s="379" t="s">
        <v>3783</v>
      </c>
      <c r="CHA1115" s="379" t="s">
        <v>3783</v>
      </c>
      <c r="CHB1115" s="379" t="s">
        <v>3783</v>
      </c>
      <c r="CHC1115" s="379" t="s">
        <v>3783</v>
      </c>
      <c r="CHD1115" s="379" t="s">
        <v>3783</v>
      </c>
      <c r="CHE1115" s="379" t="s">
        <v>3783</v>
      </c>
      <c r="CHF1115" s="379" t="s">
        <v>3783</v>
      </c>
      <c r="CHG1115" s="379" t="s">
        <v>3783</v>
      </c>
      <c r="CHH1115" s="379" t="s">
        <v>3783</v>
      </c>
      <c r="CHI1115" s="379" t="s">
        <v>3783</v>
      </c>
      <c r="CHJ1115" s="379" t="s">
        <v>3783</v>
      </c>
      <c r="CHK1115" s="379" t="s">
        <v>3783</v>
      </c>
      <c r="CHL1115" s="379" t="s">
        <v>3783</v>
      </c>
      <c r="CHM1115" s="379" t="s">
        <v>3783</v>
      </c>
      <c r="CHN1115" s="379" t="s">
        <v>3783</v>
      </c>
      <c r="CHO1115" s="379" t="s">
        <v>3783</v>
      </c>
      <c r="CHP1115" s="379" t="s">
        <v>3783</v>
      </c>
      <c r="CHQ1115" s="379" t="s">
        <v>3783</v>
      </c>
      <c r="CHR1115" s="379" t="s">
        <v>3783</v>
      </c>
      <c r="CHS1115" s="379" t="s">
        <v>3783</v>
      </c>
      <c r="CHT1115" s="379" t="s">
        <v>3783</v>
      </c>
      <c r="CHU1115" s="379" t="s">
        <v>3783</v>
      </c>
      <c r="CHV1115" s="379" t="s">
        <v>3783</v>
      </c>
      <c r="CHW1115" s="379" t="s">
        <v>3783</v>
      </c>
      <c r="CHX1115" s="379" t="s">
        <v>3783</v>
      </c>
      <c r="CHY1115" s="379" t="s">
        <v>3783</v>
      </c>
      <c r="CHZ1115" s="379" t="s">
        <v>3783</v>
      </c>
      <c r="CIA1115" s="379" t="s">
        <v>3783</v>
      </c>
      <c r="CIB1115" s="379" t="s">
        <v>3783</v>
      </c>
      <c r="CIC1115" s="379" t="s">
        <v>3783</v>
      </c>
      <c r="CID1115" s="379" t="s">
        <v>3783</v>
      </c>
      <c r="CIE1115" s="379" t="s">
        <v>3783</v>
      </c>
      <c r="CIF1115" s="379" t="s">
        <v>3783</v>
      </c>
      <c r="CIG1115" s="379" t="s">
        <v>3783</v>
      </c>
      <c r="CIH1115" s="379" t="s">
        <v>3783</v>
      </c>
      <c r="CII1115" s="379" t="s">
        <v>3783</v>
      </c>
      <c r="CIJ1115" s="379" t="s">
        <v>3783</v>
      </c>
      <c r="CIK1115" s="379" t="s">
        <v>3783</v>
      </c>
      <c r="CIL1115" s="379" t="s">
        <v>3783</v>
      </c>
      <c r="CIM1115" s="379" t="s">
        <v>3783</v>
      </c>
      <c r="CIN1115" s="379" t="s">
        <v>3783</v>
      </c>
      <c r="CIO1115" s="379" t="s">
        <v>3783</v>
      </c>
      <c r="CIP1115" s="379" t="s">
        <v>3783</v>
      </c>
      <c r="CIQ1115" s="379" t="s">
        <v>3783</v>
      </c>
      <c r="CIR1115" s="379" t="s">
        <v>3783</v>
      </c>
      <c r="CIS1115" s="379" t="s">
        <v>3783</v>
      </c>
      <c r="CIT1115" s="379" t="s">
        <v>3783</v>
      </c>
      <c r="CIU1115" s="379" t="s">
        <v>3783</v>
      </c>
      <c r="CIV1115" s="379" t="s">
        <v>3783</v>
      </c>
      <c r="CIW1115" s="379" t="s">
        <v>3783</v>
      </c>
      <c r="CIX1115" s="379" t="s">
        <v>3783</v>
      </c>
      <c r="CIY1115" s="379" t="s">
        <v>3783</v>
      </c>
      <c r="CIZ1115" s="379" t="s">
        <v>3783</v>
      </c>
      <c r="CJA1115" s="379" t="s">
        <v>3783</v>
      </c>
      <c r="CJB1115" s="379" t="s">
        <v>3783</v>
      </c>
      <c r="CJC1115" s="379" t="s">
        <v>3783</v>
      </c>
      <c r="CJD1115" s="379" t="s">
        <v>3783</v>
      </c>
      <c r="CJE1115" s="379" t="s">
        <v>3783</v>
      </c>
      <c r="CJF1115" s="379" t="s">
        <v>3783</v>
      </c>
      <c r="CJG1115" s="379" t="s">
        <v>3783</v>
      </c>
      <c r="CJH1115" s="379" t="s">
        <v>3783</v>
      </c>
      <c r="CJI1115" s="379" t="s">
        <v>3783</v>
      </c>
      <c r="CJJ1115" s="379" t="s">
        <v>3783</v>
      </c>
      <c r="CJK1115" s="379" t="s">
        <v>3783</v>
      </c>
      <c r="CJL1115" s="379" t="s">
        <v>3783</v>
      </c>
      <c r="CJM1115" s="379" t="s">
        <v>3783</v>
      </c>
      <c r="CJN1115" s="379" t="s">
        <v>3783</v>
      </c>
      <c r="CJO1115" s="379" t="s">
        <v>3783</v>
      </c>
      <c r="CJP1115" s="379" t="s">
        <v>3783</v>
      </c>
      <c r="CJQ1115" s="379" t="s">
        <v>3783</v>
      </c>
      <c r="CJR1115" s="379" t="s">
        <v>3783</v>
      </c>
      <c r="CJS1115" s="379" t="s">
        <v>3783</v>
      </c>
      <c r="CJT1115" s="379" t="s">
        <v>3783</v>
      </c>
      <c r="CJU1115" s="379" t="s">
        <v>3783</v>
      </c>
      <c r="CJV1115" s="379" t="s">
        <v>3783</v>
      </c>
      <c r="CJW1115" s="379" t="s">
        <v>3783</v>
      </c>
      <c r="CJX1115" s="379" t="s">
        <v>3783</v>
      </c>
      <c r="CJY1115" s="379" t="s">
        <v>3783</v>
      </c>
      <c r="CJZ1115" s="379" t="s">
        <v>3783</v>
      </c>
      <c r="CKA1115" s="379" t="s">
        <v>3783</v>
      </c>
      <c r="CKB1115" s="379" t="s">
        <v>3783</v>
      </c>
      <c r="CKC1115" s="379" t="s">
        <v>3783</v>
      </c>
      <c r="CKD1115" s="379" t="s">
        <v>3783</v>
      </c>
      <c r="CKE1115" s="379" t="s">
        <v>3783</v>
      </c>
      <c r="CKF1115" s="379" t="s">
        <v>3783</v>
      </c>
      <c r="CKG1115" s="379" t="s">
        <v>3783</v>
      </c>
      <c r="CKH1115" s="379" t="s">
        <v>3783</v>
      </c>
      <c r="CKI1115" s="379" t="s">
        <v>3783</v>
      </c>
      <c r="CKJ1115" s="379" t="s">
        <v>3783</v>
      </c>
      <c r="CKK1115" s="379" t="s">
        <v>3783</v>
      </c>
      <c r="CKL1115" s="379" t="s">
        <v>3783</v>
      </c>
      <c r="CKM1115" s="379" t="s">
        <v>3783</v>
      </c>
      <c r="CKN1115" s="379" t="s">
        <v>3783</v>
      </c>
      <c r="CKO1115" s="379" t="s">
        <v>3783</v>
      </c>
      <c r="CKP1115" s="379" t="s">
        <v>3783</v>
      </c>
      <c r="CKQ1115" s="379" t="s">
        <v>3783</v>
      </c>
      <c r="CKR1115" s="379" t="s">
        <v>3783</v>
      </c>
      <c r="CKS1115" s="379" t="s">
        <v>3783</v>
      </c>
      <c r="CKT1115" s="379" t="s">
        <v>3783</v>
      </c>
      <c r="CKU1115" s="379" t="s">
        <v>3783</v>
      </c>
      <c r="CKV1115" s="379" t="s">
        <v>3783</v>
      </c>
      <c r="CKW1115" s="379" t="s">
        <v>3783</v>
      </c>
      <c r="CKX1115" s="379" t="s">
        <v>3783</v>
      </c>
      <c r="CKY1115" s="379" t="s">
        <v>3783</v>
      </c>
      <c r="CKZ1115" s="379" t="s">
        <v>3783</v>
      </c>
      <c r="CLA1115" s="379" t="s">
        <v>3783</v>
      </c>
      <c r="CLB1115" s="379" t="s">
        <v>3783</v>
      </c>
      <c r="CLC1115" s="379" t="s">
        <v>3783</v>
      </c>
      <c r="CLD1115" s="379" t="s">
        <v>3783</v>
      </c>
      <c r="CLE1115" s="379" t="s">
        <v>3783</v>
      </c>
      <c r="CLF1115" s="379" t="s">
        <v>3783</v>
      </c>
      <c r="CLG1115" s="379" t="s">
        <v>3783</v>
      </c>
      <c r="CLH1115" s="379" t="s">
        <v>3783</v>
      </c>
      <c r="CLI1115" s="379" t="s">
        <v>3783</v>
      </c>
      <c r="CLJ1115" s="379" t="s">
        <v>3783</v>
      </c>
      <c r="CLK1115" s="379" t="s">
        <v>3783</v>
      </c>
      <c r="CLL1115" s="379" t="s">
        <v>3783</v>
      </c>
      <c r="CLM1115" s="379" t="s">
        <v>3783</v>
      </c>
      <c r="CLN1115" s="379" t="s">
        <v>3783</v>
      </c>
      <c r="CLO1115" s="379" t="s">
        <v>3783</v>
      </c>
      <c r="CLP1115" s="379" t="s">
        <v>3783</v>
      </c>
      <c r="CLQ1115" s="379" t="s">
        <v>3783</v>
      </c>
      <c r="CLR1115" s="379" t="s">
        <v>3783</v>
      </c>
      <c r="CLS1115" s="379" t="s">
        <v>3783</v>
      </c>
      <c r="CLT1115" s="379" t="s">
        <v>3783</v>
      </c>
      <c r="CLU1115" s="379" t="s">
        <v>3783</v>
      </c>
      <c r="CLV1115" s="379" t="s">
        <v>3783</v>
      </c>
      <c r="CLW1115" s="379" t="s">
        <v>3783</v>
      </c>
      <c r="CLX1115" s="379" t="s">
        <v>3783</v>
      </c>
      <c r="CLY1115" s="379" t="s">
        <v>3783</v>
      </c>
      <c r="CLZ1115" s="379" t="s">
        <v>3783</v>
      </c>
      <c r="CMA1115" s="379" t="s">
        <v>3783</v>
      </c>
      <c r="CMB1115" s="379" t="s">
        <v>3783</v>
      </c>
      <c r="CMC1115" s="379" t="s">
        <v>3783</v>
      </c>
      <c r="CMD1115" s="379" t="s">
        <v>3783</v>
      </c>
      <c r="CME1115" s="379" t="s">
        <v>3783</v>
      </c>
      <c r="CMF1115" s="379" t="s">
        <v>3783</v>
      </c>
      <c r="CMG1115" s="379" t="s">
        <v>3783</v>
      </c>
      <c r="CMH1115" s="379" t="s">
        <v>3783</v>
      </c>
      <c r="CMI1115" s="379" t="s">
        <v>3783</v>
      </c>
      <c r="CMJ1115" s="379" t="s">
        <v>3783</v>
      </c>
      <c r="CMK1115" s="379" t="s">
        <v>3783</v>
      </c>
      <c r="CML1115" s="379" t="s">
        <v>3783</v>
      </c>
      <c r="CMM1115" s="379" t="s">
        <v>3783</v>
      </c>
      <c r="CMN1115" s="379" t="s">
        <v>3783</v>
      </c>
      <c r="CMO1115" s="379" t="s">
        <v>3783</v>
      </c>
      <c r="CMP1115" s="379" t="s">
        <v>3783</v>
      </c>
      <c r="CMQ1115" s="379" t="s">
        <v>3783</v>
      </c>
      <c r="CMR1115" s="379" t="s">
        <v>3783</v>
      </c>
      <c r="CMS1115" s="379" t="s">
        <v>3783</v>
      </c>
      <c r="CMT1115" s="379" t="s">
        <v>3783</v>
      </c>
      <c r="CMU1115" s="379" t="s">
        <v>3783</v>
      </c>
      <c r="CMV1115" s="379" t="s">
        <v>3783</v>
      </c>
      <c r="CMW1115" s="379" t="s">
        <v>3783</v>
      </c>
      <c r="CMX1115" s="379" t="s">
        <v>3783</v>
      </c>
      <c r="CMY1115" s="379" t="s">
        <v>3783</v>
      </c>
      <c r="CMZ1115" s="379" t="s">
        <v>3783</v>
      </c>
      <c r="CNA1115" s="379" t="s">
        <v>3783</v>
      </c>
      <c r="CNB1115" s="379" t="s">
        <v>3783</v>
      </c>
      <c r="CNC1115" s="379" t="s">
        <v>3783</v>
      </c>
      <c r="CND1115" s="379" t="s">
        <v>3783</v>
      </c>
      <c r="CNE1115" s="379" t="s">
        <v>3783</v>
      </c>
      <c r="CNF1115" s="379" t="s">
        <v>3783</v>
      </c>
      <c r="CNG1115" s="379" t="s">
        <v>3783</v>
      </c>
      <c r="CNH1115" s="379" t="s">
        <v>3783</v>
      </c>
      <c r="CNI1115" s="379" t="s">
        <v>3783</v>
      </c>
      <c r="CNJ1115" s="379" t="s">
        <v>3783</v>
      </c>
      <c r="CNK1115" s="379" t="s">
        <v>3783</v>
      </c>
      <c r="CNL1115" s="379" t="s">
        <v>3783</v>
      </c>
      <c r="CNM1115" s="379" t="s">
        <v>3783</v>
      </c>
      <c r="CNN1115" s="379" t="s">
        <v>3783</v>
      </c>
      <c r="CNO1115" s="379" t="s">
        <v>3783</v>
      </c>
      <c r="CNP1115" s="379" t="s">
        <v>3783</v>
      </c>
      <c r="CNQ1115" s="379" t="s">
        <v>3783</v>
      </c>
      <c r="CNR1115" s="379" t="s">
        <v>3783</v>
      </c>
      <c r="CNS1115" s="379" t="s">
        <v>3783</v>
      </c>
      <c r="CNT1115" s="379" t="s">
        <v>3783</v>
      </c>
      <c r="CNU1115" s="379" t="s">
        <v>3783</v>
      </c>
      <c r="CNV1115" s="379" t="s">
        <v>3783</v>
      </c>
      <c r="CNW1115" s="379" t="s">
        <v>3783</v>
      </c>
      <c r="CNX1115" s="379" t="s">
        <v>3783</v>
      </c>
      <c r="CNY1115" s="379" t="s">
        <v>3783</v>
      </c>
      <c r="CNZ1115" s="379" t="s">
        <v>3783</v>
      </c>
      <c r="COA1115" s="379" t="s">
        <v>3783</v>
      </c>
      <c r="COB1115" s="379" t="s">
        <v>3783</v>
      </c>
      <c r="COC1115" s="379" t="s">
        <v>3783</v>
      </c>
      <c r="COD1115" s="379" t="s">
        <v>3783</v>
      </c>
      <c r="COE1115" s="379" t="s">
        <v>3783</v>
      </c>
      <c r="COF1115" s="379" t="s">
        <v>3783</v>
      </c>
      <c r="COG1115" s="379" t="s">
        <v>3783</v>
      </c>
      <c r="COH1115" s="379" t="s">
        <v>3783</v>
      </c>
      <c r="COI1115" s="379" t="s">
        <v>3783</v>
      </c>
      <c r="COJ1115" s="379" t="s">
        <v>3783</v>
      </c>
      <c r="COK1115" s="379" t="s">
        <v>3783</v>
      </c>
      <c r="COL1115" s="379" t="s">
        <v>3783</v>
      </c>
      <c r="COM1115" s="379" t="s">
        <v>3783</v>
      </c>
      <c r="CON1115" s="379" t="s">
        <v>3783</v>
      </c>
      <c r="COO1115" s="379" t="s">
        <v>3783</v>
      </c>
      <c r="COP1115" s="379" t="s">
        <v>3783</v>
      </c>
      <c r="COQ1115" s="379" t="s">
        <v>3783</v>
      </c>
      <c r="COR1115" s="379" t="s">
        <v>3783</v>
      </c>
      <c r="COS1115" s="379" t="s">
        <v>3783</v>
      </c>
      <c r="COT1115" s="379" t="s">
        <v>3783</v>
      </c>
      <c r="COU1115" s="379" t="s">
        <v>3783</v>
      </c>
      <c r="COV1115" s="379" t="s">
        <v>3783</v>
      </c>
      <c r="COW1115" s="379" t="s">
        <v>3783</v>
      </c>
      <c r="COX1115" s="379" t="s">
        <v>3783</v>
      </c>
      <c r="COY1115" s="379" t="s">
        <v>3783</v>
      </c>
      <c r="COZ1115" s="379" t="s">
        <v>3783</v>
      </c>
      <c r="CPA1115" s="379" t="s">
        <v>3783</v>
      </c>
      <c r="CPB1115" s="379" t="s">
        <v>3783</v>
      </c>
      <c r="CPC1115" s="379" t="s">
        <v>3783</v>
      </c>
      <c r="CPD1115" s="379" t="s">
        <v>3783</v>
      </c>
      <c r="CPE1115" s="379" t="s">
        <v>3783</v>
      </c>
      <c r="CPF1115" s="379" t="s">
        <v>3783</v>
      </c>
      <c r="CPG1115" s="379" t="s">
        <v>3783</v>
      </c>
      <c r="CPH1115" s="379" t="s">
        <v>3783</v>
      </c>
      <c r="CPI1115" s="379" t="s">
        <v>3783</v>
      </c>
      <c r="CPJ1115" s="379" t="s">
        <v>3783</v>
      </c>
      <c r="CPK1115" s="379" t="s">
        <v>3783</v>
      </c>
      <c r="CPL1115" s="379" t="s">
        <v>3783</v>
      </c>
      <c r="CPM1115" s="379" t="s">
        <v>3783</v>
      </c>
      <c r="CPN1115" s="379" t="s">
        <v>3783</v>
      </c>
      <c r="CPO1115" s="379" t="s">
        <v>3783</v>
      </c>
      <c r="CPP1115" s="379" t="s">
        <v>3783</v>
      </c>
      <c r="CPQ1115" s="379" t="s">
        <v>3783</v>
      </c>
      <c r="CPR1115" s="379" t="s">
        <v>3783</v>
      </c>
      <c r="CPS1115" s="379" t="s">
        <v>3783</v>
      </c>
      <c r="CPT1115" s="379" t="s">
        <v>3783</v>
      </c>
      <c r="CPU1115" s="379" t="s">
        <v>3783</v>
      </c>
      <c r="CPV1115" s="379" t="s">
        <v>3783</v>
      </c>
      <c r="CPW1115" s="379" t="s">
        <v>3783</v>
      </c>
      <c r="CPX1115" s="379" t="s">
        <v>3783</v>
      </c>
      <c r="CPY1115" s="379" t="s">
        <v>3783</v>
      </c>
      <c r="CPZ1115" s="379" t="s">
        <v>3783</v>
      </c>
      <c r="CQA1115" s="379" t="s">
        <v>3783</v>
      </c>
      <c r="CQB1115" s="379" t="s">
        <v>3783</v>
      </c>
      <c r="CQC1115" s="379" t="s">
        <v>3783</v>
      </c>
      <c r="CQD1115" s="379" t="s">
        <v>3783</v>
      </c>
      <c r="CQE1115" s="379" t="s">
        <v>3783</v>
      </c>
      <c r="CQF1115" s="379" t="s">
        <v>3783</v>
      </c>
      <c r="CQG1115" s="379" t="s">
        <v>3783</v>
      </c>
      <c r="CQH1115" s="379" t="s">
        <v>3783</v>
      </c>
      <c r="CQI1115" s="379" t="s">
        <v>3783</v>
      </c>
      <c r="CQJ1115" s="379" t="s">
        <v>3783</v>
      </c>
      <c r="CQK1115" s="379" t="s">
        <v>3783</v>
      </c>
      <c r="CQL1115" s="379" t="s">
        <v>3783</v>
      </c>
      <c r="CQM1115" s="379" t="s">
        <v>3783</v>
      </c>
      <c r="CQN1115" s="379" t="s">
        <v>3783</v>
      </c>
      <c r="CQO1115" s="379" t="s">
        <v>3783</v>
      </c>
      <c r="CQP1115" s="379" t="s">
        <v>3783</v>
      </c>
      <c r="CQQ1115" s="379" t="s">
        <v>3783</v>
      </c>
      <c r="CQR1115" s="379" t="s">
        <v>3783</v>
      </c>
      <c r="CQS1115" s="379" t="s">
        <v>3783</v>
      </c>
      <c r="CQT1115" s="379" t="s">
        <v>3783</v>
      </c>
      <c r="CQU1115" s="379" t="s">
        <v>3783</v>
      </c>
      <c r="CQV1115" s="379" t="s">
        <v>3783</v>
      </c>
      <c r="CQW1115" s="379" t="s">
        <v>3783</v>
      </c>
      <c r="CQX1115" s="379" t="s">
        <v>3783</v>
      </c>
      <c r="CQY1115" s="379" t="s">
        <v>3783</v>
      </c>
      <c r="CQZ1115" s="379" t="s">
        <v>3783</v>
      </c>
      <c r="CRA1115" s="379" t="s">
        <v>3783</v>
      </c>
      <c r="CRB1115" s="379" t="s">
        <v>3783</v>
      </c>
      <c r="CRC1115" s="379" t="s">
        <v>3783</v>
      </c>
      <c r="CRD1115" s="379" t="s">
        <v>3783</v>
      </c>
      <c r="CRE1115" s="379" t="s">
        <v>3783</v>
      </c>
      <c r="CRF1115" s="379" t="s">
        <v>3783</v>
      </c>
      <c r="CRG1115" s="379" t="s">
        <v>3783</v>
      </c>
      <c r="CRH1115" s="379" t="s">
        <v>3783</v>
      </c>
      <c r="CRI1115" s="379" t="s">
        <v>3783</v>
      </c>
      <c r="CRJ1115" s="379" t="s">
        <v>3783</v>
      </c>
      <c r="CRK1115" s="379" t="s">
        <v>3783</v>
      </c>
      <c r="CRL1115" s="379" t="s">
        <v>3783</v>
      </c>
      <c r="CRM1115" s="379" t="s">
        <v>3783</v>
      </c>
      <c r="CRN1115" s="379" t="s">
        <v>3783</v>
      </c>
      <c r="CRO1115" s="379" t="s">
        <v>3783</v>
      </c>
      <c r="CRP1115" s="379" t="s">
        <v>3783</v>
      </c>
      <c r="CRQ1115" s="379" t="s">
        <v>3783</v>
      </c>
      <c r="CRR1115" s="379" t="s">
        <v>3783</v>
      </c>
      <c r="CRS1115" s="379" t="s">
        <v>3783</v>
      </c>
      <c r="CRT1115" s="379" t="s">
        <v>3783</v>
      </c>
      <c r="CRU1115" s="379" t="s">
        <v>3783</v>
      </c>
      <c r="CRV1115" s="379" t="s">
        <v>3783</v>
      </c>
      <c r="CRW1115" s="379" t="s">
        <v>3783</v>
      </c>
      <c r="CRX1115" s="379" t="s">
        <v>3783</v>
      </c>
      <c r="CRY1115" s="379" t="s">
        <v>3783</v>
      </c>
      <c r="CRZ1115" s="379" t="s">
        <v>3783</v>
      </c>
      <c r="CSA1115" s="379" t="s">
        <v>3783</v>
      </c>
      <c r="CSB1115" s="379" t="s">
        <v>3783</v>
      </c>
      <c r="CSC1115" s="379" t="s">
        <v>3783</v>
      </c>
      <c r="CSD1115" s="379" t="s">
        <v>3783</v>
      </c>
      <c r="CSE1115" s="379" t="s">
        <v>3783</v>
      </c>
      <c r="CSF1115" s="379" t="s">
        <v>3783</v>
      </c>
      <c r="CSG1115" s="379" t="s">
        <v>3783</v>
      </c>
      <c r="CSH1115" s="379" t="s">
        <v>3783</v>
      </c>
      <c r="CSI1115" s="379" t="s">
        <v>3783</v>
      </c>
      <c r="CSJ1115" s="379" t="s">
        <v>3783</v>
      </c>
      <c r="CSK1115" s="379" t="s">
        <v>3783</v>
      </c>
      <c r="CSL1115" s="379" t="s">
        <v>3783</v>
      </c>
      <c r="CSM1115" s="379" t="s">
        <v>3783</v>
      </c>
      <c r="CSN1115" s="379" t="s">
        <v>3783</v>
      </c>
      <c r="CSO1115" s="379" t="s">
        <v>3783</v>
      </c>
      <c r="CSP1115" s="379" t="s">
        <v>3783</v>
      </c>
      <c r="CSQ1115" s="379" t="s">
        <v>3783</v>
      </c>
      <c r="CSR1115" s="379" t="s">
        <v>3783</v>
      </c>
      <c r="CSS1115" s="379" t="s">
        <v>3783</v>
      </c>
      <c r="CST1115" s="379" t="s">
        <v>3783</v>
      </c>
      <c r="CSU1115" s="379" t="s">
        <v>3783</v>
      </c>
      <c r="CSV1115" s="379" t="s">
        <v>3783</v>
      </c>
      <c r="CSW1115" s="379" t="s">
        <v>3783</v>
      </c>
      <c r="CSX1115" s="379" t="s">
        <v>3783</v>
      </c>
      <c r="CSY1115" s="379" t="s">
        <v>3783</v>
      </c>
      <c r="CSZ1115" s="379" t="s">
        <v>3783</v>
      </c>
      <c r="CTA1115" s="379" t="s">
        <v>3783</v>
      </c>
      <c r="CTB1115" s="379" t="s">
        <v>3783</v>
      </c>
      <c r="CTC1115" s="379" t="s">
        <v>3783</v>
      </c>
      <c r="CTD1115" s="379" t="s">
        <v>3783</v>
      </c>
      <c r="CTE1115" s="379" t="s">
        <v>3783</v>
      </c>
      <c r="CTF1115" s="379" t="s">
        <v>3783</v>
      </c>
      <c r="CTG1115" s="379" t="s">
        <v>3783</v>
      </c>
      <c r="CTH1115" s="379" t="s">
        <v>3783</v>
      </c>
      <c r="CTI1115" s="379" t="s">
        <v>3783</v>
      </c>
      <c r="CTJ1115" s="379" t="s">
        <v>3783</v>
      </c>
      <c r="CTK1115" s="379" t="s">
        <v>3783</v>
      </c>
      <c r="CTL1115" s="379" t="s">
        <v>3783</v>
      </c>
      <c r="CTM1115" s="379" t="s">
        <v>3783</v>
      </c>
      <c r="CTN1115" s="379" t="s">
        <v>3783</v>
      </c>
      <c r="CTO1115" s="379" t="s">
        <v>3783</v>
      </c>
      <c r="CTP1115" s="379" t="s">
        <v>3783</v>
      </c>
      <c r="CTQ1115" s="379" t="s">
        <v>3783</v>
      </c>
      <c r="CTR1115" s="379" t="s">
        <v>3783</v>
      </c>
      <c r="CTS1115" s="379" t="s">
        <v>3783</v>
      </c>
      <c r="CTT1115" s="379" t="s">
        <v>3783</v>
      </c>
      <c r="CTU1115" s="379" t="s">
        <v>3783</v>
      </c>
      <c r="CTV1115" s="379" t="s">
        <v>3783</v>
      </c>
      <c r="CTW1115" s="379" t="s">
        <v>3783</v>
      </c>
      <c r="CTX1115" s="379" t="s">
        <v>3783</v>
      </c>
      <c r="CTY1115" s="379" t="s">
        <v>3783</v>
      </c>
      <c r="CTZ1115" s="379" t="s">
        <v>3783</v>
      </c>
      <c r="CUA1115" s="379" t="s">
        <v>3783</v>
      </c>
      <c r="CUB1115" s="379" t="s">
        <v>3783</v>
      </c>
      <c r="CUC1115" s="379" t="s">
        <v>3783</v>
      </c>
      <c r="CUD1115" s="379" t="s">
        <v>3783</v>
      </c>
      <c r="CUE1115" s="379" t="s">
        <v>3783</v>
      </c>
      <c r="CUF1115" s="379" t="s">
        <v>3783</v>
      </c>
      <c r="CUG1115" s="379" t="s">
        <v>3783</v>
      </c>
      <c r="CUH1115" s="379" t="s">
        <v>3783</v>
      </c>
      <c r="CUI1115" s="379" t="s">
        <v>3783</v>
      </c>
      <c r="CUJ1115" s="379" t="s">
        <v>3783</v>
      </c>
      <c r="CUK1115" s="379" t="s">
        <v>3783</v>
      </c>
      <c r="CUL1115" s="379" t="s">
        <v>3783</v>
      </c>
      <c r="CUM1115" s="379" t="s">
        <v>3783</v>
      </c>
      <c r="CUN1115" s="379" t="s">
        <v>3783</v>
      </c>
      <c r="CUO1115" s="379" t="s">
        <v>3783</v>
      </c>
      <c r="CUP1115" s="379" t="s">
        <v>3783</v>
      </c>
      <c r="CUQ1115" s="379" t="s">
        <v>3783</v>
      </c>
      <c r="CUR1115" s="379" t="s">
        <v>3783</v>
      </c>
      <c r="CUS1115" s="379" t="s">
        <v>3783</v>
      </c>
      <c r="CUT1115" s="379" t="s">
        <v>3783</v>
      </c>
      <c r="CUU1115" s="379" t="s">
        <v>3783</v>
      </c>
      <c r="CUV1115" s="379" t="s">
        <v>3783</v>
      </c>
      <c r="CUW1115" s="379" t="s">
        <v>3783</v>
      </c>
      <c r="CUX1115" s="379" t="s">
        <v>3783</v>
      </c>
      <c r="CUY1115" s="379" t="s">
        <v>3783</v>
      </c>
      <c r="CUZ1115" s="379" t="s">
        <v>3783</v>
      </c>
      <c r="CVA1115" s="379" t="s">
        <v>3783</v>
      </c>
      <c r="CVB1115" s="379" t="s">
        <v>3783</v>
      </c>
      <c r="CVC1115" s="379" t="s">
        <v>3783</v>
      </c>
      <c r="CVD1115" s="379" t="s">
        <v>3783</v>
      </c>
      <c r="CVE1115" s="379" t="s">
        <v>3783</v>
      </c>
      <c r="CVF1115" s="379" t="s">
        <v>3783</v>
      </c>
      <c r="CVG1115" s="379" t="s">
        <v>3783</v>
      </c>
      <c r="CVH1115" s="379" t="s">
        <v>3783</v>
      </c>
      <c r="CVI1115" s="379" t="s">
        <v>3783</v>
      </c>
      <c r="CVJ1115" s="379" t="s">
        <v>3783</v>
      </c>
      <c r="CVK1115" s="379" t="s">
        <v>3783</v>
      </c>
      <c r="CVL1115" s="379" t="s">
        <v>3783</v>
      </c>
      <c r="CVM1115" s="379" t="s">
        <v>3783</v>
      </c>
      <c r="CVN1115" s="379" t="s">
        <v>3783</v>
      </c>
      <c r="CVO1115" s="379" t="s">
        <v>3783</v>
      </c>
      <c r="CVP1115" s="379" t="s">
        <v>3783</v>
      </c>
      <c r="CVQ1115" s="379" t="s">
        <v>3783</v>
      </c>
      <c r="CVR1115" s="379" t="s">
        <v>3783</v>
      </c>
      <c r="CVS1115" s="379" t="s">
        <v>3783</v>
      </c>
      <c r="CVT1115" s="379" t="s">
        <v>3783</v>
      </c>
      <c r="CVU1115" s="379" t="s">
        <v>3783</v>
      </c>
      <c r="CVV1115" s="379" t="s">
        <v>3783</v>
      </c>
      <c r="CVW1115" s="379" t="s">
        <v>3783</v>
      </c>
      <c r="CVX1115" s="379" t="s">
        <v>3783</v>
      </c>
      <c r="CVY1115" s="379" t="s">
        <v>3783</v>
      </c>
      <c r="CVZ1115" s="379" t="s">
        <v>3783</v>
      </c>
      <c r="CWA1115" s="379" t="s">
        <v>3783</v>
      </c>
      <c r="CWB1115" s="379" t="s">
        <v>3783</v>
      </c>
      <c r="CWC1115" s="379" t="s">
        <v>3783</v>
      </c>
      <c r="CWD1115" s="379" t="s">
        <v>3783</v>
      </c>
      <c r="CWE1115" s="379" t="s">
        <v>3783</v>
      </c>
      <c r="CWF1115" s="379" t="s">
        <v>3783</v>
      </c>
      <c r="CWG1115" s="379" t="s">
        <v>3783</v>
      </c>
      <c r="CWH1115" s="379" t="s">
        <v>3783</v>
      </c>
      <c r="CWI1115" s="379" t="s">
        <v>3783</v>
      </c>
      <c r="CWJ1115" s="379" t="s">
        <v>3783</v>
      </c>
      <c r="CWK1115" s="379" t="s">
        <v>3783</v>
      </c>
      <c r="CWL1115" s="379" t="s">
        <v>3783</v>
      </c>
      <c r="CWM1115" s="379" t="s">
        <v>3783</v>
      </c>
      <c r="CWN1115" s="379" t="s">
        <v>3783</v>
      </c>
      <c r="CWO1115" s="379" t="s">
        <v>3783</v>
      </c>
      <c r="CWP1115" s="379" t="s">
        <v>3783</v>
      </c>
      <c r="CWQ1115" s="379" t="s">
        <v>3783</v>
      </c>
      <c r="CWR1115" s="379" t="s">
        <v>3783</v>
      </c>
      <c r="CWS1115" s="379" t="s">
        <v>3783</v>
      </c>
      <c r="CWT1115" s="379" t="s">
        <v>3783</v>
      </c>
      <c r="CWU1115" s="379" t="s">
        <v>3783</v>
      </c>
      <c r="CWV1115" s="379" t="s">
        <v>3783</v>
      </c>
      <c r="CWW1115" s="379" t="s">
        <v>3783</v>
      </c>
      <c r="CWX1115" s="379" t="s">
        <v>3783</v>
      </c>
      <c r="CWY1115" s="379" t="s">
        <v>3783</v>
      </c>
      <c r="CWZ1115" s="379" t="s">
        <v>3783</v>
      </c>
      <c r="CXA1115" s="379" t="s">
        <v>3783</v>
      </c>
      <c r="CXB1115" s="379" t="s">
        <v>3783</v>
      </c>
      <c r="CXC1115" s="379" t="s">
        <v>3783</v>
      </c>
      <c r="CXD1115" s="379" t="s">
        <v>3783</v>
      </c>
      <c r="CXE1115" s="379" t="s">
        <v>3783</v>
      </c>
      <c r="CXF1115" s="379" t="s">
        <v>3783</v>
      </c>
      <c r="CXG1115" s="379" t="s">
        <v>3783</v>
      </c>
      <c r="CXH1115" s="379" t="s">
        <v>3783</v>
      </c>
      <c r="CXI1115" s="379" t="s">
        <v>3783</v>
      </c>
      <c r="CXJ1115" s="379" t="s">
        <v>3783</v>
      </c>
      <c r="CXK1115" s="379" t="s">
        <v>3783</v>
      </c>
      <c r="CXL1115" s="379" t="s">
        <v>3783</v>
      </c>
      <c r="CXM1115" s="379" t="s">
        <v>3783</v>
      </c>
      <c r="CXN1115" s="379" t="s">
        <v>3783</v>
      </c>
      <c r="CXO1115" s="379" t="s">
        <v>3783</v>
      </c>
      <c r="CXP1115" s="379" t="s">
        <v>3783</v>
      </c>
      <c r="CXQ1115" s="379" t="s">
        <v>3783</v>
      </c>
      <c r="CXR1115" s="379" t="s">
        <v>3783</v>
      </c>
      <c r="CXS1115" s="379" t="s">
        <v>3783</v>
      </c>
      <c r="CXT1115" s="379" t="s">
        <v>3783</v>
      </c>
      <c r="CXU1115" s="379" t="s">
        <v>3783</v>
      </c>
      <c r="CXV1115" s="379" t="s">
        <v>3783</v>
      </c>
      <c r="CXW1115" s="379" t="s">
        <v>3783</v>
      </c>
      <c r="CXX1115" s="379" t="s">
        <v>3783</v>
      </c>
      <c r="CXY1115" s="379" t="s">
        <v>3783</v>
      </c>
      <c r="CXZ1115" s="379" t="s">
        <v>3783</v>
      </c>
      <c r="CYA1115" s="379" t="s">
        <v>3783</v>
      </c>
      <c r="CYB1115" s="379" t="s">
        <v>3783</v>
      </c>
      <c r="CYC1115" s="379" t="s">
        <v>3783</v>
      </c>
      <c r="CYD1115" s="379" t="s">
        <v>3783</v>
      </c>
      <c r="CYE1115" s="379" t="s">
        <v>3783</v>
      </c>
      <c r="CYF1115" s="379" t="s">
        <v>3783</v>
      </c>
      <c r="CYG1115" s="379" t="s">
        <v>3783</v>
      </c>
      <c r="CYH1115" s="379" t="s">
        <v>3783</v>
      </c>
      <c r="CYI1115" s="379" t="s">
        <v>3783</v>
      </c>
      <c r="CYJ1115" s="379" t="s">
        <v>3783</v>
      </c>
      <c r="CYK1115" s="379" t="s">
        <v>3783</v>
      </c>
      <c r="CYL1115" s="379" t="s">
        <v>3783</v>
      </c>
      <c r="CYM1115" s="379" t="s">
        <v>3783</v>
      </c>
      <c r="CYN1115" s="379" t="s">
        <v>3783</v>
      </c>
      <c r="CYO1115" s="379" t="s">
        <v>3783</v>
      </c>
      <c r="CYP1115" s="379" t="s">
        <v>3783</v>
      </c>
      <c r="CYQ1115" s="379" t="s">
        <v>3783</v>
      </c>
      <c r="CYR1115" s="379" t="s">
        <v>3783</v>
      </c>
      <c r="CYS1115" s="379" t="s">
        <v>3783</v>
      </c>
      <c r="CYT1115" s="379" t="s">
        <v>3783</v>
      </c>
      <c r="CYU1115" s="379" t="s">
        <v>3783</v>
      </c>
      <c r="CYV1115" s="379" t="s">
        <v>3783</v>
      </c>
      <c r="CYW1115" s="379" t="s">
        <v>3783</v>
      </c>
      <c r="CYX1115" s="379" t="s">
        <v>3783</v>
      </c>
      <c r="CYY1115" s="379" t="s">
        <v>3783</v>
      </c>
      <c r="CYZ1115" s="379" t="s">
        <v>3783</v>
      </c>
      <c r="CZA1115" s="379" t="s">
        <v>3783</v>
      </c>
      <c r="CZB1115" s="379" t="s">
        <v>3783</v>
      </c>
      <c r="CZC1115" s="379" t="s">
        <v>3783</v>
      </c>
      <c r="CZD1115" s="379" t="s">
        <v>3783</v>
      </c>
      <c r="CZE1115" s="379" t="s">
        <v>3783</v>
      </c>
      <c r="CZF1115" s="379" t="s">
        <v>3783</v>
      </c>
      <c r="CZG1115" s="379" t="s">
        <v>3783</v>
      </c>
      <c r="CZH1115" s="379" t="s">
        <v>3783</v>
      </c>
      <c r="CZI1115" s="379" t="s">
        <v>3783</v>
      </c>
      <c r="CZJ1115" s="379" t="s">
        <v>3783</v>
      </c>
      <c r="CZK1115" s="379" t="s">
        <v>3783</v>
      </c>
      <c r="CZL1115" s="379" t="s">
        <v>3783</v>
      </c>
      <c r="CZM1115" s="379" t="s">
        <v>3783</v>
      </c>
      <c r="CZN1115" s="379" t="s">
        <v>3783</v>
      </c>
      <c r="CZO1115" s="379" t="s">
        <v>3783</v>
      </c>
      <c r="CZP1115" s="379" t="s">
        <v>3783</v>
      </c>
      <c r="CZQ1115" s="379" t="s">
        <v>3783</v>
      </c>
      <c r="CZR1115" s="379" t="s">
        <v>3783</v>
      </c>
      <c r="CZS1115" s="379" t="s">
        <v>3783</v>
      </c>
      <c r="CZT1115" s="379" t="s">
        <v>3783</v>
      </c>
      <c r="CZU1115" s="379" t="s">
        <v>3783</v>
      </c>
      <c r="CZV1115" s="379" t="s">
        <v>3783</v>
      </c>
      <c r="CZW1115" s="379" t="s">
        <v>3783</v>
      </c>
      <c r="CZX1115" s="379" t="s">
        <v>3783</v>
      </c>
      <c r="CZY1115" s="379" t="s">
        <v>3783</v>
      </c>
      <c r="CZZ1115" s="379" t="s">
        <v>3783</v>
      </c>
      <c r="DAA1115" s="379" t="s">
        <v>3783</v>
      </c>
      <c r="DAB1115" s="379" t="s">
        <v>3783</v>
      </c>
      <c r="DAC1115" s="379" t="s">
        <v>3783</v>
      </c>
      <c r="DAD1115" s="379" t="s">
        <v>3783</v>
      </c>
      <c r="DAE1115" s="379" t="s">
        <v>3783</v>
      </c>
      <c r="DAF1115" s="379" t="s">
        <v>3783</v>
      </c>
      <c r="DAG1115" s="379" t="s">
        <v>3783</v>
      </c>
      <c r="DAH1115" s="379" t="s">
        <v>3783</v>
      </c>
      <c r="DAI1115" s="379" t="s">
        <v>3783</v>
      </c>
      <c r="DAJ1115" s="379" t="s">
        <v>3783</v>
      </c>
      <c r="DAK1115" s="379" t="s">
        <v>3783</v>
      </c>
      <c r="DAL1115" s="379" t="s">
        <v>3783</v>
      </c>
      <c r="DAM1115" s="379" t="s">
        <v>3783</v>
      </c>
      <c r="DAN1115" s="379" t="s">
        <v>3783</v>
      </c>
      <c r="DAO1115" s="379" t="s">
        <v>3783</v>
      </c>
      <c r="DAP1115" s="379" t="s">
        <v>3783</v>
      </c>
      <c r="DAQ1115" s="379" t="s">
        <v>3783</v>
      </c>
      <c r="DAR1115" s="379" t="s">
        <v>3783</v>
      </c>
      <c r="DAS1115" s="379" t="s">
        <v>3783</v>
      </c>
      <c r="DAT1115" s="379" t="s">
        <v>3783</v>
      </c>
      <c r="DAU1115" s="379" t="s">
        <v>3783</v>
      </c>
      <c r="DAV1115" s="379" t="s">
        <v>3783</v>
      </c>
      <c r="DAW1115" s="379" t="s">
        <v>3783</v>
      </c>
      <c r="DAX1115" s="379" t="s">
        <v>3783</v>
      </c>
      <c r="DAY1115" s="379" t="s">
        <v>3783</v>
      </c>
      <c r="DAZ1115" s="379" t="s">
        <v>3783</v>
      </c>
      <c r="DBA1115" s="379" t="s">
        <v>3783</v>
      </c>
      <c r="DBB1115" s="379" t="s">
        <v>3783</v>
      </c>
      <c r="DBC1115" s="379" t="s">
        <v>3783</v>
      </c>
      <c r="DBD1115" s="379" t="s">
        <v>3783</v>
      </c>
      <c r="DBE1115" s="379" t="s">
        <v>3783</v>
      </c>
      <c r="DBF1115" s="379" t="s">
        <v>3783</v>
      </c>
      <c r="DBG1115" s="379" t="s">
        <v>3783</v>
      </c>
      <c r="DBH1115" s="379" t="s">
        <v>3783</v>
      </c>
      <c r="DBI1115" s="379" t="s">
        <v>3783</v>
      </c>
      <c r="DBJ1115" s="379" t="s">
        <v>3783</v>
      </c>
      <c r="DBK1115" s="379" t="s">
        <v>3783</v>
      </c>
      <c r="DBL1115" s="379" t="s">
        <v>3783</v>
      </c>
      <c r="DBM1115" s="379" t="s">
        <v>3783</v>
      </c>
      <c r="DBN1115" s="379" t="s">
        <v>3783</v>
      </c>
      <c r="DBO1115" s="379" t="s">
        <v>3783</v>
      </c>
      <c r="DBP1115" s="379" t="s">
        <v>3783</v>
      </c>
      <c r="DBQ1115" s="379" t="s">
        <v>3783</v>
      </c>
      <c r="DBR1115" s="379" t="s">
        <v>3783</v>
      </c>
      <c r="DBS1115" s="379" t="s">
        <v>3783</v>
      </c>
      <c r="DBT1115" s="379" t="s">
        <v>3783</v>
      </c>
      <c r="DBU1115" s="379" t="s">
        <v>3783</v>
      </c>
      <c r="DBV1115" s="379" t="s">
        <v>3783</v>
      </c>
      <c r="DBW1115" s="379" t="s">
        <v>3783</v>
      </c>
      <c r="DBX1115" s="379" t="s">
        <v>3783</v>
      </c>
      <c r="DBY1115" s="379" t="s">
        <v>3783</v>
      </c>
      <c r="DBZ1115" s="379" t="s">
        <v>3783</v>
      </c>
      <c r="DCA1115" s="379" t="s">
        <v>3783</v>
      </c>
      <c r="DCB1115" s="379" t="s">
        <v>3783</v>
      </c>
      <c r="DCC1115" s="379" t="s">
        <v>3783</v>
      </c>
      <c r="DCD1115" s="379" t="s">
        <v>3783</v>
      </c>
      <c r="DCE1115" s="379" t="s">
        <v>3783</v>
      </c>
      <c r="DCF1115" s="379" t="s">
        <v>3783</v>
      </c>
      <c r="DCG1115" s="379" t="s">
        <v>3783</v>
      </c>
      <c r="DCH1115" s="379" t="s">
        <v>3783</v>
      </c>
      <c r="DCI1115" s="379" t="s">
        <v>3783</v>
      </c>
      <c r="DCJ1115" s="379" t="s">
        <v>3783</v>
      </c>
      <c r="DCK1115" s="379" t="s">
        <v>3783</v>
      </c>
      <c r="DCL1115" s="379" t="s">
        <v>3783</v>
      </c>
      <c r="DCM1115" s="379" t="s">
        <v>3783</v>
      </c>
      <c r="DCN1115" s="379" t="s">
        <v>3783</v>
      </c>
      <c r="DCO1115" s="379" t="s">
        <v>3783</v>
      </c>
      <c r="DCP1115" s="379" t="s">
        <v>3783</v>
      </c>
      <c r="DCQ1115" s="379" t="s">
        <v>3783</v>
      </c>
      <c r="DCR1115" s="379" t="s">
        <v>3783</v>
      </c>
      <c r="DCS1115" s="379" t="s">
        <v>3783</v>
      </c>
      <c r="DCT1115" s="379" t="s">
        <v>3783</v>
      </c>
      <c r="DCU1115" s="379" t="s">
        <v>3783</v>
      </c>
      <c r="DCV1115" s="379" t="s">
        <v>3783</v>
      </c>
      <c r="DCW1115" s="379" t="s">
        <v>3783</v>
      </c>
      <c r="DCX1115" s="379" t="s">
        <v>3783</v>
      </c>
      <c r="DCY1115" s="379" t="s">
        <v>3783</v>
      </c>
      <c r="DCZ1115" s="379" t="s">
        <v>3783</v>
      </c>
      <c r="DDA1115" s="379" t="s">
        <v>3783</v>
      </c>
      <c r="DDB1115" s="379" t="s">
        <v>3783</v>
      </c>
      <c r="DDC1115" s="379" t="s">
        <v>3783</v>
      </c>
      <c r="DDD1115" s="379" t="s">
        <v>3783</v>
      </c>
      <c r="DDE1115" s="379" t="s">
        <v>3783</v>
      </c>
      <c r="DDF1115" s="379" t="s">
        <v>3783</v>
      </c>
      <c r="DDG1115" s="379" t="s">
        <v>3783</v>
      </c>
      <c r="DDH1115" s="379" t="s">
        <v>3783</v>
      </c>
      <c r="DDI1115" s="379" t="s">
        <v>3783</v>
      </c>
      <c r="DDJ1115" s="379" t="s">
        <v>3783</v>
      </c>
      <c r="DDK1115" s="379" t="s">
        <v>3783</v>
      </c>
      <c r="DDL1115" s="379" t="s">
        <v>3783</v>
      </c>
      <c r="DDM1115" s="379" t="s">
        <v>3783</v>
      </c>
      <c r="DDN1115" s="379" t="s">
        <v>3783</v>
      </c>
      <c r="DDO1115" s="379" t="s">
        <v>3783</v>
      </c>
      <c r="DDP1115" s="379" t="s">
        <v>3783</v>
      </c>
      <c r="DDQ1115" s="379" t="s">
        <v>3783</v>
      </c>
      <c r="DDR1115" s="379" t="s">
        <v>3783</v>
      </c>
      <c r="DDS1115" s="379" t="s">
        <v>3783</v>
      </c>
      <c r="DDT1115" s="379" t="s">
        <v>3783</v>
      </c>
      <c r="DDU1115" s="379" t="s">
        <v>3783</v>
      </c>
      <c r="DDV1115" s="379" t="s">
        <v>3783</v>
      </c>
      <c r="DDW1115" s="379" t="s">
        <v>3783</v>
      </c>
      <c r="DDX1115" s="379" t="s">
        <v>3783</v>
      </c>
      <c r="DDY1115" s="379" t="s">
        <v>3783</v>
      </c>
      <c r="DDZ1115" s="379" t="s">
        <v>3783</v>
      </c>
      <c r="DEA1115" s="379" t="s">
        <v>3783</v>
      </c>
      <c r="DEB1115" s="379" t="s">
        <v>3783</v>
      </c>
      <c r="DEC1115" s="379" t="s">
        <v>3783</v>
      </c>
      <c r="DED1115" s="379" t="s">
        <v>3783</v>
      </c>
      <c r="DEE1115" s="379" t="s">
        <v>3783</v>
      </c>
      <c r="DEF1115" s="379" t="s">
        <v>3783</v>
      </c>
      <c r="DEG1115" s="379" t="s">
        <v>3783</v>
      </c>
      <c r="DEH1115" s="379" t="s">
        <v>3783</v>
      </c>
      <c r="DEI1115" s="379" t="s">
        <v>3783</v>
      </c>
      <c r="DEJ1115" s="379" t="s">
        <v>3783</v>
      </c>
      <c r="DEK1115" s="379" t="s">
        <v>3783</v>
      </c>
      <c r="DEL1115" s="379" t="s">
        <v>3783</v>
      </c>
      <c r="DEM1115" s="379" t="s">
        <v>3783</v>
      </c>
      <c r="DEN1115" s="379" t="s">
        <v>3783</v>
      </c>
      <c r="DEO1115" s="379" t="s">
        <v>3783</v>
      </c>
      <c r="DEP1115" s="379" t="s">
        <v>3783</v>
      </c>
      <c r="DEQ1115" s="379" t="s">
        <v>3783</v>
      </c>
      <c r="DER1115" s="379" t="s">
        <v>3783</v>
      </c>
      <c r="DES1115" s="379" t="s">
        <v>3783</v>
      </c>
      <c r="DET1115" s="379" t="s">
        <v>3783</v>
      </c>
      <c r="DEU1115" s="379" t="s">
        <v>3783</v>
      </c>
      <c r="DEV1115" s="379" t="s">
        <v>3783</v>
      </c>
      <c r="DEW1115" s="379" t="s">
        <v>3783</v>
      </c>
      <c r="DEX1115" s="379" t="s">
        <v>3783</v>
      </c>
      <c r="DEY1115" s="379" t="s">
        <v>3783</v>
      </c>
      <c r="DEZ1115" s="379" t="s">
        <v>3783</v>
      </c>
      <c r="DFA1115" s="379" t="s">
        <v>3783</v>
      </c>
      <c r="DFB1115" s="379" t="s">
        <v>3783</v>
      </c>
      <c r="DFC1115" s="379" t="s">
        <v>3783</v>
      </c>
      <c r="DFD1115" s="379" t="s">
        <v>3783</v>
      </c>
      <c r="DFE1115" s="379" t="s">
        <v>3783</v>
      </c>
      <c r="DFF1115" s="379" t="s">
        <v>3783</v>
      </c>
      <c r="DFG1115" s="379" t="s">
        <v>3783</v>
      </c>
      <c r="DFH1115" s="379" t="s">
        <v>3783</v>
      </c>
      <c r="DFI1115" s="379" t="s">
        <v>3783</v>
      </c>
      <c r="DFJ1115" s="379" t="s">
        <v>3783</v>
      </c>
      <c r="DFK1115" s="379" t="s">
        <v>3783</v>
      </c>
      <c r="DFL1115" s="379" t="s">
        <v>3783</v>
      </c>
      <c r="DFM1115" s="379" t="s">
        <v>3783</v>
      </c>
      <c r="DFN1115" s="379" t="s">
        <v>3783</v>
      </c>
      <c r="DFO1115" s="379" t="s">
        <v>3783</v>
      </c>
      <c r="DFP1115" s="379" t="s">
        <v>3783</v>
      </c>
      <c r="DFQ1115" s="379" t="s">
        <v>3783</v>
      </c>
      <c r="DFR1115" s="379" t="s">
        <v>3783</v>
      </c>
      <c r="DFS1115" s="379" t="s">
        <v>3783</v>
      </c>
      <c r="DFT1115" s="379" t="s">
        <v>3783</v>
      </c>
      <c r="DFU1115" s="379" t="s">
        <v>3783</v>
      </c>
      <c r="DFV1115" s="379" t="s">
        <v>3783</v>
      </c>
      <c r="DFW1115" s="379" t="s">
        <v>3783</v>
      </c>
      <c r="DFX1115" s="379" t="s">
        <v>3783</v>
      </c>
      <c r="DFY1115" s="379" t="s">
        <v>3783</v>
      </c>
      <c r="DFZ1115" s="379" t="s">
        <v>3783</v>
      </c>
      <c r="DGA1115" s="379" t="s">
        <v>3783</v>
      </c>
      <c r="DGB1115" s="379" t="s">
        <v>3783</v>
      </c>
      <c r="DGC1115" s="379" t="s">
        <v>3783</v>
      </c>
      <c r="DGD1115" s="379" t="s">
        <v>3783</v>
      </c>
      <c r="DGE1115" s="379" t="s">
        <v>3783</v>
      </c>
      <c r="DGF1115" s="379" t="s">
        <v>3783</v>
      </c>
      <c r="DGG1115" s="379" t="s">
        <v>3783</v>
      </c>
      <c r="DGH1115" s="379" t="s">
        <v>3783</v>
      </c>
      <c r="DGI1115" s="379" t="s">
        <v>3783</v>
      </c>
      <c r="DGJ1115" s="379" t="s">
        <v>3783</v>
      </c>
      <c r="DGK1115" s="379" t="s">
        <v>3783</v>
      </c>
      <c r="DGL1115" s="379" t="s">
        <v>3783</v>
      </c>
      <c r="DGM1115" s="379" t="s">
        <v>3783</v>
      </c>
      <c r="DGN1115" s="379" t="s">
        <v>3783</v>
      </c>
      <c r="DGO1115" s="379" t="s">
        <v>3783</v>
      </c>
      <c r="DGP1115" s="379" t="s">
        <v>3783</v>
      </c>
      <c r="DGQ1115" s="379" t="s">
        <v>3783</v>
      </c>
      <c r="DGR1115" s="379" t="s">
        <v>3783</v>
      </c>
      <c r="DGS1115" s="379" t="s">
        <v>3783</v>
      </c>
      <c r="DGT1115" s="379" t="s">
        <v>3783</v>
      </c>
      <c r="DGU1115" s="379" t="s">
        <v>3783</v>
      </c>
      <c r="DGV1115" s="379" t="s">
        <v>3783</v>
      </c>
      <c r="DGW1115" s="379" t="s">
        <v>3783</v>
      </c>
      <c r="DGX1115" s="379" t="s">
        <v>3783</v>
      </c>
      <c r="DGY1115" s="379" t="s">
        <v>3783</v>
      </c>
      <c r="DGZ1115" s="379" t="s">
        <v>3783</v>
      </c>
      <c r="DHA1115" s="379" t="s">
        <v>3783</v>
      </c>
      <c r="DHB1115" s="379" t="s">
        <v>3783</v>
      </c>
      <c r="DHC1115" s="379" t="s">
        <v>3783</v>
      </c>
      <c r="DHD1115" s="379" t="s">
        <v>3783</v>
      </c>
      <c r="DHE1115" s="379" t="s">
        <v>3783</v>
      </c>
      <c r="DHF1115" s="379" t="s">
        <v>3783</v>
      </c>
      <c r="DHG1115" s="379" t="s">
        <v>3783</v>
      </c>
      <c r="DHH1115" s="379" t="s">
        <v>3783</v>
      </c>
      <c r="DHI1115" s="379" t="s">
        <v>3783</v>
      </c>
      <c r="DHJ1115" s="379" t="s">
        <v>3783</v>
      </c>
      <c r="DHK1115" s="379" t="s">
        <v>3783</v>
      </c>
      <c r="DHL1115" s="379" t="s">
        <v>3783</v>
      </c>
      <c r="DHM1115" s="379" t="s">
        <v>3783</v>
      </c>
      <c r="DHN1115" s="379" t="s">
        <v>3783</v>
      </c>
      <c r="DHO1115" s="379" t="s">
        <v>3783</v>
      </c>
      <c r="DHP1115" s="379" t="s">
        <v>3783</v>
      </c>
      <c r="DHQ1115" s="379" t="s">
        <v>3783</v>
      </c>
      <c r="DHR1115" s="379" t="s">
        <v>3783</v>
      </c>
      <c r="DHS1115" s="379" t="s">
        <v>3783</v>
      </c>
      <c r="DHT1115" s="379" t="s">
        <v>3783</v>
      </c>
      <c r="DHU1115" s="379" t="s">
        <v>3783</v>
      </c>
      <c r="DHV1115" s="379" t="s">
        <v>3783</v>
      </c>
      <c r="DHW1115" s="379" t="s">
        <v>3783</v>
      </c>
      <c r="DHX1115" s="379" t="s">
        <v>3783</v>
      </c>
      <c r="DHY1115" s="379" t="s">
        <v>3783</v>
      </c>
      <c r="DHZ1115" s="379" t="s">
        <v>3783</v>
      </c>
      <c r="DIA1115" s="379" t="s">
        <v>3783</v>
      </c>
      <c r="DIB1115" s="379" t="s">
        <v>3783</v>
      </c>
      <c r="DIC1115" s="379" t="s">
        <v>3783</v>
      </c>
      <c r="DID1115" s="379" t="s">
        <v>3783</v>
      </c>
      <c r="DIE1115" s="379" t="s">
        <v>3783</v>
      </c>
      <c r="DIF1115" s="379" t="s">
        <v>3783</v>
      </c>
      <c r="DIG1115" s="379" t="s">
        <v>3783</v>
      </c>
      <c r="DIH1115" s="379" t="s">
        <v>3783</v>
      </c>
      <c r="DII1115" s="379" t="s">
        <v>3783</v>
      </c>
      <c r="DIJ1115" s="379" t="s">
        <v>3783</v>
      </c>
      <c r="DIK1115" s="379" t="s">
        <v>3783</v>
      </c>
      <c r="DIL1115" s="379" t="s">
        <v>3783</v>
      </c>
      <c r="DIM1115" s="379" t="s">
        <v>3783</v>
      </c>
      <c r="DIN1115" s="379" t="s">
        <v>3783</v>
      </c>
      <c r="DIO1115" s="379" t="s">
        <v>3783</v>
      </c>
      <c r="DIP1115" s="379" t="s">
        <v>3783</v>
      </c>
      <c r="DIQ1115" s="379" t="s">
        <v>3783</v>
      </c>
      <c r="DIR1115" s="379" t="s">
        <v>3783</v>
      </c>
      <c r="DIS1115" s="379" t="s">
        <v>3783</v>
      </c>
      <c r="DIT1115" s="379" t="s">
        <v>3783</v>
      </c>
      <c r="DIU1115" s="379" t="s">
        <v>3783</v>
      </c>
      <c r="DIV1115" s="379" t="s">
        <v>3783</v>
      </c>
      <c r="DIW1115" s="379" t="s">
        <v>3783</v>
      </c>
      <c r="DIX1115" s="379" t="s">
        <v>3783</v>
      </c>
      <c r="DIY1115" s="379" t="s">
        <v>3783</v>
      </c>
      <c r="DIZ1115" s="379" t="s">
        <v>3783</v>
      </c>
      <c r="DJA1115" s="379" t="s">
        <v>3783</v>
      </c>
      <c r="DJB1115" s="379" t="s">
        <v>3783</v>
      </c>
      <c r="DJC1115" s="379" t="s">
        <v>3783</v>
      </c>
      <c r="DJD1115" s="379" t="s">
        <v>3783</v>
      </c>
      <c r="DJE1115" s="379" t="s">
        <v>3783</v>
      </c>
      <c r="DJF1115" s="379" t="s">
        <v>3783</v>
      </c>
      <c r="DJG1115" s="379" t="s">
        <v>3783</v>
      </c>
      <c r="DJH1115" s="379" t="s">
        <v>3783</v>
      </c>
      <c r="DJI1115" s="379" t="s">
        <v>3783</v>
      </c>
      <c r="DJJ1115" s="379" t="s">
        <v>3783</v>
      </c>
      <c r="DJK1115" s="379" t="s">
        <v>3783</v>
      </c>
      <c r="DJL1115" s="379" t="s">
        <v>3783</v>
      </c>
      <c r="DJM1115" s="379" t="s">
        <v>3783</v>
      </c>
      <c r="DJN1115" s="379" t="s">
        <v>3783</v>
      </c>
      <c r="DJO1115" s="379" t="s">
        <v>3783</v>
      </c>
      <c r="DJP1115" s="379" t="s">
        <v>3783</v>
      </c>
      <c r="DJQ1115" s="379" t="s">
        <v>3783</v>
      </c>
      <c r="DJR1115" s="379" t="s">
        <v>3783</v>
      </c>
      <c r="DJS1115" s="379" t="s">
        <v>3783</v>
      </c>
      <c r="DJT1115" s="379" t="s">
        <v>3783</v>
      </c>
      <c r="DJU1115" s="379" t="s">
        <v>3783</v>
      </c>
      <c r="DJV1115" s="379" t="s">
        <v>3783</v>
      </c>
      <c r="DJW1115" s="379" t="s">
        <v>3783</v>
      </c>
      <c r="DJX1115" s="379" t="s">
        <v>3783</v>
      </c>
      <c r="DJY1115" s="379" t="s">
        <v>3783</v>
      </c>
      <c r="DJZ1115" s="379" t="s">
        <v>3783</v>
      </c>
      <c r="DKA1115" s="379" t="s">
        <v>3783</v>
      </c>
      <c r="DKB1115" s="379" t="s">
        <v>3783</v>
      </c>
      <c r="DKC1115" s="379" t="s">
        <v>3783</v>
      </c>
      <c r="DKD1115" s="379" t="s">
        <v>3783</v>
      </c>
      <c r="DKE1115" s="379" t="s">
        <v>3783</v>
      </c>
      <c r="DKF1115" s="379" t="s">
        <v>3783</v>
      </c>
      <c r="DKG1115" s="379" t="s">
        <v>3783</v>
      </c>
      <c r="DKH1115" s="379" t="s">
        <v>3783</v>
      </c>
      <c r="DKI1115" s="379" t="s">
        <v>3783</v>
      </c>
      <c r="DKJ1115" s="379" t="s">
        <v>3783</v>
      </c>
      <c r="DKK1115" s="379" t="s">
        <v>3783</v>
      </c>
      <c r="DKL1115" s="379" t="s">
        <v>3783</v>
      </c>
      <c r="DKM1115" s="379" t="s">
        <v>3783</v>
      </c>
      <c r="DKN1115" s="379" t="s">
        <v>3783</v>
      </c>
      <c r="DKO1115" s="379" t="s">
        <v>3783</v>
      </c>
      <c r="DKP1115" s="379" t="s">
        <v>3783</v>
      </c>
      <c r="DKQ1115" s="379" t="s">
        <v>3783</v>
      </c>
      <c r="DKR1115" s="379" t="s">
        <v>3783</v>
      </c>
      <c r="DKS1115" s="379" t="s">
        <v>3783</v>
      </c>
      <c r="DKT1115" s="379" t="s">
        <v>3783</v>
      </c>
      <c r="DKU1115" s="379" t="s">
        <v>3783</v>
      </c>
      <c r="DKV1115" s="379" t="s">
        <v>3783</v>
      </c>
      <c r="DKW1115" s="379" t="s">
        <v>3783</v>
      </c>
      <c r="DKX1115" s="379" t="s">
        <v>3783</v>
      </c>
      <c r="DKY1115" s="379" t="s">
        <v>3783</v>
      </c>
      <c r="DKZ1115" s="379" t="s">
        <v>3783</v>
      </c>
      <c r="DLA1115" s="379" t="s">
        <v>3783</v>
      </c>
      <c r="DLB1115" s="379" t="s">
        <v>3783</v>
      </c>
      <c r="DLC1115" s="379" t="s">
        <v>3783</v>
      </c>
      <c r="DLD1115" s="379" t="s">
        <v>3783</v>
      </c>
      <c r="DLE1115" s="379" t="s">
        <v>3783</v>
      </c>
      <c r="DLF1115" s="379" t="s">
        <v>3783</v>
      </c>
      <c r="DLG1115" s="379" t="s">
        <v>3783</v>
      </c>
      <c r="DLH1115" s="379" t="s">
        <v>3783</v>
      </c>
      <c r="DLI1115" s="379" t="s">
        <v>3783</v>
      </c>
      <c r="DLJ1115" s="379" t="s">
        <v>3783</v>
      </c>
      <c r="DLK1115" s="379" t="s">
        <v>3783</v>
      </c>
      <c r="DLL1115" s="379" t="s">
        <v>3783</v>
      </c>
      <c r="DLM1115" s="379" t="s">
        <v>3783</v>
      </c>
      <c r="DLN1115" s="379" t="s">
        <v>3783</v>
      </c>
      <c r="DLO1115" s="379" t="s">
        <v>3783</v>
      </c>
      <c r="DLP1115" s="379" t="s">
        <v>3783</v>
      </c>
      <c r="DLQ1115" s="379" t="s">
        <v>3783</v>
      </c>
      <c r="DLR1115" s="379" t="s">
        <v>3783</v>
      </c>
      <c r="DLS1115" s="379" t="s">
        <v>3783</v>
      </c>
      <c r="DLT1115" s="379" t="s">
        <v>3783</v>
      </c>
      <c r="DLU1115" s="379" t="s">
        <v>3783</v>
      </c>
      <c r="DLV1115" s="379" t="s">
        <v>3783</v>
      </c>
      <c r="DLW1115" s="379" t="s">
        <v>3783</v>
      </c>
      <c r="DLX1115" s="379" t="s">
        <v>3783</v>
      </c>
      <c r="DLY1115" s="379" t="s">
        <v>3783</v>
      </c>
      <c r="DLZ1115" s="379" t="s">
        <v>3783</v>
      </c>
      <c r="DMA1115" s="379" t="s">
        <v>3783</v>
      </c>
      <c r="DMB1115" s="379" t="s">
        <v>3783</v>
      </c>
      <c r="DMC1115" s="379" t="s">
        <v>3783</v>
      </c>
      <c r="DMD1115" s="379" t="s">
        <v>3783</v>
      </c>
      <c r="DME1115" s="379" t="s">
        <v>3783</v>
      </c>
      <c r="DMF1115" s="379" t="s">
        <v>3783</v>
      </c>
      <c r="DMG1115" s="379" t="s">
        <v>3783</v>
      </c>
      <c r="DMH1115" s="379" t="s">
        <v>3783</v>
      </c>
      <c r="DMI1115" s="379" t="s">
        <v>3783</v>
      </c>
      <c r="DMJ1115" s="379" t="s">
        <v>3783</v>
      </c>
      <c r="DMK1115" s="379" t="s">
        <v>3783</v>
      </c>
      <c r="DML1115" s="379" t="s">
        <v>3783</v>
      </c>
      <c r="DMM1115" s="379" t="s">
        <v>3783</v>
      </c>
      <c r="DMN1115" s="379" t="s">
        <v>3783</v>
      </c>
      <c r="DMO1115" s="379" t="s">
        <v>3783</v>
      </c>
      <c r="DMP1115" s="379" t="s">
        <v>3783</v>
      </c>
      <c r="DMQ1115" s="379" t="s">
        <v>3783</v>
      </c>
      <c r="DMR1115" s="379" t="s">
        <v>3783</v>
      </c>
      <c r="DMS1115" s="379" t="s">
        <v>3783</v>
      </c>
      <c r="DMT1115" s="379" t="s">
        <v>3783</v>
      </c>
      <c r="DMU1115" s="379" t="s">
        <v>3783</v>
      </c>
      <c r="DMV1115" s="379" t="s">
        <v>3783</v>
      </c>
      <c r="DMW1115" s="379" t="s">
        <v>3783</v>
      </c>
      <c r="DMX1115" s="379" t="s">
        <v>3783</v>
      </c>
      <c r="DMY1115" s="379" t="s">
        <v>3783</v>
      </c>
      <c r="DMZ1115" s="379" t="s">
        <v>3783</v>
      </c>
      <c r="DNA1115" s="379" t="s">
        <v>3783</v>
      </c>
      <c r="DNB1115" s="379" t="s">
        <v>3783</v>
      </c>
      <c r="DNC1115" s="379" t="s">
        <v>3783</v>
      </c>
      <c r="DND1115" s="379" t="s">
        <v>3783</v>
      </c>
      <c r="DNE1115" s="379" t="s">
        <v>3783</v>
      </c>
      <c r="DNF1115" s="379" t="s">
        <v>3783</v>
      </c>
      <c r="DNG1115" s="379" t="s">
        <v>3783</v>
      </c>
      <c r="DNH1115" s="379" t="s">
        <v>3783</v>
      </c>
      <c r="DNI1115" s="379" t="s">
        <v>3783</v>
      </c>
      <c r="DNJ1115" s="379" t="s">
        <v>3783</v>
      </c>
      <c r="DNK1115" s="379" t="s">
        <v>3783</v>
      </c>
      <c r="DNL1115" s="379" t="s">
        <v>3783</v>
      </c>
      <c r="DNM1115" s="379" t="s">
        <v>3783</v>
      </c>
      <c r="DNN1115" s="379" t="s">
        <v>3783</v>
      </c>
      <c r="DNO1115" s="379" t="s">
        <v>3783</v>
      </c>
      <c r="DNP1115" s="379" t="s">
        <v>3783</v>
      </c>
      <c r="DNQ1115" s="379" t="s">
        <v>3783</v>
      </c>
      <c r="DNR1115" s="379" t="s">
        <v>3783</v>
      </c>
      <c r="DNS1115" s="379" t="s">
        <v>3783</v>
      </c>
      <c r="DNT1115" s="379" t="s">
        <v>3783</v>
      </c>
      <c r="DNU1115" s="379" t="s">
        <v>3783</v>
      </c>
      <c r="DNV1115" s="379" t="s">
        <v>3783</v>
      </c>
      <c r="DNW1115" s="379" t="s">
        <v>3783</v>
      </c>
      <c r="DNX1115" s="379" t="s">
        <v>3783</v>
      </c>
      <c r="DNY1115" s="379" t="s">
        <v>3783</v>
      </c>
      <c r="DNZ1115" s="379" t="s">
        <v>3783</v>
      </c>
      <c r="DOA1115" s="379" t="s">
        <v>3783</v>
      </c>
      <c r="DOB1115" s="379" t="s">
        <v>3783</v>
      </c>
      <c r="DOC1115" s="379" t="s">
        <v>3783</v>
      </c>
      <c r="DOD1115" s="379" t="s">
        <v>3783</v>
      </c>
      <c r="DOE1115" s="379" t="s">
        <v>3783</v>
      </c>
      <c r="DOF1115" s="379" t="s">
        <v>3783</v>
      </c>
      <c r="DOG1115" s="379" t="s">
        <v>3783</v>
      </c>
      <c r="DOH1115" s="379" t="s">
        <v>3783</v>
      </c>
      <c r="DOI1115" s="379" t="s">
        <v>3783</v>
      </c>
      <c r="DOJ1115" s="379" t="s">
        <v>3783</v>
      </c>
      <c r="DOK1115" s="379" t="s">
        <v>3783</v>
      </c>
      <c r="DOL1115" s="379" t="s">
        <v>3783</v>
      </c>
      <c r="DOM1115" s="379" t="s">
        <v>3783</v>
      </c>
      <c r="DON1115" s="379" t="s">
        <v>3783</v>
      </c>
      <c r="DOO1115" s="379" t="s">
        <v>3783</v>
      </c>
      <c r="DOP1115" s="379" t="s">
        <v>3783</v>
      </c>
      <c r="DOQ1115" s="379" t="s">
        <v>3783</v>
      </c>
      <c r="DOR1115" s="379" t="s">
        <v>3783</v>
      </c>
      <c r="DOS1115" s="379" t="s">
        <v>3783</v>
      </c>
      <c r="DOT1115" s="379" t="s">
        <v>3783</v>
      </c>
      <c r="DOU1115" s="379" t="s">
        <v>3783</v>
      </c>
      <c r="DOV1115" s="379" t="s">
        <v>3783</v>
      </c>
      <c r="DOW1115" s="379" t="s">
        <v>3783</v>
      </c>
      <c r="DOX1115" s="379" t="s">
        <v>3783</v>
      </c>
      <c r="DOY1115" s="379" t="s">
        <v>3783</v>
      </c>
      <c r="DOZ1115" s="379" t="s">
        <v>3783</v>
      </c>
      <c r="DPA1115" s="379" t="s">
        <v>3783</v>
      </c>
      <c r="DPB1115" s="379" t="s">
        <v>3783</v>
      </c>
      <c r="DPC1115" s="379" t="s">
        <v>3783</v>
      </c>
      <c r="DPD1115" s="379" t="s">
        <v>3783</v>
      </c>
      <c r="DPE1115" s="379" t="s">
        <v>3783</v>
      </c>
      <c r="DPF1115" s="379" t="s">
        <v>3783</v>
      </c>
      <c r="DPG1115" s="379" t="s">
        <v>3783</v>
      </c>
      <c r="DPH1115" s="379" t="s">
        <v>3783</v>
      </c>
      <c r="DPI1115" s="379" t="s">
        <v>3783</v>
      </c>
      <c r="DPJ1115" s="379" t="s">
        <v>3783</v>
      </c>
      <c r="DPK1115" s="379" t="s">
        <v>3783</v>
      </c>
      <c r="DPL1115" s="379" t="s">
        <v>3783</v>
      </c>
      <c r="DPM1115" s="379" t="s">
        <v>3783</v>
      </c>
      <c r="DPN1115" s="379" t="s">
        <v>3783</v>
      </c>
      <c r="DPO1115" s="379" t="s">
        <v>3783</v>
      </c>
      <c r="DPP1115" s="379" t="s">
        <v>3783</v>
      </c>
      <c r="DPQ1115" s="379" t="s">
        <v>3783</v>
      </c>
      <c r="DPR1115" s="379" t="s">
        <v>3783</v>
      </c>
      <c r="DPS1115" s="379" t="s">
        <v>3783</v>
      </c>
      <c r="DPT1115" s="379" t="s">
        <v>3783</v>
      </c>
      <c r="DPU1115" s="379" t="s">
        <v>3783</v>
      </c>
      <c r="DPV1115" s="379" t="s">
        <v>3783</v>
      </c>
      <c r="DPW1115" s="379" t="s">
        <v>3783</v>
      </c>
      <c r="DPX1115" s="379" t="s">
        <v>3783</v>
      </c>
      <c r="DPY1115" s="379" t="s">
        <v>3783</v>
      </c>
      <c r="DPZ1115" s="379" t="s">
        <v>3783</v>
      </c>
      <c r="DQA1115" s="379" t="s">
        <v>3783</v>
      </c>
      <c r="DQB1115" s="379" t="s">
        <v>3783</v>
      </c>
      <c r="DQC1115" s="379" t="s">
        <v>3783</v>
      </c>
      <c r="DQD1115" s="379" t="s">
        <v>3783</v>
      </c>
      <c r="DQE1115" s="379" t="s">
        <v>3783</v>
      </c>
      <c r="DQF1115" s="379" t="s">
        <v>3783</v>
      </c>
      <c r="DQG1115" s="379" t="s">
        <v>3783</v>
      </c>
      <c r="DQH1115" s="379" t="s">
        <v>3783</v>
      </c>
      <c r="DQI1115" s="379" t="s">
        <v>3783</v>
      </c>
      <c r="DQJ1115" s="379" t="s">
        <v>3783</v>
      </c>
      <c r="DQK1115" s="379" t="s">
        <v>3783</v>
      </c>
      <c r="DQL1115" s="379" t="s">
        <v>3783</v>
      </c>
      <c r="DQM1115" s="379" t="s">
        <v>3783</v>
      </c>
      <c r="DQN1115" s="379" t="s">
        <v>3783</v>
      </c>
      <c r="DQO1115" s="379" t="s">
        <v>3783</v>
      </c>
      <c r="DQP1115" s="379" t="s">
        <v>3783</v>
      </c>
      <c r="DQQ1115" s="379" t="s">
        <v>3783</v>
      </c>
      <c r="DQR1115" s="379" t="s">
        <v>3783</v>
      </c>
      <c r="DQS1115" s="379" t="s">
        <v>3783</v>
      </c>
      <c r="DQT1115" s="379" t="s">
        <v>3783</v>
      </c>
      <c r="DQU1115" s="379" t="s">
        <v>3783</v>
      </c>
      <c r="DQV1115" s="379" t="s">
        <v>3783</v>
      </c>
      <c r="DQW1115" s="379" t="s">
        <v>3783</v>
      </c>
      <c r="DQX1115" s="379" t="s">
        <v>3783</v>
      </c>
      <c r="DQY1115" s="379" t="s">
        <v>3783</v>
      </c>
      <c r="DQZ1115" s="379" t="s">
        <v>3783</v>
      </c>
      <c r="DRA1115" s="379" t="s">
        <v>3783</v>
      </c>
      <c r="DRB1115" s="379" t="s">
        <v>3783</v>
      </c>
      <c r="DRC1115" s="379" t="s">
        <v>3783</v>
      </c>
      <c r="DRD1115" s="379" t="s">
        <v>3783</v>
      </c>
      <c r="DRE1115" s="379" t="s">
        <v>3783</v>
      </c>
      <c r="DRF1115" s="379" t="s">
        <v>3783</v>
      </c>
      <c r="DRG1115" s="379" t="s">
        <v>3783</v>
      </c>
      <c r="DRH1115" s="379" t="s">
        <v>3783</v>
      </c>
      <c r="DRI1115" s="379" t="s">
        <v>3783</v>
      </c>
      <c r="DRJ1115" s="379" t="s">
        <v>3783</v>
      </c>
      <c r="DRK1115" s="379" t="s">
        <v>3783</v>
      </c>
      <c r="DRL1115" s="379" t="s">
        <v>3783</v>
      </c>
      <c r="DRM1115" s="379" t="s">
        <v>3783</v>
      </c>
      <c r="DRN1115" s="379" t="s">
        <v>3783</v>
      </c>
      <c r="DRO1115" s="379" t="s">
        <v>3783</v>
      </c>
      <c r="DRP1115" s="379" t="s">
        <v>3783</v>
      </c>
      <c r="DRQ1115" s="379" t="s">
        <v>3783</v>
      </c>
      <c r="DRR1115" s="379" t="s">
        <v>3783</v>
      </c>
      <c r="DRS1115" s="379" t="s">
        <v>3783</v>
      </c>
      <c r="DRT1115" s="379" t="s">
        <v>3783</v>
      </c>
      <c r="DRU1115" s="379" t="s">
        <v>3783</v>
      </c>
      <c r="DRV1115" s="379" t="s">
        <v>3783</v>
      </c>
      <c r="DRW1115" s="379" t="s">
        <v>3783</v>
      </c>
      <c r="DRX1115" s="379" t="s">
        <v>3783</v>
      </c>
      <c r="DRY1115" s="379" t="s">
        <v>3783</v>
      </c>
      <c r="DRZ1115" s="379" t="s">
        <v>3783</v>
      </c>
      <c r="DSA1115" s="379" t="s">
        <v>3783</v>
      </c>
      <c r="DSB1115" s="379" t="s">
        <v>3783</v>
      </c>
      <c r="DSC1115" s="379" t="s">
        <v>3783</v>
      </c>
      <c r="DSD1115" s="379" t="s">
        <v>3783</v>
      </c>
      <c r="DSE1115" s="379" t="s">
        <v>3783</v>
      </c>
      <c r="DSF1115" s="379" t="s">
        <v>3783</v>
      </c>
      <c r="DSG1115" s="379" t="s">
        <v>3783</v>
      </c>
      <c r="DSH1115" s="379" t="s">
        <v>3783</v>
      </c>
      <c r="DSI1115" s="379" t="s">
        <v>3783</v>
      </c>
      <c r="DSJ1115" s="379" t="s">
        <v>3783</v>
      </c>
      <c r="DSK1115" s="379" t="s">
        <v>3783</v>
      </c>
      <c r="DSL1115" s="379" t="s">
        <v>3783</v>
      </c>
      <c r="DSM1115" s="379" t="s">
        <v>3783</v>
      </c>
      <c r="DSN1115" s="379" t="s">
        <v>3783</v>
      </c>
      <c r="DSO1115" s="379" t="s">
        <v>3783</v>
      </c>
      <c r="DSP1115" s="379" t="s">
        <v>3783</v>
      </c>
      <c r="DSQ1115" s="379" t="s">
        <v>3783</v>
      </c>
      <c r="DSR1115" s="379" t="s">
        <v>3783</v>
      </c>
      <c r="DSS1115" s="379" t="s">
        <v>3783</v>
      </c>
      <c r="DST1115" s="379" t="s">
        <v>3783</v>
      </c>
      <c r="DSU1115" s="379" t="s">
        <v>3783</v>
      </c>
      <c r="DSV1115" s="379" t="s">
        <v>3783</v>
      </c>
      <c r="DSW1115" s="379" t="s">
        <v>3783</v>
      </c>
      <c r="DSX1115" s="379" t="s">
        <v>3783</v>
      </c>
      <c r="DSY1115" s="379" t="s">
        <v>3783</v>
      </c>
      <c r="DSZ1115" s="379" t="s">
        <v>3783</v>
      </c>
      <c r="DTA1115" s="379" t="s">
        <v>3783</v>
      </c>
      <c r="DTB1115" s="379" t="s">
        <v>3783</v>
      </c>
      <c r="DTC1115" s="379" t="s">
        <v>3783</v>
      </c>
      <c r="DTD1115" s="379" t="s">
        <v>3783</v>
      </c>
      <c r="DTE1115" s="379" t="s">
        <v>3783</v>
      </c>
      <c r="DTF1115" s="379" t="s">
        <v>3783</v>
      </c>
      <c r="DTG1115" s="379" t="s">
        <v>3783</v>
      </c>
      <c r="DTH1115" s="379" t="s">
        <v>3783</v>
      </c>
      <c r="DTI1115" s="379" t="s">
        <v>3783</v>
      </c>
      <c r="DTJ1115" s="379" t="s">
        <v>3783</v>
      </c>
      <c r="DTK1115" s="379" t="s">
        <v>3783</v>
      </c>
      <c r="DTL1115" s="379" t="s">
        <v>3783</v>
      </c>
      <c r="DTM1115" s="379" t="s">
        <v>3783</v>
      </c>
      <c r="DTN1115" s="379" t="s">
        <v>3783</v>
      </c>
      <c r="DTO1115" s="379" t="s">
        <v>3783</v>
      </c>
      <c r="DTP1115" s="379" t="s">
        <v>3783</v>
      </c>
      <c r="DTQ1115" s="379" t="s">
        <v>3783</v>
      </c>
      <c r="DTR1115" s="379" t="s">
        <v>3783</v>
      </c>
      <c r="DTS1115" s="379" t="s">
        <v>3783</v>
      </c>
      <c r="DTT1115" s="379" t="s">
        <v>3783</v>
      </c>
      <c r="DTU1115" s="379" t="s">
        <v>3783</v>
      </c>
      <c r="DTV1115" s="379" t="s">
        <v>3783</v>
      </c>
      <c r="DTW1115" s="379" t="s">
        <v>3783</v>
      </c>
      <c r="DTX1115" s="379" t="s">
        <v>3783</v>
      </c>
      <c r="DTY1115" s="379" t="s">
        <v>3783</v>
      </c>
      <c r="DTZ1115" s="379" t="s">
        <v>3783</v>
      </c>
      <c r="DUA1115" s="379" t="s">
        <v>3783</v>
      </c>
      <c r="DUB1115" s="379" t="s">
        <v>3783</v>
      </c>
      <c r="DUC1115" s="379" t="s">
        <v>3783</v>
      </c>
      <c r="DUD1115" s="379" t="s">
        <v>3783</v>
      </c>
      <c r="DUE1115" s="379" t="s">
        <v>3783</v>
      </c>
      <c r="DUF1115" s="379" t="s">
        <v>3783</v>
      </c>
      <c r="DUG1115" s="379" t="s">
        <v>3783</v>
      </c>
      <c r="DUH1115" s="379" t="s">
        <v>3783</v>
      </c>
      <c r="DUI1115" s="379" t="s">
        <v>3783</v>
      </c>
      <c r="DUJ1115" s="379" t="s">
        <v>3783</v>
      </c>
      <c r="DUK1115" s="379" t="s">
        <v>3783</v>
      </c>
      <c r="DUL1115" s="379" t="s">
        <v>3783</v>
      </c>
      <c r="DUM1115" s="379" t="s">
        <v>3783</v>
      </c>
      <c r="DUN1115" s="379" t="s">
        <v>3783</v>
      </c>
      <c r="DUO1115" s="379" t="s">
        <v>3783</v>
      </c>
      <c r="DUP1115" s="379" t="s">
        <v>3783</v>
      </c>
      <c r="DUQ1115" s="379" t="s">
        <v>3783</v>
      </c>
      <c r="DUR1115" s="379" t="s">
        <v>3783</v>
      </c>
      <c r="DUS1115" s="379" t="s">
        <v>3783</v>
      </c>
      <c r="DUT1115" s="379" t="s">
        <v>3783</v>
      </c>
      <c r="DUU1115" s="379" t="s">
        <v>3783</v>
      </c>
      <c r="DUV1115" s="379" t="s">
        <v>3783</v>
      </c>
      <c r="DUW1115" s="379" t="s">
        <v>3783</v>
      </c>
      <c r="DUX1115" s="379" t="s">
        <v>3783</v>
      </c>
      <c r="DUY1115" s="379" t="s">
        <v>3783</v>
      </c>
      <c r="DUZ1115" s="379" t="s">
        <v>3783</v>
      </c>
      <c r="DVA1115" s="379" t="s">
        <v>3783</v>
      </c>
      <c r="DVB1115" s="379" t="s">
        <v>3783</v>
      </c>
      <c r="DVC1115" s="379" t="s">
        <v>3783</v>
      </c>
      <c r="DVD1115" s="379" t="s">
        <v>3783</v>
      </c>
      <c r="DVE1115" s="379" t="s">
        <v>3783</v>
      </c>
      <c r="DVF1115" s="379" t="s">
        <v>3783</v>
      </c>
      <c r="DVG1115" s="379" t="s">
        <v>3783</v>
      </c>
      <c r="DVH1115" s="379" t="s">
        <v>3783</v>
      </c>
      <c r="DVI1115" s="379" t="s">
        <v>3783</v>
      </c>
      <c r="DVJ1115" s="379" t="s">
        <v>3783</v>
      </c>
      <c r="DVK1115" s="379" t="s">
        <v>3783</v>
      </c>
      <c r="DVL1115" s="379" t="s">
        <v>3783</v>
      </c>
      <c r="DVM1115" s="379" t="s">
        <v>3783</v>
      </c>
      <c r="DVN1115" s="379" t="s">
        <v>3783</v>
      </c>
      <c r="DVO1115" s="379" t="s">
        <v>3783</v>
      </c>
      <c r="DVP1115" s="379" t="s">
        <v>3783</v>
      </c>
      <c r="DVQ1115" s="379" t="s">
        <v>3783</v>
      </c>
      <c r="DVR1115" s="379" t="s">
        <v>3783</v>
      </c>
      <c r="DVS1115" s="379" t="s">
        <v>3783</v>
      </c>
      <c r="DVT1115" s="379" t="s">
        <v>3783</v>
      </c>
      <c r="DVU1115" s="379" t="s">
        <v>3783</v>
      </c>
      <c r="DVV1115" s="379" t="s">
        <v>3783</v>
      </c>
      <c r="DVW1115" s="379" t="s">
        <v>3783</v>
      </c>
      <c r="DVX1115" s="379" t="s">
        <v>3783</v>
      </c>
      <c r="DVY1115" s="379" t="s">
        <v>3783</v>
      </c>
      <c r="DVZ1115" s="379" t="s">
        <v>3783</v>
      </c>
      <c r="DWA1115" s="379" t="s">
        <v>3783</v>
      </c>
      <c r="DWB1115" s="379" t="s">
        <v>3783</v>
      </c>
      <c r="DWC1115" s="379" t="s">
        <v>3783</v>
      </c>
      <c r="DWD1115" s="379" t="s">
        <v>3783</v>
      </c>
      <c r="DWE1115" s="379" t="s">
        <v>3783</v>
      </c>
      <c r="DWF1115" s="379" t="s">
        <v>3783</v>
      </c>
      <c r="DWG1115" s="379" t="s">
        <v>3783</v>
      </c>
      <c r="DWH1115" s="379" t="s">
        <v>3783</v>
      </c>
      <c r="DWI1115" s="379" t="s">
        <v>3783</v>
      </c>
      <c r="DWJ1115" s="379" t="s">
        <v>3783</v>
      </c>
      <c r="DWK1115" s="379" t="s">
        <v>3783</v>
      </c>
      <c r="DWL1115" s="379" t="s">
        <v>3783</v>
      </c>
      <c r="DWM1115" s="379" t="s">
        <v>3783</v>
      </c>
      <c r="DWN1115" s="379" t="s">
        <v>3783</v>
      </c>
      <c r="DWO1115" s="379" t="s">
        <v>3783</v>
      </c>
      <c r="DWP1115" s="379" t="s">
        <v>3783</v>
      </c>
      <c r="DWQ1115" s="379" t="s">
        <v>3783</v>
      </c>
      <c r="DWR1115" s="379" t="s">
        <v>3783</v>
      </c>
      <c r="DWS1115" s="379" t="s">
        <v>3783</v>
      </c>
      <c r="DWT1115" s="379" t="s">
        <v>3783</v>
      </c>
      <c r="DWU1115" s="379" t="s">
        <v>3783</v>
      </c>
      <c r="DWV1115" s="379" t="s">
        <v>3783</v>
      </c>
      <c r="DWW1115" s="379" t="s">
        <v>3783</v>
      </c>
      <c r="DWX1115" s="379" t="s">
        <v>3783</v>
      </c>
      <c r="DWY1115" s="379" t="s">
        <v>3783</v>
      </c>
      <c r="DWZ1115" s="379" t="s">
        <v>3783</v>
      </c>
      <c r="DXA1115" s="379" t="s">
        <v>3783</v>
      </c>
      <c r="DXB1115" s="379" t="s">
        <v>3783</v>
      </c>
      <c r="DXC1115" s="379" t="s">
        <v>3783</v>
      </c>
      <c r="DXD1115" s="379" t="s">
        <v>3783</v>
      </c>
      <c r="DXE1115" s="379" t="s">
        <v>3783</v>
      </c>
      <c r="DXF1115" s="379" t="s">
        <v>3783</v>
      </c>
      <c r="DXG1115" s="379" t="s">
        <v>3783</v>
      </c>
      <c r="DXH1115" s="379" t="s">
        <v>3783</v>
      </c>
      <c r="DXI1115" s="379" t="s">
        <v>3783</v>
      </c>
      <c r="DXJ1115" s="379" t="s">
        <v>3783</v>
      </c>
      <c r="DXK1115" s="379" t="s">
        <v>3783</v>
      </c>
      <c r="DXL1115" s="379" t="s">
        <v>3783</v>
      </c>
      <c r="DXM1115" s="379" t="s">
        <v>3783</v>
      </c>
      <c r="DXN1115" s="379" t="s">
        <v>3783</v>
      </c>
      <c r="DXO1115" s="379" t="s">
        <v>3783</v>
      </c>
      <c r="DXP1115" s="379" t="s">
        <v>3783</v>
      </c>
      <c r="DXQ1115" s="379" t="s">
        <v>3783</v>
      </c>
      <c r="DXR1115" s="379" t="s">
        <v>3783</v>
      </c>
      <c r="DXS1115" s="379" t="s">
        <v>3783</v>
      </c>
      <c r="DXT1115" s="379" t="s">
        <v>3783</v>
      </c>
      <c r="DXU1115" s="379" t="s">
        <v>3783</v>
      </c>
      <c r="DXV1115" s="379" t="s">
        <v>3783</v>
      </c>
      <c r="DXW1115" s="379" t="s">
        <v>3783</v>
      </c>
      <c r="DXX1115" s="379" t="s">
        <v>3783</v>
      </c>
      <c r="DXY1115" s="379" t="s">
        <v>3783</v>
      </c>
      <c r="DXZ1115" s="379" t="s">
        <v>3783</v>
      </c>
      <c r="DYA1115" s="379" t="s">
        <v>3783</v>
      </c>
      <c r="DYB1115" s="379" t="s">
        <v>3783</v>
      </c>
      <c r="DYC1115" s="379" t="s">
        <v>3783</v>
      </c>
      <c r="DYD1115" s="379" t="s">
        <v>3783</v>
      </c>
      <c r="DYE1115" s="379" t="s">
        <v>3783</v>
      </c>
      <c r="DYF1115" s="379" t="s">
        <v>3783</v>
      </c>
      <c r="DYG1115" s="379" t="s">
        <v>3783</v>
      </c>
      <c r="DYH1115" s="379" t="s">
        <v>3783</v>
      </c>
      <c r="DYI1115" s="379" t="s">
        <v>3783</v>
      </c>
      <c r="DYJ1115" s="379" t="s">
        <v>3783</v>
      </c>
      <c r="DYK1115" s="379" t="s">
        <v>3783</v>
      </c>
      <c r="DYL1115" s="379" t="s">
        <v>3783</v>
      </c>
      <c r="DYM1115" s="379" t="s">
        <v>3783</v>
      </c>
      <c r="DYN1115" s="379" t="s">
        <v>3783</v>
      </c>
      <c r="DYO1115" s="379" t="s">
        <v>3783</v>
      </c>
      <c r="DYP1115" s="379" t="s">
        <v>3783</v>
      </c>
      <c r="DYQ1115" s="379" t="s">
        <v>3783</v>
      </c>
      <c r="DYR1115" s="379" t="s">
        <v>3783</v>
      </c>
      <c r="DYS1115" s="379" t="s">
        <v>3783</v>
      </c>
      <c r="DYT1115" s="379" t="s">
        <v>3783</v>
      </c>
      <c r="DYU1115" s="379" t="s">
        <v>3783</v>
      </c>
      <c r="DYV1115" s="379" t="s">
        <v>3783</v>
      </c>
      <c r="DYW1115" s="379" t="s">
        <v>3783</v>
      </c>
      <c r="DYX1115" s="379" t="s">
        <v>3783</v>
      </c>
      <c r="DYY1115" s="379" t="s">
        <v>3783</v>
      </c>
      <c r="DYZ1115" s="379" t="s">
        <v>3783</v>
      </c>
      <c r="DZA1115" s="379" t="s">
        <v>3783</v>
      </c>
      <c r="DZB1115" s="379" t="s">
        <v>3783</v>
      </c>
      <c r="DZC1115" s="379" t="s">
        <v>3783</v>
      </c>
      <c r="DZD1115" s="379" t="s">
        <v>3783</v>
      </c>
      <c r="DZE1115" s="379" t="s">
        <v>3783</v>
      </c>
      <c r="DZF1115" s="379" t="s">
        <v>3783</v>
      </c>
      <c r="DZG1115" s="379" t="s">
        <v>3783</v>
      </c>
      <c r="DZH1115" s="379" t="s">
        <v>3783</v>
      </c>
      <c r="DZI1115" s="379" t="s">
        <v>3783</v>
      </c>
      <c r="DZJ1115" s="379" t="s">
        <v>3783</v>
      </c>
      <c r="DZK1115" s="379" t="s">
        <v>3783</v>
      </c>
      <c r="DZL1115" s="379" t="s">
        <v>3783</v>
      </c>
      <c r="DZM1115" s="379" t="s">
        <v>3783</v>
      </c>
      <c r="DZN1115" s="379" t="s">
        <v>3783</v>
      </c>
      <c r="DZO1115" s="379" t="s">
        <v>3783</v>
      </c>
      <c r="DZP1115" s="379" t="s">
        <v>3783</v>
      </c>
      <c r="DZQ1115" s="379" t="s">
        <v>3783</v>
      </c>
      <c r="DZR1115" s="379" t="s">
        <v>3783</v>
      </c>
      <c r="DZS1115" s="379" t="s">
        <v>3783</v>
      </c>
      <c r="DZT1115" s="379" t="s">
        <v>3783</v>
      </c>
      <c r="DZU1115" s="379" t="s">
        <v>3783</v>
      </c>
      <c r="DZV1115" s="379" t="s">
        <v>3783</v>
      </c>
      <c r="DZW1115" s="379" t="s">
        <v>3783</v>
      </c>
      <c r="DZX1115" s="379" t="s">
        <v>3783</v>
      </c>
      <c r="DZY1115" s="379" t="s">
        <v>3783</v>
      </c>
      <c r="DZZ1115" s="379" t="s">
        <v>3783</v>
      </c>
      <c r="EAA1115" s="379" t="s">
        <v>3783</v>
      </c>
      <c r="EAB1115" s="379" t="s">
        <v>3783</v>
      </c>
      <c r="EAC1115" s="379" t="s">
        <v>3783</v>
      </c>
      <c r="EAD1115" s="379" t="s">
        <v>3783</v>
      </c>
      <c r="EAE1115" s="379" t="s">
        <v>3783</v>
      </c>
      <c r="EAF1115" s="379" t="s">
        <v>3783</v>
      </c>
      <c r="EAG1115" s="379" t="s">
        <v>3783</v>
      </c>
      <c r="EAH1115" s="379" t="s">
        <v>3783</v>
      </c>
      <c r="EAI1115" s="379" t="s">
        <v>3783</v>
      </c>
      <c r="EAJ1115" s="379" t="s">
        <v>3783</v>
      </c>
      <c r="EAK1115" s="379" t="s">
        <v>3783</v>
      </c>
      <c r="EAL1115" s="379" t="s">
        <v>3783</v>
      </c>
      <c r="EAM1115" s="379" t="s">
        <v>3783</v>
      </c>
      <c r="EAN1115" s="379" t="s">
        <v>3783</v>
      </c>
      <c r="EAO1115" s="379" t="s">
        <v>3783</v>
      </c>
      <c r="EAP1115" s="379" t="s">
        <v>3783</v>
      </c>
      <c r="EAQ1115" s="379" t="s">
        <v>3783</v>
      </c>
      <c r="EAR1115" s="379" t="s">
        <v>3783</v>
      </c>
      <c r="EAS1115" s="379" t="s">
        <v>3783</v>
      </c>
      <c r="EAT1115" s="379" t="s">
        <v>3783</v>
      </c>
      <c r="EAU1115" s="379" t="s">
        <v>3783</v>
      </c>
      <c r="EAV1115" s="379" t="s">
        <v>3783</v>
      </c>
      <c r="EAW1115" s="379" t="s">
        <v>3783</v>
      </c>
      <c r="EAX1115" s="379" t="s">
        <v>3783</v>
      </c>
      <c r="EAY1115" s="379" t="s">
        <v>3783</v>
      </c>
      <c r="EAZ1115" s="379" t="s">
        <v>3783</v>
      </c>
      <c r="EBA1115" s="379" t="s">
        <v>3783</v>
      </c>
      <c r="EBB1115" s="379" t="s">
        <v>3783</v>
      </c>
      <c r="EBC1115" s="379" t="s">
        <v>3783</v>
      </c>
      <c r="EBD1115" s="379" t="s">
        <v>3783</v>
      </c>
      <c r="EBE1115" s="379" t="s">
        <v>3783</v>
      </c>
      <c r="EBF1115" s="379" t="s">
        <v>3783</v>
      </c>
      <c r="EBG1115" s="379" t="s">
        <v>3783</v>
      </c>
      <c r="EBH1115" s="379" t="s">
        <v>3783</v>
      </c>
      <c r="EBI1115" s="379" t="s">
        <v>3783</v>
      </c>
      <c r="EBJ1115" s="379" t="s">
        <v>3783</v>
      </c>
      <c r="EBK1115" s="379" t="s">
        <v>3783</v>
      </c>
      <c r="EBL1115" s="379" t="s">
        <v>3783</v>
      </c>
      <c r="EBM1115" s="379" t="s">
        <v>3783</v>
      </c>
      <c r="EBN1115" s="379" t="s">
        <v>3783</v>
      </c>
      <c r="EBO1115" s="379" t="s">
        <v>3783</v>
      </c>
      <c r="EBP1115" s="379" t="s">
        <v>3783</v>
      </c>
      <c r="EBQ1115" s="379" t="s">
        <v>3783</v>
      </c>
      <c r="EBR1115" s="379" t="s">
        <v>3783</v>
      </c>
      <c r="EBS1115" s="379" t="s">
        <v>3783</v>
      </c>
      <c r="EBT1115" s="379" t="s">
        <v>3783</v>
      </c>
      <c r="EBU1115" s="379" t="s">
        <v>3783</v>
      </c>
      <c r="EBV1115" s="379" t="s">
        <v>3783</v>
      </c>
      <c r="EBW1115" s="379" t="s">
        <v>3783</v>
      </c>
      <c r="EBX1115" s="379" t="s">
        <v>3783</v>
      </c>
      <c r="EBY1115" s="379" t="s">
        <v>3783</v>
      </c>
      <c r="EBZ1115" s="379" t="s">
        <v>3783</v>
      </c>
      <c r="ECA1115" s="379" t="s">
        <v>3783</v>
      </c>
      <c r="ECB1115" s="379" t="s">
        <v>3783</v>
      </c>
      <c r="ECC1115" s="379" t="s">
        <v>3783</v>
      </c>
      <c r="ECD1115" s="379" t="s">
        <v>3783</v>
      </c>
      <c r="ECE1115" s="379" t="s">
        <v>3783</v>
      </c>
      <c r="ECF1115" s="379" t="s">
        <v>3783</v>
      </c>
      <c r="ECG1115" s="379" t="s">
        <v>3783</v>
      </c>
      <c r="ECH1115" s="379" t="s">
        <v>3783</v>
      </c>
      <c r="ECI1115" s="379" t="s">
        <v>3783</v>
      </c>
      <c r="ECJ1115" s="379" t="s">
        <v>3783</v>
      </c>
      <c r="ECK1115" s="379" t="s">
        <v>3783</v>
      </c>
      <c r="ECL1115" s="379" t="s">
        <v>3783</v>
      </c>
      <c r="ECM1115" s="379" t="s">
        <v>3783</v>
      </c>
      <c r="ECN1115" s="379" t="s">
        <v>3783</v>
      </c>
      <c r="ECO1115" s="379" t="s">
        <v>3783</v>
      </c>
      <c r="ECP1115" s="379" t="s">
        <v>3783</v>
      </c>
      <c r="ECQ1115" s="379" t="s">
        <v>3783</v>
      </c>
      <c r="ECR1115" s="379" t="s">
        <v>3783</v>
      </c>
      <c r="ECS1115" s="379" t="s">
        <v>3783</v>
      </c>
      <c r="ECT1115" s="379" t="s">
        <v>3783</v>
      </c>
      <c r="ECU1115" s="379" t="s">
        <v>3783</v>
      </c>
      <c r="ECV1115" s="379" t="s">
        <v>3783</v>
      </c>
      <c r="ECW1115" s="379" t="s">
        <v>3783</v>
      </c>
      <c r="ECX1115" s="379" t="s">
        <v>3783</v>
      </c>
      <c r="ECY1115" s="379" t="s">
        <v>3783</v>
      </c>
      <c r="ECZ1115" s="379" t="s">
        <v>3783</v>
      </c>
      <c r="EDA1115" s="379" t="s">
        <v>3783</v>
      </c>
      <c r="EDB1115" s="379" t="s">
        <v>3783</v>
      </c>
      <c r="EDC1115" s="379" t="s">
        <v>3783</v>
      </c>
      <c r="EDD1115" s="379" t="s">
        <v>3783</v>
      </c>
      <c r="EDE1115" s="379" t="s">
        <v>3783</v>
      </c>
      <c r="EDF1115" s="379" t="s">
        <v>3783</v>
      </c>
      <c r="EDG1115" s="379" t="s">
        <v>3783</v>
      </c>
      <c r="EDH1115" s="379" t="s">
        <v>3783</v>
      </c>
      <c r="EDI1115" s="379" t="s">
        <v>3783</v>
      </c>
      <c r="EDJ1115" s="379" t="s">
        <v>3783</v>
      </c>
      <c r="EDK1115" s="379" t="s">
        <v>3783</v>
      </c>
      <c r="EDL1115" s="379" t="s">
        <v>3783</v>
      </c>
      <c r="EDM1115" s="379" t="s">
        <v>3783</v>
      </c>
      <c r="EDN1115" s="379" t="s">
        <v>3783</v>
      </c>
      <c r="EDO1115" s="379" t="s">
        <v>3783</v>
      </c>
      <c r="EDP1115" s="379" t="s">
        <v>3783</v>
      </c>
      <c r="EDQ1115" s="379" t="s">
        <v>3783</v>
      </c>
      <c r="EDR1115" s="379" t="s">
        <v>3783</v>
      </c>
      <c r="EDS1115" s="379" t="s">
        <v>3783</v>
      </c>
      <c r="EDT1115" s="379" t="s">
        <v>3783</v>
      </c>
      <c r="EDU1115" s="379" t="s">
        <v>3783</v>
      </c>
      <c r="EDV1115" s="379" t="s">
        <v>3783</v>
      </c>
      <c r="EDW1115" s="379" t="s">
        <v>3783</v>
      </c>
      <c r="EDX1115" s="379" t="s">
        <v>3783</v>
      </c>
      <c r="EDY1115" s="379" t="s">
        <v>3783</v>
      </c>
      <c r="EDZ1115" s="379" t="s">
        <v>3783</v>
      </c>
      <c r="EEA1115" s="379" t="s">
        <v>3783</v>
      </c>
      <c r="EEB1115" s="379" t="s">
        <v>3783</v>
      </c>
      <c r="EEC1115" s="379" t="s">
        <v>3783</v>
      </c>
      <c r="EED1115" s="379" t="s">
        <v>3783</v>
      </c>
      <c r="EEE1115" s="379" t="s">
        <v>3783</v>
      </c>
      <c r="EEF1115" s="379" t="s">
        <v>3783</v>
      </c>
      <c r="EEG1115" s="379" t="s">
        <v>3783</v>
      </c>
      <c r="EEH1115" s="379" t="s">
        <v>3783</v>
      </c>
      <c r="EEI1115" s="379" t="s">
        <v>3783</v>
      </c>
      <c r="EEJ1115" s="379" t="s">
        <v>3783</v>
      </c>
      <c r="EEK1115" s="379" t="s">
        <v>3783</v>
      </c>
      <c r="EEL1115" s="379" t="s">
        <v>3783</v>
      </c>
      <c r="EEM1115" s="379" t="s">
        <v>3783</v>
      </c>
      <c r="EEN1115" s="379" t="s">
        <v>3783</v>
      </c>
      <c r="EEO1115" s="379" t="s">
        <v>3783</v>
      </c>
      <c r="EEP1115" s="379" t="s">
        <v>3783</v>
      </c>
      <c r="EEQ1115" s="379" t="s">
        <v>3783</v>
      </c>
      <c r="EER1115" s="379" t="s">
        <v>3783</v>
      </c>
      <c r="EES1115" s="379" t="s">
        <v>3783</v>
      </c>
      <c r="EET1115" s="379" t="s">
        <v>3783</v>
      </c>
      <c r="EEU1115" s="379" t="s">
        <v>3783</v>
      </c>
      <c r="EEV1115" s="379" t="s">
        <v>3783</v>
      </c>
      <c r="EEW1115" s="379" t="s">
        <v>3783</v>
      </c>
      <c r="EEX1115" s="379" t="s">
        <v>3783</v>
      </c>
      <c r="EEY1115" s="379" t="s">
        <v>3783</v>
      </c>
      <c r="EEZ1115" s="379" t="s">
        <v>3783</v>
      </c>
      <c r="EFA1115" s="379" t="s">
        <v>3783</v>
      </c>
      <c r="EFB1115" s="379" t="s">
        <v>3783</v>
      </c>
      <c r="EFC1115" s="379" t="s">
        <v>3783</v>
      </c>
      <c r="EFD1115" s="379" t="s">
        <v>3783</v>
      </c>
      <c r="EFE1115" s="379" t="s">
        <v>3783</v>
      </c>
      <c r="EFF1115" s="379" t="s">
        <v>3783</v>
      </c>
      <c r="EFG1115" s="379" t="s">
        <v>3783</v>
      </c>
      <c r="EFH1115" s="379" t="s">
        <v>3783</v>
      </c>
      <c r="EFI1115" s="379" t="s">
        <v>3783</v>
      </c>
      <c r="EFJ1115" s="379" t="s">
        <v>3783</v>
      </c>
      <c r="EFK1115" s="379" t="s">
        <v>3783</v>
      </c>
      <c r="EFL1115" s="379" t="s">
        <v>3783</v>
      </c>
      <c r="EFM1115" s="379" t="s">
        <v>3783</v>
      </c>
      <c r="EFN1115" s="379" t="s">
        <v>3783</v>
      </c>
      <c r="EFO1115" s="379" t="s">
        <v>3783</v>
      </c>
      <c r="EFP1115" s="379" t="s">
        <v>3783</v>
      </c>
      <c r="EFQ1115" s="379" t="s">
        <v>3783</v>
      </c>
      <c r="EFR1115" s="379" t="s">
        <v>3783</v>
      </c>
      <c r="EFS1115" s="379" t="s">
        <v>3783</v>
      </c>
      <c r="EFT1115" s="379" t="s">
        <v>3783</v>
      </c>
      <c r="EFU1115" s="379" t="s">
        <v>3783</v>
      </c>
      <c r="EFV1115" s="379" t="s">
        <v>3783</v>
      </c>
      <c r="EFW1115" s="379" t="s">
        <v>3783</v>
      </c>
      <c r="EFX1115" s="379" t="s">
        <v>3783</v>
      </c>
      <c r="EFY1115" s="379" t="s">
        <v>3783</v>
      </c>
      <c r="EFZ1115" s="379" t="s">
        <v>3783</v>
      </c>
      <c r="EGA1115" s="379" t="s">
        <v>3783</v>
      </c>
      <c r="EGB1115" s="379" t="s">
        <v>3783</v>
      </c>
      <c r="EGC1115" s="379" t="s">
        <v>3783</v>
      </c>
      <c r="EGD1115" s="379" t="s">
        <v>3783</v>
      </c>
      <c r="EGE1115" s="379" t="s">
        <v>3783</v>
      </c>
      <c r="EGF1115" s="379" t="s">
        <v>3783</v>
      </c>
      <c r="EGG1115" s="379" t="s">
        <v>3783</v>
      </c>
      <c r="EGH1115" s="379" t="s">
        <v>3783</v>
      </c>
      <c r="EGI1115" s="379" t="s">
        <v>3783</v>
      </c>
      <c r="EGJ1115" s="379" t="s">
        <v>3783</v>
      </c>
      <c r="EGK1115" s="379" t="s">
        <v>3783</v>
      </c>
      <c r="EGL1115" s="379" t="s">
        <v>3783</v>
      </c>
      <c r="EGM1115" s="379" t="s">
        <v>3783</v>
      </c>
      <c r="EGN1115" s="379" t="s">
        <v>3783</v>
      </c>
      <c r="EGO1115" s="379" t="s">
        <v>3783</v>
      </c>
      <c r="EGP1115" s="379" t="s">
        <v>3783</v>
      </c>
      <c r="EGQ1115" s="379" t="s">
        <v>3783</v>
      </c>
      <c r="EGR1115" s="379" t="s">
        <v>3783</v>
      </c>
      <c r="EGS1115" s="379" t="s">
        <v>3783</v>
      </c>
      <c r="EGT1115" s="379" t="s">
        <v>3783</v>
      </c>
      <c r="EGU1115" s="379" t="s">
        <v>3783</v>
      </c>
      <c r="EGV1115" s="379" t="s">
        <v>3783</v>
      </c>
      <c r="EGW1115" s="379" t="s">
        <v>3783</v>
      </c>
      <c r="EGX1115" s="379" t="s">
        <v>3783</v>
      </c>
      <c r="EGY1115" s="379" t="s">
        <v>3783</v>
      </c>
      <c r="EGZ1115" s="379" t="s">
        <v>3783</v>
      </c>
      <c r="EHA1115" s="379" t="s">
        <v>3783</v>
      </c>
      <c r="EHB1115" s="379" t="s">
        <v>3783</v>
      </c>
      <c r="EHC1115" s="379" t="s">
        <v>3783</v>
      </c>
      <c r="EHD1115" s="379" t="s">
        <v>3783</v>
      </c>
      <c r="EHE1115" s="379" t="s">
        <v>3783</v>
      </c>
      <c r="EHF1115" s="379" t="s">
        <v>3783</v>
      </c>
      <c r="EHG1115" s="379" t="s">
        <v>3783</v>
      </c>
      <c r="EHH1115" s="379" t="s">
        <v>3783</v>
      </c>
      <c r="EHI1115" s="379" t="s">
        <v>3783</v>
      </c>
      <c r="EHJ1115" s="379" t="s">
        <v>3783</v>
      </c>
      <c r="EHK1115" s="379" t="s">
        <v>3783</v>
      </c>
      <c r="EHL1115" s="379" t="s">
        <v>3783</v>
      </c>
      <c r="EHM1115" s="379" t="s">
        <v>3783</v>
      </c>
      <c r="EHN1115" s="379" t="s">
        <v>3783</v>
      </c>
      <c r="EHO1115" s="379" t="s">
        <v>3783</v>
      </c>
      <c r="EHP1115" s="379" t="s">
        <v>3783</v>
      </c>
      <c r="EHQ1115" s="379" t="s">
        <v>3783</v>
      </c>
      <c r="EHR1115" s="379" t="s">
        <v>3783</v>
      </c>
      <c r="EHS1115" s="379" t="s">
        <v>3783</v>
      </c>
      <c r="EHT1115" s="379" t="s">
        <v>3783</v>
      </c>
      <c r="EHU1115" s="379" t="s">
        <v>3783</v>
      </c>
      <c r="EHV1115" s="379" t="s">
        <v>3783</v>
      </c>
      <c r="EHW1115" s="379" t="s">
        <v>3783</v>
      </c>
      <c r="EHX1115" s="379" t="s">
        <v>3783</v>
      </c>
      <c r="EHY1115" s="379" t="s">
        <v>3783</v>
      </c>
      <c r="EHZ1115" s="379" t="s">
        <v>3783</v>
      </c>
      <c r="EIA1115" s="379" t="s">
        <v>3783</v>
      </c>
      <c r="EIB1115" s="379" t="s">
        <v>3783</v>
      </c>
      <c r="EIC1115" s="379" t="s">
        <v>3783</v>
      </c>
      <c r="EID1115" s="379" t="s">
        <v>3783</v>
      </c>
      <c r="EIE1115" s="379" t="s">
        <v>3783</v>
      </c>
      <c r="EIF1115" s="379" t="s">
        <v>3783</v>
      </c>
      <c r="EIG1115" s="379" t="s">
        <v>3783</v>
      </c>
      <c r="EIH1115" s="379" t="s">
        <v>3783</v>
      </c>
      <c r="EII1115" s="379" t="s">
        <v>3783</v>
      </c>
      <c r="EIJ1115" s="379" t="s">
        <v>3783</v>
      </c>
      <c r="EIK1115" s="379" t="s">
        <v>3783</v>
      </c>
      <c r="EIL1115" s="379" t="s">
        <v>3783</v>
      </c>
      <c r="EIM1115" s="379" t="s">
        <v>3783</v>
      </c>
      <c r="EIN1115" s="379" t="s">
        <v>3783</v>
      </c>
      <c r="EIO1115" s="379" t="s">
        <v>3783</v>
      </c>
      <c r="EIP1115" s="379" t="s">
        <v>3783</v>
      </c>
      <c r="EIQ1115" s="379" t="s">
        <v>3783</v>
      </c>
      <c r="EIR1115" s="379" t="s">
        <v>3783</v>
      </c>
      <c r="EIS1115" s="379" t="s">
        <v>3783</v>
      </c>
      <c r="EIT1115" s="379" t="s">
        <v>3783</v>
      </c>
      <c r="EIU1115" s="379" t="s">
        <v>3783</v>
      </c>
      <c r="EIV1115" s="379" t="s">
        <v>3783</v>
      </c>
      <c r="EIW1115" s="379" t="s">
        <v>3783</v>
      </c>
      <c r="EIX1115" s="379" t="s">
        <v>3783</v>
      </c>
      <c r="EIY1115" s="379" t="s">
        <v>3783</v>
      </c>
      <c r="EIZ1115" s="379" t="s">
        <v>3783</v>
      </c>
      <c r="EJA1115" s="379" t="s">
        <v>3783</v>
      </c>
      <c r="EJB1115" s="379" t="s">
        <v>3783</v>
      </c>
      <c r="EJC1115" s="379" t="s">
        <v>3783</v>
      </c>
      <c r="EJD1115" s="379" t="s">
        <v>3783</v>
      </c>
      <c r="EJE1115" s="379" t="s">
        <v>3783</v>
      </c>
      <c r="EJF1115" s="379" t="s">
        <v>3783</v>
      </c>
      <c r="EJG1115" s="379" t="s">
        <v>3783</v>
      </c>
      <c r="EJH1115" s="379" t="s">
        <v>3783</v>
      </c>
      <c r="EJI1115" s="379" t="s">
        <v>3783</v>
      </c>
      <c r="EJJ1115" s="379" t="s">
        <v>3783</v>
      </c>
      <c r="EJK1115" s="379" t="s">
        <v>3783</v>
      </c>
      <c r="EJL1115" s="379" t="s">
        <v>3783</v>
      </c>
      <c r="EJM1115" s="379" t="s">
        <v>3783</v>
      </c>
      <c r="EJN1115" s="379" t="s">
        <v>3783</v>
      </c>
      <c r="EJO1115" s="379" t="s">
        <v>3783</v>
      </c>
      <c r="EJP1115" s="379" t="s">
        <v>3783</v>
      </c>
      <c r="EJQ1115" s="379" t="s">
        <v>3783</v>
      </c>
      <c r="EJR1115" s="379" t="s">
        <v>3783</v>
      </c>
      <c r="EJS1115" s="379" t="s">
        <v>3783</v>
      </c>
      <c r="EJT1115" s="379" t="s">
        <v>3783</v>
      </c>
      <c r="EJU1115" s="379" t="s">
        <v>3783</v>
      </c>
      <c r="EJV1115" s="379" t="s">
        <v>3783</v>
      </c>
      <c r="EJW1115" s="379" t="s">
        <v>3783</v>
      </c>
      <c r="EJX1115" s="379" t="s">
        <v>3783</v>
      </c>
      <c r="EJY1115" s="379" t="s">
        <v>3783</v>
      </c>
      <c r="EJZ1115" s="379" t="s">
        <v>3783</v>
      </c>
      <c r="EKA1115" s="379" t="s">
        <v>3783</v>
      </c>
      <c r="EKB1115" s="379" t="s">
        <v>3783</v>
      </c>
      <c r="EKC1115" s="379" t="s">
        <v>3783</v>
      </c>
      <c r="EKD1115" s="379" t="s">
        <v>3783</v>
      </c>
      <c r="EKE1115" s="379" t="s">
        <v>3783</v>
      </c>
      <c r="EKF1115" s="379" t="s">
        <v>3783</v>
      </c>
      <c r="EKG1115" s="379" t="s">
        <v>3783</v>
      </c>
      <c r="EKH1115" s="379" t="s">
        <v>3783</v>
      </c>
      <c r="EKI1115" s="379" t="s">
        <v>3783</v>
      </c>
      <c r="EKJ1115" s="379" t="s">
        <v>3783</v>
      </c>
      <c r="EKK1115" s="379" t="s">
        <v>3783</v>
      </c>
      <c r="EKL1115" s="379" t="s">
        <v>3783</v>
      </c>
      <c r="EKM1115" s="379" t="s">
        <v>3783</v>
      </c>
      <c r="EKN1115" s="379" t="s">
        <v>3783</v>
      </c>
      <c r="EKO1115" s="379" t="s">
        <v>3783</v>
      </c>
      <c r="EKP1115" s="379" t="s">
        <v>3783</v>
      </c>
      <c r="EKQ1115" s="379" t="s">
        <v>3783</v>
      </c>
      <c r="EKR1115" s="379" t="s">
        <v>3783</v>
      </c>
      <c r="EKS1115" s="379" t="s">
        <v>3783</v>
      </c>
      <c r="EKT1115" s="379" t="s">
        <v>3783</v>
      </c>
      <c r="EKU1115" s="379" t="s">
        <v>3783</v>
      </c>
      <c r="EKV1115" s="379" t="s">
        <v>3783</v>
      </c>
      <c r="EKW1115" s="379" t="s">
        <v>3783</v>
      </c>
      <c r="EKX1115" s="379" t="s">
        <v>3783</v>
      </c>
      <c r="EKY1115" s="379" t="s">
        <v>3783</v>
      </c>
      <c r="EKZ1115" s="379" t="s">
        <v>3783</v>
      </c>
      <c r="ELA1115" s="379" t="s">
        <v>3783</v>
      </c>
      <c r="ELB1115" s="379" t="s">
        <v>3783</v>
      </c>
      <c r="ELC1115" s="379" t="s">
        <v>3783</v>
      </c>
      <c r="ELD1115" s="379" t="s">
        <v>3783</v>
      </c>
      <c r="ELE1115" s="379" t="s">
        <v>3783</v>
      </c>
      <c r="ELF1115" s="379" t="s">
        <v>3783</v>
      </c>
      <c r="ELG1115" s="379" t="s">
        <v>3783</v>
      </c>
      <c r="ELH1115" s="379" t="s">
        <v>3783</v>
      </c>
      <c r="ELI1115" s="379" t="s">
        <v>3783</v>
      </c>
      <c r="ELJ1115" s="379" t="s">
        <v>3783</v>
      </c>
      <c r="ELK1115" s="379" t="s">
        <v>3783</v>
      </c>
      <c r="ELL1115" s="379" t="s">
        <v>3783</v>
      </c>
      <c r="ELM1115" s="379" t="s">
        <v>3783</v>
      </c>
      <c r="ELN1115" s="379" t="s">
        <v>3783</v>
      </c>
      <c r="ELO1115" s="379" t="s">
        <v>3783</v>
      </c>
      <c r="ELP1115" s="379" t="s">
        <v>3783</v>
      </c>
      <c r="ELQ1115" s="379" t="s">
        <v>3783</v>
      </c>
      <c r="ELR1115" s="379" t="s">
        <v>3783</v>
      </c>
      <c r="ELS1115" s="379" t="s">
        <v>3783</v>
      </c>
      <c r="ELT1115" s="379" t="s">
        <v>3783</v>
      </c>
      <c r="ELU1115" s="379" t="s">
        <v>3783</v>
      </c>
      <c r="ELV1115" s="379" t="s">
        <v>3783</v>
      </c>
      <c r="ELW1115" s="379" t="s">
        <v>3783</v>
      </c>
      <c r="ELX1115" s="379" t="s">
        <v>3783</v>
      </c>
      <c r="ELY1115" s="379" t="s">
        <v>3783</v>
      </c>
      <c r="ELZ1115" s="379" t="s">
        <v>3783</v>
      </c>
      <c r="EMA1115" s="379" t="s">
        <v>3783</v>
      </c>
      <c r="EMB1115" s="379" t="s">
        <v>3783</v>
      </c>
      <c r="EMC1115" s="379" t="s">
        <v>3783</v>
      </c>
      <c r="EMD1115" s="379" t="s">
        <v>3783</v>
      </c>
      <c r="EME1115" s="379" t="s">
        <v>3783</v>
      </c>
      <c r="EMF1115" s="379" t="s">
        <v>3783</v>
      </c>
      <c r="EMG1115" s="379" t="s">
        <v>3783</v>
      </c>
      <c r="EMH1115" s="379" t="s">
        <v>3783</v>
      </c>
      <c r="EMI1115" s="379" t="s">
        <v>3783</v>
      </c>
      <c r="EMJ1115" s="379" t="s">
        <v>3783</v>
      </c>
      <c r="EMK1115" s="379" t="s">
        <v>3783</v>
      </c>
      <c r="EML1115" s="379" t="s">
        <v>3783</v>
      </c>
      <c r="EMM1115" s="379" t="s">
        <v>3783</v>
      </c>
      <c r="EMN1115" s="379" t="s">
        <v>3783</v>
      </c>
      <c r="EMO1115" s="379" t="s">
        <v>3783</v>
      </c>
      <c r="EMP1115" s="379" t="s">
        <v>3783</v>
      </c>
      <c r="EMQ1115" s="379" t="s">
        <v>3783</v>
      </c>
      <c r="EMR1115" s="379" t="s">
        <v>3783</v>
      </c>
      <c r="EMS1115" s="379" t="s">
        <v>3783</v>
      </c>
      <c r="EMT1115" s="379" t="s">
        <v>3783</v>
      </c>
      <c r="EMU1115" s="379" t="s">
        <v>3783</v>
      </c>
      <c r="EMV1115" s="379" t="s">
        <v>3783</v>
      </c>
      <c r="EMW1115" s="379" t="s">
        <v>3783</v>
      </c>
      <c r="EMX1115" s="379" t="s">
        <v>3783</v>
      </c>
      <c r="EMY1115" s="379" t="s">
        <v>3783</v>
      </c>
      <c r="EMZ1115" s="379" t="s">
        <v>3783</v>
      </c>
      <c r="ENA1115" s="379" t="s">
        <v>3783</v>
      </c>
      <c r="ENB1115" s="379" t="s">
        <v>3783</v>
      </c>
      <c r="ENC1115" s="379" t="s">
        <v>3783</v>
      </c>
      <c r="END1115" s="379" t="s">
        <v>3783</v>
      </c>
      <c r="ENE1115" s="379" t="s">
        <v>3783</v>
      </c>
      <c r="ENF1115" s="379" t="s">
        <v>3783</v>
      </c>
      <c r="ENG1115" s="379" t="s">
        <v>3783</v>
      </c>
      <c r="ENH1115" s="379" t="s">
        <v>3783</v>
      </c>
      <c r="ENI1115" s="379" t="s">
        <v>3783</v>
      </c>
      <c r="ENJ1115" s="379" t="s">
        <v>3783</v>
      </c>
      <c r="ENK1115" s="379" t="s">
        <v>3783</v>
      </c>
      <c r="ENL1115" s="379" t="s">
        <v>3783</v>
      </c>
      <c r="ENM1115" s="379" t="s">
        <v>3783</v>
      </c>
      <c r="ENN1115" s="379" t="s">
        <v>3783</v>
      </c>
      <c r="ENO1115" s="379" t="s">
        <v>3783</v>
      </c>
      <c r="ENP1115" s="379" t="s">
        <v>3783</v>
      </c>
      <c r="ENQ1115" s="379" t="s">
        <v>3783</v>
      </c>
      <c r="ENR1115" s="379" t="s">
        <v>3783</v>
      </c>
      <c r="ENS1115" s="379" t="s">
        <v>3783</v>
      </c>
      <c r="ENT1115" s="379" t="s">
        <v>3783</v>
      </c>
      <c r="ENU1115" s="379" t="s">
        <v>3783</v>
      </c>
      <c r="ENV1115" s="379" t="s">
        <v>3783</v>
      </c>
      <c r="ENW1115" s="379" t="s">
        <v>3783</v>
      </c>
      <c r="ENX1115" s="379" t="s">
        <v>3783</v>
      </c>
      <c r="ENY1115" s="379" t="s">
        <v>3783</v>
      </c>
      <c r="ENZ1115" s="379" t="s">
        <v>3783</v>
      </c>
      <c r="EOA1115" s="379" t="s">
        <v>3783</v>
      </c>
      <c r="EOB1115" s="379" t="s">
        <v>3783</v>
      </c>
      <c r="EOC1115" s="379" t="s">
        <v>3783</v>
      </c>
      <c r="EOD1115" s="379" t="s">
        <v>3783</v>
      </c>
      <c r="EOE1115" s="379" t="s">
        <v>3783</v>
      </c>
      <c r="EOF1115" s="379" t="s">
        <v>3783</v>
      </c>
      <c r="EOG1115" s="379" t="s">
        <v>3783</v>
      </c>
      <c r="EOH1115" s="379" t="s">
        <v>3783</v>
      </c>
      <c r="EOI1115" s="379" t="s">
        <v>3783</v>
      </c>
      <c r="EOJ1115" s="379" t="s">
        <v>3783</v>
      </c>
      <c r="EOK1115" s="379" t="s">
        <v>3783</v>
      </c>
      <c r="EOL1115" s="379" t="s">
        <v>3783</v>
      </c>
      <c r="EOM1115" s="379" t="s">
        <v>3783</v>
      </c>
      <c r="EON1115" s="379" t="s">
        <v>3783</v>
      </c>
      <c r="EOO1115" s="379" t="s">
        <v>3783</v>
      </c>
      <c r="EOP1115" s="379" t="s">
        <v>3783</v>
      </c>
      <c r="EOQ1115" s="379" t="s">
        <v>3783</v>
      </c>
      <c r="EOR1115" s="379" t="s">
        <v>3783</v>
      </c>
      <c r="EOS1115" s="379" t="s">
        <v>3783</v>
      </c>
      <c r="EOT1115" s="379" t="s">
        <v>3783</v>
      </c>
      <c r="EOU1115" s="379" t="s">
        <v>3783</v>
      </c>
      <c r="EOV1115" s="379" t="s">
        <v>3783</v>
      </c>
      <c r="EOW1115" s="379" t="s">
        <v>3783</v>
      </c>
      <c r="EOX1115" s="379" t="s">
        <v>3783</v>
      </c>
      <c r="EOY1115" s="379" t="s">
        <v>3783</v>
      </c>
      <c r="EOZ1115" s="379" t="s">
        <v>3783</v>
      </c>
      <c r="EPA1115" s="379" t="s">
        <v>3783</v>
      </c>
      <c r="EPB1115" s="379" t="s">
        <v>3783</v>
      </c>
      <c r="EPC1115" s="379" t="s">
        <v>3783</v>
      </c>
      <c r="EPD1115" s="379" t="s">
        <v>3783</v>
      </c>
      <c r="EPE1115" s="379" t="s">
        <v>3783</v>
      </c>
      <c r="EPF1115" s="379" t="s">
        <v>3783</v>
      </c>
      <c r="EPG1115" s="379" t="s">
        <v>3783</v>
      </c>
      <c r="EPH1115" s="379" t="s">
        <v>3783</v>
      </c>
      <c r="EPI1115" s="379" t="s">
        <v>3783</v>
      </c>
      <c r="EPJ1115" s="379" t="s">
        <v>3783</v>
      </c>
      <c r="EPK1115" s="379" t="s">
        <v>3783</v>
      </c>
      <c r="EPL1115" s="379" t="s">
        <v>3783</v>
      </c>
      <c r="EPM1115" s="379" t="s">
        <v>3783</v>
      </c>
      <c r="EPN1115" s="379" t="s">
        <v>3783</v>
      </c>
      <c r="EPO1115" s="379" t="s">
        <v>3783</v>
      </c>
      <c r="EPP1115" s="379" t="s">
        <v>3783</v>
      </c>
      <c r="EPQ1115" s="379" t="s">
        <v>3783</v>
      </c>
      <c r="EPR1115" s="379" t="s">
        <v>3783</v>
      </c>
      <c r="EPS1115" s="379" t="s">
        <v>3783</v>
      </c>
      <c r="EPT1115" s="379" t="s">
        <v>3783</v>
      </c>
      <c r="EPU1115" s="379" t="s">
        <v>3783</v>
      </c>
      <c r="EPV1115" s="379" t="s">
        <v>3783</v>
      </c>
      <c r="EPW1115" s="379" t="s">
        <v>3783</v>
      </c>
      <c r="EPX1115" s="379" t="s">
        <v>3783</v>
      </c>
      <c r="EPY1115" s="379" t="s">
        <v>3783</v>
      </c>
      <c r="EPZ1115" s="379" t="s">
        <v>3783</v>
      </c>
      <c r="EQA1115" s="379" t="s">
        <v>3783</v>
      </c>
      <c r="EQB1115" s="379" t="s">
        <v>3783</v>
      </c>
      <c r="EQC1115" s="379" t="s">
        <v>3783</v>
      </c>
      <c r="EQD1115" s="379" t="s">
        <v>3783</v>
      </c>
      <c r="EQE1115" s="379" t="s">
        <v>3783</v>
      </c>
      <c r="EQF1115" s="379" t="s">
        <v>3783</v>
      </c>
      <c r="EQG1115" s="379" t="s">
        <v>3783</v>
      </c>
      <c r="EQH1115" s="379" t="s">
        <v>3783</v>
      </c>
      <c r="EQI1115" s="379" t="s">
        <v>3783</v>
      </c>
      <c r="EQJ1115" s="379" t="s">
        <v>3783</v>
      </c>
      <c r="EQK1115" s="379" t="s">
        <v>3783</v>
      </c>
      <c r="EQL1115" s="379" t="s">
        <v>3783</v>
      </c>
      <c r="EQM1115" s="379" t="s">
        <v>3783</v>
      </c>
      <c r="EQN1115" s="379" t="s">
        <v>3783</v>
      </c>
      <c r="EQO1115" s="379" t="s">
        <v>3783</v>
      </c>
      <c r="EQP1115" s="379" t="s">
        <v>3783</v>
      </c>
      <c r="EQQ1115" s="379" t="s">
        <v>3783</v>
      </c>
      <c r="EQR1115" s="379" t="s">
        <v>3783</v>
      </c>
      <c r="EQS1115" s="379" t="s">
        <v>3783</v>
      </c>
      <c r="EQT1115" s="379" t="s">
        <v>3783</v>
      </c>
      <c r="EQU1115" s="379" t="s">
        <v>3783</v>
      </c>
      <c r="EQV1115" s="379" t="s">
        <v>3783</v>
      </c>
      <c r="EQW1115" s="379" t="s">
        <v>3783</v>
      </c>
      <c r="EQX1115" s="379" t="s">
        <v>3783</v>
      </c>
      <c r="EQY1115" s="379" t="s">
        <v>3783</v>
      </c>
      <c r="EQZ1115" s="379" t="s">
        <v>3783</v>
      </c>
      <c r="ERA1115" s="379" t="s">
        <v>3783</v>
      </c>
      <c r="ERB1115" s="379" t="s">
        <v>3783</v>
      </c>
      <c r="ERC1115" s="379" t="s">
        <v>3783</v>
      </c>
      <c r="ERD1115" s="379" t="s">
        <v>3783</v>
      </c>
      <c r="ERE1115" s="379" t="s">
        <v>3783</v>
      </c>
      <c r="ERF1115" s="379" t="s">
        <v>3783</v>
      </c>
      <c r="ERG1115" s="379" t="s">
        <v>3783</v>
      </c>
      <c r="ERH1115" s="379" t="s">
        <v>3783</v>
      </c>
      <c r="ERI1115" s="379" t="s">
        <v>3783</v>
      </c>
      <c r="ERJ1115" s="379" t="s">
        <v>3783</v>
      </c>
      <c r="ERK1115" s="379" t="s">
        <v>3783</v>
      </c>
      <c r="ERL1115" s="379" t="s">
        <v>3783</v>
      </c>
      <c r="ERM1115" s="379" t="s">
        <v>3783</v>
      </c>
      <c r="ERN1115" s="379" t="s">
        <v>3783</v>
      </c>
      <c r="ERO1115" s="379" t="s">
        <v>3783</v>
      </c>
      <c r="ERP1115" s="379" t="s">
        <v>3783</v>
      </c>
      <c r="ERQ1115" s="379" t="s">
        <v>3783</v>
      </c>
      <c r="ERR1115" s="379" t="s">
        <v>3783</v>
      </c>
      <c r="ERS1115" s="379" t="s">
        <v>3783</v>
      </c>
      <c r="ERT1115" s="379" t="s">
        <v>3783</v>
      </c>
      <c r="ERU1115" s="379" t="s">
        <v>3783</v>
      </c>
      <c r="ERV1115" s="379" t="s">
        <v>3783</v>
      </c>
      <c r="ERW1115" s="379" t="s">
        <v>3783</v>
      </c>
      <c r="ERX1115" s="379" t="s">
        <v>3783</v>
      </c>
      <c r="ERY1115" s="379" t="s">
        <v>3783</v>
      </c>
      <c r="ERZ1115" s="379" t="s">
        <v>3783</v>
      </c>
      <c r="ESA1115" s="379" t="s">
        <v>3783</v>
      </c>
      <c r="ESB1115" s="379" t="s">
        <v>3783</v>
      </c>
      <c r="ESC1115" s="379" t="s">
        <v>3783</v>
      </c>
      <c r="ESD1115" s="379" t="s">
        <v>3783</v>
      </c>
      <c r="ESE1115" s="379" t="s">
        <v>3783</v>
      </c>
      <c r="ESF1115" s="379" t="s">
        <v>3783</v>
      </c>
      <c r="ESG1115" s="379" t="s">
        <v>3783</v>
      </c>
      <c r="ESH1115" s="379" t="s">
        <v>3783</v>
      </c>
      <c r="ESI1115" s="379" t="s">
        <v>3783</v>
      </c>
      <c r="ESJ1115" s="379" t="s">
        <v>3783</v>
      </c>
      <c r="ESK1115" s="379" t="s">
        <v>3783</v>
      </c>
      <c r="ESL1115" s="379" t="s">
        <v>3783</v>
      </c>
      <c r="ESM1115" s="379" t="s">
        <v>3783</v>
      </c>
      <c r="ESN1115" s="379" t="s">
        <v>3783</v>
      </c>
      <c r="ESO1115" s="379" t="s">
        <v>3783</v>
      </c>
      <c r="ESP1115" s="379" t="s">
        <v>3783</v>
      </c>
      <c r="ESQ1115" s="379" t="s">
        <v>3783</v>
      </c>
      <c r="ESR1115" s="379" t="s">
        <v>3783</v>
      </c>
      <c r="ESS1115" s="379" t="s">
        <v>3783</v>
      </c>
      <c r="EST1115" s="379" t="s">
        <v>3783</v>
      </c>
      <c r="ESU1115" s="379" t="s">
        <v>3783</v>
      </c>
      <c r="ESV1115" s="379" t="s">
        <v>3783</v>
      </c>
      <c r="ESW1115" s="379" t="s">
        <v>3783</v>
      </c>
      <c r="ESX1115" s="379" t="s">
        <v>3783</v>
      </c>
      <c r="ESY1115" s="379" t="s">
        <v>3783</v>
      </c>
      <c r="ESZ1115" s="379" t="s">
        <v>3783</v>
      </c>
      <c r="ETA1115" s="379" t="s">
        <v>3783</v>
      </c>
      <c r="ETB1115" s="379" t="s">
        <v>3783</v>
      </c>
      <c r="ETC1115" s="379" t="s">
        <v>3783</v>
      </c>
      <c r="ETD1115" s="379" t="s">
        <v>3783</v>
      </c>
      <c r="ETE1115" s="379" t="s">
        <v>3783</v>
      </c>
      <c r="ETF1115" s="379" t="s">
        <v>3783</v>
      </c>
      <c r="ETG1115" s="379" t="s">
        <v>3783</v>
      </c>
      <c r="ETH1115" s="379" t="s">
        <v>3783</v>
      </c>
      <c r="ETI1115" s="379" t="s">
        <v>3783</v>
      </c>
      <c r="ETJ1115" s="379" t="s">
        <v>3783</v>
      </c>
      <c r="ETK1115" s="379" t="s">
        <v>3783</v>
      </c>
      <c r="ETL1115" s="379" t="s">
        <v>3783</v>
      </c>
      <c r="ETM1115" s="379" t="s">
        <v>3783</v>
      </c>
      <c r="ETN1115" s="379" t="s">
        <v>3783</v>
      </c>
      <c r="ETO1115" s="379" t="s">
        <v>3783</v>
      </c>
      <c r="ETP1115" s="379" t="s">
        <v>3783</v>
      </c>
      <c r="ETQ1115" s="379" t="s">
        <v>3783</v>
      </c>
      <c r="ETR1115" s="379" t="s">
        <v>3783</v>
      </c>
      <c r="ETS1115" s="379" t="s">
        <v>3783</v>
      </c>
      <c r="ETT1115" s="379" t="s">
        <v>3783</v>
      </c>
      <c r="ETU1115" s="379" t="s">
        <v>3783</v>
      </c>
      <c r="ETV1115" s="379" t="s">
        <v>3783</v>
      </c>
      <c r="ETW1115" s="379" t="s">
        <v>3783</v>
      </c>
      <c r="ETX1115" s="379" t="s">
        <v>3783</v>
      </c>
      <c r="ETY1115" s="379" t="s">
        <v>3783</v>
      </c>
      <c r="ETZ1115" s="379" t="s">
        <v>3783</v>
      </c>
      <c r="EUA1115" s="379" t="s">
        <v>3783</v>
      </c>
      <c r="EUB1115" s="379" t="s">
        <v>3783</v>
      </c>
      <c r="EUC1115" s="379" t="s">
        <v>3783</v>
      </c>
      <c r="EUD1115" s="379" t="s">
        <v>3783</v>
      </c>
      <c r="EUE1115" s="379" t="s">
        <v>3783</v>
      </c>
      <c r="EUF1115" s="379" t="s">
        <v>3783</v>
      </c>
      <c r="EUG1115" s="379" t="s">
        <v>3783</v>
      </c>
      <c r="EUH1115" s="379" t="s">
        <v>3783</v>
      </c>
      <c r="EUI1115" s="379" t="s">
        <v>3783</v>
      </c>
      <c r="EUJ1115" s="379" t="s">
        <v>3783</v>
      </c>
      <c r="EUK1115" s="379" t="s">
        <v>3783</v>
      </c>
      <c r="EUL1115" s="379" t="s">
        <v>3783</v>
      </c>
      <c r="EUM1115" s="379" t="s">
        <v>3783</v>
      </c>
      <c r="EUN1115" s="379" t="s">
        <v>3783</v>
      </c>
      <c r="EUO1115" s="379" t="s">
        <v>3783</v>
      </c>
      <c r="EUP1115" s="379" t="s">
        <v>3783</v>
      </c>
      <c r="EUQ1115" s="379" t="s">
        <v>3783</v>
      </c>
      <c r="EUR1115" s="379" t="s">
        <v>3783</v>
      </c>
      <c r="EUS1115" s="379" t="s">
        <v>3783</v>
      </c>
      <c r="EUT1115" s="379" t="s">
        <v>3783</v>
      </c>
      <c r="EUU1115" s="379" t="s">
        <v>3783</v>
      </c>
      <c r="EUV1115" s="379" t="s">
        <v>3783</v>
      </c>
      <c r="EUW1115" s="379" t="s">
        <v>3783</v>
      </c>
      <c r="EUX1115" s="379" t="s">
        <v>3783</v>
      </c>
      <c r="EUY1115" s="379" t="s">
        <v>3783</v>
      </c>
      <c r="EUZ1115" s="379" t="s">
        <v>3783</v>
      </c>
      <c r="EVA1115" s="379" t="s">
        <v>3783</v>
      </c>
      <c r="EVB1115" s="379" t="s">
        <v>3783</v>
      </c>
      <c r="EVC1115" s="379" t="s">
        <v>3783</v>
      </c>
      <c r="EVD1115" s="379" t="s">
        <v>3783</v>
      </c>
      <c r="EVE1115" s="379" t="s">
        <v>3783</v>
      </c>
      <c r="EVF1115" s="379" t="s">
        <v>3783</v>
      </c>
      <c r="EVG1115" s="379" t="s">
        <v>3783</v>
      </c>
      <c r="EVH1115" s="379" t="s">
        <v>3783</v>
      </c>
      <c r="EVI1115" s="379" t="s">
        <v>3783</v>
      </c>
      <c r="EVJ1115" s="379" t="s">
        <v>3783</v>
      </c>
      <c r="EVK1115" s="379" t="s">
        <v>3783</v>
      </c>
      <c r="EVL1115" s="379" t="s">
        <v>3783</v>
      </c>
      <c r="EVM1115" s="379" t="s">
        <v>3783</v>
      </c>
      <c r="EVN1115" s="379" t="s">
        <v>3783</v>
      </c>
      <c r="EVO1115" s="379" t="s">
        <v>3783</v>
      </c>
      <c r="EVP1115" s="379" t="s">
        <v>3783</v>
      </c>
      <c r="EVQ1115" s="379" t="s">
        <v>3783</v>
      </c>
      <c r="EVR1115" s="379" t="s">
        <v>3783</v>
      </c>
      <c r="EVS1115" s="379" t="s">
        <v>3783</v>
      </c>
      <c r="EVT1115" s="379" t="s">
        <v>3783</v>
      </c>
      <c r="EVU1115" s="379" t="s">
        <v>3783</v>
      </c>
      <c r="EVV1115" s="379" t="s">
        <v>3783</v>
      </c>
      <c r="EVW1115" s="379" t="s">
        <v>3783</v>
      </c>
      <c r="EVX1115" s="379" t="s">
        <v>3783</v>
      </c>
      <c r="EVY1115" s="379" t="s">
        <v>3783</v>
      </c>
      <c r="EVZ1115" s="379" t="s">
        <v>3783</v>
      </c>
      <c r="EWA1115" s="379" t="s">
        <v>3783</v>
      </c>
      <c r="EWB1115" s="379" t="s">
        <v>3783</v>
      </c>
      <c r="EWC1115" s="379" t="s">
        <v>3783</v>
      </c>
      <c r="EWD1115" s="379" t="s">
        <v>3783</v>
      </c>
      <c r="EWE1115" s="379" t="s">
        <v>3783</v>
      </c>
      <c r="EWF1115" s="379" t="s">
        <v>3783</v>
      </c>
      <c r="EWG1115" s="379" t="s">
        <v>3783</v>
      </c>
      <c r="EWH1115" s="379" t="s">
        <v>3783</v>
      </c>
      <c r="EWI1115" s="379" t="s">
        <v>3783</v>
      </c>
      <c r="EWJ1115" s="379" t="s">
        <v>3783</v>
      </c>
      <c r="EWK1115" s="379" t="s">
        <v>3783</v>
      </c>
      <c r="EWL1115" s="379" t="s">
        <v>3783</v>
      </c>
      <c r="EWM1115" s="379" t="s">
        <v>3783</v>
      </c>
      <c r="EWN1115" s="379" t="s">
        <v>3783</v>
      </c>
      <c r="EWO1115" s="379" t="s">
        <v>3783</v>
      </c>
      <c r="EWP1115" s="379" t="s">
        <v>3783</v>
      </c>
      <c r="EWQ1115" s="379" t="s">
        <v>3783</v>
      </c>
      <c r="EWR1115" s="379" t="s">
        <v>3783</v>
      </c>
      <c r="EWS1115" s="379" t="s">
        <v>3783</v>
      </c>
      <c r="EWT1115" s="379" t="s">
        <v>3783</v>
      </c>
      <c r="EWU1115" s="379" t="s">
        <v>3783</v>
      </c>
      <c r="EWV1115" s="379" t="s">
        <v>3783</v>
      </c>
      <c r="EWW1115" s="379" t="s">
        <v>3783</v>
      </c>
      <c r="EWX1115" s="379" t="s">
        <v>3783</v>
      </c>
      <c r="EWY1115" s="379" t="s">
        <v>3783</v>
      </c>
      <c r="EWZ1115" s="379" t="s">
        <v>3783</v>
      </c>
      <c r="EXA1115" s="379" t="s">
        <v>3783</v>
      </c>
      <c r="EXB1115" s="379" t="s">
        <v>3783</v>
      </c>
      <c r="EXC1115" s="379" t="s">
        <v>3783</v>
      </c>
      <c r="EXD1115" s="379" t="s">
        <v>3783</v>
      </c>
      <c r="EXE1115" s="379" t="s">
        <v>3783</v>
      </c>
      <c r="EXF1115" s="379" t="s">
        <v>3783</v>
      </c>
      <c r="EXG1115" s="379" t="s">
        <v>3783</v>
      </c>
      <c r="EXH1115" s="379" t="s">
        <v>3783</v>
      </c>
      <c r="EXI1115" s="379" t="s">
        <v>3783</v>
      </c>
      <c r="EXJ1115" s="379" t="s">
        <v>3783</v>
      </c>
      <c r="EXK1115" s="379" t="s">
        <v>3783</v>
      </c>
      <c r="EXL1115" s="379" t="s">
        <v>3783</v>
      </c>
      <c r="EXM1115" s="379" t="s">
        <v>3783</v>
      </c>
      <c r="EXN1115" s="379" t="s">
        <v>3783</v>
      </c>
      <c r="EXO1115" s="379" t="s">
        <v>3783</v>
      </c>
      <c r="EXP1115" s="379" t="s">
        <v>3783</v>
      </c>
      <c r="EXQ1115" s="379" t="s">
        <v>3783</v>
      </c>
      <c r="EXR1115" s="379" t="s">
        <v>3783</v>
      </c>
      <c r="EXS1115" s="379" t="s">
        <v>3783</v>
      </c>
      <c r="EXT1115" s="379" t="s">
        <v>3783</v>
      </c>
      <c r="EXU1115" s="379" t="s">
        <v>3783</v>
      </c>
      <c r="EXV1115" s="379" t="s">
        <v>3783</v>
      </c>
      <c r="EXW1115" s="379" t="s">
        <v>3783</v>
      </c>
      <c r="EXX1115" s="379" t="s">
        <v>3783</v>
      </c>
      <c r="EXY1115" s="379" t="s">
        <v>3783</v>
      </c>
      <c r="EXZ1115" s="379" t="s">
        <v>3783</v>
      </c>
      <c r="EYA1115" s="379" t="s">
        <v>3783</v>
      </c>
      <c r="EYB1115" s="379" t="s">
        <v>3783</v>
      </c>
      <c r="EYC1115" s="379" t="s">
        <v>3783</v>
      </c>
      <c r="EYD1115" s="379" t="s">
        <v>3783</v>
      </c>
      <c r="EYE1115" s="379" t="s">
        <v>3783</v>
      </c>
      <c r="EYF1115" s="379" t="s">
        <v>3783</v>
      </c>
      <c r="EYG1115" s="379" t="s">
        <v>3783</v>
      </c>
      <c r="EYH1115" s="379" t="s">
        <v>3783</v>
      </c>
      <c r="EYI1115" s="379" t="s">
        <v>3783</v>
      </c>
      <c r="EYJ1115" s="379" t="s">
        <v>3783</v>
      </c>
      <c r="EYK1115" s="379" t="s">
        <v>3783</v>
      </c>
      <c r="EYL1115" s="379" t="s">
        <v>3783</v>
      </c>
      <c r="EYM1115" s="379" t="s">
        <v>3783</v>
      </c>
      <c r="EYN1115" s="379" t="s">
        <v>3783</v>
      </c>
      <c r="EYO1115" s="379" t="s">
        <v>3783</v>
      </c>
      <c r="EYP1115" s="379" t="s">
        <v>3783</v>
      </c>
      <c r="EYQ1115" s="379" t="s">
        <v>3783</v>
      </c>
      <c r="EYR1115" s="379" t="s">
        <v>3783</v>
      </c>
      <c r="EYS1115" s="379" t="s">
        <v>3783</v>
      </c>
      <c r="EYT1115" s="379" t="s">
        <v>3783</v>
      </c>
      <c r="EYU1115" s="379" t="s">
        <v>3783</v>
      </c>
      <c r="EYV1115" s="379" t="s">
        <v>3783</v>
      </c>
      <c r="EYW1115" s="379" t="s">
        <v>3783</v>
      </c>
      <c r="EYX1115" s="379" t="s">
        <v>3783</v>
      </c>
      <c r="EYY1115" s="379" t="s">
        <v>3783</v>
      </c>
      <c r="EYZ1115" s="379" t="s">
        <v>3783</v>
      </c>
      <c r="EZA1115" s="379" t="s">
        <v>3783</v>
      </c>
      <c r="EZB1115" s="379" t="s">
        <v>3783</v>
      </c>
      <c r="EZC1115" s="379" t="s">
        <v>3783</v>
      </c>
      <c r="EZD1115" s="379" t="s">
        <v>3783</v>
      </c>
      <c r="EZE1115" s="379" t="s">
        <v>3783</v>
      </c>
      <c r="EZF1115" s="379" t="s">
        <v>3783</v>
      </c>
      <c r="EZG1115" s="379" t="s">
        <v>3783</v>
      </c>
      <c r="EZH1115" s="379" t="s">
        <v>3783</v>
      </c>
      <c r="EZI1115" s="379" t="s">
        <v>3783</v>
      </c>
      <c r="EZJ1115" s="379" t="s">
        <v>3783</v>
      </c>
      <c r="EZK1115" s="379" t="s">
        <v>3783</v>
      </c>
      <c r="EZL1115" s="379" t="s">
        <v>3783</v>
      </c>
      <c r="EZM1115" s="379" t="s">
        <v>3783</v>
      </c>
      <c r="EZN1115" s="379" t="s">
        <v>3783</v>
      </c>
      <c r="EZO1115" s="379" t="s">
        <v>3783</v>
      </c>
      <c r="EZP1115" s="379" t="s">
        <v>3783</v>
      </c>
      <c r="EZQ1115" s="379" t="s">
        <v>3783</v>
      </c>
      <c r="EZR1115" s="379" t="s">
        <v>3783</v>
      </c>
      <c r="EZS1115" s="379" t="s">
        <v>3783</v>
      </c>
      <c r="EZT1115" s="379" t="s">
        <v>3783</v>
      </c>
      <c r="EZU1115" s="379" t="s">
        <v>3783</v>
      </c>
      <c r="EZV1115" s="379" t="s">
        <v>3783</v>
      </c>
      <c r="EZW1115" s="379" t="s">
        <v>3783</v>
      </c>
      <c r="EZX1115" s="379" t="s">
        <v>3783</v>
      </c>
      <c r="EZY1115" s="379" t="s">
        <v>3783</v>
      </c>
      <c r="EZZ1115" s="379" t="s">
        <v>3783</v>
      </c>
      <c r="FAA1115" s="379" t="s">
        <v>3783</v>
      </c>
      <c r="FAB1115" s="379" t="s">
        <v>3783</v>
      </c>
      <c r="FAC1115" s="379" t="s">
        <v>3783</v>
      </c>
      <c r="FAD1115" s="379" t="s">
        <v>3783</v>
      </c>
      <c r="FAE1115" s="379" t="s">
        <v>3783</v>
      </c>
      <c r="FAF1115" s="379" t="s">
        <v>3783</v>
      </c>
      <c r="FAG1115" s="379" t="s">
        <v>3783</v>
      </c>
      <c r="FAH1115" s="379" t="s">
        <v>3783</v>
      </c>
      <c r="FAI1115" s="379" t="s">
        <v>3783</v>
      </c>
      <c r="FAJ1115" s="379" t="s">
        <v>3783</v>
      </c>
      <c r="FAK1115" s="379" t="s">
        <v>3783</v>
      </c>
      <c r="FAL1115" s="379" t="s">
        <v>3783</v>
      </c>
      <c r="FAM1115" s="379" t="s">
        <v>3783</v>
      </c>
      <c r="FAN1115" s="379" t="s">
        <v>3783</v>
      </c>
      <c r="FAO1115" s="379" t="s">
        <v>3783</v>
      </c>
      <c r="FAP1115" s="379" t="s">
        <v>3783</v>
      </c>
      <c r="FAQ1115" s="379" t="s">
        <v>3783</v>
      </c>
      <c r="FAR1115" s="379" t="s">
        <v>3783</v>
      </c>
      <c r="FAS1115" s="379" t="s">
        <v>3783</v>
      </c>
      <c r="FAT1115" s="379" t="s">
        <v>3783</v>
      </c>
      <c r="FAU1115" s="379" t="s">
        <v>3783</v>
      </c>
      <c r="FAV1115" s="379" t="s">
        <v>3783</v>
      </c>
      <c r="FAW1115" s="379" t="s">
        <v>3783</v>
      </c>
      <c r="FAX1115" s="379" t="s">
        <v>3783</v>
      </c>
      <c r="FAY1115" s="379" t="s">
        <v>3783</v>
      </c>
      <c r="FAZ1115" s="379" t="s">
        <v>3783</v>
      </c>
      <c r="FBA1115" s="379" t="s">
        <v>3783</v>
      </c>
      <c r="FBB1115" s="379" t="s">
        <v>3783</v>
      </c>
      <c r="FBC1115" s="379" t="s">
        <v>3783</v>
      </c>
      <c r="FBD1115" s="379" t="s">
        <v>3783</v>
      </c>
      <c r="FBE1115" s="379" t="s">
        <v>3783</v>
      </c>
      <c r="FBF1115" s="379" t="s">
        <v>3783</v>
      </c>
      <c r="FBG1115" s="379" t="s">
        <v>3783</v>
      </c>
      <c r="FBH1115" s="379" t="s">
        <v>3783</v>
      </c>
      <c r="FBI1115" s="379" t="s">
        <v>3783</v>
      </c>
      <c r="FBJ1115" s="379" t="s">
        <v>3783</v>
      </c>
      <c r="FBK1115" s="379" t="s">
        <v>3783</v>
      </c>
      <c r="FBL1115" s="379" t="s">
        <v>3783</v>
      </c>
      <c r="FBM1115" s="379" t="s">
        <v>3783</v>
      </c>
      <c r="FBN1115" s="379" t="s">
        <v>3783</v>
      </c>
      <c r="FBO1115" s="379" t="s">
        <v>3783</v>
      </c>
      <c r="FBP1115" s="379" t="s">
        <v>3783</v>
      </c>
      <c r="FBQ1115" s="379" t="s">
        <v>3783</v>
      </c>
      <c r="FBR1115" s="379" t="s">
        <v>3783</v>
      </c>
      <c r="FBS1115" s="379" t="s">
        <v>3783</v>
      </c>
      <c r="FBT1115" s="379" t="s">
        <v>3783</v>
      </c>
      <c r="FBU1115" s="379" t="s">
        <v>3783</v>
      </c>
      <c r="FBV1115" s="379" t="s">
        <v>3783</v>
      </c>
      <c r="FBW1115" s="379" t="s">
        <v>3783</v>
      </c>
      <c r="FBX1115" s="379" t="s">
        <v>3783</v>
      </c>
      <c r="FBY1115" s="379" t="s">
        <v>3783</v>
      </c>
      <c r="FBZ1115" s="379" t="s">
        <v>3783</v>
      </c>
      <c r="FCA1115" s="379" t="s">
        <v>3783</v>
      </c>
      <c r="FCB1115" s="379" t="s">
        <v>3783</v>
      </c>
      <c r="FCC1115" s="379" t="s">
        <v>3783</v>
      </c>
      <c r="FCD1115" s="379" t="s">
        <v>3783</v>
      </c>
      <c r="FCE1115" s="379" t="s">
        <v>3783</v>
      </c>
      <c r="FCF1115" s="379" t="s">
        <v>3783</v>
      </c>
      <c r="FCG1115" s="379" t="s">
        <v>3783</v>
      </c>
      <c r="FCH1115" s="379" t="s">
        <v>3783</v>
      </c>
      <c r="FCI1115" s="379" t="s">
        <v>3783</v>
      </c>
      <c r="FCJ1115" s="379" t="s">
        <v>3783</v>
      </c>
      <c r="FCK1115" s="379" t="s">
        <v>3783</v>
      </c>
      <c r="FCL1115" s="379" t="s">
        <v>3783</v>
      </c>
      <c r="FCM1115" s="379" t="s">
        <v>3783</v>
      </c>
      <c r="FCN1115" s="379" t="s">
        <v>3783</v>
      </c>
      <c r="FCO1115" s="379" t="s">
        <v>3783</v>
      </c>
      <c r="FCP1115" s="379" t="s">
        <v>3783</v>
      </c>
      <c r="FCQ1115" s="379" t="s">
        <v>3783</v>
      </c>
      <c r="FCR1115" s="379" t="s">
        <v>3783</v>
      </c>
      <c r="FCS1115" s="379" t="s">
        <v>3783</v>
      </c>
      <c r="FCT1115" s="379" t="s">
        <v>3783</v>
      </c>
      <c r="FCU1115" s="379" t="s">
        <v>3783</v>
      </c>
      <c r="FCV1115" s="379" t="s">
        <v>3783</v>
      </c>
      <c r="FCW1115" s="379" t="s">
        <v>3783</v>
      </c>
      <c r="FCX1115" s="379" t="s">
        <v>3783</v>
      </c>
      <c r="FCY1115" s="379" t="s">
        <v>3783</v>
      </c>
      <c r="FCZ1115" s="379" t="s">
        <v>3783</v>
      </c>
      <c r="FDA1115" s="379" t="s">
        <v>3783</v>
      </c>
      <c r="FDB1115" s="379" t="s">
        <v>3783</v>
      </c>
      <c r="FDC1115" s="379" t="s">
        <v>3783</v>
      </c>
      <c r="FDD1115" s="379" t="s">
        <v>3783</v>
      </c>
      <c r="FDE1115" s="379" t="s">
        <v>3783</v>
      </c>
      <c r="FDF1115" s="379" t="s">
        <v>3783</v>
      </c>
      <c r="FDG1115" s="379" t="s">
        <v>3783</v>
      </c>
      <c r="FDH1115" s="379" t="s">
        <v>3783</v>
      </c>
      <c r="FDI1115" s="379" t="s">
        <v>3783</v>
      </c>
      <c r="FDJ1115" s="379" t="s">
        <v>3783</v>
      </c>
      <c r="FDK1115" s="379" t="s">
        <v>3783</v>
      </c>
      <c r="FDL1115" s="379" t="s">
        <v>3783</v>
      </c>
      <c r="FDM1115" s="379" t="s">
        <v>3783</v>
      </c>
      <c r="FDN1115" s="379" t="s">
        <v>3783</v>
      </c>
      <c r="FDO1115" s="379" t="s">
        <v>3783</v>
      </c>
      <c r="FDP1115" s="379" t="s">
        <v>3783</v>
      </c>
      <c r="FDQ1115" s="379" t="s">
        <v>3783</v>
      </c>
      <c r="FDR1115" s="379" t="s">
        <v>3783</v>
      </c>
      <c r="FDS1115" s="379" t="s">
        <v>3783</v>
      </c>
      <c r="FDT1115" s="379" t="s">
        <v>3783</v>
      </c>
      <c r="FDU1115" s="379" t="s">
        <v>3783</v>
      </c>
      <c r="FDV1115" s="379" t="s">
        <v>3783</v>
      </c>
      <c r="FDW1115" s="379" t="s">
        <v>3783</v>
      </c>
      <c r="FDX1115" s="379" t="s">
        <v>3783</v>
      </c>
      <c r="FDY1115" s="379" t="s">
        <v>3783</v>
      </c>
      <c r="FDZ1115" s="379" t="s">
        <v>3783</v>
      </c>
      <c r="FEA1115" s="379" t="s">
        <v>3783</v>
      </c>
      <c r="FEB1115" s="379" t="s">
        <v>3783</v>
      </c>
      <c r="FEC1115" s="379" t="s">
        <v>3783</v>
      </c>
      <c r="FED1115" s="379" t="s">
        <v>3783</v>
      </c>
      <c r="FEE1115" s="379" t="s">
        <v>3783</v>
      </c>
      <c r="FEF1115" s="379" t="s">
        <v>3783</v>
      </c>
      <c r="FEG1115" s="379" t="s">
        <v>3783</v>
      </c>
      <c r="FEH1115" s="379" t="s">
        <v>3783</v>
      </c>
      <c r="FEI1115" s="379" t="s">
        <v>3783</v>
      </c>
      <c r="FEJ1115" s="379" t="s">
        <v>3783</v>
      </c>
      <c r="FEK1115" s="379" t="s">
        <v>3783</v>
      </c>
      <c r="FEL1115" s="379" t="s">
        <v>3783</v>
      </c>
      <c r="FEM1115" s="379" t="s">
        <v>3783</v>
      </c>
      <c r="FEN1115" s="379" t="s">
        <v>3783</v>
      </c>
      <c r="FEO1115" s="379" t="s">
        <v>3783</v>
      </c>
      <c r="FEP1115" s="379" t="s">
        <v>3783</v>
      </c>
      <c r="FEQ1115" s="379" t="s">
        <v>3783</v>
      </c>
      <c r="FER1115" s="379" t="s">
        <v>3783</v>
      </c>
      <c r="FES1115" s="379" t="s">
        <v>3783</v>
      </c>
      <c r="FET1115" s="379" t="s">
        <v>3783</v>
      </c>
      <c r="FEU1115" s="379" t="s">
        <v>3783</v>
      </c>
      <c r="FEV1115" s="379" t="s">
        <v>3783</v>
      </c>
      <c r="FEW1115" s="379" t="s">
        <v>3783</v>
      </c>
      <c r="FEX1115" s="379" t="s">
        <v>3783</v>
      </c>
      <c r="FEY1115" s="379" t="s">
        <v>3783</v>
      </c>
      <c r="FEZ1115" s="379" t="s">
        <v>3783</v>
      </c>
      <c r="FFA1115" s="379" t="s">
        <v>3783</v>
      </c>
      <c r="FFB1115" s="379" t="s">
        <v>3783</v>
      </c>
      <c r="FFC1115" s="379" t="s">
        <v>3783</v>
      </c>
      <c r="FFD1115" s="379" t="s">
        <v>3783</v>
      </c>
      <c r="FFE1115" s="379" t="s">
        <v>3783</v>
      </c>
      <c r="FFF1115" s="379" t="s">
        <v>3783</v>
      </c>
      <c r="FFG1115" s="379" t="s">
        <v>3783</v>
      </c>
      <c r="FFH1115" s="379" t="s">
        <v>3783</v>
      </c>
      <c r="FFI1115" s="379" t="s">
        <v>3783</v>
      </c>
      <c r="FFJ1115" s="379" t="s">
        <v>3783</v>
      </c>
      <c r="FFK1115" s="379" t="s">
        <v>3783</v>
      </c>
      <c r="FFL1115" s="379" t="s">
        <v>3783</v>
      </c>
      <c r="FFM1115" s="379" t="s">
        <v>3783</v>
      </c>
      <c r="FFN1115" s="379" t="s">
        <v>3783</v>
      </c>
      <c r="FFO1115" s="379" t="s">
        <v>3783</v>
      </c>
      <c r="FFP1115" s="379" t="s">
        <v>3783</v>
      </c>
      <c r="FFQ1115" s="379" t="s">
        <v>3783</v>
      </c>
      <c r="FFR1115" s="379" t="s">
        <v>3783</v>
      </c>
      <c r="FFS1115" s="379" t="s">
        <v>3783</v>
      </c>
      <c r="FFT1115" s="379" t="s">
        <v>3783</v>
      </c>
      <c r="FFU1115" s="379" t="s">
        <v>3783</v>
      </c>
      <c r="FFV1115" s="379" t="s">
        <v>3783</v>
      </c>
      <c r="FFW1115" s="379" t="s">
        <v>3783</v>
      </c>
      <c r="FFX1115" s="379" t="s">
        <v>3783</v>
      </c>
      <c r="FFY1115" s="379" t="s">
        <v>3783</v>
      </c>
      <c r="FFZ1115" s="379" t="s">
        <v>3783</v>
      </c>
      <c r="FGA1115" s="379" t="s">
        <v>3783</v>
      </c>
      <c r="FGB1115" s="379" t="s">
        <v>3783</v>
      </c>
      <c r="FGC1115" s="379" t="s">
        <v>3783</v>
      </c>
      <c r="FGD1115" s="379" t="s">
        <v>3783</v>
      </c>
      <c r="FGE1115" s="379" t="s">
        <v>3783</v>
      </c>
      <c r="FGF1115" s="379" t="s">
        <v>3783</v>
      </c>
      <c r="FGG1115" s="379" t="s">
        <v>3783</v>
      </c>
      <c r="FGH1115" s="379" t="s">
        <v>3783</v>
      </c>
      <c r="FGI1115" s="379" t="s">
        <v>3783</v>
      </c>
      <c r="FGJ1115" s="379" t="s">
        <v>3783</v>
      </c>
      <c r="FGK1115" s="379" t="s">
        <v>3783</v>
      </c>
      <c r="FGL1115" s="379" t="s">
        <v>3783</v>
      </c>
      <c r="FGM1115" s="379" t="s">
        <v>3783</v>
      </c>
      <c r="FGN1115" s="379" t="s">
        <v>3783</v>
      </c>
      <c r="FGO1115" s="379" t="s">
        <v>3783</v>
      </c>
      <c r="FGP1115" s="379" t="s">
        <v>3783</v>
      </c>
      <c r="FGQ1115" s="379" t="s">
        <v>3783</v>
      </c>
      <c r="FGR1115" s="379" t="s">
        <v>3783</v>
      </c>
      <c r="FGS1115" s="379" t="s">
        <v>3783</v>
      </c>
      <c r="FGT1115" s="379" t="s">
        <v>3783</v>
      </c>
      <c r="FGU1115" s="379" t="s">
        <v>3783</v>
      </c>
      <c r="FGV1115" s="379" t="s">
        <v>3783</v>
      </c>
      <c r="FGW1115" s="379" t="s">
        <v>3783</v>
      </c>
      <c r="FGX1115" s="379" t="s">
        <v>3783</v>
      </c>
      <c r="FGY1115" s="379" t="s">
        <v>3783</v>
      </c>
      <c r="FGZ1115" s="379" t="s">
        <v>3783</v>
      </c>
      <c r="FHA1115" s="379" t="s">
        <v>3783</v>
      </c>
      <c r="FHB1115" s="379" t="s">
        <v>3783</v>
      </c>
      <c r="FHC1115" s="379" t="s">
        <v>3783</v>
      </c>
      <c r="FHD1115" s="379" t="s">
        <v>3783</v>
      </c>
      <c r="FHE1115" s="379" t="s">
        <v>3783</v>
      </c>
      <c r="FHF1115" s="379" t="s">
        <v>3783</v>
      </c>
      <c r="FHG1115" s="379" t="s">
        <v>3783</v>
      </c>
      <c r="FHH1115" s="379" t="s">
        <v>3783</v>
      </c>
      <c r="FHI1115" s="379" t="s">
        <v>3783</v>
      </c>
      <c r="FHJ1115" s="379" t="s">
        <v>3783</v>
      </c>
      <c r="FHK1115" s="379" t="s">
        <v>3783</v>
      </c>
      <c r="FHL1115" s="379" t="s">
        <v>3783</v>
      </c>
      <c r="FHM1115" s="379" t="s">
        <v>3783</v>
      </c>
      <c r="FHN1115" s="379" t="s">
        <v>3783</v>
      </c>
      <c r="FHO1115" s="379" t="s">
        <v>3783</v>
      </c>
      <c r="FHP1115" s="379" t="s">
        <v>3783</v>
      </c>
      <c r="FHQ1115" s="379" t="s">
        <v>3783</v>
      </c>
      <c r="FHR1115" s="379" t="s">
        <v>3783</v>
      </c>
      <c r="FHS1115" s="379" t="s">
        <v>3783</v>
      </c>
      <c r="FHT1115" s="379" t="s">
        <v>3783</v>
      </c>
      <c r="FHU1115" s="379" t="s">
        <v>3783</v>
      </c>
      <c r="FHV1115" s="379" t="s">
        <v>3783</v>
      </c>
      <c r="FHW1115" s="379" t="s">
        <v>3783</v>
      </c>
      <c r="FHX1115" s="379" t="s">
        <v>3783</v>
      </c>
      <c r="FHY1115" s="379" t="s">
        <v>3783</v>
      </c>
      <c r="FHZ1115" s="379" t="s">
        <v>3783</v>
      </c>
      <c r="FIA1115" s="379" t="s">
        <v>3783</v>
      </c>
      <c r="FIB1115" s="379" t="s">
        <v>3783</v>
      </c>
      <c r="FIC1115" s="379" t="s">
        <v>3783</v>
      </c>
      <c r="FID1115" s="379" t="s">
        <v>3783</v>
      </c>
      <c r="FIE1115" s="379" t="s">
        <v>3783</v>
      </c>
      <c r="FIF1115" s="379" t="s">
        <v>3783</v>
      </c>
      <c r="FIG1115" s="379" t="s">
        <v>3783</v>
      </c>
      <c r="FIH1115" s="379" t="s">
        <v>3783</v>
      </c>
      <c r="FII1115" s="379" t="s">
        <v>3783</v>
      </c>
      <c r="FIJ1115" s="379" t="s">
        <v>3783</v>
      </c>
      <c r="FIK1115" s="379" t="s">
        <v>3783</v>
      </c>
      <c r="FIL1115" s="379" t="s">
        <v>3783</v>
      </c>
      <c r="FIM1115" s="379" t="s">
        <v>3783</v>
      </c>
      <c r="FIN1115" s="379" t="s">
        <v>3783</v>
      </c>
      <c r="FIO1115" s="379" t="s">
        <v>3783</v>
      </c>
      <c r="FIP1115" s="379" t="s">
        <v>3783</v>
      </c>
      <c r="FIQ1115" s="379" t="s">
        <v>3783</v>
      </c>
      <c r="FIR1115" s="379" t="s">
        <v>3783</v>
      </c>
      <c r="FIS1115" s="379" t="s">
        <v>3783</v>
      </c>
      <c r="FIT1115" s="379" t="s">
        <v>3783</v>
      </c>
      <c r="FIU1115" s="379" t="s">
        <v>3783</v>
      </c>
      <c r="FIV1115" s="379" t="s">
        <v>3783</v>
      </c>
      <c r="FIW1115" s="379" t="s">
        <v>3783</v>
      </c>
      <c r="FIX1115" s="379" t="s">
        <v>3783</v>
      </c>
      <c r="FIY1115" s="379" t="s">
        <v>3783</v>
      </c>
      <c r="FIZ1115" s="379" t="s">
        <v>3783</v>
      </c>
      <c r="FJA1115" s="379" t="s">
        <v>3783</v>
      </c>
      <c r="FJB1115" s="379" t="s">
        <v>3783</v>
      </c>
      <c r="FJC1115" s="379" t="s">
        <v>3783</v>
      </c>
      <c r="FJD1115" s="379" t="s">
        <v>3783</v>
      </c>
      <c r="FJE1115" s="379" t="s">
        <v>3783</v>
      </c>
      <c r="FJF1115" s="379" t="s">
        <v>3783</v>
      </c>
      <c r="FJG1115" s="379" t="s">
        <v>3783</v>
      </c>
      <c r="FJH1115" s="379" t="s">
        <v>3783</v>
      </c>
      <c r="FJI1115" s="379" t="s">
        <v>3783</v>
      </c>
      <c r="FJJ1115" s="379" t="s">
        <v>3783</v>
      </c>
      <c r="FJK1115" s="379" t="s">
        <v>3783</v>
      </c>
      <c r="FJL1115" s="379" t="s">
        <v>3783</v>
      </c>
      <c r="FJM1115" s="379" t="s">
        <v>3783</v>
      </c>
      <c r="FJN1115" s="379" t="s">
        <v>3783</v>
      </c>
      <c r="FJO1115" s="379" t="s">
        <v>3783</v>
      </c>
      <c r="FJP1115" s="379" t="s">
        <v>3783</v>
      </c>
      <c r="FJQ1115" s="379" t="s">
        <v>3783</v>
      </c>
      <c r="FJR1115" s="379" t="s">
        <v>3783</v>
      </c>
      <c r="FJS1115" s="379" t="s">
        <v>3783</v>
      </c>
      <c r="FJT1115" s="379" t="s">
        <v>3783</v>
      </c>
      <c r="FJU1115" s="379" t="s">
        <v>3783</v>
      </c>
      <c r="FJV1115" s="379" t="s">
        <v>3783</v>
      </c>
      <c r="FJW1115" s="379" t="s">
        <v>3783</v>
      </c>
      <c r="FJX1115" s="379" t="s">
        <v>3783</v>
      </c>
      <c r="FJY1115" s="379" t="s">
        <v>3783</v>
      </c>
      <c r="FJZ1115" s="379" t="s">
        <v>3783</v>
      </c>
      <c r="FKA1115" s="379" t="s">
        <v>3783</v>
      </c>
      <c r="FKB1115" s="379" t="s">
        <v>3783</v>
      </c>
      <c r="FKC1115" s="379" t="s">
        <v>3783</v>
      </c>
      <c r="FKD1115" s="379" t="s">
        <v>3783</v>
      </c>
      <c r="FKE1115" s="379" t="s">
        <v>3783</v>
      </c>
      <c r="FKF1115" s="379" t="s">
        <v>3783</v>
      </c>
      <c r="FKG1115" s="379" t="s">
        <v>3783</v>
      </c>
      <c r="FKH1115" s="379" t="s">
        <v>3783</v>
      </c>
      <c r="FKI1115" s="379" t="s">
        <v>3783</v>
      </c>
      <c r="FKJ1115" s="379" t="s">
        <v>3783</v>
      </c>
      <c r="FKK1115" s="379" t="s">
        <v>3783</v>
      </c>
      <c r="FKL1115" s="379" t="s">
        <v>3783</v>
      </c>
      <c r="FKM1115" s="379" t="s">
        <v>3783</v>
      </c>
      <c r="FKN1115" s="379" t="s">
        <v>3783</v>
      </c>
      <c r="FKO1115" s="379" t="s">
        <v>3783</v>
      </c>
      <c r="FKP1115" s="379" t="s">
        <v>3783</v>
      </c>
      <c r="FKQ1115" s="379" t="s">
        <v>3783</v>
      </c>
      <c r="FKR1115" s="379" t="s">
        <v>3783</v>
      </c>
      <c r="FKS1115" s="379" t="s">
        <v>3783</v>
      </c>
      <c r="FKT1115" s="379" t="s">
        <v>3783</v>
      </c>
      <c r="FKU1115" s="379" t="s">
        <v>3783</v>
      </c>
      <c r="FKV1115" s="379" t="s">
        <v>3783</v>
      </c>
      <c r="FKW1115" s="379" t="s">
        <v>3783</v>
      </c>
      <c r="FKX1115" s="379" t="s">
        <v>3783</v>
      </c>
      <c r="FKY1115" s="379" t="s">
        <v>3783</v>
      </c>
      <c r="FKZ1115" s="379" t="s">
        <v>3783</v>
      </c>
      <c r="FLA1115" s="379" t="s">
        <v>3783</v>
      </c>
      <c r="FLB1115" s="379" t="s">
        <v>3783</v>
      </c>
      <c r="FLC1115" s="379" t="s">
        <v>3783</v>
      </c>
      <c r="FLD1115" s="379" t="s">
        <v>3783</v>
      </c>
      <c r="FLE1115" s="379" t="s">
        <v>3783</v>
      </c>
      <c r="FLF1115" s="379" t="s">
        <v>3783</v>
      </c>
      <c r="FLG1115" s="379" t="s">
        <v>3783</v>
      </c>
      <c r="FLH1115" s="379" t="s">
        <v>3783</v>
      </c>
      <c r="FLI1115" s="379" t="s">
        <v>3783</v>
      </c>
      <c r="FLJ1115" s="379" t="s">
        <v>3783</v>
      </c>
      <c r="FLK1115" s="379" t="s">
        <v>3783</v>
      </c>
      <c r="FLL1115" s="379" t="s">
        <v>3783</v>
      </c>
      <c r="FLM1115" s="379" t="s">
        <v>3783</v>
      </c>
      <c r="FLN1115" s="379" t="s">
        <v>3783</v>
      </c>
      <c r="FLO1115" s="379" t="s">
        <v>3783</v>
      </c>
      <c r="FLP1115" s="379" t="s">
        <v>3783</v>
      </c>
      <c r="FLQ1115" s="379" t="s">
        <v>3783</v>
      </c>
      <c r="FLR1115" s="379" t="s">
        <v>3783</v>
      </c>
      <c r="FLS1115" s="379" t="s">
        <v>3783</v>
      </c>
      <c r="FLT1115" s="379" t="s">
        <v>3783</v>
      </c>
      <c r="FLU1115" s="379" t="s">
        <v>3783</v>
      </c>
      <c r="FLV1115" s="379" t="s">
        <v>3783</v>
      </c>
      <c r="FLW1115" s="379" t="s">
        <v>3783</v>
      </c>
      <c r="FLX1115" s="379" t="s">
        <v>3783</v>
      </c>
      <c r="FLY1115" s="379" t="s">
        <v>3783</v>
      </c>
      <c r="FLZ1115" s="379" t="s">
        <v>3783</v>
      </c>
      <c r="FMA1115" s="379" t="s">
        <v>3783</v>
      </c>
      <c r="FMB1115" s="379" t="s">
        <v>3783</v>
      </c>
      <c r="FMC1115" s="379" t="s">
        <v>3783</v>
      </c>
      <c r="FMD1115" s="379" t="s">
        <v>3783</v>
      </c>
      <c r="FME1115" s="379" t="s">
        <v>3783</v>
      </c>
      <c r="FMF1115" s="379" t="s">
        <v>3783</v>
      </c>
      <c r="FMG1115" s="379" t="s">
        <v>3783</v>
      </c>
      <c r="FMH1115" s="379" t="s">
        <v>3783</v>
      </c>
      <c r="FMI1115" s="379" t="s">
        <v>3783</v>
      </c>
      <c r="FMJ1115" s="379" t="s">
        <v>3783</v>
      </c>
      <c r="FMK1115" s="379" t="s">
        <v>3783</v>
      </c>
      <c r="FML1115" s="379" t="s">
        <v>3783</v>
      </c>
      <c r="FMM1115" s="379" t="s">
        <v>3783</v>
      </c>
      <c r="FMN1115" s="379" t="s">
        <v>3783</v>
      </c>
      <c r="FMO1115" s="379" t="s">
        <v>3783</v>
      </c>
      <c r="FMP1115" s="379" t="s">
        <v>3783</v>
      </c>
      <c r="FMQ1115" s="379" t="s">
        <v>3783</v>
      </c>
      <c r="FMR1115" s="379" t="s">
        <v>3783</v>
      </c>
      <c r="FMS1115" s="379" t="s">
        <v>3783</v>
      </c>
      <c r="FMT1115" s="379" t="s">
        <v>3783</v>
      </c>
      <c r="FMU1115" s="379" t="s">
        <v>3783</v>
      </c>
      <c r="FMV1115" s="379" t="s">
        <v>3783</v>
      </c>
      <c r="FMW1115" s="379" t="s">
        <v>3783</v>
      </c>
      <c r="FMX1115" s="379" t="s">
        <v>3783</v>
      </c>
      <c r="FMY1115" s="379" t="s">
        <v>3783</v>
      </c>
      <c r="FMZ1115" s="379" t="s">
        <v>3783</v>
      </c>
      <c r="FNA1115" s="379" t="s">
        <v>3783</v>
      </c>
      <c r="FNB1115" s="379" t="s">
        <v>3783</v>
      </c>
      <c r="FNC1115" s="379" t="s">
        <v>3783</v>
      </c>
      <c r="FND1115" s="379" t="s">
        <v>3783</v>
      </c>
      <c r="FNE1115" s="379" t="s">
        <v>3783</v>
      </c>
      <c r="FNF1115" s="379" t="s">
        <v>3783</v>
      </c>
      <c r="FNG1115" s="379" t="s">
        <v>3783</v>
      </c>
      <c r="FNH1115" s="379" t="s">
        <v>3783</v>
      </c>
      <c r="FNI1115" s="379" t="s">
        <v>3783</v>
      </c>
      <c r="FNJ1115" s="379" t="s">
        <v>3783</v>
      </c>
      <c r="FNK1115" s="379" t="s">
        <v>3783</v>
      </c>
      <c r="FNL1115" s="379" t="s">
        <v>3783</v>
      </c>
      <c r="FNM1115" s="379" t="s">
        <v>3783</v>
      </c>
      <c r="FNN1115" s="379" t="s">
        <v>3783</v>
      </c>
      <c r="FNO1115" s="379" t="s">
        <v>3783</v>
      </c>
      <c r="FNP1115" s="379" t="s">
        <v>3783</v>
      </c>
      <c r="FNQ1115" s="379" t="s">
        <v>3783</v>
      </c>
      <c r="FNR1115" s="379" t="s">
        <v>3783</v>
      </c>
      <c r="FNS1115" s="379" t="s">
        <v>3783</v>
      </c>
      <c r="FNT1115" s="379" t="s">
        <v>3783</v>
      </c>
      <c r="FNU1115" s="379" t="s">
        <v>3783</v>
      </c>
      <c r="FNV1115" s="379" t="s">
        <v>3783</v>
      </c>
      <c r="FNW1115" s="379" t="s">
        <v>3783</v>
      </c>
      <c r="FNX1115" s="379" t="s">
        <v>3783</v>
      </c>
      <c r="FNY1115" s="379" t="s">
        <v>3783</v>
      </c>
      <c r="FNZ1115" s="379" t="s">
        <v>3783</v>
      </c>
      <c r="FOA1115" s="379" t="s">
        <v>3783</v>
      </c>
      <c r="FOB1115" s="379" t="s">
        <v>3783</v>
      </c>
      <c r="FOC1115" s="379" t="s">
        <v>3783</v>
      </c>
      <c r="FOD1115" s="379" t="s">
        <v>3783</v>
      </c>
      <c r="FOE1115" s="379" t="s">
        <v>3783</v>
      </c>
      <c r="FOF1115" s="379" t="s">
        <v>3783</v>
      </c>
      <c r="FOG1115" s="379" t="s">
        <v>3783</v>
      </c>
      <c r="FOH1115" s="379" t="s">
        <v>3783</v>
      </c>
      <c r="FOI1115" s="379" t="s">
        <v>3783</v>
      </c>
      <c r="FOJ1115" s="379" t="s">
        <v>3783</v>
      </c>
      <c r="FOK1115" s="379" t="s">
        <v>3783</v>
      </c>
      <c r="FOL1115" s="379" t="s">
        <v>3783</v>
      </c>
      <c r="FOM1115" s="379" t="s">
        <v>3783</v>
      </c>
      <c r="FON1115" s="379" t="s">
        <v>3783</v>
      </c>
      <c r="FOO1115" s="379" t="s">
        <v>3783</v>
      </c>
      <c r="FOP1115" s="379" t="s">
        <v>3783</v>
      </c>
      <c r="FOQ1115" s="379" t="s">
        <v>3783</v>
      </c>
      <c r="FOR1115" s="379" t="s">
        <v>3783</v>
      </c>
      <c r="FOS1115" s="379" t="s">
        <v>3783</v>
      </c>
      <c r="FOT1115" s="379" t="s">
        <v>3783</v>
      </c>
      <c r="FOU1115" s="379" t="s">
        <v>3783</v>
      </c>
      <c r="FOV1115" s="379" t="s">
        <v>3783</v>
      </c>
      <c r="FOW1115" s="379" t="s">
        <v>3783</v>
      </c>
      <c r="FOX1115" s="379" t="s">
        <v>3783</v>
      </c>
      <c r="FOY1115" s="379" t="s">
        <v>3783</v>
      </c>
      <c r="FOZ1115" s="379" t="s">
        <v>3783</v>
      </c>
      <c r="FPA1115" s="379" t="s">
        <v>3783</v>
      </c>
      <c r="FPB1115" s="379" t="s">
        <v>3783</v>
      </c>
      <c r="FPC1115" s="379" t="s">
        <v>3783</v>
      </c>
      <c r="FPD1115" s="379" t="s">
        <v>3783</v>
      </c>
      <c r="FPE1115" s="379" t="s">
        <v>3783</v>
      </c>
      <c r="FPF1115" s="379" t="s">
        <v>3783</v>
      </c>
      <c r="FPG1115" s="379" t="s">
        <v>3783</v>
      </c>
      <c r="FPH1115" s="379" t="s">
        <v>3783</v>
      </c>
      <c r="FPI1115" s="379" t="s">
        <v>3783</v>
      </c>
      <c r="FPJ1115" s="379" t="s">
        <v>3783</v>
      </c>
      <c r="FPK1115" s="379" t="s">
        <v>3783</v>
      </c>
      <c r="FPL1115" s="379" t="s">
        <v>3783</v>
      </c>
      <c r="FPM1115" s="379" t="s">
        <v>3783</v>
      </c>
      <c r="FPN1115" s="379" t="s">
        <v>3783</v>
      </c>
      <c r="FPO1115" s="379" t="s">
        <v>3783</v>
      </c>
      <c r="FPP1115" s="379" t="s">
        <v>3783</v>
      </c>
      <c r="FPQ1115" s="379" t="s">
        <v>3783</v>
      </c>
      <c r="FPR1115" s="379" t="s">
        <v>3783</v>
      </c>
      <c r="FPS1115" s="379" t="s">
        <v>3783</v>
      </c>
      <c r="FPT1115" s="379" t="s">
        <v>3783</v>
      </c>
      <c r="FPU1115" s="379" t="s">
        <v>3783</v>
      </c>
      <c r="FPV1115" s="379" t="s">
        <v>3783</v>
      </c>
      <c r="FPW1115" s="379" t="s">
        <v>3783</v>
      </c>
      <c r="FPX1115" s="379" t="s">
        <v>3783</v>
      </c>
      <c r="FPY1115" s="379" t="s">
        <v>3783</v>
      </c>
      <c r="FPZ1115" s="379" t="s">
        <v>3783</v>
      </c>
      <c r="FQA1115" s="379" t="s">
        <v>3783</v>
      </c>
      <c r="FQB1115" s="379" t="s">
        <v>3783</v>
      </c>
      <c r="FQC1115" s="379" t="s">
        <v>3783</v>
      </c>
      <c r="FQD1115" s="379" t="s">
        <v>3783</v>
      </c>
      <c r="FQE1115" s="379" t="s">
        <v>3783</v>
      </c>
      <c r="FQF1115" s="379" t="s">
        <v>3783</v>
      </c>
      <c r="FQG1115" s="379" t="s">
        <v>3783</v>
      </c>
      <c r="FQH1115" s="379" t="s">
        <v>3783</v>
      </c>
      <c r="FQI1115" s="379" t="s">
        <v>3783</v>
      </c>
      <c r="FQJ1115" s="379" t="s">
        <v>3783</v>
      </c>
      <c r="FQK1115" s="379" t="s">
        <v>3783</v>
      </c>
      <c r="FQL1115" s="379" t="s">
        <v>3783</v>
      </c>
      <c r="FQM1115" s="379" t="s">
        <v>3783</v>
      </c>
      <c r="FQN1115" s="379" t="s">
        <v>3783</v>
      </c>
      <c r="FQO1115" s="379" t="s">
        <v>3783</v>
      </c>
      <c r="FQP1115" s="379" t="s">
        <v>3783</v>
      </c>
      <c r="FQQ1115" s="379" t="s">
        <v>3783</v>
      </c>
      <c r="FQR1115" s="379" t="s">
        <v>3783</v>
      </c>
      <c r="FQS1115" s="379" t="s">
        <v>3783</v>
      </c>
      <c r="FQT1115" s="379" t="s">
        <v>3783</v>
      </c>
      <c r="FQU1115" s="379" t="s">
        <v>3783</v>
      </c>
      <c r="FQV1115" s="379" t="s">
        <v>3783</v>
      </c>
      <c r="FQW1115" s="379" t="s">
        <v>3783</v>
      </c>
      <c r="FQX1115" s="379" t="s">
        <v>3783</v>
      </c>
      <c r="FQY1115" s="379" t="s">
        <v>3783</v>
      </c>
      <c r="FQZ1115" s="379" t="s">
        <v>3783</v>
      </c>
      <c r="FRA1115" s="379" t="s">
        <v>3783</v>
      </c>
      <c r="FRB1115" s="379" t="s">
        <v>3783</v>
      </c>
      <c r="FRC1115" s="379" t="s">
        <v>3783</v>
      </c>
      <c r="FRD1115" s="379" t="s">
        <v>3783</v>
      </c>
      <c r="FRE1115" s="379" t="s">
        <v>3783</v>
      </c>
      <c r="FRF1115" s="379" t="s">
        <v>3783</v>
      </c>
      <c r="FRG1115" s="379" t="s">
        <v>3783</v>
      </c>
      <c r="FRH1115" s="379" t="s">
        <v>3783</v>
      </c>
      <c r="FRI1115" s="379" t="s">
        <v>3783</v>
      </c>
      <c r="FRJ1115" s="379" t="s">
        <v>3783</v>
      </c>
      <c r="FRK1115" s="379" t="s">
        <v>3783</v>
      </c>
      <c r="FRL1115" s="379" t="s">
        <v>3783</v>
      </c>
      <c r="FRM1115" s="379" t="s">
        <v>3783</v>
      </c>
      <c r="FRN1115" s="379" t="s">
        <v>3783</v>
      </c>
      <c r="FRO1115" s="379" t="s">
        <v>3783</v>
      </c>
      <c r="FRP1115" s="379" t="s">
        <v>3783</v>
      </c>
      <c r="FRQ1115" s="379" t="s">
        <v>3783</v>
      </c>
      <c r="FRR1115" s="379" t="s">
        <v>3783</v>
      </c>
      <c r="FRS1115" s="379" t="s">
        <v>3783</v>
      </c>
      <c r="FRT1115" s="379" t="s">
        <v>3783</v>
      </c>
      <c r="FRU1115" s="379" t="s">
        <v>3783</v>
      </c>
      <c r="FRV1115" s="379" t="s">
        <v>3783</v>
      </c>
      <c r="FRW1115" s="379" t="s">
        <v>3783</v>
      </c>
      <c r="FRX1115" s="379" t="s">
        <v>3783</v>
      </c>
      <c r="FRY1115" s="379" t="s">
        <v>3783</v>
      </c>
      <c r="FRZ1115" s="379" t="s">
        <v>3783</v>
      </c>
      <c r="FSA1115" s="379" t="s">
        <v>3783</v>
      </c>
      <c r="FSB1115" s="379" t="s">
        <v>3783</v>
      </c>
      <c r="FSC1115" s="379" t="s">
        <v>3783</v>
      </c>
      <c r="FSD1115" s="379" t="s">
        <v>3783</v>
      </c>
      <c r="FSE1115" s="379" t="s">
        <v>3783</v>
      </c>
      <c r="FSF1115" s="379" t="s">
        <v>3783</v>
      </c>
      <c r="FSG1115" s="379" t="s">
        <v>3783</v>
      </c>
      <c r="FSH1115" s="379" t="s">
        <v>3783</v>
      </c>
      <c r="FSI1115" s="379" t="s">
        <v>3783</v>
      </c>
      <c r="FSJ1115" s="379" t="s">
        <v>3783</v>
      </c>
      <c r="FSK1115" s="379" t="s">
        <v>3783</v>
      </c>
      <c r="FSL1115" s="379" t="s">
        <v>3783</v>
      </c>
      <c r="FSM1115" s="379" t="s">
        <v>3783</v>
      </c>
      <c r="FSN1115" s="379" t="s">
        <v>3783</v>
      </c>
      <c r="FSO1115" s="379" t="s">
        <v>3783</v>
      </c>
      <c r="FSP1115" s="379" t="s">
        <v>3783</v>
      </c>
      <c r="FSQ1115" s="379" t="s">
        <v>3783</v>
      </c>
      <c r="FSR1115" s="379" t="s">
        <v>3783</v>
      </c>
      <c r="FSS1115" s="379" t="s">
        <v>3783</v>
      </c>
      <c r="FST1115" s="379" t="s">
        <v>3783</v>
      </c>
      <c r="FSU1115" s="379" t="s">
        <v>3783</v>
      </c>
      <c r="FSV1115" s="379" t="s">
        <v>3783</v>
      </c>
      <c r="FSW1115" s="379" t="s">
        <v>3783</v>
      </c>
      <c r="FSX1115" s="379" t="s">
        <v>3783</v>
      </c>
      <c r="FSY1115" s="379" t="s">
        <v>3783</v>
      </c>
      <c r="FSZ1115" s="379" t="s">
        <v>3783</v>
      </c>
      <c r="FTA1115" s="379" t="s">
        <v>3783</v>
      </c>
      <c r="FTB1115" s="379" t="s">
        <v>3783</v>
      </c>
      <c r="FTC1115" s="379" t="s">
        <v>3783</v>
      </c>
      <c r="FTD1115" s="379" t="s">
        <v>3783</v>
      </c>
      <c r="FTE1115" s="379" t="s">
        <v>3783</v>
      </c>
      <c r="FTF1115" s="379" t="s">
        <v>3783</v>
      </c>
      <c r="FTG1115" s="379" t="s">
        <v>3783</v>
      </c>
      <c r="FTH1115" s="379" t="s">
        <v>3783</v>
      </c>
      <c r="FTI1115" s="379" t="s">
        <v>3783</v>
      </c>
      <c r="FTJ1115" s="379" t="s">
        <v>3783</v>
      </c>
      <c r="FTK1115" s="379" t="s">
        <v>3783</v>
      </c>
      <c r="FTL1115" s="379" t="s">
        <v>3783</v>
      </c>
      <c r="FTM1115" s="379" t="s">
        <v>3783</v>
      </c>
      <c r="FTN1115" s="379" t="s">
        <v>3783</v>
      </c>
      <c r="FTO1115" s="379" t="s">
        <v>3783</v>
      </c>
      <c r="FTP1115" s="379" t="s">
        <v>3783</v>
      </c>
      <c r="FTQ1115" s="379" t="s">
        <v>3783</v>
      </c>
      <c r="FTR1115" s="379" t="s">
        <v>3783</v>
      </c>
      <c r="FTS1115" s="379" t="s">
        <v>3783</v>
      </c>
      <c r="FTT1115" s="379" t="s">
        <v>3783</v>
      </c>
      <c r="FTU1115" s="379" t="s">
        <v>3783</v>
      </c>
      <c r="FTV1115" s="379" t="s">
        <v>3783</v>
      </c>
      <c r="FTW1115" s="379" t="s">
        <v>3783</v>
      </c>
      <c r="FTX1115" s="379" t="s">
        <v>3783</v>
      </c>
      <c r="FTY1115" s="379" t="s">
        <v>3783</v>
      </c>
      <c r="FTZ1115" s="379" t="s">
        <v>3783</v>
      </c>
      <c r="FUA1115" s="379" t="s">
        <v>3783</v>
      </c>
      <c r="FUB1115" s="379" t="s">
        <v>3783</v>
      </c>
      <c r="FUC1115" s="379" t="s">
        <v>3783</v>
      </c>
      <c r="FUD1115" s="379" t="s">
        <v>3783</v>
      </c>
      <c r="FUE1115" s="379" t="s">
        <v>3783</v>
      </c>
      <c r="FUF1115" s="379" t="s">
        <v>3783</v>
      </c>
      <c r="FUG1115" s="379" t="s">
        <v>3783</v>
      </c>
      <c r="FUH1115" s="379" t="s">
        <v>3783</v>
      </c>
      <c r="FUI1115" s="379" t="s">
        <v>3783</v>
      </c>
      <c r="FUJ1115" s="379" t="s">
        <v>3783</v>
      </c>
      <c r="FUK1115" s="379" t="s">
        <v>3783</v>
      </c>
      <c r="FUL1115" s="379" t="s">
        <v>3783</v>
      </c>
      <c r="FUM1115" s="379" t="s">
        <v>3783</v>
      </c>
      <c r="FUN1115" s="379" t="s">
        <v>3783</v>
      </c>
      <c r="FUO1115" s="379" t="s">
        <v>3783</v>
      </c>
      <c r="FUP1115" s="379" t="s">
        <v>3783</v>
      </c>
      <c r="FUQ1115" s="379" t="s">
        <v>3783</v>
      </c>
      <c r="FUR1115" s="379" t="s">
        <v>3783</v>
      </c>
      <c r="FUS1115" s="379" t="s">
        <v>3783</v>
      </c>
      <c r="FUT1115" s="379" t="s">
        <v>3783</v>
      </c>
      <c r="FUU1115" s="379" t="s">
        <v>3783</v>
      </c>
      <c r="FUV1115" s="379" t="s">
        <v>3783</v>
      </c>
      <c r="FUW1115" s="379" t="s">
        <v>3783</v>
      </c>
      <c r="FUX1115" s="379" t="s">
        <v>3783</v>
      </c>
      <c r="FUY1115" s="379" t="s">
        <v>3783</v>
      </c>
      <c r="FUZ1115" s="379" t="s">
        <v>3783</v>
      </c>
      <c r="FVA1115" s="379" t="s">
        <v>3783</v>
      </c>
      <c r="FVB1115" s="379" t="s">
        <v>3783</v>
      </c>
      <c r="FVC1115" s="379" t="s">
        <v>3783</v>
      </c>
      <c r="FVD1115" s="379" t="s">
        <v>3783</v>
      </c>
      <c r="FVE1115" s="379" t="s">
        <v>3783</v>
      </c>
      <c r="FVF1115" s="379" t="s">
        <v>3783</v>
      </c>
      <c r="FVG1115" s="379" t="s">
        <v>3783</v>
      </c>
      <c r="FVH1115" s="379" t="s">
        <v>3783</v>
      </c>
      <c r="FVI1115" s="379" t="s">
        <v>3783</v>
      </c>
      <c r="FVJ1115" s="379" t="s">
        <v>3783</v>
      </c>
      <c r="FVK1115" s="379" t="s">
        <v>3783</v>
      </c>
      <c r="FVL1115" s="379" t="s">
        <v>3783</v>
      </c>
      <c r="FVM1115" s="379" t="s">
        <v>3783</v>
      </c>
      <c r="FVN1115" s="379" t="s">
        <v>3783</v>
      </c>
      <c r="FVO1115" s="379" t="s">
        <v>3783</v>
      </c>
      <c r="FVP1115" s="379" t="s">
        <v>3783</v>
      </c>
      <c r="FVQ1115" s="379" t="s">
        <v>3783</v>
      </c>
      <c r="FVR1115" s="379" t="s">
        <v>3783</v>
      </c>
      <c r="FVS1115" s="379" t="s">
        <v>3783</v>
      </c>
      <c r="FVT1115" s="379" t="s">
        <v>3783</v>
      </c>
      <c r="FVU1115" s="379" t="s">
        <v>3783</v>
      </c>
      <c r="FVV1115" s="379" t="s">
        <v>3783</v>
      </c>
      <c r="FVW1115" s="379" t="s">
        <v>3783</v>
      </c>
      <c r="FVX1115" s="379" t="s">
        <v>3783</v>
      </c>
      <c r="FVY1115" s="379" t="s">
        <v>3783</v>
      </c>
      <c r="FVZ1115" s="379" t="s">
        <v>3783</v>
      </c>
      <c r="FWA1115" s="379" t="s">
        <v>3783</v>
      </c>
      <c r="FWB1115" s="379" t="s">
        <v>3783</v>
      </c>
      <c r="FWC1115" s="379" t="s">
        <v>3783</v>
      </c>
      <c r="FWD1115" s="379" t="s">
        <v>3783</v>
      </c>
      <c r="FWE1115" s="379" t="s">
        <v>3783</v>
      </c>
      <c r="FWF1115" s="379" t="s">
        <v>3783</v>
      </c>
      <c r="FWG1115" s="379" t="s">
        <v>3783</v>
      </c>
      <c r="FWH1115" s="379" t="s">
        <v>3783</v>
      </c>
      <c r="FWI1115" s="379" t="s">
        <v>3783</v>
      </c>
      <c r="FWJ1115" s="379" t="s">
        <v>3783</v>
      </c>
      <c r="FWK1115" s="379" t="s">
        <v>3783</v>
      </c>
      <c r="FWL1115" s="379" t="s">
        <v>3783</v>
      </c>
      <c r="FWM1115" s="379" t="s">
        <v>3783</v>
      </c>
      <c r="FWN1115" s="379" t="s">
        <v>3783</v>
      </c>
      <c r="FWO1115" s="379" t="s">
        <v>3783</v>
      </c>
      <c r="FWP1115" s="379" t="s">
        <v>3783</v>
      </c>
      <c r="FWQ1115" s="379" t="s">
        <v>3783</v>
      </c>
      <c r="FWR1115" s="379" t="s">
        <v>3783</v>
      </c>
      <c r="FWS1115" s="379" t="s">
        <v>3783</v>
      </c>
      <c r="FWT1115" s="379" t="s">
        <v>3783</v>
      </c>
      <c r="FWU1115" s="379" t="s">
        <v>3783</v>
      </c>
      <c r="FWV1115" s="379" t="s">
        <v>3783</v>
      </c>
      <c r="FWW1115" s="379" t="s">
        <v>3783</v>
      </c>
      <c r="FWX1115" s="379" t="s">
        <v>3783</v>
      </c>
      <c r="FWY1115" s="379" t="s">
        <v>3783</v>
      </c>
      <c r="FWZ1115" s="379" t="s">
        <v>3783</v>
      </c>
      <c r="FXA1115" s="379" t="s">
        <v>3783</v>
      </c>
      <c r="FXB1115" s="379" t="s">
        <v>3783</v>
      </c>
      <c r="FXC1115" s="379" t="s">
        <v>3783</v>
      </c>
      <c r="FXD1115" s="379" t="s">
        <v>3783</v>
      </c>
      <c r="FXE1115" s="379" t="s">
        <v>3783</v>
      </c>
      <c r="FXF1115" s="379" t="s">
        <v>3783</v>
      </c>
      <c r="FXG1115" s="379" t="s">
        <v>3783</v>
      </c>
      <c r="FXH1115" s="379" t="s">
        <v>3783</v>
      </c>
      <c r="FXI1115" s="379" t="s">
        <v>3783</v>
      </c>
      <c r="FXJ1115" s="379" t="s">
        <v>3783</v>
      </c>
      <c r="FXK1115" s="379" t="s">
        <v>3783</v>
      </c>
      <c r="FXL1115" s="379" t="s">
        <v>3783</v>
      </c>
      <c r="FXM1115" s="379" t="s">
        <v>3783</v>
      </c>
      <c r="FXN1115" s="379" t="s">
        <v>3783</v>
      </c>
      <c r="FXO1115" s="379" t="s">
        <v>3783</v>
      </c>
      <c r="FXP1115" s="379" t="s">
        <v>3783</v>
      </c>
      <c r="FXQ1115" s="379" t="s">
        <v>3783</v>
      </c>
      <c r="FXR1115" s="379" t="s">
        <v>3783</v>
      </c>
      <c r="FXS1115" s="379" t="s">
        <v>3783</v>
      </c>
      <c r="FXT1115" s="379" t="s">
        <v>3783</v>
      </c>
      <c r="FXU1115" s="379" t="s">
        <v>3783</v>
      </c>
      <c r="FXV1115" s="379" t="s">
        <v>3783</v>
      </c>
      <c r="FXW1115" s="379" t="s">
        <v>3783</v>
      </c>
      <c r="FXX1115" s="379" t="s">
        <v>3783</v>
      </c>
      <c r="FXY1115" s="379" t="s">
        <v>3783</v>
      </c>
      <c r="FXZ1115" s="379" t="s">
        <v>3783</v>
      </c>
      <c r="FYA1115" s="379" t="s">
        <v>3783</v>
      </c>
      <c r="FYB1115" s="379" t="s">
        <v>3783</v>
      </c>
      <c r="FYC1115" s="379" t="s">
        <v>3783</v>
      </c>
      <c r="FYD1115" s="379" t="s">
        <v>3783</v>
      </c>
      <c r="FYE1115" s="379" t="s">
        <v>3783</v>
      </c>
      <c r="FYF1115" s="379" t="s">
        <v>3783</v>
      </c>
      <c r="FYG1115" s="379" t="s">
        <v>3783</v>
      </c>
      <c r="FYH1115" s="379" t="s">
        <v>3783</v>
      </c>
      <c r="FYI1115" s="379" t="s">
        <v>3783</v>
      </c>
      <c r="FYJ1115" s="379" t="s">
        <v>3783</v>
      </c>
      <c r="FYK1115" s="379" t="s">
        <v>3783</v>
      </c>
      <c r="FYL1115" s="379" t="s">
        <v>3783</v>
      </c>
      <c r="FYM1115" s="379" t="s">
        <v>3783</v>
      </c>
      <c r="FYN1115" s="379" t="s">
        <v>3783</v>
      </c>
      <c r="FYO1115" s="379" t="s">
        <v>3783</v>
      </c>
      <c r="FYP1115" s="379" t="s">
        <v>3783</v>
      </c>
      <c r="FYQ1115" s="379" t="s">
        <v>3783</v>
      </c>
      <c r="FYR1115" s="379" t="s">
        <v>3783</v>
      </c>
      <c r="FYS1115" s="379" t="s">
        <v>3783</v>
      </c>
      <c r="FYT1115" s="379" t="s">
        <v>3783</v>
      </c>
      <c r="FYU1115" s="379" t="s">
        <v>3783</v>
      </c>
      <c r="FYV1115" s="379" t="s">
        <v>3783</v>
      </c>
      <c r="FYW1115" s="379" t="s">
        <v>3783</v>
      </c>
      <c r="FYX1115" s="379" t="s">
        <v>3783</v>
      </c>
      <c r="FYY1115" s="379" t="s">
        <v>3783</v>
      </c>
      <c r="FYZ1115" s="379" t="s">
        <v>3783</v>
      </c>
      <c r="FZA1115" s="379" t="s">
        <v>3783</v>
      </c>
      <c r="FZB1115" s="379" t="s">
        <v>3783</v>
      </c>
      <c r="FZC1115" s="379" t="s">
        <v>3783</v>
      </c>
      <c r="FZD1115" s="379" t="s">
        <v>3783</v>
      </c>
      <c r="FZE1115" s="379" t="s">
        <v>3783</v>
      </c>
      <c r="FZF1115" s="379" t="s">
        <v>3783</v>
      </c>
      <c r="FZG1115" s="379" t="s">
        <v>3783</v>
      </c>
      <c r="FZH1115" s="379" t="s">
        <v>3783</v>
      </c>
      <c r="FZI1115" s="379" t="s">
        <v>3783</v>
      </c>
      <c r="FZJ1115" s="379" t="s">
        <v>3783</v>
      </c>
      <c r="FZK1115" s="379" t="s">
        <v>3783</v>
      </c>
      <c r="FZL1115" s="379" t="s">
        <v>3783</v>
      </c>
      <c r="FZM1115" s="379" t="s">
        <v>3783</v>
      </c>
      <c r="FZN1115" s="379" t="s">
        <v>3783</v>
      </c>
      <c r="FZO1115" s="379" t="s">
        <v>3783</v>
      </c>
      <c r="FZP1115" s="379" t="s">
        <v>3783</v>
      </c>
      <c r="FZQ1115" s="379" t="s">
        <v>3783</v>
      </c>
      <c r="FZR1115" s="379" t="s">
        <v>3783</v>
      </c>
      <c r="FZS1115" s="379" t="s">
        <v>3783</v>
      </c>
      <c r="FZT1115" s="379" t="s">
        <v>3783</v>
      </c>
      <c r="FZU1115" s="379" t="s">
        <v>3783</v>
      </c>
      <c r="FZV1115" s="379" t="s">
        <v>3783</v>
      </c>
      <c r="FZW1115" s="379" t="s">
        <v>3783</v>
      </c>
      <c r="FZX1115" s="379" t="s">
        <v>3783</v>
      </c>
      <c r="FZY1115" s="379" t="s">
        <v>3783</v>
      </c>
      <c r="FZZ1115" s="379" t="s">
        <v>3783</v>
      </c>
      <c r="GAA1115" s="379" t="s">
        <v>3783</v>
      </c>
      <c r="GAB1115" s="379" t="s">
        <v>3783</v>
      </c>
      <c r="GAC1115" s="379" t="s">
        <v>3783</v>
      </c>
      <c r="GAD1115" s="379" t="s">
        <v>3783</v>
      </c>
      <c r="GAE1115" s="379" t="s">
        <v>3783</v>
      </c>
      <c r="GAF1115" s="379" t="s">
        <v>3783</v>
      </c>
      <c r="GAG1115" s="379" t="s">
        <v>3783</v>
      </c>
      <c r="GAH1115" s="379" t="s">
        <v>3783</v>
      </c>
      <c r="GAI1115" s="379" t="s">
        <v>3783</v>
      </c>
      <c r="GAJ1115" s="379" t="s">
        <v>3783</v>
      </c>
      <c r="GAK1115" s="379" t="s">
        <v>3783</v>
      </c>
      <c r="GAL1115" s="379" t="s">
        <v>3783</v>
      </c>
      <c r="GAM1115" s="379" t="s">
        <v>3783</v>
      </c>
      <c r="GAN1115" s="379" t="s">
        <v>3783</v>
      </c>
      <c r="GAO1115" s="379" t="s">
        <v>3783</v>
      </c>
      <c r="GAP1115" s="379" t="s">
        <v>3783</v>
      </c>
      <c r="GAQ1115" s="379" t="s">
        <v>3783</v>
      </c>
      <c r="GAR1115" s="379" t="s">
        <v>3783</v>
      </c>
      <c r="GAS1115" s="379" t="s">
        <v>3783</v>
      </c>
      <c r="GAT1115" s="379" t="s">
        <v>3783</v>
      </c>
      <c r="GAU1115" s="379" t="s">
        <v>3783</v>
      </c>
      <c r="GAV1115" s="379" t="s">
        <v>3783</v>
      </c>
      <c r="GAW1115" s="379" t="s">
        <v>3783</v>
      </c>
      <c r="GAX1115" s="379" t="s">
        <v>3783</v>
      </c>
      <c r="GAY1115" s="379" t="s">
        <v>3783</v>
      </c>
      <c r="GAZ1115" s="379" t="s">
        <v>3783</v>
      </c>
      <c r="GBA1115" s="379" t="s">
        <v>3783</v>
      </c>
      <c r="GBB1115" s="379" t="s">
        <v>3783</v>
      </c>
      <c r="GBC1115" s="379" t="s">
        <v>3783</v>
      </c>
      <c r="GBD1115" s="379" t="s">
        <v>3783</v>
      </c>
      <c r="GBE1115" s="379" t="s">
        <v>3783</v>
      </c>
      <c r="GBF1115" s="379" t="s">
        <v>3783</v>
      </c>
      <c r="GBG1115" s="379" t="s">
        <v>3783</v>
      </c>
      <c r="GBH1115" s="379" t="s">
        <v>3783</v>
      </c>
      <c r="GBI1115" s="379" t="s">
        <v>3783</v>
      </c>
      <c r="GBJ1115" s="379" t="s">
        <v>3783</v>
      </c>
      <c r="GBK1115" s="379" t="s">
        <v>3783</v>
      </c>
      <c r="GBL1115" s="379" t="s">
        <v>3783</v>
      </c>
      <c r="GBM1115" s="379" t="s">
        <v>3783</v>
      </c>
      <c r="GBN1115" s="379" t="s">
        <v>3783</v>
      </c>
      <c r="GBO1115" s="379" t="s">
        <v>3783</v>
      </c>
      <c r="GBP1115" s="379" t="s">
        <v>3783</v>
      </c>
      <c r="GBQ1115" s="379" t="s">
        <v>3783</v>
      </c>
      <c r="GBR1115" s="379" t="s">
        <v>3783</v>
      </c>
      <c r="GBS1115" s="379" t="s">
        <v>3783</v>
      </c>
      <c r="GBT1115" s="379" t="s">
        <v>3783</v>
      </c>
      <c r="GBU1115" s="379" t="s">
        <v>3783</v>
      </c>
      <c r="GBV1115" s="379" t="s">
        <v>3783</v>
      </c>
      <c r="GBW1115" s="379" t="s">
        <v>3783</v>
      </c>
      <c r="GBX1115" s="379" t="s">
        <v>3783</v>
      </c>
      <c r="GBY1115" s="379" t="s">
        <v>3783</v>
      </c>
      <c r="GBZ1115" s="379" t="s">
        <v>3783</v>
      </c>
      <c r="GCA1115" s="379" t="s">
        <v>3783</v>
      </c>
      <c r="GCB1115" s="379" t="s">
        <v>3783</v>
      </c>
      <c r="GCC1115" s="379" t="s">
        <v>3783</v>
      </c>
      <c r="GCD1115" s="379" t="s">
        <v>3783</v>
      </c>
      <c r="GCE1115" s="379" t="s">
        <v>3783</v>
      </c>
      <c r="GCF1115" s="379" t="s">
        <v>3783</v>
      </c>
      <c r="GCG1115" s="379" t="s">
        <v>3783</v>
      </c>
      <c r="GCH1115" s="379" t="s">
        <v>3783</v>
      </c>
      <c r="GCI1115" s="379" t="s">
        <v>3783</v>
      </c>
      <c r="GCJ1115" s="379" t="s">
        <v>3783</v>
      </c>
      <c r="GCK1115" s="379" t="s">
        <v>3783</v>
      </c>
      <c r="GCL1115" s="379" t="s">
        <v>3783</v>
      </c>
      <c r="GCM1115" s="379" t="s">
        <v>3783</v>
      </c>
      <c r="GCN1115" s="379" t="s">
        <v>3783</v>
      </c>
      <c r="GCO1115" s="379" t="s">
        <v>3783</v>
      </c>
      <c r="GCP1115" s="379" t="s">
        <v>3783</v>
      </c>
      <c r="GCQ1115" s="379" t="s">
        <v>3783</v>
      </c>
      <c r="GCR1115" s="379" t="s">
        <v>3783</v>
      </c>
      <c r="GCS1115" s="379" t="s">
        <v>3783</v>
      </c>
      <c r="GCT1115" s="379" t="s">
        <v>3783</v>
      </c>
      <c r="GCU1115" s="379" t="s">
        <v>3783</v>
      </c>
      <c r="GCV1115" s="379" t="s">
        <v>3783</v>
      </c>
      <c r="GCW1115" s="379" t="s">
        <v>3783</v>
      </c>
      <c r="GCX1115" s="379" t="s">
        <v>3783</v>
      </c>
      <c r="GCY1115" s="379" t="s">
        <v>3783</v>
      </c>
      <c r="GCZ1115" s="379" t="s">
        <v>3783</v>
      </c>
      <c r="GDA1115" s="379" t="s">
        <v>3783</v>
      </c>
      <c r="GDB1115" s="379" t="s">
        <v>3783</v>
      </c>
      <c r="GDC1115" s="379" t="s">
        <v>3783</v>
      </c>
      <c r="GDD1115" s="379" t="s">
        <v>3783</v>
      </c>
      <c r="GDE1115" s="379" t="s">
        <v>3783</v>
      </c>
      <c r="GDF1115" s="379" t="s">
        <v>3783</v>
      </c>
      <c r="GDG1115" s="379" t="s">
        <v>3783</v>
      </c>
      <c r="GDH1115" s="379" t="s">
        <v>3783</v>
      </c>
      <c r="GDI1115" s="379" t="s">
        <v>3783</v>
      </c>
      <c r="GDJ1115" s="379" t="s">
        <v>3783</v>
      </c>
      <c r="GDK1115" s="379" t="s">
        <v>3783</v>
      </c>
      <c r="GDL1115" s="379" t="s">
        <v>3783</v>
      </c>
      <c r="GDM1115" s="379" t="s">
        <v>3783</v>
      </c>
      <c r="GDN1115" s="379" t="s">
        <v>3783</v>
      </c>
      <c r="GDO1115" s="379" t="s">
        <v>3783</v>
      </c>
      <c r="GDP1115" s="379" t="s">
        <v>3783</v>
      </c>
      <c r="GDQ1115" s="379" t="s">
        <v>3783</v>
      </c>
      <c r="GDR1115" s="379" t="s">
        <v>3783</v>
      </c>
      <c r="GDS1115" s="379" t="s">
        <v>3783</v>
      </c>
      <c r="GDT1115" s="379" t="s">
        <v>3783</v>
      </c>
      <c r="GDU1115" s="379" t="s">
        <v>3783</v>
      </c>
      <c r="GDV1115" s="379" t="s">
        <v>3783</v>
      </c>
      <c r="GDW1115" s="379" t="s">
        <v>3783</v>
      </c>
      <c r="GDX1115" s="379" t="s">
        <v>3783</v>
      </c>
      <c r="GDY1115" s="379" t="s">
        <v>3783</v>
      </c>
      <c r="GDZ1115" s="379" t="s">
        <v>3783</v>
      </c>
      <c r="GEA1115" s="379" t="s">
        <v>3783</v>
      </c>
      <c r="GEB1115" s="379" t="s">
        <v>3783</v>
      </c>
      <c r="GEC1115" s="379" t="s">
        <v>3783</v>
      </c>
      <c r="GED1115" s="379" t="s">
        <v>3783</v>
      </c>
      <c r="GEE1115" s="379" t="s">
        <v>3783</v>
      </c>
      <c r="GEF1115" s="379" t="s">
        <v>3783</v>
      </c>
      <c r="GEG1115" s="379" t="s">
        <v>3783</v>
      </c>
      <c r="GEH1115" s="379" t="s">
        <v>3783</v>
      </c>
      <c r="GEI1115" s="379" t="s">
        <v>3783</v>
      </c>
      <c r="GEJ1115" s="379" t="s">
        <v>3783</v>
      </c>
      <c r="GEK1115" s="379" t="s">
        <v>3783</v>
      </c>
      <c r="GEL1115" s="379" t="s">
        <v>3783</v>
      </c>
      <c r="GEM1115" s="379" t="s">
        <v>3783</v>
      </c>
      <c r="GEN1115" s="379" t="s">
        <v>3783</v>
      </c>
      <c r="GEO1115" s="379" t="s">
        <v>3783</v>
      </c>
      <c r="GEP1115" s="379" t="s">
        <v>3783</v>
      </c>
      <c r="GEQ1115" s="379" t="s">
        <v>3783</v>
      </c>
      <c r="GER1115" s="379" t="s">
        <v>3783</v>
      </c>
      <c r="GES1115" s="379" t="s">
        <v>3783</v>
      </c>
      <c r="GET1115" s="379" t="s">
        <v>3783</v>
      </c>
      <c r="GEU1115" s="379" t="s">
        <v>3783</v>
      </c>
      <c r="GEV1115" s="379" t="s">
        <v>3783</v>
      </c>
      <c r="GEW1115" s="379" t="s">
        <v>3783</v>
      </c>
      <c r="GEX1115" s="379" t="s">
        <v>3783</v>
      </c>
      <c r="GEY1115" s="379" t="s">
        <v>3783</v>
      </c>
      <c r="GEZ1115" s="379" t="s">
        <v>3783</v>
      </c>
      <c r="GFA1115" s="379" t="s">
        <v>3783</v>
      </c>
      <c r="GFB1115" s="379" t="s">
        <v>3783</v>
      </c>
      <c r="GFC1115" s="379" t="s">
        <v>3783</v>
      </c>
      <c r="GFD1115" s="379" t="s">
        <v>3783</v>
      </c>
      <c r="GFE1115" s="379" t="s">
        <v>3783</v>
      </c>
      <c r="GFF1115" s="379" t="s">
        <v>3783</v>
      </c>
      <c r="GFG1115" s="379" t="s">
        <v>3783</v>
      </c>
      <c r="GFH1115" s="379" t="s">
        <v>3783</v>
      </c>
      <c r="GFI1115" s="379" t="s">
        <v>3783</v>
      </c>
      <c r="GFJ1115" s="379" t="s">
        <v>3783</v>
      </c>
      <c r="GFK1115" s="379" t="s">
        <v>3783</v>
      </c>
      <c r="GFL1115" s="379" t="s">
        <v>3783</v>
      </c>
      <c r="GFM1115" s="379" t="s">
        <v>3783</v>
      </c>
      <c r="GFN1115" s="379" t="s">
        <v>3783</v>
      </c>
      <c r="GFO1115" s="379" t="s">
        <v>3783</v>
      </c>
      <c r="GFP1115" s="379" t="s">
        <v>3783</v>
      </c>
      <c r="GFQ1115" s="379" t="s">
        <v>3783</v>
      </c>
      <c r="GFR1115" s="379" t="s">
        <v>3783</v>
      </c>
      <c r="GFS1115" s="379" t="s">
        <v>3783</v>
      </c>
      <c r="GFT1115" s="379" t="s">
        <v>3783</v>
      </c>
      <c r="GFU1115" s="379" t="s">
        <v>3783</v>
      </c>
      <c r="GFV1115" s="379" t="s">
        <v>3783</v>
      </c>
      <c r="GFW1115" s="379" t="s">
        <v>3783</v>
      </c>
      <c r="GFX1115" s="379" t="s">
        <v>3783</v>
      </c>
      <c r="GFY1115" s="379" t="s">
        <v>3783</v>
      </c>
      <c r="GFZ1115" s="379" t="s">
        <v>3783</v>
      </c>
      <c r="GGA1115" s="379" t="s">
        <v>3783</v>
      </c>
      <c r="GGB1115" s="379" t="s">
        <v>3783</v>
      </c>
      <c r="GGC1115" s="379" t="s">
        <v>3783</v>
      </c>
      <c r="GGD1115" s="379" t="s">
        <v>3783</v>
      </c>
      <c r="GGE1115" s="379" t="s">
        <v>3783</v>
      </c>
      <c r="GGF1115" s="379" t="s">
        <v>3783</v>
      </c>
      <c r="GGG1115" s="379" t="s">
        <v>3783</v>
      </c>
      <c r="GGH1115" s="379" t="s">
        <v>3783</v>
      </c>
      <c r="GGI1115" s="379" t="s">
        <v>3783</v>
      </c>
      <c r="GGJ1115" s="379" t="s">
        <v>3783</v>
      </c>
      <c r="GGK1115" s="379" t="s">
        <v>3783</v>
      </c>
      <c r="GGL1115" s="379" t="s">
        <v>3783</v>
      </c>
      <c r="GGM1115" s="379" t="s">
        <v>3783</v>
      </c>
      <c r="GGN1115" s="379" t="s">
        <v>3783</v>
      </c>
      <c r="GGO1115" s="379" t="s">
        <v>3783</v>
      </c>
      <c r="GGP1115" s="379" t="s">
        <v>3783</v>
      </c>
      <c r="GGQ1115" s="379" t="s">
        <v>3783</v>
      </c>
      <c r="GGR1115" s="379" t="s">
        <v>3783</v>
      </c>
      <c r="GGS1115" s="379" t="s">
        <v>3783</v>
      </c>
      <c r="GGT1115" s="379" t="s">
        <v>3783</v>
      </c>
      <c r="GGU1115" s="379" t="s">
        <v>3783</v>
      </c>
      <c r="GGV1115" s="379" t="s">
        <v>3783</v>
      </c>
      <c r="GGW1115" s="379" t="s">
        <v>3783</v>
      </c>
      <c r="GGX1115" s="379" t="s">
        <v>3783</v>
      </c>
      <c r="GGY1115" s="379" t="s">
        <v>3783</v>
      </c>
      <c r="GGZ1115" s="379" t="s">
        <v>3783</v>
      </c>
      <c r="GHA1115" s="379" t="s">
        <v>3783</v>
      </c>
      <c r="GHB1115" s="379" t="s">
        <v>3783</v>
      </c>
      <c r="GHC1115" s="379" t="s">
        <v>3783</v>
      </c>
      <c r="GHD1115" s="379" t="s">
        <v>3783</v>
      </c>
      <c r="GHE1115" s="379" t="s">
        <v>3783</v>
      </c>
      <c r="GHF1115" s="379" t="s">
        <v>3783</v>
      </c>
      <c r="GHG1115" s="379" t="s">
        <v>3783</v>
      </c>
      <c r="GHH1115" s="379" t="s">
        <v>3783</v>
      </c>
      <c r="GHI1115" s="379" t="s">
        <v>3783</v>
      </c>
      <c r="GHJ1115" s="379" t="s">
        <v>3783</v>
      </c>
      <c r="GHK1115" s="379" t="s">
        <v>3783</v>
      </c>
      <c r="GHL1115" s="379" t="s">
        <v>3783</v>
      </c>
      <c r="GHM1115" s="379" t="s">
        <v>3783</v>
      </c>
      <c r="GHN1115" s="379" t="s">
        <v>3783</v>
      </c>
      <c r="GHO1115" s="379" t="s">
        <v>3783</v>
      </c>
      <c r="GHP1115" s="379" t="s">
        <v>3783</v>
      </c>
      <c r="GHQ1115" s="379" t="s">
        <v>3783</v>
      </c>
      <c r="GHR1115" s="379" t="s">
        <v>3783</v>
      </c>
      <c r="GHS1115" s="379" t="s">
        <v>3783</v>
      </c>
      <c r="GHT1115" s="379" t="s">
        <v>3783</v>
      </c>
      <c r="GHU1115" s="379" t="s">
        <v>3783</v>
      </c>
      <c r="GHV1115" s="379" t="s">
        <v>3783</v>
      </c>
      <c r="GHW1115" s="379" t="s">
        <v>3783</v>
      </c>
      <c r="GHX1115" s="379" t="s">
        <v>3783</v>
      </c>
      <c r="GHY1115" s="379" t="s">
        <v>3783</v>
      </c>
      <c r="GHZ1115" s="379" t="s">
        <v>3783</v>
      </c>
      <c r="GIA1115" s="379" t="s">
        <v>3783</v>
      </c>
      <c r="GIB1115" s="379" t="s">
        <v>3783</v>
      </c>
      <c r="GIC1115" s="379" t="s">
        <v>3783</v>
      </c>
      <c r="GID1115" s="379" t="s">
        <v>3783</v>
      </c>
      <c r="GIE1115" s="379" t="s">
        <v>3783</v>
      </c>
      <c r="GIF1115" s="379" t="s">
        <v>3783</v>
      </c>
      <c r="GIG1115" s="379" t="s">
        <v>3783</v>
      </c>
      <c r="GIH1115" s="379" t="s">
        <v>3783</v>
      </c>
      <c r="GII1115" s="379" t="s">
        <v>3783</v>
      </c>
      <c r="GIJ1115" s="379" t="s">
        <v>3783</v>
      </c>
      <c r="GIK1115" s="379" t="s">
        <v>3783</v>
      </c>
      <c r="GIL1115" s="379" t="s">
        <v>3783</v>
      </c>
      <c r="GIM1115" s="379" t="s">
        <v>3783</v>
      </c>
      <c r="GIN1115" s="379" t="s">
        <v>3783</v>
      </c>
      <c r="GIO1115" s="379" t="s">
        <v>3783</v>
      </c>
      <c r="GIP1115" s="379" t="s">
        <v>3783</v>
      </c>
      <c r="GIQ1115" s="379" t="s">
        <v>3783</v>
      </c>
      <c r="GIR1115" s="379" t="s">
        <v>3783</v>
      </c>
      <c r="GIS1115" s="379" t="s">
        <v>3783</v>
      </c>
      <c r="GIT1115" s="379" t="s">
        <v>3783</v>
      </c>
      <c r="GIU1115" s="379" t="s">
        <v>3783</v>
      </c>
      <c r="GIV1115" s="379" t="s">
        <v>3783</v>
      </c>
      <c r="GIW1115" s="379" t="s">
        <v>3783</v>
      </c>
      <c r="GIX1115" s="379" t="s">
        <v>3783</v>
      </c>
      <c r="GIY1115" s="379" t="s">
        <v>3783</v>
      </c>
      <c r="GIZ1115" s="379" t="s">
        <v>3783</v>
      </c>
      <c r="GJA1115" s="379" t="s">
        <v>3783</v>
      </c>
      <c r="GJB1115" s="379" t="s">
        <v>3783</v>
      </c>
      <c r="GJC1115" s="379" t="s">
        <v>3783</v>
      </c>
      <c r="GJD1115" s="379" t="s">
        <v>3783</v>
      </c>
      <c r="GJE1115" s="379" t="s">
        <v>3783</v>
      </c>
      <c r="GJF1115" s="379" t="s">
        <v>3783</v>
      </c>
      <c r="GJG1115" s="379" t="s">
        <v>3783</v>
      </c>
      <c r="GJH1115" s="379" t="s">
        <v>3783</v>
      </c>
      <c r="GJI1115" s="379" t="s">
        <v>3783</v>
      </c>
      <c r="GJJ1115" s="379" t="s">
        <v>3783</v>
      </c>
      <c r="GJK1115" s="379" t="s">
        <v>3783</v>
      </c>
      <c r="GJL1115" s="379" t="s">
        <v>3783</v>
      </c>
      <c r="GJM1115" s="379" t="s">
        <v>3783</v>
      </c>
      <c r="GJN1115" s="379" t="s">
        <v>3783</v>
      </c>
      <c r="GJO1115" s="379" t="s">
        <v>3783</v>
      </c>
      <c r="GJP1115" s="379" t="s">
        <v>3783</v>
      </c>
      <c r="GJQ1115" s="379" t="s">
        <v>3783</v>
      </c>
      <c r="GJR1115" s="379" t="s">
        <v>3783</v>
      </c>
      <c r="GJS1115" s="379" t="s">
        <v>3783</v>
      </c>
      <c r="GJT1115" s="379" t="s">
        <v>3783</v>
      </c>
      <c r="GJU1115" s="379" t="s">
        <v>3783</v>
      </c>
      <c r="GJV1115" s="379" t="s">
        <v>3783</v>
      </c>
      <c r="GJW1115" s="379" t="s">
        <v>3783</v>
      </c>
      <c r="GJX1115" s="379" t="s">
        <v>3783</v>
      </c>
      <c r="GJY1115" s="379" t="s">
        <v>3783</v>
      </c>
      <c r="GJZ1115" s="379" t="s">
        <v>3783</v>
      </c>
      <c r="GKA1115" s="379" t="s">
        <v>3783</v>
      </c>
      <c r="GKB1115" s="379" t="s">
        <v>3783</v>
      </c>
      <c r="GKC1115" s="379" t="s">
        <v>3783</v>
      </c>
      <c r="GKD1115" s="379" t="s">
        <v>3783</v>
      </c>
      <c r="GKE1115" s="379" t="s">
        <v>3783</v>
      </c>
      <c r="GKF1115" s="379" t="s">
        <v>3783</v>
      </c>
      <c r="GKG1115" s="379" t="s">
        <v>3783</v>
      </c>
      <c r="GKH1115" s="379" t="s">
        <v>3783</v>
      </c>
      <c r="GKI1115" s="379" t="s">
        <v>3783</v>
      </c>
      <c r="GKJ1115" s="379" t="s">
        <v>3783</v>
      </c>
      <c r="GKK1115" s="379" t="s">
        <v>3783</v>
      </c>
      <c r="GKL1115" s="379" t="s">
        <v>3783</v>
      </c>
      <c r="GKM1115" s="379" t="s">
        <v>3783</v>
      </c>
      <c r="GKN1115" s="379" t="s">
        <v>3783</v>
      </c>
      <c r="GKO1115" s="379" t="s">
        <v>3783</v>
      </c>
      <c r="GKP1115" s="379" t="s">
        <v>3783</v>
      </c>
      <c r="GKQ1115" s="379" t="s">
        <v>3783</v>
      </c>
      <c r="GKR1115" s="379" t="s">
        <v>3783</v>
      </c>
      <c r="GKS1115" s="379" t="s">
        <v>3783</v>
      </c>
      <c r="GKT1115" s="379" t="s">
        <v>3783</v>
      </c>
      <c r="GKU1115" s="379" t="s">
        <v>3783</v>
      </c>
      <c r="GKV1115" s="379" t="s">
        <v>3783</v>
      </c>
      <c r="GKW1115" s="379" t="s">
        <v>3783</v>
      </c>
      <c r="GKX1115" s="379" t="s">
        <v>3783</v>
      </c>
      <c r="GKY1115" s="379" t="s">
        <v>3783</v>
      </c>
      <c r="GKZ1115" s="379" t="s">
        <v>3783</v>
      </c>
      <c r="GLA1115" s="379" t="s">
        <v>3783</v>
      </c>
      <c r="GLB1115" s="379" t="s">
        <v>3783</v>
      </c>
      <c r="GLC1115" s="379" t="s">
        <v>3783</v>
      </c>
      <c r="GLD1115" s="379" t="s">
        <v>3783</v>
      </c>
      <c r="GLE1115" s="379" t="s">
        <v>3783</v>
      </c>
      <c r="GLF1115" s="379" t="s">
        <v>3783</v>
      </c>
      <c r="GLG1115" s="379" t="s">
        <v>3783</v>
      </c>
      <c r="GLH1115" s="379" t="s">
        <v>3783</v>
      </c>
      <c r="GLI1115" s="379" t="s">
        <v>3783</v>
      </c>
      <c r="GLJ1115" s="379" t="s">
        <v>3783</v>
      </c>
      <c r="GLK1115" s="379" t="s">
        <v>3783</v>
      </c>
      <c r="GLL1115" s="379" t="s">
        <v>3783</v>
      </c>
      <c r="GLM1115" s="379" t="s">
        <v>3783</v>
      </c>
      <c r="GLN1115" s="379" t="s">
        <v>3783</v>
      </c>
      <c r="GLO1115" s="379" t="s">
        <v>3783</v>
      </c>
      <c r="GLP1115" s="379" t="s">
        <v>3783</v>
      </c>
      <c r="GLQ1115" s="379" t="s">
        <v>3783</v>
      </c>
      <c r="GLR1115" s="379" t="s">
        <v>3783</v>
      </c>
      <c r="GLS1115" s="379" t="s">
        <v>3783</v>
      </c>
      <c r="GLT1115" s="379" t="s">
        <v>3783</v>
      </c>
      <c r="GLU1115" s="379" t="s">
        <v>3783</v>
      </c>
      <c r="GLV1115" s="379" t="s">
        <v>3783</v>
      </c>
      <c r="GLW1115" s="379" t="s">
        <v>3783</v>
      </c>
      <c r="GLX1115" s="379" t="s">
        <v>3783</v>
      </c>
      <c r="GLY1115" s="379" t="s">
        <v>3783</v>
      </c>
      <c r="GLZ1115" s="379" t="s">
        <v>3783</v>
      </c>
      <c r="GMA1115" s="379" t="s">
        <v>3783</v>
      </c>
      <c r="GMB1115" s="379" t="s">
        <v>3783</v>
      </c>
      <c r="GMC1115" s="379" t="s">
        <v>3783</v>
      </c>
      <c r="GMD1115" s="379" t="s">
        <v>3783</v>
      </c>
      <c r="GME1115" s="379" t="s">
        <v>3783</v>
      </c>
      <c r="GMF1115" s="379" t="s">
        <v>3783</v>
      </c>
      <c r="GMG1115" s="379" t="s">
        <v>3783</v>
      </c>
      <c r="GMH1115" s="379" t="s">
        <v>3783</v>
      </c>
      <c r="GMI1115" s="379" t="s">
        <v>3783</v>
      </c>
      <c r="GMJ1115" s="379" t="s">
        <v>3783</v>
      </c>
      <c r="GMK1115" s="379" t="s">
        <v>3783</v>
      </c>
      <c r="GML1115" s="379" t="s">
        <v>3783</v>
      </c>
      <c r="GMM1115" s="379" t="s">
        <v>3783</v>
      </c>
      <c r="GMN1115" s="379" t="s">
        <v>3783</v>
      </c>
      <c r="GMO1115" s="379" t="s">
        <v>3783</v>
      </c>
      <c r="GMP1115" s="379" t="s">
        <v>3783</v>
      </c>
      <c r="GMQ1115" s="379" t="s">
        <v>3783</v>
      </c>
      <c r="GMR1115" s="379" t="s">
        <v>3783</v>
      </c>
      <c r="GMS1115" s="379" t="s">
        <v>3783</v>
      </c>
      <c r="GMT1115" s="379" t="s">
        <v>3783</v>
      </c>
      <c r="GMU1115" s="379" t="s">
        <v>3783</v>
      </c>
      <c r="GMV1115" s="379" t="s">
        <v>3783</v>
      </c>
      <c r="GMW1115" s="379" t="s">
        <v>3783</v>
      </c>
      <c r="GMX1115" s="379" t="s">
        <v>3783</v>
      </c>
      <c r="GMY1115" s="379" t="s">
        <v>3783</v>
      </c>
      <c r="GMZ1115" s="379" t="s">
        <v>3783</v>
      </c>
      <c r="GNA1115" s="379" t="s">
        <v>3783</v>
      </c>
      <c r="GNB1115" s="379" t="s">
        <v>3783</v>
      </c>
      <c r="GNC1115" s="379" t="s">
        <v>3783</v>
      </c>
      <c r="GND1115" s="379" t="s">
        <v>3783</v>
      </c>
      <c r="GNE1115" s="379" t="s">
        <v>3783</v>
      </c>
      <c r="GNF1115" s="379" t="s">
        <v>3783</v>
      </c>
      <c r="GNG1115" s="379" t="s">
        <v>3783</v>
      </c>
      <c r="GNH1115" s="379" t="s">
        <v>3783</v>
      </c>
      <c r="GNI1115" s="379" t="s">
        <v>3783</v>
      </c>
      <c r="GNJ1115" s="379" t="s">
        <v>3783</v>
      </c>
      <c r="GNK1115" s="379" t="s">
        <v>3783</v>
      </c>
      <c r="GNL1115" s="379" t="s">
        <v>3783</v>
      </c>
      <c r="GNM1115" s="379" t="s">
        <v>3783</v>
      </c>
      <c r="GNN1115" s="379" t="s">
        <v>3783</v>
      </c>
      <c r="GNO1115" s="379" t="s">
        <v>3783</v>
      </c>
      <c r="GNP1115" s="379" t="s">
        <v>3783</v>
      </c>
      <c r="GNQ1115" s="379" t="s">
        <v>3783</v>
      </c>
      <c r="GNR1115" s="379" t="s">
        <v>3783</v>
      </c>
      <c r="GNS1115" s="379" t="s">
        <v>3783</v>
      </c>
      <c r="GNT1115" s="379" t="s">
        <v>3783</v>
      </c>
      <c r="GNU1115" s="379" t="s">
        <v>3783</v>
      </c>
      <c r="GNV1115" s="379" t="s">
        <v>3783</v>
      </c>
      <c r="GNW1115" s="379" t="s">
        <v>3783</v>
      </c>
      <c r="GNX1115" s="379" t="s">
        <v>3783</v>
      </c>
      <c r="GNY1115" s="379" t="s">
        <v>3783</v>
      </c>
      <c r="GNZ1115" s="379" t="s">
        <v>3783</v>
      </c>
      <c r="GOA1115" s="379" t="s">
        <v>3783</v>
      </c>
      <c r="GOB1115" s="379" t="s">
        <v>3783</v>
      </c>
      <c r="GOC1115" s="379" t="s">
        <v>3783</v>
      </c>
      <c r="GOD1115" s="379" t="s">
        <v>3783</v>
      </c>
      <c r="GOE1115" s="379" t="s">
        <v>3783</v>
      </c>
      <c r="GOF1115" s="379" t="s">
        <v>3783</v>
      </c>
      <c r="GOG1115" s="379" t="s">
        <v>3783</v>
      </c>
      <c r="GOH1115" s="379" t="s">
        <v>3783</v>
      </c>
      <c r="GOI1115" s="379" t="s">
        <v>3783</v>
      </c>
      <c r="GOJ1115" s="379" t="s">
        <v>3783</v>
      </c>
      <c r="GOK1115" s="379" t="s">
        <v>3783</v>
      </c>
      <c r="GOL1115" s="379" t="s">
        <v>3783</v>
      </c>
      <c r="GOM1115" s="379" t="s">
        <v>3783</v>
      </c>
      <c r="GON1115" s="379" t="s">
        <v>3783</v>
      </c>
      <c r="GOO1115" s="379" t="s">
        <v>3783</v>
      </c>
      <c r="GOP1115" s="379" t="s">
        <v>3783</v>
      </c>
      <c r="GOQ1115" s="379" t="s">
        <v>3783</v>
      </c>
      <c r="GOR1115" s="379" t="s">
        <v>3783</v>
      </c>
      <c r="GOS1115" s="379" t="s">
        <v>3783</v>
      </c>
      <c r="GOT1115" s="379" t="s">
        <v>3783</v>
      </c>
      <c r="GOU1115" s="379" t="s">
        <v>3783</v>
      </c>
      <c r="GOV1115" s="379" t="s">
        <v>3783</v>
      </c>
      <c r="GOW1115" s="379" t="s">
        <v>3783</v>
      </c>
      <c r="GOX1115" s="379" t="s">
        <v>3783</v>
      </c>
      <c r="GOY1115" s="379" t="s">
        <v>3783</v>
      </c>
      <c r="GOZ1115" s="379" t="s">
        <v>3783</v>
      </c>
      <c r="GPA1115" s="379" t="s">
        <v>3783</v>
      </c>
      <c r="GPB1115" s="379" t="s">
        <v>3783</v>
      </c>
      <c r="GPC1115" s="379" t="s">
        <v>3783</v>
      </c>
      <c r="GPD1115" s="379" t="s">
        <v>3783</v>
      </c>
      <c r="GPE1115" s="379" t="s">
        <v>3783</v>
      </c>
      <c r="GPF1115" s="379" t="s">
        <v>3783</v>
      </c>
      <c r="GPG1115" s="379" t="s">
        <v>3783</v>
      </c>
      <c r="GPH1115" s="379" t="s">
        <v>3783</v>
      </c>
      <c r="GPI1115" s="379" t="s">
        <v>3783</v>
      </c>
      <c r="GPJ1115" s="379" t="s">
        <v>3783</v>
      </c>
      <c r="GPK1115" s="379" t="s">
        <v>3783</v>
      </c>
      <c r="GPL1115" s="379" t="s">
        <v>3783</v>
      </c>
      <c r="GPM1115" s="379" t="s">
        <v>3783</v>
      </c>
      <c r="GPN1115" s="379" t="s">
        <v>3783</v>
      </c>
      <c r="GPO1115" s="379" t="s">
        <v>3783</v>
      </c>
      <c r="GPP1115" s="379" t="s">
        <v>3783</v>
      </c>
      <c r="GPQ1115" s="379" t="s">
        <v>3783</v>
      </c>
      <c r="GPR1115" s="379" t="s">
        <v>3783</v>
      </c>
      <c r="GPS1115" s="379" t="s">
        <v>3783</v>
      </c>
      <c r="GPT1115" s="379" t="s">
        <v>3783</v>
      </c>
      <c r="GPU1115" s="379" t="s">
        <v>3783</v>
      </c>
      <c r="GPV1115" s="379" t="s">
        <v>3783</v>
      </c>
      <c r="GPW1115" s="379" t="s">
        <v>3783</v>
      </c>
      <c r="GPX1115" s="379" t="s">
        <v>3783</v>
      </c>
      <c r="GPY1115" s="379" t="s">
        <v>3783</v>
      </c>
      <c r="GPZ1115" s="379" t="s">
        <v>3783</v>
      </c>
      <c r="GQA1115" s="379" t="s">
        <v>3783</v>
      </c>
      <c r="GQB1115" s="379" t="s">
        <v>3783</v>
      </c>
      <c r="GQC1115" s="379" t="s">
        <v>3783</v>
      </c>
      <c r="GQD1115" s="379" t="s">
        <v>3783</v>
      </c>
      <c r="GQE1115" s="379" t="s">
        <v>3783</v>
      </c>
      <c r="GQF1115" s="379" t="s">
        <v>3783</v>
      </c>
      <c r="GQG1115" s="379" t="s">
        <v>3783</v>
      </c>
      <c r="GQH1115" s="379" t="s">
        <v>3783</v>
      </c>
      <c r="GQI1115" s="379" t="s">
        <v>3783</v>
      </c>
      <c r="GQJ1115" s="379" t="s">
        <v>3783</v>
      </c>
      <c r="GQK1115" s="379" t="s">
        <v>3783</v>
      </c>
      <c r="GQL1115" s="379" t="s">
        <v>3783</v>
      </c>
      <c r="GQM1115" s="379" t="s">
        <v>3783</v>
      </c>
      <c r="GQN1115" s="379" t="s">
        <v>3783</v>
      </c>
      <c r="GQO1115" s="379" t="s">
        <v>3783</v>
      </c>
      <c r="GQP1115" s="379" t="s">
        <v>3783</v>
      </c>
      <c r="GQQ1115" s="379" t="s">
        <v>3783</v>
      </c>
      <c r="GQR1115" s="379" t="s">
        <v>3783</v>
      </c>
      <c r="GQS1115" s="379" t="s">
        <v>3783</v>
      </c>
      <c r="GQT1115" s="379" t="s">
        <v>3783</v>
      </c>
      <c r="GQU1115" s="379" t="s">
        <v>3783</v>
      </c>
      <c r="GQV1115" s="379" t="s">
        <v>3783</v>
      </c>
      <c r="GQW1115" s="379" t="s">
        <v>3783</v>
      </c>
      <c r="GQX1115" s="379" t="s">
        <v>3783</v>
      </c>
      <c r="GQY1115" s="379" t="s">
        <v>3783</v>
      </c>
      <c r="GQZ1115" s="379" t="s">
        <v>3783</v>
      </c>
      <c r="GRA1115" s="379" t="s">
        <v>3783</v>
      </c>
      <c r="GRB1115" s="379" t="s">
        <v>3783</v>
      </c>
      <c r="GRC1115" s="379" t="s">
        <v>3783</v>
      </c>
      <c r="GRD1115" s="379" t="s">
        <v>3783</v>
      </c>
      <c r="GRE1115" s="379" t="s">
        <v>3783</v>
      </c>
      <c r="GRF1115" s="379" t="s">
        <v>3783</v>
      </c>
      <c r="GRG1115" s="379" t="s">
        <v>3783</v>
      </c>
      <c r="GRH1115" s="379" t="s">
        <v>3783</v>
      </c>
      <c r="GRI1115" s="379" t="s">
        <v>3783</v>
      </c>
      <c r="GRJ1115" s="379" t="s">
        <v>3783</v>
      </c>
      <c r="GRK1115" s="379" t="s">
        <v>3783</v>
      </c>
      <c r="GRL1115" s="379" t="s">
        <v>3783</v>
      </c>
      <c r="GRM1115" s="379" t="s">
        <v>3783</v>
      </c>
      <c r="GRN1115" s="379" t="s">
        <v>3783</v>
      </c>
      <c r="GRO1115" s="379" t="s">
        <v>3783</v>
      </c>
      <c r="GRP1115" s="379" t="s">
        <v>3783</v>
      </c>
      <c r="GRQ1115" s="379" t="s">
        <v>3783</v>
      </c>
      <c r="GRR1115" s="379" t="s">
        <v>3783</v>
      </c>
      <c r="GRS1115" s="379" t="s">
        <v>3783</v>
      </c>
      <c r="GRT1115" s="379" t="s">
        <v>3783</v>
      </c>
      <c r="GRU1115" s="379" t="s">
        <v>3783</v>
      </c>
      <c r="GRV1115" s="379" t="s">
        <v>3783</v>
      </c>
      <c r="GRW1115" s="379" t="s">
        <v>3783</v>
      </c>
      <c r="GRX1115" s="379" t="s">
        <v>3783</v>
      </c>
      <c r="GRY1115" s="379" t="s">
        <v>3783</v>
      </c>
      <c r="GRZ1115" s="379" t="s">
        <v>3783</v>
      </c>
      <c r="GSA1115" s="379" t="s">
        <v>3783</v>
      </c>
      <c r="GSB1115" s="379" t="s">
        <v>3783</v>
      </c>
      <c r="GSC1115" s="379" t="s">
        <v>3783</v>
      </c>
      <c r="GSD1115" s="379" t="s">
        <v>3783</v>
      </c>
      <c r="GSE1115" s="379" t="s">
        <v>3783</v>
      </c>
      <c r="GSF1115" s="379" t="s">
        <v>3783</v>
      </c>
      <c r="GSG1115" s="379" t="s">
        <v>3783</v>
      </c>
      <c r="GSH1115" s="379" t="s">
        <v>3783</v>
      </c>
      <c r="GSI1115" s="379" t="s">
        <v>3783</v>
      </c>
      <c r="GSJ1115" s="379" t="s">
        <v>3783</v>
      </c>
      <c r="GSK1115" s="379" t="s">
        <v>3783</v>
      </c>
      <c r="GSL1115" s="379" t="s">
        <v>3783</v>
      </c>
      <c r="GSM1115" s="379" t="s">
        <v>3783</v>
      </c>
      <c r="GSN1115" s="379" t="s">
        <v>3783</v>
      </c>
      <c r="GSO1115" s="379" t="s">
        <v>3783</v>
      </c>
      <c r="GSP1115" s="379" t="s">
        <v>3783</v>
      </c>
      <c r="GSQ1115" s="379" t="s">
        <v>3783</v>
      </c>
      <c r="GSR1115" s="379" t="s">
        <v>3783</v>
      </c>
      <c r="GSS1115" s="379" t="s">
        <v>3783</v>
      </c>
      <c r="GST1115" s="379" t="s">
        <v>3783</v>
      </c>
      <c r="GSU1115" s="379" t="s">
        <v>3783</v>
      </c>
      <c r="GSV1115" s="379" t="s">
        <v>3783</v>
      </c>
      <c r="GSW1115" s="379" t="s">
        <v>3783</v>
      </c>
      <c r="GSX1115" s="379" t="s">
        <v>3783</v>
      </c>
      <c r="GSY1115" s="379" t="s">
        <v>3783</v>
      </c>
      <c r="GSZ1115" s="379" t="s">
        <v>3783</v>
      </c>
      <c r="GTA1115" s="379" t="s">
        <v>3783</v>
      </c>
      <c r="GTB1115" s="379" t="s">
        <v>3783</v>
      </c>
      <c r="GTC1115" s="379" t="s">
        <v>3783</v>
      </c>
      <c r="GTD1115" s="379" t="s">
        <v>3783</v>
      </c>
      <c r="GTE1115" s="379" t="s">
        <v>3783</v>
      </c>
      <c r="GTF1115" s="379" t="s">
        <v>3783</v>
      </c>
      <c r="GTG1115" s="379" t="s">
        <v>3783</v>
      </c>
      <c r="GTH1115" s="379" t="s">
        <v>3783</v>
      </c>
      <c r="GTI1115" s="379" t="s">
        <v>3783</v>
      </c>
      <c r="GTJ1115" s="379" t="s">
        <v>3783</v>
      </c>
      <c r="GTK1115" s="379" t="s">
        <v>3783</v>
      </c>
      <c r="GTL1115" s="379" t="s">
        <v>3783</v>
      </c>
      <c r="GTM1115" s="379" t="s">
        <v>3783</v>
      </c>
      <c r="GTN1115" s="379" t="s">
        <v>3783</v>
      </c>
      <c r="GTO1115" s="379" t="s">
        <v>3783</v>
      </c>
      <c r="GTP1115" s="379" t="s">
        <v>3783</v>
      </c>
      <c r="GTQ1115" s="379" t="s">
        <v>3783</v>
      </c>
      <c r="GTR1115" s="379" t="s">
        <v>3783</v>
      </c>
      <c r="GTS1115" s="379" t="s">
        <v>3783</v>
      </c>
      <c r="GTT1115" s="379" t="s">
        <v>3783</v>
      </c>
      <c r="GTU1115" s="379" t="s">
        <v>3783</v>
      </c>
      <c r="GTV1115" s="379" t="s">
        <v>3783</v>
      </c>
      <c r="GTW1115" s="379" t="s">
        <v>3783</v>
      </c>
      <c r="GTX1115" s="379" t="s">
        <v>3783</v>
      </c>
      <c r="GTY1115" s="379" t="s">
        <v>3783</v>
      </c>
      <c r="GTZ1115" s="379" t="s">
        <v>3783</v>
      </c>
      <c r="GUA1115" s="379" t="s">
        <v>3783</v>
      </c>
      <c r="GUB1115" s="379" t="s">
        <v>3783</v>
      </c>
      <c r="GUC1115" s="379" t="s">
        <v>3783</v>
      </c>
      <c r="GUD1115" s="379" t="s">
        <v>3783</v>
      </c>
      <c r="GUE1115" s="379" t="s">
        <v>3783</v>
      </c>
      <c r="GUF1115" s="379" t="s">
        <v>3783</v>
      </c>
      <c r="GUG1115" s="379" t="s">
        <v>3783</v>
      </c>
      <c r="GUH1115" s="379" t="s">
        <v>3783</v>
      </c>
      <c r="GUI1115" s="379" t="s">
        <v>3783</v>
      </c>
      <c r="GUJ1115" s="379" t="s">
        <v>3783</v>
      </c>
      <c r="GUK1115" s="379" t="s">
        <v>3783</v>
      </c>
      <c r="GUL1115" s="379" t="s">
        <v>3783</v>
      </c>
      <c r="GUM1115" s="379" t="s">
        <v>3783</v>
      </c>
      <c r="GUN1115" s="379" t="s">
        <v>3783</v>
      </c>
      <c r="GUO1115" s="379" t="s">
        <v>3783</v>
      </c>
      <c r="GUP1115" s="379" t="s">
        <v>3783</v>
      </c>
      <c r="GUQ1115" s="379" t="s">
        <v>3783</v>
      </c>
      <c r="GUR1115" s="379" t="s">
        <v>3783</v>
      </c>
      <c r="GUS1115" s="379" t="s">
        <v>3783</v>
      </c>
      <c r="GUT1115" s="379" t="s">
        <v>3783</v>
      </c>
      <c r="GUU1115" s="379" t="s">
        <v>3783</v>
      </c>
      <c r="GUV1115" s="379" t="s">
        <v>3783</v>
      </c>
      <c r="GUW1115" s="379" t="s">
        <v>3783</v>
      </c>
      <c r="GUX1115" s="379" t="s">
        <v>3783</v>
      </c>
      <c r="GUY1115" s="379" t="s">
        <v>3783</v>
      </c>
      <c r="GUZ1115" s="379" t="s">
        <v>3783</v>
      </c>
      <c r="GVA1115" s="379" t="s">
        <v>3783</v>
      </c>
      <c r="GVB1115" s="379" t="s">
        <v>3783</v>
      </c>
      <c r="GVC1115" s="379" t="s">
        <v>3783</v>
      </c>
      <c r="GVD1115" s="379" t="s">
        <v>3783</v>
      </c>
      <c r="GVE1115" s="379" t="s">
        <v>3783</v>
      </c>
      <c r="GVF1115" s="379" t="s">
        <v>3783</v>
      </c>
      <c r="GVG1115" s="379" t="s">
        <v>3783</v>
      </c>
      <c r="GVH1115" s="379" t="s">
        <v>3783</v>
      </c>
      <c r="GVI1115" s="379" t="s">
        <v>3783</v>
      </c>
      <c r="GVJ1115" s="379" t="s">
        <v>3783</v>
      </c>
      <c r="GVK1115" s="379" t="s">
        <v>3783</v>
      </c>
      <c r="GVL1115" s="379" t="s">
        <v>3783</v>
      </c>
      <c r="GVM1115" s="379" t="s">
        <v>3783</v>
      </c>
      <c r="GVN1115" s="379" t="s">
        <v>3783</v>
      </c>
      <c r="GVO1115" s="379" t="s">
        <v>3783</v>
      </c>
      <c r="GVP1115" s="379" t="s">
        <v>3783</v>
      </c>
      <c r="GVQ1115" s="379" t="s">
        <v>3783</v>
      </c>
      <c r="GVR1115" s="379" t="s">
        <v>3783</v>
      </c>
      <c r="GVS1115" s="379" t="s">
        <v>3783</v>
      </c>
      <c r="GVT1115" s="379" t="s">
        <v>3783</v>
      </c>
      <c r="GVU1115" s="379" t="s">
        <v>3783</v>
      </c>
      <c r="GVV1115" s="379" t="s">
        <v>3783</v>
      </c>
      <c r="GVW1115" s="379" t="s">
        <v>3783</v>
      </c>
      <c r="GVX1115" s="379" t="s">
        <v>3783</v>
      </c>
      <c r="GVY1115" s="379" t="s">
        <v>3783</v>
      </c>
      <c r="GVZ1115" s="379" t="s">
        <v>3783</v>
      </c>
      <c r="GWA1115" s="379" t="s">
        <v>3783</v>
      </c>
      <c r="GWB1115" s="379" t="s">
        <v>3783</v>
      </c>
      <c r="GWC1115" s="379" t="s">
        <v>3783</v>
      </c>
      <c r="GWD1115" s="379" t="s">
        <v>3783</v>
      </c>
      <c r="GWE1115" s="379" t="s">
        <v>3783</v>
      </c>
      <c r="GWF1115" s="379" t="s">
        <v>3783</v>
      </c>
      <c r="GWG1115" s="379" t="s">
        <v>3783</v>
      </c>
      <c r="GWH1115" s="379" t="s">
        <v>3783</v>
      </c>
      <c r="GWI1115" s="379" t="s">
        <v>3783</v>
      </c>
      <c r="GWJ1115" s="379" t="s">
        <v>3783</v>
      </c>
      <c r="GWK1115" s="379" t="s">
        <v>3783</v>
      </c>
      <c r="GWL1115" s="379" t="s">
        <v>3783</v>
      </c>
      <c r="GWM1115" s="379" t="s">
        <v>3783</v>
      </c>
      <c r="GWN1115" s="379" t="s">
        <v>3783</v>
      </c>
      <c r="GWO1115" s="379" t="s">
        <v>3783</v>
      </c>
      <c r="GWP1115" s="379" t="s">
        <v>3783</v>
      </c>
      <c r="GWQ1115" s="379" t="s">
        <v>3783</v>
      </c>
      <c r="GWR1115" s="379" t="s">
        <v>3783</v>
      </c>
      <c r="GWS1115" s="379" t="s">
        <v>3783</v>
      </c>
      <c r="GWT1115" s="379" t="s">
        <v>3783</v>
      </c>
      <c r="GWU1115" s="379" t="s">
        <v>3783</v>
      </c>
      <c r="GWV1115" s="379" t="s">
        <v>3783</v>
      </c>
      <c r="GWW1115" s="379" t="s">
        <v>3783</v>
      </c>
      <c r="GWX1115" s="379" t="s">
        <v>3783</v>
      </c>
      <c r="GWY1115" s="379" t="s">
        <v>3783</v>
      </c>
      <c r="GWZ1115" s="379" t="s">
        <v>3783</v>
      </c>
      <c r="GXA1115" s="379" t="s">
        <v>3783</v>
      </c>
      <c r="GXB1115" s="379" t="s">
        <v>3783</v>
      </c>
      <c r="GXC1115" s="379" t="s">
        <v>3783</v>
      </c>
      <c r="GXD1115" s="379" t="s">
        <v>3783</v>
      </c>
      <c r="GXE1115" s="379" t="s">
        <v>3783</v>
      </c>
      <c r="GXF1115" s="379" t="s">
        <v>3783</v>
      </c>
      <c r="GXG1115" s="379" t="s">
        <v>3783</v>
      </c>
      <c r="GXH1115" s="379" t="s">
        <v>3783</v>
      </c>
      <c r="GXI1115" s="379" t="s">
        <v>3783</v>
      </c>
      <c r="GXJ1115" s="379" t="s">
        <v>3783</v>
      </c>
      <c r="GXK1115" s="379" t="s">
        <v>3783</v>
      </c>
      <c r="GXL1115" s="379" t="s">
        <v>3783</v>
      </c>
      <c r="GXM1115" s="379" t="s">
        <v>3783</v>
      </c>
      <c r="GXN1115" s="379" t="s">
        <v>3783</v>
      </c>
      <c r="GXO1115" s="379" t="s">
        <v>3783</v>
      </c>
      <c r="GXP1115" s="379" t="s">
        <v>3783</v>
      </c>
      <c r="GXQ1115" s="379" t="s">
        <v>3783</v>
      </c>
      <c r="GXR1115" s="379" t="s">
        <v>3783</v>
      </c>
      <c r="GXS1115" s="379" t="s">
        <v>3783</v>
      </c>
      <c r="GXT1115" s="379" t="s">
        <v>3783</v>
      </c>
      <c r="GXU1115" s="379" t="s">
        <v>3783</v>
      </c>
      <c r="GXV1115" s="379" t="s">
        <v>3783</v>
      </c>
      <c r="GXW1115" s="379" t="s">
        <v>3783</v>
      </c>
      <c r="GXX1115" s="379" t="s">
        <v>3783</v>
      </c>
      <c r="GXY1115" s="379" t="s">
        <v>3783</v>
      </c>
      <c r="GXZ1115" s="379" t="s">
        <v>3783</v>
      </c>
      <c r="GYA1115" s="379" t="s">
        <v>3783</v>
      </c>
      <c r="GYB1115" s="379" t="s">
        <v>3783</v>
      </c>
      <c r="GYC1115" s="379" t="s">
        <v>3783</v>
      </c>
      <c r="GYD1115" s="379" t="s">
        <v>3783</v>
      </c>
      <c r="GYE1115" s="379" t="s">
        <v>3783</v>
      </c>
      <c r="GYF1115" s="379" t="s">
        <v>3783</v>
      </c>
      <c r="GYG1115" s="379" t="s">
        <v>3783</v>
      </c>
      <c r="GYH1115" s="379" t="s">
        <v>3783</v>
      </c>
      <c r="GYI1115" s="379" t="s">
        <v>3783</v>
      </c>
      <c r="GYJ1115" s="379" t="s">
        <v>3783</v>
      </c>
      <c r="GYK1115" s="379" t="s">
        <v>3783</v>
      </c>
      <c r="GYL1115" s="379" t="s">
        <v>3783</v>
      </c>
      <c r="GYM1115" s="379" t="s">
        <v>3783</v>
      </c>
      <c r="GYN1115" s="379" t="s">
        <v>3783</v>
      </c>
      <c r="GYO1115" s="379" t="s">
        <v>3783</v>
      </c>
      <c r="GYP1115" s="379" t="s">
        <v>3783</v>
      </c>
      <c r="GYQ1115" s="379" t="s">
        <v>3783</v>
      </c>
      <c r="GYR1115" s="379" t="s">
        <v>3783</v>
      </c>
      <c r="GYS1115" s="379" t="s">
        <v>3783</v>
      </c>
      <c r="GYT1115" s="379" t="s">
        <v>3783</v>
      </c>
      <c r="GYU1115" s="379" t="s">
        <v>3783</v>
      </c>
      <c r="GYV1115" s="379" t="s">
        <v>3783</v>
      </c>
      <c r="GYW1115" s="379" t="s">
        <v>3783</v>
      </c>
      <c r="GYX1115" s="379" t="s">
        <v>3783</v>
      </c>
      <c r="GYY1115" s="379" t="s">
        <v>3783</v>
      </c>
      <c r="GYZ1115" s="379" t="s">
        <v>3783</v>
      </c>
      <c r="GZA1115" s="379" t="s">
        <v>3783</v>
      </c>
      <c r="GZB1115" s="379" t="s">
        <v>3783</v>
      </c>
      <c r="GZC1115" s="379" t="s">
        <v>3783</v>
      </c>
      <c r="GZD1115" s="379" t="s">
        <v>3783</v>
      </c>
      <c r="GZE1115" s="379" t="s">
        <v>3783</v>
      </c>
      <c r="GZF1115" s="379" t="s">
        <v>3783</v>
      </c>
      <c r="GZG1115" s="379" t="s">
        <v>3783</v>
      </c>
      <c r="GZH1115" s="379" t="s">
        <v>3783</v>
      </c>
      <c r="GZI1115" s="379" t="s">
        <v>3783</v>
      </c>
      <c r="GZJ1115" s="379" t="s">
        <v>3783</v>
      </c>
      <c r="GZK1115" s="379" t="s">
        <v>3783</v>
      </c>
      <c r="GZL1115" s="379" t="s">
        <v>3783</v>
      </c>
      <c r="GZM1115" s="379" t="s">
        <v>3783</v>
      </c>
      <c r="GZN1115" s="379" t="s">
        <v>3783</v>
      </c>
      <c r="GZO1115" s="379" t="s">
        <v>3783</v>
      </c>
      <c r="GZP1115" s="379" t="s">
        <v>3783</v>
      </c>
      <c r="GZQ1115" s="379" t="s">
        <v>3783</v>
      </c>
      <c r="GZR1115" s="379" t="s">
        <v>3783</v>
      </c>
      <c r="GZS1115" s="379" t="s">
        <v>3783</v>
      </c>
      <c r="GZT1115" s="379" t="s">
        <v>3783</v>
      </c>
      <c r="GZU1115" s="379" t="s">
        <v>3783</v>
      </c>
      <c r="GZV1115" s="379" t="s">
        <v>3783</v>
      </c>
      <c r="GZW1115" s="379" t="s">
        <v>3783</v>
      </c>
      <c r="GZX1115" s="379" t="s">
        <v>3783</v>
      </c>
      <c r="GZY1115" s="379" t="s">
        <v>3783</v>
      </c>
      <c r="GZZ1115" s="379" t="s">
        <v>3783</v>
      </c>
      <c r="HAA1115" s="379" t="s">
        <v>3783</v>
      </c>
      <c r="HAB1115" s="379" t="s">
        <v>3783</v>
      </c>
      <c r="HAC1115" s="379" t="s">
        <v>3783</v>
      </c>
      <c r="HAD1115" s="379" t="s">
        <v>3783</v>
      </c>
      <c r="HAE1115" s="379" t="s">
        <v>3783</v>
      </c>
      <c r="HAF1115" s="379" t="s">
        <v>3783</v>
      </c>
      <c r="HAG1115" s="379" t="s">
        <v>3783</v>
      </c>
      <c r="HAH1115" s="379" t="s">
        <v>3783</v>
      </c>
      <c r="HAI1115" s="379" t="s">
        <v>3783</v>
      </c>
      <c r="HAJ1115" s="379" t="s">
        <v>3783</v>
      </c>
      <c r="HAK1115" s="379" t="s">
        <v>3783</v>
      </c>
      <c r="HAL1115" s="379" t="s">
        <v>3783</v>
      </c>
      <c r="HAM1115" s="379" t="s">
        <v>3783</v>
      </c>
      <c r="HAN1115" s="379" t="s">
        <v>3783</v>
      </c>
      <c r="HAO1115" s="379" t="s">
        <v>3783</v>
      </c>
      <c r="HAP1115" s="379" t="s">
        <v>3783</v>
      </c>
      <c r="HAQ1115" s="379" t="s">
        <v>3783</v>
      </c>
      <c r="HAR1115" s="379" t="s">
        <v>3783</v>
      </c>
      <c r="HAS1115" s="379" t="s">
        <v>3783</v>
      </c>
      <c r="HAT1115" s="379" t="s">
        <v>3783</v>
      </c>
      <c r="HAU1115" s="379" t="s">
        <v>3783</v>
      </c>
      <c r="HAV1115" s="379" t="s">
        <v>3783</v>
      </c>
      <c r="HAW1115" s="379" t="s">
        <v>3783</v>
      </c>
      <c r="HAX1115" s="379" t="s">
        <v>3783</v>
      </c>
      <c r="HAY1115" s="379" t="s">
        <v>3783</v>
      </c>
      <c r="HAZ1115" s="379" t="s">
        <v>3783</v>
      </c>
      <c r="HBA1115" s="379" t="s">
        <v>3783</v>
      </c>
      <c r="HBB1115" s="379" t="s">
        <v>3783</v>
      </c>
      <c r="HBC1115" s="379" t="s">
        <v>3783</v>
      </c>
      <c r="HBD1115" s="379" t="s">
        <v>3783</v>
      </c>
      <c r="HBE1115" s="379" t="s">
        <v>3783</v>
      </c>
      <c r="HBF1115" s="379" t="s">
        <v>3783</v>
      </c>
      <c r="HBG1115" s="379" t="s">
        <v>3783</v>
      </c>
      <c r="HBH1115" s="379" t="s">
        <v>3783</v>
      </c>
      <c r="HBI1115" s="379" t="s">
        <v>3783</v>
      </c>
      <c r="HBJ1115" s="379" t="s">
        <v>3783</v>
      </c>
      <c r="HBK1115" s="379" t="s">
        <v>3783</v>
      </c>
      <c r="HBL1115" s="379" t="s">
        <v>3783</v>
      </c>
      <c r="HBM1115" s="379" t="s">
        <v>3783</v>
      </c>
      <c r="HBN1115" s="379" t="s">
        <v>3783</v>
      </c>
      <c r="HBO1115" s="379" t="s">
        <v>3783</v>
      </c>
      <c r="HBP1115" s="379" t="s">
        <v>3783</v>
      </c>
      <c r="HBQ1115" s="379" t="s">
        <v>3783</v>
      </c>
      <c r="HBR1115" s="379" t="s">
        <v>3783</v>
      </c>
      <c r="HBS1115" s="379" t="s">
        <v>3783</v>
      </c>
      <c r="HBT1115" s="379" t="s">
        <v>3783</v>
      </c>
      <c r="HBU1115" s="379" t="s">
        <v>3783</v>
      </c>
      <c r="HBV1115" s="379" t="s">
        <v>3783</v>
      </c>
      <c r="HBW1115" s="379" t="s">
        <v>3783</v>
      </c>
      <c r="HBX1115" s="379" t="s">
        <v>3783</v>
      </c>
      <c r="HBY1115" s="379" t="s">
        <v>3783</v>
      </c>
      <c r="HBZ1115" s="379" t="s">
        <v>3783</v>
      </c>
      <c r="HCA1115" s="379" t="s">
        <v>3783</v>
      </c>
      <c r="HCB1115" s="379" t="s">
        <v>3783</v>
      </c>
      <c r="HCC1115" s="379" t="s">
        <v>3783</v>
      </c>
      <c r="HCD1115" s="379" t="s">
        <v>3783</v>
      </c>
      <c r="HCE1115" s="379" t="s">
        <v>3783</v>
      </c>
      <c r="HCF1115" s="379" t="s">
        <v>3783</v>
      </c>
      <c r="HCG1115" s="379" t="s">
        <v>3783</v>
      </c>
      <c r="HCH1115" s="379" t="s">
        <v>3783</v>
      </c>
      <c r="HCI1115" s="379" t="s">
        <v>3783</v>
      </c>
      <c r="HCJ1115" s="379" t="s">
        <v>3783</v>
      </c>
      <c r="HCK1115" s="379" t="s">
        <v>3783</v>
      </c>
      <c r="HCL1115" s="379" t="s">
        <v>3783</v>
      </c>
      <c r="HCM1115" s="379" t="s">
        <v>3783</v>
      </c>
      <c r="HCN1115" s="379" t="s">
        <v>3783</v>
      </c>
      <c r="HCO1115" s="379" t="s">
        <v>3783</v>
      </c>
      <c r="HCP1115" s="379" t="s">
        <v>3783</v>
      </c>
      <c r="HCQ1115" s="379" t="s">
        <v>3783</v>
      </c>
      <c r="HCR1115" s="379" t="s">
        <v>3783</v>
      </c>
      <c r="HCS1115" s="379" t="s">
        <v>3783</v>
      </c>
      <c r="HCT1115" s="379" t="s">
        <v>3783</v>
      </c>
      <c r="HCU1115" s="379" t="s">
        <v>3783</v>
      </c>
      <c r="HCV1115" s="379" t="s">
        <v>3783</v>
      </c>
      <c r="HCW1115" s="379" t="s">
        <v>3783</v>
      </c>
      <c r="HCX1115" s="379" t="s">
        <v>3783</v>
      </c>
      <c r="HCY1115" s="379" t="s">
        <v>3783</v>
      </c>
      <c r="HCZ1115" s="379" t="s">
        <v>3783</v>
      </c>
      <c r="HDA1115" s="379" t="s">
        <v>3783</v>
      </c>
      <c r="HDB1115" s="379" t="s">
        <v>3783</v>
      </c>
      <c r="HDC1115" s="379" t="s">
        <v>3783</v>
      </c>
      <c r="HDD1115" s="379" t="s">
        <v>3783</v>
      </c>
      <c r="HDE1115" s="379" t="s">
        <v>3783</v>
      </c>
      <c r="HDF1115" s="379" t="s">
        <v>3783</v>
      </c>
      <c r="HDG1115" s="379" t="s">
        <v>3783</v>
      </c>
      <c r="HDH1115" s="379" t="s">
        <v>3783</v>
      </c>
      <c r="HDI1115" s="379" t="s">
        <v>3783</v>
      </c>
      <c r="HDJ1115" s="379" t="s">
        <v>3783</v>
      </c>
      <c r="HDK1115" s="379" t="s">
        <v>3783</v>
      </c>
      <c r="HDL1115" s="379" t="s">
        <v>3783</v>
      </c>
      <c r="HDM1115" s="379" t="s">
        <v>3783</v>
      </c>
      <c r="HDN1115" s="379" t="s">
        <v>3783</v>
      </c>
      <c r="HDO1115" s="379" t="s">
        <v>3783</v>
      </c>
      <c r="HDP1115" s="379" t="s">
        <v>3783</v>
      </c>
      <c r="HDQ1115" s="379" t="s">
        <v>3783</v>
      </c>
      <c r="HDR1115" s="379" t="s">
        <v>3783</v>
      </c>
      <c r="HDS1115" s="379" t="s">
        <v>3783</v>
      </c>
      <c r="HDT1115" s="379" t="s">
        <v>3783</v>
      </c>
      <c r="HDU1115" s="379" t="s">
        <v>3783</v>
      </c>
      <c r="HDV1115" s="379" t="s">
        <v>3783</v>
      </c>
      <c r="HDW1115" s="379" t="s">
        <v>3783</v>
      </c>
      <c r="HDX1115" s="379" t="s">
        <v>3783</v>
      </c>
      <c r="HDY1115" s="379" t="s">
        <v>3783</v>
      </c>
      <c r="HDZ1115" s="379" t="s">
        <v>3783</v>
      </c>
      <c r="HEA1115" s="379" t="s">
        <v>3783</v>
      </c>
      <c r="HEB1115" s="379" t="s">
        <v>3783</v>
      </c>
      <c r="HEC1115" s="379" t="s">
        <v>3783</v>
      </c>
      <c r="HED1115" s="379" t="s">
        <v>3783</v>
      </c>
      <c r="HEE1115" s="379" t="s">
        <v>3783</v>
      </c>
      <c r="HEF1115" s="379" t="s">
        <v>3783</v>
      </c>
      <c r="HEG1115" s="379" t="s">
        <v>3783</v>
      </c>
      <c r="HEH1115" s="379" t="s">
        <v>3783</v>
      </c>
      <c r="HEI1115" s="379" t="s">
        <v>3783</v>
      </c>
      <c r="HEJ1115" s="379" t="s">
        <v>3783</v>
      </c>
      <c r="HEK1115" s="379" t="s">
        <v>3783</v>
      </c>
      <c r="HEL1115" s="379" t="s">
        <v>3783</v>
      </c>
      <c r="HEM1115" s="379" t="s">
        <v>3783</v>
      </c>
      <c r="HEN1115" s="379" t="s">
        <v>3783</v>
      </c>
      <c r="HEO1115" s="379" t="s">
        <v>3783</v>
      </c>
      <c r="HEP1115" s="379" t="s">
        <v>3783</v>
      </c>
      <c r="HEQ1115" s="379" t="s">
        <v>3783</v>
      </c>
      <c r="HER1115" s="379" t="s">
        <v>3783</v>
      </c>
      <c r="HES1115" s="379" t="s">
        <v>3783</v>
      </c>
      <c r="HET1115" s="379" t="s">
        <v>3783</v>
      </c>
      <c r="HEU1115" s="379" t="s">
        <v>3783</v>
      </c>
      <c r="HEV1115" s="379" t="s">
        <v>3783</v>
      </c>
      <c r="HEW1115" s="379" t="s">
        <v>3783</v>
      </c>
      <c r="HEX1115" s="379" t="s">
        <v>3783</v>
      </c>
      <c r="HEY1115" s="379" t="s">
        <v>3783</v>
      </c>
      <c r="HEZ1115" s="379" t="s">
        <v>3783</v>
      </c>
      <c r="HFA1115" s="379" t="s">
        <v>3783</v>
      </c>
      <c r="HFB1115" s="379" t="s">
        <v>3783</v>
      </c>
      <c r="HFC1115" s="379" t="s">
        <v>3783</v>
      </c>
      <c r="HFD1115" s="379" t="s">
        <v>3783</v>
      </c>
      <c r="HFE1115" s="379" t="s">
        <v>3783</v>
      </c>
      <c r="HFF1115" s="379" t="s">
        <v>3783</v>
      </c>
      <c r="HFG1115" s="379" t="s">
        <v>3783</v>
      </c>
      <c r="HFH1115" s="379" t="s">
        <v>3783</v>
      </c>
      <c r="HFI1115" s="379" t="s">
        <v>3783</v>
      </c>
      <c r="HFJ1115" s="379" t="s">
        <v>3783</v>
      </c>
      <c r="HFK1115" s="379" t="s">
        <v>3783</v>
      </c>
      <c r="HFL1115" s="379" t="s">
        <v>3783</v>
      </c>
      <c r="HFM1115" s="379" t="s">
        <v>3783</v>
      </c>
      <c r="HFN1115" s="379" t="s">
        <v>3783</v>
      </c>
      <c r="HFO1115" s="379" t="s">
        <v>3783</v>
      </c>
      <c r="HFP1115" s="379" t="s">
        <v>3783</v>
      </c>
      <c r="HFQ1115" s="379" t="s">
        <v>3783</v>
      </c>
      <c r="HFR1115" s="379" t="s">
        <v>3783</v>
      </c>
      <c r="HFS1115" s="379" t="s">
        <v>3783</v>
      </c>
      <c r="HFT1115" s="379" t="s">
        <v>3783</v>
      </c>
      <c r="HFU1115" s="379" t="s">
        <v>3783</v>
      </c>
      <c r="HFV1115" s="379" t="s">
        <v>3783</v>
      </c>
      <c r="HFW1115" s="379" t="s">
        <v>3783</v>
      </c>
      <c r="HFX1115" s="379" t="s">
        <v>3783</v>
      </c>
      <c r="HFY1115" s="379" t="s">
        <v>3783</v>
      </c>
      <c r="HFZ1115" s="379" t="s">
        <v>3783</v>
      </c>
      <c r="HGA1115" s="379" t="s">
        <v>3783</v>
      </c>
      <c r="HGB1115" s="379" t="s">
        <v>3783</v>
      </c>
      <c r="HGC1115" s="379" t="s">
        <v>3783</v>
      </c>
      <c r="HGD1115" s="379" t="s">
        <v>3783</v>
      </c>
      <c r="HGE1115" s="379" t="s">
        <v>3783</v>
      </c>
      <c r="HGF1115" s="379" t="s">
        <v>3783</v>
      </c>
      <c r="HGG1115" s="379" t="s">
        <v>3783</v>
      </c>
      <c r="HGH1115" s="379" t="s">
        <v>3783</v>
      </c>
      <c r="HGI1115" s="379" t="s">
        <v>3783</v>
      </c>
      <c r="HGJ1115" s="379" t="s">
        <v>3783</v>
      </c>
      <c r="HGK1115" s="379" t="s">
        <v>3783</v>
      </c>
      <c r="HGL1115" s="379" t="s">
        <v>3783</v>
      </c>
      <c r="HGM1115" s="379" t="s">
        <v>3783</v>
      </c>
      <c r="HGN1115" s="379" t="s">
        <v>3783</v>
      </c>
      <c r="HGO1115" s="379" t="s">
        <v>3783</v>
      </c>
      <c r="HGP1115" s="379" t="s">
        <v>3783</v>
      </c>
      <c r="HGQ1115" s="379" t="s">
        <v>3783</v>
      </c>
      <c r="HGR1115" s="379" t="s">
        <v>3783</v>
      </c>
      <c r="HGS1115" s="379" t="s">
        <v>3783</v>
      </c>
      <c r="HGT1115" s="379" t="s">
        <v>3783</v>
      </c>
      <c r="HGU1115" s="379" t="s">
        <v>3783</v>
      </c>
      <c r="HGV1115" s="379" t="s">
        <v>3783</v>
      </c>
      <c r="HGW1115" s="379" t="s">
        <v>3783</v>
      </c>
      <c r="HGX1115" s="379" t="s">
        <v>3783</v>
      </c>
      <c r="HGY1115" s="379" t="s">
        <v>3783</v>
      </c>
      <c r="HGZ1115" s="379" t="s">
        <v>3783</v>
      </c>
      <c r="HHA1115" s="379" t="s">
        <v>3783</v>
      </c>
      <c r="HHB1115" s="379" t="s">
        <v>3783</v>
      </c>
      <c r="HHC1115" s="379" t="s">
        <v>3783</v>
      </c>
      <c r="HHD1115" s="379" t="s">
        <v>3783</v>
      </c>
      <c r="HHE1115" s="379" t="s">
        <v>3783</v>
      </c>
      <c r="HHF1115" s="379" t="s">
        <v>3783</v>
      </c>
      <c r="HHG1115" s="379" t="s">
        <v>3783</v>
      </c>
      <c r="HHH1115" s="379" t="s">
        <v>3783</v>
      </c>
      <c r="HHI1115" s="379" t="s">
        <v>3783</v>
      </c>
      <c r="HHJ1115" s="379" t="s">
        <v>3783</v>
      </c>
      <c r="HHK1115" s="379" t="s">
        <v>3783</v>
      </c>
      <c r="HHL1115" s="379" t="s">
        <v>3783</v>
      </c>
      <c r="HHM1115" s="379" t="s">
        <v>3783</v>
      </c>
      <c r="HHN1115" s="379" t="s">
        <v>3783</v>
      </c>
      <c r="HHO1115" s="379" t="s">
        <v>3783</v>
      </c>
      <c r="HHP1115" s="379" t="s">
        <v>3783</v>
      </c>
      <c r="HHQ1115" s="379" t="s">
        <v>3783</v>
      </c>
      <c r="HHR1115" s="379" t="s">
        <v>3783</v>
      </c>
      <c r="HHS1115" s="379" t="s">
        <v>3783</v>
      </c>
      <c r="HHT1115" s="379" t="s">
        <v>3783</v>
      </c>
      <c r="HHU1115" s="379" t="s">
        <v>3783</v>
      </c>
      <c r="HHV1115" s="379" t="s">
        <v>3783</v>
      </c>
      <c r="HHW1115" s="379" t="s">
        <v>3783</v>
      </c>
      <c r="HHX1115" s="379" t="s">
        <v>3783</v>
      </c>
      <c r="HHY1115" s="379" t="s">
        <v>3783</v>
      </c>
      <c r="HHZ1115" s="379" t="s">
        <v>3783</v>
      </c>
      <c r="HIA1115" s="379" t="s">
        <v>3783</v>
      </c>
      <c r="HIB1115" s="379" t="s">
        <v>3783</v>
      </c>
      <c r="HIC1115" s="379" t="s">
        <v>3783</v>
      </c>
      <c r="HID1115" s="379" t="s">
        <v>3783</v>
      </c>
      <c r="HIE1115" s="379" t="s">
        <v>3783</v>
      </c>
      <c r="HIF1115" s="379" t="s">
        <v>3783</v>
      </c>
      <c r="HIG1115" s="379" t="s">
        <v>3783</v>
      </c>
      <c r="HIH1115" s="379" t="s">
        <v>3783</v>
      </c>
      <c r="HII1115" s="379" t="s">
        <v>3783</v>
      </c>
      <c r="HIJ1115" s="379" t="s">
        <v>3783</v>
      </c>
      <c r="HIK1115" s="379" t="s">
        <v>3783</v>
      </c>
      <c r="HIL1115" s="379" t="s">
        <v>3783</v>
      </c>
      <c r="HIM1115" s="379" t="s">
        <v>3783</v>
      </c>
      <c r="HIN1115" s="379" t="s">
        <v>3783</v>
      </c>
      <c r="HIO1115" s="379" t="s">
        <v>3783</v>
      </c>
      <c r="HIP1115" s="379" t="s">
        <v>3783</v>
      </c>
      <c r="HIQ1115" s="379" t="s">
        <v>3783</v>
      </c>
      <c r="HIR1115" s="379" t="s">
        <v>3783</v>
      </c>
      <c r="HIS1115" s="379" t="s">
        <v>3783</v>
      </c>
      <c r="HIT1115" s="379" t="s">
        <v>3783</v>
      </c>
      <c r="HIU1115" s="379" t="s">
        <v>3783</v>
      </c>
      <c r="HIV1115" s="379" t="s">
        <v>3783</v>
      </c>
      <c r="HIW1115" s="379" t="s">
        <v>3783</v>
      </c>
      <c r="HIX1115" s="379" t="s">
        <v>3783</v>
      </c>
      <c r="HIY1115" s="379" t="s">
        <v>3783</v>
      </c>
      <c r="HIZ1115" s="379" t="s">
        <v>3783</v>
      </c>
      <c r="HJA1115" s="379" t="s">
        <v>3783</v>
      </c>
      <c r="HJB1115" s="379" t="s">
        <v>3783</v>
      </c>
      <c r="HJC1115" s="379" t="s">
        <v>3783</v>
      </c>
      <c r="HJD1115" s="379" t="s">
        <v>3783</v>
      </c>
      <c r="HJE1115" s="379" t="s">
        <v>3783</v>
      </c>
      <c r="HJF1115" s="379" t="s">
        <v>3783</v>
      </c>
      <c r="HJG1115" s="379" t="s">
        <v>3783</v>
      </c>
      <c r="HJH1115" s="379" t="s">
        <v>3783</v>
      </c>
      <c r="HJI1115" s="379" t="s">
        <v>3783</v>
      </c>
      <c r="HJJ1115" s="379" t="s">
        <v>3783</v>
      </c>
      <c r="HJK1115" s="379" t="s">
        <v>3783</v>
      </c>
      <c r="HJL1115" s="379" t="s">
        <v>3783</v>
      </c>
      <c r="HJM1115" s="379" t="s">
        <v>3783</v>
      </c>
      <c r="HJN1115" s="379" t="s">
        <v>3783</v>
      </c>
      <c r="HJO1115" s="379" t="s">
        <v>3783</v>
      </c>
      <c r="HJP1115" s="379" t="s">
        <v>3783</v>
      </c>
      <c r="HJQ1115" s="379" t="s">
        <v>3783</v>
      </c>
      <c r="HJR1115" s="379" t="s">
        <v>3783</v>
      </c>
      <c r="HJS1115" s="379" t="s">
        <v>3783</v>
      </c>
      <c r="HJT1115" s="379" t="s">
        <v>3783</v>
      </c>
      <c r="HJU1115" s="379" t="s">
        <v>3783</v>
      </c>
      <c r="HJV1115" s="379" t="s">
        <v>3783</v>
      </c>
      <c r="HJW1115" s="379" t="s">
        <v>3783</v>
      </c>
      <c r="HJX1115" s="379" t="s">
        <v>3783</v>
      </c>
      <c r="HJY1115" s="379" t="s">
        <v>3783</v>
      </c>
      <c r="HJZ1115" s="379" t="s">
        <v>3783</v>
      </c>
      <c r="HKA1115" s="379" t="s">
        <v>3783</v>
      </c>
      <c r="HKB1115" s="379" t="s">
        <v>3783</v>
      </c>
      <c r="HKC1115" s="379" t="s">
        <v>3783</v>
      </c>
      <c r="HKD1115" s="379" t="s">
        <v>3783</v>
      </c>
      <c r="HKE1115" s="379" t="s">
        <v>3783</v>
      </c>
      <c r="HKF1115" s="379" t="s">
        <v>3783</v>
      </c>
      <c r="HKG1115" s="379" t="s">
        <v>3783</v>
      </c>
      <c r="HKH1115" s="379" t="s">
        <v>3783</v>
      </c>
      <c r="HKI1115" s="379" t="s">
        <v>3783</v>
      </c>
      <c r="HKJ1115" s="379" t="s">
        <v>3783</v>
      </c>
      <c r="HKK1115" s="379" t="s">
        <v>3783</v>
      </c>
      <c r="HKL1115" s="379" t="s">
        <v>3783</v>
      </c>
      <c r="HKM1115" s="379" t="s">
        <v>3783</v>
      </c>
      <c r="HKN1115" s="379" t="s">
        <v>3783</v>
      </c>
      <c r="HKO1115" s="379" t="s">
        <v>3783</v>
      </c>
      <c r="HKP1115" s="379" t="s">
        <v>3783</v>
      </c>
      <c r="HKQ1115" s="379" t="s">
        <v>3783</v>
      </c>
      <c r="HKR1115" s="379" t="s">
        <v>3783</v>
      </c>
      <c r="HKS1115" s="379" t="s">
        <v>3783</v>
      </c>
      <c r="HKT1115" s="379" t="s">
        <v>3783</v>
      </c>
      <c r="HKU1115" s="379" t="s">
        <v>3783</v>
      </c>
      <c r="HKV1115" s="379" t="s">
        <v>3783</v>
      </c>
      <c r="HKW1115" s="379" t="s">
        <v>3783</v>
      </c>
      <c r="HKX1115" s="379" t="s">
        <v>3783</v>
      </c>
      <c r="HKY1115" s="379" t="s">
        <v>3783</v>
      </c>
      <c r="HKZ1115" s="379" t="s">
        <v>3783</v>
      </c>
      <c r="HLA1115" s="379" t="s">
        <v>3783</v>
      </c>
      <c r="HLB1115" s="379" t="s">
        <v>3783</v>
      </c>
      <c r="HLC1115" s="379" t="s">
        <v>3783</v>
      </c>
      <c r="HLD1115" s="379" t="s">
        <v>3783</v>
      </c>
      <c r="HLE1115" s="379" t="s">
        <v>3783</v>
      </c>
      <c r="HLF1115" s="379" t="s">
        <v>3783</v>
      </c>
      <c r="HLG1115" s="379" t="s">
        <v>3783</v>
      </c>
      <c r="HLH1115" s="379" t="s">
        <v>3783</v>
      </c>
      <c r="HLI1115" s="379" t="s">
        <v>3783</v>
      </c>
      <c r="HLJ1115" s="379" t="s">
        <v>3783</v>
      </c>
      <c r="HLK1115" s="379" t="s">
        <v>3783</v>
      </c>
      <c r="HLL1115" s="379" t="s">
        <v>3783</v>
      </c>
      <c r="HLM1115" s="379" t="s">
        <v>3783</v>
      </c>
      <c r="HLN1115" s="379" t="s">
        <v>3783</v>
      </c>
      <c r="HLO1115" s="379" t="s">
        <v>3783</v>
      </c>
      <c r="HLP1115" s="379" t="s">
        <v>3783</v>
      </c>
      <c r="HLQ1115" s="379" t="s">
        <v>3783</v>
      </c>
      <c r="HLR1115" s="379" t="s">
        <v>3783</v>
      </c>
      <c r="HLS1115" s="379" t="s">
        <v>3783</v>
      </c>
      <c r="HLT1115" s="379" t="s">
        <v>3783</v>
      </c>
      <c r="HLU1115" s="379" t="s">
        <v>3783</v>
      </c>
      <c r="HLV1115" s="379" t="s">
        <v>3783</v>
      </c>
      <c r="HLW1115" s="379" t="s">
        <v>3783</v>
      </c>
      <c r="HLX1115" s="379" t="s">
        <v>3783</v>
      </c>
      <c r="HLY1115" s="379" t="s">
        <v>3783</v>
      </c>
      <c r="HLZ1115" s="379" t="s">
        <v>3783</v>
      </c>
      <c r="HMA1115" s="379" t="s">
        <v>3783</v>
      </c>
      <c r="HMB1115" s="379" t="s">
        <v>3783</v>
      </c>
      <c r="HMC1115" s="379" t="s">
        <v>3783</v>
      </c>
      <c r="HMD1115" s="379" t="s">
        <v>3783</v>
      </c>
      <c r="HME1115" s="379" t="s">
        <v>3783</v>
      </c>
      <c r="HMF1115" s="379" t="s">
        <v>3783</v>
      </c>
      <c r="HMG1115" s="379" t="s">
        <v>3783</v>
      </c>
      <c r="HMH1115" s="379" t="s">
        <v>3783</v>
      </c>
      <c r="HMI1115" s="379" t="s">
        <v>3783</v>
      </c>
      <c r="HMJ1115" s="379" t="s">
        <v>3783</v>
      </c>
      <c r="HMK1115" s="379" t="s">
        <v>3783</v>
      </c>
      <c r="HML1115" s="379" t="s">
        <v>3783</v>
      </c>
      <c r="HMM1115" s="379" t="s">
        <v>3783</v>
      </c>
      <c r="HMN1115" s="379" t="s">
        <v>3783</v>
      </c>
      <c r="HMO1115" s="379" t="s">
        <v>3783</v>
      </c>
      <c r="HMP1115" s="379" t="s">
        <v>3783</v>
      </c>
      <c r="HMQ1115" s="379" t="s">
        <v>3783</v>
      </c>
      <c r="HMR1115" s="379" t="s">
        <v>3783</v>
      </c>
      <c r="HMS1115" s="379" t="s">
        <v>3783</v>
      </c>
      <c r="HMT1115" s="379" t="s">
        <v>3783</v>
      </c>
      <c r="HMU1115" s="379" t="s">
        <v>3783</v>
      </c>
      <c r="HMV1115" s="379" t="s">
        <v>3783</v>
      </c>
      <c r="HMW1115" s="379" t="s">
        <v>3783</v>
      </c>
      <c r="HMX1115" s="379" t="s">
        <v>3783</v>
      </c>
      <c r="HMY1115" s="379" t="s">
        <v>3783</v>
      </c>
      <c r="HMZ1115" s="379" t="s">
        <v>3783</v>
      </c>
      <c r="HNA1115" s="379" t="s">
        <v>3783</v>
      </c>
      <c r="HNB1115" s="379" t="s">
        <v>3783</v>
      </c>
      <c r="HNC1115" s="379" t="s">
        <v>3783</v>
      </c>
      <c r="HND1115" s="379" t="s">
        <v>3783</v>
      </c>
      <c r="HNE1115" s="379" t="s">
        <v>3783</v>
      </c>
      <c r="HNF1115" s="379" t="s">
        <v>3783</v>
      </c>
      <c r="HNG1115" s="379" t="s">
        <v>3783</v>
      </c>
      <c r="HNH1115" s="379" t="s">
        <v>3783</v>
      </c>
      <c r="HNI1115" s="379" t="s">
        <v>3783</v>
      </c>
      <c r="HNJ1115" s="379" t="s">
        <v>3783</v>
      </c>
      <c r="HNK1115" s="379" t="s">
        <v>3783</v>
      </c>
      <c r="HNL1115" s="379" t="s">
        <v>3783</v>
      </c>
      <c r="HNM1115" s="379" t="s">
        <v>3783</v>
      </c>
      <c r="HNN1115" s="379" t="s">
        <v>3783</v>
      </c>
      <c r="HNO1115" s="379" t="s">
        <v>3783</v>
      </c>
      <c r="HNP1115" s="379" t="s">
        <v>3783</v>
      </c>
      <c r="HNQ1115" s="379" t="s">
        <v>3783</v>
      </c>
      <c r="HNR1115" s="379" t="s">
        <v>3783</v>
      </c>
      <c r="HNS1115" s="379" t="s">
        <v>3783</v>
      </c>
      <c r="HNT1115" s="379" t="s">
        <v>3783</v>
      </c>
      <c r="HNU1115" s="379" t="s">
        <v>3783</v>
      </c>
      <c r="HNV1115" s="379" t="s">
        <v>3783</v>
      </c>
      <c r="HNW1115" s="379" t="s">
        <v>3783</v>
      </c>
      <c r="HNX1115" s="379" t="s">
        <v>3783</v>
      </c>
      <c r="HNY1115" s="379" t="s">
        <v>3783</v>
      </c>
      <c r="HNZ1115" s="379" t="s">
        <v>3783</v>
      </c>
      <c r="HOA1115" s="379" t="s">
        <v>3783</v>
      </c>
      <c r="HOB1115" s="379" t="s">
        <v>3783</v>
      </c>
      <c r="HOC1115" s="379" t="s">
        <v>3783</v>
      </c>
      <c r="HOD1115" s="379" t="s">
        <v>3783</v>
      </c>
      <c r="HOE1115" s="379" t="s">
        <v>3783</v>
      </c>
      <c r="HOF1115" s="379" t="s">
        <v>3783</v>
      </c>
      <c r="HOG1115" s="379" t="s">
        <v>3783</v>
      </c>
      <c r="HOH1115" s="379" t="s">
        <v>3783</v>
      </c>
      <c r="HOI1115" s="379" t="s">
        <v>3783</v>
      </c>
      <c r="HOJ1115" s="379" t="s">
        <v>3783</v>
      </c>
      <c r="HOK1115" s="379" t="s">
        <v>3783</v>
      </c>
      <c r="HOL1115" s="379" t="s">
        <v>3783</v>
      </c>
      <c r="HOM1115" s="379" t="s">
        <v>3783</v>
      </c>
      <c r="HON1115" s="379" t="s">
        <v>3783</v>
      </c>
      <c r="HOO1115" s="379" t="s">
        <v>3783</v>
      </c>
      <c r="HOP1115" s="379" t="s">
        <v>3783</v>
      </c>
      <c r="HOQ1115" s="379" t="s">
        <v>3783</v>
      </c>
      <c r="HOR1115" s="379" t="s">
        <v>3783</v>
      </c>
      <c r="HOS1115" s="379" t="s">
        <v>3783</v>
      </c>
      <c r="HOT1115" s="379" t="s">
        <v>3783</v>
      </c>
      <c r="HOU1115" s="379" t="s">
        <v>3783</v>
      </c>
      <c r="HOV1115" s="379" t="s">
        <v>3783</v>
      </c>
      <c r="HOW1115" s="379" t="s">
        <v>3783</v>
      </c>
      <c r="HOX1115" s="379" t="s">
        <v>3783</v>
      </c>
      <c r="HOY1115" s="379" t="s">
        <v>3783</v>
      </c>
      <c r="HOZ1115" s="379" t="s">
        <v>3783</v>
      </c>
      <c r="HPA1115" s="379" t="s">
        <v>3783</v>
      </c>
      <c r="HPB1115" s="379" t="s">
        <v>3783</v>
      </c>
      <c r="HPC1115" s="379" t="s">
        <v>3783</v>
      </c>
      <c r="HPD1115" s="379" t="s">
        <v>3783</v>
      </c>
      <c r="HPE1115" s="379" t="s">
        <v>3783</v>
      </c>
      <c r="HPF1115" s="379" t="s">
        <v>3783</v>
      </c>
      <c r="HPG1115" s="379" t="s">
        <v>3783</v>
      </c>
      <c r="HPH1115" s="379" t="s">
        <v>3783</v>
      </c>
      <c r="HPI1115" s="379" t="s">
        <v>3783</v>
      </c>
      <c r="HPJ1115" s="379" t="s">
        <v>3783</v>
      </c>
      <c r="HPK1115" s="379" t="s">
        <v>3783</v>
      </c>
      <c r="HPL1115" s="379" t="s">
        <v>3783</v>
      </c>
      <c r="HPM1115" s="379" t="s">
        <v>3783</v>
      </c>
      <c r="HPN1115" s="379" t="s">
        <v>3783</v>
      </c>
      <c r="HPO1115" s="379" t="s">
        <v>3783</v>
      </c>
      <c r="HPP1115" s="379" t="s">
        <v>3783</v>
      </c>
      <c r="HPQ1115" s="379" t="s">
        <v>3783</v>
      </c>
      <c r="HPR1115" s="379" t="s">
        <v>3783</v>
      </c>
      <c r="HPS1115" s="379" t="s">
        <v>3783</v>
      </c>
      <c r="HPT1115" s="379" t="s">
        <v>3783</v>
      </c>
      <c r="HPU1115" s="379" t="s">
        <v>3783</v>
      </c>
      <c r="HPV1115" s="379" t="s">
        <v>3783</v>
      </c>
      <c r="HPW1115" s="379" t="s">
        <v>3783</v>
      </c>
      <c r="HPX1115" s="379" t="s">
        <v>3783</v>
      </c>
      <c r="HPY1115" s="379" t="s">
        <v>3783</v>
      </c>
      <c r="HPZ1115" s="379" t="s">
        <v>3783</v>
      </c>
      <c r="HQA1115" s="379" t="s">
        <v>3783</v>
      </c>
      <c r="HQB1115" s="379" t="s">
        <v>3783</v>
      </c>
      <c r="HQC1115" s="379" t="s">
        <v>3783</v>
      </c>
      <c r="HQD1115" s="379" t="s">
        <v>3783</v>
      </c>
      <c r="HQE1115" s="379" t="s">
        <v>3783</v>
      </c>
      <c r="HQF1115" s="379" t="s">
        <v>3783</v>
      </c>
      <c r="HQG1115" s="379" t="s">
        <v>3783</v>
      </c>
      <c r="HQH1115" s="379" t="s">
        <v>3783</v>
      </c>
      <c r="HQI1115" s="379" t="s">
        <v>3783</v>
      </c>
      <c r="HQJ1115" s="379" t="s">
        <v>3783</v>
      </c>
      <c r="HQK1115" s="379" t="s">
        <v>3783</v>
      </c>
      <c r="HQL1115" s="379" t="s">
        <v>3783</v>
      </c>
      <c r="HQM1115" s="379" t="s">
        <v>3783</v>
      </c>
      <c r="HQN1115" s="379" t="s">
        <v>3783</v>
      </c>
      <c r="HQO1115" s="379" t="s">
        <v>3783</v>
      </c>
      <c r="HQP1115" s="379" t="s">
        <v>3783</v>
      </c>
      <c r="HQQ1115" s="379" t="s">
        <v>3783</v>
      </c>
      <c r="HQR1115" s="379" t="s">
        <v>3783</v>
      </c>
      <c r="HQS1115" s="379" t="s">
        <v>3783</v>
      </c>
      <c r="HQT1115" s="379" t="s">
        <v>3783</v>
      </c>
      <c r="HQU1115" s="379" t="s">
        <v>3783</v>
      </c>
      <c r="HQV1115" s="379" t="s">
        <v>3783</v>
      </c>
      <c r="HQW1115" s="379" t="s">
        <v>3783</v>
      </c>
      <c r="HQX1115" s="379" t="s">
        <v>3783</v>
      </c>
      <c r="HQY1115" s="379" t="s">
        <v>3783</v>
      </c>
      <c r="HQZ1115" s="379" t="s">
        <v>3783</v>
      </c>
      <c r="HRA1115" s="379" t="s">
        <v>3783</v>
      </c>
      <c r="HRB1115" s="379" t="s">
        <v>3783</v>
      </c>
      <c r="HRC1115" s="379" t="s">
        <v>3783</v>
      </c>
      <c r="HRD1115" s="379" t="s">
        <v>3783</v>
      </c>
      <c r="HRE1115" s="379" t="s">
        <v>3783</v>
      </c>
      <c r="HRF1115" s="379" t="s">
        <v>3783</v>
      </c>
      <c r="HRG1115" s="379" t="s">
        <v>3783</v>
      </c>
      <c r="HRH1115" s="379" t="s">
        <v>3783</v>
      </c>
      <c r="HRI1115" s="379" t="s">
        <v>3783</v>
      </c>
      <c r="HRJ1115" s="379" t="s">
        <v>3783</v>
      </c>
      <c r="HRK1115" s="379" t="s">
        <v>3783</v>
      </c>
      <c r="HRL1115" s="379" t="s">
        <v>3783</v>
      </c>
      <c r="HRM1115" s="379" t="s">
        <v>3783</v>
      </c>
      <c r="HRN1115" s="379" t="s">
        <v>3783</v>
      </c>
      <c r="HRO1115" s="379" t="s">
        <v>3783</v>
      </c>
      <c r="HRP1115" s="379" t="s">
        <v>3783</v>
      </c>
      <c r="HRQ1115" s="379" t="s">
        <v>3783</v>
      </c>
      <c r="HRR1115" s="379" t="s">
        <v>3783</v>
      </c>
      <c r="HRS1115" s="379" t="s">
        <v>3783</v>
      </c>
      <c r="HRT1115" s="379" t="s">
        <v>3783</v>
      </c>
      <c r="HRU1115" s="379" t="s">
        <v>3783</v>
      </c>
      <c r="HRV1115" s="379" t="s">
        <v>3783</v>
      </c>
      <c r="HRW1115" s="379" t="s">
        <v>3783</v>
      </c>
      <c r="HRX1115" s="379" t="s">
        <v>3783</v>
      </c>
      <c r="HRY1115" s="379" t="s">
        <v>3783</v>
      </c>
      <c r="HRZ1115" s="379" t="s">
        <v>3783</v>
      </c>
      <c r="HSA1115" s="379" t="s">
        <v>3783</v>
      </c>
      <c r="HSB1115" s="379" t="s">
        <v>3783</v>
      </c>
      <c r="HSC1115" s="379" t="s">
        <v>3783</v>
      </c>
      <c r="HSD1115" s="379" t="s">
        <v>3783</v>
      </c>
      <c r="HSE1115" s="379" t="s">
        <v>3783</v>
      </c>
      <c r="HSF1115" s="379" t="s">
        <v>3783</v>
      </c>
      <c r="HSG1115" s="379" t="s">
        <v>3783</v>
      </c>
      <c r="HSH1115" s="379" t="s">
        <v>3783</v>
      </c>
      <c r="HSI1115" s="379" t="s">
        <v>3783</v>
      </c>
      <c r="HSJ1115" s="379" t="s">
        <v>3783</v>
      </c>
      <c r="HSK1115" s="379" t="s">
        <v>3783</v>
      </c>
      <c r="HSL1115" s="379" t="s">
        <v>3783</v>
      </c>
      <c r="HSM1115" s="379" t="s">
        <v>3783</v>
      </c>
      <c r="HSN1115" s="379" t="s">
        <v>3783</v>
      </c>
      <c r="HSO1115" s="379" t="s">
        <v>3783</v>
      </c>
      <c r="HSP1115" s="379" t="s">
        <v>3783</v>
      </c>
      <c r="HSQ1115" s="379" t="s">
        <v>3783</v>
      </c>
      <c r="HSR1115" s="379" t="s">
        <v>3783</v>
      </c>
      <c r="HSS1115" s="379" t="s">
        <v>3783</v>
      </c>
      <c r="HST1115" s="379" t="s">
        <v>3783</v>
      </c>
      <c r="HSU1115" s="379" t="s">
        <v>3783</v>
      </c>
      <c r="HSV1115" s="379" t="s">
        <v>3783</v>
      </c>
      <c r="HSW1115" s="379" t="s">
        <v>3783</v>
      </c>
      <c r="HSX1115" s="379" t="s">
        <v>3783</v>
      </c>
      <c r="HSY1115" s="379" t="s">
        <v>3783</v>
      </c>
      <c r="HSZ1115" s="379" t="s">
        <v>3783</v>
      </c>
      <c r="HTA1115" s="379" t="s">
        <v>3783</v>
      </c>
      <c r="HTB1115" s="379" t="s">
        <v>3783</v>
      </c>
      <c r="HTC1115" s="379" t="s">
        <v>3783</v>
      </c>
      <c r="HTD1115" s="379" t="s">
        <v>3783</v>
      </c>
      <c r="HTE1115" s="379" t="s">
        <v>3783</v>
      </c>
      <c r="HTF1115" s="379" t="s">
        <v>3783</v>
      </c>
      <c r="HTG1115" s="379" t="s">
        <v>3783</v>
      </c>
      <c r="HTH1115" s="379" t="s">
        <v>3783</v>
      </c>
      <c r="HTI1115" s="379" t="s">
        <v>3783</v>
      </c>
      <c r="HTJ1115" s="379" t="s">
        <v>3783</v>
      </c>
      <c r="HTK1115" s="379" t="s">
        <v>3783</v>
      </c>
      <c r="HTL1115" s="379" t="s">
        <v>3783</v>
      </c>
      <c r="HTM1115" s="379" t="s">
        <v>3783</v>
      </c>
      <c r="HTN1115" s="379" t="s">
        <v>3783</v>
      </c>
      <c r="HTO1115" s="379" t="s">
        <v>3783</v>
      </c>
      <c r="HTP1115" s="379" t="s">
        <v>3783</v>
      </c>
      <c r="HTQ1115" s="379" t="s">
        <v>3783</v>
      </c>
      <c r="HTR1115" s="379" t="s">
        <v>3783</v>
      </c>
      <c r="HTS1115" s="379" t="s">
        <v>3783</v>
      </c>
      <c r="HTT1115" s="379" t="s">
        <v>3783</v>
      </c>
      <c r="HTU1115" s="379" t="s">
        <v>3783</v>
      </c>
      <c r="HTV1115" s="379" t="s">
        <v>3783</v>
      </c>
      <c r="HTW1115" s="379" t="s">
        <v>3783</v>
      </c>
      <c r="HTX1115" s="379" t="s">
        <v>3783</v>
      </c>
      <c r="HTY1115" s="379" t="s">
        <v>3783</v>
      </c>
      <c r="HTZ1115" s="379" t="s">
        <v>3783</v>
      </c>
      <c r="HUA1115" s="379" t="s">
        <v>3783</v>
      </c>
      <c r="HUB1115" s="379" t="s">
        <v>3783</v>
      </c>
      <c r="HUC1115" s="379" t="s">
        <v>3783</v>
      </c>
      <c r="HUD1115" s="379" t="s">
        <v>3783</v>
      </c>
      <c r="HUE1115" s="379" t="s">
        <v>3783</v>
      </c>
      <c r="HUF1115" s="379" t="s">
        <v>3783</v>
      </c>
      <c r="HUG1115" s="379" t="s">
        <v>3783</v>
      </c>
      <c r="HUH1115" s="379" t="s">
        <v>3783</v>
      </c>
      <c r="HUI1115" s="379" t="s">
        <v>3783</v>
      </c>
      <c r="HUJ1115" s="379" t="s">
        <v>3783</v>
      </c>
      <c r="HUK1115" s="379" t="s">
        <v>3783</v>
      </c>
      <c r="HUL1115" s="379" t="s">
        <v>3783</v>
      </c>
      <c r="HUM1115" s="379" t="s">
        <v>3783</v>
      </c>
      <c r="HUN1115" s="379" t="s">
        <v>3783</v>
      </c>
      <c r="HUO1115" s="379" t="s">
        <v>3783</v>
      </c>
      <c r="HUP1115" s="379" t="s">
        <v>3783</v>
      </c>
      <c r="HUQ1115" s="379" t="s">
        <v>3783</v>
      </c>
      <c r="HUR1115" s="379" t="s">
        <v>3783</v>
      </c>
      <c r="HUS1115" s="379" t="s">
        <v>3783</v>
      </c>
      <c r="HUT1115" s="379" t="s">
        <v>3783</v>
      </c>
      <c r="HUU1115" s="379" t="s">
        <v>3783</v>
      </c>
      <c r="HUV1115" s="379" t="s">
        <v>3783</v>
      </c>
      <c r="HUW1115" s="379" t="s">
        <v>3783</v>
      </c>
      <c r="HUX1115" s="379" t="s">
        <v>3783</v>
      </c>
      <c r="HUY1115" s="379" t="s">
        <v>3783</v>
      </c>
      <c r="HUZ1115" s="379" t="s">
        <v>3783</v>
      </c>
      <c r="HVA1115" s="379" t="s">
        <v>3783</v>
      </c>
      <c r="HVB1115" s="379" t="s">
        <v>3783</v>
      </c>
      <c r="HVC1115" s="379" t="s">
        <v>3783</v>
      </c>
      <c r="HVD1115" s="379" t="s">
        <v>3783</v>
      </c>
      <c r="HVE1115" s="379" t="s">
        <v>3783</v>
      </c>
      <c r="HVF1115" s="379" t="s">
        <v>3783</v>
      </c>
      <c r="HVG1115" s="379" t="s">
        <v>3783</v>
      </c>
      <c r="HVH1115" s="379" t="s">
        <v>3783</v>
      </c>
      <c r="HVI1115" s="379" t="s">
        <v>3783</v>
      </c>
      <c r="HVJ1115" s="379" t="s">
        <v>3783</v>
      </c>
      <c r="HVK1115" s="379" t="s">
        <v>3783</v>
      </c>
      <c r="HVL1115" s="379" t="s">
        <v>3783</v>
      </c>
      <c r="HVM1115" s="379" t="s">
        <v>3783</v>
      </c>
      <c r="HVN1115" s="379" t="s">
        <v>3783</v>
      </c>
      <c r="HVO1115" s="379" t="s">
        <v>3783</v>
      </c>
      <c r="HVP1115" s="379" t="s">
        <v>3783</v>
      </c>
      <c r="HVQ1115" s="379" t="s">
        <v>3783</v>
      </c>
      <c r="HVR1115" s="379" t="s">
        <v>3783</v>
      </c>
      <c r="HVS1115" s="379" t="s">
        <v>3783</v>
      </c>
      <c r="HVT1115" s="379" t="s">
        <v>3783</v>
      </c>
      <c r="HVU1115" s="379" t="s">
        <v>3783</v>
      </c>
      <c r="HVV1115" s="379" t="s">
        <v>3783</v>
      </c>
      <c r="HVW1115" s="379" t="s">
        <v>3783</v>
      </c>
      <c r="HVX1115" s="379" t="s">
        <v>3783</v>
      </c>
      <c r="HVY1115" s="379" t="s">
        <v>3783</v>
      </c>
      <c r="HVZ1115" s="379" t="s">
        <v>3783</v>
      </c>
      <c r="HWA1115" s="379" t="s">
        <v>3783</v>
      </c>
      <c r="HWB1115" s="379" t="s">
        <v>3783</v>
      </c>
      <c r="HWC1115" s="379" t="s">
        <v>3783</v>
      </c>
      <c r="HWD1115" s="379" t="s">
        <v>3783</v>
      </c>
      <c r="HWE1115" s="379" t="s">
        <v>3783</v>
      </c>
      <c r="HWF1115" s="379" t="s">
        <v>3783</v>
      </c>
      <c r="HWG1115" s="379" t="s">
        <v>3783</v>
      </c>
      <c r="HWH1115" s="379" t="s">
        <v>3783</v>
      </c>
      <c r="HWI1115" s="379" t="s">
        <v>3783</v>
      </c>
      <c r="HWJ1115" s="379" t="s">
        <v>3783</v>
      </c>
      <c r="HWK1115" s="379" t="s">
        <v>3783</v>
      </c>
      <c r="HWL1115" s="379" t="s">
        <v>3783</v>
      </c>
      <c r="HWM1115" s="379" t="s">
        <v>3783</v>
      </c>
      <c r="HWN1115" s="379" t="s">
        <v>3783</v>
      </c>
      <c r="HWO1115" s="379" t="s">
        <v>3783</v>
      </c>
      <c r="HWP1115" s="379" t="s">
        <v>3783</v>
      </c>
      <c r="HWQ1115" s="379" t="s">
        <v>3783</v>
      </c>
      <c r="HWR1115" s="379" t="s">
        <v>3783</v>
      </c>
      <c r="HWS1115" s="379" t="s">
        <v>3783</v>
      </c>
      <c r="HWT1115" s="379" t="s">
        <v>3783</v>
      </c>
      <c r="HWU1115" s="379" t="s">
        <v>3783</v>
      </c>
      <c r="HWV1115" s="379" t="s">
        <v>3783</v>
      </c>
      <c r="HWW1115" s="379" t="s">
        <v>3783</v>
      </c>
      <c r="HWX1115" s="379" t="s">
        <v>3783</v>
      </c>
      <c r="HWY1115" s="379" t="s">
        <v>3783</v>
      </c>
      <c r="HWZ1115" s="379" t="s">
        <v>3783</v>
      </c>
      <c r="HXA1115" s="379" t="s">
        <v>3783</v>
      </c>
      <c r="HXB1115" s="379" t="s">
        <v>3783</v>
      </c>
      <c r="HXC1115" s="379" t="s">
        <v>3783</v>
      </c>
      <c r="HXD1115" s="379" t="s">
        <v>3783</v>
      </c>
      <c r="HXE1115" s="379" t="s">
        <v>3783</v>
      </c>
      <c r="HXF1115" s="379" t="s">
        <v>3783</v>
      </c>
      <c r="HXG1115" s="379" t="s">
        <v>3783</v>
      </c>
      <c r="HXH1115" s="379" t="s">
        <v>3783</v>
      </c>
      <c r="HXI1115" s="379" t="s">
        <v>3783</v>
      </c>
      <c r="HXJ1115" s="379" t="s">
        <v>3783</v>
      </c>
      <c r="HXK1115" s="379" t="s">
        <v>3783</v>
      </c>
      <c r="HXL1115" s="379" t="s">
        <v>3783</v>
      </c>
      <c r="HXM1115" s="379" t="s">
        <v>3783</v>
      </c>
      <c r="HXN1115" s="379" t="s">
        <v>3783</v>
      </c>
      <c r="HXO1115" s="379" t="s">
        <v>3783</v>
      </c>
      <c r="HXP1115" s="379" t="s">
        <v>3783</v>
      </c>
      <c r="HXQ1115" s="379" t="s">
        <v>3783</v>
      </c>
      <c r="HXR1115" s="379" t="s">
        <v>3783</v>
      </c>
      <c r="HXS1115" s="379" t="s">
        <v>3783</v>
      </c>
      <c r="HXT1115" s="379" t="s">
        <v>3783</v>
      </c>
      <c r="HXU1115" s="379" t="s">
        <v>3783</v>
      </c>
      <c r="HXV1115" s="379" t="s">
        <v>3783</v>
      </c>
      <c r="HXW1115" s="379" t="s">
        <v>3783</v>
      </c>
      <c r="HXX1115" s="379" t="s">
        <v>3783</v>
      </c>
      <c r="HXY1115" s="379" t="s">
        <v>3783</v>
      </c>
      <c r="HXZ1115" s="379" t="s">
        <v>3783</v>
      </c>
      <c r="HYA1115" s="379" t="s">
        <v>3783</v>
      </c>
      <c r="HYB1115" s="379" t="s">
        <v>3783</v>
      </c>
      <c r="HYC1115" s="379" t="s">
        <v>3783</v>
      </c>
      <c r="HYD1115" s="379" t="s">
        <v>3783</v>
      </c>
      <c r="HYE1115" s="379" t="s">
        <v>3783</v>
      </c>
      <c r="HYF1115" s="379" t="s">
        <v>3783</v>
      </c>
      <c r="HYG1115" s="379" t="s">
        <v>3783</v>
      </c>
      <c r="HYH1115" s="379" t="s">
        <v>3783</v>
      </c>
      <c r="HYI1115" s="379" t="s">
        <v>3783</v>
      </c>
      <c r="HYJ1115" s="379" t="s">
        <v>3783</v>
      </c>
      <c r="HYK1115" s="379" t="s">
        <v>3783</v>
      </c>
      <c r="HYL1115" s="379" t="s">
        <v>3783</v>
      </c>
      <c r="HYM1115" s="379" t="s">
        <v>3783</v>
      </c>
      <c r="HYN1115" s="379" t="s">
        <v>3783</v>
      </c>
      <c r="HYO1115" s="379" t="s">
        <v>3783</v>
      </c>
      <c r="HYP1115" s="379" t="s">
        <v>3783</v>
      </c>
      <c r="HYQ1115" s="379" t="s">
        <v>3783</v>
      </c>
      <c r="HYR1115" s="379" t="s">
        <v>3783</v>
      </c>
      <c r="HYS1115" s="379" t="s">
        <v>3783</v>
      </c>
      <c r="HYT1115" s="379" t="s">
        <v>3783</v>
      </c>
      <c r="HYU1115" s="379" t="s">
        <v>3783</v>
      </c>
      <c r="HYV1115" s="379" t="s">
        <v>3783</v>
      </c>
      <c r="HYW1115" s="379" t="s">
        <v>3783</v>
      </c>
      <c r="HYX1115" s="379" t="s">
        <v>3783</v>
      </c>
      <c r="HYY1115" s="379" t="s">
        <v>3783</v>
      </c>
      <c r="HYZ1115" s="379" t="s">
        <v>3783</v>
      </c>
      <c r="HZA1115" s="379" t="s">
        <v>3783</v>
      </c>
      <c r="HZB1115" s="379" t="s">
        <v>3783</v>
      </c>
      <c r="HZC1115" s="379" t="s">
        <v>3783</v>
      </c>
      <c r="HZD1115" s="379" t="s">
        <v>3783</v>
      </c>
      <c r="HZE1115" s="379" t="s">
        <v>3783</v>
      </c>
      <c r="HZF1115" s="379" t="s">
        <v>3783</v>
      </c>
      <c r="HZG1115" s="379" t="s">
        <v>3783</v>
      </c>
      <c r="HZH1115" s="379" t="s">
        <v>3783</v>
      </c>
      <c r="HZI1115" s="379" t="s">
        <v>3783</v>
      </c>
      <c r="HZJ1115" s="379" t="s">
        <v>3783</v>
      </c>
      <c r="HZK1115" s="379" t="s">
        <v>3783</v>
      </c>
      <c r="HZL1115" s="379" t="s">
        <v>3783</v>
      </c>
      <c r="HZM1115" s="379" t="s">
        <v>3783</v>
      </c>
      <c r="HZN1115" s="379" t="s">
        <v>3783</v>
      </c>
      <c r="HZO1115" s="379" t="s">
        <v>3783</v>
      </c>
      <c r="HZP1115" s="379" t="s">
        <v>3783</v>
      </c>
      <c r="HZQ1115" s="379" t="s">
        <v>3783</v>
      </c>
      <c r="HZR1115" s="379" t="s">
        <v>3783</v>
      </c>
      <c r="HZS1115" s="379" t="s">
        <v>3783</v>
      </c>
      <c r="HZT1115" s="379" t="s">
        <v>3783</v>
      </c>
      <c r="HZU1115" s="379" t="s">
        <v>3783</v>
      </c>
      <c r="HZV1115" s="379" t="s">
        <v>3783</v>
      </c>
      <c r="HZW1115" s="379" t="s">
        <v>3783</v>
      </c>
      <c r="HZX1115" s="379" t="s">
        <v>3783</v>
      </c>
      <c r="HZY1115" s="379" t="s">
        <v>3783</v>
      </c>
      <c r="HZZ1115" s="379" t="s">
        <v>3783</v>
      </c>
      <c r="IAA1115" s="379" t="s">
        <v>3783</v>
      </c>
      <c r="IAB1115" s="379" t="s">
        <v>3783</v>
      </c>
      <c r="IAC1115" s="379" t="s">
        <v>3783</v>
      </c>
      <c r="IAD1115" s="379" t="s">
        <v>3783</v>
      </c>
      <c r="IAE1115" s="379" t="s">
        <v>3783</v>
      </c>
      <c r="IAF1115" s="379" t="s">
        <v>3783</v>
      </c>
      <c r="IAG1115" s="379" t="s">
        <v>3783</v>
      </c>
      <c r="IAH1115" s="379" t="s">
        <v>3783</v>
      </c>
      <c r="IAI1115" s="379" t="s">
        <v>3783</v>
      </c>
      <c r="IAJ1115" s="379" t="s">
        <v>3783</v>
      </c>
      <c r="IAK1115" s="379" t="s">
        <v>3783</v>
      </c>
      <c r="IAL1115" s="379" t="s">
        <v>3783</v>
      </c>
      <c r="IAM1115" s="379" t="s">
        <v>3783</v>
      </c>
      <c r="IAN1115" s="379" t="s">
        <v>3783</v>
      </c>
      <c r="IAO1115" s="379" t="s">
        <v>3783</v>
      </c>
      <c r="IAP1115" s="379" t="s">
        <v>3783</v>
      </c>
      <c r="IAQ1115" s="379" t="s">
        <v>3783</v>
      </c>
      <c r="IAR1115" s="379" t="s">
        <v>3783</v>
      </c>
      <c r="IAS1115" s="379" t="s">
        <v>3783</v>
      </c>
      <c r="IAT1115" s="379" t="s">
        <v>3783</v>
      </c>
      <c r="IAU1115" s="379" t="s">
        <v>3783</v>
      </c>
      <c r="IAV1115" s="379" t="s">
        <v>3783</v>
      </c>
      <c r="IAW1115" s="379" t="s">
        <v>3783</v>
      </c>
      <c r="IAX1115" s="379" t="s">
        <v>3783</v>
      </c>
      <c r="IAY1115" s="379" t="s">
        <v>3783</v>
      </c>
      <c r="IAZ1115" s="379" t="s">
        <v>3783</v>
      </c>
      <c r="IBA1115" s="379" t="s">
        <v>3783</v>
      </c>
      <c r="IBB1115" s="379" t="s">
        <v>3783</v>
      </c>
      <c r="IBC1115" s="379" t="s">
        <v>3783</v>
      </c>
      <c r="IBD1115" s="379" t="s">
        <v>3783</v>
      </c>
      <c r="IBE1115" s="379" t="s">
        <v>3783</v>
      </c>
      <c r="IBF1115" s="379" t="s">
        <v>3783</v>
      </c>
      <c r="IBG1115" s="379" t="s">
        <v>3783</v>
      </c>
      <c r="IBH1115" s="379" t="s">
        <v>3783</v>
      </c>
      <c r="IBI1115" s="379" t="s">
        <v>3783</v>
      </c>
      <c r="IBJ1115" s="379" t="s">
        <v>3783</v>
      </c>
      <c r="IBK1115" s="379" t="s">
        <v>3783</v>
      </c>
      <c r="IBL1115" s="379" t="s">
        <v>3783</v>
      </c>
      <c r="IBM1115" s="379" t="s">
        <v>3783</v>
      </c>
      <c r="IBN1115" s="379" t="s">
        <v>3783</v>
      </c>
      <c r="IBO1115" s="379" t="s">
        <v>3783</v>
      </c>
      <c r="IBP1115" s="379" t="s">
        <v>3783</v>
      </c>
      <c r="IBQ1115" s="379" t="s">
        <v>3783</v>
      </c>
      <c r="IBR1115" s="379" t="s">
        <v>3783</v>
      </c>
      <c r="IBS1115" s="379" t="s">
        <v>3783</v>
      </c>
      <c r="IBT1115" s="379" t="s">
        <v>3783</v>
      </c>
      <c r="IBU1115" s="379" t="s">
        <v>3783</v>
      </c>
      <c r="IBV1115" s="379" t="s">
        <v>3783</v>
      </c>
      <c r="IBW1115" s="379" t="s">
        <v>3783</v>
      </c>
      <c r="IBX1115" s="379" t="s">
        <v>3783</v>
      </c>
      <c r="IBY1115" s="379" t="s">
        <v>3783</v>
      </c>
      <c r="IBZ1115" s="379" t="s">
        <v>3783</v>
      </c>
      <c r="ICA1115" s="379" t="s">
        <v>3783</v>
      </c>
      <c r="ICB1115" s="379" t="s">
        <v>3783</v>
      </c>
      <c r="ICC1115" s="379" t="s">
        <v>3783</v>
      </c>
      <c r="ICD1115" s="379" t="s">
        <v>3783</v>
      </c>
      <c r="ICE1115" s="379" t="s">
        <v>3783</v>
      </c>
      <c r="ICF1115" s="379" t="s">
        <v>3783</v>
      </c>
      <c r="ICG1115" s="379" t="s">
        <v>3783</v>
      </c>
      <c r="ICH1115" s="379" t="s">
        <v>3783</v>
      </c>
      <c r="ICI1115" s="379" t="s">
        <v>3783</v>
      </c>
      <c r="ICJ1115" s="379" t="s">
        <v>3783</v>
      </c>
      <c r="ICK1115" s="379" t="s">
        <v>3783</v>
      </c>
      <c r="ICL1115" s="379" t="s">
        <v>3783</v>
      </c>
      <c r="ICM1115" s="379" t="s">
        <v>3783</v>
      </c>
      <c r="ICN1115" s="379" t="s">
        <v>3783</v>
      </c>
      <c r="ICO1115" s="379" t="s">
        <v>3783</v>
      </c>
      <c r="ICP1115" s="379" t="s">
        <v>3783</v>
      </c>
      <c r="ICQ1115" s="379" t="s">
        <v>3783</v>
      </c>
      <c r="ICR1115" s="379" t="s">
        <v>3783</v>
      </c>
      <c r="ICS1115" s="379" t="s">
        <v>3783</v>
      </c>
      <c r="ICT1115" s="379" t="s">
        <v>3783</v>
      </c>
      <c r="ICU1115" s="379" t="s">
        <v>3783</v>
      </c>
      <c r="ICV1115" s="379" t="s">
        <v>3783</v>
      </c>
      <c r="ICW1115" s="379" t="s">
        <v>3783</v>
      </c>
      <c r="ICX1115" s="379" t="s">
        <v>3783</v>
      </c>
      <c r="ICY1115" s="379" t="s">
        <v>3783</v>
      </c>
      <c r="ICZ1115" s="379" t="s">
        <v>3783</v>
      </c>
      <c r="IDA1115" s="379" t="s">
        <v>3783</v>
      </c>
      <c r="IDB1115" s="379" t="s">
        <v>3783</v>
      </c>
      <c r="IDC1115" s="379" t="s">
        <v>3783</v>
      </c>
      <c r="IDD1115" s="379" t="s">
        <v>3783</v>
      </c>
      <c r="IDE1115" s="379" t="s">
        <v>3783</v>
      </c>
      <c r="IDF1115" s="379" t="s">
        <v>3783</v>
      </c>
      <c r="IDG1115" s="379" t="s">
        <v>3783</v>
      </c>
      <c r="IDH1115" s="379" t="s">
        <v>3783</v>
      </c>
      <c r="IDI1115" s="379" t="s">
        <v>3783</v>
      </c>
      <c r="IDJ1115" s="379" t="s">
        <v>3783</v>
      </c>
      <c r="IDK1115" s="379" t="s">
        <v>3783</v>
      </c>
      <c r="IDL1115" s="379" t="s">
        <v>3783</v>
      </c>
      <c r="IDM1115" s="379" t="s">
        <v>3783</v>
      </c>
      <c r="IDN1115" s="379" t="s">
        <v>3783</v>
      </c>
      <c r="IDO1115" s="379" t="s">
        <v>3783</v>
      </c>
      <c r="IDP1115" s="379" t="s">
        <v>3783</v>
      </c>
      <c r="IDQ1115" s="379" t="s">
        <v>3783</v>
      </c>
      <c r="IDR1115" s="379" t="s">
        <v>3783</v>
      </c>
      <c r="IDS1115" s="379" t="s">
        <v>3783</v>
      </c>
      <c r="IDT1115" s="379" t="s">
        <v>3783</v>
      </c>
      <c r="IDU1115" s="379" t="s">
        <v>3783</v>
      </c>
      <c r="IDV1115" s="379" t="s">
        <v>3783</v>
      </c>
      <c r="IDW1115" s="379" t="s">
        <v>3783</v>
      </c>
      <c r="IDX1115" s="379" t="s">
        <v>3783</v>
      </c>
      <c r="IDY1115" s="379" t="s">
        <v>3783</v>
      </c>
      <c r="IDZ1115" s="379" t="s">
        <v>3783</v>
      </c>
      <c r="IEA1115" s="379" t="s">
        <v>3783</v>
      </c>
      <c r="IEB1115" s="379" t="s">
        <v>3783</v>
      </c>
      <c r="IEC1115" s="379" t="s">
        <v>3783</v>
      </c>
      <c r="IED1115" s="379" t="s">
        <v>3783</v>
      </c>
      <c r="IEE1115" s="379" t="s">
        <v>3783</v>
      </c>
      <c r="IEF1115" s="379" t="s">
        <v>3783</v>
      </c>
      <c r="IEG1115" s="379" t="s">
        <v>3783</v>
      </c>
      <c r="IEH1115" s="379" t="s">
        <v>3783</v>
      </c>
      <c r="IEI1115" s="379" t="s">
        <v>3783</v>
      </c>
      <c r="IEJ1115" s="379" t="s">
        <v>3783</v>
      </c>
      <c r="IEK1115" s="379" t="s">
        <v>3783</v>
      </c>
      <c r="IEL1115" s="379" t="s">
        <v>3783</v>
      </c>
      <c r="IEM1115" s="379" t="s">
        <v>3783</v>
      </c>
      <c r="IEN1115" s="379" t="s">
        <v>3783</v>
      </c>
      <c r="IEO1115" s="379" t="s">
        <v>3783</v>
      </c>
      <c r="IEP1115" s="379" t="s">
        <v>3783</v>
      </c>
      <c r="IEQ1115" s="379" t="s">
        <v>3783</v>
      </c>
      <c r="IER1115" s="379" t="s">
        <v>3783</v>
      </c>
      <c r="IES1115" s="379" t="s">
        <v>3783</v>
      </c>
      <c r="IET1115" s="379" t="s">
        <v>3783</v>
      </c>
      <c r="IEU1115" s="379" t="s">
        <v>3783</v>
      </c>
      <c r="IEV1115" s="379" t="s">
        <v>3783</v>
      </c>
      <c r="IEW1115" s="379" t="s">
        <v>3783</v>
      </c>
      <c r="IEX1115" s="379" t="s">
        <v>3783</v>
      </c>
      <c r="IEY1115" s="379" t="s">
        <v>3783</v>
      </c>
      <c r="IEZ1115" s="379" t="s">
        <v>3783</v>
      </c>
      <c r="IFA1115" s="379" t="s">
        <v>3783</v>
      </c>
      <c r="IFB1115" s="379" t="s">
        <v>3783</v>
      </c>
      <c r="IFC1115" s="379" t="s">
        <v>3783</v>
      </c>
      <c r="IFD1115" s="379" t="s">
        <v>3783</v>
      </c>
      <c r="IFE1115" s="379" t="s">
        <v>3783</v>
      </c>
      <c r="IFF1115" s="379" t="s">
        <v>3783</v>
      </c>
      <c r="IFG1115" s="379" t="s">
        <v>3783</v>
      </c>
      <c r="IFH1115" s="379" t="s">
        <v>3783</v>
      </c>
      <c r="IFI1115" s="379" t="s">
        <v>3783</v>
      </c>
      <c r="IFJ1115" s="379" t="s">
        <v>3783</v>
      </c>
      <c r="IFK1115" s="379" t="s">
        <v>3783</v>
      </c>
      <c r="IFL1115" s="379" t="s">
        <v>3783</v>
      </c>
      <c r="IFM1115" s="379" t="s">
        <v>3783</v>
      </c>
      <c r="IFN1115" s="379" t="s">
        <v>3783</v>
      </c>
      <c r="IFO1115" s="379" t="s">
        <v>3783</v>
      </c>
      <c r="IFP1115" s="379" t="s">
        <v>3783</v>
      </c>
      <c r="IFQ1115" s="379" t="s">
        <v>3783</v>
      </c>
      <c r="IFR1115" s="379" t="s">
        <v>3783</v>
      </c>
      <c r="IFS1115" s="379" t="s">
        <v>3783</v>
      </c>
      <c r="IFT1115" s="379" t="s">
        <v>3783</v>
      </c>
      <c r="IFU1115" s="379" t="s">
        <v>3783</v>
      </c>
      <c r="IFV1115" s="379" t="s">
        <v>3783</v>
      </c>
      <c r="IFW1115" s="379" t="s">
        <v>3783</v>
      </c>
      <c r="IFX1115" s="379" t="s">
        <v>3783</v>
      </c>
      <c r="IFY1115" s="379" t="s">
        <v>3783</v>
      </c>
      <c r="IFZ1115" s="379" t="s">
        <v>3783</v>
      </c>
      <c r="IGA1115" s="379" t="s">
        <v>3783</v>
      </c>
      <c r="IGB1115" s="379" t="s">
        <v>3783</v>
      </c>
      <c r="IGC1115" s="379" t="s">
        <v>3783</v>
      </c>
      <c r="IGD1115" s="379" t="s">
        <v>3783</v>
      </c>
      <c r="IGE1115" s="379" t="s">
        <v>3783</v>
      </c>
      <c r="IGF1115" s="379" t="s">
        <v>3783</v>
      </c>
      <c r="IGG1115" s="379" t="s">
        <v>3783</v>
      </c>
      <c r="IGH1115" s="379" t="s">
        <v>3783</v>
      </c>
      <c r="IGI1115" s="379" t="s">
        <v>3783</v>
      </c>
      <c r="IGJ1115" s="379" t="s">
        <v>3783</v>
      </c>
      <c r="IGK1115" s="379" t="s">
        <v>3783</v>
      </c>
      <c r="IGL1115" s="379" t="s">
        <v>3783</v>
      </c>
      <c r="IGM1115" s="379" t="s">
        <v>3783</v>
      </c>
      <c r="IGN1115" s="379" t="s">
        <v>3783</v>
      </c>
      <c r="IGO1115" s="379" t="s">
        <v>3783</v>
      </c>
      <c r="IGP1115" s="379" t="s">
        <v>3783</v>
      </c>
      <c r="IGQ1115" s="379" t="s">
        <v>3783</v>
      </c>
      <c r="IGR1115" s="379" t="s">
        <v>3783</v>
      </c>
      <c r="IGS1115" s="379" t="s">
        <v>3783</v>
      </c>
      <c r="IGT1115" s="379" t="s">
        <v>3783</v>
      </c>
      <c r="IGU1115" s="379" t="s">
        <v>3783</v>
      </c>
      <c r="IGV1115" s="379" t="s">
        <v>3783</v>
      </c>
      <c r="IGW1115" s="379" t="s">
        <v>3783</v>
      </c>
      <c r="IGX1115" s="379" t="s">
        <v>3783</v>
      </c>
      <c r="IGY1115" s="379" t="s">
        <v>3783</v>
      </c>
      <c r="IGZ1115" s="379" t="s">
        <v>3783</v>
      </c>
      <c r="IHA1115" s="379" t="s">
        <v>3783</v>
      </c>
      <c r="IHB1115" s="379" t="s">
        <v>3783</v>
      </c>
      <c r="IHC1115" s="379" t="s">
        <v>3783</v>
      </c>
      <c r="IHD1115" s="379" t="s">
        <v>3783</v>
      </c>
      <c r="IHE1115" s="379" t="s">
        <v>3783</v>
      </c>
      <c r="IHF1115" s="379" t="s">
        <v>3783</v>
      </c>
      <c r="IHG1115" s="379" t="s">
        <v>3783</v>
      </c>
      <c r="IHH1115" s="379" t="s">
        <v>3783</v>
      </c>
      <c r="IHI1115" s="379" t="s">
        <v>3783</v>
      </c>
      <c r="IHJ1115" s="379" t="s">
        <v>3783</v>
      </c>
      <c r="IHK1115" s="379" t="s">
        <v>3783</v>
      </c>
      <c r="IHL1115" s="379" t="s">
        <v>3783</v>
      </c>
      <c r="IHM1115" s="379" t="s">
        <v>3783</v>
      </c>
      <c r="IHN1115" s="379" t="s">
        <v>3783</v>
      </c>
      <c r="IHO1115" s="379" t="s">
        <v>3783</v>
      </c>
      <c r="IHP1115" s="379" t="s">
        <v>3783</v>
      </c>
      <c r="IHQ1115" s="379" t="s">
        <v>3783</v>
      </c>
      <c r="IHR1115" s="379" t="s">
        <v>3783</v>
      </c>
      <c r="IHS1115" s="379" t="s">
        <v>3783</v>
      </c>
      <c r="IHT1115" s="379" t="s">
        <v>3783</v>
      </c>
      <c r="IHU1115" s="379" t="s">
        <v>3783</v>
      </c>
      <c r="IHV1115" s="379" t="s">
        <v>3783</v>
      </c>
      <c r="IHW1115" s="379" t="s">
        <v>3783</v>
      </c>
      <c r="IHX1115" s="379" t="s">
        <v>3783</v>
      </c>
      <c r="IHY1115" s="379" t="s">
        <v>3783</v>
      </c>
      <c r="IHZ1115" s="379" t="s">
        <v>3783</v>
      </c>
      <c r="IIA1115" s="379" t="s">
        <v>3783</v>
      </c>
      <c r="IIB1115" s="379" t="s">
        <v>3783</v>
      </c>
      <c r="IIC1115" s="379" t="s">
        <v>3783</v>
      </c>
      <c r="IID1115" s="379" t="s">
        <v>3783</v>
      </c>
      <c r="IIE1115" s="379" t="s">
        <v>3783</v>
      </c>
      <c r="IIF1115" s="379" t="s">
        <v>3783</v>
      </c>
      <c r="IIG1115" s="379" t="s">
        <v>3783</v>
      </c>
      <c r="IIH1115" s="379" t="s">
        <v>3783</v>
      </c>
      <c r="III1115" s="379" t="s">
        <v>3783</v>
      </c>
      <c r="IIJ1115" s="379" t="s">
        <v>3783</v>
      </c>
      <c r="IIK1115" s="379" t="s">
        <v>3783</v>
      </c>
      <c r="IIL1115" s="379" t="s">
        <v>3783</v>
      </c>
      <c r="IIM1115" s="379" t="s">
        <v>3783</v>
      </c>
      <c r="IIN1115" s="379" t="s">
        <v>3783</v>
      </c>
      <c r="IIO1115" s="379" t="s">
        <v>3783</v>
      </c>
      <c r="IIP1115" s="379" t="s">
        <v>3783</v>
      </c>
      <c r="IIQ1115" s="379" t="s">
        <v>3783</v>
      </c>
      <c r="IIR1115" s="379" t="s">
        <v>3783</v>
      </c>
      <c r="IIS1115" s="379" t="s">
        <v>3783</v>
      </c>
      <c r="IIT1115" s="379" t="s">
        <v>3783</v>
      </c>
      <c r="IIU1115" s="379" t="s">
        <v>3783</v>
      </c>
      <c r="IIV1115" s="379" t="s">
        <v>3783</v>
      </c>
      <c r="IIW1115" s="379" t="s">
        <v>3783</v>
      </c>
      <c r="IIX1115" s="379" t="s">
        <v>3783</v>
      </c>
      <c r="IIY1115" s="379" t="s">
        <v>3783</v>
      </c>
      <c r="IIZ1115" s="379" t="s">
        <v>3783</v>
      </c>
      <c r="IJA1115" s="379" t="s">
        <v>3783</v>
      </c>
      <c r="IJB1115" s="379" t="s">
        <v>3783</v>
      </c>
      <c r="IJC1115" s="379" t="s">
        <v>3783</v>
      </c>
      <c r="IJD1115" s="379" t="s">
        <v>3783</v>
      </c>
      <c r="IJE1115" s="379" t="s">
        <v>3783</v>
      </c>
      <c r="IJF1115" s="379" t="s">
        <v>3783</v>
      </c>
      <c r="IJG1115" s="379" t="s">
        <v>3783</v>
      </c>
      <c r="IJH1115" s="379" t="s">
        <v>3783</v>
      </c>
      <c r="IJI1115" s="379" t="s">
        <v>3783</v>
      </c>
      <c r="IJJ1115" s="379" t="s">
        <v>3783</v>
      </c>
      <c r="IJK1115" s="379" t="s">
        <v>3783</v>
      </c>
      <c r="IJL1115" s="379" t="s">
        <v>3783</v>
      </c>
      <c r="IJM1115" s="379" t="s">
        <v>3783</v>
      </c>
      <c r="IJN1115" s="379" t="s">
        <v>3783</v>
      </c>
      <c r="IJO1115" s="379" t="s">
        <v>3783</v>
      </c>
      <c r="IJP1115" s="379" t="s">
        <v>3783</v>
      </c>
      <c r="IJQ1115" s="379" t="s">
        <v>3783</v>
      </c>
      <c r="IJR1115" s="379" t="s">
        <v>3783</v>
      </c>
      <c r="IJS1115" s="379" t="s">
        <v>3783</v>
      </c>
      <c r="IJT1115" s="379" t="s">
        <v>3783</v>
      </c>
      <c r="IJU1115" s="379" t="s">
        <v>3783</v>
      </c>
      <c r="IJV1115" s="379" t="s">
        <v>3783</v>
      </c>
      <c r="IJW1115" s="379" t="s">
        <v>3783</v>
      </c>
      <c r="IJX1115" s="379" t="s">
        <v>3783</v>
      </c>
      <c r="IJY1115" s="379" t="s">
        <v>3783</v>
      </c>
      <c r="IJZ1115" s="379" t="s">
        <v>3783</v>
      </c>
      <c r="IKA1115" s="379" t="s">
        <v>3783</v>
      </c>
      <c r="IKB1115" s="379" t="s">
        <v>3783</v>
      </c>
      <c r="IKC1115" s="379" t="s">
        <v>3783</v>
      </c>
      <c r="IKD1115" s="379" t="s">
        <v>3783</v>
      </c>
      <c r="IKE1115" s="379" t="s">
        <v>3783</v>
      </c>
      <c r="IKF1115" s="379" t="s">
        <v>3783</v>
      </c>
      <c r="IKG1115" s="379" t="s">
        <v>3783</v>
      </c>
      <c r="IKH1115" s="379" t="s">
        <v>3783</v>
      </c>
      <c r="IKI1115" s="379" t="s">
        <v>3783</v>
      </c>
      <c r="IKJ1115" s="379" t="s">
        <v>3783</v>
      </c>
      <c r="IKK1115" s="379" t="s">
        <v>3783</v>
      </c>
      <c r="IKL1115" s="379" t="s">
        <v>3783</v>
      </c>
      <c r="IKM1115" s="379" t="s">
        <v>3783</v>
      </c>
      <c r="IKN1115" s="379" t="s">
        <v>3783</v>
      </c>
      <c r="IKO1115" s="379" t="s">
        <v>3783</v>
      </c>
      <c r="IKP1115" s="379" t="s">
        <v>3783</v>
      </c>
      <c r="IKQ1115" s="379" t="s">
        <v>3783</v>
      </c>
      <c r="IKR1115" s="379" t="s">
        <v>3783</v>
      </c>
      <c r="IKS1115" s="379" t="s">
        <v>3783</v>
      </c>
      <c r="IKT1115" s="379" t="s">
        <v>3783</v>
      </c>
      <c r="IKU1115" s="379" t="s">
        <v>3783</v>
      </c>
      <c r="IKV1115" s="379" t="s">
        <v>3783</v>
      </c>
      <c r="IKW1115" s="379" t="s">
        <v>3783</v>
      </c>
      <c r="IKX1115" s="379" t="s">
        <v>3783</v>
      </c>
      <c r="IKY1115" s="379" t="s">
        <v>3783</v>
      </c>
      <c r="IKZ1115" s="379" t="s">
        <v>3783</v>
      </c>
      <c r="ILA1115" s="379" t="s">
        <v>3783</v>
      </c>
      <c r="ILB1115" s="379" t="s">
        <v>3783</v>
      </c>
      <c r="ILC1115" s="379" t="s">
        <v>3783</v>
      </c>
      <c r="ILD1115" s="379" t="s">
        <v>3783</v>
      </c>
      <c r="ILE1115" s="379" t="s">
        <v>3783</v>
      </c>
      <c r="ILF1115" s="379" t="s">
        <v>3783</v>
      </c>
      <c r="ILG1115" s="379" t="s">
        <v>3783</v>
      </c>
      <c r="ILH1115" s="379" t="s">
        <v>3783</v>
      </c>
      <c r="ILI1115" s="379" t="s">
        <v>3783</v>
      </c>
      <c r="ILJ1115" s="379" t="s">
        <v>3783</v>
      </c>
      <c r="ILK1115" s="379" t="s">
        <v>3783</v>
      </c>
      <c r="ILL1115" s="379" t="s">
        <v>3783</v>
      </c>
      <c r="ILM1115" s="379" t="s">
        <v>3783</v>
      </c>
      <c r="ILN1115" s="379" t="s">
        <v>3783</v>
      </c>
      <c r="ILO1115" s="379" t="s">
        <v>3783</v>
      </c>
      <c r="ILP1115" s="379" t="s">
        <v>3783</v>
      </c>
      <c r="ILQ1115" s="379" t="s">
        <v>3783</v>
      </c>
      <c r="ILR1115" s="379" t="s">
        <v>3783</v>
      </c>
      <c r="ILS1115" s="379" t="s">
        <v>3783</v>
      </c>
      <c r="ILT1115" s="379" t="s">
        <v>3783</v>
      </c>
      <c r="ILU1115" s="379" t="s">
        <v>3783</v>
      </c>
      <c r="ILV1115" s="379" t="s">
        <v>3783</v>
      </c>
      <c r="ILW1115" s="379" t="s">
        <v>3783</v>
      </c>
      <c r="ILX1115" s="379" t="s">
        <v>3783</v>
      </c>
      <c r="ILY1115" s="379" t="s">
        <v>3783</v>
      </c>
      <c r="ILZ1115" s="379" t="s">
        <v>3783</v>
      </c>
      <c r="IMA1115" s="379" t="s">
        <v>3783</v>
      </c>
      <c r="IMB1115" s="379" t="s">
        <v>3783</v>
      </c>
      <c r="IMC1115" s="379" t="s">
        <v>3783</v>
      </c>
      <c r="IMD1115" s="379" t="s">
        <v>3783</v>
      </c>
      <c r="IME1115" s="379" t="s">
        <v>3783</v>
      </c>
      <c r="IMF1115" s="379" t="s">
        <v>3783</v>
      </c>
      <c r="IMG1115" s="379" t="s">
        <v>3783</v>
      </c>
      <c r="IMH1115" s="379" t="s">
        <v>3783</v>
      </c>
      <c r="IMI1115" s="379" t="s">
        <v>3783</v>
      </c>
      <c r="IMJ1115" s="379" t="s">
        <v>3783</v>
      </c>
      <c r="IMK1115" s="379" t="s">
        <v>3783</v>
      </c>
      <c r="IML1115" s="379" t="s">
        <v>3783</v>
      </c>
      <c r="IMM1115" s="379" t="s">
        <v>3783</v>
      </c>
      <c r="IMN1115" s="379" t="s">
        <v>3783</v>
      </c>
      <c r="IMO1115" s="379" t="s">
        <v>3783</v>
      </c>
      <c r="IMP1115" s="379" t="s">
        <v>3783</v>
      </c>
      <c r="IMQ1115" s="379" t="s">
        <v>3783</v>
      </c>
      <c r="IMR1115" s="379" t="s">
        <v>3783</v>
      </c>
      <c r="IMS1115" s="379" t="s">
        <v>3783</v>
      </c>
      <c r="IMT1115" s="379" t="s">
        <v>3783</v>
      </c>
      <c r="IMU1115" s="379" t="s">
        <v>3783</v>
      </c>
      <c r="IMV1115" s="379" t="s">
        <v>3783</v>
      </c>
      <c r="IMW1115" s="379" t="s">
        <v>3783</v>
      </c>
      <c r="IMX1115" s="379" t="s">
        <v>3783</v>
      </c>
      <c r="IMY1115" s="379" t="s">
        <v>3783</v>
      </c>
      <c r="IMZ1115" s="379" t="s">
        <v>3783</v>
      </c>
      <c r="INA1115" s="379" t="s">
        <v>3783</v>
      </c>
      <c r="INB1115" s="379" t="s">
        <v>3783</v>
      </c>
      <c r="INC1115" s="379" t="s">
        <v>3783</v>
      </c>
      <c r="IND1115" s="379" t="s">
        <v>3783</v>
      </c>
      <c r="INE1115" s="379" t="s">
        <v>3783</v>
      </c>
      <c r="INF1115" s="379" t="s">
        <v>3783</v>
      </c>
      <c r="ING1115" s="379" t="s">
        <v>3783</v>
      </c>
      <c r="INH1115" s="379" t="s">
        <v>3783</v>
      </c>
      <c r="INI1115" s="379" t="s">
        <v>3783</v>
      </c>
      <c r="INJ1115" s="379" t="s">
        <v>3783</v>
      </c>
      <c r="INK1115" s="379" t="s">
        <v>3783</v>
      </c>
      <c r="INL1115" s="379" t="s">
        <v>3783</v>
      </c>
      <c r="INM1115" s="379" t="s">
        <v>3783</v>
      </c>
      <c r="INN1115" s="379" t="s">
        <v>3783</v>
      </c>
      <c r="INO1115" s="379" t="s">
        <v>3783</v>
      </c>
      <c r="INP1115" s="379" t="s">
        <v>3783</v>
      </c>
      <c r="INQ1115" s="379" t="s">
        <v>3783</v>
      </c>
      <c r="INR1115" s="379" t="s">
        <v>3783</v>
      </c>
      <c r="INS1115" s="379" t="s">
        <v>3783</v>
      </c>
      <c r="INT1115" s="379" t="s">
        <v>3783</v>
      </c>
      <c r="INU1115" s="379" t="s">
        <v>3783</v>
      </c>
      <c r="INV1115" s="379" t="s">
        <v>3783</v>
      </c>
      <c r="INW1115" s="379" t="s">
        <v>3783</v>
      </c>
      <c r="INX1115" s="379" t="s">
        <v>3783</v>
      </c>
      <c r="INY1115" s="379" t="s">
        <v>3783</v>
      </c>
      <c r="INZ1115" s="379" t="s">
        <v>3783</v>
      </c>
      <c r="IOA1115" s="379" t="s">
        <v>3783</v>
      </c>
      <c r="IOB1115" s="379" t="s">
        <v>3783</v>
      </c>
      <c r="IOC1115" s="379" t="s">
        <v>3783</v>
      </c>
      <c r="IOD1115" s="379" t="s">
        <v>3783</v>
      </c>
      <c r="IOE1115" s="379" t="s">
        <v>3783</v>
      </c>
      <c r="IOF1115" s="379" t="s">
        <v>3783</v>
      </c>
      <c r="IOG1115" s="379" t="s">
        <v>3783</v>
      </c>
      <c r="IOH1115" s="379" t="s">
        <v>3783</v>
      </c>
      <c r="IOI1115" s="379" t="s">
        <v>3783</v>
      </c>
      <c r="IOJ1115" s="379" t="s">
        <v>3783</v>
      </c>
      <c r="IOK1115" s="379" t="s">
        <v>3783</v>
      </c>
      <c r="IOL1115" s="379" t="s">
        <v>3783</v>
      </c>
      <c r="IOM1115" s="379" t="s">
        <v>3783</v>
      </c>
      <c r="ION1115" s="379" t="s">
        <v>3783</v>
      </c>
      <c r="IOO1115" s="379" t="s">
        <v>3783</v>
      </c>
      <c r="IOP1115" s="379" t="s">
        <v>3783</v>
      </c>
      <c r="IOQ1115" s="379" t="s">
        <v>3783</v>
      </c>
      <c r="IOR1115" s="379" t="s">
        <v>3783</v>
      </c>
      <c r="IOS1115" s="379" t="s">
        <v>3783</v>
      </c>
      <c r="IOT1115" s="379" t="s">
        <v>3783</v>
      </c>
      <c r="IOU1115" s="379" t="s">
        <v>3783</v>
      </c>
      <c r="IOV1115" s="379" t="s">
        <v>3783</v>
      </c>
      <c r="IOW1115" s="379" t="s">
        <v>3783</v>
      </c>
      <c r="IOX1115" s="379" t="s">
        <v>3783</v>
      </c>
      <c r="IOY1115" s="379" t="s">
        <v>3783</v>
      </c>
      <c r="IOZ1115" s="379" t="s">
        <v>3783</v>
      </c>
      <c r="IPA1115" s="379" t="s">
        <v>3783</v>
      </c>
      <c r="IPB1115" s="379" t="s">
        <v>3783</v>
      </c>
      <c r="IPC1115" s="379" t="s">
        <v>3783</v>
      </c>
      <c r="IPD1115" s="379" t="s">
        <v>3783</v>
      </c>
      <c r="IPE1115" s="379" t="s">
        <v>3783</v>
      </c>
      <c r="IPF1115" s="379" t="s">
        <v>3783</v>
      </c>
      <c r="IPG1115" s="379" t="s">
        <v>3783</v>
      </c>
      <c r="IPH1115" s="379" t="s">
        <v>3783</v>
      </c>
      <c r="IPI1115" s="379" t="s">
        <v>3783</v>
      </c>
      <c r="IPJ1115" s="379" t="s">
        <v>3783</v>
      </c>
      <c r="IPK1115" s="379" t="s">
        <v>3783</v>
      </c>
      <c r="IPL1115" s="379" t="s">
        <v>3783</v>
      </c>
      <c r="IPM1115" s="379" t="s">
        <v>3783</v>
      </c>
      <c r="IPN1115" s="379" t="s">
        <v>3783</v>
      </c>
      <c r="IPO1115" s="379" t="s">
        <v>3783</v>
      </c>
      <c r="IPP1115" s="379" t="s">
        <v>3783</v>
      </c>
      <c r="IPQ1115" s="379" t="s">
        <v>3783</v>
      </c>
      <c r="IPR1115" s="379" t="s">
        <v>3783</v>
      </c>
      <c r="IPS1115" s="379" t="s">
        <v>3783</v>
      </c>
      <c r="IPT1115" s="379" t="s">
        <v>3783</v>
      </c>
      <c r="IPU1115" s="379" t="s">
        <v>3783</v>
      </c>
      <c r="IPV1115" s="379" t="s">
        <v>3783</v>
      </c>
      <c r="IPW1115" s="379" t="s">
        <v>3783</v>
      </c>
      <c r="IPX1115" s="379" t="s">
        <v>3783</v>
      </c>
      <c r="IPY1115" s="379" t="s">
        <v>3783</v>
      </c>
      <c r="IPZ1115" s="379" t="s">
        <v>3783</v>
      </c>
      <c r="IQA1115" s="379" t="s">
        <v>3783</v>
      </c>
      <c r="IQB1115" s="379" t="s">
        <v>3783</v>
      </c>
      <c r="IQC1115" s="379" t="s">
        <v>3783</v>
      </c>
      <c r="IQD1115" s="379" t="s">
        <v>3783</v>
      </c>
      <c r="IQE1115" s="379" t="s">
        <v>3783</v>
      </c>
      <c r="IQF1115" s="379" t="s">
        <v>3783</v>
      </c>
      <c r="IQG1115" s="379" t="s">
        <v>3783</v>
      </c>
      <c r="IQH1115" s="379" t="s">
        <v>3783</v>
      </c>
      <c r="IQI1115" s="379" t="s">
        <v>3783</v>
      </c>
      <c r="IQJ1115" s="379" t="s">
        <v>3783</v>
      </c>
      <c r="IQK1115" s="379" t="s">
        <v>3783</v>
      </c>
      <c r="IQL1115" s="379" t="s">
        <v>3783</v>
      </c>
      <c r="IQM1115" s="379" t="s">
        <v>3783</v>
      </c>
      <c r="IQN1115" s="379" t="s">
        <v>3783</v>
      </c>
      <c r="IQO1115" s="379" t="s">
        <v>3783</v>
      </c>
      <c r="IQP1115" s="379" t="s">
        <v>3783</v>
      </c>
      <c r="IQQ1115" s="379" t="s">
        <v>3783</v>
      </c>
      <c r="IQR1115" s="379" t="s">
        <v>3783</v>
      </c>
      <c r="IQS1115" s="379" t="s">
        <v>3783</v>
      </c>
      <c r="IQT1115" s="379" t="s">
        <v>3783</v>
      </c>
      <c r="IQU1115" s="379" t="s">
        <v>3783</v>
      </c>
      <c r="IQV1115" s="379" t="s">
        <v>3783</v>
      </c>
      <c r="IQW1115" s="379" t="s">
        <v>3783</v>
      </c>
      <c r="IQX1115" s="379" t="s">
        <v>3783</v>
      </c>
      <c r="IQY1115" s="379" t="s">
        <v>3783</v>
      </c>
      <c r="IQZ1115" s="379" t="s">
        <v>3783</v>
      </c>
      <c r="IRA1115" s="379" t="s">
        <v>3783</v>
      </c>
      <c r="IRB1115" s="379" t="s">
        <v>3783</v>
      </c>
      <c r="IRC1115" s="379" t="s">
        <v>3783</v>
      </c>
      <c r="IRD1115" s="379" t="s">
        <v>3783</v>
      </c>
      <c r="IRE1115" s="379" t="s">
        <v>3783</v>
      </c>
      <c r="IRF1115" s="379" t="s">
        <v>3783</v>
      </c>
      <c r="IRG1115" s="379" t="s">
        <v>3783</v>
      </c>
      <c r="IRH1115" s="379" t="s">
        <v>3783</v>
      </c>
      <c r="IRI1115" s="379" t="s">
        <v>3783</v>
      </c>
      <c r="IRJ1115" s="379" t="s">
        <v>3783</v>
      </c>
      <c r="IRK1115" s="379" t="s">
        <v>3783</v>
      </c>
      <c r="IRL1115" s="379" t="s">
        <v>3783</v>
      </c>
      <c r="IRM1115" s="379" t="s">
        <v>3783</v>
      </c>
      <c r="IRN1115" s="379" t="s">
        <v>3783</v>
      </c>
      <c r="IRO1115" s="379" t="s">
        <v>3783</v>
      </c>
      <c r="IRP1115" s="379" t="s">
        <v>3783</v>
      </c>
      <c r="IRQ1115" s="379" t="s">
        <v>3783</v>
      </c>
      <c r="IRR1115" s="379" t="s">
        <v>3783</v>
      </c>
      <c r="IRS1115" s="379" t="s">
        <v>3783</v>
      </c>
      <c r="IRT1115" s="379" t="s">
        <v>3783</v>
      </c>
      <c r="IRU1115" s="379" t="s">
        <v>3783</v>
      </c>
      <c r="IRV1115" s="379" t="s">
        <v>3783</v>
      </c>
      <c r="IRW1115" s="379" t="s">
        <v>3783</v>
      </c>
      <c r="IRX1115" s="379" t="s">
        <v>3783</v>
      </c>
      <c r="IRY1115" s="379" t="s">
        <v>3783</v>
      </c>
      <c r="IRZ1115" s="379" t="s">
        <v>3783</v>
      </c>
      <c r="ISA1115" s="379" t="s">
        <v>3783</v>
      </c>
      <c r="ISB1115" s="379" t="s">
        <v>3783</v>
      </c>
      <c r="ISC1115" s="379" t="s">
        <v>3783</v>
      </c>
      <c r="ISD1115" s="379" t="s">
        <v>3783</v>
      </c>
      <c r="ISE1115" s="379" t="s">
        <v>3783</v>
      </c>
      <c r="ISF1115" s="379" t="s">
        <v>3783</v>
      </c>
      <c r="ISG1115" s="379" t="s">
        <v>3783</v>
      </c>
      <c r="ISH1115" s="379" t="s">
        <v>3783</v>
      </c>
      <c r="ISI1115" s="379" t="s">
        <v>3783</v>
      </c>
      <c r="ISJ1115" s="379" t="s">
        <v>3783</v>
      </c>
      <c r="ISK1115" s="379" t="s">
        <v>3783</v>
      </c>
      <c r="ISL1115" s="379" t="s">
        <v>3783</v>
      </c>
      <c r="ISM1115" s="379" t="s">
        <v>3783</v>
      </c>
      <c r="ISN1115" s="379" t="s">
        <v>3783</v>
      </c>
      <c r="ISO1115" s="379" t="s">
        <v>3783</v>
      </c>
      <c r="ISP1115" s="379" t="s">
        <v>3783</v>
      </c>
      <c r="ISQ1115" s="379" t="s">
        <v>3783</v>
      </c>
      <c r="ISR1115" s="379" t="s">
        <v>3783</v>
      </c>
      <c r="ISS1115" s="379" t="s">
        <v>3783</v>
      </c>
      <c r="IST1115" s="379" t="s">
        <v>3783</v>
      </c>
      <c r="ISU1115" s="379" t="s">
        <v>3783</v>
      </c>
      <c r="ISV1115" s="379" t="s">
        <v>3783</v>
      </c>
      <c r="ISW1115" s="379" t="s">
        <v>3783</v>
      </c>
      <c r="ISX1115" s="379" t="s">
        <v>3783</v>
      </c>
      <c r="ISY1115" s="379" t="s">
        <v>3783</v>
      </c>
      <c r="ISZ1115" s="379" t="s">
        <v>3783</v>
      </c>
      <c r="ITA1115" s="379" t="s">
        <v>3783</v>
      </c>
      <c r="ITB1115" s="379" t="s">
        <v>3783</v>
      </c>
      <c r="ITC1115" s="379" t="s">
        <v>3783</v>
      </c>
      <c r="ITD1115" s="379" t="s">
        <v>3783</v>
      </c>
      <c r="ITE1115" s="379" t="s">
        <v>3783</v>
      </c>
      <c r="ITF1115" s="379" t="s">
        <v>3783</v>
      </c>
      <c r="ITG1115" s="379" t="s">
        <v>3783</v>
      </c>
      <c r="ITH1115" s="379" t="s">
        <v>3783</v>
      </c>
      <c r="ITI1115" s="379" t="s">
        <v>3783</v>
      </c>
      <c r="ITJ1115" s="379" t="s">
        <v>3783</v>
      </c>
      <c r="ITK1115" s="379" t="s">
        <v>3783</v>
      </c>
      <c r="ITL1115" s="379" t="s">
        <v>3783</v>
      </c>
      <c r="ITM1115" s="379" t="s">
        <v>3783</v>
      </c>
      <c r="ITN1115" s="379" t="s">
        <v>3783</v>
      </c>
      <c r="ITO1115" s="379" t="s">
        <v>3783</v>
      </c>
      <c r="ITP1115" s="379" t="s">
        <v>3783</v>
      </c>
      <c r="ITQ1115" s="379" t="s">
        <v>3783</v>
      </c>
      <c r="ITR1115" s="379" t="s">
        <v>3783</v>
      </c>
      <c r="ITS1115" s="379" t="s">
        <v>3783</v>
      </c>
      <c r="ITT1115" s="379" t="s">
        <v>3783</v>
      </c>
      <c r="ITU1115" s="379" t="s">
        <v>3783</v>
      </c>
      <c r="ITV1115" s="379" t="s">
        <v>3783</v>
      </c>
      <c r="ITW1115" s="379" t="s">
        <v>3783</v>
      </c>
      <c r="ITX1115" s="379" t="s">
        <v>3783</v>
      </c>
      <c r="ITY1115" s="379" t="s">
        <v>3783</v>
      </c>
      <c r="ITZ1115" s="379" t="s">
        <v>3783</v>
      </c>
      <c r="IUA1115" s="379" t="s">
        <v>3783</v>
      </c>
      <c r="IUB1115" s="379" t="s">
        <v>3783</v>
      </c>
      <c r="IUC1115" s="379" t="s">
        <v>3783</v>
      </c>
      <c r="IUD1115" s="379" t="s">
        <v>3783</v>
      </c>
      <c r="IUE1115" s="379" t="s">
        <v>3783</v>
      </c>
      <c r="IUF1115" s="379" t="s">
        <v>3783</v>
      </c>
      <c r="IUG1115" s="379" t="s">
        <v>3783</v>
      </c>
      <c r="IUH1115" s="379" t="s">
        <v>3783</v>
      </c>
      <c r="IUI1115" s="379" t="s">
        <v>3783</v>
      </c>
      <c r="IUJ1115" s="379" t="s">
        <v>3783</v>
      </c>
      <c r="IUK1115" s="379" t="s">
        <v>3783</v>
      </c>
      <c r="IUL1115" s="379" t="s">
        <v>3783</v>
      </c>
      <c r="IUM1115" s="379" t="s">
        <v>3783</v>
      </c>
      <c r="IUN1115" s="379" t="s">
        <v>3783</v>
      </c>
      <c r="IUO1115" s="379" t="s">
        <v>3783</v>
      </c>
      <c r="IUP1115" s="379" t="s">
        <v>3783</v>
      </c>
      <c r="IUQ1115" s="379" t="s">
        <v>3783</v>
      </c>
      <c r="IUR1115" s="379" t="s">
        <v>3783</v>
      </c>
      <c r="IUS1115" s="379" t="s">
        <v>3783</v>
      </c>
      <c r="IUT1115" s="379" t="s">
        <v>3783</v>
      </c>
      <c r="IUU1115" s="379" t="s">
        <v>3783</v>
      </c>
      <c r="IUV1115" s="379" t="s">
        <v>3783</v>
      </c>
      <c r="IUW1115" s="379" t="s">
        <v>3783</v>
      </c>
      <c r="IUX1115" s="379" t="s">
        <v>3783</v>
      </c>
      <c r="IUY1115" s="379" t="s">
        <v>3783</v>
      </c>
      <c r="IUZ1115" s="379" t="s">
        <v>3783</v>
      </c>
      <c r="IVA1115" s="379" t="s">
        <v>3783</v>
      </c>
      <c r="IVB1115" s="379" t="s">
        <v>3783</v>
      </c>
      <c r="IVC1115" s="379" t="s">
        <v>3783</v>
      </c>
      <c r="IVD1115" s="379" t="s">
        <v>3783</v>
      </c>
      <c r="IVE1115" s="379" t="s">
        <v>3783</v>
      </c>
      <c r="IVF1115" s="379" t="s">
        <v>3783</v>
      </c>
      <c r="IVG1115" s="379" t="s">
        <v>3783</v>
      </c>
      <c r="IVH1115" s="379" t="s">
        <v>3783</v>
      </c>
      <c r="IVI1115" s="379" t="s">
        <v>3783</v>
      </c>
      <c r="IVJ1115" s="379" t="s">
        <v>3783</v>
      </c>
      <c r="IVK1115" s="379" t="s">
        <v>3783</v>
      </c>
      <c r="IVL1115" s="379" t="s">
        <v>3783</v>
      </c>
      <c r="IVM1115" s="379" t="s">
        <v>3783</v>
      </c>
      <c r="IVN1115" s="379" t="s">
        <v>3783</v>
      </c>
      <c r="IVO1115" s="379" t="s">
        <v>3783</v>
      </c>
      <c r="IVP1115" s="379" t="s">
        <v>3783</v>
      </c>
      <c r="IVQ1115" s="379" t="s">
        <v>3783</v>
      </c>
      <c r="IVR1115" s="379" t="s">
        <v>3783</v>
      </c>
      <c r="IVS1115" s="379" t="s">
        <v>3783</v>
      </c>
      <c r="IVT1115" s="379" t="s">
        <v>3783</v>
      </c>
      <c r="IVU1115" s="379" t="s">
        <v>3783</v>
      </c>
      <c r="IVV1115" s="379" t="s">
        <v>3783</v>
      </c>
      <c r="IVW1115" s="379" t="s">
        <v>3783</v>
      </c>
      <c r="IVX1115" s="379" t="s">
        <v>3783</v>
      </c>
      <c r="IVY1115" s="379" t="s">
        <v>3783</v>
      </c>
      <c r="IVZ1115" s="379" t="s">
        <v>3783</v>
      </c>
      <c r="IWA1115" s="379" t="s">
        <v>3783</v>
      </c>
      <c r="IWB1115" s="379" t="s">
        <v>3783</v>
      </c>
      <c r="IWC1115" s="379" t="s">
        <v>3783</v>
      </c>
      <c r="IWD1115" s="379" t="s">
        <v>3783</v>
      </c>
      <c r="IWE1115" s="379" t="s">
        <v>3783</v>
      </c>
      <c r="IWF1115" s="379" t="s">
        <v>3783</v>
      </c>
      <c r="IWG1115" s="379" t="s">
        <v>3783</v>
      </c>
      <c r="IWH1115" s="379" t="s">
        <v>3783</v>
      </c>
      <c r="IWI1115" s="379" t="s">
        <v>3783</v>
      </c>
      <c r="IWJ1115" s="379" t="s">
        <v>3783</v>
      </c>
      <c r="IWK1115" s="379" t="s">
        <v>3783</v>
      </c>
      <c r="IWL1115" s="379" t="s">
        <v>3783</v>
      </c>
      <c r="IWM1115" s="379" t="s">
        <v>3783</v>
      </c>
      <c r="IWN1115" s="379" t="s">
        <v>3783</v>
      </c>
      <c r="IWO1115" s="379" t="s">
        <v>3783</v>
      </c>
      <c r="IWP1115" s="379" t="s">
        <v>3783</v>
      </c>
      <c r="IWQ1115" s="379" t="s">
        <v>3783</v>
      </c>
      <c r="IWR1115" s="379" t="s">
        <v>3783</v>
      </c>
      <c r="IWS1115" s="379" t="s">
        <v>3783</v>
      </c>
      <c r="IWT1115" s="379" t="s">
        <v>3783</v>
      </c>
      <c r="IWU1115" s="379" t="s">
        <v>3783</v>
      </c>
      <c r="IWV1115" s="379" t="s">
        <v>3783</v>
      </c>
      <c r="IWW1115" s="379" t="s">
        <v>3783</v>
      </c>
      <c r="IWX1115" s="379" t="s">
        <v>3783</v>
      </c>
      <c r="IWY1115" s="379" t="s">
        <v>3783</v>
      </c>
      <c r="IWZ1115" s="379" t="s">
        <v>3783</v>
      </c>
      <c r="IXA1115" s="379" t="s">
        <v>3783</v>
      </c>
      <c r="IXB1115" s="379" t="s">
        <v>3783</v>
      </c>
      <c r="IXC1115" s="379" t="s">
        <v>3783</v>
      </c>
      <c r="IXD1115" s="379" t="s">
        <v>3783</v>
      </c>
      <c r="IXE1115" s="379" t="s">
        <v>3783</v>
      </c>
      <c r="IXF1115" s="379" t="s">
        <v>3783</v>
      </c>
      <c r="IXG1115" s="379" t="s">
        <v>3783</v>
      </c>
      <c r="IXH1115" s="379" t="s">
        <v>3783</v>
      </c>
      <c r="IXI1115" s="379" t="s">
        <v>3783</v>
      </c>
      <c r="IXJ1115" s="379" t="s">
        <v>3783</v>
      </c>
      <c r="IXK1115" s="379" t="s">
        <v>3783</v>
      </c>
      <c r="IXL1115" s="379" t="s">
        <v>3783</v>
      </c>
      <c r="IXM1115" s="379" t="s">
        <v>3783</v>
      </c>
      <c r="IXN1115" s="379" t="s">
        <v>3783</v>
      </c>
      <c r="IXO1115" s="379" t="s">
        <v>3783</v>
      </c>
      <c r="IXP1115" s="379" t="s">
        <v>3783</v>
      </c>
      <c r="IXQ1115" s="379" t="s">
        <v>3783</v>
      </c>
      <c r="IXR1115" s="379" t="s">
        <v>3783</v>
      </c>
      <c r="IXS1115" s="379" t="s">
        <v>3783</v>
      </c>
      <c r="IXT1115" s="379" t="s">
        <v>3783</v>
      </c>
      <c r="IXU1115" s="379" t="s">
        <v>3783</v>
      </c>
      <c r="IXV1115" s="379" t="s">
        <v>3783</v>
      </c>
      <c r="IXW1115" s="379" t="s">
        <v>3783</v>
      </c>
      <c r="IXX1115" s="379" t="s">
        <v>3783</v>
      </c>
      <c r="IXY1115" s="379" t="s">
        <v>3783</v>
      </c>
      <c r="IXZ1115" s="379" t="s">
        <v>3783</v>
      </c>
      <c r="IYA1115" s="379" t="s">
        <v>3783</v>
      </c>
      <c r="IYB1115" s="379" t="s">
        <v>3783</v>
      </c>
      <c r="IYC1115" s="379" t="s">
        <v>3783</v>
      </c>
      <c r="IYD1115" s="379" t="s">
        <v>3783</v>
      </c>
      <c r="IYE1115" s="379" t="s">
        <v>3783</v>
      </c>
      <c r="IYF1115" s="379" t="s">
        <v>3783</v>
      </c>
      <c r="IYG1115" s="379" t="s">
        <v>3783</v>
      </c>
      <c r="IYH1115" s="379" t="s">
        <v>3783</v>
      </c>
      <c r="IYI1115" s="379" t="s">
        <v>3783</v>
      </c>
      <c r="IYJ1115" s="379" t="s">
        <v>3783</v>
      </c>
      <c r="IYK1115" s="379" t="s">
        <v>3783</v>
      </c>
      <c r="IYL1115" s="379" t="s">
        <v>3783</v>
      </c>
      <c r="IYM1115" s="379" t="s">
        <v>3783</v>
      </c>
      <c r="IYN1115" s="379" t="s">
        <v>3783</v>
      </c>
      <c r="IYO1115" s="379" t="s">
        <v>3783</v>
      </c>
      <c r="IYP1115" s="379" t="s">
        <v>3783</v>
      </c>
      <c r="IYQ1115" s="379" t="s">
        <v>3783</v>
      </c>
      <c r="IYR1115" s="379" t="s">
        <v>3783</v>
      </c>
      <c r="IYS1115" s="379" t="s">
        <v>3783</v>
      </c>
      <c r="IYT1115" s="379" t="s">
        <v>3783</v>
      </c>
      <c r="IYU1115" s="379" t="s">
        <v>3783</v>
      </c>
      <c r="IYV1115" s="379" t="s">
        <v>3783</v>
      </c>
      <c r="IYW1115" s="379" t="s">
        <v>3783</v>
      </c>
      <c r="IYX1115" s="379" t="s">
        <v>3783</v>
      </c>
      <c r="IYY1115" s="379" t="s">
        <v>3783</v>
      </c>
      <c r="IYZ1115" s="379" t="s">
        <v>3783</v>
      </c>
      <c r="IZA1115" s="379" t="s">
        <v>3783</v>
      </c>
      <c r="IZB1115" s="379" t="s">
        <v>3783</v>
      </c>
      <c r="IZC1115" s="379" t="s">
        <v>3783</v>
      </c>
      <c r="IZD1115" s="379" t="s">
        <v>3783</v>
      </c>
      <c r="IZE1115" s="379" t="s">
        <v>3783</v>
      </c>
      <c r="IZF1115" s="379" t="s">
        <v>3783</v>
      </c>
      <c r="IZG1115" s="379" t="s">
        <v>3783</v>
      </c>
      <c r="IZH1115" s="379" t="s">
        <v>3783</v>
      </c>
      <c r="IZI1115" s="379" t="s">
        <v>3783</v>
      </c>
      <c r="IZJ1115" s="379" t="s">
        <v>3783</v>
      </c>
      <c r="IZK1115" s="379" t="s">
        <v>3783</v>
      </c>
      <c r="IZL1115" s="379" t="s">
        <v>3783</v>
      </c>
      <c r="IZM1115" s="379" t="s">
        <v>3783</v>
      </c>
      <c r="IZN1115" s="379" t="s">
        <v>3783</v>
      </c>
      <c r="IZO1115" s="379" t="s">
        <v>3783</v>
      </c>
      <c r="IZP1115" s="379" t="s">
        <v>3783</v>
      </c>
      <c r="IZQ1115" s="379" t="s">
        <v>3783</v>
      </c>
      <c r="IZR1115" s="379" t="s">
        <v>3783</v>
      </c>
      <c r="IZS1115" s="379" t="s">
        <v>3783</v>
      </c>
      <c r="IZT1115" s="379" t="s">
        <v>3783</v>
      </c>
      <c r="IZU1115" s="379" t="s">
        <v>3783</v>
      </c>
      <c r="IZV1115" s="379" t="s">
        <v>3783</v>
      </c>
      <c r="IZW1115" s="379" t="s">
        <v>3783</v>
      </c>
      <c r="IZX1115" s="379" t="s">
        <v>3783</v>
      </c>
      <c r="IZY1115" s="379" t="s">
        <v>3783</v>
      </c>
      <c r="IZZ1115" s="379" t="s">
        <v>3783</v>
      </c>
      <c r="JAA1115" s="379" t="s">
        <v>3783</v>
      </c>
      <c r="JAB1115" s="379" t="s">
        <v>3783</v>
      </c>
      <c r="JAC1115" s="379" t="s">
        <v>3783</v>
      </c>
      <c r="JAD1115" s="379" t="s">
        <v>3783</v>
      </c>
      <c r="JAE1115" s="379" t="s">
        <v>3783</v>
      </c>
      <c r="JAF1115" s="379" t="s">
        <v>3783</v>
      </c>
      <c r="JAG1115" s="379" t="s">
        <v>3783</v>
      </c>
      <c r="JAH1115" s="379" t="s">
        <v>3783</v>
      </c>
      <c r="JAI1115" s="379" t="s">
        <v>3783</v>
      </c>
      <c r="JAJ1115" s="379" t="s">
        <v>3783</v>
      </c>
      <c r="JAK1115" s="379" t="s">
        <v>3783</v>
      </c>
      <c r="JAL1115" s="379" t="s">
        <v>3783</v>
      </c>
      <c r="JAM1115" s="379" t="s">
        <v>3783</v>
      </c>
      <c r="JAN1115" s="379" t="s">
        <v>3783</v>
      </c>
      <c r="JAO1115" s="379" t="s">
        <v>3783</v>
      </c>
      <c r="JAP1115" s="379" t="s">
        <v>3783</v>
      </c>
      <c r="JAQ1115" s="379" t="s">
        <v>3783</v>
      </c>
      <c r="JAR1115" s="379" t="s">
        <v>3783</v>
      </c>
      <c r="JAS1115" s="379" t="s">
        <v>3783</v>
      </c>
      <c r="JAT1115" s="379" t="s">
        <v>3783</v>
      </c>
      <c r="JAU1115" s="379" t="s">
        <v>3783</v>
      </c>
      <c r="JAV1115" s="379" t="s">
        <v>3783</v>
      </c>
      <c r="JAW1115" s="379" t="s">
        <v>3783</v>
      </c>
      <c r="JAX1115" s="379" t="s">
        <v>3783</v>
      </c>
      <c r="JAY1115" s="379" t="s">
        <v>3783</v>
      </c>
      <c r="JAZ1115" s="379" t="s">
        <v>3783</v>
      </c>
      <c r="JBA1115" s="379" t="s">
        <v>3783</v>
      </c>
      <c r="JBB1115" s="379" t="s">
        <v>3783</v>
      </c>
      <c r="JBC1115" s="379" t="s">
        <v>3783</v>
      </c>
      <c r="JBD1115" s="379" t="s">
        <v>3783</v>
      </c>
      <c r="JBE1115" s="379" t="s">
        <v>3783</v>
      </c>
      <c r="JBF1115" s="379" t="s">
        <v>3783</v>
      </c>
      <c r="JBG1115" s="379" t="s">
        <v>3783</v>
      </c>
      <c r="JBH1115" s="379" t="s">
        <v>3783</v>
      </c>
      <c r="JBI1115" s="379" t="s">
        <v>3783</v>
      </c>
      <c r="JBJ1115" s="379" t="s">
        <v>3783</v>
      </c>
      <c r="JBK1115" s="379" t="s">
        <v>3783</v>
      </c>
      <c r="JBL1115" s="379" t="s">
        <v>3783</v>
      </c>
      <c r="JBM1115" s="379" t="s">
        <v>3783</v>
      </c>
      <c r="JBN1115" s="379" t="s">
        <v>3783</v>
      </c>
      <c r="JBO1115" s="379" t="s">
        <v>3783</v>
      </c>
      <c r="JBP1115" s="379" t="s">
        <v>3783</v>
      </c>
      <c r="JBQ1115" s="379" t="s">
        <v>3783</v>
      </c>
      <c r="JBR1115" s="379" t="s">
        <v>3783</v>
      </c>
      <c r="JBS1115" s="379" t="s">
        <v>3783</v>
      </c>
      <c r="JBT1115" s="379" t="s">
        <v>3783</v>
      </c>
      <c r="JBU1115" s="379" t="s">
        <v>3783</v>
      </c>
      <c r="JBV1115" s="379" t="s">
        <v>3783</v>
      </c>
      <c r="JBW1115" s="379" t="s">
        <v>3783</v>
      </c>
      <c r="JBX1115" s="379" t="s">
        <v>3783</v>
      </c>
      <c r="JBY1115" s="379" t="s">
        <v>3783</v>
      </c>
      <c r="JBZ1115" s="379" t="s">
        <v>3783</v>
      </c>
      <c r="JCA1115" s="379" t="s">
        <v>3783</v>
      </c>
      <c r="JCB1115" s="379" t="s">
        <v>3783</v>
      </c>
      <c r="JCC1115" s="379" t="s">
        <v>3783</v>
      </c>
      <c r="JCD1115" s="379" t="s">
        <v>3783</v>
      </c>
      <c r="JCE1115" s="379" t="s">
        <v>3783</v>
      </c>
      <c r="JCF1115" s="379" t="s">
        <v>3783</v>
      </c>
      <c r="JCG1115" s="379" t="s">
        <v>3783</v>
      </c>
      <c r="JCH1115" s="379" t="s">
        <v>3783</v>
      </c>
      <c r="JCI1115" s="379" t="s">
        <v>3783</v>
      </c>
      <c r="JCJ1115" s="379" t="s">
        <v>3783</v>
      </c>
      <c r="JCK1115" s="379" t="s">
        <v>3783</v>
      </c>
      <c r="JCL1115" s="379" t="s">
        <v>3783</v>
      </c>
      <c r="JCM1115" s="379" t="s">
        <v>3783</v>
      </c>
      <c r="JCN1115" s="379" t="s">
        <v>3783</v>
      </c>
      <c r="JCO1115" s="379" t="s">
        <v>3783</v>
      </c>
      <c r="JCP1115" s="379" t="s">
        <v>3783</v>
      </c>
      <c r="JCQ1115" s="379" t="s">
        <v>3783</v>
      </c>
      <c r="JCR1115" s="379" t="s">
        <v>3783</v>
      </c>
      <c r="JCS1115" s="379" t="s">
        <v>3783</v>
      </c>
      <c r="JCT1115" s="379" t="s">
        <v>3783</v>
      </c>
      <c r="JCU1115" s="379" t="s">
        <v>3783</v>
      </c>
      <c r="JCV1115" s="379" t="s">
        <v>3783</v>
      </c>
      <c r="JCW1115" s="379" t="s">
        <v>3783</v>
      </c>
      <c r="JCX1115" s="379" t="s">
        <v>3783</v>
      </c>
      <c r="JCY1115" s="379" t="s">
        <v>3783</v>
      </c>
      <c r="JCZ1115" s="379" t="s">
        <v>3783</v>
      </c>
      <c r="JDA1115" s="379" t="s">
        <v>3783</v>
      </c>
      <c r="JDB1115" s="379" t="s">
        <v>3783</v>
      </c>
      <c r="JDC1115" s="379" t="s">
        <v>3783</v>
      </c>
      <c r="JDD1115" s="379" t="s">
        <v>3783</v>
      </c>
      <c r="JDE1115" s="379" t="s">
        <v>3783</v>
      </c>
      <c r="JDF1115" s="379" t="s">
        <v>3783</v>
      </c>
      <c r="JDG1115" s="379" t="s">
        <v>3783</v>
      </c>
      <c r="JDH1115" s="379" t="s">
        <v>3783</v>
      </c>
      <c r="JDI1115" s="379" t="s">
        <v>3783</v>
      </c>
      <c r="JDJ1115" s="379" t="s">
        <v>3783</v>
      </c>
      <c r="JDK1115" s="379" t="s">
        <v>3783</v>
      </c>
      <c r="JDL1115" s="379" t="s">
        <v>3783</v>
      </c>
      <c r="JDM1115" s="379" t="s">
        <v>3783</v>
      </c>
      <c r="JDN1115" s="379" t="s">
        <v>3783</v>
      </c>
      <c r="JDO1115" s="379" t="s">
        <v>3783</v>
      </c>
      <c r="JDP1115" s="379" t="s">
        <v>3783</v>
      </c>
      <c r="JDQ1115" s="379" t="s">
        <v>3783</v>
      </c>
      <c r="JDR1115" s="379" t="s">
        <v>3783</v>
      </c>
      <c r="JDS1115" s="379" t="s">
        <v>3783</v>
      </c>
      <c r="JDT1115" s="379" t="s">
        <v>3783</v>
      </c>
      <c r="JDU1115" s="379" t="s">
        <v>3783</v>
      </c>
      <c r="JDV1115" s="379" t="s">
        <v>3783</v>
      </c>
      <c r="JDW1115" s="379" t="s">
        <v>3783</v>
      </c>
      <c r="JDX1115" s="379" t="s">
        <v>3783</v>
      </c>
      <c r="JDY1115" s="379" t="s">
        <v>3783</v>
      </c>
      <c r="JDZ1115" s="379" t="s">
        <v>3783</v>
      </c>
      <c r="JEA1115" s="379" t="s">
        <v>3783</v>
      </c>
      <c r="JEB1115" s="379" t="s">
        <v>3783</v>
      </c>
      <c r="JEC1115" s="379" t="s">
        <v>3783</v>
      </c>
      <c r="JED1115" s="379" t="s">
        <v>3783</v>
      </c>
      <c r="JEE1115" s="379" t="s">
        <v>3783</v>
      </c>
      <c r="JEF1115" s="379" t="s">
        <v>3783</v>
      </c>
      <c r="JEG1115" s="379" t="s">
        <v>3783</v>
      </c>
      <c r="JEH1115" s="379" t="s">
        <v>3783</v>
      </c>
      <c r="JEI1115" s="379" t="s">
        <v>3783</v>
      </c>
      <c r="JEJ1115" s="379" t="s">
        <v>3783</v>
      </c>
      <c r="JEK1115" s="379" t="s">
        <v>3783</v>
      </c>
      <c r="JEL1115" s="379" t="s">
        <v>3783</v>
      </c>
      <c r="JEM1115" s="379" t="s">
        <v>3783</v>
      </c>
      <c r="JEN1115" s="379" t="s">
        <v>3783</v>
      </c>
      <c r="JEO1115" s="379" t="s">
        <v>3783</v>
      </c>
      <c r="JEP1115" s="379" t="s">
        <v>3783</v>
      </c>
      <c r="JEQ1115" s="379" t="s">
        <v>3783</v>
      </c>
      <c r="JER1115" s="379" t="s">
        <v>3783</v>
      </c>
      <c r="JES1115" s="379" t="s">
        <v>3783</v>
      </c>
      <c r="JET1115" s="379" t="s">
        <v>3783</v>
      </c>
      <c r="JEU1115" s="379" t="s">
        <v>3783</v>
      </c>
      <c r="JEV1115" s="379" t="s">
        <v>3783</v>
      </c>
      <c r="JEW1115" s="379" t="s">
        <v>3783</v>
      </c>
      <c r="JEX1115" s="379" t="s">
        <v>3783</v>
      </c>
      <c r="JEY1115" s="379" t="s">
        <v>3783</v>
      </c>
      <c r="JEZ1115" s="379" t="s">
        <v>3783</v>
      </c>
      <c r="JFA1115" s="379" t="s">
        <v>3783</v>
      </c>
      <c r="JFB1115" s="379" t="s">
        <v>3783</v>
      </c>
      <c r="JFC1115" s="379" t="s">
        <v>3783</v>
      </c>
      <c r="JFD1115" s="379" t="s">
        <v>3783</v>
      </c>
      <c r="JFE1115" s="379" t="s">
        <v>3783</v>
      </c>
      <c r="JFF1115" s="379" t="s">
        <v>3783</v>
      </c>
      <c r="JFG1115" s="379" t="s">
        <v>3783</v>
      </c>
      <c r="JFH1115" s="379" t="s">
        <v>3783</v>
      </c>
      <c r="JFI1115" s="379" t="s">
        <v>3783</v>
      </c>
      <c r="JFJ1115" s="379" t="s">
        <v>3783</v>
      </c>
      <c r="JFK1115" s="379" t="s">
        <v>3783</v>
      </c>
      <c r="JFL1115" s="379" t="s">
        <v>3783</v>
      </c>
      <c r="JFM1115" s="379" t="s">
        <v>3783</v>
      </c>
      <c r="JFN1115" s="379" t="s">
        <v>3783</v>
      </c>
      <c r="JFO1115" s="379" t="s">
        <v>3783</v>
      </c>
      <c r="JFP1115" s="379" t="s">
        <v>3783</v>
      </c>
      <c r="JFQ1115" s="379" t="s">
        <v>3783</v>
      </c>
      <c r="JFR1115" s="379" t="s">
        <v>3783</v>
      </c>
      <c r="JFS1115" s="379" t="s">
        <v>3783</v>
      </c>
      <c r="JFT1115" s="379" t="s">
        <v>3783</v>
      </c>
      <c r="JFU1115" s="379" t="s">
        <v>3783</v>
      </c>
      <c r="JFV1115" s="379" t="s">
        <v>3783</v>
      </c>
      <c r="JFW1115" s="379" t="s">
        <v>3783</v>
      </c>
      <c r="JFX1115" s="379" t="s">
        <v>3783</v>
      </c>
      <c r="JFY1115" s="379" t="s">
        <v>3783</v>
      </c>
      <c r="JFZ1115" s="379" t="s">
        <v>3783</v>
      </c>
      <c r="JGA1115" s="379" t="s">
        <v>3783</v>
      </c>
      <c r="JGB1115" s="379" t="s">
        <v>3783</v>
      </c>
      <c r="JGC1115" s="379" t="s">
        <v>3783</v>
      </c>
      <c r="JGD1115" s="379" t="s">
        <v>3783</v>
      </c>
      <c r="JGE1115" s="379" t="s">
        <v>3783</v>
      </c>
      <c r="JGF1115" s="379" t="s">
        <v>3783</v>
      </c>
      <c r="JGG1115" s="379" t="s">
        <v>3783</v>
      </c>
      <c r="JGH1115" s="379" t="s">
        <v>3783</v>
      </c>
      <c r="JGI1115" s="379" t="s">
        <v>3783</v>
      </c>
      <c r="JGJ1115" s="379" t="s">
        <v>3783</v>
      </c>
      <c r="JGK1115" s="379" t="s">
        <v>3783</v>
      </c>
      <c r="JGL1115" s="379" t="s">
        <v>3783</v>
      </c>
      <c r="JGM1115" s="379" t="s">
        <v>3783</v>
      </c>
      <c r="JGN1115" s="379" t="s">
        <v>3783</v>
      </c>
      <c r="JGO1115" s="379" t="s">
        <v>3783</v>
      </c>
      <c r="JGP1115" s="379" t="s">
        <v>3783</v>
      </c>
      <c r="JGQ1115" s="379" t="s">
        <v>3783</v>
      </c>
      <c r="JGR1115" s="379" t="s">
        <v>3783</v>
      </c>
      <c r="JGS1115" s="379" t="s">
        <v>3783</v>
      </c>
      <c r="JGT1115" s="379" t="s">
        <v>3783</v>
      </c>
      <c r="JGU1115" s="379" t="s">
        <v>3783</v>
      </c>
      <c r="JGV1115" s="379" t="s">
        <v>3783</v>
      </c>
      <c r="JGW1115" s="379" t="s">
        <v>3783</v>
      </c>
      <c r="JGX1115" s="379" t="s">
        <v>3783</v>
      </c>
      <c r="JGY1115" s="379" t="s">
        <v>3783</v>
      </c>
      <c r="JGZ1115" s="379" t="s">
        <v>3783</v>
      </c>
      <c r="JHA1115" s="379" t="s">
        <v>3783</v>
      </c>
      <c r="JHB1115" s="379" t="s">
        <v>3783</v>
      </c>
      <c r="JHC1115" s="379" t="s">
        <v>3783</v>
      </c>
      <c r="JHD1115" s="379" t="s">
        <v>3783</v>
      </c>
      <c r="JHE1115" s="379" t="s">
        <v>3783</v>
      </c>
      <c r="JHF1115" s="379" t="s">
        <v>3783</v>
      </c>
      <c r="JHG1115" s="379" t="s">
        <v>3783</v>
      </c>
      <c r="JHH1115" s="379" t="s">
        <v>3783</v>
      </c>
      <c r="JHI1115" s="379" t="s">
        <v>3783</v>
      </c>
      <c r="JHJ1115" s="379" t="s">
        <v>3783</v>
      </c>
      <c r="JHK1115" s="379" t="s">
        <v>3783</v>
      </c>
      <c r="JHL1115" s="379" t="s">
        <v>3783</v>
      </c>
      <c r="JHM1115" s="379" t="s">
        <v>3783</v>
      </c>
      <c r="JHN1115" s="379" t="s">
        <v>3783</v>
      </c>
      <c r="JHO1115" s="379" t="s">
        <v>3783</v>
      </c>
      <c r="JHP1115" s="379" t="s">
        <v>3783</v>
      </c>
      <c r="JHQ1115" s="379" t="s">
        <v>3783</v>
      </c>
      <c r="JHR1115" s="379" t="s">
        <v>3783</v>
      </c>
      <c r="JHS1115" s="379" t="s">
        <v>3783</v>
      </c>
      <c r="JHT1115" s="379" t="s">
        <v>3783</v>
      </c>
      <c r="JHU1115" s="379" t="s">
        <v>3783</v>
      </c>
      <c r="JHV1115" s="379" t="s">
        <v>3783</v>
      </c>
      <c r="JHW1115" s="379" t="s">
        <v>3783</v>
      </c>
      <c r="JHX1115" s="379" t="s">
        <v>3783</v>
      </c>
      <c r="JHY1115" s="379" t="s">
        <v>3783</v>
      </c>
      <c r="JHZ1115" s="379" t="s">
        <v>3783</v>
      </c>
      <c r="JIA1115" s="379" t="s">
        <v>3783</v>
      </c>
      <c r="JIB1115" s="379" t="s">
        <v>3783</v>
      </c>
      <c r="JIC1115" s="379" t="s">
        <v>3783</v>
      </c>
      <c r="JID1115" s="379" t="s">
        <v>3783</v>
      </c>
      <c r="JIE1115" s="379" t="s">
        <v>3783</v>
      </c>
      <c r="JIF1115" s="379" t="s">
        <v>3783</v>
      </c>
      <c r="JIG1115" s="379" t="s">
        <v>3783</v>
      </c>
      <c r="JIH1115" s="379" t="s">
        <v>3783</v>
      </c>
      <c r="JII1115" s="379" t="s">
        <v>3783</v>
      </c>
      <c r="JIJ1115" s="379" t="s">
        <v>3783</v>
      </c>
      <c r="JIK1115" s="379" t="s">
        <v>3783</v>
      </c>
      <c r="JIL1115" s="379" t="s">
        <v>3783</v>
      </c>
      <c r="JIM1115" s="379" t="s">
        <v>3783</v>
      </c>
      <c r="JIN1115" s="379" t="s">
        <v>3783</v>
      </c>
      <c r="JIO1115" s="379" t="s">
        <v>3783</v>
      </c>
      <c r="JIP1115" s="379" t="s">
        <v>3783</v>
      </c>
      <c r="JIQ1115" s="379" t="s">
        <v>3783</v>
      </c>
      <c r="JIR1115" s="379" t="s">
        <v>3783</v>
      </c>
      <c r="JIS1115" s="379" t="s">
        <v>3783</v>
      </c>
      <c r="JIT1115" s="379" t="s">
        <v>3783</v>
      </c>
      <c r="JIU1115" s="379" t="s">
        <v>3783</v>
      </c>
      <c r="JIV1115" s="379" t="s">
        <v>3783</v>
      </c>
      <c r="JIW1115" s="379" t="s">
        <v>3783</v>
      </c>
      <c r="JIX1115" s="379" t="s">
        <v>3783</v>
      </c>
      <c r="JIY1115" s="379" t="s">
        <v>3783</v>
      </c>
      <c r="JIZ1115" s="379" t="s">
        <v>3783</v>
      </c>
      <c r="JJA1115" s="379" t="s">
        <v>3783</v>
      </c>
      <c r="JJB1115" s="379" t="s">
        <v>3783</v>
      </c>
      <c r="JJC1115" s="379" t="s">
        <v>3783</v>
      </c>
      <c r="JJD1115" s="379" t="s">
        <v>3783</v>
      </c>
      <c r="JJE1115" s="379" t="s">
        <v>3783</v>
      </c>
      <c r="JJF1115" s="379" t="s">
        <v>3783</v>
      </c>
      <c r="JJG1115" s="379" t="s">
        <v>3783</v>
      </c>
      <c r="JJH1115" s="379" t="s">
        <v>3783</v>
      </c>
      <c r="JJI1115" s="379" t="s">
        <v>3783</v>
      </c>
      <c r="JJJ1115" s="379" t="s">
        <v>3783</v>
      </c>
      <c r="JJK1115" s="379" t="s">
        <v>3783</v>
      </c>
      <c r="JJL1115" s="379" t="s">
        <v>3783</v>
      </c>
      <c r="JJM1115" s="379" t="s">
        <v>3783</v>
      </c>
      <c r="JJN1115" s="379" t="s">
        <v>3783</v>
      </c>
      <c r="JJO1115" s="379" t="s">
        <v>3783</v>
      </c>
      <c r="JJP1115" s="379" t="s">
        <v>3783</v>
      </c>
      <c r="JJQ1115" s="379" t="s">
        <v>3783</v>
      </c>
      <c r="JJR1115" s="379" t="s">
        <v>3783</v>
      </c>
      <c r="JJS1115" s="379" t="s">
        <v>3783</v>
      </c>
      <c r="JJT1115" s="379" t="s">
        <v>3783</v>
      </c>
      <c r="JJU1115" s="379" t="s">
        <v>3783</v>
      </c>
      <c r="JJV1115" s="379" t="s">
        <v>3783</v>
      </c>
      <c r="JJW1115" s="379" t="s">
        <v>3783</v>
      </c>
      <c r="JJX1115" s="379" t="s">
        <v>3783</v>
      </c>
      <c r="JJY1115" s="379" t="s">
        <v>3783</v>
      </c>
      <c r="JJZ1115" s="379" t="s">
        <v>3783</v>
      </c>
      <c r="JKA1115" s="379" t="s">
        <v>3783</v>
      </c>
      <c r="JKB1115" s="379" t="s">
        <v>3783</v>
      </c>
      <c r="JKC1115" s="379" t="s">
        <v>3783</v>
      </c>
      <c r="JKD1115" s="379" t="s">
        <v>3783</v>
      </c>
      <c r="JKE1115" s="379" t="s">
        <v>3783</v>
      </c>
      <c r="JKF1115" s="379" t="s">
        <v>3783</v>
      </c>
      <c r="JKG1115" s="379" t="s">
        <v>3783</v>
      </c>
      <c r="JKH1115" s="379" t="s">
        <v>3783</v>
      </c>
      <c r="JKI1115" s="379" t="s">
        <v>3783</v>
      </c>
      <c r="JKJ1115" s="379" t="s">
        <v>3783</v>
      </c>
      <c r="JKK1115" s="379" t="s">
        <v>3783</v>
      </c>
      <c r="JKL1115" s="379" t="s">
        <v>3783</v>
      </c>
      <c r="JKM1115" s="379" t="s">
        <v>3783</v>
      </c>
      <c r="JKN1115" s="379" t="s">
        <v>3783</v>
      </c>
      <c r="JKO1115" s="379" t="s">
        <v>3783</v>
      </c>
      <c r="JKP1115" s="379" t="s">
        <v>3783</v>
      </c>
      <c r="JKQ1115" s="379" t="s">
        <v>3783</v>
      </c>
      <c r="JKR1115" s="379" t="s">
        <v>3783</v>
      </c>
      <c r="JKS1115" s="379" t="s">
        <v>3783</v>
      </c>
      <c r="JKT1115" s="379" t="s">
        <v>3783</v>
      </c>
      <c r="JKU1115" s="379" t="s">
        <v>3783</v>
      </c>
      <c r="JKV1115" s="379" t="s">
        <v>3783</v>
      </c>
      <c r="JKW1115" s="379" t="s">
        <v>3783</v>
      </c>
      <c r="JKX1115" s="379" t="s">
        <v>3783</v>
      </c>
      <c r="JKY1115" s="379" t="s">
        <v>3783</v>
      </c>
      <c r="JKZ1115" s="379" t="s">
        <v>3783</v>
      </c>
      <c r="JLA1115" s="379" t="s">
        <v>3783</v>
      </c>
      <c r="JLB1115" s="379" t="s">
        <v>3783</v>
      </c>
      <c r="JLC1115" s="379" t="s">
        <v>3783</v>
      </c>
      <c r="JLD1115" s="379" t="s">
        <v>3783</v>
      </c>
      <c r="JLE1115" s="379" t="s">
        <v>3783</v>
      </c>
      <c r="JLF1115" s="379" t="s">
        <v>3783</v>
      </c>
      <c r="JLG1115" s="379" t="s">
        <v>3783</v>
      </c>
      <c r="JLH1115" s="379" t="s">
        <v>3783</v>
      </c>
      <c r="JLI1115" s="379" t="s">
        <v>3783</v>
      </c>
      <c r="JLJ1115" s="379" t="s">
        <v>3783</v>
      </c>
      <c r="JLK1115" s="379" t="s">
        <v>3783</v>
      </c>
      <c r="JLL1115" s="379" t="s">
        <v>3783</v>
      </c>
      <c r="JLM1115" s="379" t="s">
        <v>3783</v>
      </c>
      <c r="JLN1115" s="379" t="s">
        <v>3783</v>
      </c>
      <c r="JLO1115" s="379" t="s">
        <v>3783</v>
      </c>
      <c r="JLP1115" s="379" t="s">
        <v>3783</v>
      </c>
      <c r="JLQ1115" s="379" t="s">
        <v>3783</v>
      </c>
      <c r="JLR1115" s="379" t="s">
        <v>3783</v>
      </c>
      <c r="JLS1115" s="379" t="s">
        <v>3783</v>
      </c>
      <c r="JLT1115" s="379" t="s">
        <v>3783</v>
      </c>
      <c r="JLU1115" s="379" t="s">
        <v>3783</v>
      </c>
      <c r="JLV1115" s="379" t="s">
        <v>3783</v>
      </c>
      <c r="JLW1115" s="379" t="s">
        <v>3783</v>
      </c>
      <c r="JLX1115" s="379" t="s">
        <v>3783</v>
      </c>
      <c r="JLY1115" s="379" t="s">
        <v>3783</v>
      </c>
      <c r="JLZ1115" s="379" t="s">
        <v>3783</v>
      </c>
      <c r="JMA1115" s="379" t="s">
        <v>3783</v>
      </c>
      <c r="JMB1115" s="379" t="s">
        <v>3783</v>
      </c>
      <c r="JMC1115" s="379" t="s">
        <v>3783</v>
      </c>
      <c r="JMD1115" s="379" t="s">
        <v>3783</v>
      </c>
      <c r="JME1115" s="379" t="s">
        <v>3783</v>
      </c>
      <c r="JMF1115" s="379" t="s">
        <v>3783</v>
      </c>
      <c r="JMG1115" s="379" t="s">
        <v>3783</v>
      </c>
      <c r="JMH1115" s="379" t="s">
        <v>3783</v>
      </c>
      <c r="JMI1115" s="379" t="s">
        <v>3783</v>
      </c>
      <c r="JMJ1115" s="379" t="s">
        <v>3783</v>
      </c>
      <c r="JMK1115" s="379" t="s">
        <v>3783</v>
      </c>
      <c r="JML1115" s="379" t="s">
        <v>3783</v>
      </c>
      <c r="JMM1115" s="379" t="s">
        <v>3783</v>
      </c>
      <c r="JMN1115" s="379" t="s">
        <v>3783</v>
      </c>
      <c r="JMO1115" s="379" t="s">
        <v>3783</v>
      </c>
      <c r="JMP1115" s="379" t="s">
        <v>3783</v>
      </c>
      <c r="JMQ1115" s="379" t="s">
        <v>3783</v>
      </c>
      <c r="JMR1115" s="379" t="s">
        <v>3783</v>
      </c>
      <c r="JMS1115" s="379" t="s">
        <v>3783</v>
      </c>
      <c r="JMT1115" s="379" t="s">
        <v>3783</v>
      </c>
      <c r="JMU1115" s="379" t="s">
        <v>3783</v>
      </c>
      <c r="JMV1115" s="379" t="s">
        <v>3783</v>
      </c>
      <c r="JMW1115" s="379" t="s">
        <v>3783</v>
      </c>
      <c r="JMX1115" s="379" t="s">
        <v>3783</v>
      </c>
      <c r="JMY1115" s="379" t="s">
        <v>3783</v>
      </c>
      <c r="JMZ1115" s="379" t="s">
        <v>3783</v>
      </c>
      <c r="JNA1115" s="379" t="s">
        <v>3783</v>
      </c>
      <c r="JNB1115" s="379" t="s">
        <v>3783</v>
      </c>
      <c r="JNC1115" s="379" t="s">
        <v>3783</v>
      </c>
      <c r="JND1115" s="379" t="s">
        <v>3783</v>
      </c>
      <c r="JNE1115" s="379" t="s">
        <v>3783</v>
      </c>
      <c r="JNF1115" s="379" t="s">
        <v>3783</v>
      </c>
      <c r="JNG1115" s="379" t="s">
        <v>3783</v>
      </c>
      <c r="JNH1115" s="379" t="s">
        <v>3783</v>
      </c>
      <c r="JNI1115" s="379" t="s">
        <v>3783</v>
      </c>
      <c r="JNJ1115" s="379" t="s">
        <v>3783</v>
      </c>
      <c r="JNK1115" s="379" t="s">
        <v>3783</v>
      </c>
      <c r="JNL1115" s="379" t="s">
        <v>3783</v>
      </c>
      <c r="JNM1115" s="379" t="s">
        <v>3783</v>
      </c>
      <c r="JNN1115" s="379" t="s">
        <v>3783</v>
      </c>
      <c r="JNO1115" s="379" t="s">
        <v>3783</v>
      </c>
      <c r="JNP1115" s="379" t="s">
        <v>3783</v>
      </c>
      <c r="JNQ1115" s="379" t="s">
        <v>3783</v>
      </c>
      <c r="JNR1115" s="379" t="s">
        <v>3783</v>
      </c>
      <c r="JNS1115" s="379" t="s">
        <v>3783</v>
      </c>
      <c r="JNT1115" s="379" t="s">
        <v>3783</v>
      </c>
      <c r="JNU1115" s="379" t="s">
        <v>3783</v>
      </c>
      <c r="JNV1115" s="379" t="s">
        <v>3783</v>
      </c>
      <c r="JNW1115" s="379" t="s">
        <v>3783</v>
      </c>
      <c r="JNX1115" s="379" t="s">
        <v>3783</v>
      </c>
      <c r="JNY1115" s="379" t="s">
        <v>3783</v>
      </c>
      <c r="JNZ1115" s="379" t="s">
        <v>3783</v>
      </c>
      <c r="JOA1115" s="379" t="s">
        <v>3783</v>
      </c>
      <c r="JOB1115" s="379" t="s">
        <v>3783</v>
      </c>
      <c r="JOC1115" s="379" t="s">
        <v>3783</v>
      </c>
      <c r="JOD1115" s="379" t="s">
        <v>3783</v>
      </c>
      <c r="JOE1115" s="379" t="s">
        <v>3783</v>
      </c>
      <c r="JOF1115" s="379" t="s">
        <v>3783</v>
      </c>
      <c r="JOG1115" s="379" t="s">
        <v>3783</v>
      </c>
      <c r="JOH1115" s="379" t="s">
        <v>3783</v>
      </c>
      <c r="JOI1115" s="379" t="s">
        <v>3783</v>
      </c>
      <c r="JOJ1115" s="379" t="s">
        <v>3783</v>
      </c>
      <c r="JOK1115" s="379" t="s">
        <v>3783</v>
      </c>
      <c r="JOL1115" s="379" t="s">
        <v>3783</v>
      </c>
      <c r="JOM1115" s="379" t="s">
        <v>3783</v>
      </c>
      <c r="JON1115" s="379" t="s">
        <v>3783</v>
      </c>
      <c r="JOO1115" s="379" t="s">
        <v>3783</v>
      </c>
      <c r="JOP1115" s="379" t="s">
        <v>3783</v>
      </c>
      <c r="JOQ1115" s="379" t="s">
        <v>3783</v>
      </c>
      <c r="JOR1115" s="379" t="s">
        <v>3783</v>
      </c>
      <c r="JOS1115" s="379" t="s">
        <v>3783</v>
      </c>
      <c r="JOT1115" s="379" t="s">
        <v>3783</v>
      </c>
      <c r="JOU1115" s="379" t="s">
        <v>3783</v>
      </c>
      <c r="JOV1115" s="379" t="s">
        <v>3783</v>
      </c>
      <c r="JOW1115" s="379" t="s">
        <v>3783</v>
      </c>
      <c r="JOX1115" s="379" t="s">
        <v>3783</v>
      </c>
      <c r="JOY1115" s="379" t="s">
        <v>3783</v>
      </c>
      <c r="JOZ1115" s="379" t="s">
        <v>3783</v>
      </c>
      <c r="JPA1115" s="379" t="s">
        <v>3783</v>
      </c>
      <c r="JPB1115" s="379" t="s">
        <v>3783</v>
      </c>
      <c r="JPC1115" s="379" t="s">
        <v>3783</v>
      </c>
      <c r="JPD1115" s="379" t="s">
        <v>3783</v>
      </c>
      <c r="JPE1115" s="379" t="s">
        <v>3783</v>
      </c>
      <c r="JPF1115" s="379" t="s">
        <v>3783</v>
      </c>
      <c r="JPG1115" s="379" t="s">
        <v>3783</v>
      </c>
      <c r="JPH1115" s="379" t="s">
        <v>3783</v>
      </c>
      <c r="JPI1115" s="379" t="s">
        <v>3783</v>
      </c>
      <c r="JPJ1115" s="379" t="s">
        <v>3783</v>
      </c>
      <c r="JPK1115" s="379" t="s">
        <v>3783</v>
      </c>
      <c r="JPL1115" s="379" t="s">
        <v>3783</v>
      </c>
      <c r="JPM1115" s="379" t="s">
        <v>3783</v>
      </c>
      <c r="JPN1115" s="379" t="s">
        <v>3783</v>
      </c>
      <c r="JPO1115" s="379" t="s">
        <v>3783</v>
      </c>
      <c r="JPP1115" s="379" t="s">
        <v>3783</v>
      </c>
      <c r="JPQ1115" s="379" t="s">
        <v>3783</v>
      </c>
      <c r="JPR1115" s="379" t="s">
        <v>3783</v>
      </c>
      <c r="JPS1115" s="379" t="s">
        <v>3783</v>
      </c>
      <c r="JPT1115" s="379" t="s">
        <v>3783</v>
      </c>
      <c r="JPU1115" s="379" t="s">
        <v>3783</v>
      </c>
      <c r="JPV1115" s="379" t="s">
        <v>3783</v>
      </c>
      <c r="JPW1115" s="379" t="s">
        <v>3783</v>
      </c>
      <c r="JPX1115" s="379" t="s">
        <v>3783</v>
      </c>
      <c r="JPY1115" s="379" t="s">
        <v>3783</v>
      </c>
      <c r="JPZ1115" s="379" t="s">
        <v>3783</v>
      </c>
      <c r="JQA1115" s="379" t="s">
        <v>3783</v>
      </c>
      <c r="JQB1115" s="379" t="s">
        <v>3783</v>
      </c>
      <c r="JQC1115" s="379" t="s">
        <v>3783</v>
      </c>
      <c r="JQD1115" s="379" t="s">
        <v>3783</v>
      </c>
      <c r="JQE1115" s="379" t="s">
        <v>3783</v>
      </c>
      <c r="JQF1115" s="379" t="s">
        <v>3783</v>
      </c>
      <c r="JQG1115" s="379" t="s">
        <v>3783</v>
      </c>
      <c r="JQH1115" s="379" t="s">
        <v>3783</v>
      </c>
      <c r="JQI1115" s="379" t="s">
        <v>3783</v>
      </c>
      <c r="JQJ1115" s="379" t="s">
        <v>3783</v>
      </c>
      <c r="JQK1115" s="379" t="s">
        <v>3783</v>
      </c>
      <c r="JQL1115" s="379" t="s">
        <v>3783</v>
      </c>
      <c r="JQM1115" s="379" t="s">
        <v>3783</v>
      </c>
      <c r="JQN1115" s="379" t="s">
        <v>3783</v>
      </c>
      <c r="JQO1115" s="379" t="s">
        <v>3783</v>
      </c>
      <c r="JQP1115" s="379" t="s">
        <v>3783</v>
      </c>
      <c r="JQQ1115" s="379" t="s">
        <v>3783</v>
      </c>
      <c r="JQR1115" s="379" t="s">
        <v>3783</v>
      </c>
      <c r="JQS1115" s="379" t="s">
        <v>3783</v>
      </c>
      <c r="JQT1115" s="379" t="s">
        <v>3783</v>
      </c>
      <c r="JQU1115" s="379" t="s">
        <v>3783</v>
      </c>
      <c r="JQV1115" s="379" t="s">
        <v>3783</v>
      </c>
      <c r="JQW1115" s="379" t="s">
        <v>3783</v>
      </c>
      <c r="JQX1115" s="379" t="s">
        <v>3783</v>
      </c>
      <c r="JQY1115" s="379" t="s">
        <v>3783</v>
      </c>
      <c r="JQZ1115" s="379" t="s">
        <v>3783</v>
      </c>
      <c r="JRA1115" s="379" t="s">
        <v>3783</v>
      </c>
      <c r="JRB1115" s="379" t="s">
        <v>3783</v>
      </c>
      <c r="JRC1115" s="379" t="s">
        <v>3783</v>
      </c>
      <c r="JRD1115" s="379" t="s">
        <v>3783</v>
      </c>
      <c r="JRE1115" s="379" t="s">
        <v>3783</v>
      </c>
      <c r="JRF1115" s="379" t="s">
        <v>3783</v>
      </c>
      <c r="JRG1115" s="379" t="s">
        <v>3783</v>
      </c>
      <c r="JRH1115" s="379" t="s">
        <v>3783</v>
      </c>
      <c r="JRI1115" s="379" t="s">
        <v>3783</v>
      </c>
      <c r="JRJ1115" s="379" t="s">
        <v>3783</v>
      </c>
      <c r="JRK1115" s="379" t="s">
        <v>3783</v>
      </c>
      <c r="JRL1115" s="379" t="s">
        <v>3783</v>
      </c>
      <c r="JRM1115" s="379" t="s">
        <v>3783</v>
      </c>
      <c r="JRN1115" s="379" t="s">
        <v>3783</v>
      </c>
      <c r="JRO1115" s="379" t="s">
        <v>3783</v>
      </c>
      <c r="JRP1115" s="379" t="s">
        <v>3783</v>
      </c>
      <c r="JRQ1115" s="379" t="s">
        <v>3783</v>
      </c>
      <c r="JRR1115" s="379" t="s">
        <v>3783</v>
      </c>
      <c r="JRS1115" s="379" t="s">
        <v>3783</v>
      </c>
      <c r="JRT1115" s="379" t="s">
        <v>3783</v>
      </c>
      <c r="JRU1115" s="379" t="s">
        <v>3783</v>
      </c>
      <c r="JRV1115" s="379" t="s">
        <v>3783</v>
      </c>
      <c r="JRW1115" s="379" t="s">
        <v>3783</v>
      </c>
      <c r="JRX1115" s="379" t="s">
        <v>3783</v>
      </c>
      <c r="JRY1115" s="379" t="s">
        <v>3783</v>
      </c>
      <c r="JRZ1115" s="379" t="s">
        <v>3783</v>
      </c>
      <c r="JSA1115" s="379" t="s">
        <v>3783</v>
      </c>
      <c r="JSB1115" s="379" t="s">
        <v>3783</v>
      </c>
      <c r="JSC1115" s="379" t="s">
        <v>3783</v>
      </c>
      <c r="JSD1115" s="379" t="s">
        <v>3783</v>
      </c>
      <c r="JSE1115" s="379" t="s">
        <v>3783</v>
      </c>
      <c r="JSF1115" s="379" t="s">
        <v>3783</v>
      </c>
      <c r="JSG1115" s="379" t="s">
        <v>3783</v>
      </c>
      <c r="JSH1115" s="379" t="s">
        <v>3783</v>
      </c>
      <c r="JSI1115" s="379" t="s">
        <v>3783</v>
      </c>
      <c r="JSJ1115" s="379" t="s">
        <v>3783</v>
      </c>
      <c r="JSK1115" s="379" t="s">
        <v>3783</v>
      </c>
      <c r="JSL1115" s="379" t="s">
        <v>3783</v>
      </c>
      <c r="JSM1115" s="379" t="s">
        <v>3783</v>
      </c>
      <c r="JSN1115" s="379" t="s">
        <v>3783</v>
      </c>
      <c r="JSO1115" s="379" t="s">
        <v>3783</v>
      </c>
      <c r="JSP1115" s="379" t="s">
        <v>3783</v>
      </c>
      <c r="JSQ1115" s="379" t="s">
        <v>3783</v>
      </c>
      <c r="JSR1115" s="379" t="s">
        <v>3783</v>
      </c>
      <c r="JSS1115" s="379" t="s">
        <v>3783</v>
      </c>
      <c r="JST1115" s="379" t="s">
        <v>3783</v>
      </c>
      <c r="JSU1115" s="379" t="s">
        <v>3783</v>
      </c>
      <c r="JSV1115" s="379" t="s">
        <v>3783</v>
      </c>
      <c r="JSW1115" s="379" t="s">
        <v>3783</v>
      </c>
      <c r="JSX1115" s="379" t="s">
        <v>3783</v>
      </c>
      <c r="JSY1115" s="379" t="s">
        <v>3783</v>
      </c>
      <c r="JSZ1115" s="379" t="s">
        <v>3783</v>
      </c>
      <c r="JTA1115" s="379" t="s">
        <v>3783</v>
      </c>
      <c r="JTB1115" s="379" t="s">
        <v>3783</v>
      </c>
      <c r="JTC1115" s="379" t="s">
        <v>3783</v>
      </c>
      <c r="JTD1115" s="379" t="s">
        <v>3783</v>
      </c>
      <c r="JTE1115" s="379" t="s">
        <v>3783</v>
      </c>
      <c r="JTF1115" s="379" t="s">
        <v>3783</v>
      </c>
      <c r="JTG1115" s="379" t="s">
        <v>3783</v>
      </c>
      <c r="JTH1115" s="379" t="s">
        <v>3783</v>
      </c>
      <c r="JTI1115" s="379" t="s">
        <v>3783</v>
      </c>
      <c r="JTJ1115" s="379" t="s">
        <v>3783</v>
      </c>
      <c r="JTK1115" s="379" t="s">
        <v>3783</v>
      </c>
      <c r="JTL1115" s="379" t="s">
        <v>3783</v>
      </c>
      <c r="JTM1115" s="379" t="s">
        <v>3783</v>
      </c>
      <c r="JTN1115" s="379" t="s">
        <v>3783</v>
      </c>
      <c r="JTO1115" s="379" t="s">
        <v>3783</v>
      </c>
      <c r="JTP1115" s="379" t="s">
        <v>3783</v>
      </c>
      <c r="JTQ1115" s="379" t="s">
        <v>3783</v>
      </c>
      <c r="JTR1115" s="379" t="s">
        <v>3783</v>
      </c>
      <c r="JTS1115" s="379" t="s">
        <v>3783</v>
      </c>
      <c r="JTT1115" s="379" t="s">
        <v>3783</v>
      </c>
      <c r="JTU1115" s="379" t="s">
        <v>3783</v>
      </c>
      <c r="JTV1115" s="379" t="s">
        <v>3783</v>
      </c>
      <c r="JTW1115" s="379" t="s">
        <v>3783</v>
      </c>
      <c r="JTX1115" s="379" t="s">
        <v>3783</v>
      </c>
      <c r="JTY1115" s="379" t="s">
        <v>3783</v>
      </c>
      <c r="JTZ1115" s="379" t="s">
        <v>3783</v>
      </c>
      <c r="JUA1115" s="379" t="s">
        <v>3783</v>
      </c>
      <c r="JUB1115" s="379" t="s">
        <v>3783</v>
      </c>
      <c r="JUC1115" s="379" t="s">
        <v>3783</v>
      </c>
      <c r="JUD1115" s="379" t="s">
        <v>3783</v>
      </c>
      <c r="JUE1115" s="379" t="s">
        <v>3783</v>
      </c>
      <c r="JUF1115" s="379" t="s">
        <v>3783</v>
      </c>
      <c r="JUG1115" s="379" t="s">
        <v>3783</v>
      </c>
      <c r="JUH1115" s="379" t="s">
        <v>3783</v>
      </c>
      <c r="JUI1115" s="379" t="s">
        <v>3783</v>
      </c>
      <c r="JUJ1115" s="379" t="s">
        <v>3783</v>
      </c>
      <c r="JUK1115" s="379" t="s">
        <v>3783</v>
      </c>
      <c r="JUL1115" s="379" t="s">
        <v>3783</v>
      </c>
      <c r="JUM1115" s="379" t="s">
        <v>3783</v>
      </c>
      <c r="JUN1115" s="379" t="s">
        <v>3783</v>
      </c>
      <c r="JUO1115" s="379" t="s">
        <v>3783</v>
      </c>
      <c r="JUP1115" s="379" t="s">
        <v>3783</v>
      </c>
      <c r="JUQ1115" s="379" t="s">
        <v>3783</v>
      </c>
      <c r="JUR1115" s="379" t="s">
        <v>3783</v>
      </c>
      <c r="JUS1115" s="379" t="s">
        <v>3783</v>
      </c>
      <c r="JUT1115" s="379" t="s">
        <v>3783</v>
      </c>
      <c r="JUU1115" s="379" t="s">
        <v>3783</v>
      </c>
      <c r="JUV1115" s="379" t="s">
        <v>3783</v>
      </c>
      <c r="JUW1115" s="379" t="s">
        <v>3783</v>
      </c>
      <c r="JUX1115" s="379" t="s">
        <v>3783</v>
      </c>
      <c r="JUY1115" s="379" t="s">
        <v>3783</v>
      </c>
      <c r="JUZ1115" s="379" t="s">
        <v>3783</v>
      </c>
      <c r="JVA1115" s="379" t="s">
        <v>3783</v>
      </c>
      <c r="JVB1115" s="379" t="s">
        <v>3783</v>
      </c>
      <c r="JVC1115" s="379" t="s">
        <v>3783</v>
      </c>
      <c r="JVD1115" s="379" t="s">
        <v>3783</v>
      </c>
      <c r="JVE1115" s="379" t="s">
        <v>3783</v>
      </c>
      <c r="JVF1115" s="379" t="s">
        <v>3783</v>
      </c>
      <c r="JVG1115" s="379" t="s">
        <v>3783</v>
      </c>
      <c r="JVH1115" s="379" t="s">
        <v>3783</v>
      </c>
      <c r="JVI1115" s="379" t="s">
        <v>3783</v>
      </c>
      <c r="JVJ1115" s="379" t="s">
        <v>3783</v>
      </c>
      <c r="JVK1115" s="379" t="s">
        <v>3783</v>
      </c>
      <c r="JVL1115" s="379" t="s">
        <v>3783</v>
      </c>
      <c r="JVM1115" s="379" t="s">
        <v>3783</v>
      </c>
      <c r="JVN1115" s="379" t="s">
        <v>3783</v>
      </c>
      <c r="JVO1115" s="379" t="s">
        <v>3783</v>
      </c>
      <c r="JVP1115" s="379" t="s">
        <v>3783</v>
      </c>
      <c r="JVQ1115" s="379" t="s">
        <v>3783</v>
      </c>
      <c r="JVR1115" s="379" t="s">
        <v>3783</v>
      </c>
      <c r="JVS1115" s="379" t="s">
        <v>3783</v>
      </c>
      <c r="JVT1115" s="379" t="s">
        <v>3783</v>
      </c>
      <c r="JVU1115" s="379" t="s">
        <v>3783</v>
      </c>
      <c r="JVV1115" s="379" t="s">
        <v>3783</v>
      </c>
      <c r="JVW1115" s="379" t="s">
        <v>3783</v>
      </c>
      <c r="JVX1115" s="379" t="s">
        <v>3783</v>
      </c>
      <c r="JVY1115" s="379" t="s">
        <v>3783</v>
      </c>
      <c r="JVZ1115" s="379" t="s">
        <v>3783</v>
      </c>
      <c r="JWA1115" s="379" t="s">
        <v>3783</v>
      </c>
      <c r="JWB1115" s="379" t="s">
        <v>3783</v>
      </c>
      <c r="JWC1115" s="379" t="s">
        <v>3783</v>
      </c>
      <c r="JWD1115" s="379" t="s">
        <v>3783</v>
      </c>
      <c r="JWE1115" s="379" t="s">
        <v>3783</v>
      </c>
      <c r="JWF1115" s="379" t="s">
        <v>3783</v>
      </c>
      <c r="JWG1115" s="379" t="s">
        <v>3783</v>
      </c>
      <c r="JWH1115" s="379" t="s">
        <v>3783</v>
      </c>
      <c r="JWI1115" s="379" t="s">
        <v>3783</v>
      </c>
      <c r="JWJ1115" s="379" t="s">
        <v>3783</v>
      </c>
      <c r="JWK1115" s="379" t="s">
        <v>3783</v>
      </c>
      <c r="JWL1115" s="379" t="s">
        <v>3783</v>
      </c>
      <c r="JWM1115" s="379" t="s">
        <v>3783</v>
      </c>
      <c r="JWN1115" s="379" t="s">
        <v>3783</v>
      </c>
      <c r="JWO1115" s="379" t="s">
        <v>3783</v>
      </c>
      <c r="JWP1115" s="379" t="s">
        <v>3783</v>
      </c>
      <c r="JWQ1115" s="379" t="s">
        <v>3783</v>
      </c>
      <c r="JWR1115" s="379" t="s">
        <v>3783</v>
      </c>
      <c r="JWS1115" s="379" t="s">
        <v>3783</v>
      </c>
      <c r="JWT1115" s="379" t="s">
        <v>3783</v>
      </c>
      <c r="JWU1115" s="379" t="s">
        <v>3783</v>
      </c>
      <c r="JWV1115" s="379" t="s">
        <v>3783</v>
      </c>
      <c r="JWW1115" s="379" t="s">
        <v>3783</v>
      </c>
      <c r="JWX1115" s="379" t="s">
        <v>3783</v>
      </c>
      <c r="JWY1115" s="379" t="s">
        <v>3783</v>
      </c>
      <c r="JWZ1115" s="379" t="s">
        <v>3783</v>
      </c>
      <c r="JXA1115" s="379" t="s">
        <v>3783</v>
      </c>
      <c r="JXB1115" s="379" t="s">
        <v>3783</v>
      </c>
      <c r="JXC1115" s="379" t="s">
        <v>3783</v>
      </c>
      <c r="JXD1115" s="379" t="s">
        <v>3783</v>
      </c>
      <c r="JXE1115" s="379" t="s">
        <v>3783</v>
      </c>
      <c r="JXF1115" s="379" t="s">
        <v>3783</v>
      </c>
      <c r="JXG1115" s="379" t="s">
        <v>3783</v>
      </c>
      <c r="JXH1115" s="379" t="s">
        <v>3783</v>
      </c>
      <c r="JXI1115" s="379" t="s">
        <v>3783</v>
      </c>
      <c r="JXJ1115" s="379" t="s">
        <v>3783</v>
      </c>
      <c r="JXK1115" s="379" t="s">
        <v>3783</v>
      </c>
      <c r="JXL1115" s="379" t="s">
        <v>3783</v>
      </c>
      <c r="JXM1115" s="379" t="s">
        <v>3783</v>
      </c>
      <c r="JXN1115" s="379" t="s">
        <v>3783</v>
      </c>
      <c r="JXO1115" s="379" t="s">
        <v>3783</v>
      </c>
      <c r="JXP1115" s="379" t="s">
        <v>3783</v>
      </c>
      <c r="JXQ1115" s="379" t="s">
        <v>3783</v>
      </c>
      <c r="JXR1115" s="379" t="s">
        <v>3783</v>
      </c>
      <c r="JXS1115" s="379" t="s">
        <v>3783</v>
      </c>
      <c r="JXT1115" s="379" t="s">
        <v>3783</v>
      </c>
      <c r="JXU1115" s="379" t="s">
        <v>3783</v>
      </c>
      <c r="JXV1115" s="379" t="s">
        <v>3783</v>
      </c>
      <c r="JXW1115" s="379" t="s">
        <v>3783</v>
      </c>
      <c r="JXX1115" s="379" t="s">
        <v>3783</v>
      </c>
      <c r="JXY1115" s="379" t="s">
        <v>3783</v>
      </c>
      <c r="JXZ1115" s="379" t="s">
        <v>3783</v>
      </c>
      <c r="JYA1115" s="379" t="s">
        <v>3783</v>
      </c>
      <c r="JYB1115" s="379" t="s">
        <v>3783</v>
      </c>
      <c r="JYC1115" s="379" t="s">
        <v>3783</v>
      </c>
      <c r="JYD1115" s="379" t="s">
        <v>3783</v>
      </c>
      <c r="JYE1115" s="379" t="s">
        <v>3783</v>
      </c>
      <c r="JYF1115" s="379" t="s">
        <v>3783</v>
      </c>
      <c r="JYG1115" s="379" t="s">
        <v>3783</v>
      </c>
      <c r="JYH1115" s="379" t="s">
        <v>3783</v>
      </c>
      <c r="JYI1115" s="379" t="s">
        <v>3783</v>
      </c>
      <c r="JYJ1115" s="379" t="s">
        <v>3783</v>
      </c>
      <c r="JYK1115" s="379" t="s">
        <v>3783</v>
      </c>
      <c r="JYL1115" s="379" t="s">
        <v>3783</v>
      </c>
      <c r="JYM1115" s="379" t="s">
        <v>3783</v>
      </c>
      <c r="JYN1115" s="379" t="s">
        <v>3783</v>
      </c>
      <c r="JYO1115" s="379" t="s">
        <v>3783</v>
      </c>
      <c r="JYP1115" s="379" t="s">
        <v>3783</v>
      </c>
      <c r="JYQ1115" s="379" t="s">
        <v>3783</v>
      </c>
      <c r="JYR1115" s="379" t="s">
        <v>3783</v>
      </c>
      <c r="JYS1115" s="379" t="s">
        <v>3783</v>
      </c>
      <c r="JYT1115" s="379" t="s">
        <v>3783</v>
      </c>
      <c r="JYU1115" s="379" t="s">
        <v>3783</v>
      </c>
      <c r="JYV1115" s="379" t="s">
        <v>3783</v>
      </c>
      <c r="JYW1115" s="379" t="s">
        <v>3783</v>
      </c>
      <c r="JYX1115" s="379" t="s">
        <v>3783</v>
      </c>
      <c r="JYY1115" s="379" t="s">
        <v>3783</v>
      </c>
      <c r="JYZ1115" s="379" t="s">
        <v>3783</v>
      </c>
      <c r="JZA1115" s="379" t="s">
        <v>3783</v>
      </c>
      <c r="JZB1115" s="379" t="s">
        <v>3783</v>
      </c>
      <c r="JZC1115" s="379" t="s">
        <v>3783</v>
      </c>
      <c r="JZD1115" s="379" t="s">
        <v>3783</v>
      </c>
      <c r="JZE1115" s="379" t="s">
        <v>3783</v>
      </c>
      <c r="JZF1115" s="379" t="s">
        <v>3783</v>
      </c>
      <c r="JZG1115" s="379" t="s">
        <v>3783</v>
      </c>
      <c r="JZH1115" s="379" t="s">
        <v>3783</v>
      </c>
      <c r="JZI1115" s="379" t="s">
        <v>3783</v>
      </c>
      <c r="JZJ1115" s="379" t="s">
        <v>3783</v>
      </c>
      <c r="JZK1115" s="379" t="s">
        <v>3783</v>
      </c>
      <c r="JZL1115" s="379" t="s">
        <v>3783</v>
      </c>
      <c r="JZM1115" s="379" t="s">
        <v>3783</v>
      </c>
      <c r="JZN1115" s="379" t="s">
        <v>3783</v>
      </c>
      <c r="JZO1115" s="379" t="s">
        <v>3783</v>
      </c>
      <c r="JZP1115" s="379" t="s">
        <v>3783</v>
      </c>
      <c r="JZQ1115" s="379" t="s">
        <v>3783</v>
      </c>
      <c r="JZR1115" s="379" t="s">
        <v>3783</v>
      </c>
      <c r="JZS1115" s="379" t="s">
        <v>3783</v>
      </c>
      <c r="JZT1115" s="379" t="s">
        <v>3783</v>
      </c>
      <c r="JZU1115" s="379" t="s">
        <v>3783</v>
      </c>
      <c r="JZV1115" s="379" t="s">
        <v>3783</v>
      </c>
      <c r="JZW1115" s="379" t="s">
        <v>3783</v>
      </c>
      <c r="JZX1115" s="379" t="s">
        <v>3783</v>
      </c>
      <c r="JZY1115" s="379" t="s">
        <v>3783</v>
      </c>
      <c r="JZZ1115" s="379" t="s">
        <v>3783</v>
      </c>
      <c r="KAA1115" s="379" t="s">
        <v>3783</v>
      </c>
      <c r="KAB1115" s="379" t="s">
        <v>3783</v>
      </c>
      <c r="KAC1115" s="379" t="s">
        <v>3783</v>
      </c>
      <c r="KAD1115" s="379" t="s">
        <v>3783</v>
      </c>
      <c r="KAE1115" s="379" t="s">
        <v>3783</v>
      </c>
      <c r="KAF1115" s="379" t="s">
        <v>3783</v>
      </c>
      <c r="KAG1115" s="379" t="s">
        <v>3783</v>
      </c>
      <c r="KAH1115" s="379" t="s">
        <v>3783</v>
      </c>
      <c r="KAI1115" s="379" t="s">
        <v>3783</v>
      </c>
      <c r="KAJ1115" s="379" t="s">
        <v>3783</v>
      </c>
      <c r="KAK1115" s="379" t="s">
        <v>3783</v>
      </c>
      <c r="KAL1115" s="379" t="s">
        <v>3783</v>
      </c>
      <c r="KAM1115" s="379" t="s">
        <v>3783</v>
      </c>
      <c r="KAN1115" s="379" t="s">
        <v>3783</v>
      </c>
      <c r="KAO1115" s="379" t="s">
        <v>3783</v>
      </c>
      <c r="KAP1115" s="379" t="s">
        <v>3783</v>
      </c>
      <c r="KAQ1115" s="379" t="s">
        <v>3783</v>
      </c>
      <c r="KAR1115" s="379" t="s">
        <v>3783</v>
      </c>
      <c r="KAS1115" s="379" t="s">
        <v>3783</v>
      </c>
      <c r="KAT1115" s="379" t="s">
        <v>3783</v>
      </c>
      <c r="KAU1115" s="379" t="s">
        <v>3783</v>
      </c>
      <c r="KAV1115" s="379" t="s">
        <v>3783</v>
      </c>
      <c r="KAW1115" s="379" t="s">
        <v>3783</v>
      </c>
      <c r="KAX1115" s="379" t="s">
        <v>3783</v>
      </c>
      <c r="KAY1115" s="379" t="s">
        <v>3783</v>
      </c>
      <c r="KAZ1115" s="379" t="s">
        <v>3783</v>
      </c>
      <c r="KBA1115" s="379" t="s">
        <v>3783</v>
      </c>
      <c r="KBB1115" s="379" t="s">
        <v>3783</v>
      </c>
      <c r="KBC1115" s="379" t="s">
        <v>3783</v>
      </c>
      <c r="KBD1115" s="379" t="s">
        <v>3783</v>
      </c>
      <c r="KBE1115" s="379" t="s">
        <v>3783</v>
      </c>
      <c r="KBF1115" s="379" t="s">
        <v>3783</v>
      </c>
      <c r="KBG1115" s="379" t="s">
        <v>3783</v>
      </c>
      <c r="KBH1115" s="379" t="s">
        <v>3783</v>
      </c>
      <c r="KBI1115" s="379" t="s">
        <v>3783</v>
      </c>
      <c r="KBJ1115" s="379" t="s">
        <v>3783</v>
      </c>
      <c r="KBK1115" s="379" t="s">
        <v>3783</v>
      </c>
      <c r="KBL1115" s="379" t="s">
        <v>3783</v>
      </c>
      <c r="KBM1115" s="379" t="s">
        <v>3783</v>
      </c>
      <c r="KBN1115" s="379" t="s">
        <v>3783</v>
      </c>
      <c r="KBO1115" s="379" t="s">
        <v>3783</v>
      </c>
      <c r="KBP1115" s="379" t="s">
        <v>3783</v>
      </c>
      <c r="KBQ1115" s="379" t="s">
        <v>3783</v>
      </c>
      <c r="KBR1115" s="379" t="s">
        <v>3783</v>
      </c>
      <c r="KBS1115" s="379" t="s">
        <v>3783</v>
      </c>
      <c r="KBT1115" s="379" t="s">
        <v>3783</v>
      </c>
      <c r="KBU1115" s="379" t="s">
        <v>3783</v>
      </c>
      <c r="KBV1115" s="379" t="s">
        <v>3783</v>
      </c>
      <c r="KBW1115" s="379" t="s">
        <v>3783</v>
      </c>
      <c r="KBX1115" s="379" t="s">
        <v>3783</v>
      </c>
      <c r="KBY1115" s="379" t="s">
        <v>3783</v>
      </c>
      <c r="KBZ1115" s="379" t="s">
        <v>3783</v>
      </c>
      <c r="KCA1115" s="379" t="s">
        <v>3783</v>
      </c>
      <c r="KCB1115" s="379" t="s">
        <v>3783</v>
      </c>
      <c r="KCC1115" s="379" t="s">
        <v>3783</v>
      </c>
      <c r="KCD1115" s="379" t="s">
        <v>3783</v>
      </c>
      <c r="KCE1115" s="379" t="s">
        <v>3783</v>
      </c>
      <c r="KCF1115" s="379" t="s">
        <v>3783</v>
      </c>
      <c r="KCG1115" s="379" t="s">
        <v>3783</v>
      </c>
      <c r="KCH1115" s="379" t="s">
        <v>3783</v>
      </c>
      <c r="KCI1115" s="379" t="s">
        <v>3783</v>
      </c>
      <c r="KCJ1115" s="379" t="s">
        <v>3783</v>
      </c>
      <c r="KCK1115" s="379" t="s">
        <v>3783</v>
      </c>
      <c r="KCL1115" s="379" t="s">
        <v>3783</v>
      </c>
      <c r="KCM1115" s="379" t="s">
        <v>3783</v>
      </c>
      <c r="KCN1115" s="379" t="s">
        <v>3783</v>
      </c>
      <c r="KCO1115" s="379" t="s">
        <v>3783</v>
      </c>
      <c r="KCP1115" s="379" t="s">
        <v>3783</v>
      </c>
      <c r="KCQ1115" s="379" t="s">
        <v>3783</v>
      </c>
      <c r="KCR1115" s="379" t="s">
        <v>3783</v>
      </c>
      <c r="KCS1115" s="379" t="s">
        <v>3783</v>
      </c>
      <c r="KCT1115" s="379" t="s">
        <v>3783</v>
      </c>
      <c r="KCU1115" s="379" t="s">
        <v>3783</v>
      </c>
      <c r="KCV1115" s="379" t="s">
        <v>3783</v>
      </c>
      <c r="KCW1115" s="379" t="s">
        <v>3783</v>
      </c>
      <c r="KCX1115" s="379" t="s">
        <v>3783</v>
      </c>
      <c r="KCY1115" s="379" t="s">
        <v>3783</v>
      </c>
      <c r="KCZ1115" s="379" t="s">
        <v>3783</v>
      </c>
      <c r="KDA1115" s="379" t="s">
        <v>3783</v>
      </c>
      <c r="KDB1115" s="379" t="s">
        <v>3783</v>
      </c>
      <c r="KDC1115" s="379" t="s">
        <v>3783</v>
      </c>
      <c r="KDD1115" s="379" t="s">
        <v>3783</v>
      </c>
      <c r="KDE1115" s="379" t="s">
        <v>3783</v>
      </c>
      <c r="KDF1115" s="379" t="s">
        <v>3783</v>
      </c>
      <c r="KDG1115" s="379" t="s">
        <v>3783</v>
      </c>
      <c r="KDH1115" s="379" t="s">
        <v>3783</v>
      </c>
      <c r="KDI1115" s="379" t="s">
        <v>3783</v>
      </c>
      <c r="KDJ1115" s="379" t="s">
        <v>3783</v>
      </c>
      <c r="KDK1115" s="379" t="s">
        <v>3783</v>
      </c>
      <c r="KDL1115" s="379" t="s">
        <v>3783</v>
      </c>
      <c r="KDM1115" s="379" t="s">
        <v>3783</v>
      </c>
      <c r="KDN1115" s="379" t="s">
        <v>3783</v>
      </c>
      <c r="KDO1115" s="379" t="s">
        <v>3783</v>
      </c>
      <c r="KDP1115" s="379" t="s">
        <v>3783</v>
      </c>
      <c r="KDQ1115" s="379" t="s">
        <v>3783</v>
      </c>
      <c r="KDR1115" s="379" t="s">
        <v>3783</v>
      </c>
      <c r="KDS1115" s="379" t="s">
        <v>3783</v>
      </c>
      <c r="KDT1115" s="379" t="s">
        <v>3783</v>
      </c>
      <c r="KDU1115" s="379" t="s">
        <v>3783</v>
      </c>
      <c r="KDV1115" s="379" t="s">
        <v>3783</v>
      </c>
      <c r="KDW1115" s="379" t="s">
        <v>3783</v>
      </c>
      <c r="KDX1115" s="379" t="s">
        <v>3783</v>
      </c>
      <c r="KDY1115" s="379" t="s">
        <v>3783</v>
      </c>
      <c r="KDZ1115" s="379" t="s">
        <v>3783</v>
      </c>
      <c r="KEA1115" s="379" t="s">
        <v>3783</v>
      </c>
      <c r="KEB1115" s="379" t="s">
        <v>3783</v>
      </c>
      <c r="KEC1115" s="379" t="s">
        <v>3783</v>
      </c>
      <c r="KED1115" s="379" t="s">
        <v>3783</v>
      </c>
      <c r="KEE1115" s="379" t="s">
        <v>3783</v>
      </c>
      <c r="KEF1115" s="379" t="s">
        <v>3783</v>
      </c>
      <c r="KEG1115" s="379" t="s">
        <v>3783</v>
      </c>
      <c r="KEH1115" s="379" t="s">
        <v>3783</v>
      </c>
      <c r="KEI1115" s="379" t="s">
        <v>3783</v>
      </c>
      <c r="KEJ1115" s="379" t="s">
        <v>3783</v>
      </c>
      <c r="KEK1115" s="379" t="s">
        <v>3783</v>
      </c>
      <c r="KEL1115" s="379" t="s">
        <v>3783</v>
      </c>
      <c r="KEM1115" s="379" t="s">
        <v>3783</v>
      </c>
      <c r="KEN1115" s="379" t="s">
        <v>3783</v>
      </c>
      <c r="KEO1115" s="379" t="s">
        <v>3783</v>
      </c>
      <c r="KEP1115" s="379" t="s">
        <v>3783</v>
      </c>
      <c r="KEQ1115" s="379" t="s">
        <v>3783</v>
      </c>
      <c r="KER1115" s="379" t="s">
        <v>3783</v>
      </c>
      <c r="KES1115" s="379" t="s">
        <v>3783</v>
      </c>
      <c r="KET1115" s="379" t="s">
        <v>3783</v>
      </c>
      <c r="KEU1115" s="379" t="s">
        <v>3783</v>
      </c>
      <c r="KEV1115" s="379" t="s">
        <v>3783</v>
      </c>
      <c r="KEW1115" s="379" t="s">
        <v>3783</v>
      </c>
      <c r="KEX1115" s="379" t="s">
        <v>3783</v>
      </c>
      <c r="KEY1115" s="379" t="s">
        <v>3783</v>
      </c>
      <c r="KEZ1115" s="379" t="s">
        <v>3783</v>
      </c>
      <c r="KFA1115" s="379" t="s">
        <v>3783</v>
      </c>
      <c r="KFB1115" s="379" t="s">
        <v>3783</v>
      </c>
      <c r="KFC1115" s="379" t="s">
        <v>3783</v>
      </c>
      <c r="KFD1115" s="379" t="s">
        <v>3783</v>
      </c>
      <c r="KFE1115" s="379" t="s">
        <v>3783</v>
      </c>
      <c r="KFF1115" s="379" t="s">
        <v>3783</v>
      </c>
      <c r="KFG1115" s="379" t="s">
        <v>3783</v>
      </c>
      <c r="KFH1115" s="379" t="s">
        <v>3783</v>
      </c>
      <c r="KFI1115" s="379" t="s">
        <v>3783</v>
      </c>
      <c r="KFJ1115" s="379" t="s">
        <v>3783</v>
      </c>
      <c r="KFK1115" s="379" t="s">
        <v>3783</v>
      </c>
      <c r="KFL1115" s="379" t="s">
        <v>3783</v>
      </c>
      <c r="KFM1115" s="379" t="s">
        <v>3783</v>
      </c>
      <c r="KFN1115" s="379" t="s">
        <v>3783</v>
      </c>
      <c r="KFO1115" s="379" t="s">
        <v>3783</v>
      </c>
      <c r="KFP1115" s="379" t="s">
        <v>3783</v>
      </c>
      <c r="KFQ1115" s="379" t="s">
        <v>3783</v>
      </c>
      <c r="KFR1115" s="379" t="s">
        <v>3783</v>
      </c>
      <c r="KFS1115" s="379" t="s">
        <v>3783</v>
      </c>
      <c r="KFT1115" s="379" t="s">
        <v>3783</v>
      </c>
      <c r="KFU1115" s="379" t="s">
        <v>3783</v>
      </c>
      <c r="KFV1115" s="379" t="s">
        <v>3783</v>
      </c>
      <c r="KFW1115" s="379" t="s">
        <v>3783</v>
      </c>
      <c r="KFX1115" s="379" t="s">
        <v>3783</v>
      </c>
      <c r="KFY1115" s="379" t="s">
        <v>3783</v>
      </c>
      <c r="KFZ1115" s="379" t="s">
        <v>3783</v>
      </c>
      <c r="KGA1115" s="379" t="s">
        <v>3783</v>
      </c>
      <c r="KGB1115" s="379" t="s">
        <v>3783</v>
      </c>
      <c r="KGC1115" s="379" t="s">
        <v>3783</v>
      </c>
      <c r="KGD1115" s="379" t="s">
        <v>3783</v>
      </c>
      <c r="KGE1115" s="379" t="s">
        <v>3783</v>
      </c>
      <c r="KGF1115" s="379" t="s">
        <v>3783</v>
      </c>
      <c r="KGG1115" s="379" t="s">
        <v>3783</v>
      </c>
      <c r="KGH1115" s="379" t="s">
        <v>3783</v>
      </c>
      <c r="KGI1115" s="379" t="s">
        <v>3783</v>
      </c>
      <c r="KGJ1115" s="379" t="s">
        <v>3783</v>
      </c>
      <c r="KGK1115" s="379" t="s">
        <v>3783</v>
      </c>
      <c r="KGL1115" s="379" t="s">
        <v>3783</v>
      </c>
      <c r="KGM1115" s="379" t="s">
        <v>3783</v>
      </c>
      <c r="KGN1115" s="379" t="s">
        <v>3783</v>
      </c>
      <c r="KGO1115" s="379" t="s">
        <v>3783</v>
      </c>
      <c r="KGP1115" s="379" t="s">
        <v>3783</v>
      </c>
      <c r="KGQ1115" s="379" t="s">
        <v>3783</v>
      </c>
      <c r="KGR1115" s="379" t="s">
        <v>3783</v>
      </c>
      <c r="KGS1115" s="379" t="s">
        <v>3783</v>
      </c>
      <c r="KGT1115" s="379" t="s">
        <v>3783</v>
      </c>
      <c r="KGU1115" s="379" t="s">
        <v>3783</v>
      </c>
      <c r="KGV1115" s="379" t="s">
        <v>3783</v>
      </c>
      <c r="KGW1115" s="379" t="s">
        <v>3783</v>
      </c>
      <c r="KGX1115" s="379" t="s">
        <v>3783</v>
      </c>
      <c r="KGY1115" s="379" t="s">
        <v>3783</v>
      </c>
      <c r="KGZ1115" s="379" t="s">
        <v>3783</v>
      </c>
      <c r="KHA1115" s="379" t="s">
        <v>3783</v>
      </c>
      <c r="KHB1115" s="379" t="s">
        <v>3783</v>
      </c>
      <c r="KHC1115" s="379" t="s">
        <v>3783</v>
      </c>
      <c r="KHD1115" s="379" t="s">
        <v>3783</v>
      </c>
      <c r="KHE1115" s="379" t="s">
        <v>3783</v>
      </c>
      <c r="KHF1115" s="379" t="s">
        <v>3783</v>
      </c>
      <c r="KHG1115" s="379" t="s">
        <v>3783</v>
      </c>
      <c r="KHH1115" s="379" t="s">
        <v>3783</v>
      </c>
      <c r="KHI1115" s="379" t="s">
        <v>3783</v>
      </c>
      <c r="KHJ1115" s="379" t="s">
        <v>3783</v>
      </c>
      <c r="KHK1115" s="379" t="s">
        <v>3783</v>
      </c>
      <c r="KHL1115" s="379" t="s">
        <v>3783</v>
      </c>
      <c r="KHM1115" s="379" t="s">
        <v>3783</v>
      </c>
      <c r="KHN1115" s="379" t="s">
        <v>3783</v>
      </c>
      <c r="KHO1115" s="379" t="s">
        <v>3783</v>
      </c>
      <c r="KHP1115" s="379" t="s">
        <v>3783</v>
      </c>
      <c r="KHQ1115" s="379" t="s">
        <v>3783</v>
      </c>
      <c r="KHR1115" s="379" t="s">
        <v>3783</v>
      </c>
      <c r="KHS1115" s="379" t="s">
        <v>3783</v>
      </c>
      <c r="KHT1115" s="379" t="s">
        <v>3783</v>
      </c>
      <c r="KHU1115" s="379" t="s">
        <v>3783</v>
      </c>
      <c r="KHV1115" s="379" t="s">
        <v>3783</v>
      </c>
      <c r="KHW1115" s="379" t="s">
        <v>3783</v>
      </c>
      <c r="KHX1115" s="379" t="s">
        <v>3783</v>
      </c>
      <c r="KHY1115" s="379" t="s">
        <v>3783</v>
      </c>
      <c r="KHZ1115" s="379" t="s">
        <v>3783</v>
      </c>
      <c r="KIA1115" s="379" t="s">
        <v>3783</v>
      </c>
      <c r="KIB1115" s="379" t="s">
        <v>3783</v>
      </c>
      <c r="KIC1115" s="379" t="s">
        <v>3783</v>
      </c>
      <c r="KID1115" s="379" t="s">
        <v>3783</v>
      </c>
      <c r="KIE1115" s="379" t="s">
        <v>3783</v>
      </c>
      <c r="KIF1115" s="379" t="s">
        <v>3783</v>
      </c>
      <c r="KIG1115" s="379" t="s">
        <v>3783</v>
      </c>
      <c r="KIH1115" s="379" t="s">
        <v>3783</v>
      </c>
      <c r="KII1115" s="379" t="s">
        <v>3783</v>
      </c>
      <c r="KIJ1115" s="379" t="s">
        <v>3783</v>
      </c>
      <c r="KIK1115" s="379" t="s">
        <v>3783</v>
      </c>
      <c r="KIL1115" s="379" t="s">
        <v>3783</v>
      </c>
      <c r="KIM1115" s="379" t="s">
        <v>3783</v>
      </c>
      <c r="KIN1115" s="379" t="s">
        <v>3783</v>
      </c>
      <c r="KIO1115" s="379" t="s">
        <v>3783</v>
      </c>
      <c r="KIP1115" s="379" t="s">
        <v>3783</v>
      </c>
      <c r="KIQ1115" s="379" t="s">
        <v>3783</v>
      </c>
      <c r="KIR1115" s="379" t="s">
        <v>3783</v>
      </c>
      <c r="KIS1115" s="379" t="s">
        <v>3783</v>
      </c>
      <c r="KIT1115" s="379" t="s">
        <v>3783</v>
      </c>
      <c r="KIU1115" s="379" t="s">
        <v>3783</v>
      </c>
      <c r="KIV1115" s="379" t="s">
        <v>3783</v>
      </c>
      <c r="KIW1115" s="379" t="s">
        <v>3783</v>
      </c>
      <c r="KIX1115" s="379" t="s">
        <v>3783</v>
      </c>
      <c r="KIY1115" s="379" t="s">
        <v>3783</v>
      </c>
      <c r="KIZ1115" s="379" t="s">
        <v>3783</v>
      </c>
      <c r="KJA1115" s="379" t="s">
        <v>3783</v>
      </c>
      <c r="KJB1115" s="379" t="s">
        <v>3783</v>
      </c>
      <c r="KJC1115" s="379" t="s">
        <v>3783</v>
      </c>
      <c r="KJD1115" s="379" t="s">
        <v>3783</v>
      </c>
      <c r="KJE1115" s="379" t="s">
        <v>3783</v>
      </c>
      <c r="KJF1115" s="379" t="s">
        <v>3783</v>
      </c>
      <c r="KJG1115" s="379" t="s">
        <v>3783</v>
      </c>
      <c r="KJH1115" s="379" t="s">
        <v>3783</v>
      </c>
      <c r="KJI1115" s="379" t="s">
        <v>3783</v>
      </c>
      <c r="KJJ1115" s="379" t="s">
        <v>3783</v>
      </c>
      <c r="KJK1115" s="379" t="s">
        <v>3783</v>
      </c>
      <c r="KJL1115" s="379" t="s">
        <v>3783</v>
      </c>
      <c r="KJM1115" s="379" t="s">
        <v>3783</v>
      </c>
      <c r="KJN1115" s="379" t="s">
        <v>3783</v>
      </c>
      <c r="KJO1115" s="379" t="s">
        <v>3783</v>
      </c>
      <c r="KJP1115" s="379" t="s">
        <v>3783</v>
      </c>
      <c r="KJQ1115" s="379" t="s">
        <v>3783</v>
      </c>
      <c r="KJR1115" s="379" t="s">
        <v>3783</v>
      </c>
      <c r="KJS1115" s="379" t="s">
        <v>3783</v>
      </c>
      <c r="KJT1115" s="379" t="s">
        <v>3783</v>
      </c>
      <c r="KJU1115" s="379" t="s">
        <v>3783</v>
      </c>
      <c r="KJV1115" s="379" t="s">
        <v>3783</v>
      </c>
      <c r="KJW1115" s="379" t="s">
        <v>3783</v>
      </c>
      <c r="KJX1115" s="379" t="s">
        <v>3783</v>
      </c>
      <c r="KJY1115" s="379" t="s">
        <v>3783</v>
      </c>
      <c r="KJZ1115" s="379" t="s">
        <v>3783</v>
      </c>
      <c r="KKA1115" s="379" t="s">
        <v>3783</v>
      </c>
      <c r="KKB1115" s="379" t="s">
        <v>3783</v>
      </c>
      <c r="KKC1115" s="379" t="s">
        <v>3783</v>
      </c>
      <c r="KKD1115" s="379" t="s">
        <v>3783</v>
      </c>
      <c r="KKE1115" s="379" t="s">
        <v>3783</v>
      </c>
      <c r="KKF1115" s="379" t="s">
        <v>3783</v>
      </c>
      <c r="KKG1115" s="379" t="s">
        <v>3783</v>
      </c>
      <c r="KKH1115" s="379" t="s">
        <v>3783</v>
      </c>
      <c r="KKI1115" s="379" t="s">
        <v>3783</v>
      </c>
      <c r="KKJ1115" s="379" t="s">
        <v>3783</v>
      </c>
      <c r="KKK1115" s="379" t="s">
        <v>3783</v>
      </c>
      <c r="KKL1115" s="379" t="s">
        <v>3783</v>
      </c>
      <c r="KKM1115" s="379" t="s">
        <v>3783</v>
      </c>
      <c r="KKN1115" s="379" t="s">
        <v>3783</v>
      </c>
      <c r="KKO1115" s="379" t="s">
        <v>3783</v>
      </c>
      <c r="KKP1115" s="379" t="s">
        <v>3783</v>
      </c>
      <c r="KKQ1115" s="379" t="s">
        <v>3783</v>
      </c>
      <c r="KKR1115" s="379" t="s">
        <v>3783</v>
      </c>
      <c r="KKS1115" s="379" t="s">
        <v>3783</v>
      </c>
      <c r="KKT1115" s="379" t="s">
        <v>3783</v>
      </c>
      <c r="KKU1115" s="379" t="s">
        <v>3783</v>
      </c>
      <c r="KKV1115" s="379" t="s">
        <v>3783</v>
      </c>
      <c r="KKW1115" s="379" t="s">
        <v>3783</v>
      </c>
      <c r="KKX1115" s="379" t="s">
        <v>3783</v>
      </c>
      <c r="KKY1115" s="379" t="s">
        <v>3783</v>
      </c>
      <c r="KKZ1115" s="379" t="s">
        <v>3783</v>
      </c>
      <c r="KLA1115" s="379" t="s">
        <v>3783</v>
      </c>
      <c r="KLB1115" s="379" t="s">
        <v>3783</v>
      </c>
      <c r="KLC1115" s="379" t="s">
        <v>3783</v>
      </c>
      <c r="KLD1115" s="379" t="s">
        <v>3783</v>
      </c>
      <c r="KLE1115" s="379" t="s">
        <v>3783</v>
      </c>
      <c r="KLF1115" s="379" t="s">
        <v>3783</v>
      </c>
      <c r="KLG1115" s="379" t="s">
        <v>3783</v>
      </c>
      <c r="KLH1115" s="379" t="s">
        <v>3783</v>
      </c>
      <c r="KLI1115" s="379" t="s">
        <v>3783</v>
      </c>
      <c r="KLJ1115" s="379" t="s">
        <v>3783</v>
      </c>
      <c r="KLK1115" s="379" t="s">
        <v>3783</v>
      </c>
      <c r="KLL1115" s="379" t="s">
        <v>3783</v>
      </c>
      <c r="KLM1115" s="379" t="s">
        <v>3783</v>
      </c>
      <c r="KLN1115" s="379" t="s">
        <v>3783</v>
      </c>
      <c r="KLO1115" s="379" t="s">
        <v>3783</v>
      </c>
      <c r="KLP1115" s="379" t="s">
        <v>3783</v>
      </c>
      <c r="KLQ1115" s="379" t="s">
        <v>3783</v>
      </c>
      <c r="KLR1115" s="379" t="s">
        <v>3783</v>
      </c>
      <c r="KLS1115" s="379" t="s">
        <v>3783</v>
      </c>
      <c r="KLT1115" s="379" t="s">
        <v>3783</v>
      </c>
      <c r="KLU1115" s="379" t="s">
        <v>3783</v>
      </c>
      <c r="KLV1115" s="379" t="s">
        <v>3783</v>
      </c>
      <c r="KLW1115" s="379" t="s">
        <v>3783</v>
      </c>
      <c r="KLX1115" s="379" t="s">
        <v>3783</v>
      </c>
      <c r="KLY1115" s="379" t="s">
        <v>3783</v>
      </c>
      <c r="KLZ1115" s="379" t="s">
        <v>3783</v>
      </c>
      <c r="KMA1115" s="379" t="s">
        <v>3783</v>
      </c>
      <c r="KMB1115" s="379" t="s">
        <v>3783</v>
      </c>
      <c r="KMC1115" s="379" t="s">
        <v>3783</v>
      </c>
      <c r="KMD1115" s="379" t="s">
        <v>3783</v>
      </c>
      <c r="KME1115" s="379" t="s">
        <v>3783</v>
      </c>
      <c r="KMF1115" s="379" t="s">
        <v>3783</v>
      </c>
      <c r="KMG1115" s="379" t="s">
        <v>3783</v>
      </c>
      <c r="KMH1115" s="379" t="s">
        <v>3783</v>
      </c>
      <c r="KMI1115" s="379" t="s">
        <v>3783</v>
      </c>
      <c r="KMJ1115" s="379" t="s">
        <v>3783</v>
      </c>
      <c r="KMK1115" s="379" t="s">
        <v>3783</v>
      </c>
      <c r="KML1115" s="379" t="s">
        <v>3783</v>
      </c>
      <c r="KMM1115" s="379" t="s">
        <v>3783</v>
      </c>
      <c r="KMN1115" s="379" t="s">
        <v>3783</v>
      </c>
      <c r="KMO1115" s="379" t="s">
        <v>3783</v>
      </c>
      <c r="KMP1115" s="379" t="s">
        <v>3783</v>
      </c>
      <c r="KMQ1115" s="379" t="s">
        <v>3783</v>
      </c>
      <c r="KMR1115" s="379" t="s">
        <v>3783</v>
      </c>
      <c r="KMS1115" s="379" t="s">
        <v>3783</v>
      </c>
      <c r="KMT1115" s="379" t="s">
        <v>3783</v>
      </c>
      <c r="KMU1115" s="379" t="s">
        <v>3783</v>
      </c>
      <c r="KMV1115" s="379" t="s">
        <v>3783</v>
      </c>
      <c r="KMW1115" s="379" t="s">
        <v>3783</v>
      </c>
      <c r="KMX1115" s="379" t="s">
        <v>3783</v>
      </c>
      <c r="KMY1115" s="379" t="s">
        <v>3783</v>
      </c>
      <c r="KMZ1115" s="379" t="s">
        <v>3783</v>
      </c>
      <c r="KNA1115" s="379" t="s">
        <v>3783</v>
      </c>
      <c r="KNB1115" s="379" t="s">
        <v>3783</v>
      </c>
      <c r="KNC1115" s="379" t="s">
        <v>3783</v>
      </c>
      <c r="KND1115" s="379" t="s">
        <v>3783</v>
      </c>
      <c r="KNE1115" s="379" t="s">
        <v>3783</v>
      </c>
      <c r="KNF1115" s="379" t="s">
        <v>3783</v>
      </c>
      <c r="KNG1115" s="379" t="s">
        <v>3783</v>
      </c>
      <c r="KNH1115" s="379" t="s">
        <v>3783</v>
      </c>
      <c r="KNI1115" s="379" t="s">
        <v>3783</v>
      </c>
      <c r="KNJ1115" s="379" t="s">
        <v>3783</v>
      </c>
      <c r="KNK1115" s="379" t="s">
        <v>3783</v>
      </c>
      <c r="KNL1115" s="379" t="s">
        <v>3783</v>
      </c>
      <c r="KNM1115" s="379" t="s">
        <v>3783</v>
      </c>
      <c r="KNN1115" s="379" t="s">
        <v>3783</v>
      </c>
      <c r="KNO1115" s="379" t="s">
        <v>3783</v>
      </c>
      <c r="KNP1115" s="379" t="s">
        <v>3783</v>
      </c>
      <c r="KNQ1115" s="379" t="s">
        <v>3783</v>
      </c>
      <c r="KNR1115" s="379" t="s">
        <v>3783</v>
      </c>
      <c r="KNS1115" s="379" t="s">
        <v>3783</v>
      </c>
      <c r="KNT1115" s="379" t="s">
        <v>3783</v>
      </c>
      <c r="KNU1115" s="379" t="s">
        <v>3783</v>
      </c>
      <c r="KNV1115" s="379" t="s">
        <v>3783</v>
      </c>
      <c r="KNW1115" s="379" t="s">
        <v>3783</v>
      </c>
      <c r="KNX1115" s="379" t="s">
        <v>3783</v>
      </c>
      <c r="KNY1115" s="379" t="s">
        <v>3783</v>
      </c>
      <c r="KNZ1115" s="379" t="s">
        <v>3783</v>
      </c>
      <c r="KOA1115" s="379" t="s">
        <v>3783</v>
      </c>
      <c r="KOB1115" s="379" t="s">
        <v>3783</v>
      </c>
      <c r="KOC1115" s="379" t="s">
        <v>3783</v>
      </c>
      <c r="KOD1115" s="379" t="s">
        <v>3783</v>
      </c>
      <c r="KOE1115" s="379" t="s">
        <v>3783</v>
      </c>
      <c r="KOF1115" s="379" t="s">
        <v>3783</v>
      </c>
      <c r="KOG1115" s="379" t="s">
        <v>3783</v>
      </c>
      <c r="KOH1115" s="379" t="s">
        <v>3783</v>
      </c>
      <c r="KOI1115" s="379" t="s">
        <v>3783</v>
      </c>
      <c r="KOJ1115" s="379" t="s">
        <v>3783</v>
      </c>
      <c r="KOK1115" s="379" t="s">
        <v>3783</v>
      </c>
      <c r="KOL1115" s="379" t="s">
        <v>3783</v>
      </c>
      <c r="KOM1115" s="379" t="s">
        <v>3783</v>
      </c>
      <c r="KON1115" s="379" t="s">
        <v>3783</v>
      </c>
      <c r="KOO1115" s="379" t="s">
        <v>3783</v>
      </c>
      <c r="KOP1115" s="379" t="s">
        <v>3783</v>
      </c>
      <c r="KOQ1115" s="379" t="s">
        <v>3783</v>
      </c>
      <c r="KOR1115" s="379" t="s">
        <v>3783</v>
      </c>
      <c r="KOS1115" s="379" t="s">
        <v>3783</v>
      </c>
      <c r="KOT1115" s="379" t="s">
        <v>3783</v>
      </c>
      <c r="KOU1115" s="379" t="s">
        <v>3783</v>
      </c>
      <c r="KOV1115" s="379" t="s">
        <v>3783</v>
      </c>
      <c r="KOW1115" s="379" t="s">
        <v>3783</v>
      </c>
      <c r="KOX1115" s="379" t="s">
        <v>3783</v>
      </c>
      <c r="KOY1115" s="379" t="s">
        <v>3783</v>
      </c>
      <c r="KOZ1115" s="379" t="s">
        <v>3783</v>
      </c>
      <c r="KPA1115" s="379" t="s">
        <v>3783</v>
      </c>
      <c r="KPB1115" s="379" t="s">
        <v>3783</v>
      </c>
      <c r="KPC1115" s="379" t="s">
        <v>3783</v>
      </c>
      <c r="KPD1115" s="379" t="s">
        <v>3783</v>
      </c>
      <c r="KPE1115" s="379" t="s">
        <v>3783</v>
      </c>
      <c r="KPF1115" s="379" t="s">
        <v>3783</v>
      </c>
      <c r="KPG1115" s="379" t="s">
        <v>3783</v>
      </c>
      <c r="KPH1115" s="379" t="s">
        <v>3783</v>
      </c>
      <c r="KPI1115" s="379" t="s">
        <v>3783</v>
      </c>
      <c r="KPJ1115" s="379" t="s">
        <v>3783</v>
      </c>
      <c r="KPK1115" s="379" t="s">
        <v>3783</v>
      </c>
      <c r="KPL1115" s="379" t="s">
        <v>3783</v>
      </c>
      <c r="KPM1115" s="379" t="s">
        <v>3783</v>
      </c>
      <c r="KPN1115" s="379" t="s">
        <v>3783</v>
      </c>
      <c r="KPO1115" s="379" t="s">
        <v>3783</v>
      </c>
      <c r="KPP1115" s="379" t="s">
        <v>3783</v>
      </c>
      <c r="KPQ1115" s="379" t="s">
        <v>3783</v>
      </c>
      <c r="KPR1115" s="379" t="s">
        <v>3783</v>
      </c>
      <c r="KPS1115" s="379" t="s">
        <v>3783</v>
      </c>
      <c r="KPT1115" s="379" t="s">
        <v>3783</v>
      </c>
      <c r="KPU1115" s="379" t="s">
        <v>3783</v>
      </c>
      <c r="KPV1115" s="379" t="s">
        <v>3783</v>
      </c>
      <c r="KPW1115" s="379" t="s">
        <v>3783</v>
      </c>
      <c r="KPX1115" s="379" t="s">
        <v>3783</v>
      </c>
      <c r="KPY1115" s="379" t="s">
        <v>3783</v>
      </c>
      <c r="KPZ1115" s="379" t="s">
        <v>3783</v>
      </c>
      <c r="KQA1115" s="379" t="s">
        <v>3783</v>
      </c>
      <c r="KQB1115" s="379" t="s">
        <v>3783</v>
      </c>
      <c r="KQC1115" s="379" t="s">
        <v>3783</v>
      </c>
      <c r="KQD1115" s="379" t="s">
        <v>3783</v>
      </c>
      <c r="KQE1115" s="379" t="s">
        <v>3783</v>
      </c>
      <c r="KQF1115" s="379" t="s">
        <v>3783</v>
      </c>
      <c r="KQG1115" s="379" t="s">
        <v>3783</v>
      </c>
      <c r="KQH1115" s="379" t="s">
        <v>3783</v>
      </c>
      <c r="KQI1115" s="379" t="s">
        <v>3783</v>
      </c>
      <c r="KQJ1115" s="379" t="s">
        <v>3783</v>
      </c>
      <c r="KQK1115" s="379" t="s">
        <v>3783</v>
      </c>
      <c r="KQL1115" s="379" t="s">
        <v>3783</v>
      </c>
      <c r="KQM1115" s="379" t="s">
        <v>3783</v>
      </c>
      <c r="KQN1115" s="379" t="s">
        <v>3783</v>
      </c>
      <c r="KQO1115" s="379" t="s">
        <v>3783</v>
      </c>
      <c r="KQP1115" s="379" t="s">
        <v>3783</v>
      </c>
      <c r="KQQ1115" s="379" t="s">
        <v>3783</v>
      </c>
      <c r="KQR1115" s="379" t="s">
        <v>3783</v>
      </c>
      <c r="KQS1115" s="379" t="s">
        <v>3783</v>
      </c>
      <c r="KQT1115" s="379" t="s">
        <v>3783</v>
      </c>
      <c r="KQU1115" s="379" t="s">
        <v>3783</v>
      </c>
      <c r="KQV1115" s="379" t="s">
        <v>3783</v>
      </c>
      <c r="KQW1115" s="379" t="s">
        <v>3783</v>
      </c>
      <c r="KQX1115" s="379" t="s">
        <v>3783</v>
      </c>
      <c r="KQY1115" s="379" t="s">
        <v>3783</v>
      </c>
      <c r="KQZ1115" s="379" t="s">
        <v>3783</v>
      </c>
      <c r="KRA1115" s="379" t="s">
        <v>3783</v>
      </c>
      <c r="KRB1115" s="379" t="s">
        <v>3783</v>
      </c>
      <c r="KRC1115" s="379" t="s">
        <v>3783</v>
      </c>
      <c r="KRD1115" s="379" t="s">
        <v>3783</v>
      </c>
      <c r="KRE1115" s="379" t="s">
        <v>3783</v>
      </c>
      <c r="KRF1115" s="379" t="s">
        <v>3783</v>
      </c>
      <c r="KRG1115" s="379" t="s">
        <v>3783</v>
      </c>
      <c r="KRH1115" s="379" t="s">
        <v>3783</v>
      </c>
      <c r="KRI1115" s="379" t="s">
        <v>3783</v>
      </c>
      <c r="KRJ1115" s="379" t="s">
        <v>3783</v>
      </c>
      <c r="KRK1115" s="379" t="s">
        <v>3783</v>
      </c>
      <c r="KRL1115" s="379" t="s">
        <v>3783</v>
      </c>
      <c r="KRM1115" s="379" t="s">
        <v>3783</v>
      </c>
      <c r="KRN1115" s="379" t="s">
        <v>3783</v>
      </c>
      <c r="KRO1115" s="379" t="s">
        <v>3783</v>
      </c>
      <c r="KRP1115" s="379" t="s">
        <v>3783</v>
      </c>
      <c r="KRQ1115" s="379" t="s">
        <v>3783</v>
      </c>
      <c r="KRR1115" s="379" t="s">
        <v>3783</v>
      </c>
      <c r="KRS1115" s="379" t="s">
        <v>3783</v>
      </c>
      <c r="KRT1115" s="379" t="s">
        <v>3783</v>
      </c>
      <c r="KRU1115" s="379" t="s">
        <v>3783</v>
      </c>
      <c r="KRV1115" s="379" t="s">
        <v>3783</v>
      </c>
      <c r="KRW1115" s="379" t="s">
        <v>3783</v>
      </c>
      <c r="KRX1115" s="379" t="s">
        <v>3783</v>
      </c>
      <c r="KRY1115" s="379" t="s">
        <v>3783</v>
      </c>
      <c r="KRZ1115" s="379" t="s">
        <v>3783</v>
      </c>
      <c r="KSA1115" s="379" t="s">
        <v>3783</v>
      </c>
      <c r="KSB1115" s="379" t="s">
        <v>3783</v>
      </c>
      <c r="KSC1115" s="379" t="s">
        <v>3783</v>
      </c>
      <c r="KSD1115" s="379" t="s">
        <v>3783</v>
      </c>
      <c r="KSE1115" s="379" t="s">
        <v>3783</v>
      </c>
      <c r="KSF1115" s="379" t="s">
        <v>3783</v>
      </c>
      <c r="KSG1115" s="379" t="s">
        <v>3783</v>
      </c>
      <c r="KSH1115" s="379" t="s">
        <v>3783</v>
      </c>
      <c r="KSI1115" s="379" t="s">
        <v>3783</v>
      </c>
      <c r="KSJ1115" s="379" t="s">
        <v>3783</v>
      </c>
      <c r="KSK1115" s="379" t="s">
        <v>3783</v>
      </c>
      <c r="KSL1115" s="379" t="s">
        <v>3783</v>
      </c>
      <c r="KSM1115" s="379" t="s">
        <v>3783</v>
      </c>
      <c r="KSN1115" s="379" t="s">
        <v>3783</v>
      </c>
      <c r="KSO1115" s="379" t="s">
        <v>3783</v>
      </c>
      <c r="KSP1115" s="379" t="s">
        <v>3783</v>
      </c>
      <c r="KSQ1115" s="379" t="s">
        <v>3783</v>
      </c>
      <c r="KSR1115" s="379" t="s">
        <v>3783</v>
      </c>
      <c r="KSS1115" s="379" t="s">
        <v>3783</v>
      </c>
      <c r="KST1115" s="379" t="s">
        <v>3783</v>
      </c>
      <c r="KSU1115" s="379" t="s">
        <v>3783</v>
      </c>
      <c r="KSV1115" s="379" t="s">
        <v>3783</v>
      </c>
      <c r="KSW1115" s="379" t="s">
        <v>3783</v>
      </c>
      <c r="KSX1115" s="379" t="s">
        <v>3783</v>
      </c>
      <c r="KSY1115" s="379" t="s">
        <v>3783</v>
      </c>
      <c r="KSZ1115" s="379" t="s">
        <v>3783</v>
      </c>
      <c r="KTA1115" s="379" t="s">
        <v>3783</v>
      </c>
      <c r="KTB1115" s="379" t="s">
        <v>3783</v>
      </c>
      <c r="KTC1115" s="379" t="s">
        <v>3783</v>
      </c>
      <c r="KTD1115" s="379" t="s">
        <v>3783</v>
      </c>
      <c r="KTE1115" s="379" t="s">
        <v>3783</v>
      </c>
      <c r="KTF1115" s="379" t="s">
        <v>3783</v>
      </c>
      <c r="KTG1115" s="379" t="s">
        <v>3783</v>
      </c>
      <c r="KTH1115" s="379" t="s">
        <v>3783</v>
      </c>
      <c r="KTI1115" s="379" t="s">
        <v>3783</v>
      </c>
      <c r="KTJ1115" s="379" t="s">
        <v>3783</v>
      </c>
      <c r="KTK1115" s="379" t="s">
        <v>3783</v>
      </c>
      <c r="KTL1115" s="379" t="s">
        <v>3783</v>
      </c>
      <c r="KTM1115" s="379" t="s">
        <v>3783</v>
      </c>
      <c r="KTN1115" s="379" t="s">
        <v>3783</v>
      </c>
      <c r="KTO1115" s="379" t="s">
        <v>3783</v>
      </c>
      <c r="KTP1115" s="379" t="s">
        <v>3783</v>
      </c>
      <c r="KTQ1115" s="379" t="s">
        <v>3783</v>
      </c>
      <c r="KTR1115" s="379" t="s">
        <v>3783</v>
      </c>
      <c r="KTS1115" s="379" t="s">
        <v>3783</v>
      </c>
      <c r="KTT1115" s="379" t="s">
        <v>3783</v>
      </c>
      <c r="KTU1115" s="379" t="s">
        <v>3783</v>
      </c>
      <c r="KTV1115" s="379" t="s">
        <v>3783</v>
      </c>
      <c r="KTW1115" s="379" t="s">
        <v>3783</v>
      </c>
      <c r="KTX1115" s="379" t="s">
        <v>3783</v>
      </c>
      <c r="KTY1115" s="379" t="s">
        <v>3783</v>
      </c>
      <c r="KTZ1115" s="379" t="s">
        <v>3783</v>
      </c>
      <c r="KUA1115" s="379" t="s">
        <v>3783</v>
      </c>
      <c r="KUB1115" s="379" t="s">
        <v>3783</v>
      </c>
      <c r="KUC1115" s="379" t="s">
        <v>3783</v>
      </c>
      <c r="KUD1115" s="379" t="s">
        <v>3783</v>
      </c>
      <c r="KUE1115" s="379" t="s">
        <v>3783</v>
      </c>
      <c r="KUF1115" s="379" t="s">
        <v>3783</v>
      </c>
      <c r="KUG1115" s="379" t="s">
        <v>3783</v>
      </c>
      <c r="KUH1115" s="379" t="s">
        <v>3783</v>
      </c>
      <c r="KUI1115" s="379" t="s">
        <v>3783</v>
      </c>
      <c r="KUJ1115" s="379" t="s">
        <v>3783</v>
      </c>
      <c r="KUK1115" s="379" t="s">
        <v>3783</v>
      </c>
      <c r="KUL1115" s="379" t="s">
        <v>3783</v>
      </c>
      <c r="KUM1115" s="379" t="s">
        <v>3783</v>
      </c>
      <c r="KUN1115" s="379" t="s">
        <v>3783</v>
      </c>
      <c r="KUO1115" s="379" t="s">
        <v>3783</v>
      </c>
      <c r="KUP1115" s="379" t="s">
        <v>3783</v>
      </c>
      <c r="KUQ1115" s="379" t="s">
        <v>3783</v>
      </c>
      <c r="KUR1115" s="379" t="s">
        <v>3783</v>
      </c>
      <c r="KUS1115" s="379" t="s">
        <v>3783</v>
      </c>
      <c r="KUT1115" s="379" t="s">
        <v>3783</v>
      </c>
      <c r="KUU1115" s="379" t="s">
        <v>3783</v>
      </c>
      <c r="KUV1115" s="379" t="s">
        <v>3783</v>
      </c>
      <c r="KUW1115" s="379" t="s">
        <v>3783</v>
      </c>
      <c r="KUX1115" s="379" t="s">
        <v>3783</v>
      </c>
      <c r="KUY1115" s="379" t="s">
        <v>3783</v>
      </c>
      <c r="KUZ1115" s="379" t="s">
        <v>3783</v>
      </c>
      <c r="KVA1115" s="379" t="s">
        <v>3783</v>
      </c>
      <c r="KVB1115" s="379" t="s">
        <v>3783</v>
      </c>
      <c r="KVC1115" s="379" t="s">
        <v>3783</v>
      </c>
      <c r="KVD1115" s="379" t="s">
        <v>3783</v>
      </c>
      <c r="KVE1115" s="379" t="s">
        <v>3783</v>
      </c>
      <c r="KVF1115" s="379" t="s">
        <v>3783</v>
      </c>
      <c r="KVG1115" s="379" t="s">
        <v>3783</v>
      </c>
      <c r="KVH1115" s="379" t="s">
        <v>3783</v>
      </c>
      <c r="KVI1115" s="379" t="s">
        <v>3783</v>
      </c>
      <c r="KVJ1115" s="379" t="s">
        <v>3783</v>
      </c>
      <c r="KVK1115" s="379" t="s">
        <v>3783</v>
      </c>
      <c r="KVL1115" s="379" t="s">
        <v>3783</v>
      </c>
      <c r="KVM1115" s="379" t="s">
        <v>3783</v>
      </c>
      <c r="KVN1115" s="379" t="s">
        <v>3783</v>
      </c>
      <c r="KVO1115" s="379" t="s">
        <v>3783</v>
      </c>
      <c r="KVP1115" s="379" t="s">
        <v>3783</v>
      </c>
      <c r="KVQ1115" s="379" t="s">
        <v>3783</v>
      </c>
      <c r="KVR1115" s="379" t="s">
        <v>3783</v>
      </c>
      <c r="KVS1115" s="379" t="s">
        <v>3783</v>
      </c>
      <c r="KVT1115" s="379" t="s">
        <v>3783</v>
      </c>
      <c r="KVU1115" s="379" t="s">
        <v>3783</v>
      </c>
      <c r="KVV1115" s="379" t="s">
        <v>3783</v>
      </c>
      <c r="KVW1115" s="379" t="s">
        <v>3783</v>
      </c>
      <c r="KVX1115" s="379" t="s">
        <v>3783</v>
      </c>
      <c r="KVY1115" s="379" t="s">
        <v>3783</v>
      </c>
      <c r="KVZ1115" s="379" t="s">
        <v>3783</v>
      </c>
      <c r="KWA1115" s="379" t="s">
        <v>3783</v>
      </c>
      <c r="KWB1115" s="379" t="s">
        <v>3783</v>
      </c>
      <c r="KWC1115" s="379" t="s">
        <v>3783</v>
      </c>
      <c r="KWD1115" s="379" t="s">
        <v>3783</v>
      </c>
      <c r="KWE1115" s="379" t="s">
        <v>3783</v>
      </c>
      <c r="KWF1115" s="379" t="s">
        <v>3783</v>
      </c>
      <c r="KWG1115" s="379" t="s">
        <v>3783</v>
      </c>
      <c r="KWH1115" s="379" t="s">
        <v>3783</v>
      </c>
      <c r="KWI1115" s="379" t="s">
        <v>3783</v>
      </c>
      <c r="KWJ1115" s="379" t="s">
        <v>3783</v>
      </c>
      <c r="KWK1115" s="379" t="s">
        <v>3783</v>
      </c>
      <c r="KWL1115" s="379" t="s">
        <v>3783</v>
      </c>
      <c r="KWM1115" s="379" t="s">
        <v>3783</v>
      </c>
      <c r="KWN1115" s="379" t="s">
        <v>3783</v>
      </c>
      <c r="KWO1115" s="379" t="s">
        <v>3783</v>
      </c>
      <c r="KWP1115" s="379" t="s">
        <v>3783</v>
      </c>
      <c r="KWQ1115" s="379" t="s">
        <v>3783</v>
      </c>
      <c r="KWR1115" s="379" t="s">
        <v>3783</v>
      </c>
      <c r="KWS1115" s="379" t="s">
        <v>3783</v>
      </c>
      <c r="KWT1115" s="379" t="s">
        <v>3783</v>
      </c>
      <c r="KWU1115" s="379" t="s">
        <v>3783</v>
      </c>
      <c r="KWV1115" s="379" t="s">
        <v>3783</v>
      </c>
      <c r="KWW1115" s="379" t="s">
        <v>3783</v>
      </c>
      <c r="KWX1115" s="379" t="s">
        <v>3783</v>
      </c>
      <c r="KWY1115" s="379" t="s">
        <v>3783</v>
      </c>
      <c r="KWZ1115" s="379" t="s">
        <v>3783</v>
      </c>
      <c r="KXA1115" s="379" t="s">
        <v>3783</v>
      </c>
      <c r="KXB1115" s="379" t="s">
        <v>3783</v>
      </c>
      <c r="KXC1115" s="379" t="s">
        <v>3783</v>
      </c>
      <c r="KXD1115" s="379" t="s">
        <v>3783</v>
      </c>
      <c r="KXE1115" s="379" t="s">
        <v>3783</v>
      </c>
      <c r="KXF1115" s="379" t="s">
        <v>3783</v>
      </c>
      <c r="KXG1115" s="379" t="s">
        <v>3783</v>
      </c>
      <c r="KXH1115" s="379" t="s">
        <v>3783</v>
      </c>
      <c r="KXI1115" s="379" t="s">
        <v>3783</v>
      </c>
      <c r="KXJ1115" s="379" t="s">
        <v>3783</v>
      </c>
      <c r="KXK1115" s="379" t="s">
        <v>3783</v>
      </c>
      <c r="KXL1115" s="379" t="s">
        <v>3783</v>
      </c>
      <c r="KXM1115" s="379" t="s">
        <v>3783</v>
      </c>
      <c r="KXN1115" s="379" t="s">
        <v>3783</v>
      </c>
      <c r="KXO1115" s="379" t="s">
        <v>3783</v>
      </c>
      <c r="KXP1115" s="379" t="s">
        <v>3783</v>
      </c>
      <c r="KXQ1115" s="379" t="s">
        <v>3783</v>
      </c>
      <c r="KXR1115" s="379" t="s">
        <v>3783</v>
      </c>
      <c r="KXS1115" s="379" t="s">
        <v>3783</v>
      </c>
      <c r="KXT1115" s="379" t="s">
        <v>3783</v>
      </c>
      <c r="KXU1115" s="379" t="s">
        <v>3783</v>
      </c>
      <c r="KXV1115" s="379" t="s">
        <v>3783</v>
      </c>
      <c r="KXW1115" s="379" t="s">
        <v>3783</v>
      </c>
      <c r="KXX1115" s="379" t="s">
        <v>3783</v>
      </c>
      <c r="KXY1115" s="379" t="s">
        <v>3783</v>
      </c>
      <c r="KXZ1115" s="379" t="s">
        <v>3783</v>
      </c>
      <c r="KYA1115" s="379" t="s">
        <v>3783</v>
      </c>
      <c r="KYB1115" s="379" t="s">
        <v>3783</v>
      </c>
      <c r="KYC1115" s="379" t="s">
        <v>3783</v>
      </c>
      <c r="KYD1115" s="379" t="s">
        <v>3783</v>
      </c>
      <c r="KYE1115" s="379" t="s">
        <v>3783</v>
      </c>
      <c r="KYF1115" s="379" t="s">
        <v>3783</v>
      </c>
      <c r="KYG1115" s="379" t="s">
        <v>3783</v>
      </c>
      <c r="KYH1115" s="379" t="s">
        <v>3783</v>
      </c>
      <c r="KYI1115" s="379" t="s">
        <v>3783</v>
      </c>
      <c r="KYJ1115" s="379" t="s">
        <v>3783</v>
      </c>
      <c r="KYK1115" s="379" t="s">
        <v>3783</v>
      </c>
      <c r="KYL1115" s="379" t="s">
        <v>3783</v>
      </c>
      <c r="KYM1115" s="379" t="s">
        <v>3783</v>
      </c>
      <c r="KYN1115" s="379" t="s">
        <v>3783</v>
      </c>
      <c r="KYO1115" s="379" t="s">
        <v>3783</v>
      </c>
      <c r="KYP1115" s="379" t="s">
        <v>3783</v>
      </c>
      <c r="KYQ1115" s="379" t="s">
        <v>3783</v>
      </c>
      <c r="KYR1115" s="379" t="s">
        <v>3783</v>
      </c>
      <c r="KYS1115" s="379" t="s">
        <v>3783</v>
      </c>
      <c r="KYT1115" s="379" t="s">
        <v>3783</v>
      </c>
      <c r="KYU1115" s="379" t="s">
        <v>3783</v>
      </c>
      <c r="KYV1115" s="379" t="s">
        <v>3783</v>
      </c>
      <c r="KYW1115" s="379" t="s">
        <v>3783</v>
      </c>
      <c r="KYX1115" s="379" t="s">
        <v>3783</v>
      </c>
      <c r="KYY1115" s="379" t="s">
        <v>3783</v>
      </c>
      <c r="KYZ1115" s="379" t="s">
        <v>3783</v>
      </c>
      <c r="KZA1115" s="379" t="s">
        <v>3783</v>
      </c>
      <c r="KZB1115" s="379" t="s">
        <v>3783</v>
      </c>
      <c r="KZC1115" s="379" t="s">
        <v>3783</v>
      </c>
      <c r="KZD1115" s="379" t="s">
        <v>3783</v>
      </c>
      <c r="KZE1115" s="379" t="s">
        <v>3783</v>
      </c>
      <c r="KZF1115" s="379" t="s">
        <v>3783</v>
      </c>
      <c r="KZG1115" s="379" t="s">
        <v>3783</v>
      </c>
      <c r="KZH1115" s="379" t="s">
        <v>3783</v>
      </c>
      <c r="KZI1115" s="379" t="s">
        <v>3783</v>
      </c>
      <c r="KZJ1115" s="379" t="s">
        <v>3783</v>
      </c>
      <c r="KZK1115" s="379" t="s">
        <v>3783</v>
      </c>
      <c r="KZL1115" s="379" t="s">
        <v>3783</v>
      </c>
      <c r="KZM1115" s="379" t="s">
        <v>3783</v>
      </c>
      <c r="KZN1115" s="379" t="s">
        <v>3783</v>
      </c>
      <c r="KZO1115" s="379" t="s">
        <v>3783</v>
      </c>
      <c r="KZP1115" s="379" t="s">
        <v>3783</v>
      </c>
      <c r="KZQ1115" s="379" t="s">
        <v>3783</v>
      </c>
      <c r="KZR1115" s="379" t="s">
        <v>3783</v>
      </c>
      <c r="KZS1115" s="379" t="s">
        <v>3783</v>
      </c>
      <c r="KZT1115" s="379" t="s">
        <v>3783</v>
      </c>
      <c r="KZU1115" s="379" t="s">
        <v>3783</v>
      </c>
      <c r="KZV1115" s="379" t="s">
        <v>3783</v>
      </c>
      <c r="KZW1115" s="379" t="s">
        <v>3783</v>
      </c>
      <c r="KZX1115" s="379" t="s">
        <v>3783</v>
      </c>
      <c r="KZY1115" s="379" t="s">
        <v>3783</v>
      </c>
      <c r="KZZ1115" s="379" t="s">
        <v>3783</v>
      </c>
      <c r="LAA1115" s="379" t="s">
        <v>3783</v>
      </c>
      <c r="LAB1115" s="379" t="s">
        <v>3783</v>
      </c>
      <c r="LAC1115" s="379" t="s">
        <v>3783</v>
      </c>
      <c r="LAD1115" s="379" t="s">
        <v>3783</v>
      </c>
      <c r="LAE1115" s="379" t="s">
        <v>3783</v>
      </c>
      <c r="LAF1115" s="379" t="s">
        <v>3783</v>
      </c>
      <c r="LAG1115" s="379" t="s">
        <v>3783</v>
      </c>
      <c r="LAH1115" s="379" t="s">
        <v>3783</v>
      </c>
      <c r="LAI1115" s="379" t="s">
        <v>3783</v>
      </c>
      <c r="LAJ1115" s="379" t="s">
        <v>3783</v>
      </c>
      <c r="LAK1115" s="379" t="s">
        <v>3783</v>
      </c>
      <c r="LAL1115" s="379" t="s">
        <v>3783</v>
      </c>
      <c r="LAM1115" s="379" t="s">
        <v>3783</v>
      </c>
      <c r="LAN1115" s="379" t="s">
        <v>3783</v>
      </c>
      <c r="LAO1115" s="379" t="s">
        <v>3783</v>
      </c>
      <c r="LAP1115" s="379" t="s">
        <v>3783</v>
      </c>
      <c r="LAQ1115" s="379" t="s">
        <v>3783</v>
      </c>
      <c r="LAR1115" s="379" t="s">
        <v>3783</v>
      </c>
      <c r="LAS1115" s="379" t="s">
        <v>3783</v>
      </c>
      <c r="LAT1115" s="379" t="s">
        <v>3783</v>
      </c>
      <c r="LAU1115" s="379" t="s">
        <v>3783</v>
      </c>
      <c r="LAV1115" s="379" t="s">
        <v>3783</v>
      </c>
      <c r="LAW1115" s="379" t="s">
        <v>3783</v>
      </c>
      <c r="LAX1115" s="379" t="s">
        <v>3783</v>
      </c>
      <c r="LAY1115" s="379" t="s">
        <v>3783</v>
      </c>
      <c r="LAZ1115" s="379" t="s">
        <v>3783</v>
      </c>
      <c r="LBA1115" s="379" t="s">
        <v>3783</v>
      </c>
      <c r="LBB1115" s="379" t="s">
        <v>3783</v>
      </c>
      <c r="LBC1115" s="379" t="s">
        <v>3783</v>
      </c>
      <c r="LBD1115" s="379" t="s">
        <v>3783</v>
      </c>
      <c r="LBE1115" s="379" t="s">
        <v>3783</v>
      </c>
      <c r="LBF1115" s="379" t="s">
        <v>3783</v>
      </c>
      <c r="LBG1115" s="379" t="s">
        <v>3783</v>
      </c>
      <c r="LBH1115" s="379" t="s">
        <v>3783</v>
      </c>
      <c r="LBI1115" s="379" t="s">
        <v>3783</v>
      </c>
      <c r="LBJ1115" s="379" t="s">
        <v>3783</v>
      </c>
      <c r="LBK1115" s="379" t="s">
        <v>3783</v>
      </c>
      <c r="LBL1115" s="379" t="s">
        <v>3783</v>
      </c>
      <c r="LBM1115" s="379" t="s">
        <v>3783</v>
      </c>
      <c r="LBN1115" s="379" t="s">
        <v>3783</v>
      </c>
      <c r="LBO1115" s="379" t="s">
        <v>3783</v>
      </c>
      <c r="LBP1115" s="379" t="s">
        <v>3783</v>
      </c>
      <c r="LBQ1115" s="379" t="s">
        <v>3783</v>
      </c>
      <c r="LBR1115" s="379" t="s">
        <v>3783</v>
      </c>
      <c r="LBS1115" s="379" t="s">
        <v>3783</v>
      </c>
      <c r="LBT1115" s="379" t="s">
        <v>3783</v>
      </c>
      <c r="LBU1115" s="379" t="s">
        <v>3783</v>
      </c>
      <c r="LBV1115" s="379" t="s">
        <v>3783</v>
      </c>
      <c r="LBW1115" s="379" t="s">
        <v>3783</v>
      </c>
      <c r="LBX1115" s="379" t="s">
        <v>3783</v>
      </c>
      <c r="LBY1115" s="379" t="s">
        <v>3783</v>
      </c>
      <c r="LBZ1115" s="379" t="s">
        <v>3783</v>
      </c>
      <c r="LCA1115" s="379" t="s">
        <v>3783</v>
      </c>
      <c r="LCB1115" s="379" t="s">
        <v>3783</v>
      </c>
      <c r="LCC1115" s="379" t="s">
        <v>3783</v>
      </c>
      <c r="LCD1115" s="379" t="s">
        <v>3783</v>
      </c>
      <c r="LCE1115" s="379" t="s">
        <v>3783</v>
      </c>
      <c r="LCF1115" s="379" t="s">
        <v>3783</v>
      </c>
      <c r="LCG1115" s="379" t="s">
        <v>3783</v>
      </c>
      <c r="LCH1115" s="379" t="s">
        <v>3783</v>
      </c>
      <c r="LCI1115" s="379" t="s">
        <v>3783</v>
      </c>
      <c r="LCJ1115" s="379" t="s">
        <v>3783</v>
      </c>
      <c r="LCK1115" s="379" t="s">
        <v>3783</v>
      </c>
      <c r="LCL1115" s="379" t="s">
        <v>3783</v>
      </c>
      <c r="LCM1115" s="379" t="s">
        <v>3783</v>
      </c>
      <c r="LCN1115" s="379" t="s">
        <v>3783</v>
      </c>
      <c r="LCO1115" s="379" t="s">
        <v>3783</v>
      </c>
      <c r="LCP1115" s="379" t="s">
        <v>3783</v>
      </c>
      <c r="LCQ1115" s="379" t="s">
        <v>3783</v>
      </c>
      <c r="LCR1115" s="379" t="s">
        <v>3783</v>
      </c>
      <c r="LCS1115" s="379" t="s">
        <v>3783</v>
      </c>
      <c r="LCT1115" s="379" t="s">
        <v>3783</v>
      </c>
      <c r="LCU1115" s="379" t="s">
        <v>3783</v>
      </c>
      <c r="LCV1115" s="379" t="s">
        <v>3783</v>
      </c>
      <c r="LCW1115" s="379" t="s">
        <v>3783</v>
      </c>
      <c r="LCX1115" s="379" t="s">
        <v>3783</v>
      </c>
      <c r="LCY1115" s="379" t="s">
        <v>3783</v>
      </c>
      <c r="LCZ1115" s="379" t="s">
        <v>3783</v>
      </c>
      <c r="LDA1115" s="379" t="s">
        <v>3783</v>
      </c>
      <c r="LDB1115" s="379" t="s">
        <v>3783</v>
      </c>
      <c r="LDC1115" s="379" t="s">
        <v>3783</v>
      </c>
      <c r="LDD1115" s="379" t="s">
        <v>3783</v>
      </c>
      <c r="LDE1115" s="379" t="s">
        <v>3783</v>
      </c>
      <c r="LDF1115" s="379" t="s">
        <v>3783</v>
      </c>
      <c r="LDG1115" s="379" t="s">
        <v>3783</v>
      </c>
      <c r="LDH1115" s="379" t="s">
        <v>3783</v>
      </c>
      <c r="LDI1115" s="379" t="s">
        <v>3783</v>
      </c>
      <c r="LDJ1115" s="379" t="s">
        <v>3783</v>
      </c>
      <c r="LDK1115" s="379" t="s">
        <v>3783</v>
      </c>
      <c r="LDL1115" s="379" t="s">
        <v>3783</v>
      </c>
      <c r="LDM1115" s="379" t="s">
        <v>3783</v>
      </c>
      <c r="LDN1115" s="379" t="s">
        <v>3783</v>
      </c>
      <c r="LDO1115" s="379" t="s">
        <v>3783</v>
      </c>
      <c r="LDP1115" s="379" t="s">
        <v>3783</v>
      </c>
      <c r="LDQ1115" s="379" t="s">
        <v>3783</v>
      </c>
      <c r="LDR1115" s="379" t="s">
        <v>3783</v>
      </c>
      <c r="LDS1115" s="379" t="s">
        <v>3783</v>
      </c>
      <c r="LDT1115" s="379" t="s">
        <v>3783</v>
      </c>
      <c r="LDU1115" s="379" t="s">
        <v>3783</v>
      </c>
      <c r="LDV1115" s="379" t="s">
        <v>3783</v>
      </c>
      <c r="LDW1115" s="379" t="s">
        <v>3783</v>
      </c>
      <c r="LDX1115" s="379" t="s">
        <v>3783</v>
      </c>
      <c r="LDY1115" s="379" t="s">
        <v>3783</v>
      </c>
      <c r="LDZ1115" s="379" t="s">
        <v>3783</v>
      </c>
      <c r="LEA1115" s="379" t="s">
        <v>3783</v>
      </c>
      <c r="LEB1115" s="379" t="s">
        <v>3783</v>
      </c>
      <c r="LEC1115" s="379" t="s">
        <v>3783</v>
      </c>
      <c r="LED1115" s="379" t="s">
        <v>3783</v>
      </c>
      <c r="LEE1115" s="379" t="s">
        <v>3783</v>
      </c>
      <c r="LEF1115" s="379" t="s">
        <v>3783</v>
      </c>
      <c r="LEG1115" s="379" t="s">
        <v>3783</v>
      </c>
      <c r="LEH1115" s="379" t="s">
        <v>3783</v>
      </c>
      <c r="LEI1115" s="379" t="s">
        <v>3783</v>
      </c>
      <c r="LEJ1115" s="379" t="s">
        <v>3783</v>
      </c>
      <c r="LEK1115" s="379" t="s">
        <v>3783</v>
      </c>
      <c r="LEL1115" s="379" t="s">
        <v>3783</v>
      </c>
      <c r="LEM1115" s="379" t="s">
        <v>3783</v>
      </c>
      <c r="LEN1115" s="379" t="s">
        <v>3783</v>
      </c>
      <c r="LEO1115" s="379" t="s">
        <v>3783</v>
      </c>
      <c r="LEP1115" s="379" t="s">
        <v>3783</v>
      </c>
      <c r="LEQ1115" s="379" t="s">
        <v>3783</v>
      </c>
      <c r="LER1115" s="379" t="s">
        <v>3783</v>
      </c>
      <c r="LES1115" s="379" t="s">
        <v>3783</v>
      </c>
      <c r="LET1115" s="379" t="s">
        <v>3783</v>
      </c>
      <c r="LEU1115" s="379" t="s">
        <v>3783</v>
      </c>
      <c r="LEV1115" s="379" t="s">
        <v>3783</v>
      </c>
      <c r="LEW1115" s="379" t="s">
        <v>3783</v>
      </c>
      <c r="LEX1115" s="379" t="s">
        <v>3783</v>
      </c>
      <c r="LEY1115" s="379" t="s">
        <v>3783</v>
      </c>
      <c r="LEZ1115" s="379" t="s">
        <v>3783</v>
      </c>
      <c r="LFA1115" s="379" t="s">
        <v>3783</v>
      </c>
      <c r="LFB1115" s="379" t="s">
        <v>3783</v>
      </c>
      <c r="LFC1115" s="379" t="s">
        <v>3783</v>
      </c>
      <c r="LFD1115" s="379" t="s">
        <v>3783</v>
      </c>
      <c r="LFE1115" s="379" t="s">
        <v>3783</v>
      </c>
      <c r="LFF1115" s="379" t="s">
        <v>3783</v>
      </c>
      <c r="LFG1115" s="379" t="s">
        <v>3783</v>
      </c>
      <c r="LFH1115" s="379" t="s">
        <v>3783</v>
      </c>
      <c r="LFI1115" s="379" t="s">
        <v>3783</v>
      </c>
      <c r="LFJ1115" s="379" t="s">
        <v>3783</v>
      </c>
      <c r="LFK1115" s="379" t="s">
        <v>3783</v>
      </c>
      <c r="LFL1115" s="379" t="s">
        <v>3783</v>
      </c>
      <c r="LFM1115" s="379" t="s">
        <v>3783</v>
      </c>
      <c r="LFN1115" s="379" t="s">
        <v>3783</v>
      </c>
      <c r="LFO1115" s="379" t="s">
        <v>3783</v>
      </c>
      <c r="LFP1115" s="379" t="s">
        <v>3783</v>
      </c>
      <c r="LFQ1115" s="379" t="s">
        <v>3783</v>
      </c>
      <c r="LFR1115" s="379" t="s">
        <v>3783</v>
      </c>
      <c r="LFS1115" s="379" t="s">
        <v>3783</v>
      </c>
      <c r="LFT1115" s="379" t="s">
        <v>3783</v>
      </c>
      <c r="LFU1115" s="379" t="s">
        <v>3783</v>
      </c>
      <c r="LFV1115" s="379" t="s">
        <v>3783</v>
      </c>
      <c r="LFW1115" s="379" t="s">
        <v>3783</v>
      </c>
      <c r="LFX1115" s="379" t="s">
        <v>3783</v>
      </c>
      <c r="LFY1115" s="379" t="s">
        <v>3783</v>
      </c>
      <c r="LFZ1115" s="379" t="s">
        <v>3783</v>
      </c>
      <c r="LGA1115" s="379" t="s">
        <v>3783</v>
      </c>
      <c r="LGB1115" s="379" t="s">
        <v>3783</v>
      </c>
      <c r="LGC1115" s="379" t="s">
        <v>3783</v>
      </c>
      <c r="LGD1115" s="379" t="s">
        <v>3783</v>
      </c>
      <c r="LGE1115" s="379" t="s">
        <v>3783</v>
      </c>
      <c r="LGF1115" s="379" t="s">
        <v>3783</v>
      </c>
      <c r="LGG1115" s="379" t="s">
        <v>3783</v>
      </c>
      <c r="LGH1115" s="379" t="s">
        <v>3783</v>
      </c>
      <c r="LGI1115" s="379" t="s">
        <v>3783</v>
      </c>
      <c r="LGJ1115" s="379" t="s">
        <v>3783</v>
      </c>
      <c r="LGK1115" s="379" t="s">
        <v>3783</v>
      </c>
      <c r="LGL1115" s="379" t="s">
        <v>3783</v>
      </c>
      <c r="LGM1115" s="379" t="s">
        <v>3783</v>
      </c>
      <c r="LGN1115" s="379" t="s">
        <v>3783</v>
      </c>
      <c r="LGO1115" s="379" t="s">
        <v>3783</v>
      </c>
      <c r="LGP1115" s="379" t="s">
        <v>3783</v>
      </c>
      <c r="LGQ1115" s="379" t="s">
        <v>3783</v>
      </c>
      <c r="LGR1115" s="379" t="s">
        <v>3783</v>
      </c>
      <c r="LGS1115" s="379" t="s">
        <v>3783</v>
      </c>
      <c r="LGT1115" s="379" t="s">
        <v>3783</v>
      </c>
      <c r="LGU1115" s="379" t="s">
        <v>3783</v>
      </c>
      <c r="LGV1115" s="379" t="s">
        <v>3783</v>
      </c>
      <c r="LGW1115" s="379" t="s">
        <v>3783</v>
      </c>
      <c r="LGX1115" s="379" t="s">
        <v>3783</v>
      </c>
      <c r="LGY1115" s="379" t="s">
        <v>3783</v>
      </c>
      <c r="LGZ1115" s="379" t="s">
        <v>3783</v>
      </c>
      <c r="LHA1115" s="379" t="s">
        <v>3783</v>
      </c>
      <c r="LHB1115" s="379" t="s">
        <v>3783</v>
      </c>
      <c r="LHC1115" s="379" t="s">
        <v>3783</v>
      </c>
      <c r="LHD1115" s="379" t="s">
        <v>3783</v>
      </c>
      <c r="LHE1115" s="379" t="s">
        <v>3783</v>
      </c>
      <c r="LHF1115" s="379" t="s">
        <v>3783</v>
      </c>
      <c r="LHG1115" s="379" t="s">
        <v>3783</v>
      </c>
      <c r="LHH1115" s="379" t="s">
        <v>3783</v>
      </c>
      <c r="LHI1115" s="379" t="s">
        <v>3783</v>
      </c>
      <c r="LHJ1115" s="379" t="s">
        <v>3783</v>
      </c>
      <c r="LHK1115" s="379" t="s">
        <v>3783</v>
      </c>
      <c r="LHL1115" s="379" t="s">
        <v>3783</v>
      </c>
      <c r="LHM1115" s="379" t="s">
        <v>3783</v>
      </c>
      <c r="LHN1115" s="379" t="s">
        <v>3783</v>
      </c>
      <c r="LHO1115" s="379" t="s">
        <v>3783</v>
      </c>
      <c r="LHP1115" s="379" t="s">
        <v>3783</v>
      </c>
      <c r="LHQ1115" s="379" t="s">
        <v>3783</v>
      </c>
      <c r="LHR1115" s="379" t="s">
        <v>3783</v>
      </c>
      <c r="LHS1115" s="379" t="s">
        <v>3783</v>
      </c>
      <c r="LHT1115" s="379" t="s">
        <v>3783</v>
      </c>
      <c r="LHU1115" s="379" t="s">
        <v>3783</v>
      </c>
      <c r="LHV1115" s="379" t="s">
        <v>3783</v>
      </c>
      <c r="LHW1115" s="379" t="s">
        <v>3783</v>
      </c>
      <c r="LHX1115" s="379" t="s">
        <v>3783</v>
      </c>
      <c r="LHY1115" s="379" t="s">
        <v>3783</v>
      </c>
      <c r="LHZ1115" s="379" t="s">
        <v>3783</v>
      </c>
      <c r="LIA1115" s="379" t="s">
        <v>3783</v>
      </c>
      <c r="LIB1115" s="379" t="s">
        <v>3783</v>
      </c>
      <c r="LIC1115" s="379" t="s">
        <v>3783</v>
      </c>
      <c r="LID1115" s="379" t="s">
        <v>3783</v>
      </c>
      <c r="LIE1115" s="379" t="s">
        <v>3783</v>
      </c>
      <c r="LIF1115" s="379" t="s">
        <v>3783</v>
      </c>
      <c r="LIG1115" s="379" t="s">
        <v>3783</v>
      </c>
      <c r="LIH1115" s="379" t="s">
        <v>3783</v>
      </c>
      <c r="LII1115" s="379" t="s">
        <v>3783</v>
      </c>
      <c r="LIJ1115" s="379" t="s">
        <v>3783</v>
      </c>
      <c r="LIK1115" s="379" t="s">
        <v>3783</v>
      </c>
      <c r="LIL1115" s="379" t="s">
        <v>3783</v>
      </c>
      <c r="LIM1115" s="379" t="s">
        <v>3783</v>
      </c>
      <c r="LIN1115" s="379" t="s">
        <v>3783</v>
      </c>
      <c r="LIO1115" s="379" t="s">
        <v>3783</v>
      </c>
      <c r="LIP1115" s="379" t="s">
        <v>3783</v>
      </c>
      <c r="LIQ1115" s="379" t="s">
        <v>3783</v>
      </c>
      <c r="LIR1115" s="379" t="s">
        <v>3783</v>
      </c>
      <c r="LIS1115" s="379" t="s">
        <v>3783</v>
      </c>
      <c r="LIT1115" s="379" t="s">
        <v>3783</v>
      </c>
      <c r="LIU1115" s="379" t="s">
        <v>3783</v>
      </c>
      <c r="LIV1115" s="379" t="s">
        <v>3783</v>
      </c>
      <c r="LIW1115" s="379" t="s">
        <v>3783</v>
      </c>
      <c r="LIX1115" s="379" t="s">
        <v>3783</v>
      </c>
      <c r="LIY1115" s="379" t="s">
        <v>3783</v>
      </c>
      <c r="LIZ1115" s="379" t="s">
        <v>3783</v>
      </c>
      <c r="LJA1115" s="379" t="s">
        <v>3783</v>
      </c>
      <c r="LJB1115" s="379" t="s">
        <v>3783</v>
      </c>
      <c r="LJC1115" s="379" t="s">
        <v>3783</v>
      </c>
      <c r="LJD1115" s="379" t="s">
        <v>3783</v>
      </c>
      <c r="LJE1115" s="379" t="s">
        <v>3783</v>
      </c>
      <c r="LJF1115" s="379" t="s">
        <v>3783</v>
      </c>
      <c r="LJG1115" s="379" t="s">
        <v>3783</v>
      </c>
      <c r="LJH1115" s="379" t="s">
        <v>3783</v>
      </c>
      <c r="LJI1115" s="379" t="s">
        <v>3783</v>
      </c>
      <c r="LJJ1115" s="379" t="s">
        <v>3783</v>
      </c>
      <c r="LJK1115" s="379" t="s">
        <v>3783</v>
      </c>
      <c r="LJL1115" s="379" t="s">
        <v>3783</v>
      </c>
      <c r="LJM1115" s="379" t="s">
        <v>3783</v>
      </c>
      <c r="LJN1115" s="379" t="s">
        <v>3783</v>
      </c>
      <c r="LJO1115" s="379" t="s">
        <v>3783</v>
      </c>
      <c r="LJP1115" s="379" t="s">
        <v>3783</v>
      </c>
      <c r="LJQ1115" s="379" t="s">
        <v>3783</v>
      </c>
      <c r="LJR1115" s="379" t="s">
        <v>3783</v>
      </c>
      <c r="LJS1115" s="379" t="s">
        <v>3783</v>
      </c>
      <c r="LJT1115" s="379" t="s">
        <v>3783</v>
      </c>
      <c r="LJU1115" s="379" t="s">
        <v>3783</v>
      </c>
      <c r="LJV1115" s="379" t="s">
        <v>3783</v>
      </c>
      <c r="LJW1115" s="379" t="s">
        <v>3783</v>
      </c>
      <c r="LJX1115" s="379" t="s">
        <v>3783</v>
      </c>
      <c r="LJY1115" s="379" t="s">
        <v>3783</v>
      </c>
      <c r="LJZ1115" s="379" t="s">
        <v>3783</v>
      </c>
      <c r="LKA1115" s="379" t="s">
        <v>3783</v>
      </c>
      <c r="LKB1115" s="379" t="s">
        <v>3783</v>
      </c>
      <c r="LKC1115" s="379" t="s">
        <v>3783</v>
      </c>
      <c r="LKD1115" s="379" t="s">
        <v>3783</v>
      </c>
      <c r="LKE1115" s="379" t="s">
        <v>3783</v>
      </c>
      <c r="LKF1115" s="379" t="s">
        <v>3783</v>
      </c>
      <c r="LKG1115" s="379" t="s">
        <v>3783</v>
      </c>
      <c r="LKH1115" s="379" t="s">
        <v>3783</v>
      </c>
      <c r="LKI1115" s="379" t="s">
        <v>3783</v>
      </c>
      <c r="LKJ1115" s="379" t="s">
        <v>3783</v>
      </c>
      <c r="LKK1115" s="379" t="s">
        <v>3783</v>
      </c>
      <c r="LKL1115" s="379" t="s">
        <v>3783</v>
      </c>
      <c r="LKM1115" s="379" t="s">
        <v>3783</v>
      </c>
      <c r="LKN1115" s="379" t="s">
        <v>3783</v>
      </c>
      <c r="LKO1115" s="379" t="s">
        <v>3783</v>
      </c>
      <c r="LKP1115" s="379" t="s">
        <v>3783</v>
      </c>
      <c r="LKQ1115" s="379" t="s">
        <v>3783</v>
      </c>
      <c r="LKR1115" s="379" t="s">
        <v>3783</v>
      </c>
      <c r="LKS1115" s="379" t="s">
        <v>3783</v>
      </c>
      <c r="LKT1115" s="379" t="s">
        <v>3783</v>
      </c>
      <c r="LKU1115" s="379" t="s">
        <v>3783</v>
      </c>
      <c r="LKV1115" s="379" t="s">
        <v>3783</v>
      </c>
      <c r="LKW1115" s="379" t="s">
        <v>3783</v>
      </c>
      <c r="LKX1115" s="379" t="s">
        <v>3783</v>
      </c>
      <c r="LKY1115" s="379" t="s">
        <v>3783</v>
      </c>
      <c r="LKZ1115" s="379" t="s">
        <v>3783</v>
      </c>
      <c r="LLA1115" s="379" t="s">
        <v>3783</v>
      </c>
      <c r="LLB1115" s="379" t="s">
        <v>3783</v>
      </c>
      <c r="LLC1115" s="379" t="s">
        <v>3783</v>
      </c>
      <c r="LLD1115" s="379" t="s">
        <v>3783</v>
      </c>
      <c r="LLE1115" s="379" t="s">
        <v>3783</v>
      </c>
      <c r="LLF1115" s="379" t="s">
        <v>3783</v>
      </c>
      <c r="LLG1115" s="379" t="s">
        <v>3783</v>
      </c>
      <c r="LLH1115" s="379" t="s">
        <v>3783</v>
      </c>
      <c r="LLI1115" s="379" t="s">
        <v>3783</v>
      </c>
      <c r="LLJ1115" s="379" t="s">
        <v>3783</v>
      </c>
      <c r="LLK1115" s="379" t="s">
        <v>3783</v>
      </c>
      <c r="LLL1115" s="379" t="s">
        <v>3783</v>
      </c>
      <c r="LLM1115" s="379" t="s">
        <v>3783</v>
      </c>
      <c r="LLN1115" s="379" t="s">
        <v>3783</v>
      </c>
      <c r="LLO1115" s="379" t="s">
        <v>3783</v>
      </c>
      <c r="LLP1115" s="379" t="s">
        <v>3783</v>
      </c>
      <c r="LLQ1115" s="379" t="s">
        <v>3783</v>
      </c>
      <c r="LLR1115" s="379" t="s">
        <v>3783</v>
      </c>
      <c r="LLS1115" s="379" t="s">
        <v>3783</v>
      </c>
      <c r="LLT1115" s="379" t="s">
        <v>3783</v>
      </c>
      <c r="LLU1115" s="379" t="s">
        <v>3783</v>
      </c>
      <c r="LLV1115" s="379" t="s">
        <v>3783</v>
      </c>
      <c r="LLW1115" s="379" t="s">
        <v>3783</v>
      </c>
      <c r="LLX1115" s="379" t="s">
        <v>3783</v>
      </c>
      <c r="LLY1115" s="379" t="s">
        <v>3783</v>
      </c>
      <c r="LLZ1115" s="379" t="s">
        <v>3783</v>
      </c>
      <c r="LMA1115" s="379" t="s">
        <v>3783</v>
      </c>
      <c r="LMB1115" s="379" t="s">
        <v>3783</v>
      </c>
      <c r="LMC1115" s="379" t="s">
        <v>3783</v>
      </c>
      <c r="LMD1115" s="379" t="s">
        <v>3783</v>
      </c>
      <c r="LME1115" s="379" t="s">
        <v>3783</v>
      </c>
      <c r="LMF1115" s="379" t="s">
        <v>3783</v>
      </c>
      <c r="LMG1115" s="379" t="s">
        <v>3783</v>
      </c>
      <c r="LMH1115" s="379" t="s">
        <v>3783</v>
      </c>
      <c r="LMI1115" s="379" t="s">
        <v>3783</v>
      </c>
      <c r="LMJ1115" s="379" t="s">
        <v>3783</v>
      </c>
      <c r="LMK1115" s="379" t="s">
        <v>3783</v>
      </c>
      <c r="LML1115" s="379" t="s">
        <v>3783</v>
      </c>
      <c r="LMM1115" s="379" t="s">
        <v>3783</v>
      </c>
      <c r="LMN1115" s="379" t="s">
        <v>3783</v>
      </c>
      <c r="LMO1115" s="379" t="s">
        <v>3783</v>
      </c>
      <c r="LMP1115" s="379" t="s">
        <v>3783</v>
      </c>
      <c r="LMQ1115" s="379" t="s">
        <v>3783</v>
      </c>
      <c r="LMR1115" s="379" t="s">
        <v>3783</v>
      </c>
      <c r="LMS1115" s="379" t="s">
        <v>3783</v>
      </c>
      <c r="LMT1115" s="379" t="s">
        <v>3783</v>
      </c>
      <c r="LMU1115" s="379" t="s">
        <v>3783</v>
      </c>
      <c r="LMV1115" s="379" t="s">
        <v>3783</v>
      </c>
      <c r="LMW1115" s="379" t="s">
        <v>3783</v>
      </c>
      <c r="LMX1115" s="379" t="s">
        <v>3783</v>
      </c>
      <c r="LMY1115" s="379" t="s">
        <v>3783</v>
      </c>
      <c r="LMZ1115" s="379" t="s">
        <v>3783</v>
      </c>
      <c r="LNA1115" s="379" t="s">
        <v>3783</v>
      </c>
      <c r="LNB1115" s="379" t="s">
        <v>3783</v>
      </c>
      <c r="LNC1115" s="379" t="s">
        <v>3783</v>
      </c>
      <c r="LND1115" s="379" t="s">
        <v>3783</v>
      </c>
      <c r="LNE1115" s="379" t="s">
        <v>3783</v>
      </c>
      <c r="LNF1115" s="379" t="s">
        <v>3783</v>
      </c>
      <c r="LNG1115" s="379" t="s">
        <v>3783</v>
      </c>
      <c r="LNH1115" s="379" t="s">
        <v>3783</v>
      </c>
      <c r="LNI1115" s="379" t="s">
        <v>3783</v>
      </c>
      <c r="LNJ1115" s="379" t="s">
        <v>3783</v>
      </c>
      <c r="LNK1115" s="379" t="s">
        <v>3783</v>
      </c>
      <c r="LNL1115" s="379" t="s">
        <v>3783</v>
      </c>
      <c r="LNM1115" s="379" t="s">
        <v>3783</v>
      </c>
      <c r="LNN1115" s="379" t="s">
        <v>3783</v>
      </c>
      <c r="LNO1115" s="379" t="s">
        <v>3783</v>
      </c>
      <c r="LNP1115" s="379" t="s">
        <v>3783</v>
      </c>
      <c r="LNQ1115" s="379" t="s">
        <v>3783</v>
      </c>
      <c r="LNR1115" s="379" t="s">
        <v>3783</v>
      </c>
      <c r="LNS1115" s="379" t="s">
        <v>3783</v>
      </c>
      <c r="LNT1115" s="379" t="s">
        <v>3783</v>
      </c>
      <c r="LNU1115" s="379" t="s">
        <v>3783</v>
      </c>
      <c r="LNV1115" s="379" t="s">
        <v>3783</v>
      </c>
      <c r="LNW1115" s="379" t="s">
        <v>3783</v>
      </c>
      <c r="LNX1115" s="379" t="s">
        <v>3783</v>
      </c>
      <c r="LNY1115" s="379" t="s">
        <v>3783</v>
      </c>
      <c r="LNZ1115" s="379" t="s">
        <v>3783</v>
      </c>
      <c r="LOA1115" s="379" t="s">
        <v>3783</v>
      </c>
      <c r="LOB1115" s="379" t="s">
        <v>3783</v>
      </c>
      <c r="LOC1115" s="379" t="s">
        <v>3783</v>
      </c>
      <c r="LOD1115" s="379" t="s">
        <v>3783</v>
      </c>
      <c r="LOE1115" s="379" t="s">
        <v>3783</v>
      </c>
      <c r="LOF1115" s="379" t="s">
        <v>3783</v>
      </c>
      <c r="LOG1115" s="379" t="s">
        <v>3783</v>
      </c>
      <c r="LOH1115" s="379" t="s">
        <v>3783</v>
      </c>
      <c r="LOI1115" s="379" t="s">
        <v>3783</v>
      </c>
      <c r="LOJ1115" s="379" t="s">
        <v>3783</v>
      </c>
      <c r="LOK1115" s="379" t="s">
        <v>3783</v>
      </c>
      <c r="LOL1115" s="379" t="s">
        <v>3783</v>
      </c>
      <c r="LOM1115" s="379" t="s">
        <v>3783</v>
      </c>
      <c r="LON1115" s="379" t="s">
        <v>3783</v>
      </c>
      <c r="LOO1115" s="379" t="s">
        <v>3783</v>
      </c>
      <c r="LOP1115" s="379" t="s">
        <v>3783</v>
      </c>
      <c r="LOQ1115" s="379" t="s">
        <v>3783</v>
      </c>
      <c r="LOR1115" s="379" t="s">
        <v>3783</v>
      </c>
      <c r="LOS1115" s="379" t="s">
        <v>3783</v>
      </c>
      <c r="LOT1115" s="379" t="s">
        <v>3783</v>
      </c>
      <c r="LOU1115" s="379" t="s">
        <v>3783</v>
      </c>
      <c r="LOV1115" s="379" t="s">
        <v>3783</v>
      </c>
      <c r="LOW1115" s="379" t="s">
        <v>3783</v>
      </c>
      <c r="LOX1115" s="379" t="s">
        <v>3783</v>
      </c>
      <c r="LOY1115" s="379" t="s">
        <v>3783</v>
      </c>
      <c r="LOZ1115" s="379" t="s">
        <v>3783</v>
      </c>
      <c r="LPA1115" s="379" t="s">
        <v>3783</v>
      </c>
      <c r="LPB1115" s="379" t="s">
        <v>3783</v>
      </c>
      <c r="LPC1115" s="379" t="s">
        <v>3783</v>
      </c>
      <c r="LPD1115" s="379" t="s">
        <v>3783</v>
      </c>
      <c r="LPE1115" s="379" t="s">
        <v>3783</v>
      </c>
      <c r="LPF1115" s="379" t="s">
        <v>3783</v>
      </c>
      <c r="LPG1115" s="379" t="s">
        <v>3783</v>
      </c>
      <c r="LPH1115" s="379" t="s">
        <v>3783</v>
      </c>
      <c r="LPI1115" s="379" t="s">
        <v>3783</v>
      </c>
      <c r="LPJ1115" s="379" t="s">
        <v>3783</v>
      </c>
      <c r="LPK1115" s="379" t="s">
        <v>3783</v>
      </c>
      <c r="LPL1115" s="379" t="s">
        <v>3783</v>
      </c>
      <c r="LPM1115" s="379" t="s">
        <v>3783</v>
      </c>
      <c r="LPN1115" s="379" t="s">
        <v>3783</v>
      </c>
      <c r="LPO1115" s="379" t="s">
        <v>3783</v>
      </c>
      <c r="LPP1115" s="379" t="s">
        <v>3783</v>
      </c>
      <c r="LPQ1115" s="379" t="s">
        <v>3783</v>
      </c>
      <c r="LPR1115" s="379" t="s">
        <v>3783</v>
      </c>
      <c r="LPS1115" s="379" t="s">
        <v>3783</v>
      </c>
      <c r="LPT1115" s="379" t="s">
        <v>3783</v>
      </c>
      <c r="LPU1115" s="379" t="s">
        <v>3783</v>
      </c>
      <c r="LPV1115" s="379" t="s">
        <v>3783</v>
      </c>
      <c r="LPW1115" s="379" t="s">
        <v>3783</v>
      </c>
      <c r="LPX1115" s="379" t="s">
        <v>3783</v>
      </c>
      <c r="LPY1115" s="379" t="s">
        <v>3783</v>
      </c>
      <c r="LPZ1115" s="379" t="s">
        <v>3783</v>
      </c>
      <c r="LQA1115" s="379" t="s">
        <v>3783</v>
      </c>
      <c r="LQB1115" s="379" t="s">
        <v>3783</v>
      </c>
      <c r="LQC1115" s="379" t="s">
        <v>3783</v>
      </c>
      <c r="LQD1115" s="379" t="s">
        <v>3783</v>
      </c>
      <c r="LQE1115" s="379" t="s">
        <v>3783</v>
      </c>
      <c r="LQF1115" s="379" t="s">
        <v>3783</v>
      </c>
      <c r="LQG1115" s="379" t="s">
        <v>3783</v>
      </c>
      <c r="LQH1115" s="379" t="s">
        <v>3783</v>
      </c>
      <c r="LQI1115" s="379" t="s">
        <v>3783</v>
      </c>
      <c r="LQJ1115" s="379" t="s">
        <v>3783</v>
      </c>
      <c r="LQK1115" s="379" t="s">
        <v>3783</v>
      </c>
      <c r="LQL1115" s="379" t="s">
        <v>3783</v>
      </c>
      <c r="LQM1115" s="379" t="s">
        <v>3783</v>
      </c>
      <c r="LQN1115" s="379" t="s">
        <v>3783</v>
      </c>
      <c r="LQO1115" s="379" t="s">
        <v>3783</v>
      </c>
      <c r="LQP1115" s="379" t="s">
        <v>3783</v>
      </c>
      <c r="LQQ1115" s="379" t="s">
        <v>3783</v>
      </c>
      <c r="LQR1115" s="379" t="s">
        <v>3783</v>
      </c>
      <c r="LQS1115" s="379" t="s">
        <v>3783</v>
      </c>
      <c r="LQT1115" s="379" t="s">
        <v>3783</v>
      </c>
      <c r="LQU1115" s="379" t="s">
        <v>3783</v>
      </c>
      <c r="LQV1115" s="379" t="s">
        <v>3783</v>
      </c>
      <c r="LQW1115" s="379" t="s">
        <v>3783</v>
      </c>
      <c r="LQX1115" s="379" t="s">
        <v>3783</v>
      </c>
      <c r="LQY1115" s="379" t="s">
        <v>3783</v>
      </c>
      <c r="LQZ1115" s="379" t="s">
        <v>3783</v>
      </c>
      <c r="LRA1115" s="379" t="s">
        <v>3783</v>
      </c>
      <c r="LRB1115" s="379" t="s">
        <v>3783</v>
      </c>
      <c r="LRC1115" s="379" t="s">
        <v>3783</v>
      </c>
      <c r="LRD1115" s="379" t="s">
        <v>3783</v>
      </c>
      <c r="LRE1115" s="379" t="s">
        <v>3783</v>
      </c>
      <c r="LRF1115" s="379" t="s">
        <v>3783</v>
      </c>
      <c r="LRG1115" s="379" t="s">
        <v>3783</v>
      </c>
      <c r="LRH1115" s="379" t="s">
        <v>3783</v>
      </c>
      <c r="LRI1115" s="379" t="s">
        <v>3783</v>
      </c>
      <c r="LRJ1115" s="379" t="s">
        <v>3783</v>
      </c>
      <c r="LRK1115" s="379" t="s">
        <v>3783</v>
      </c>
      <c r="LRL1115" s="379" t="s">
        <v>3783</v>
      </c>
      <c r="LRM1115" s="379" t="s">
        <v>3783</v>
      </c>
      <c r="LRN1115" s="379" t="s">
        <v>3783</v>
      </c>
      <c r="LRO1115" s="379" t="s">
        <v>3783</v>
      </c>
      <c r="LRP1115" s="379" t="s">
        <v>3783</v>
      </c>
      <c r="LRQ1115" s="379" t="s">
        <v>3783</v>
      </c>
      <c r="LRR1115" s="379" t="s">
        <v>3783</v>
      </c>
      <c r="LRS1115" s="379" t="s">
        <v>3783</v>
      </c>
      <c r="LRT1115" s="379" t="s">
        <v>3783</v>
      </c>
      <c r="LRU1115" s="379" t="s">
        <v>3783</v>
      </c>
      <c r="LRV1115" s="379" t="s">
        <v>3783</v>
      </c>
      <c r="LRW1115" s="379" t="s">
        <v>3783</v>
      </c>
      <c r="LRX1115" s="379" t="s">
        <v>3783</v>
      </c>
      <c r="LRY1115" s="379" t="s">
        <v>3783</v>
      </c>
      <c r="LRZ1115" s="379" t="s">
        <v>3783</v>
      </c>
      <c r="LSA1115" s="379" t="s">
        <v>3783</v>
      </c>
      <c r="LSB1115" s="379" t="s">
        <v>3783</v>
      </c>
      <c r="LSC1115" s="379" t="s">
        <v>3783</v>
      </c>
      <c r="LSD1115" s="379" t="s">
        <v>3783</v>
      </c>
      <c r="LSE1115" s="379" t="s">
        <v>3783</v>
      </c>
      <c r="LSF1115" s="379" t="s">
        <v>3783</v>
      </c>
      <c r="LSG1115" s="379" t="s">
        <v>3783</v>
      </c>
      <c r="LSH1115" s="379" t="s">
        <v>3783</v>
      </c>
      <c r="LSI1115" s="379" t="s">
        <v>3783</v>
      </c>
      <c r="LSJ1115" s="379" t="s">
        <v>3783</v>
      </c>
      <c r="LSK1115" s="379" t="s">
        <v>3783</v>
      </c>
      <c r="LSL1115" s="379" t="s">
        <v>3783</v>
      </c>
      <c r="LSM1115" s="379" t="s">
        <v>3783</v>
      </c>
      <c r="LSN1115" s="379" t="s">
        <v>3783</v>
      </c>
      <c r="LSO1115" s="379" t="s">
        <v>3783</v>
      </c>
      <c r="LSP1115" s="379" t="s">
        <v>3783</v>
      </c>
      <c r="LSQ1115" s="379" t="s">
        <v>3783</v>
      </c>
      <c r="LSR1115" s="379" t="s">
        <v>3783</v>
      </c>
      <c r="LSS1115" s="379" t="s">
        <v>3783</v>
      </c>
      <c r="LST1115" s="379" t="s">
        <v>3783</v>
      </c>
      <c r="LSU1115" s="379" t="s">
        <v>3783</v>
      </c>
      <c r="LSV1115" s="379" t="s">
        <v>3783</v>
      </c>
      <c r="LSW1115" s="379" t="s">
        <v>3783</v>
      </c>
      <c r="LSX1115" s="379" t="s">
        <v>3783</v>
      </c>
      <c r="LSY1115" s="379" t="s">
        <v>3783</v>
      </c>
      <c r="LSZ1115" s="379" t="s">
        <v>3783</v>
      </c>
      <c r="LTA1115" s="379" t="s">
        <v>3783</v>
      </c>
      <c r="LTB1115" s="379" t="s">
        <v>3783</v>
      </c>
      <c r="LTC1115" s="379" t="s">
        <v>3783</v>
      </c>
      <c r="LTD1115" s="379" t="s">
        <v>3783</v>
      </c>
      <c r="LTE1115" s="379" t="s">
        <v>3783</v>
      </c>
      <c r="LTF1115" s="379" t="s">
        <v>3783</v>
      </c>
      <c r="LTG1115" s="379" t="s">
        <v>3783</v>
      </c>
      <c r="LTH1115" s="379" t="s">
        <v>3783</v>
      </c>
      <c r="LTI1115" s="379" t="s">
        <v>3783</v>
      </c>
      <c r="LTJ1115" s="379" t="s">
        <v>3783</v>
      </c>
      <c r="LTK1115" s="379" t="s">
        <v>3783</v>
      </c>
      <c r="LTL1115" s="379" t="s">
        <v>3783</v>
      </c>
      <c r="LTM1115" s="379" t="s">
        <v>3783</v>
      </c>
      <c r="LTN1115" s="379" t="s">
        <v>3783</v>
      </c>
      <c r="LTO1115" s="379" t="s">
        <v>3783</v>
      </c>
      <c r="LTP1115" s="379" t="s">
        <v>3783</v>
      </c>
      <c r="LTQ1115" s="379" t="s">
        <v>3783</v>
      </c>
      <c r="LTR1115" s="379" t="s">
        <v>3783</v>
      </c>
      <c r="LTS1115" s="379" t="s">
        <v>3783</v>
      </c>
      <c r="LTT1115" s="379" t="s">
        <v>3783</v>
      </c>
      <c r="LTU1115" s="379" t="s">
        <v>3783</v>
      </c>
      <c r="LTV1115" s="379" t="s">
        <v>3783</v>
      </c>
      <c r="LTW1115" s="379" t="s">
        <v>3783</v>
      </c>
      <c r="LTX1115" s="379" t="s">
        <v>3783</v>
      </c>
      <c r="LTY1115" s="379" t="s">
        <v>3783</v>
      </c>
      <c r="LTZ1115" s="379" t="s">
        <v>3783</v>
      </c>
      <c r="LUA1115" s="379" t="s">
        <v>3783</v>
      </c>
      <c r="LUB1115" s="379" t="s">
        <v>3783</v>
      </c>
      <c r="LUC1115" s="379" t="s">
        <v>3783</v>
      </c>
      <c r="LUD1115" s="379" t="s">
        <v>3783</v>
      </c>
      <c r="LUE1115" s="379" t="s">
        <v>3783</v>
      </c>
      <c r="LUF1115" s="379" t="s">
        <v>3783</v>
      </c>
      <c r="LUG1115" s="379" t="s">
        <v>3783</v>
      </c>
      <c r="LUH1115" s="379" t="s">
        <v>3783</v>
      </c>
      <c r="LUI1115" s="379" t="s">
        <v>3783</v>
      </c>
      <c r="LUJ1115" s="379" t="s">
        <v>3783</v>
      </c>
      <c r="LUK1115" s="379" t="s">
        <v>3783</v>
      </c>
      <c r="LUL1115" s="379" t="s">
        <v>3783</v>
      </c>
      <c r="LUM1115" s="379" t="s">
        <v>3783</v>
      </c>
      <c r="LUN1115" s="379" t="s">
        <v>3783</v>
      </c>
      <c r="LUO1115" s="379" t="s">
        <v>3783</v>
      </c>
      <c r="LUP1115" s="379" t="s">
        <v>3783</v>
      </c>
      <c r="LUQ1115" s="379" t="s">
        <v>3783</v>
      </c>
      <c r="LUR1115" s="379" t="s">
        <v>3783</v>
      </c>
      <c r="LUS1115" s="379" t="s">
        <v>3783</v>
      </c>
      <c r="LUT1115" s="379" t="s">
        <v>3783</v>
      </c>
      <c r="LUU1115" s="379" t="s">
        <v>3783</v>
      </c>
      <c r="LUV1115" s="379" t="s">
        <v>3783</v>
      </c>
      <c r="LUW1115" s="379" t="s">
        <v>3783</v>
      </c>
      <c r="LUX1115" s="379" t="s">
        <v>3783</v>
      </c>
      <c r="LUY1115" s="379" t="s">
        <v>3783</v>
      </c>
      <c r="LUZ1115" s="379" t="s">
        <v>3783</v>
      </c>
      <c r="LVA1115" s="379" t="s">
        <v>3783</v>
      </c>
      <c r="LVB1115" s="379" t="s">
        <v>3783</v>
      </c>
      <c r="LVC1115" s="379" t="s">
        <v>3783</v>
      </c>
      <c r="LVD1115" s="379" t="s">
        <v>3783</v>
      </c>
      <c r="LVE1115" s="379" t="s">
        <v>3783</v>
      </c>
      <c r="LVF1115" s="379" t="s">
        <v>3783</v>
      </c>
      <c r="LVG1115" s="379" t="s">
        <v>3783</v>
      </c>
      <c r="LVH1115" s="379" t="s">
        <v>3783</v>
      </c>
      <c r="LVI1115" s="379" t="s">
        <v>3783</v>
      </c>
      <c r="LVJ1115" s="379" t="s">
        <v>3783</v>
      </c>
      <c r="LVK1115" s="379" t="s">
        <v>3783</v>
      </c>
      <c r="LVL1115" s="379" t="s">
        <v>3783</v>
      </c>
      <c r="LVM1115" s="379" t="s">
        <v>3783</v>
      </c>
      <c r="LVN1115" s="379" t="s">
        <v>3783</v>
      </c>
      <c r="LVO1115" s="379" t="s">
        <v>3783</v>
      </c>
      <c r="LVP1115" s="379" t="s">
        <v>3783</v>
      </c>
      <c r="LVQ1115" s="379" t="s">
        <v>3783</v>
      </c>
      <c r="LVR1115" s="379" t="s">
        <v>3783</v>
      </c>
      <c r="LVS1115" s="379" t="s">
        <v>3783</v>
      </c>
      <c r="LVT1115" s="379" t="s">
        <v>3783</v>
      </c>
      <c r="LVU1115" s="379" t="s">
        <v>3783</v>
      </c>
      <c r="LVV1115" s="379" t="s">
        <v>3783</v>
      </c>
      <c r="LVW1115" s="379" t="s">
        <v>3783</v>
      </c>
      <c r="LVX1115" s="379" t="s">
        <v>3783</v>
      </c>
      <c r="LVY1115" s="379" t="s">
        <v>3783</v>
      </c>
      <c r="LVZ1115" s="379" t="s">
        <v>3783</v>
      </c>
      <c r="LWA1115" s="379" t="s">
        <v>3783</v>
      </c>
      <c r="LWB1115" s="379" t="s">
        <v>3783</v>
      </c>
      <c r="LWC1115" s="379" t="s">
        <v>3783</v>
      </c>
      <c r="LWD1115" s="379" t="s">
        <v>3783</v>
      </c>
      <c r="LWE1115" s="379" t="s">
        <v>3783</v>
      </c>
      <c r="LWF1115" s="379" t="s">
        <v>3783</v>
      </c>
      <c r="LWG1115" s="379" t="s">
        <v>3783</v>
      </c>
      <c r="LWH1115" s="379" t="s">
        <v>3783</v>
      </c>
      <c r="LWI1115" s="379" t="s">
        <v>3783</v>
      </c>
      <c r="LWJ1115" s="379" t="s">
        <v>3783</v>
      </c>
      <c r="LWK1115" s="379" t="s">
        <v>3783</v>
      </c>
      <c r="LWL1115" s="379" t="s">
        <v>3783</v>
      </c>
      <c r="LWM1115" s="379" t="s">
        <v>3783</v>
      </c>
      <c r="LWN1115" s="379" t="s">
        <v>3783</v>
      </c>
      <c r="LWO1115" s="379" t="s">
        <v>3783</v>
      </c>
      <c r="LWP1115" s="379" t="s">
        <v>3783</v>
      </c>
      <c r="LWQ1115" s="379" t="s">
        <v>3783</v>
      </c>
      <c r="LWR1115" s="379" t="s">
        <v>3783</v>
      </c>
      <c r="LWS1115" s="379" t="s">
        <v>3783</v>
      </c>
      <c r="LWT1115" s="379" t="s">
        <v>3783</v>
      </c>
      <c r="LWU1115" s="379" t="s">
        <v>3783</v>
      </c>
      <c r="LWV1115" s="379" t="s">
        <v>3783</v>
      </c>
      <c r="LWW1115" s="379" t="s">
        <v>3783</v>
      </c>
      <c r="LWX1115" s="379" t="s">
        <v>3783</v>
      </c>
      <c r="LWY1115" s="379" t="s">
        <v>3783</v>
      </c>
      <c r="LWZ1115" s="379" t="s">
        <v>3783</v>
      </c>
      <c r="LXA1115" s="379" t="s">
        <v>3783</v>
      </c>
      <c r="LXB1115" s="379" t="s">
        <v>3783</v>
      </c>
      <c r="LXC1115" s="379" t="s">
        <v>3783</v>
      </c>
      <c r="LXD1115" s="379" t="s">
        <v>3783</v>
      </c>
      <c r="LXE1115" s="379" t="s">
        <v>3783</v>
      </c>
      <c r="LXF1115" s="379" t="s">
        <v>3783</v>
      </c>
      <c r="LXG1115" s="379" t="s">
        <v>3783</v>
      </c>
      <c r="LXH1115" s="379" t="s">
        <v>3783</v>
      </c>
      <c r="LXI1115" s="379" t="s">
        <v>3783</v>
      </c>
      <c r="LXJ1115" s="379" t="s">
        <v>3783</v>
      </c>
      <c r="LXK1115" s="379" t="s">
        <v>3783</v>
      </c>
      <c r="LXL1115" s="379" t="s">
        <v>3783</v>
      </c>
      <c r="LXM1115" s="379" t="s">
        <v>3783</v>
      </c>
      <c r="LXN1115" s="379" t="s">
        <v>3783</v>
      </c>
      <c r="LXO1115" s="379" t="s">
        <v>3783</v>
      </c>
      <c r="LXP1115" s="379" t="s">
        <v>3783</v>
      </c>
      <c r="LXQ1115" s="379" t="s">
        <v>3783</v>
      </c>
      <c r="LXR1115" s="379" t="s">
        <v>3783</v>
      </c>
      <c r="LXS1115" s="379" t="s">
        <v>3783</v>
      </c>
      <c r="LXT1115" s="379" t="s">
        <v>3783</v>
      </c>
      <c r="LXU1115" s="379" t="s">
        <v>3783</v>
      </c>
      <c r="LXV1115" s="379" t="s">
        <v>3783</v>
      </c>
      <c r="LXW1115" s="379" t="s">
        <v>3783</v>
      </c>
      <c r="LXX1115" s="379" t="s">
        <v>3783</v>
      </c>
      <c r="LXY1115" s="379" t="s">
        <v>3783</v>
      </c>
      <c r="LXZ1115" s="379" t="s">
        <v>3783</v>
      </c>
      <c r="LYA1115" s="379" t="s">
        <v>3783</v>
      </c>
      <c r="LYB1115" s="379" t="s">
        <v>3783</v>
      </c>
      <c r="LYC1115" s="379" t="s">
        <v>3783</v>
      </c>
      <c r="LYD1115" s="379" t="s">
        <v>3783</v>
      </c>
      <c r="LYE1115" s="379" t="s">
        <v>3783</v>
      </c>
      <c r="LYF1115" s="379" t="s">
        <v>3783</v>
      </c>
      <c r="LYG1115" s="379" t="s">
        <v>3783</v>
      </c>
      <c r="LYH1115" s="379" t="s">
        <v>3783</v>
      </c>
      <c r="LYI1115" s="379" t="s">
        <v>3783</v>
      </c>
      <c r="LYJ1115" s="379" t="s">
        <v>3783</v>
      </c>
      <c r="LYK1115" s="379" t="s">
        <v>3783</v>
      </c>
      <c r="LYL1115" s="379" t="s">
        <v>3783</v>
      </c>
      <c r="LYM1115" s="379" t="s">
        <v>3783</v>
      </c>
      <c r="LYN1115" s="379" t="s">
        <v>3783</v>
      </c>
      <c r="LYO1115" s="379" t="s">
        <v>3783</v>
      </c>
      <c r="LYP1115" s="379" t="s">
        <v>3783</v>
      </c>
      <c r="LYQ1115" s="379" t="s">
        <v>3783</v>
      </c>
      <c r="LYR1115" s="379" t="s">
        <v>3783</v>
      </c>
      <c r="LYS1115" s="379" t="s">
        <v>3783</v>
      </c>
      <c r="LYT1115" s="379" t="s">
        <v>3783</v>
      </c>
      <c r="LYU1115" s="379" t="s">
        <v>3783</v>
      </c>
      <c r="LYV1115" s="379" t="s">
        <v>3783</v>
      </c>
      <c r="LYW1115" s="379" t="s">
        <v>3783</v>
      </c>
      <c r="LYX1115" s="379" t="s">
        <v>3783</v>
      </c>
      <c r="LYY1115" s="379" t="s">
        <v>3783</v>
      </c>
      <c r="LYZ1115" s="379" t="s">
        <v>3783</v>
      </c>
      <c r="LZA1115" s="379" t="s">
        <v>3783</v>
      </c>
      <c r="LZB1115" s="379" t="s">
        <v>3783</v>
      </c>
      <c r="LZC1115" s="379" t="s">
        <v>3783</v>
      </c>
      <c r="LZD1115" s="379" t="s">
        <v>3783</v>
      </c>
      <c r="LZE1115" s="379" t="s">
        <v>3783</v>
      </c>
      <c r="LZF1115" s="379" t="s">
        <v>3783</v>
      </c>
      <c r="LZG1115" s="379" t="s">
        <v>3783</v>
      </c>
      <c r="LZH1115" s="379" t="s">
        <v>3783</v>
      </c>
      <c r="LZI1115" s="379" t="s">
        <v>3783</v>
      </c>
      <c r="LZJ1115" s="379" t="s">
        <v>3783</v>
      </c>
      <c r="LZK1115" s="379" t="s">
        <v>3783</v>
      </c>
      <c r="LZL1115" s="379" t="s">
        <v>3783</v>
      </c>
      <c r="LZM1115" s="379" t="s">
        <v>3783</v>
      </c>
      <c r="LZN1115" s="379" t="s">
        <v>3783</v>
      </c>
      <c r="LZO1115" s="379" t="s">
        <v>3783</v>
      </c>
      <c r="LZP1115" s="379" t="s">
        <v>3783</v>
      </c>
      <c r="LZQ1115" s="379" t="s">
        <v>3783</v>
      </c>
      <c r="LZR1115" s="379" t="s">
        <v>3783</v>
      </c>
      <c r="LZS1115" s="379" t="s">
        <v>3783</v>
      </c>
      <c r="LZT1115" s="379" t="s">
        <v>3783</v>
      </c>
      <c r="LZU1115" s="379" t="s">
        <v>3783</v>
      </c>
      <c r="LZV1115" s="379" t="s">
        <v>3783</v>
      </c>
      <c r="LZW1115" s="379" t="s">
        <v>3783</v>
      </c>
      <c r="LZX1115" s="379" t="s">
        <v>3783</v>
      </c>
      <c r="LZY1115" s="379" t="s">
        <v>3783</v>
      </c>
      <c r="LZZ1115" s="379" t="s">
        <v>3783</v>
      </c>
      <c r="MAA1115" s="379" t="s">
        <v>3783</v>
      </c>
      <c r="MAB1115" s="379" t="s">
        <v>3783</v>
      </c>
      <c r="MAC1115" s="379" t="s">
        <v>3783</v>
      </c>
      <c r="MAD1115" s="379" t="s">
        <v>3783</v>
      </c>
      <c r="MAE1115" s="379" t="s">
        <v>3783</v>
      </c>
      <c r="MAF1115" s="379" t="s">
        <v>3783</v>
      </c>
      <c r="MAG1115" s="379" t="s">
        <v>3783</v>
      </c>
      <c r="MAH1115" s="379" t="s">
        <v>3783</v>
      </c>
      <c r="MAI1115" s="379" t="s">
        <v>3783</v>
      </c>
      <c r="MAJ1115" s="379" t="s">
        <v>3783</v>
      </c>
      <c r="MAK1115" s="379" t="s">
        <v>3783</v>
      </c>
      <c r="MAL1115" s="379" t="s">
        <v>3783</v>
      </c>
      <c r="MAM1115" s="379" t="s">
        <v>3783</v>
      </c>
      <c r="MAN1115" s="379" t="s">
        <v>3783</v>
      </c>
      <c r="MAO1115" s="379" t="s">
        <v>3783</v>
      </c>
      <c r="MAP1115" s="379" t="s">
        <v>3783</v>
      </c>
      <c r="MAQ1115" s="379" t="s">
        <v>3783</v>
      </c>
      <c r="MAR1115" s="379" t="s">
        <v>3783</v>
      </c>
      <c r="MAS1115" s="379" t="s">
        <v>3783</v>
      </c>
      <c r="MAT1115" s="379" t="s">
        <v>3783</v>
      </c>
      <c r="MAU1115" s="379" t="s">
        <v>3783</v>
      </c>
      <c r="MAV1115" s="379" t="s">
        <v>3783</v>
      </c>
      <c r="MAW1115" s="379" t="s">
        <v>3783</v>
      </c>
      <c r="MAX1115" s="379" t="s">
        <v>3783</v>
      </c>
      <c r="MAY1115" s="379" t="s">
        <v>3783</v>
      </c>
      <c r="MAZ1115" s="379" t="s">
        <v>3783</v>
      </c>
      <c r="MBA1115" s="379" t="s">
        <v>3783</v>
      </c>
      <c r="MBB1115" s="379" t="s">
        <v>3783</v>
      </c>
      <c r="MBC1115" s="379" t="s">
        <v>3783</v>
      </c>
      <c r="MBD1115" s="379" t="s">
        <v>3783</v>
      </c>
      <c r="MBE1115" s="379" t="s">
        <v>3783</v>
      </c>
      <c r="MBF1115" s="379" t="s">
        <v>3783</v>
      </c>
      <c r="MBG1115" s="379" t="s">
        <v>3783</v>
      </c>
      <c r="MBH1115" s="379" t="s">
        <v>3783</v>
      </c>
      <c r="MBI1115" s="379" t="s">
        <v>3783</v>
      </c>
      <c r="MBJ1115" s="379" t="s">
        <v>3783</v>
      </c>
      <c r="MBK1115" s="379" t="s">
        <v>3783</v>
      </c>
      <c r="MBL1115" s="379" t="s">
        <v>3783</v>
      </c>
      <c r="MBM1115" s="379" t="s">
        <v>3783</v>
      </c>
      <c r="MBN1115" s="379" t="s">
        <v>3783</v>
      </c>
      <c r="MBO1115" s="379" t="s">
        <v>3783</v>
      </c>
      <c r="MBP1115" s="379" t="s">
        <v>3783</v>
      </c>
      <c r="MBQ1115" s="379" t="s">
        <v>3783</v>
      </c>
      <c r="MBR1115" s="379" t="s">
        <v>3783</v>
      </c>
      <c r="MBS1115" s="379" t="s">
        <v>3783</v>
      </c>
      <c r="MBT1115" s="379" t="s">
        <v>3783</v>
      </c>
      <c r="MBU1115" s="379" t="s">
        <v>3783</v>
      </c>
      <c r="MBV1115" s="379" t="s">
        <v>3783</v>
      </c>
      <c r="MBW1115" s="379" t="s">
        <v>3783</v>
      </c>
      <c r="MBX1115" s="379" t="s">
        <v>3783</v>
      </c>
      <c r="MBY1115" s="379" t="s">
        <v>3783</v>
      </c>
      <c r="MBZ1115" s="379" t="s">
        <v>3783</v>
      </c>
      <c r="MCA1115" s="379" t="s">
        <v>3783</v>
      </c>
      <c r="MCB1115" s="379" t="s">
        <v>3783</v>
      </c>
      <c r="MCC1115" s="379" t="s">
        <v>3783</v>
      </c>
      <c r="MCD1115" s="379" t="s">
        <v>3783</v>
      </c>
      <c r="MCE1115" s="379" t="s">
        <v>3783</v>
      </c>
      <c r="MCF1115" s="379" t="s">
        <v>3783</v>
      </c>
      <c r="MCG1115" s="379" t="s">
        <v>3783</v>
      </c>
      <c r="MCH1115" s="379" t="s">
        <v>3783</v>
      </c>
      <c r="MCI1115" s="379" t="s">
        <v>3783</v>
      </c>
      <c r="MCJ1115" s="379" t="s">
        <v>3783</v>
      </c>
      <c r="MCK1115" s="379" t="s">
        <v>3783</v>
      </c>
      <c r="MCL1115" s="379" t="s">
        <v>3783</v>
      </c>
      <c r="MCM1115" s="379" t="s">
        <v>3783</v>
      </c>
      <c r="MCN1115" s="379" t="s">
        <v>3783</v>
      </c>
      <c r="MCO1115" s="379" t="s">
        <v>3783</v>
      </c>
      <c r="MCP1115" s="379" t="s">
        <v>3783</v>
      </c>
      <c r="MCQ1115" s="379" t="s">
        <v>3783</v>
      </c>
      <c r="MCR1115" s="379" t="s">
        <v>3783</v>
      </c>
      <c r="MCS1115" s="379" t="s">
        <v>3783</v>
      </c>
      <c r="MCT1115" s="379" t="s">
        <v>3783</v>
      </c>
      <c r="MCU1115" s="379" t="s">
        <v>3783</v>
      </c>
      <c r="MCV1115" s="379" t="s">
        <v>3783</v>
      </c>
      <c r="MCW1115" s="379" t="s">
        <v>3783</v>
      </c>
      <c r="MCX1115" s="379" t="s">
        <v>3783</v>
      </c>
      <c r="MCY1115" s="379" t="s">
        <v>3783</v>
      </c>
      <c r="MCZ1115" s="379" t="s">
        <v>3783</v>
      </c>
      <c r="MDA1115" s="379" t="s">
        <v>3783</v>
      </c>
      <c r="MDB1115" s="379" t="s">
        <v>3783</v>
      </c>
      <c r="MDC1115" s="379" t="s">
        <v>3783</v>
      </c>
      <c r="MDD1115" s="379" t="s">
        <v>3783</v>
      </c>
      <c r="MDE1115" s="379" t="s">
        <v>3783</v>
      </c>
      <c r="MDF1115" s="379" t="s">
        <v>3783</v>
      </c>
      <c r="MDG1115" s="379" t="s">
        <v>3783</v>
      </c>
      <c r="MDH1115" s="379" t="s">
        <v>3783</v>
      </c>
      <c r="MDI1115" s="379" t="s">
        <v>3783</v>
      </c>
      <c r="MDJ1115" s="379" t="s">
        <v>3783</v>
      </c>
      <c r="MDK1115" s="379" t="s">
        <v>3783</v>
      </c>
      <c r="MDL1115" s="379" t="s">
        <v>3783</v>
      </c>
      <c r="MDM1115" s="379" t="s">
        <v>3783</v>
      </c>
      <c r="MDN1115" s="379" t="s">
        <v>3783</v>
      </c>
      <c r="MDO1115" s="379" t="s">
        <v>3783</v>
      </c>
      <c r="MDP1115" s="379" t="s">
        <v>3783</v>
      </c>
      <c r="MDQ1115" s="379" t="s">
        <v>3783</v>
      </c>
      <c r="MDR1115" s="379" t="s">
        <v>3783</v>
      </c>
      <c r="MDS1115" s="379" t="s">
        <v>3783</v>
      </c>
      <c r="MDT1115" s="379" t="s">
        <v>3783</v>
      </c>
      <c r="MDU1115" s="379" t="s">
        <v>3783</v>
      </c>
      <c r="MDV1115" s="379" t="s">
        <v>3783</v>
      </c>
      <c r="MDW1115" s="379" t="s">
        <v>3783</v>
      </c>
      <c r="MDX1115" s="379" t="s">
        <v>3783</v>
      </c>
      <c r="MDY1115" s="379" t="s">
        <v>3783</v>
      </c>
      <c r="MDZ1115" s="379" t="s">
        <v>3783</v>
      </c>
      <c r="MEA1115" s="379" t="s">
        <v>3783</v>
      </c>
      <c r="MEB1115" s="379" t="s">
        <v>3783</v>
      </c>
      <c r="MEC1115" s="379" t="s">
        <v>3783</v>
      </c>
      <c r="MED1115" s="379" t="s">
        <v>3783</v>
      </c>
      <c r="MEE1115" s="379" t="s">
        <v>3783</v>
      </c>
      <c r="MEF1115" s="379" t="s">
        <v>3783</v>
      </c>
      <c r="MEG1115" s="379" t="s">
        <v>3783</v>
      </c>
      <c r="MEH1115" s="379" t="s">
        <v>3783</v>
      </c>
      <c r="MEI1115" s="379" t="s">
        <v>3783</v>
      </c>
      <c r="MEJ1115" s="379" t="s">
        <v>3783</v>
      </c>
      <c r="MEK1115" s="379" t="s">
        <v>3783</v>
      </c>
      <c r="MEL1115" s="379" t="s">
        <v>3783</v>
      </c>
      <c r="MEM1115" s="379" t="s">
        <v>3783</v>
      </c>
      <c r="MEN1115" s="379" t="s">
        <v>3783</v>
      </c>
      <c r="MEO1115" s="379" t="s">
        <v>3783</v>
      </c>
      <c r="MEP1115" s="379" t="s">
        <v>3783</v>
      </c>
      <c r="MEQ1115" s="379" t="s">
        <v>3783</v>
      </c>
      <c r="MER1115" s="379" t="s">
        <v>3783</v>
      </c>
      <c r="MES1115" s="379" t="s">
        <v>3783</v>
      </c>
      <c r="MET1115" s="379" t="s">
        <v>3783</v>
      </c>
      <c r="MEU1115" s="379" t="s">
        <v>3783</v>
      </c>
      <c r="MEV1115" s="379" t="s">
        <v>3783</v>
      </c>
      <c r="MEW1115" s="379" t="s">
        <v>3783</v>
      </c>
      <c r="MEX1115" s="379" t="s">
        <v>3783</v>
      </c>
      <c r="MEY1115" s="379" t="s">
        <v>3783</v>
      </c>
      <c r="MEZ1115" s="379" t="s">
        <v>3783</v>
      </c>
      <c r="MFA1115" s="379" t="s">
        <v>3783</v>
      </c>
      <c r="MFB1115" s="379" t="s">
        <v>3783</v>
      </c>
      <c r="MFC1115" s="379" t="s">
        <v>3783</v>
      </c>
      <c r="MFD1115" s="379" t="s">
        <v>3783</v>
      </c>
      <c r="MFE1115" s="379" t="s">
        <v>3783</v>
      </c>
      <c r="MFF1115" s="379" t="s">
        <v>3783</v>
      </c>
      <c r="MFG1115" s="379" t="s">
        <v>3783</v>
      </c>
      <c r="MFH1115" s="379" t="s">
        <v>3783</v>
      </c>
      <c r="MFI1115" s="379" t="s">
        <v>3783</v>
      </c>
      <c r="MFJ1115" s="379" t="s">
        <v>3783</v>
      </c>
      <c r="MFK1115" s="379" t="s">
        <v>3783</v>
      </c>
      <c r="MFL1115" s="379" t="s">
        <v>3783</v>
      </c>
      <c r="MFM1115" s="379" t="s">
        <v>3783</v>
      </c>
      <c r="MFN1115" s="379" t="s">
        <v>3783</v>
      </c>
      <c r="MFO1115" s="379" t="s">
        <v>3783</v>
      </c>
      <c r="MFP1115" s="379" t="s">
        <v>3783</v>
      </c>
      <c r="MFQ1115" s="379" t="s">
        <v>3783</v>
      </c>
      <c r="MFR1115" s="379" t="s">
        <v>3783</v>
      </c>
      <c r="MFS1115" s="379" t="s">
        <v>3783</v>
      </c>
      <c r="MFT1115" s="379" t="s">
        <v>3783</v>
      </c>
      <c r="MFU1115" s="379" t="s">
        <v>3783</v>
      </c>
      <c r="MFV1115" s="379" t="s">
        <v>3783</v>
      </c>
      <c r="MFW1115" s="379" t="s">
        <v>3783</v>
      </c>
      <c r="MFX1115" s="379" t="s">
        <v>3783</v>
      </c>
      <c r="MFY1115" s="379" t="s">
        <v>3783</v>
      </c>
      <c r="MFZ1115" s="379" t="s">
        <v>3783</v>
      </c>
      <c r="MGA1115" s="379" t="s">
        <v>3783</v>
      </c>
      <c r="MGB1115" s="379" t="s">
        <v>3783</v>
      </c>
      <c r="MGC1115" s="379" t="s">
        <v>3783</v>
      </c>
      <c r="MGD1115" s="379" t="s">
        <v>3783</v>
      </c>
      <c r="MGE1115" s="379" t="s">
        <v>3783</v>
      </c>
      <c r="MGF1115" s="379" t="s">
        <v>3783</v>
      </c>
      <c r="MGG1115" s="379" t="s">
        <v>3783</v>
      </c>
      <c r="MGH1115" s="379" t="s">
        <v>3783</v>
      </c>
      <c r="MGI1115" s="379" t="s">
        <v>3783</v>
      </c>
      <c r="MGJ1115" s="379" t="s">
        <v>3783</v>
      </c>
      <c r="MGK1115" s="379" t="s">
        <v>3783</v>
      </c>
      <c r="MGL1115" s="379" t="s">
        <v>3783</v>
      </c>
      <c r="MGM1115" s="379" t="s">
        <v>3783</v>
      </c>
      <c r="MGN1115" s="379" t="s">
        <v>3783</v>
      </c>
      <c r="MGO1115" s="379" t="s">
        <v>3783</v>
      </c>
      <c r="MGP1115" s="379" t="s">
        <v>3783</v>
      </c>
      <c r="MGQ1115" s="379" t="s">
        <v>3783</v>
      </c>
      <c r="MGR1115" s="379" t="s">
        <v>3783</v>
      </c>
      <c r="MGS1115" s="379" t="s">
        <v>3783</v>
      </c>
      <c r="MGT1115" s="379" t="s">
        <v>3783</v>
      </c>
      <c r="MGU1115" s="379" t="s">
        <v>3783</v>
      </c>
      <c r="MGV1115" s="379" t="s">
        <v>3783</v>
      </c>
      <c r="MGW1115" s="379" t="s">
        <v>3783</v>
      </c>
      <c r="MGX1115" s="379" t="s">
        <v>3783</v>
      </c>
      <c r="MGY1115" s="379" t="s">
        <v>3783</v>
      </c>
      <c r="MGZ1115" s="379" t="s">
        <v>3783</v>
      </c>
      <c r="MHA1115" s="379" t="s">
        <v>3783</v>
      </c>
      <c r="MHB1115" s="379" t="s">
        <v>3783</v>
      </c>
      <c r="MHC1115" s="379" t="s">
        <v>3783</v>
      </c>
      <c r="MHD1115" s="379" t="s">
        <v>3783</v>
      </c>
      <c r="MHE1115" s="379" t="s">
        <v>3783</v>
      </c>
      <c r="MHF1115" s="379" t="s">
        <v>3783</v>
      </c>
      <c r="MHG1115" s="379" t="s">
        <v>3783</v>
      </c>
      <c r="MHH1115" s="379" t="s">
        <v>3783</v>
      </c>
      <c r="MHI1115" s="379" t="s">
        <v>3783</v>
      </c>
      <c r="MHJ1115" s="379" t="s">
        <v>3783</v>
      </c>
      <c r="MHK1115" s="379" t="s">
        <v>3783</v>
      </c>
      <c r="MHL1115" s="379" t="s">
        <v>3783</v>
      </c>
      <c r="MHM1115" s="379" t="s">
        <v>3783</v>
      </c>
      <c r="MHN1115" s="379" t="s">
        <v>3783</v>
      </c>
      <c r="MHO1115" s="379" t="s">
        <v>3783</v>
      </c>
      <c r="MHP1115" s="379" t="s">
        <v>3783</v>
      </c>
      <c r="MHQ1115" s="379" t="s">
        <v>3783</v>
      </c>
      <c r="MHR1115" s="379" t="s">
        <v>3783</v>
      </c>
      <c r="MHS1115" s="379" t="s">
        <v>3783</v>
      </c>
      <c r="MHT1115" s="379" t="s">
        <v>3783</v>
      </c>
      <c r="MHU1115" s="379" t="s">
        <v>3783</v>
      </c>
      <c r="MHV1115" s="379" t="s">
        <v>3783</v>
      </c>
      <c r="MHW1115" s="379" t="s">
        <v>3783</v>
      </c>
      <c r="MHX1115" s="379" t="s">
        <v>3783</v>
      </c>
      <c r="MHY1115" s="379" t="s">
        <v>3783</v>
      </c>
      <c r="MHZ1115" s="379" t="s">
        <v>3783</v>
      </c>
      <c r="MIA1115" s="379" t="s">
        <v>3783</v>
      </c>
      <c r="MIB1115" s="379" t="s">
        <v>3783</v>
      </c>
      <c r="MIC1115" s="379" t="s">
        <v>3783</v>
      </c>
      <c r="MID1115" s="379" t="s">
        <v>3783</v>
      </c>
      <c r="MIE1115" s="379" t="s">
        <v>3783</v>
      </c>
      <c r="MIF1115" s="379" t="s">
        <v>3783</v>
      </c>
      <c r="MIG1115" s="379" t="s">
        <v>3783</v>
      </c>
      <c r="MIH1115" s="379" t="s">
        <v>3783</v>
      </c>
      <c r="MII1115" s="379" t="s">
        <v>3783</v>
      </c>
      <c r="MIJ1115" s="379" t="s">
        <v>3783</v>
      </c>
      <c r="MIK1115" s="379" t="s">
        <v>3783</v>
      </c>
      <c r="MIL1115" s="379" t="s">
        <v>3783</v>
      </c>
      <c r="MIM1115" s="379" t="s">
        <v>3783</v>
      </c>
      <c r="MIN1115" s="379" t="s">
        <v>3783</v>
      </c>
      <c r="MIO1115" s="379" t="s">
        <v>3783</v>
      </c>
      <c r="MIP1115" s="379" t="s">
        <v>3783</v>
      </c>
      <c r="MIQ1115" s="379" t="s">
        <v>3783</v>
      </c>
      <c r="MIR1115" s="379" t="s">
        <v>3783</v>
      </c>
      <c r="MIS1115" s="379" t="s">
        <v>3783</v>
      </c>
      <c r="MIT1115" s="379" t="s">
        <v>3783</v>
      </c>
      <c r="MIU1115" s="379" t="s">
        <v>3783</v>
      </c>
      <c r="MIV1115" s="379" t="s">
        <v>3783</v>
      </c>
      <c r="MIW1115" s="379" t="s">
        <v>3783</v>
      </c>
      <c r="MIX1115" s="379" t="s">
        <v>3783</v>
      </c>
      <c r="MIY1115" s="379" t="s">
        <v>3783</v>
      </c>
      <c r="MIZ1115" s="379" t="s">
        <v>3783</v>
      </c>
      <c r="MJA1115" s="379" t="s">
        <v>3783</v>
      </c>
      <c r="MJB1115" s="379" t="s">
        <v>3783</v>
      </c>
      <c r="MJC1115" s="379" t="s">
        <v>3783</v>
      </c>
      <c r="MJD1115" s="379" t="s">
        <v>3783</v>
      </c>
      <c r="MJE1115" s="379" t="s">
        <v>3783</v>
      </c>
      <c r="MJF1115" s="379" t="s">
        <v>3783</v>
      </c>
      <c r="MJG1115" s="379" t="s">
        <v>3783</v>
      </c>
      <c r="MJH1115" s="379" t="s">
        <v>3783</v>
      </c>
      <c r="MJI1115" s="379" t="s">
        <v>3783</v>
      </c>
      <c r="MJJ1115" s="379" t="s">
        <v>3783</v>
      </c>
      <c r="MJK1115" s="379" t="s">
        <v>3783</v>
      </c>
      <c r="MJL1115" s="379" t="s">
        <v>3783</v>
      </c>
      <c r="MJM1115" s="379" t="s">
        <v>3783</v>
      </c>
      <c r="MJN1115" s="379" t="s">
        <v>3783</v>
      </c>
      <c r="MJO1115" s="379" t="s">
        <v>3783</v>
      </c>
      <c r="MJP1115" s="379" t="s">
        <v>3783</v>
      </c>
      <c r="MJQ1115" s="379" t="s">
        <v>3783</v>
      </c>
      <c r="MJR1115" s="379" t="s">
        <v>3783</v>
      </c>
      <c r="MJS1115" s="379" t="s">
        <v>3783</v>
      </c>
      <c r="MJT1115" s="379" t="s">
        <v>3783</v>
      </c>
      <c r="MJU1115" s="379" t="s">
        <v>3783</v>
      </c>
      <c r="MJV1115" s="379" t="s">
        <v>3783</v>
      </c>
      <c r="MJW1115" s="379" t="s">
        <v>3783</v>
      </c>
      <c r="MJX1115" s="379" t="s">
        <v>3783</v>
      </c>
      <c r="MJY1115" s="379" t="s">
        <v>3783</v>
      </c>
      <c r="MJZ1115" s="379" t="s">
        <v>3783</v>
      </c>
      <c r="MKA1115" s="379" t="s">
        <v>3783</v>
      </c>
      <c r="MKB1115" s="379" t="s">
        <v>3783</v>
      </c>
      <c r="MKC1115" s="379" t="s">
        <v>3783</v>
      </c>
      <c r="MKD1115" s="379" t="s">
        <v>3783</v>
      </c>
      <c r="MKE1115" s="379" t="s">
        <v>3783</v>
      </c>
      <c r="MKF1115" s="379" t="s">
        <v>3783</v>
      </c>
      <c r="MKG1115" s="379" t="s">
        <v>3783</v>
      </c>
      <c r="MKH1115" s="379" t="s">
        <v>3783</v>
      </c>
      <c r="MKI1115" s="379" t="s">
        <v>3783</v>
      </c>
      <c r="MKJ1115" s="379" t="s">
        <v>3783</v>
      </c>
      <c r="MKK1115" s="379" t="s">
        <v>3783</v>
      </c>
      <c r="MKL1115" s="379" t="s">
        <v>3783</v>
      </c>
      <c r="MKM1115" s="379" t="s">
        <v>3783</v>
      </c>
      <c r="MKN1115" s="379" t="s">
        <v>3783</v>
      </c>
      <c r="MKO1115" s="379" t="s">
        <v>3783</v>
      </c>
      <c r="MKP1115" s="379" t="s">
        <v>3783</v>
      </c>
      <c r="MKQ1115" s="379" t="s">
        <v>3783</v>
      </c>
      <c r="MKR1115" s="379" t="s">
        <v>3783</v>
      </c>
      <c r="MKS1115" s="379" t="s">
        <v>3783</v>
      </c>
      <c r="MKT1115" s="379" t="s">
        <v>3783</v>
      </c>
      <c r="MKU1115" s="379" t="s">
        <v>3783</v>
      </c>
      <c r="MKV1115" s="379" t="s">
        <v>3783</v>
      </c>
      <c r="MKW1115" s="379" t="s">
        <v>3783</v>
      </c>
      <c r="MKX1115" s="379" t="s">
        <v>3783</v>
      </c>
      <c r="MKY1115" s="379" t="s">
        <v>3783</v>
      </c>
      <c r="MKZ1115" s="379" t="s">
        <v>3783</v>
      </c>
      <c r="MLA1115" s="379" t="s">
        <v>3783</v>
      </c>
      <c r="MLB1115" s="379" t="s">
        <v>3783</v>
      </c>
      <c r="MLC1115" s="379" t="s">
        <v>3783</v>
      </c>
      <c r="MLD1115" s="379" t="s">
        <v>3783</v>
      </c>
      <c r="MLE1115" s="379" t="s">
        <v>3783</v>
      </c>
      <c r="MLF1115" s="379" t="s">
        <v>3783</v>
      </c>
      <c r="MLG1115" s="379" t="s">
        <v>3783</v>
      </c>
      <c r="MLH1115" s="379" t="s">
        <v>3783</v>
      </c>
      <c r="MLI1115" s="379" t="s">
        <v>3783</v>
      </c>
      <c r="MLJ1115" s="379" t="s">
        <v>3783</v>
      </c>
      <c r="MLK1115" s="379" t="s">
        <v>3783</v>
      </c>
      <c r="MLL1115" s="379" t="s">
        <v>3783</v>
      </c>
      <c r="MLM1115" s="379" t="s">
        <v>3783</v>
      </c>
      <c r="MLN1115" s="379" t="s">
        <v>3783</v>
      </c>
      <c r="MLO1115" s="379" t="s">
        <v>3783</v>
      </c>
      <c r="MLP1115" s="379" t="s">
        <v>3783</v>
      </c>
      <c r="MLQ1115" s="379" t="s">
        <v>3783</v>
      </c>
      <c r="MLR1115" s="379" t="s">
        <v>3783</v>
      </c>
      <c r="MLS1115" s="379" t="s">
        <v>3783</v>
      </c>
      <c r="MLT1115" s="379" t="s">
        <v>3783</v>
      </c>
      <c r="MLU1115" s="379" t="s">
        <v>3783</v>
      </c>
      <c r="MLV1115" s="379" t="s">
        <v>3783</v>
      </c>
      <c r="MLW1115" s="379" t="s">
        <v>3783</v>
      </c>
      <c r="MLX1115" s="379" t="s">
        <v>3783</v>
      </c>
      <c r="MLY1115" s="379" t="s">
        <v>3783</v>
      </c>
      <c r="MLZ1115" s="379" t="s">
        <v>3783</v>
      </c>
      <c r="MMA1115" s="379" t="s">
        <v>3783</v>
      </c>
      <c r="MMB1115" s="379" t="s">
        <v>3783</v>
      </c>
      <c r="MMC1115" s="379" t="s">
        <v>3783</v>
      </c>
      <c r="MMD1115" s="379" t="s">
        <v>3783</v>
      </c>
      <c r="MME1115" s="379" t="s">
        <v>3783</v>
      </c>
      <c r="MMF1115" s="379" t="s">
        <v>3783</v>
      </c>
      <c r="MMG1115" s="379" t="s">
        <v>3783</v>
      </c>
      <c r="MMH1115" s="379" t="s">
        <v>3783</v>
      </c>
      <c r="MMI1115" s="379" t="s">
        <v>3783</v>
      </c>
      <c r="MMJ1115" s="379" t="s">
        <v>3783</v>
      </c>
      <c r="MMK1115" s="379" t="s">
        <v>3783</v>
      </c>
      <c r="MML1115" s="379" t="s">
        <v>3783</v>
      </c>
      <c r="MMM1115" s="379" t="s">
        <v>3783</v>
      </c>
      <c r="MMN1115" s="379" t="s">
        <v>3783</v>
      </c>
      <c r="MMO1115" s="379" t="s">
        <v>3783</v>
      </c>
      <c r="MMP1115" s="379" t="s">
        <v>3783</v>
      </c>
      <c r="MMQ1115" s="379" t="s">
        <v>3783</v>
      </c>
      <c r="MMR1115" s="379" t="s">
        <v>3783</v>
      </c>
      <c r="MMS1115" s="379" t="s">
        <v>3783</v>
      </c>
      <c r="MMT1115" s="379" t="s">
        <v>3783</v>
      </c>
      <c r="MMU1115" s="379" t="s">
        <v>3783</v>
      </c>
      <c r="MMV1115" s="379" t="s">
        <v>3783</v>
      </c>
      <c r="MMW1115" s="379" t="s">
        <v>3783</v>
      </c>
      <c r="MMX1115" s="379" t="s">
        <v>3783</v>
      </c>
      <c r="MMY1115" s="379" t="s">
        <v>3783</v>
      </c>
      <c r="MMZ1115" s="379" t="s">
        <v>3783</v>
      </c>
      <c r="MNA1115" s="379" t="s">
        <v>3783</v>
      </c>
      <c r="MNB1115" s="379" t="s">
        <v>3783</v>
      </c>
      <c r="MNC1115" s="379" t="s">
        <v>3783</v>
      </c>
      <c r="MND1115" s="379" t="s">
        <v>3783</v>
      </c>
      <c r="MNE1115" s="379" t="s">
        <v>3783</v>
      </c>
      <c r="MNF1115" s="379" t="s">
        <v>3783</v>
      </c>
      <c r="MNG1115" s="379" t="s">
        <v>3783</v>
      </c>
      <c r="MNH1115" s="379" t="s">
        <v>3783</v>
      </c>
      <c r="MNI1115" s="379" t="s">
        <v>3783</v>
      </c>
      <c r="MNJ1115" s="379" t="s">
        <v>3783</v>
      </c>
      <c r="MNK1115" s="379" t="s">
        <v>3783</v>
      </c>
      <c r="MNL1115" s="379" t="s">
        <v>3783</v>
      </c>
      <c r="MNM1115" s="379" t="s">
        <v>3783</v>
      </c>
      <c r="MNN1115" s="379" t="s">
        <v>3783</v>
      </c>
      <c r="MNO1115" s="379" t="s">
        <v>3783</v>
      </c>
      <c r="MNP1115" s="379" t="s">
        <v>3783</v>
      </c>
      <c r="MNQ1115" s="379" t="s">
        <v>3783</v>
      </c>
      <c r="MNR1115" s="379" t="s">
        <v>3783</v>
      </c>
      <c r="MNS1115" s="379" t="s">
        <v>3783</v>
      </c>
      <c r="MNT1115" s="379" t="s">
        <v>3783</v>
      </c>
      <c r="MNU1115" s="379" t="s">
        <v>3783</v>
      </c>
      <c r="MNV1115" s="379" t="s">
        <v>3783</v>
      </c>
      <c r="MNW1115" s="379" t="s">
        <v>3783</v>
      </c>
      <c r="MNX1115" s="379" t="s">
        <v>3783</v>
      </c>
      <c r="MNY1115" s="379" t="s">
        <v>3783</v>
      </c>
      <c r="MNZ1115" s="379" t="s">
        <v>3783</v>
      </c>
      <c r="MOA1115" s="379" t="s">
        <v>3783</v>
      </c>
      <c r="MOB1115" s="379" t="s">
        <v>3783</v>
      </c>
      <c r="MOC1115" s="379" t="s">
        <v>3783</v>
      </c>
      <c r="MOD1115" s="379" t="s">
        <v>3783</v>
      </c>
      <c r="MOE1115" s="379" t="s">
        <v>3783</v>
      </c>
      <c r="MOF1115" s="379" t="s">
        <v>3783</v>
      </c>
      <c r="MOG1115" s="379" t="s">
        <v>3783</v>
      </c>
      <c r="MOH1115" s="379" t="s">
        <v>3783</v>
      </c>
      <c r="MOI1115" s="379" t="s">
        <v>3783</v>
      </c>
      <c r="MOJ1115" s="379" t="s">
        <v>3783</v>
      </c>
      <c r="MOK1115" s="379" t="s">
        <v>3783</v>
      </c>
      <c r="MOL1115" s="379" t="s">
        <v>3783</v>
      </c>
      <c r="MOM1115" s="379" t="s">
        <v>3783</v>
      </c>
      <c r="MON1115" s="379" t="s">
        <v>3783</v>
      </c>
      <c r="MOO1115" s="379" t="s">
        <v>3783</v>
      </c>
      <c r="MOP1115" s="379" t="s">
        <v>3783</v>
      </c>
      <c r="MOQ1115" s="379" t="s">
        <v>3783</v>
      </c>
      <c r="MOR1115" s="379" t="s">
        <v>3783</v>
      </c>
      <c r="MOS1115" s="379" t="s">
        <v>3783</v>
      </c>
      <c r="MOT1115" s="379" t="s">
        <v>3783</v>
      </c>
      <c r="MOU1115" s="379" t="s">
        <v>3783</v>
      </c>
      <c r="MOV1115" s="379" t="s">
        <v>3783</v>
      </c>
      <c r="MOW1115" s="379" t="s">
        <v>3783</v>
      </c>
      <c r="MOX1115" s="379" t="s">
        <v>3783</v>
      </c>
      <c r="MOY1115" s="379" t="s">
        <v>3783</v>
      </c>
      <c r="MOZ1115" s="379" t="s">
        <v>3783</v>
      </c>
      <c r="MPA1115" s="379" t="s">
        <v>3783</v>
      </c>
      <c r="MPB1115" s="379" t="s">
        <v>3783</v>
      </c>
      <c r="MPC1115" s="379" t="s">
        <v>3783</v>
      </c>
      <c r="MPD1115" s="379" t="s">
        <v>3783</v>
      </c>
      <c r="MPE1115" s="379" t="s">
        <v>3783</v>
      </c>
      <c r="MPF1115" s="379" t="s">
        <v>3783</v>
      </c>
      <c r="MPG1115" s="379" t="s">
        <v>3783</v>
      </c>
      <c r="MPH1115" s="379" t="s">
        <v>3783</v>
      </c>
      <c r="MPI1115" s="379" t="s">
        <v>3783</v>
      </c>
      <c r="MPJ1115" s="379" t="s">
        <v>3783</v>
      </c>
      <c r="MPK1115" s="379" t="s">
        <v>3783</v>
      </c>
      <c r="MPL1115" s="379" t="s">
        <v>3783</v>
      </c>
      <c r="MPM1115" s="379" t="s">
        <v>3783</v>
      </c>
      <c r="MPN1115" s="379" t="s">
        <v>3783</v>
      </c>
      <c r="MPO1115" s="379" t="s">
        <v>3783</v>
      </c>
      <c r="MPP1115" s="379" t="s">
        <v>3783</v>
      </c>
      <c r="MPQ1115" s="379" t="s">
        <v>3783</v>
      </c>
      <c r="MPR1115" s="379" t="s">
        <v>3783</v>
      </c>
      <c r="MPS1115" s="379" t="s">
        <v>3783</v>
      </c>
      <c r="MPT1115" s="379" t="s">
        <v>3783</v>
      </c>
      <c r="MPU1115" s="379" t="s">
        <v>3783</v>
      </c>
      <c r="MPV1115" s="379" t="s">
        <v>3783</v>
      </c>
      <c r="MPW1115" s="379" t="s">
        <v>3783</v>
      </c>
      <c r="MPX1115" s="379" t="s">
        <v>3783</v>
      </c>
      <c r="MPY1115" s="379" t="s">
        <v>3783</v>
      </c>
      <c r="MPZ1115" s="379" t="s">
        <v>3783</v>
      </c>
      <c r="MQA1115" s="379" t="s">
        <v>3783</v>
      </c>
      <c r="MQB1115" s="379" t="s">
        <v>3783</v>
      </c>
      <c r="MQC1115" s="379" t="s">
        <v>3783</v>
      </c>
      <c r="MQD1115" s="379" t="s">
        <v>3783</v>
      </c>
      <c r="MQE1115" s="379" t="s">
        <v>3783</v>
      </c>
      <c r="MQF1115" s="379" t="s">
        <v>3783</v>
      </c>
      <c r="MQG1115" s="379" t="s">
        <v>3783</v>
      </c>
      <c r="MQH1115" s="379" t="s">
        <v>3783</v>
      </c>
      <c r="MQI1115" s="379" t="s">
        <v>3783</v>
      </c>
      <c r="MQJ1115" s="379" t="s">
        <v>3783</v>
      </c>
      <c r="MQK1115" s="379" t="s">
        <v>3783</v>
      </c>
      <c r="MQL1115" s="379" t="s">
        <v>3783</v>
      </c>
      <c r="MQM1115" s="379" t="s">
        <v>3783</v>
      </c>
      <c r="MQN1115" s="379" t="s">
        <v>3783</v>
      </c>
      <c r="MQO1115" s="379" t="s">
        <v>3783</v>
      </c>
      <c r="MQP1115" s="379" t="s">
        <v>3783</v>
      </c>
      <c r="MQQ1115" s="379" t="s">
        <v>3783</v>
      </c>
      <c r="MQR1115" s="379" t="s">
        <v>3783</v>
      </c>
      <c r="MQS1115" s="379" t="s">
        <v>3783</v>
      </c>
      <c r="MQT1115" s="379" t="s">
        <v>3783</v>
      </c>
      <c r="MQU1115" s="379" t="s">
        <v>3783</v>
      </c>
      <c r="MQV1115" s="379" t="s">
        <v>3783</v>
      </c>
      <c r="MQW1115" s="379" t="s">
        <v>3783</v>
      </c>
      <c r="MQX1115" s="379" t="s">
        <v>3783</v>
      </c>
      <c r="MQY1115" s="379" t="s">
        <v>3783</v>
      </c>
      <c r="MQZ1115" s="379" t="s">
        <v>3783</v>
      </c>
      <c r="MRA1115" s="379" t="s">
        <v>3783</v>
      </c>
      <c r="MRB1115" s="379" t="s">
        <v>3783</v>
      </c>
      <c r="MRC1115" s="379" t="s">
        <v>3783</v>
      </c>
      <c r="MRD1115" s="379" t="s">
        <v>3783</v>
      </c>
      <c r="MRE1115" s="379" t="s">
        <v>3783</v>
      </c>
      <c r="MRF1115" s="379" t="s">
        <v>3783</v>
      </c>
      <c r="MRG1115" s="379" t="s">
        <v>3783</v>
      </c>
      <c r="MRH1115" s="379" t="s">
        <v>3783</v>
      </c>
      <c r="MRI1115" s="379" t="s">
        <v>3783</v>
      </c>
      <c r="MRJ1115" s="379" t="s">
        <v>3783</v>
      </c>
      <c r="MRK1115" s="379" t="s">
        <v>3783</v>
      </c>
      <c r="MRL1115" s="379" t="s">
        <v>3783</v>
      </c>
      <c r="MRM1115" s="379" t="s">
        <v>3783</v>
      </c>
      <c r="MRN1115" s="379" t="s">
        <v>3783</v>
      </c>
      <c r="MRO1115" s="379" t="s">
        <v>3783</v>
      </c>
      <c r="MRP1115" s="379" t="s">
        <v>3783</v>
      </c>
      <c r="MRQ1115" s="379" t="s">
        <v>3783</v>
      </c>
      <c r="MRR1115" s="379" t="s">
        <v>3783</v>
      </c>
      <c r="MRS1115" s="379" t="s">
        <v>3783</v>
      </c>
      <c r="MRT1115" s="379" t="s">
        <v>3783</v>
      </c>
      <c r="MRU1115" s="379" t="s">
        <v>3783</v>
      </c>
      <c r="MRV1115" s="379" t="s">
        <v>3783</v>
      </c>
      <c r="MRW1115" s="379" t="s">
        <v>3783</v>
      </c>
      <c r="MRX1115" s="379" t="s">
        <v>3783</v>
      </c>
      <c r="MRY1115" s="379" t="s">
        <v>3783</v>
      </c>
      <c r="MRZ1115" s="379" t="s">
        <v>3783</v>
      </c>
      <c r="MSA1115" s="379" t="s">
        <v>3783</v>
      </c>
      <c r="MSB1115" s="379" t="s">
        <v>3783</v>
      </c>
      <c r="MSC1115" s="379" t="s">
        <v>3783</v>
      </c>
      <c r="MSD1115" s="379" t="s">
        <v>3783</v>
      </c>
      <c r="MSE1115" s="379" t="s">
        <v>3783</v>
      </c>
      <c r="MSF1115" s="379" t="s">
        <v>3783</v>
      </c>
      <c r="MSG1115" s="379" t="s">
        <v>3783</v>
      </c>
      <c r="MSH1115" s="379" t="s">
        <v>3783</v>
      </c>
      <c r="MSI1115" s="379" t="s">
        <v>3783</v>
      </c>
      <c r="MSJ1115" s="379" t="s">
        <v>3783</v>
      </c>
      <c r="MSK1115" s="379" t="s">
        <v>3783</v>
      </c>
      <c r="MSL1115" s="379" t="s">
        <v>3783</v>
      </c>
      <c r="MSM1115" s="379" t="s">
        <v>3783</v>
      </c>
      <c r="MSN1115" s="379" t="s">
        <v>3783</v>
      </c>
      <c r="MSO1115" s="379" t="s">
        <v>3783</v>
      </c>
      <c r="MSP1115" s="379" t="s">
        <v>3783</v>
      </c>
      <c r="MSQ1115" s="379" t="s">
        <v>3783</v>
      </c>
      <c r="MSR1115" s="379" t="s">
        <v>3783</v>
      </c>
      <c r="MSS1115" s="379" t="s">
        <v>3783</v>
      </c>
      <c r="MST1115" s="379" t="s">
        <v>3783</v>
      </c>
      <c r="MSU1115" s="379" t="s">
        <v>3783</v>
      </c>
      <c r="MSV1115" s="379" t="s">
        <v>3783</v>
      </c>
      <c r="MSW1115" s="379" t="s">
        <v>3783</v>
      </c>
      <c r="MSX1115" s="379" t="s">
        <v>3783</v>
      </c>
      <c r="MSY1115" s="379" t="s">
        <v>3783</v>
      </c>
      <c r="MSZ1115" s="379" t="s">
        <v>3783</v>
      </c>
      <c r="MTA1115" s="379" t="s">
        <v>3783</v>
      </c>
      <c r="MTB1115" s="379" t="s">
        <v>3783</v>
      </c>
      <c r="MTC1115" s="379" t="s">
        <v>3783</v>
      </c>
      <c r="MTD1115" s="379" t="s">
        <v>3783</v>
      </c>
      <c r="MTE1115" s="379" t="s">
        <v>3783</v>
      </c>
      <c r="MTF1115" s="379" t="s">
        <v>3783</v>
      </c>
      <c r="MTG1115" s="379" t="s">
        <v>3783</v>
      </c>
      <c r="MTH1115" s="379" t="s">
        <v>3783</v>
      </c>
      <c r="MTI1115" s="379" t="s">
        <v>3783</v>
      </c>
      <c r="MTJ1115" s="379" t="s">
        <v>3783</v>
      </c>
      <c r="MTK1115" s="379" t="s">
        <v>3783</v>
      </c>
      <c r="MTL1115" s="379" t="s">
        <v>3783</v>
      </c>
      <c r="MTM1115" s="379" t="s">
        <v>3783</v>
      </c>
      <c r="MTN1115" s="379" t="s">
        <v>3783</v>
      </c>
      <c r="MTO1115" s="379" t="s">
        <v>3783</v>
      </c>
      <c r="MTP1115" s="379" t="s">
        <v>3783</v>
      </c>
      <c r="MTQ1115" s="379" t="s">
        <v>3783</v>
      </c>
      <c r="MTR1115" s="379" t="s">
        <v>3783</v>
      </c>
      <c r="MTS1115" s="379" t="s">
        <v>3783</v>
      </c>
      <c r="MTT1115" s="379" t="s">
        <v>3783</v>
      </c>
      <c r="MTU1115" s="379" t="s">
        <v>3783</v>
      </c>
      <c r="MTV1115" s="379" t="s">
        <v>3783</v>
      </c>
      <c r="MTW1115" s="379" t="s">
        <v>3783</v>
      </c>
      <c r="MTX1115" s="379" t="s">
        <v>3783</v>
      </c>
      <c r="MTY1115" s="379" t="s">
        <v>3783</v>
      </c>
      <c r="MTZ1115" s="379" t="s">
        <v>3783</v>
      </c>
      <c r="MUA1115" s="379" t="s">
        <v>3783</v>
      </c>
      <c r="MUB1115" s="379" t="s">
        <v>3783</v>
      </c>
      <c r="MUC1115" s="379" t="s">
        <v>3783</v>
      </c>
      <c r="MUD1115" s="379" t="s">
        <v>3783</v>
      </c>
      <c r="MUE1115" s="379" t="s">
        <v>3783</v>
      </c>
      <c r="MUF1115" s="379" t="s">
        <v>3783</v>
      </c>
      <c r="MUG1115" s="379" t="s">
        <v>3783</v>
      </c>
      <c r="MUH1115" s="379" t="s">
        <v>3783</v>
      </c>
      <c r="MUI1115" s="379" t="s">
        <v>3783</v>
      </c>
      <c r="MUJ1115" s="379" t="s">
        <v>3783</v>
      </c>
      <c r="MUK1115" s="379" t="s">
        <v>3783</v>
      </c>
      <c r="MUL1115" s="379" t="s">
        <v>3783</v>
      </c>
      <c r="MUM1115" s="379" t="s">
        <v>3783</v>
      </c>
      <c r="MUN1115" s="379" t="s">
        <v>3783</v>
      </c>
      <c r="MUO1115" s="379" t="s">
        <v>3783</v>
      </c>
      <c r="MUP1115" s="379" t="s">
        <v>3783</v>
      </c>
      <c r="MUQ1115" s="379" t="s">
        <v>3783</v>
      </c>
      <c r="MUR1115" s="379" t="s">
        <v>3783</v>
      </c>
      <c r="MUS1115" s="379" t="s">
        <v>3783</v>
      </c>
      <c r="MUT1115" s="379" t="s">
        <v>3783</v>
      </c>
      <c r="MUU1115" s="379" t="s">
        <v>3783</v>
      </c>
      <c r="MUV1115" s="379" t="s">
        <v>3783</v>
      </c>
      <c r="MUW1115" s="379" t="s">
        <v>3783</v>
      </c>
      <c r="MUX1115" s="379" t="s">
        <v>3783</v>
      </c>
      <c r="MUY1115" s="379" t="s">
        <v>3783</v>
      </c>
      <c r="MUZ1115" s="379" t="s">
        <v>3783</v>
      </c>
      <c r="MVA1115" s="379" t="s">
        <v>3783</v>
      </c>
      <c r="MVB1115" s="379" t="s">
        <v>3783</v>
      </c>
      <c r="MVC1115" s="379" t="s">
        <v>3783</v>
      </c>
      <c r="MVD1115" s="379" t="s">
        <v>3783</v>
      </c>
      <c r="MVE1115" s="379" t="s">
        <v>3783</v>
      </c>
      <c r="MVF1115" s="379" t="s">
        <v>3783</v>
      </c>
      <c r="MVG1115" s="379" t="s">
        <v>3783</v>
      </c>
      <c r="MVH1115" s="379" t="s">
        <v>3783</v>
      </c>
      <c r="MVI1115" s="379" t="s">
        <v>3783</v>
      </c>
      <c r="MVJ1115" s="379" t="s">
        <v>3783</v>
      </c>
      <c r="MVK1115" s="379" t="s">
        <v>3783</v>
      </c>
      <c r="MVL1115" s="379" t="s">
        <v>3783</v>
      </c>
      <c r="MVM1115" s="379" t="s">
        <v>3783</v>
      </c>
      <c r="MVN1115" s="379" t="s">
        <v>3783</v>
      </c>
      <c r="MVO1115" s="379" t="s">
        <v>3783</v>
      </c>
      <c r="MVP1115" s="379" t="s">
        <v>3783</v>
      </c>
      <c r="MVQ1115" s="379" t="s">
        <v>3783</v>
      </c>
      <c r="MVR1115" s="379" t="s">
        <v>3783</v>
      </c>
      <c r="MVS1115" s="379" t="s">
        <v>3783</v>
      </c>
      <c r="MVT1115" s="379" t="s">
        <v>3783</v>
      </c>
      <c r="MVU1115" s="379" t="s">
        <v>3783</v>
      </c>
      <c r="MVV1115" s="379" t="s">
        <v>3783</v>
      </c>
      <c r="MVW1115" s="379" t="s">
        <v>3783</v>
      </c>
      <c r="MVX1115" s="379" t="s">
        <v>3783</v>
      </c>
      <c r="MVY1115" s="379" t="s">
        <v>3783</v>
      </c>
      <c r="MVZ1115" s="379" t="s">
        <v>3783</v>
      </c>
      <c r="MWA1115" s="379" t="s">
        <v>3783</v>
      </c>
      <c r="MWB1115" s="379" t="s">
        <v>3783</v>
      </c>
      <c r="MWC1115" s="379" t="s">
        <v>3783</v>
      </c>
      <c r="MWD1115" s="379" t="s">
        <v>3783</v>
      </c>
      <c r="MWE1115" s="379" t="s">
        <v>3783</v>
      </c>
      <c r="MWF1115" s="379" t="s">
        <v>3783</v>
      </c>
      <c r="MWG1115" s="379" t="s">
        <v>3783</v>
      </c>
      <c r="MWH1115" s="379" t="s">
        <v>3783</v>
      </c>
      <c r="MWI1115" s="379" t="s">
        <v>3783</v>
      </c>
      <c r="MWJ1115" s="379" t="s">
        <v>3783</v>
      </c>
      <c r="MWK1115" s="379" t="s">
        <v>3783</v>
      </c>
      <c r="MWL1115" s="379" t="s">
        <v>3783</v>
      </c>
      <c r="MWM1115" s="379" t="s">
        <v>3783</v>
      </c>
      <c r="MWN1115" s="379" t="s">
        <v>3783</v>
      </c>
      <c r="MWO1115" s="379" t="s">
        <v>3783</v>
      </c>
      <c r="MWP1115" s="379" t="s">
        <v>3783</v>
      </c>
      <c r="MWQ1115" s="379" t="s">
        <v>3783</v>
      </c>
      <c r="MWR1115" s="379" t="s">
        <v>3783</v>
      </c>
      <c r="MWS1115" s="379" t="s">
        <v>3783</v>
      </c>
      <c r="MWT1115" s="379" t="s">
        <v>3783</v>
      </c>
      <c r="MWU1115" s="379" t="s">
        <v>3783</v>
      </c>
      <c r="MWV1115" s="379" t="s">
        <v>3783</v>
      </c>
      <c r="MWW1115" s="379" t="s">
        <v>3783</v>
      </c>
      <c r="MWX1115" s="379" t="s">
        <v>3783</v>
      </c>
      <c r="MWY1115" s="379" t="s">
        <v>3783</v>
      </c>
      <c r="MWZ1115" s="379" t="s">
        <v>3783</v>
      </c>
      <c r="MXA1115" s="379" t="s">
        <v>3783</v>
      </c>
      <c r="MXB1115" s="379" t="s">
        <v>3783</v>
      </c>
      <c r="MXC1115" s="379" t="s">
        <v>3783</v>
      </c>
      <c r="MXD1115" s="379" t="s">
        <v>3783</v>
      </c>
      <c r="MXE1115" s="379" t="s">
        <v>3783</v>
      </c>
      <c r="MXF1115" s="379" t="s">
        <v>3783</v>
      </c>
      <c r="MXG1115" s="379" t="s">
        <v>3783</v>
      </c>
      <c r="MXH1115" s="379" t="s">
        <v>3783</v>
      </c>
      <c r="MXI1115" s="379" t="s">
        <v>3783</v>
      </c>
      <c r="MXJ1115" s="379" t="s">
        <v>3783</v>
      </c>
      <c r="MXK1115" s="379" t="s">
        <v>3783</v>
      </c>
      <c r="MXL1115" s="379" t="s">
        <v>3783</v>
      </c>
      <c r="MXM1115" s="379" t="s">
        <v>3783</v>
      </c>
      <c r="MXN1115" s="379" t="s">
        <v>3783</v>
      </c>
      <c r="MXO1115" s="379" t="s">
        <v>3783</v>
      </c>
      <c r="MXP1115" s="379" t="s">
        <v>3783</v>
      </c>
      <c r="MXQ1115" s="379" t="s">
        <v>3783</v>
      </c>
      <c r="MXR1115" s="379" t="s">
        <v>3783</v>
      </c>
      <c r="MXS1115" s="379" t="s">
        <v>3783</v>
      </c>
      <c r="MXT1115" s="379" t="s">
        <v>3783</v>
      </c>
      <c r="MXU1115" s="379" t="s">
        <v>3783</v>
      </c>
      <c r="MXV1115" s="379" t="s">
        <v>3783</v>
      </c>
      <c r="MXW1115" s="379" t="s">
        <v>3783</v>
      </c>
      <c r="MXX1115" s="379" t="s">
        <v>3783</v>
      </c>
      <c r="MXY1115" s="379" t="s">
        <v>3783</v>
      </c>
      <c r="MXZ1115" s="379" t="s">
        <v>3783</v>
      </c>
      <c r="MYA1115" s="379" t="s">
        <v>3783</v>
      </c>
      <c r="MYB1115" s="379" t="s">
        <v>3783</v>
      </c>
      <c r="MYC1115" s="379" t="s">
        <v>3783</v>
      </c>
      <c r="MYD1115" s="379" t="s">
        <v>3783</v>
      </c>
      <c r="MYE1115" s="379" t="s">
        <v>3783</v>
      </c>
      <c r="MYF1115" s="379" t="s">
        <v>3783</v>
      </c>
      <c r="MYG1115" s="379" t="s">
        <v>3783</v>
      </c>
      <c r="MYH1115" s="379" t="s">
        <v>3783</v>
      </c>
      <c r="MYI1115" s="379" t="s">
        <v>3783</v>
      </c>
      <c r="MYJ1115" s="379" t="s">
        <v>3783</v>
      </c>
      <c r="MYK1115" s="379" t="s">
        <v>3783</v>
      </c>
      <c r="MYL1115" s="379" t="s">
        <v>3783</v>
      </c>
      <c r="MYM1115" s="379" t="s">
        <v>3783</v>
      </c>
      <c r="MYN1115" s="379" t="s">
        <v>3783</v>
      </c>
      <c r="MYO1115" s="379" t="s">
        <v>3783</v>
      </c>
      <c r="MYP1115" s="379" t="s">
        <v>3783</v>
      </c>
      <c r="MYQ1115" s="379" t="s">
        <v>3783</v>
      </c>
      <c r="MYR1115" s="379" t="s">
        <v>3783</v>
      </c>
      <c r="MYS1115" s="379" t="s">
        <v>3783</v>
      </c>
      <c r="MYT1115" s="379" t="s">
        <v>3783</v>
      </c>
      <c r="MYU1115" s="379" t="s">
        <v>3783</v>
      </c>
      <c r="MYV1115" s="379" t="s">
        <v>3783</v>
      </c>
      <c r="MYW1115" s="379" t="s">
        <v>3783</v>
      </c>
      <c r="MYX1115" s="379" t="s">
        <v>3783</v>
      </c>
      <c r="MYY1115" s="379" t="s">
        <v>3783</v>
      </c>
      <c r="MYZ1115" s="379" t="s">
        <v>3783</v>
      </c>
      <c r="MZA1115" s="379" t="s">
        <v>3783</v>
      </c>
      <c r="MZB1115" s="379" t="s">
        <v>3783</v>
      </c>
      <c r="MZC1115" s="379" t="s">
        <v>3783</v>
      </c>
      <c r="MZD1115" s="379" t="s">
        <v>3783</v>
      </c>
      <c r="MZE1115" s="379" t="s">
        <v>3783</v>
      </c>
      <c r="MZF1115" s="379" t="s">
        <v>3783</v>
      </c>
      <c r="MZG1115" s="379" t="s">
        <v>3783</v>
      </c>
      <c r="MZH1115" s="379" t="s">
        <v>3783</v>
      </c>
      <c r="MZI1115" s="379" t="s">
        <v>3783</v>
      </c>
      <c r="MZJ1115" s="379" t="s">
        <v>3783</v>
      </c>
      <c r="MZK1115" s="379" t="s">
        <v>3783</v>
      </c>
      <c r="MZL1115" s="379" t="s">
        <v>3783</v>
      </c>
      <c r="MZM1115" s="379" t="s">
        <v>3783</v>
      </c>
      <c r="MZN1115" s="379" t="s">
        <v>3783</v>
      </c>
      <c r="MZO1115" s="379" t="s">
        <v>3783</v>
      </c>
      <c r="MZP1115" s="379" t="s">
        <v>3783</v>
      </c>
      <c r="MZQ1115" s="379" t="s">
        <v>3783</v>
      </c>
      <c r="MZR1115" s="379" t="s">
        <v>3783</v>
      </c>
      <c r="MZS1115" s="379" t="s">
        <v>3783</v>
      </c>
      <c r="MZT1115" s="379" t="s">
        <v>3783</v>
      </c>
      <c r="MZU1115" s="379" t="s">
        <v>3783</v>
      </c>
      <c r="MZV1115" s="379" t="s">
        <v>3783</v>
      </c>
      <c r="MZW1115" s="379" t="s">
        <v>3783</v>
      </c>
      <c r="MZX1115" s="379" t="s">
        <v>3783</v>
      </c>
      <c r="MZY1115" s="379" t="s">
        <v>3783</v>
      </c>
      <c r="MZZ1115" s="379" t="s">
        <v>3783</v>
      </c>
      <c r="NAA1115" s="379" t="s">
        <v>3783</v>
      </c>
      <c r="NAB1115" s="379" t="s">
        <v>3783</v>
      </c>
      <c r="NAC1115" s="379" t="s">
        <v>3783</v>
      </c>
      <c r="NAD1115" s="379" t="s">
        <v>3783</v>
      </c>
      <c r="NAE1115" s="379" t="s">
        <v>3783</v>
      </c>
      <c r="NAF1115" s="379" t="s">
        <v>3783</v>
      </c>
      <c r="NAG1115" s="379" t="s">
        <v>3783</v>
      </c>
      <c r="NAH1115" s="379" t="s">
        <v>3783</v>
      </c>
      <c r="NAI1115" s="379" t="s">
        <v>3783</v>
      </c>
      <c r="NAJ1115" s="379" t="s">
        <v>3783</v>
      </c>
      <c r="NAK1115" s="379" t="s">
        <v>3783</v>
      </c>
      <c r="NAL1115" s="379" t="s">
        <v>3783</v>
      </c>
      <c r="NAM1115" s="379" t="s">
        <v>3783</v>
      </c>
      <c r="NAN1115" s="379" t="s">
        <v>3783</v>
      </c>
      <c r="NAO1115" s="379" t="s">
        <v>3783</v>
      </c>
      <c r="NAP1115" s="379" t="s">
        <v>3783</v>
      </c>
      <c r="NAQ1115" s="379" t="s">
        <v>3783</v>
      </c>
      <c r="NAR1115" s="379" t="s">
        <v>3783</v>
      </c>
      <c r="NAS1115" s="379" t="s">
        <v>3783</v>
      </c>
      <c r="NAT1115" s="379" t="s">
        <v>3783</v>
      </c>
      <c r="NAU1115" s="379" t="s">
        <v>3783</v>
      </c>
      <c r="NAV1115" s="379" t="s">
        <v>3783</v>
      </c>
      <c r="NAW1115" s="379" t="s">
        <v>3783</v>
      </c>
      <c r="NAX1115" s="379" t="s">
        <v>3783</v>
      </c>
      <c r="NAY1115" s="379" t="s">
        <v>3783</v>
      </c>
      <c r="NAZ1115" s="379" t="s">
        <v>3783</v>
      </c>
      <c r="NBA1115" s="379" t="s">
        <v>3783</v>
      </c>
      <c r="NBB1115" s="379" t="s">
        <v>3783</v>
      </c>
      <c r="NBC1115" s="379" t="s">
        <v>3783</v>
      </c>
      <c r="NBD1115" s="379" t="s">
        <v>3783</v>
      </c>
      <c r="NBE1115" s="379" t="s">
        <v>3783</v>
      </c>
      <c r="NBF1115" s="379" t="s">
        <v>3783</v>
      </c>
      <c r="NBG1115" s="379" t="s">
        <v>3783</v>
      </c>
      <c r="NBH1115" s="379" t="s">
        <v>3783</v>
      </c>
      <c r="NBI1115" s="379" t="s">
        <v>3783</v>
      </c>
      <c r="NBJ1115" s="379" t="s">
        <v>3783</v>
      </c>
      <c r="NBK1115" s="379" t="s">
        <v>3783</v>
      </c>
      <c r="NBL1115" s="379" t="s">
        <v>3783</v>
      </c>
      <c r="NBM1115" s="379" t="s">
        <v>3783</v>
      </c>
      <c r="NBN1115" s="379" t="s">
        <v>3783</v>
      </c>
      <c r="NBO1115" s="379" t="s">
        <v>3783</v>
      </c>
      <c r="NBP1115" s="379" t="s">
        <v>3783</v>
      </c>
      <c r="NBQ1115" s="379" t="s">
        <v>3783</v>
      </c>
      <c r="NBR1115" s="379" t="s">
        <v>3783</v>
      </c>
      <c r="NBS1115" s="379" t="s">
        <v>3783</v>
      </c>
      <c r="NBT1115" s="379" t="s">
        <v>3783</v>
      </c>
      <c r="NBU1115" s="379" t="s">
        <v>3783</v>
      </c>
      <c r="NBV1115" s="379" t="s">
        <v>3783</v>
      </c>
      <c r="NBW1115" s="379" t="s">
        <v>3783</v>
      </c>
      <c r="NBX1115" s="379" t="s">
        <v>3783</v>
      </c>
      <c r="NBY1115" s="379" t="s">
        <v>3783</v>
      </c>
      <c r="NBZ1115" s="379" t="s">
        <v>3783</v>
      </c>
      <c r="NCA1115" s="379" t="s">
        <v>3783</v>
      </c>
      <c r="NCB1115" s="379" t="s">
        <v>3783</v>
      </c>
      <c r="NCC1115" s="379" t="s">
        <v>3783</v>
      </c>
      <c r="NCD1115" s="379" t="s">
        <v>3783</v>
      </c>
      <c r="NCE1115" s="379" t="s">
        <v>3783</v>
      </c>
      <c r="NCF1115" s="379" t="s">
        <v>3783</v>
      </c>
      <c r="NCG1115" s="379" t="s">
        <v>3783</v>
      </c>
      <c r="NCH1115" s="379" t="s">
        <v>3783</v>
      </c>
      <c r="NCI1115" s="379" t="s">
        <v>3783</v>
      </c>
      <c r="NCJ1115" s="379" t="s">
        <v>3783</v>
      </c>
      <c r="NCK1115" s="379" t="s">
        <v>3783</v>
      </c>
      <c r="NCL1115" s="379" t="s">
        <v>3783</v>
      </c>
      <c r="NCM1115" s="379" t="s">
        <v>3783</v>
      </c>
      <c r="NCN1115" s="379" t="s">
        <v>3783</v>
      </c>
      <c r="NCO1115" s="379" t="s">
        <v>3783</v>
      </c>
      <c r="NCP1115" s="379" t="s">
        <v>3783</v>
      </c>
      <c r="NCQ1115" s="379" t="s">
        <v>3783</v>
      </c>
      <c r="NCR1115" s="379" t="s">
        <v>3783</v>
      </c>
      <c r="NCS1115" s="379" t="s">
        <v>3783</v>
      </c>
      <c r="NCT1115" s="379" t="s">
        <v>3783</v>
      </c>
      <c r="NCU1115" s="379" t="s">
        <v>3783</v>
      </c>
      <c r="NCV1115" s="379" t="s">
        <v>3783</v>
      </c>
      <c r="NCW1115" s="379" t="s">
        <v>3783</v>
      </c>
      <c r="NCX1115" s="379" t="s">
        <v>3783</v>
      </c>
      <c r="NCY1115" s="379" t="s">
        <v>3783</v>
      </c>
      <c r="NCZ1115" s="379" t="s">
        <v>3783</v>
      </c>
      <c r="NDA1115" s="379" t="s">
        <v>3783</v>
      </c>
      <c r="NDB1115" s="379" t="s">
        <v>3783</v>
      </c>
      <c r="NDC1115" s="379" t="s">
        <v>3783</v>
      </c>
      <c r="NDD1115" s="379" t="s">
        <v>3783</v>
      </c>
      <c r="NDE1115" s="379" t="s">
        <v>3783</v>
      </c>
      <c r="NDF1115" s="379" t="s">
        <v>3783</v>
      </c>
      <c r="NDG1115" s="379" t="s">
        <v>3783</v>
      </c>
      <c r="NDH1115" s="379" t="s">
        <v>3783</v>
      </c>
      <c r="NDI1115" s="379" t="s">
        <v>3783</v>
      </c>
      <c r="NDJ1115" s="379" t="s">
        <v>3783</v>
      </c>
      <c r="NDK1115" s="379" t="s">
        <v>3783</v>
      </c>
      <c r="NDL1115" s="379" t="s">
        <v>3783</v>
      </c>
      <c r="NDM1115" s="379" t="s">
        <v>3783</v>
      </c>
      <c r="NDN1115" s="379" t="s">
        <v>3783</v>
      </c>
      <c r="NDO1115" s="379" t="s">
        <v>3783</v>
      </c>
      <c r="NDP1115" s="379" t="s">
        <v>3783</v>
      </c>
      <c r="NDQ1115" s="379" t="s">
        <v>3783</v>
      </c>
      <c r="NDR1115" s="379" t="s">
        <v>3783</v>
      </c>
      <c r="NDS1115" s="379" t="s">
        <v>3783</v>
      </c>
      <c r="NDT1115" s="379" t="s">
        <v>3783</v>
      </c>
      <c r="NDU1115" s="379" t="s">
        <v>3783</v>
      </c>
      <c r="NDV1115" s="379" t="s">
        <v>3783</v>
      </c>
      <c r="NDW1115" s="379" t="s">
        <v>3783</v>
      </c>
      <c r="NDX1115" s="379" t="s">
        <v>3783</v>
      </c>
      <c r="NDY1115" s="379" t="s">
        <v>3783</v>
      </c>
      <c r="NDZ1115" s="379" t="s">
        <v>3783</v>
      </c>
      <c r="NEA1115" s="379" t="s">
        <v>3783</v>
      </c>
      <c r="NEB1115" s="379" t="s">
        <v>3783</v>
      </c>
      <c r="NEC1115" s="379" t="s">
        <v>3783</v>
      </c>
      <c r="NED1115" s="379" t="s">
        <v>3783</v>
      </c>
      <c r="NEE1115" s="379" t="s">
        <v>3783</v>
      </c>
      <c r="NEF1115" s="379" t="s">
        <v>3783</v>
      </c>
      <c r="NEG1115" s="379" t="s">
        <v>3783</v>
      </c>
      <c r="NEH1115" s="379" t="s">
        <v>3783</v>
      </c>
      <c r="NEI1115" s="379" t="s">
        <v>3783</v>
      </c>
      <c r="NEJ1115" s="379" t="s">
        <v>3783</v>
      </c>
      <c r="NEK1115" s="379" t="s">
        <v>3783</v>
      </c>
      <c r="NEL1115" s="379" t="s">
        <v>3783</v>
      </c>
      <c r="NEM1115" s="379" t="s">
        <v>3783</v>
      </c>
      <c r="NEN1115" s="379" t="s">
        <v>3783</v>
      </c>
      <c r="NEO1115" s="379" t="s">
        <v>3783</v>
      </c>
      <c r="NEP1115" s="379" t="s">
        <v>3783</v>
      </c>
      <c r="NEQ1115" s="379" t="s">
        <v>3783</v>
      </c>
      <c r="NER1115" s="379" t="s">
        <v>3783</v>
      </c>
      <c r="NES1115" s="379" t="s">
        <v>3783</v>
      </c>
      <c r="NET1115" s="379" t="s">
        <v>3783</v>
      </c>
      <c r="NEU1115" s="379" t="s">
        <v>3783</v>
      </c>
      <c r="NEV1115" s="379" t="s">
        <v>3783</v>
      </c>
      <c r="NEW1115" s="379" t="s">
        <v>3783</v>
      </c>
      <c r="NEX1115" s="379" t="s">
        <v>3783</v>
      </c>
      <c r="NEY1115" s="379" t="s">
        <v>3783</v>
      </c>
      <c r="NEZ1115" s="379" t="s">
        <v>3783</v>
      </c>
      <c r="NFA1115" s="379" t="s">
        <v>3783</v>
      </c>
      <c r="NFB1115" s="379" t="s">
        <v>3783</v>
      </c>
      <c r="NFC1115" s="379" t="s">
        <v>3783</v>
      </c>
      <c r="NFD1115" s="379" t="s">
        <v>3783</v>
      </c>
      <c r="NFE1115" s="379" t="s">
        <v>3783</v>
      </c>
      <c r="NFF1115" s="379" t="s">
        <v>3783</v>
      </c>
      <c r="NFG1115" s="379" t="s">
        <v>3783</v>
      </c>
      <c r="NFH1115" s="379" t="s">
        <v>3783</v>
      </c>
      <c r="NFI1115" s="379" t="s">
        <v>3783</v>
      </c>
      <c r="NFJ1115" s="379" t="s">
        <v>3783</v>
      </c>
      <c r="NFK1115" s="379" t="s">
        <v>3783</v>
      </c>
      <c r="NFL1115" s="379" t="s">
        <v>3783</v>
      </c>
      <c r="NFM1115" s="379" t="s">
        <v>3783</v>
      </c>
      <c r="NFN1115" s="379" t="s">
        <v>3783</v>
      </c>
      <c r="NFO1115" s="379" t="s">
        <v>3783</v>
      </c>
      <c r="NFP1115" s="379" t="s">
        <v>3783</v>
      </c>
      <c r="NFQ1115" s="379" t="s">
        <v>3783</v>
      </c>
      <c r="NFR1115" s="379" t="s">
        <v>3783</v>
      </c>
      <c r="NFS1115" s="379" t="s">
        <v>3783</v>
      </c>
      <c r="NFT1115" s="379" t="s">
        <v>3783</v>
      </c>
      <c r="NFU1115" s="379" t="s">
        <v>3783</v>
      </c>
      <c r="NFV1115" s="379" t="s">
        <v>3783</v>
      </c>
      <c r="NFW1115" s="379" t="s">
        <v>3783</v>
      </c>
      <c r="NFX1115" s="379" t="s">
        <v>3783</v>
      </c>
      <c r="NFY1115" s="379" t="s">
        <v>3783</v>
      </c>
      <c r="NFZ1115" s="379" t="s">
        <v>3783</v>
      </c>
      <c r="NGA1115" s="379" t="s">
        <v>3783</v>
      </c>
      <c r="NGB1115" s="379" t="s">
        <v>3783</v>
      </c>
      <c r="NGC1115" s="379" t="s">
        <v>3783</v>
      </c>
      <c r="NGD1115" s="379" t="s">
        <v>3783</v>
      </c>
      <c r="NGE1115" s="379" t="s">
        <v>3783</v>
      </c>
      <c r="NGF1115" s="379" t="s">
        <v>3783</v>
      </c>
      <c r="NGG1115" s="379" t="s">
        <v>3783</v>
      </c>
      <c r="NGH1115" s="379" t="s">
        <v>3783</v>
      </c>
      <c r="NGI1115" s="379" t="s">
        <v>3783</v>
      </c>
      <c r="NGJ1115" s="379" t="s">
        <v>3783</v>
      </c>
      <c r="NGK1115" s="379" t="s">
        <v>3783</v>
      </c>
      <c r="NGL1115" s="379" t="s">
        <v>3783</v>
      </c>
      <c r="NGM1115" s="379" t="s">
        <v>3783</v>
      </c>
      <c r="NGN1115" s="379" t="s">
        <v>3783</v>
      </c>
      <c r="NGO1115" s="379" t="s">
        <v>3783</v>
      </c>
      <c r="NGP1115" s="379" t="s">
        <v>3783</v>
      </c>
      <c r="NGQ1115" s="379" t="s">
        <v>3783</v>
      </c>
      <c r="NGR1115" s="379" t="s">
        <v>3783</v>
      </c>
      <c r="NGS1115" s="379" t="s">
        <v>3783</v>
      </c>
      <c r="NGT1115" s="379" t="s">
        <v>3783</v>
      </c>
      <c r="NGU1115" s="379" t="s">
        <v>3783</v>
      </c>
      <c r="NGV1115" s="379" t="s">
        <v>3783</v>
      </c>
      <c r="NGW1115" s="379" t="s">
        <v>3783</v>
      </c>
      <c r="NGX1115" s="379" t="s">
        <v>3783</v>
      </c>
      <c r="NGY1115" s="379" t="s">
        <v>3783</v>
      </c>
      <c r="NGZ1115" s="379" t="s">
        <v>3783</v>
      </c>
      <c r="NHA1115" s="379" t="s">
        <v>3783</v>
      </c>
      <c r="NHB1115" s="379" t="s">
        <v>3783</v>
      </c>
      <c r="NHC1115" s="379" t="s">
        <v>3783</v>
      </c>
      <c r="NHD1115" s="379" t="s">
        <v>3783</v>
      </c>
      <c r="NHE1115" s="379" t="s">
        <v>3783</v>
      </c>
      <c r="NHF1115" s="379" t="s">
        <v>3783</v>
      </c>
      <c r="NHG1115" s="379" t="s">
        <v>3783</v>
      </c>
      <c r="NHH1115" s="379" t="s">
        <v>3783</v>
      </c>
      <c r="NHI1115" s="379" t="s">
        <v>3783</v>
      </c>
      <c r="NHJ1115" s="379" t="s">
        <v>3783</v>
      </c>
      <c r="NHK1115" s="379" t="s">
        <v>3783</v>
      </c>
      <c r="NHL1115" s="379" t="s">
        <v>3783</v>
      </c>
      <c r="NHM1115" s="379" t="s">
        <v>3783</v>
      </c>
      <c r="NHN1115" s="379" t="s">
        <v>3783</v>
      </c>
      <c r="NHO1115" s="379" t="s">
        <v>3783</v>
      </c>
      <c r="NHP1115" s="379" t="s">
        <v>3783</v>
      </c>
      <c r="NHQ1115" s="379" t="s">
        <v>3783</v>
      </c>
      <c r="NHR1115" s="379" t="s">
        <v>3783</v>
      </c>
      <c r="NHS1115" s="379" t="s">
        <v>3783</v>
      </c>
      <c r="NHT1115" s="379" t="s">
        <v>3783</v>
      </c>
      <c r="NHU1115" s="379" t="s">
        <v>3783</v>
      </c>
      <c r="NHV1115" s="379" t="s">
        <v>3783</v>
      </c>
      <c r="NHW1115" s="379" t="s">
        <v>3783</v>
      </c>
      <c r="NHX1115" s="379" t="s">
        <v>3783</v>
      </c>
      <c r="NHY1115" s="379" t="s">
        <v>3783</v>
      </c>
      <c r="NHZ1115" s="379" t="s">
        <v>3783</v>
      </c>
      <c r="NIA1115" s="379" t="s">
        <v>3783</v>
      </c>
      <c r="NIB1115" s="379" t="s">
        <v>3783</v>
      </c>
      <c r="NIC1115" s="379" t="s">
        <v>3783</v>
      </c>
      <c r="NID1115" s="379" t="s">
        <v>3783</v>
      </c>
      <c r="NIE1115" s="379" t="s">
        <v>3783</v>
      </c>
      <c r="NIF1115" s="379" t="s">
        <v>3783</v>
      </c>
      <c r="NIG1115" s="379" t="s">
        <v>3783</v>
      </c>
      <c r="NIH1115" s="379" t="s">
        <v>3783</v>
      </c>
      <c r="NII1115" s="379" t="s">
        <v>3783</v>
      </c>
      <c r="NIJ1115" s="379" t="s">
        <v>3783</v>
      </c>
      <c r="NIK1115" s="379" t="s">
        <v>3783</v>
      </c>
      <c r="NIL1115" s="379" t="s">
        <v>3783</v>
      </c>
      <c r="NIM1115" s="379" t="s">
        <v>3783</v>
      </c>
      <c r="NIN1115" s="379" t="s">
        <v>3783</v>
      </c>
      <c r="NIO1115" s="379" t="s">
        <v>3783</v>
      </c>
      <c r="NIP1115" s="379" t="s">
        <v>3783</v>
      </c>
      <c r="NIQ1115" s="379" t="s">
        <v>3783</v>
      </c>
      <c r="NIR1115" s="379" t="s">
        <v>3783</v>
      </c>
      <c r="NIS1115" s="379" t="s">
        <v>3783</v>
      </c>
      <c r="NIT1115" s="379" t="s">
        <v>3783</v>
      </c>
      <c r="NIU1115" s="379" t="s">
        <v>3783</v>
      </c>
      <c r="NIV1115" s="379" t="s">
        <v>3783</v>
      </c>
      <c r="NIW1115" s="379" t="s">
        <v>3783</v>
      </c>
      <c r="NIX1115" s="379" t="s">
        <v>3783</v>
      </c>
      <c r="NIY1115" s="379" t="s">
        <v>3783</v>
      </c>
      <c r="NIZ1115" s="379" t="s">
        <v>3783</v>
      </c>
      <c r="NJA1115" s="379" t="s">
        <v>3783</v>
      </c>
      <c r="NJB1115" s="379" t="s">
        <v>3783</v>
      </c>
      <c r="NJC1115" s="379" t="s">
        <v>3783</v>
      </c>
      <c r="NJD1115" s="379" t="s">
        <v>3783</v>
      </c>
      <c r="NJE1115" s="379" t="s">
        <v>3783</v>
      </c>
      <c r="NJF1115" s="379" t="s">
        <v>3783</v>
      </c>
      <c r="NJG1115" s="379" t="s">
        <v>3783</v>
      </c>
      <c r="NJH1115" s="379" t="s">
        <v>3783</v>
      </c>
      <c r="NJI1115" s="379" t="s">
        <v>3783</v>
      </c>
      <c r="NJJ1115" s="379" t="s">
        <v>3783</v>
      </c>
      <c r="NJK1115" s="379" t="s">
        <v>3783</v>
      </c>
      <c r="NJL1115" s="379" t="s">
        <v>3783</v>
      </c>
      <c r="NJM1115" s="379" t="s">
        <v>3783</v>
      </c>
      <c r="NJN1115" s="379" t="s">
        <v>3783</v>
      </c>
      <c r="NJO1115" s="379" t="s">
        <v>3783</v>
      </c>
      <c r="NJP1115" s="379" t="s">
        <v>3783</v>
      </c>
      <c r="NJQ1115" s="379" t="s">
        <v>3783</v>
      </c>
      <c r="NJR1115" s="379" t="s">
        <v>3783</v>
      </c>
      <c r="NJS1115" s="379" t="s">
        <v>3783</v>
      </c>
      <c r="NJT1115" s="379" t="s">
        <v>3783</v>
      </c>
      <c r="NJU1115" s="379" t="s">
        <v>3783</v>
      </c>
      <c r="NJV1115" s="379" t="s">
        <v>3783</v>
      </c>
      <c r="NJW1115" s="379" t="s">
        <v>3783</v>
      </c>
      <c r="NJX1115" s="379" t="s">
        <v>3783</v>
      </c>
      <c r="NJY1115" s="379" t="s">
        <v>3783</v>
      </c>
      <c r="NJZ1115" s="379" t="s">
        <v>3783</v>
      </c>
      <c r="NKA1115" s="379" t="s">
        <v>3783</v>
      </c>
      <c r="NKB1115" s="379" t="s">
        <v>3783</v>
      </c>
      <c r="NKC1115" s="379" t="s">
        <v>3783</v>
      </c>
      <c r="NKD1115" s="379" t="s">
        <v>3783</v>
      </c>
      <c r="NKE1115" s="379" t="s">
        <v>3783</v>
      </c>
      <c r="NKF1115" s="379" t="s">
        <v>3783</v>
      </c>
      <c r="NKG1115" s="379" t="s">
        <v>3783</v>
      </c>
      <c r="NKH1115" s="379" t="s">
        <v>3783</v>
      </c>
      <c r="NKI1115" s="379" t="s">
        <v>3783</v>
      </c>
      <c r="NKJ1115" s="379" t="s">
        <v>3783</v>
      </c>
      <c r="NKK1115" s="379" t="s">
        <v>3783</v>
      </c>
      <c r="NKL1115" s="379" t="s">
        <v>3783</v>
      </c>
      <c r="NKM1115" s="379" t="s">
        <v>3783</v>
      </c>
      <c r="NKN1115" s="379" t="s">
        <v>3783</v>
      </c>
      <c r="NKO1115" s="379" t="s">
        <v>3783</v>
      </c>
      <c r="NKP1115" s="379" t="s">
        <v>3783</v>
      </c>
      <c r="NKQ1115" s="379" t="s">
        <v>3783</v>
      </c>
      <c r="NKR1115" s="379" t="s">
        <v>3783</v>
      </c>
      <c r="NKS1115" s="379" t="s">
        <v>3783</v>
      </c>
      <c r="NKT1115" s="379" t="s">
        <v>3783</v>
      </c>
      <c r="NKU1115" s="379" t="s">
        <v>3783</v>
      </c>
      <c r="NKV1115" s="379" t="s">
        <v>3783</v>
      </c>
      <c r="NKW1115" s="379" t="s">
        <v>3783</v>
      </c>
      <c r="NKX1115" s="379" t="s">
        <v>3783</v>
      </c>
      <c r="NKY1115" s="379" t="s">
        <v>3783</v>
      </c>
      <c r="NKZ1115" s="379" t="s">
        <v>3783</v>
      </c>
      <c r="NLA1115" s="379" t="s">
        <v>3783</v>
      </c>
      <c r="NLB1115" s="379" t="s">
        <v>3783</v>
      </c>
      <c r="NLC1115" s="379" t="s">
        <v>3783</v>
      </c>
      <c r="NLD1115" s="379" t="s">
        <v>3783</v>
      </c>
      <c r="NLE1115" s="379" t="s">
        <v>3783</v>
      </c>
      <c r="NLF1115" s="379" t="s">
        <v>3783</v>
      </c>
      <c r="NLG1115" s="379" t="s">
        <v>3783</v>
      </c>
      <c r="NLH1115" s="379" t="s">
        <v>3783</v>
      </c>
      <c r="NLI1115" s="379" t="s">
        <v>3783</v>
      </c>
      <c r="NLJ1115" s="379" t="s">
        <v>3783</v>
      </c>
      <c r="NLK1115" s="379" t="s">
        <v>3783</v>
      </c>
      <c r="NLL1115" s="379" t="s">
        <v>3783</v>
      </c>
      <c r="NLM1115" s="379" t="s">
        <v>3783</v>
      </c>
      <c r="NLN1115" s="379" t="s">
        <v>3783</v>
      </c>
      <c r="NLO1115" s="379" t="s">
        <v>3783</v>
      </c>
      <c r="NLP1115" s="379" t="s">
        <v>3783</v>
      </c>
      <c r="NLQ1115" s="379" t="s">
        <v>3783</v>
      </c>
      <c r="NLR1115" s="379" t="s">
        <v>3783</v>
      </c>
      <c r="NLS1115" s="379" t="s">
        <v>3783</v>
      </c>
      <c r="NLT1115" s="379" t="s">
        <v>3783</v>
      </c>
      <c r="NLU1115" s="379" t="s">
        <v>3783</v>
      </c>
      <c r="NLV1115" s="379" t="s">
        <v>3783</v>
      </c>
      <c r="NLW1115" s="379" t="s">
        <v>3783</v>
      </c>
      <c r="NLX1115" s="379" t="s">
        <v>3783</v>
      </c>
      <c r="NLY1115" s="379" t="s">
        <v>3783</v>
      </c>
      <c r="NLZ1115" s="379" t="s">
        <v>3783</v>
      </c>
      <c r="NMA1115" s="379" t="s">
        <v>3783</v>
      </c>
      <c r="NMB1115" s="379" t="s">
        <v>3783</v>
      </c>
      <c r="NMC1115" s="379" t="s">
        <v>3783</v>
      </c>
      <c r="NMD1115" s="379" t="s">
        <v>3783</v>
      </c>
      <c r="NME1115" s="379" t="s">
        <v>3783</v>
      </c>
      <c r="NMF1115" s="379" t="s">
        <v>3783</v>
      </c>
      <c r="NMG1115" s="379" t="s">
        <v>3783</v>
      </c>
      <c r="NMH1115" s="379" t="s">
        <v>3783</v>
      </c>
      <c r="NMI1115" s="379" t="s">
        <v>3783</v>
      </c>
      <c r="NMJ1115" s="379" t="s">
        <v>3783</v>
      </c>
      <c r="NMK1115" s="379" t="s">
        <v>3783</v>
      </c>
      <c r="NML1115" s="379" t="s">
        <v>3783</v>
      </c>
      <c r="NMM1115" s="379" t="s">
        <v>3783</v>
      </c>
      <c r="NMN1115" s="379" t="s">
        <v>3783</v>
      </c>
      <c r="NMO1115" s="379" t="s">
        <v>3783</v>
      </c>
      <c r="NMP1115" s="379" t="s">
        <v>3783</v>
      </c>
      <c r="NMQ1115" s="379" t="s">
        <v>3783</v>
      </c>
      <c r="NMR1115" s="379" t="s">
        <v>3783</v>
      </c>
      <c r="NMS1115" s="379" t="s">
        <v>3783</v>
      </c>
      <c r="NMT1115" s="379" t="s">
        <v>3783</v>
      </c>
      <c r="NMU1115" s="379" t="s">
        <v>3783</v>
      </c>
      <c r="NMV1115" s="379" t="s">
        <v>3783</v>
      </c>
      <c r="NMW1115" s="379" t="s">
        <v>3783</v>
      </c>
      <c r="NMX1115" s="379" t="s">
        <v>3783</v>
      </c>
      <c r="NMY1115" s="379" t="s">
        <v>3783</v>
      </c>
      <c r="NMZ1115" s="379" t="s">
        <v>3783</v>
      </c>
      <c r="NNA1115" s="379" t="s">
        <v>3783</v>
      </c>
      <c r="NNB1115" s="379" t="s">
        <v>3783</v>
      </c>
      <c r="NNC1115" s="379" t="s">
        <v>3783</v>
      </c>
      <c r="NND1115" s="379" t="s">
        <v>3783</v>
      </c>
      <c r="NNE1115" s="379" t="s">
        <v>3783</v>
      </c>
      <c r="NNF1115" s="379" t="s">
        <v>3783</v>
      </c>
      <c r="NNG1115" s="379" t="s">
        <v>3783</v>
      </c>
      <c r="NNH1115" s="379" t="s">
        <v>3783</v>
      </c>
      <c r="NNI1115" s="379" t="s">
        <v>3783</v>
      </c>
      <c r="NNJ1115" s="379" t="s">
        <v>3783</v>
      </c>
      <c r="NNK1115" s="379" t="s">
        <v>3783</v>
      </c>
      <c r="NNL1115" s="379" t="s">
        <v>3783</v>
      </c>
      <c r="NNM1115" s="379" t="s">
        <v>3783</v>
      </c>
      <c r="NNN1115" s="379" t="s">
        <v>3783</v>
      </c>
      <c r="NNO1115" s="379" t="s">
        <v>3783</v>
      </c>
      <c r="NNP1115" s="379" t="s">
        <v>3783</v>
      </c>
      <c r="NNQ1115" s="379" t="s">
        <v>3783</v>
      </c>
      <c r="NNR1115" s="379" t="s">
        <v>3783</v>
      </c>
      <c r="NNS1115" s="379" t="s">
        <v>3783</v>
      </c>
      <c r="NNT1115" s="379" t="s">
        <v>3783</v>
      </c>
      <c r="NNU1115" s="379" t="s">
        <v>3783</v>
      </c>
      <c r="NNV1115" s="379" t="s">
        <v>3783</v>
      </c>
      <c r="NNW1115" s="379" t="s">
        <v>3783</v>
      </c>
      <c r="NNX1115" s="379" t="s">
        <v>3783</v>
      </c>
      <c r="NNY1115" s="379" t="s">
        <v>3783</v>
      </c>
      <c r="NNZ1115" s="379" t="s">
        <v>3783</v>
      </c>
      <c r="NOA1115" s="379" t="s">
        <v>3783</v>
      </c>
      <c r="NOB1115" s="379" t="s">
        <v>3783</v>
      </c>
      <c r="NOC1115" s="379" t="s">
        <v>3783</v>
      </c>
      <c r="NOD1115" s="379" t="s">
        <v>3783</v>
      </c>
      <c r="NOE1115" s="379" t="s">
        <v>3783</v>
      </c>
      <c r="NOF1115" s="379" t="s">
        <v>3783</v>
      </c>
      <c r="NOG1115" s="379" t="s">
        <v>3783</v>
      </c>
      <c r="NOH1115" s="379" t="s">
        <v>3783</v>
      </c>
      <c r="NOI1115" s="379" t="s">
        <v>3783</v>
      </c>
      <c r="NOJ1115" s="379" t="s">
        <v>3783</v>
      </c>
      <c r="NOK1115" s="379" t="s">
        <v>3783</v>
      </c>
      <c r="NOL1115" s="379" t="s">
        <v>3783</v>
      </c>
      <c r="NOM1115" s="379" t="s">
        <v>3783</v>
      </c>
      <c r="NON1115" s="379" t="s">
        <v>3783</v>
      </c>
      <c r="NOO1115" s="379" t="s">
        <v>3783</v>
      </c>
      <c r="NOP1115" s="379" t="s">
        <v>3783</v>
      </c>
      <c r="NOQ1115" s="379" t="s">
        <v>3783</v>
      </c>
      <c r="NOR1115" s="379" t="s">
        <v>3783</v>
      </c>
      <c r="NOS1115" s="379" t="s">
        <v>3783</v>
      </c>
      <c r="NOT1115" s="379" t="s">
        <v>3783</v>
      </c>
      <c r="NOU1115" s="379" t="s">
        <v>3783</v>
      </c>
      <c r="NOV1115" s="379" t="s">
        <v>3783</v>
      </c>
      <c r="NOW1115" s="379" t="s">
        <v>3783</v>
      </c>
      <c r="NOX1115" s="379" t="s">
        <v>3783</v>
      </c>
      <c r="NOY1115" s="379" t="s">
        <v>3783</v>
      </c>
      <c r="NOZ1115" s="379" t="s">
        <v>3783</v>
      </c>
      <c r="NPA1115" s="379" t="s">
        <v>3783</v>
      </c>
      <c r="NPB1115" s="379" t="s">
        <v>3783</v>
      </c>
      <c r="NPC1115" s="379" t="s">
        <v>3783</v>
      </c>
      <c r="NPD1115" s="379" t="s">
        <v>3783</v>
      </c>
      <c r="NPE1115" s="379" t="s">
        <v>3783</v>
      </c>
      <c r="NPF1115" s="379" t="s">
        <v>3783</v>
      </c>
      <c r="NPG1115" s="379" t="s">
        <v>3783</v>
      </c>
      <c r="NPH1115" s="379" t="s">
        <v>3783</v>
      </c>
      <c r="NPI1115" s="379" t="s">
        <v>3783</v>
      </c>
      <c r="NPJ1115" s="379" t="s">
        <v>3783</v>
      </c>
      <c r="NPK1115" s="379" t="s">
        <v>3783</v>
      </c>
      <c r="NPL1115" s="379" t="s">
        <v>3783</v>
      </c>
      <c r="NPM1115" s="379" t="s">
        <v>3783</v>
      </c>
      <c r="NPN1115" s="379" t="s">
        <v>3783</v>
      </c>
      <c r="NPO1115" s="379" t="s">
        <v>3783</v>
      </c>
      <c r="NPP1115" s="379" t="s">
        <v>3783</v>
      </c>
      <c r="NPQ1115" s="379" t="s">
        <v>3783</v>
      </c>
      <c r="NPR1115" s="379" t="s">
        <v>3783</v>
      </c>
      <c r="NPS1115" s="379" t="s">
        <v>3783</v>
      </c>
      <c r="NPT1115" s="379" t="s">
        <v>3783</v>
      </c>
      <c r="NPU1115" s="379" t="s">
        <v>3783</v>
      </c>
      <c r="NPV1115" s="379" t="s">
        <v>3783</v>
      </c>
      <c r="NPW1115" s="379" t="s">
        <v>3783</v>
      </c>
      <c r="NPX1115" s="379" t="s">
        <v>3783</v>
      </c>
      <c r="NPY1115" s="379" t="s">
        <v>3783</v>
      </c>
      <c r="NPZ1115" s="379" t="s">
        <v>3783</v>
      </c>
      <c r="NQA1115" s="379" t="s">
        <v>3783</v>
      </c>
      <c r="NQB1115" s="379" t="s">
        <v>3783</v>
      </c>
      <c r="NQC1115" s="379" t="s">
        <v>3783</v>
      </c>
      <c r="NQD1115" s="379" t="s">
        <v>3783</v>
      </c>
      <c r="NQE1115" s="379" t="s">
        <v>3783</v>
      </c>
      <c r="NQF1115" s="379" t="s">
        <v>3783</v>
      </c>
      <c r="NQG1115" s="379" t="s">
        <v>3783</v>
      </c>
      <c r="NQH1115" s="379" t="s">
        <v>3783</v>
      </c>
      <c r="NQI1115" s="379" t="s">
        <v>3783</v>
      </c>
      <c r="NQJ1115" s="379" t="s">
        <v>3783</v>
      </c>
      <c r="NQK1115" s="379" t="s">
        <v>3783</v>
      </c>
      <c r="NQL1115" s="379" t="s">
        <v>3783</v>
      </c>
      <c r="NQM1115" s="379" t="s">
        <v>3783</v>
      </c>
      <c r="NQN1115" s="379" t="s">
        <v>3783</v>
      </c>
      <c r="NQO1115" s="379" t="s">
        <v>3783</v>
      </c>
      <c r="NQP1115" s="379" t="s">
        <v>3783</v>
      </c>
      <c r="NQQ1115" s="379" t="s">
        <v>3783</v>
      </c>
      <c r="NQR1115" s="379" t="s">
        <v>3783</v>
      </c>
      <c r="NQS1115" s="379" t="s">
        <v>3783</v>
      </c>
      <c r="NQT1115" s="379" t="s">
        <v>3783</v>
      </c>
      <c r="NQU1115" s="379" t="s">
        <v>3783</v>
      </c>
      <c r="NQV1115" s="379" t="s">
        <v>3783</v>
      </c>
      <c r="NQW1115" s="379" t="s">
        <v>3783</v>
      </c>
      <c r="NQX1115" s="379" t="s">
        <v>3783</v>
      </c>
      <c r="NQY1115" s="379" t="s">
        <v>3783</v>
      </c>
      <c r="NQZ1115" s="379" t="s">
        <v>3783</v>
      </c>
      <c r="NRA1115" s="379" t="s">
        <v>3783</v>
      </c>
      <c r="NRB1115" s="379" t="s">
        <v>3783</v>
      </c>
      <c r="NRC1115" s="379" t="s">
        <v>3783</v>
      </c>
      <c r="NRD1115" s="379" t="s">
        <v>3783</v>
      </c>
      <c r="NRE1115" s="379" t="s">
        <v>3783</v>
      </c>
      <c r="NRF1115" s="379" t="s">
        <v>3783</v>
      </c>
      <c r="NRG1115" s="379" t="s">
        <v>3783</v>
      </c>
      <c r="NRH1115" s="379" t="s">
        <v>3783</v>
      </c>
      <c r="NRI1115" s="379" t="s">
        <v>3783</v>
      </c>
      <c r="NRJ1115" s="379" t="s">
        <v>3783</v>
      </c>
      <c r="NRK1115" s="379" t="s">
        <v>3783</v>
      </c>
      <c r="NRL1115" s="379" t="s">
        <v>3783</v>
      </c>
      <c r="NRM1115" s="379" t="s">
        <v>3783</v>
      </c>
      <c r="NRN1115" s="379" t="s">
        <v>3783</v>
      </c>
      <c r="NRO1115" s="379" t="s">
        <v>3783</v>
      </c>
      <c r="NRP1115" s="379" t="s">
        <v>3783</v>
      </c>
      <c r="NRQ1115" s="379" t="s">
        <v>3783</v>
      </c>
      <c r="NRR1115" s="379" t="s">
        <v>3783</v>
      </c>
      <c r="NRS1115" s="379" t="s">
        <v>3783</v>
      </c>
      <c r="NRT1115" s="379" t="s">
        <v>3783</v>
      </c>
      <c r="NRU1115" s="379" t="s">
        <v>3783</v>
      </c>
      <c r="NRV1115" s="379" t="s">
        <v>3783</v>
      </c>
      <c r="NRW1115" s="379" t="s">
        <v>3783</v>
      </c>
      <c r="NRX1115" s="379" t="s">
        <v>3783</v>
      </c>
      <c r="NRY1115" s="379" t="s">
        <v>3783</v>
      </c>
      <c r="NRZ1115" s="379" t="s">
        <v>3783</v>
      </c>
      <c r="NSA1115" s="379" t="s">
        <v>3783</v>
      </c>
      <c r="NSB1115" s="379" t="s">
        <v>3783</v>
      </c>
      <c r="NSC1115" s="379" t="s">
        <v>3783</v>
      </c>
      <c r="NSD1115" s="379" t="s">
        <v>3783</v>
      </c>
      <c r="NSE1115" s="379" t="s">
        <v>3783</v>
      </c>
      <c r="NSF1115" s="379" t="s">
        <v>3783</v>
      </c>
      <c r="NSG1115" s="379" t="s">
        <v>3783</v>
      </c>
      <c r="NSH1115" s="379" t="s">
        <v>3783</v>
      </c>
      <c r="NSI1115" s="379" t="s">
        <v>3783</v>
      </c>
      <c r="NSJ1115" s="379" t="s">
        <v>3783</v>
      </c>
      <c r="NSK1115" s="379" t="s">
        <v>3783</v>
      </c>
      <c r="NSL1115" s="379" t="s">
        <v>3783</v>
      </c>
      <c r="NSM1115" s="379" t="s">
        <v>3783</v>
      </c>
      <c r="NSN1115" s="379" t="s">
        <v>3783</v>
      </c>
      <c r="NSO1115" s="379" t="s">
        <v>3783</v>
      </c>
      <c r="NSP1115" s="379" t="s">
        <v>3783</v>
      </c>
      <c r="NSQ1115" s="379" t="s">
        <v>3783</v>
      </c>
      <c r="NSR1115" s="379" t="s">
        <v>3783</v>
      </c>
      <c r="NSS1115" s="379" t="s">
        <v>3783</v>
      </c>
      <c r="NST1115" s="379" t="s">
        <v>3783</v>
      </c>
      <c r="NSU1115" s="379" t="s">
        <v>3783</v>
      </c>
      <c r="NSV1115" s="379" t="s">
        <v>3783</v>
      </c>
      <c r="NSW1115" s="379" t="s">
        <v>3783</v>
      </c>
      <c r="NSX1115" s="379" t="s">
        <v>3783</v>
      </c>
      <c r="NSY1115" s="379" t="s">
        <v>3783</v>
      </c>
      <c r="NSZ1115" s="379" t="s">
        <v>3783</v>
      </c>
      <c r="NTA1115" s="379" t="s">
        <v>3783</v>
      </c>
      <c r="NTB1115" s="379" t="s">
        <v>3783</v>
      </c>
      <c r="NTC1115" s="379" t="s">
        <v>3783</v>
      </c>
      <c r="NTD1115" s="379" t="s">
        <v>3783</v>
      </c>
      <c r="NTE1115" s="379" t="s">
        <v>3783</v>
      </c>
      <c r="NTF1115" s="379" t="s">
        <v>3783</v>
      </c>
      <c r="NTG1115" s="379" t="s">
        <v>3783</v>
      </c>
      <c r="NTH1115" s="379" t="s">
        <v>3783</v>
      </c>
      <c r="NTI1115" s="379" t="s">
        <v>3783</v>
      </c>
      <c r="NTJ1115" s="379" t="s">
        <v>3783</v>
      </c>
      <c r="NTK1115" s="379" t="s">
        <v>3783</v>
      </c>
      <c r="NTL1115" s="379" t="s">
        <v>3783</v>
      </c>
      <c r="NTM1115" s="379" t="s">
        <v>3783</v>
      </c>
      <c r="NTN1115" s="379" t="s">
        <v>3783</v>
      </c>
      <c r="NTO1115" s="379" t="s">
        <v>3783</v>
      </c>
      <c r="NTP1115" s="379" t="s">
        <v>3783</v>
      </c>
      <c r="NTQ1115" s="379" t="s">
        <v>3783</v>
      </c>
      <c r="NTR1115" s="379" t="s">
        <v>3783</v>
      </c>
      <c r="NTS1115" s="379" t="s">
        <v>3783</v>
      </c>
      <c r="NTT1115" s="379" t="s">
        <v>3783</v>
      </c>
      <c r="NTU1115" s="379" t="s">
        <v>3783</v>
      </c>
      <c r="NTV1115" s="379" t="s">
        <v>3783</v>
      </c>
      <c r="NTW1115" s="379" t="s">
        <v>3783</v>
      </c>
      <c r="NTX1115" s="379" t="s">
        <v>3783</v>
      </c>
      <c r="NTY1115" s="379" t="s">
        <v>3783</v>
      </c>
      <c r="NTZ1115" s="379" t="s">
        <v>3783</v>
      </c>
      <c r="NUA1115" s="379" t="s">
        <v>3783</v>
      </c>
      <c r="NUB1115" s="379" t="s">
        <v>3783</v>
      </c>
      <c r="NUC1115" s="379" t="s">
        <v>3783</v>
      </c>
      <c r="NUD1115" s="379" t="s">
        <v>3783</v>
      </c>
      <c r="NUE1115" s="379" t="s">
        <v>3783</v>
      </c>
      <c r="NUF1115" s="379" t="s">
        <v>3783</v>
      </c>
      <c r="NUG1115" s="379" t="s">
        <v>3783</v>
      </c>
      <c r="NUH1115" s="379" t="s">
        <v>3783</v>
      </c>
      <c r="NUI1115" s="379" t="s">
        <v>3783</v>
      </c>
      <c r="NUJ1115" s="379" t="s">
        <v>3783</v>
      </c>
      <c r="NUK1115" s="379" t="s">
        <v>3783</v>
      </c>
      <c r="NUL1115" s="379" t="s">
        <v>3783</v>
      </c>
      <c r="NUM1115" s="379" t="s">
        <v>3783</v>
      </c>
      <c r="NUN1115" s="379" t="s">
        <v>3783</v>
      </c>
      <c r="NUO1115" s="379" t="s">
        <v>3783</v>
      </c>
      <c r="NUP1115" s="379" t="s">
        <v>3783</v>
      </c>
      <c r="NUQ1115" s="379" t="s">
        <v>3783</v>
      </c>
      <c r="NUR1115" s="379" t="s">
        <v>3783</v>
      </c>
      <c r="NUS1115" s="379" t="s">
        <v>3783</v>
      </c>
      <c r="NUT1115" s="379" t="s">
        <v>3783</v>
      </c>
      <c r="NUU1115" s="379" t="s">
        <v>3783</v>
      </c>
      <c r="NUV1115" s="379" t="s">
        <v>3783</v>
      </c>
      <c r="NUW1115" s="379" t="s">
        <v>3783</v>
      </c>
      <c r="NUX1115" s="379" t="s">
        <v>3783</v>
      </c>
      <c r="NUY1115" s="379" t="s">
        <v>3783</v>
      </c>
      <c r="NUZ1115" s="379" t="s">
        <v>3783</v>
      </c>
      <c r="NVA1115" s="379" t="s">
        <v>3783</v>
      </c>
      <c r="NVB1115" s="379" t="s">
        <v>3783</v>
      </c>
      <c r="NVC1115" s="379" t="s">
        <v>3783</v>
      </c>
      <c r="NVD1115" s="379" t="s">
        <v>3783</v>
      </c>
      <c r="NVE1115" s="379" t="s">
        <v>3783</v>
      </c>
      <c r="NVF1115" s="379" t="s">
        <v>3783</v>
      </c>
      <c r="NVG1115" s="379" t="s">
        <v>3783</v>
      </c>
      <c r="NVH1115" s="379" t="s">
        <v>3783</v>
      </c>
      <c r="NVI1115" s="379" t="s">
        <v>3783</v>
      </c>
      <c r="NVJ1115" s="379" t="s">
        <v>3783</v>
      </c>
      <c r="NVK1115" s="379" t="s">
        <v>3783</v>
      </c>
      <c r="NVL1115" s="379" t="s">
        <v>3783</v>
      </c>
      <c r="NVM1115" s="379" t="s">
        <v>3783</v>
      </c>
      <c r="NVN1115" s="379" t="s">
        <v>3783</v>
      </c>
      <c r="NVO1115" s="379" t="s">
        <v>3783</v>
      </c>
      <c r="NVP1115" s="379" t="s">
        <v>3783</v>
      </c>
      <c r="NVQ1115" s="379" t="s">
        <v>3783</v>
      </c>
      <c r="NVR1115" s="379" t="s">
        <v>3783</v>
      </c>
      <c r="NVS1115" s="379" t="s">
        <v>3783</v>
      </c>
      <c r="NVT1115" s="379" t="s">
        <v>3783</v>
      </c>
      <c r="NVU1115" s="379" t="s">
        <v>3783</v>
      </c>
      <c r="NVV1115" s="379" t="s">
        <v>3783</v>
      </c>
      <c r="NVW1115" s="379" t="s">
        <v>3783</v>
      </c>
      <c r="NVX1115" s="379" t="s">
        <v>3783</v>
      </c>
      <c r="NVY1115" s="379" t="s">
        <v>3783</v>
      </c>
      <c r="NVZ1115" s="379" t="s">
        <v>3783</v>
      </c>
      <c r="NWA1115" s="379" t="s">
        <v>3783</v>
      </c>
      <c r="NWB1115" s="379" t="s">
        <v>3783</v>
      </c>
      <c r="NWC1115" s="379" t="s">
        <v>3783</v>
      </c>
      <c r="NWD1115" s="379" t="s">
        <v>3783</v>
      </c>
      <c r="NWE1115" s="379" t="s">
        <v>3783</v>
      </c>
      <c r="NWF1115" s="379" t="s">
        <v>3783</v>
      </c>
      <c r="NWG1115" s="379" t="s">
        <v>3783</v>
      </c>
      <c r="NWH1115" s="379" t="s">
        <v>3783</v>
      </c>
      <c r="NWI1115" s="379" t="s">
        <v>3783</v>
      </c>
      <c r="NWJ1115" s="379" t="s">
        <v>3783</v>
      </c>
      <c r="NWK1115" s="379" t="s">
        <v>3783</v>
      </c>
      <c r="NWL1115" s="379" t="s">
        <v>3783</v>
      </c>
      <c r="NWM1115" s="379" t="s">
        <v>3783</v>
      </c>
      <c r="NWN1115" s="379" t="s">
        <v>3783</v>
      </c>
      <c r="NWO1115" s="379" t="s">
        <v>3783</v>
      </c>
      <c r="NWP1115" s="379" t="s">
        <v>3783</v>
      </c>
      <c r="NWQ1115" s="379" t="s">
        <v>3783</v>
      </c>
      <c r="NWR1115" s="379" t="s">
        <v>3783</v>
      </c>
      <c r="NWS1115" s="379" t="s">
        <v>3783</v>
      </c>
      <c r="NWT1115" s="379" t="s">
        <v>3783</v>
      </c>
      <c r="NWU1115" s="379" t="s">
        <v>3783</v>
      </c>
      <c r="NWV1115" s="379" t="s">
        <v>3783</v>
      </c>
      <c r="NWW1115" s="379" t="s">
        <v>3783</v>
      </c>
      <c r="NWX1115" s="379" t="s">
        <v>3783</v>
      </c>
      <c r="NWY1115" s="379" t="s">
        <v>3783</v>
      </c>
      <c r="NWZ1115" s="379" t="s">
        <v>3783</v>
      </c>
      <c r="NXA1115" s="379" t="s">
        <v>3783</v>
      </c>
      <c r="NXB1115" s="379" t="s">
        <v>3783</v>
      </c>
      <c r="NXC1115" s="379" t="s">
        <v>3783</v>
      </c>
      <c r="NXD1115" s="379" t="s">
        <v>3783</v>
      </c>
      <c r="NXE1115" s="379" t="s">
        <v>3783</v>
      </c>
      <c r="NXF1115" s="379" t="s">
        <v>3783</v>
      </c>
      <c r="NXG1115" s="379" t="s">
        <v>3783</v>
      </c>
      <c r="NXH1115" s="379" t="s">
        <v>3783</v>
      </c>
      <c r="NXI1115" s="379" t="s">
        <v>3783</v>
      </c>
      <c r="NXJ1115" s="379" t="s">
        <v>3783</v>
      </c>
      <c r="NXK1115" s="379" t="s">
        <v>3783</v>
      </c>
      <c r="NXL1115" s="379" t="s">
        <v>3783</v>
      </c>
      <c r="NXM1115" s="379" t="s">
        <v>3783</v>
      </c>
      <c r="NXN1115" s="379" t="s">
        <v>3783</v>
      </c>
      <c r="NXO1115" s="379" t="s">
        <v>3783</v>
      </c>
      <c r="NXP1115" s="379" t="s">
        <v>3783</v>
      </c>
      <c r="NXQ1115" s="379" t="s">
        <v>3783</v>
      </c>
      <c r="NXR1115" s="379" t="s">
        <v>3783</v>
      </c>
      <c r="NXS1115" s="379" t="s">
        <v>3783</v>
      </c>
      <c r="NXT1115" s="379" t="s">
        <v>3783</v>
      </c>
      <c r="NXU1115" s="379" t="s">
        <v>3783</v>
      </c>
      <c r="NXV1115" s="379" t="s">
        <v>3783</v>
      </c>
      <c r="NXW1115" s="379" t="s">
        <v>3783</v>
      </c>
      <c r="NXX1115" s="379" t="s">
        <v>3783</v>
      </c>
      <c r="NXY1115" s="379" t="s">
        <v>3783</v>
      </c>
      <c r="NXZ1115" s="379" t="s">
        <v>3783</v>
      </c>
      <c r="NYA1115" s="379" t="s">
        <v>3783</v>
      </c>
      <c r="NYB1115" s="379" t="s">
        <v>3783</v>
      </c>
      <c r="NYC1115" s="379" t="s">
        <v>3783</v>
      </c>
      <c r="NYD1115" s="379" t="s">
        <v>3783</v>
      </c>
      <c r="NYE1115" s="379" t="s">
        <v>3783</v>
      </c>
      <c r="NYF1115" s="379" t="s">
        <v>3783</v>
      </c>
      <c r="NYG1115" s="379" t="s">
        <v>3783</v>
      </c>
      <c r="NYH1115" s="379" t="s">
        <v>3783</v>
      </c>
      <c r="NYI1115" s="379" t="s">
        <v>3783</v>
      </c>
      <c r="NYJ1115" s="379" t="s">
        <v>3783</v>
      </c>
      <c r="NYK1115" s="379" t="s">
        <v>3783</v>
      </c>
      <c r="NYL1115" s="379" t="s">
        <v>3783</v>
      </c>
      <c r="NYM1115" s="379" t="s">
        <v>3783</v>
      </c>
      <c r="NYN1115" s="379" t="s">
        <v>3783</v>
      </c>
      <c r="NYO1115" s="379" t="s">
        <v>3783</v>
      </c>
      <c r="NYP1115" s="379" t="s">
        <v>3783</v>
      </c>
      <c r="NYQ1115" s="379" t="s">
        <v>3783</v>
      </c>
      <c r="NYR1115" s="379" t="s">
        <v>3783</v>
      </c>
      <c r="NYS1115" s="379" t="s">
        <v>3783</v>
      </c>
      <c r="NYT1115" s="379" t="s">
        <v>3783</v>
      </c>
      <c r="NYU1115" s="379" t="s">
        <v>3783</v>
      </c>
      <c r="NYV1115" s="379" t="s">
        <v>3783</v>
      </c>
      <c r="NYW1115" s="379" t="s">
        <v>3783</v>
      </c>
      <c r="NYX1115" s="379" t="s">
        <v>3783</v>
      </c>
      <c r="NYY1115" s="379" t="s">
        <v>3783</v>
      </c>
      <c r="NYZ1115" s="379" t="s">
        <v>3783</v>
      </c>
      <c r="NZA1115" s="379" t="s">
        <v>3783</v>
      </c>
      <c r="NZB1115" s="379" t="s">
        <v>3783</v>
      </c>
      <c r="NZC1115" s="379" t="s">
        <v>3783</v>
      </c>
      <c r="NZD1115" s="379" t="s">
        <v>3783</v>
      </c>
      <c r="NZE1115" s="379" t="s">
        <v>3783</v>
      </c>
      <c r="NZF1115" s="379" t="s">
        <v>3783</v>
      </c>
      <c r="NZG1115" s="379" t="s">
        <v>3783</v>
      </c>
      <c r="NZH1115" s="379" t="s">
        <v>3783</v>
      </c>
      <c r="NZI1115" s="379" t="s">
        <v>3783</v>
      </c>
      <c r="NZJ1115" s="379" t="s">
        <v>3783</v>
      </c>
      <c r="NZK1115" s="379" t="s">
        <v>3783</v>
      </c>
      <c r="NZL1115" s="379" t="s">
        <v>3783</v>
      </c>
      <c r="NZM1115" s="379" t="s">
        <v>3783</v>
      </c>
      <c r="NZN1115" s="379" t="s">
        <v>3783</v>
      </c>
      <c r="NZO1115" s="379" t="s">
        <v>3783</v>
      </c>
      <c r="NZP1115" s="379" t="s">
        <v>3783</v>
      </c>
      <c r="NZQ1115" s="379" t="s">
        <v>3783</v>
      </c>
      <c r="NZR1115" s="379" t="s">
        <v>3783</v>
      </c>
      <c r="NZS1115" s="379" t="s">
        <v>3783</v>
      </c>
      <c r="NZT1115" s="379" t="s">
        <v>3783</v>
      </c>
      <c r="NZU1115" s="379" t="s">
        <v>3783</v>
      </c>
      <c r="NZV1115" s="379" t="s">
        <v>3783</v>
      </c>
      <c r="NZW1115" s="379" t="s">
        <v>3783</v>
      </c>
      <c r="NZX1115" s="379" t="s">
        <v>3783</v>
      </c>
      <c r="NZY1115" s="379" t="s">
        <v>3783</v>
      </c>
      <c r="NZZ1115" s="379" t="s">
        <v>3783</v>
      </c>
      <c r="OAA1115" s="379" t="s">
        <v>3783</v>
      </c>
      <c r="OAB1115" s="379" t="s">
        <v>3783</v>
      </c>
      <c r="OAC1115" s="379" t="s">
        <v>3783</v>
      </c>
      <c r="OAD1115" s="379" t="s">
        <v>3783</v>
      </c>
      <c r="OAE1115" s="379" t="s">
        <v>3783</v>
      </c>
      <c r="OAF1115" s="379" t="s">
        <v>3783</v>
      </c>
      <c r="OAG1115" s="379" t="s">
        <v>3783</v>
      </c>
      <c r="OAH1115" s="379" t="s">
        <v>3783</v>
      </c>
      <c r="OAI1115" s="379" t="s">
        <v>3783</v>
      </c>
      <c r="OAJ1115" s="379" t="s">
        <v>3783</v>
      </c>
      <c r="OAK1115" s="379" t="s">
        <v>3783</v>
      </c>
      <c r="OAL1115" s="379" t="s">
        <v>3783</v>
      </c>
      <c r="OAM1115" s="379" t="s">
        <v>3783</v>
      </c>
      <c r="OAN1115" s="379" t="s">
        <v>3783</v>
      </c>
      <c r="OAO1115" s="379" t="s">
        <v>3783</v>
      </c>
      <c r="OAP1115" s="379" t="s">
        <v>3783</v>
      </c>
      <c r="OAQ1115" s="379" t="s">
        <v>3783</v>
      </c>
      <c r="OAR1115" s="379" t="s">
        <v>3783</v>
      </c>
      <c r="OAS1115" s="379" t="s">
        <v>3783</v>
      </c>
      <c r="OAT1115" s="379" t="s">
        <v>3783</v>
      </c>
      <c r="OAU1115" s="379" t="s">
        <v>3783</v>
      </c>
      <c r="OAV1115" s="379" t="s">
        <v>3783</v>
      </c>
      <c r="OAW1115" s="379" t="s">
        <v>3783</v>
      </c>
      <c r="OAX1115" s="379" t="s">
        <v>3783</v>
      </c>
      <c r="OAY1115" s="379" t="s">
        <v>3783</v>
      </c>
      <c r="OAZ1115" s="379" t="s">
        <v>3783</v>
      </c>
      <c r="OBA1115" s="379" t="s">
        <v>3783</v>
      </c>
      <c r="OBB1115" s="379" t="s">
        <v>3783</v>
      </c>
      <c r="OBC1115" s="379" t="s">
        <v>3783</v>
      </c>
      <c r="OBD1115" s="379" t="s">
        <v>3783</v>
      </c>
      <c r="OBE1115" s="379" t="s">
        <v>3783</v>
      </c>
      <c r="OBF1115" s="379" t="s">
        <v>3783</v>
      </c>
      <c r="OBG1115" s="379" t="s">
        <v>3783</v>
      </c>
      <c r="OBH1115" s="379" t="s">
        <v>3783</v>
      </c>
      <c r="OBI1115" s="379" t="s">
        <v>3783</v>
      </c>
      <c r="OBJ1115" s="379" t="s">
        <v>3783</v>
      </c>
      <c r="OBK1115" s="379" t="s">
        <v>3783</v>
      </c>
      <c r="OBL1115" s="379" t="s">
        <v>3783</v>
      </c>
      <c r="OBM1115" s="379" t="s">
        <v>3783</v>
      </c>
      <c r="OBN1115" s="379" t="s">
        <v>3783</v>
      </c>
      <c r="OBO1115" s="379" t="s">
        <v>3783</v>
      </c>
      <c r="OBP1115" s="379" t="s">
        <v>3783</v>
      </c>
      <c r="OBQ1115" s="379" t="s">
        <v>3783</v>
      </c>
      <c r="OBR1115" s="379" t="s">
        <v>3783</v>
      </c>
      <c r="OBS1115" s="379" t="s">
        <v>3783</v>
      </c>
      <c r="OBT1115" s="379" t="s">
        <v>3783</v>
      </c>
      <c r="OBU1115" s="379" t="s">
        <v>3783</v>
      </c>
      <c r="OBV1115" s="379" t="s">
        <v>3783</v>
      </c>
      <c r="OBW1115" s="379" t="s">
        <v>3783</v>
      </c>
      <c r="OBX1115" s="379" t="s">
        <v>3783</v>
      </c>
      <c r="OBY1115" s="379" t="s">
        <v>3783</v>
      </c>
      <c r="OBZ1115" s="379" t="s">
        <v>3783</v>
      </c>
      <c r="OCA1115" s="379" t="s">
        <v>3783</v>
      </c>
      <c r="OCB1115" s="379" t="s">
        <v>3783</v>
      </c>
      <c r="OCC1115" s="379" t="s">
        <v>3783</v>
      </c>
      <c r="OCD1115" s="379" t="s">
        <v>3783</v>
      </c>
      <c r="OCE1115" s="379" t="s">
        <v>3783</v>
      </c>
      <c r="OCF1115" s="379" t="s">
        <v>3783</v>
      </c>
      <c r="OCG1115" s="379" t="s">
        <v>3783</v>
      </c>
      <c r="OCH1115" s="379" t="s">
        <v>3783</v>
      </c>
      <c r="OCI1115" s="379" t="s">
        <v>3783</v>
      </c>
      <c r="OCJ1115" s="379" t="s">
        <v>3783</v>
      </c>
      <c r="OCK1115" s="379" t="s">
        <v>3783</v>
      </c>
      <c r="OCL1115" s="379" t="s">
        <v>3783</v>
      </c>
      <c r="OCM1115" s="379" t="s">
        <v>3783</v>
      </c>
      <c r="OCN1115" s="379" t="s">
        <v>3783</v>
      </c>
      <c r="OCO1115" s="379" t="s">
        <v>3783</v>
      </c>
      <c r="OCP1115" s="379" t="s">
        <v>3783</v>
      </c>
      <c r="OCQ1115" s="379" t="s">
        <v>3783</v>
      </c>
      <c r="OCR1115" s="379" t="s">
        <v>3783</v>
      </c>
      <c r="OCS1115" s="379" t="s">
        <v>3783</v>
      </c>
      <c r="OCT1115" s="379" t="s">
        <v>3783</v>
      </c>
      <c r="OCU1115" s="379" t="s">
        <v>3783</v>
      </c>
      <c r="OCV1115" s="379" t="s">
        <v>3783</v>
      </c>
      <c r="OCW1115" s="379" t="s">
        <v>3783</v>
      </c>
      <c r="OCX1115" s="379" t="s">
        <v>3783</v>
      </c>
      <c r="OCY1115" s="379" t="s">
        <v>3783</v>
      </c>
      <c r="OCZ1115" s="379" t="s">
        <v>3783</v>
      </c>
      <c r="ODA1115" s="379" t="s">
        <v>3783</v>
      </c>
      <c r="ODB1115" s="379" t="s">
        <v>3783</v>
      </c>
      <c r="ODC1115" s="379" t="s">
        <v>3783</v>
      </c>
      <c r="ODD1115" s="379" t="s">
        <v>3783</v>
      </c>
      <c r="ODE1115" s="379" t="s">
        <v>3783</v>
      </c>
      <c r="ODF1115" s="379" t="s">
        <v>3783</v>
      </c>
      <c r="ODG1115" s="379" t="s">
        <v>3783</v>
      </c>
      <c r="ODH1115" s="379" t="s">
        <v>3783</v>
      </c>
      <c r="ODI1115" s="379" t="s">
        <v>3783</v>
      </c>
      <c r="ODJ1115" s="379" t="s">
        <v>3783</v>
      </c>
      <c r="ODK1115" s="379" t="s">
        <v>3783</v>
      </c>
      <c r="ODL1115" s="379" t="s">
        <v>3783</v>
      </c>
      <c r="ODM1115" s="379" t="s">
        <v>3783</v>
      </c>
      <c r="ODN1115" s="379" t="s">
        <v>3783</v>
      </c>
      <c r="ODO1115" s="379" t="s">
        <v>3783</v>
      </c>
      <c r="ODP1115" s="379" t="s">
        <v>3783</v>
      </c>
      <c r="ODQ1115" s="379" t="s">
        <v>3783</v>
      </c>
      <c r="ODR1115" s="379" t="s">
        <v>3783</v>
      </c>
      <c r="ODS1115" s="379" t="s">
        <v>3783</v>
      </c>
      <c r="ODT1115" s="379" t="s">
        <v>3783</v>
      </c>
      <c r="ODU1115" s="379" t="s">
        <v>3783</v>
      </c>
      <c r="ODV1115" s="379" t="s">
        <v>3783</v>
      </c>
      <c r="ODW1115" s="379" t="s">
        <v>3783</v>
      </c>
      <c r="ODX1115" s="379" t="s">
        <v>3783</v>
      </c>
      <c r="ODY1115" s="379" t="s">
        <v>3783</v>
      </c>
      <c r="ODZ1115" s="379" t="s">
        <v>3783</v>
      </c>
      <c r="OEA1115" s="379" t="s">
        <v>3783</v>
      </c>
      <c r="OEB1115" s="379" t="s">
        <v>3783</v>
      </c>
      <c r="OEC1115" s="379" t="s">
        <v>3783</v>
      </c>
      <c r="OED1115" s="379" t="s">
        <v>3783</v>
      </c>
      <c r="OEE1115" s="379" t="s">
        <v>3783</v>
      </c>
      <c r="OEF1115" s="379" t="s">
        <v>3783</v>
      </c>
      <c r="OEG1115" s="379" t="s">
        <v>3783</v>
      </c>
      <c r="OEH1115" s="379" t="s">
        <v>3783</v>
      </c>
      <c r="OEI1115" s="379" t="s">
        <v>3783</v>
      </c>
      <c r="OEJ1115" s="379" t="s">
        <v>3783</v>
      </c>
      <c r="OEK1115" s="379" t="s">
        <v>3783</v>
      </c>
      <c r="OEL1115" s="379" t="s">
        <v>3783</v>
      </c>
      <c r="OEM1115" s="379" t="s">
        <v>3783</v>
      </c>
      <c r="OEN1115" s="379" t="s">
        <v>3783</v>
      </c>
      <c r="OEO1115" s="379" t="s">
        <v>3783</v>
      </c>
      <c r="OEP1115" s="379" t="s">
        <v>3783</v>
      </c>
      <c r="OEQ1115" s="379" t="s">
        <v>3783</v>
      </c>
      <c r="OER1115" s="379" t="s">
        <v>3783</v>
      </c>
      <c r="OES1115" s="379" t="s">
        <v>3783</v>
      </c>
      <c r="OET1115" s="379" t="s">
        <v>3783</v>
      </c>
      <c r="OEU1115" s="379" t="s">
        <v>3783</v>
      </c>
      <c r="OEV1115" s="379" t="s">
        <v>3783</v>
      </c>
      <c r="OEW1115" s="379" t="s">
        <v>3783</v>
      </c>
      <c r="OEX1115" s="379" t="s">
        <v>3783</v>
      </c>
      <c r="OEY1115" s="379" t="s">
        <v>3783</v>
      </c>
      <c r="OEZ1115" s="379" t="s">
        <v>3783</v>
      </c>
      <c r="OFA1115" s="379" t="s">
        <v>3783</v>
      </c>
      <c r="OFB1115" s="379" t="s">
        <v>3783</v>
      </c>
      <c r="OFC1115" s="379" t="s">
        <v>3783</v>
      </c>
      <c r="OFD1115" s="379" t="s">
        <v>3783</v>
      </c>
      <c r="OFE1115" s="379" t="s">
        <v>3783</v>
      </c>
      <c r="OFF1115" s="379" t="s">
        <v>3783</v>
      </c>
      <c r="OFG1115" s="379" t="s">
        <v>3783</v>
      </c>
      <c r="OFH1115" s="379" t="s">
        <v>3783</v>
      </c>
      <c r="OFI1115" s="379" t="s">
        <v>3783</v>
      </c>
      <c r="OFJ1115" s="379" t="s">
        <v>3783</v>
      </c>
      <c r="OFK1115" s="379" t="s">
        <v>3783</v>
      </c>
      <c r="OFL1115" s="379" t="s">
        <v>3783</v>
      </c>
      <c r="OFM1115" s="379" t="s">
        <v>3783</v>
      </c>
      <c r="OFN1115" s="379" t="s">
        <v>3783</v>
      </c>
      <c r="OFO1115" s="379" t="s">
        <v>3783</v>
      </c>
      <c r="OFP1115" s="379" t="s">
        <v>3783</v>
      </c>
      <c r="OFQ1115" s="379" t="s">
        <v>3783</v>
      </c>
      <c r="OFR1115" s="379" t="s">
        <v>3783</v>
      </c>
      <c r="OFS1115" s="379" t="s">
        <v>3783</v>
      </c>
      <c r="OFT1115" s="379" t="s">
        <v>3783</v>
      </c>
      <c r="OFU1115" s="379" t="s">
        <v>3783</v>
      </c>
      <c r="OFV1115" s="379" t="s">
        <v>3783</v>
      </c>
      <c r="OFW1115" s="379" t="s">
        <v>3783</v>
      </c>
      <c r="OFX1115" s="379" t="s">
        <v>3783</v>
      </c>
      <c r="OFY1115" s="379" t="s">
        <v>3783</v>
      </c>
      <c r="OFZ1115" s="379" t="s">
        <v>3783</v>
      </c>
      <c r="OGA1115" s="379" t="s">
        <v>3783</v>
      </c>
      <c r="OGB1115" s="379" t="s">
        <v>3783</v>
      </c>
      <c r="OGC1115" s="379" t="s">
        <v>3783</v>
      </c>
      <c r="OGD1115" s="379" t="s">
        <v>3783</v>
      </c>
      <c r="OGE1115" s="379" t="s">
        <v>3783</v>
      </c>
      <c r="OGF1115" s="379" t="s">
        <v>3783</v>
      </c>
      <c r="OGG1115" s="379" t="s">
        <v>3783</v>
      </c>
      <c r="OGH1115" s="379" t="s">
        <v>3783</v>
      </c>
      <c r="OGI1115" s="379" t="s">
        <v>3783</v>
      </c>
      <c r="OGJ1115" s="379" t="s">
        <v>3783</v>
      </c>
      <c r="OGK1115" s="379" t="s">
        <v>3783</v>
      </c>
      <c r="OGL1115" s="379" t="s">
        <v>3783</v>
      </c>
      <c r="OGM1115" s="379" t="s">
        <v>3783</v>
      </c>
      <c r="OGN1115" s="379" t="s">
        <v>3783</v>
      </c>
      <c r="OGO1115" s="379" t="s">
        <v>3783</v>
      </c>
      <c r="OGP1115" s="379" t="s">
        <v>3783</v>
      </c>
      <c r="OGQ1115" s="379" t="s">
        <v>3783</v>
      </c>
      <c r="OGR1115" s="379" t="s">
        <v>3783</v>
      </c>
      <c r="OGS1115" s="379" t="s">
        <v>3783</v>
      </c>
      <c r="OGT1115" s="379" t="s">
        <v>3783</v>
      </c>
      <c r="OGU1115" s="379" t="s">
        <v>3783</v>
      </c>
      <c r="OGV1115" s="379" t="s">
        <v>3783</v>
      </c>
      <c r="OGW1115" s="379" t="s">
        <v>3783</v>
      </c>
      <c r="OGX1115" s="379" t="s">
        <v>3783</v>
      </c>
      <c r="OGY1115" s="379" t="s">
        <v>3783</v>
      </c>
      <c r="OGZ1115" s="379" t="s">
        <v>3783</v>
      </c>
      <c r="OHA1115" s="379" t="s">
        <v>3783</v>
      </c>
      <c r="OHB1115" s="379" t="s">
        <v>3783</v>
      </c>
      <c r="OHC1115" s="379" t="s">
        <v>3783</v>
      </c>
      <c r="OHD1115" s="379" t="s">
        <v>3783</v>
      </c>
      <c r="OHE1115" s="379" t="s">
        <v>3783</v>
      </c>
      <c r="OHF1115" s="379" t="s">
        <v>3783</v>
      </c>
      <c r="OHG1115" s="379" t="s">
        <v>3783</v>
      </c>
      <c r="OHH1115" s="379" t="s">
        <v>3783</v>
      </c>
      <c r="OHI1115" s="379" t="s">
        <v>3783</v>
      </c>
      <c r="OHJ1115" s="379" t="s">
        <v>3783</v>
      </c>
      <c r="OHK1115" s="379" t="s">
        <v>3783</v>
      </c>
      <c r="OHL1115" s="379" t="s">
        <v>3783</v>
      </c>
      <c r="OHM1115" s="379" t="s">
        <v>3783</v>
      </c>
      <c r="OHN1115" s="379" t="s">
        <v>3783</v>
      </c>
      <c r="OHO1115" s="379" t="s">
        <v>3783</v>
      </c>
      <c r="OHP1115" s="379" t="s">
        <v>3783</v>
      </c>
      <c r="OHQ1115" s="379" t="s">
        <v>3783</v>
      </c>
      <c r="OHR1115" s="379" t="s">
        <v>3783</v>
      </c>
      <c r="OHS1115" s="379" t="s">
        <v>3783</v>
      </c>
      <c r="OHT1115" s="379" t="s">
        <v>3783</v>
      </c>
      <c r="OHU1115" s="379" t="s">
        <v>3783</v>
      </c>
      <c r="OHV1115" s="379" t="s">
        <v>3783</v>
      </c>
      <c r="OHW1115" s="379" t="s">
        <v>3783</v>
      </c>
      <c r="OHX1115" s="379" t="s">
        <v>3783</v>
      </c>
      <c r="OHY1115" s="379" t="s">
        <v>3783</v>
      </c>
      <c r="OHZ1115" s="379" t="s">
        <v>3783</v>
      </c>
      <c r="OIA1115" s="379" t="s">
        <v>3783</v>
      </c>
      <c r="OIB1115" s="379" t="s">
        <v>3783</v>
      </c>
      <c r="OIC1115" s="379" t="s">
        <v>3783</v>
      </c>
      <c r="OID1115" s="379" t="s">
        <v>3783</v>
      </c>
      <c r="OIE1115" s="379" t="s">
        <v>3783</v>
      </c>
      <c r="OIF1115" s="379" t="s">
        <v>3783</v>
      </c>
      <c r="OIG1115" s="379" t="s">
        <v>3783</v>
      </c>
      <c r="OIH1115" s="379" t="s">
        <v>3783</v>
      </c>
      <c r="OII1115" s="379" t="s">
        <v>3783</v>
      </c>
      <c r="OIJ1115" s="379" t="s">
        <v>3783</v>
      </c>
      <c r="OIK1115" s="379" t="s">
        <v>3783</v>
      </c>
      <c r="OIL1115" s="379" t="s">
        <v>3783</v>
      </c>
      <c r="OIM1115" s="379" t="s">
        <v>3783</v>
      </c>
      <c r="OIN1115" s="379" t="s">
        <v>3783</v>
      </c>
      <c r="OIO1115" s="379" t="s">
        <v>3783</v>
      </c>
      <c r="OIP1115" s="379" t="s">
        <v>3783</v>
      </c>
      <c r="OIQ1115" s="379" t="s">
        <v>3783</v>
      </c>
      <c r="OIR1115" s="379" t="s">
        <v>3783</v>
      </c>
      <c r="OIS1115" s="379" t="s">
        <v>3783</v>
      </c>
      <c r="OIT1115" s="379" t="s">
        <v>3783</v>
      </c>
      <c r="OIU1115" s="379" t="s">
        <v>3783</v>
      </c>
      <c r="OIV1115" s="379" t="s">
        <v>3783</v>
      </c>
      <c r="OIW1115" s="379" t="s">
        <v>3783</v>
      </c>
      <c r="OIX1115" s="379" t="s">
        <v>3783</v>
      </c>
      <c r="OIY1115" s="379" t="s">
        <v>3783</v>
      </c>
      <c r="OIZ1115" s="379" t="s">
        <v>3783</v>
      </c>
      <c r="OJA1115" s="379" t="s">
        <v>3783</v>
      </c>
      <c r="OJB1115" s="379" t="s">
        <v>3783</v>
      </c>
      <c r="OJC1115" s="379" t="s">
        <v>3783</v>
      </c>
      <c r="OJD1115" s="379" t="s">
        <v>3783</v>
      </c>
      <c r="OJE1115" s="379" t="s">
        <v>3783</v>
      </c>
      <c r="OJF1115" s="379" t="s">
        <v>3783</v>
      </c>
      <c r="OJG1115" s="379" t="s">
        <v>3783</v>
      </c>
      <c r="OJH1115" s="379" t="s">
        <v>3783</v>
      </c>
      <c r="OJI1115" s="379" t="s">
        <v>3783</v>
      </c>
      <c r="OJJ1115" s="379" t="s">
        <v>3783</v>
      </c>
      <c r="OJK1115" s="379" t="s">
        <v>3783</v>
      </c>
      <c r="OJL1115" s="379" t="s">
        <v>3783</v>
      </c>
      <c r="OJM1115" s="379" t="s">
        <v>3783</v>
      </c>
      <c r="OJN1115" s="379" t="s">
        <v>3783</v>
      </c>
      <c r="OJO1115" s="379" t="s">
        <v>3783</v>
      </c>
      <c r="OJP1115" s="379" t="s">
        <v>3783</v>
      </c>
      <c r="OJQ1115" s="379" t="s">
        <v>3783</v>
      </c>
      <c r="OJR1115" s="379" t="s">
        <v>3783</v>
      </c>
      <c r="OJS1115" s="379" t="s">
        <v>3783</v>
      </c>
      <c r="OJT1115" s="379" t="s">
        <v>3783</v>
      </c>
      <c r="OJU1115" s="379" t="s">
        <v>3783</v>
      </c>
      <c r="OJV1115" s="379" t="s">
        <v>3783</v>
      </c>
      <c r="OJW1115" s="379" t="s">
        <v>3783</v>
      </c>
      <c r="OJX1115" s="379" t="s">
        <v>3783</v>
      </c>
      <c r="OJY1115" s="379" t="s">
        <v>3783</v>
      </c>
      <c r="OJZ1115" s="379" t="s">
        <v>3783</v>
      </c>
      <c r="OKA1115" s="379" t="s">
        <v>3783</v>
      </c>
      <c r="OKB1115" s="379" t="s">
        <v>3783</v>
      </c>
      <c r="OKC1115" s="379" t="s">
        <v>3783</v>
      </c>
      <c r="OKD1115" s="379" t="s">
        <v>3783</v>
      </c>
      <c r="OKE1115" s="379" t="s">
        <v>3783</v>
      </c>
      <c r="OKF1115" s="379" t="s">
        <v>3783</v>
      </c>
      <c r="OKG1115" s="379" t="s">
        <v>3783</v>
      </c>
      <c r="OKH1115" s="379" t="s">
        <v>3783</v>
      </c>
      <c r="OKI1115" s="379" t="s">
        <v>3783</v>
      </c>
      <c r="OKJ1115" s="379" t="s">
        <v>3783</v>
      </c>
      <c r="OKK1115" s="379" t="s">
        <v>3783</v>
      </c>
      <c r="OKL1115" s="379" t="s">
        <v>3783</v>
      </c>
      <c r="OKM1115" s="379" t="s">
        <v>3783</v>
      </c>
      <c r="OKN1115" s="379" t="s">
        <v>3783</v>
      </c>
      <c r="OKO1115" s="379" t="s">
        <v>3783</v>
      </c>
      <c r="OKP1115" s="379" t="s">
        <v>3783</v>
      </c>
      <c r="OKQ1115" s="379" t="s">
        <v>3783</v>
      </c>
      <c r="OKR1115" s="379" t="s">
        <v>3783</v>
      </c>
      <c r="OKS1115" s="379" t="s">
        <v>3783</v>
      </c>
      <c r="OKT1115" s="379" t="s">
        <v>3783</v>
      </c>
      <c r="OKU1115" s="379" t="s">
        <v>3783</v>
      </c>
      <c r="OKV1115" s="379" t="s">
        <v>3783</v>
      </c>
      <c r="OKW1115" s="379" t="s">
        <v>3783</v>
      </c>
      <c r="OKX1115" s="379" t="s">
        <v>3783</v>
      </c>
      <c r="OKY1115" s="379" t="s">
        <v>3783</v>
      </c>
      <c r="OKZ1115" s="379" t="s">
        <v>3783</v>
      </c>
      <c r="OLA1115" s="379" t="s">
        <v>3783</v>
      </c>
      <c r="OLB1115" s="379" t="s">
        <v>3783</v>
      </c>
      <c r="OLC1115" s="379" t="s">
        <v>3783</v>
      </c>
      <c r="OLD1115" s="379" t="s">
        <v>3783</v>
      </c>
      <c r="OLE1115" s="379" t="s">
        <v>3783</v>
      </c>
      <c r="OLF1115" s="379" t="s">
        <v>3783</v>
      </c>
      <c r="OLG1115" s="379" t="s">
        <v>3783</v>
      </c>
      <c r="OLH1115" s="379" t="s">
        <v>3783</v>
      </c>
      <c r="OLI1115" s="379" t="s">
        <v>3783</v>
      </c>
      <c r="OLJ1115" s="379" t="s">
        <v>3783</v>
      </c>
      <c r="OLK1115" s="379" t="s">
        <v>3783</v>
      </c>
      <c r="OLL1115" s="379" t="s">
        <v>3783</v>
      </c>
      <c r="OLM1115" s="379" t="s">
        <v>3783</v>
      </c>
      <c r="OLN1115" s="379" t="s">
        <v>3783</v>
      </c>
      <c r="OLO1115" s="379" t="s">
        <v>3783</v>
      </c>
      <c r="OLP1115" s="379" t="s">
        <v>3783</v>
      </c>
      <c r="OLQ1115" s="379" t="s">
        <v>3783</v>
      </c>
      <c r="OLR1115" s="379" t="s">
        <v>3783</v>
      </c>
      <c r="OLS1115" s="379" t="s">
        <v>3783</v>
      </c>
      <c r="OLT1115" s="379" t="s">
        <v>3783</v>
      </c>
      <c r="OLU1115" s="379" t="s">
        <v>3783</v>
      </c>
      <c r="OLV1115" s="379" t="s">
        <v>3783</v>
      </c>
      <c r="OLW1115" s="379" t="s">
        <v>3783</v>
      </c>
      <c r="OLX1115" s="379" t="s">
        <v>3783</v>
      </c>
      <c r="OLY1115" s="379" t="s">
        <v>3783</v>
      </c>
      <c r="OLZ1115" s="379" t="s">
        <v>3783</v>
      </c>
      <c r="OMA1115" s="379" t="s">
        <v>3783</v>
      </c>
      <c r="OMB1115" s="379" t="s">
        <v>3783</v>
      </c>
      <c r="OMC1115" s="379" t="s">
        <v>3783</v>
      </c>
      <c r="OMD1115" s="379" t="s">
        <v>3783</v>
      </c>
      <c r="OME1115" s="379" t="s">
        <v>3783</v>
      </c>
      <c r="OMF1115" s="379" t="s">
        <v>3783</v>
      </c>
      <c r="OMG1115" s="379" t="s">
        <v>3783</v>
      </c>
      <c r="OMH1115" s="379" t="s">
        <v>3783</v>
      </c>
      <c r="OMI1115" s="379" t="s">
        <v>3783</v>
      </c>
      <c r="OMJ1115" s="379" t="s">
        <v>3783</v>
      </c>
      <c r="OMK1115" s="379" t="s">
        <v>3783</v>
      </c>
      <c r="OML1115" s="379" t="s">
        <v>3783</v>
      </c>
      <c r="OMM1115" s="379" t="s">
        <v>3783</v>
      </c>
      <c r="OMN1115" s="379" t="s">
        <v>3783</v>
      </c>
      <c r="OMO1115" s="379" t="s">
        <v>3783</v>
      </c>
      <c r="OMP1115" s="379" t="s">
        <v>3783</v>
      </c>
      <c r="OMQ1115" s="379" t="s">
        <v>3783</v>
      </c>
      <c r="OMR1115" s="379" t="s">
        <v>3783</v>
      </c>
      <c r="OMS1115" s="379" t="s">
        <v>3783</v>
      </c>
      <c r="OMT1115" s="379" t="s">
        <v>3783</v>
      </c>
      <c r="OMU1115" s="379" t="s">
        <v>3783</v>
      </c>
      <c r="OMV1115" s="379" t="s">
        <v>3783</v>
      </c>
      <c r="OMW1115" s="379" t="s">
        <v>3783</v>
      </c>
      <c r="OMX1115" s="379" t="s">
        <v>3783</v>
      </c>
      <c r="OMY1115" s="379" t="s">
        <v>3783</v>
      </c>
      <c r="OMZ1115" s="379" t="s">
        <v>3783</v>
      </c>
      <c r="ONA1115" s="379" t="s">
        <v>3783</v>
      </c>
      <c r="ONB1115" s="379" t="s">
        <v>3783</v>
      </c>
      <c r="ONC1115" s="379" t="s">
        <v>3783</v>
      </c>
      <c r="OND1115" s="379" t="s">
        <v>3783</v>
      </c>
      <c r="ONE1115" s="379" t="s">
        <v>3783</v>
      </c>
      <c r="ONF1115" s="379" t="s">
        <v>3783</v>
      </c>
      <c r="ONG1115" s="379" t="s">
        <v>3783</v>
      </c>
      <c r="ONH1115" s="379" t="s">
        <v>3783</v>
      </c>
      <c r="ONI1115" s="379" t="s">
        <v>3783</v>
      </c>
      <c r="ONJ1115" s="379" t="s">
        <v>3783</v>
      </c>
      <c r="ONK1115" s="379" t="s">
        <v>3783</v>
      </c>
      <c r="ONL1115" s="379" t="s">
        <v>3783</v>
      </c>
      <c r="ONM1115" s="379" t="s">
        <v>3783</v>
      </c>
      <c r="ONN1115" s="379" t="s">
        <v>3783</v>
      </c>
      <c r="ONO1115" s="379" t="s">
        <v>3783</v>
      </c>
      <c r="ONP1115" s="379" t="s">
        <v>3783</v>
      </c>
      <c r="ONQ1115" s="379" t="s">
        <v>3783</v>
      </c>
      <c r="ONR1115" s="379" t="s">
        <v>3783</v>
      </c>
      <c r="ONS1115" s="379" t="s">
        <v>3783</v>
      </c>
      <c r="ONT1115" s="379" t="s">
        <v>3783</v>
      </c>
      <c r="ONU1115" s="379" t="s">
        <v>3783</v>
      </c>
      <c r="ONV1115" s="379" t="s">
        <v>3783</v>
      </c>
      <c r="ONW1115" s="379" t="s">
        <v>3783</v>
      </c>
      <c r="ONX1115" s="379" t="s">
        <v>3783</v>
      </c>
      <c r="ONY1115" s="379" t="s">
        <v>3783</v>
      </c>
      <c r="ONZ1115" s="379" t="s">
        <v>3783</v>
      </c>
      <c r="OOA1115" s="379" t="s">
        <v>3783</v>
      </c>
      <c r="OOB1115" s="379" t="s">
        <v>3783</v>
      </c>
      <c r="OOC1115" s="379" t="s">
        <v>3783</v>
      </c>
      <c r="OOD1115" s="379" t="s">
        <v>3783</v>
      </c>
      <c r="OOE1115" s="379" t="s">
        <v>3783</v>
      </c>
      <c r="OOF1115" s="379" t="s">
        <v>3783</v>
      </c>
      <c r="OOG1115" s="379" t="s">
        <v>3783</v>
      </c>
      <c r="OOH1115" s="379" t="s">
        <v>3783</v>
      </c>
      <c r="OOI1115" s="379" t="s">
        <v>3783</v>
      </c>
      <c r="OOJ1115" s="379" t="s">
        <v>3783</v>
      </c>
      <c r="OOK1115" s="379" t="s">
        <v>3783</v>
      </c>
      <c r="OOL1115" s="379" t="s">
        <v>3783</v>
      </c>
      <c r="OOM1115" s="379" t="s">
        <v>3783</v>
      </c>
      <c r="OON1115" s="379" t="s">
        <v>3783</v>
      </c>
      <c r="OOO1115" s="379" t="s">
        <v>3783</v>
      </c>
      <c r="OOP1115" s="379" t="s">
        <v>3783</v>
      </c>
      <c r="OOQ1115" s="379" t="s">
        <v>3783</v>
      </c>
      <c r="OOR1115" s="379" t="s">
        <v>3783</v>
      </c>
      <c r="OOS1115" s="379" t="s">
        <v>3783</v>
      </c>
      <c r="OOT1115" s="379" t="s">
        <v>3783</v>
      </c>
      <c r="OOU1115" s="379" t="s">
        <v>3783</v>
      </c>
      <c r="OOV1115" s="379" t="s">
        <v>3783</v>
      </c>
      <c r="OOW1115" s="379" t="s">
        <v>3783</v>
      </c>
      <c r="OOX1115" s="379" t="s">
        <v>3783</v>
      </c>
      <c r="OOY1115" s="379" t="s">
        <v>3783</v>
      </c>
      <c r="OOZ1115" s="379" t="s">
        <v>3783</v>
      </c>
      <c r="OPA1115" s="379" t="s">
        <v>3783</v>
      </c>
      <c r="OPB1115" s="379" t="s">
        <v>3783</v>
      </c>
      <c r="OPC1115" s="379" t="s">
        <v>3783</v>
      </c>
      <c r="OPD1115" s="379" t="s">
        <v>3783</v>
      </c>
      <c r="OPE1115" s="379" t="s">
        <v>3783</v>
      </c>
      <c r="OPF1115" s="379" t="s">
        <v>3783</v>
      </c>
      <c r="OPG1115" s="379" t="s">
        <v>3783</v>
      </c>
      <c r="OPH1115" s="379" t="s">
        <v>3783</v>
      </c>
      <c r="OPI1115" s="379" t="s">
        <v>3783</v>
      </c>
      <c r="OPJ1115" s="379" t="s">
        <v>3783</v>
      </c>
      <c r="OPK1115" s="379" t="s">
        <v>3783</v>
      </c>
      <c r="OPL1115" s="379" t="s">
        <v>3783</v>
      </c>
      <c r="OPM1115" s="379" t="s">
        <v>3783</v>
      </c>
      <c r="OPN1115" s="379" t="s">
        <v>3783</v>
      </c>
      <c r="OPO1115" s="379" t="s">
        <v>3783</v>
      </c>
      <c r="OPP1115" s="379" t="s">
        <v>3783</v>
      </c>
      <c r="OPQ1115" s="379" t="s">
        <v>3783</v>
      </c>
      <c r="OPR1115" s="379" t="s">
        <v>3783</v>
      </c>
      <c r="OPS1115" s="379" t="s">
        <v>3783</v>
      </c>
      <c r="OPT1115" s="379" t="s">
        <v>3783</v>
      </c>
      <c r="OPU1115" s="379" t="s">
        <v>3783</v>
      </c>
      <c r="OPV1115" s="379" t="s">
        <v>3783</v>
      </c>
      <c r="OPW1115" s="379" t="s">
        <v>3783</v>
      </c>
      <c r="OPX1115" s="379" t="s">
        <v>3783</v>
      </c>
      <c r="OPY1115" s="379" t="s">
        <v>3783</v>
      </c>
      <c r="OPZ1115" s="379" t="s">
        <v>3783</v>
      </c>
      <c r="OQA1115" s="379" t="s">
        <v>3783</v>
      </c>
      <c r="OQB1115" s="379" t="s">
        <v>3783</v>
      </c>
      <c r="OQC1115" s="379" t="s">
        <v>3783</v>
      </c>
      <c r="OQD1115" s="379" t="s">
        <v>3783</v>
      </c>
      <c r="OQE1115" s="379" t="s">
        <v>3783</v>
      </c>
      <c r="OQF1115" s="379" t="s">
        <v>3783</v>
      </c>
      <c r="OQG1115" s="379" t="s">
        <v>3783</v>
      </c>
      <c r="OQH1115" s="379" t="s">
        <v>3783</v>
      </c>
      <c r="OQI1115" s="379" t="s">
        <v>3783</v>
      </c>
      <c r="OQJ1115" s="379" t="s">
        <v>3783</v>
      </c>
      <c r="OQK1115" s="379" t="s">
        <v>3783</v>
      </c>
      <c r="OQL1115" s="379" t="s">
        <v>3783</v>
      </c>
      <c r="OQM1115" s="379" t="s">
        <v>3783</v>
      </c>
      <c r="OQN1115" s="379" t="s">
        <v>3783</v>
      </c>
      <c r="OQO1115" s="379" t="s">
        <v>3783</v>
      </c>
      <c r="OQP1115" s="379" t="s">
        <v>3783</v>
      </c>
      <c r="OQQ1115" s="379" t="s">
        <v>3783</v>
      </c>
      <c r="OQR1115" s="379" t="s">
        <v>3783</v>
      </c>
      <c r="OQS1115" s="379" t="s">
        <v>3783</v>
      </c>
      <c r="OQT1115" s="379" t="s">
        <v>3783</v>
      </c>
      <c r="OQU1115" s="379" t="s">
        <v>3783</v>
      </c>
      <c r="OQV1115" s="379" t="s">
        <v>3783</v>
      </c>
      <c r="OQW1115" s="379" t="s">
        <v>3783</v>
      </c>
      <c r="OQX1115" s="379" t="s">
        <v>3783</v>
      </c>
      <c r="OQY1115" s="379" t="s">
        <v>3783</v>
      </c>
      <c r="OQZ1115" s="379" t="s">
        <v>3783</v>
      </c>
      <c r="ORA1115" s="379" t="s">
        <v>3783</v>
      </c>
      <c r="ORB1115" s="379" t="s">
        <v>3783</v>
      </c>
      <c r="ORC1115" s="379" t="s">
        <v>3783</v>
      </c>
      <c r="ORD1115" s="379" t="s">
        <v>3783</v>
      </c>
      <c r="ORE1115" s="379" t="s">
        <v>3783</v>
      </c>
      <c r="ORF1115" s="379" t="s">
        <v>3783</v>
      </c>
      <c r="ORG1115" s="379" t="s">
        <v>3783</v>
      </c>
      <c r="ORH1115" s="379" t="s">
        <v>3783</v>
      </c>
      <c r="ORI1115" s="379" t="s">
        <v>3783</v>
      </c>
      <c r="ORJ1115" s="379" t="s">
        <v>3783</v>
      </c>
      <c r="ORK1115" s="379" t="s">
        <v>3783</v>
      </c>
      <c r="ORL1115" s="379" t="s">
        <v>3783</v>
      </c>
      <c r="ORM1115" s="379" t="s">
        <v>3783</v>
      </c>
      <c r="ORN1115" s="379" t="s">
        <v>3783</v>
      </c>
      <c r="ORO1115" s="379" t="s">
        <v>3783</v>
      </c>
      <c r="ORP1115" s="379" t="s">
        <v>3783</v>
      </c>
      <c r="ORQ1115" s="379" t="s">
        <v>3783</v>
      </c>
      <c r="ORR1115" s="379" t="s">
        <v>3783</v>
      </c>
      <c r="ORS1115" s="379" t="s">
        <v>3783</v>
      </c>
      <c r="ORT1115" s="379" t="s">
        <v>3783</v>
      </c>
      <c r="ORU1115" s="379" t="s">
        <v>3783</v>
      </c>
      <c r="ORV1115" s="379" t="s">
        <v>3783</v>
      </c>
      <c r="ORW1115" s="379" t="s">
        <v>3783</v>
      </c>
      <c r="ORX1115" s="379" t="s">
        <v>3783</v>
      </c>
      <c r="ORY1115" s="379" t="s">
        <v>3783</v>
      </c>
      <c r="ORZ1115" s="379" t="s">
        <v>3783</v>
      </c>
      <c r="OSA1115" s="379" t="s">
        <v>3783</v>
      </c>
      <c r="OSB1115" s="379" t="s">
        <v>3783</v>
      </c>
      <c r="OSC1115" s="379" t="s">
        <v>3783</v>
      </c>
      <c r="OSD1115" s="379" t="s">
        <v>3783</v>
      </c>
      <c r="OSE1115" s="379" t="s">
        <v>3783</v>
      </c>
      <c r="OSF1115" s="379" t="s">
        <v>3783</v>
      </c>
      <c r="OSG1115" s="379" t="s">
        <v>3783</v>
      </c>
      <c r="OSH1115" s="379" t="s">
        <v>3783</v>
      </c>
      <c r="OSI1115" s="379" t="s">
        <v>3783</v>
      </c>
      <c r="OSJ1115" s="379" t="s">
        <v>3783</v>
      </c>
      <c r="OSK1115" s="379" t="s">
        <v>3783</v>
      </c>
      <c r="OSL1115" s="379" t="s">
        <v>3783</v>
      </c>
      <c r="OSM1115" s="379" t="s">
        <v>3783</v>
      </c>
      <c r="OSN1115" s="379" t="s">
        <v>3783</v>
      </c>
      <c r="OSO1115" s="379" t="s">
        <v>3783</v>
      </c>
      <c r="OSP1115" s="379" t="s">
        <v>3783</v>
      </c>
      <c r="OSQ1115" s="379" t="s">
        <v>3783</v>
      </c>
      <c r="OSR1115" s="379" t="s">
        <v>3783</v>
      </c>
      <c r="OSS1115" s="379" t="s">
        <v>3783</v>
      </c>
      <c r="OST1115" s="379" t="s">
        <v>3783</v>
      </c>
      <c r="OSU1115" s="379" t="s">
        <v>3783</v>
      </c>
      <c r="OSV1115" s="379" t="s">
        <v>3783</v>
      </c>
      <c r="OSW1115" s="379" t="s">
        <v>3783</v>
      </c>
      <c r="OSX1115" s="379" t="s">
        <v>3783</v>
      </c>
      <c r="OSY1115" s="379" t="s">
        <v>3783</v>
      </c>
      <c r="OSZ1115" s="379" t="s">
        <v>3783</v>
      </c>
      <c r="OTA1115" s="379" t="s">
        <v>3783</v>
      </c>
      <c r="OTB1115" s="379" t="s">
        <v>3783</v>
      </c>
      <c r="OTC1115" s="379" t="s">
        <v>3783</v>
      </c>
      <c r="OTD1115" s="379" t="s">
        <v>3783</v>
      </c>
      <c r="OTE1115" s="379" t="s">
        <v>3783</v>
      </c>
      <c r="OTF1115" s="379" t="s">
        <v>3783</v>
      </c>
      <c r="OTG1115" s="379" t="s">
        <v>3783</v>
      </c>
      <c r="OTH1115" s="379" t="s">
        <v>3783</v>
      </c>
      <c r="OTI1115" s="379" t="s">
        <v>3783</v>
      </c>
      <c r="OTJ1115" s="379" t="s">
        <v>3783</v>
      </c>
      <c r="OTK1115" s="379" t="s">
        <v>3783</v>
      </c>
      <c r="OTL1115" s="379" t="s">
        <v>3783</v>
      </c>
      <c r="OTM1115" s="379" t="s">
        <v>3783</v>
      </c>
      <c r="OTN1115" s="379" t="s">
        <v>3783</v>
      </c>
      <c r="OTO1115" s="379" t="s">
        <v>3783</v>
      </c>
      <c r="OTP1115" s="379" t="s">
        <v>3783</v>
      </c>
      <c r="OTQ1115" s="379" t="s">
        <v>3783</v>
      </c>
      <c r="OTR1115" s="379" t="s">
        <v>3783</v>
      </c>
      <c r="OTS1115" s="379" t="s">
        <v>3783</v>
      </c>
      <c r="OTT1115" s="379" t="s">
        <v>3783</v>
      </c>
      <c r="OTU1115" s="379" t="s">
        <v>3783</v>
      </c>
      <c r="OTV1115" s="379" t="s">
        <v>3783</v>
      </c>
      <c r="OTW1115" s="379" t="s">
        <v>3783</v>
      </c>
      <c r="OTX1115" s="379" t="s">
        <v>3783</v>
      </c>
      <c r="OTY1115" s="379" t="s">
        <v>3783</v>
      </c>
      <c r="OTZ1115" s="379" t="s">
        <v>3783</v>
      </c>
      <c r="OUA1115" s="379" t="s">
        <v>3783</v>
      </c>
      <c r="OUB1115" s="379" t="s">
        <v>3783</v>
      </c>
      <c r="OUC1115" s="379" t="s">
        <v>3783</v>
      </c>
      <c r="OUD1115" s="379" t="s">
        <v>3783</v>
      </c>
      <c r="OUE1115" s="379" t="s">
        <v>3783</v>
      </c>
      <c r="OUF1115" s="379" t="s">
        <v>3783</v>
      </c>
      <c r="OUG1115" s="379" t="s">
        <v>3783</v>
      </c>
      <c r="OUH1115" s="379" t="s">
        <v>3783</v>
      </c>
      <c r="OUI1115" s="379" t="s">
        <v>3783</v>
      </c>
      <c r="OUJ1115" s="379" t="s">
        <v>3783</v>
      </c>
      <c r="OUK1115" s="379" t="s">
        <v>3783</v>
      </c>
      <c r="OUL1115" s="379" t="s">
        <v>3783</v>
      </c>
      <c r="OUM1115" s="379" t="s">
        <v>3783</v>
      </c>
      <c r="OUN1115" s="379" t="s">
        <v>3783</v>
      </c>
      <c r="OUO1115" s="379" t="s">
        <v>3783</v>
      </c>
      <c r="OUP1115" s="379" t="s">
        <v>3783</v>
      </c>
      <c r="OUQ1115" s="379" t="s">
        <v>3783</v>
      </c>
      <c r="OUR1115" s="379" t="s">
        <v>3783</v>
      </c>
      <c r="OUS1115" s="379" t="s">
        <v>3783</v>
      </c>
      <c r="OUT1115" s="379" t="s">
        <v>3783</v>
      </c>
      <c r="OUU1115" s="379" t="s">
        <v>3783</v>
      </c>
      <c r="OUV1115" s="379" t="s">
        <v>3783</v>
      </c>
      <c r="OUW1115" s="379" t="s">
        <v>3783</v>
      </c>
      <c r="OUX1115" s="379" t="s">
        <v>3783</v>
      </c>
      <c r="OUY1115" s="379" t="s">
        <v>3783</v>
      </c>
      <c r="OUZ1115" s="379" t="s">
        <v>3783</v>
      </c>
      <c r="OVA1115" s="379" t="s">
        <v>3783</v>
      </c>
      <c r="OVB1115" s="379" t="s">
        <v>3783</v>
      </c>
      <c r="OVC1115" s="379" t="s">
        <v>3783</v>
      </c>
      <c r="OVD1115" s="379" t="s">
        <v>3783</v>
      </c>
      <c r="OVE1115" s="379" t="s">
        <v>3783</v>
      </c>
      <c r="OVF1115" s="379" t="s">
        <v>3783</v>
      </c>
      <c r="OVG1115" s="379" t="s">
        <v>3783</v>
      </c>
      <c r="OVH1115" s="379" t="s">
        <v>3783</v>
      </c>
      <c r="OVI1115" s="379" t="s">
        <v>3783</v>
      </c>
      <c r="OVJ1115" s="379" t="s">
        <v>3783</v>
      </c>
      <c r="OVK1115" s="379" t="s">
        <v>3783</v>
      </c>
      <c r="OVL1115" s="379" t="s">
        <v>3783</v>
      </c>
      <c r="OVM1115" s="379" t="s">
        <v>3783</v>
      </c>
      <c r="OVN1115" s="379" t="s">
        <v>3783</v>
      </c>
      <c r="OVO1115" s="379" t="s">
        <v>3783</v>
      </c>
      <c r="OVP1115" s="379" t="s">
        <v>3783</v>
      </c>
      <c r="OVQ1115" s="379" t="s">
        <v>3783</v>
      </c>
      <c r="OVR1115" s="379" t="s">
        <v>3783</v>
      </c>
      <c r="OVS1115" s="379" t="s">
        <v>3783</v>
      </c>
      <c r="OVT1115" s="379" t="s">
        <v>3783</v>
      </c>
      <c r="OVU1115" s="379" t="s">
        <v>3783</v>
      </c>
      <c r="OVV1115" s="379" t="s">
        <v>3783</v>
      </c>
      <c r="OVW1115" s="379" t="s">
        <v>3783</v>
      </c>
      <c r="OVX1115" s="379" t="s">
        <v>3783</v>
      </c>
      <c r="OVY1115" s="379" t="s">
        <v>3783</v>
      </c>
      <c r="OVZ1115" s="379" t="s">
        <v>3783</v>
      </c>
      <c r="OWA1115" s="379" t="s">
        <v>3783</v>
      </c>
      <c r="OWB1115" s="379" t="s">
        <v>3783</v>
      </c>
      <c r="OWC1115" s="379" t="s">
        <v>3783</v>
      </c>
      <c r="OWD1115" s="379" t="s">
        <v>3783</v>
      </c>
      <c r="OWE1115" s="379" t="s">
        <v>3783</v>
      </c>
      <c r="OWF1115" s="379" t="s">
        <v>3783</v>
      </c>
      <c r="OWG1115" s="379" t="s">
        <v>3783</v>
      </c>
      <c r="OWH1115" s="379" t="s">
        <v>3783</v>
      </c>
      <c r="OWI1115" s="379" t="s">
        <v>3783</v>
      </c>
      <c r="OWJ1115" s="379" t="s">
        <v>3783</v>
      </c>
      <c r="OWK1115" s="379" t="s">
        <v>3783</v>
      </c>
      <c r="OWL1115" s="379" t="s">
        <v>3783</v>
      </c>
      <c r="OWM1115" s="379" t="s">
        <v>3783</v>
      </c>
      <c r="OWN1115" s="379" t="s">
        <v>3783</v>
      </c>
      <c r="OWO1115" s="379" t="s">
        <v>3783</v>
      </c>
      <c r="OWP1115" s="379" t="s">
        <v>3783</v>
      </c>
      <c r="OWQ1115" s="379" t="s">
        <v>3783</v>
      </c>
      <c r="OWR1115" s="379" t="s">
        <v>3783</v>
      </c>
      <c r="OWS1115" s="379" t="s">
        <v>3783</v>
      </c>
      <c r="OWT1115" s="379" t="s">
        <v>3783</v>
      </c>
      <c r="OWU1115" s="379" t="s">
        <v>3783</v>
      </c>
      <c r="OWV1115" s="379" t="s">
        <v>3783</v>
      </c>
      <c r="OWW1115" s="379" t="s">
        <v>3783</v>
      </c>
      <c r="OWX1115" s="379" t="s">
        <v>3783</v>
      </c>
      <c r="OWY1115" s="379" t="s">
        <v>3783</v>
      </c>
      <c r="OWZ1115" s="379" t="s">
        <v>3783</v>
      </c>
      <c r="OXA1115" s="379" t="s">
        <v>3783</v>
      </c>
      <c r="OXB1115" s="379" t="s">
        <v>3783</v>
      </c>
      <c r="OXC1115" s="379" t="s">
        <v>3783</v>
      </c>
      <c r="OXD1115" s="379" t="s">
        <v>3783</v>
      </c>
      <c r="OXE1115" s="379" t="s">
        <v>3783</v>
      </c>
      <c r="OXF1115" s="379" t="s">
        <v>3783</v>
      </c>
      <c r="OXG1115" s="379" t="s">
        <v>3783</v>
      </c>
      <c r="OXH1115" s="379" t="s">
        <v>3783</v>
      </c>
      <c r="OXI1115" s="379" t="s">
        <v>3783</v>
      </c>
      <c r="OXJ1115" s="379" t="s">
        <v>3783</v>
      </c>
      <c r="OXK1115" s="379" t="s">
        <v>3783</v>
      </c>
      <c r="OXL1115" s="379" t="s">
        <v>3783</v>
      </c>
      <c r="OXM1115" s="379" t="s">
        <v>3783</v>
      </c>
      <c r="OXN1115" s="379" t="s">
        <v>3783</v>
      </c>
      <c r="OXO1115" s="379" t="s">
        <v>3783</v>
      </c>
      <c r="OXP1115" s="379" t="s">
        <v>3783</v>
      </c>
      <c r="OXQ1115" s="379" t="s">
        <v>3783</v>
      </c>
      <c r="OXR1115" s="379" t="s">
        <v>3783</v>
      </c>
      <c r="OXS1115" s="379" t="s">
        <v>3783</v>
      </c>
      <c r="OXT1115" s="379" t="s">
        <v>3783</v>
      </c>
      <c r="OXU1115" s="379" t="s">
        <v>3783</v>
      </c>
      <c r="OXV1115" s="379" t="s">
        <v>3783</v>
      </c>
      <c r="OXW1115" s="379" t="s">
        <v>3783</v>
      </c>
      <c r="OXX1115" s="379" t="s">
        <v>3783</v>
      </c>
      <c r="OXY1115" s="379" t="s">
        <v>3783</v>
      </c>
      <c r="OXZ1115" s="379" t="s">
        <v>3783</v>
      </c>
      <c r="OYA1115" s="379" t="s">
        <v>3783</v>
      </c>
      <c r="OYB1115" s="379" t="s">
        <v>3783</v>
      </c>
      <c r="OYC1115" s="379" t="s">
        <v>3783</v>
      </c>
      <c r="OYD1115" s="379" t="s">
        <v>3783</v>
      </c>
      <c r="OYE1115" s="379" t="s">
        <v>3783</v>
      </c>
      <c r="OYF1115" s="379" t="s">
        <v>3783</v>
      </c>
      <c r="OYG1115" s="379" t="s">
        <v>3783</v>
      </c>
      <c r="OYH1115" s="379" t="s">
        <v>3783</v>
      </c>
      <c r="OYI1115" s="379" t="s">
        <v>3783</v>
      </c>
      <c r="OYJ1115" s="379" t="s">
        <v>3783</v>
      </c>
      <c r="OYK1115" s="379" t="s">
        <v>3783</v>
      </c>
      <c r="OYL1115" s="379" t="s">
        <v>3783</v>
      </c>
      <c r="OYM1115" s="379" t="s">
        <v>3783</v>
      </c>
      <c r="OYN1115" s="379" t="s">
        <v>3783</v>
      </c>
      <c r="OYO1115" s="379" t="s">
        <v>3783</v>
      </c>
      <c r="OYP1115" s="379" t="s">
        <v>3783</v>
      </c>
      <c r="OYQ1115" s="379" t="s">
        <v>3783</v>
      </c>
      <c r="OYR1115" s="379" t="s">
        <v>3783</v>
      </c>
      <c r="OYS1115" s="379" t="s">
        <v>3783</v>
      </c>
      <c r="OYT1115" s="379" t="s">
        <v>3783</v>
      </c>
      <c r="OYU1115" s="379" t="s">
        <v>3783</v>
      </c>
      <c r="OYV1115" s="379" t="s">
        <v>3783</v>
      </c>
      <c r="OYW1115" s="379" t="s">
        <v>3783</v>
      </c>
      <c r="OYX1115" s="379" t="s">
        <v>3783</v>
      </c>
      <c r="OYY1115" s="379" t="s">
        <v>3783</v>
      </c>
      <c r="OYZ1115" s="379" t="s">
        <v>3783</v>
      </c>
      <c r="OZA1115" s="379" t="s">
        <v>3783</v>
      </c>
      <c r="OZB1115" s="379" t="s">
        <v>3783</v>
      </c>
      <c r="OZC1115" s="379" t="s">
        <v>3783</v>
      </c>
      <c r="OZD1115" s="379" t="s">
        <v>3783</v>
      </c>
      <c r="OZE1115" s="379" t="s">
        <v>3783</v>
      </c>
      <c r="OZF1115" s="379" t="s">
        <v>3783</v>
      </c>
      <c r="OZG1115" s="379" t="s">
        <v>3783</v>
      </c>
      <c r="OZH1115" s="379" t="s">
        <v>3783</v>
      </c>
      <c r="OZI1115" s="379" t="s">
        <v>3783</v>
      </c>
      <c r="OZJ1115" s="379" t="s">
        <v>3783</v>
      </c>
      <c r="OZK1115" s="379" t="s">
        <v>3783</v>
      </c>
      <c r="OZL1115" s="379" t="s">
        <v>3783</v>
      </c>
      <c r="OZM1115" s="379" t="s">
        <v>3783</v>
      </c>
      <c r="OZN1115" s="379" t="s">
        <v>3783</v>
      </c>
      <c r="OZO1115" s="379" t="s">
        <v>3783</v>
      </c>
      <c r="OZP1115" s="379" t="s">
        <v>3783</v>
      </c>
      <c r="OZQ1115" s="379" t="s">
        <v>3783</v>
      </c>
      <c r="OZR1115" s="379" t="s">
        <v>3783</v>
      </c>
      <c r="OZS1115" s="379" t="s">
        <v>3783</v>
      </c>
      <c r="OZT1115" s="379" t="s">
        <v>3783</v>
      </c>
      <c r="OZU1115" s="379" t="s">
        <v>3783</v>
      </c>
      <c r="OZV1115" s="379" t="s">
        <v>3783</v>
      </c>
      <c r="OZW1115" s="379" t="s">
        <v>3783</v>
      </c>
      <c r="OZX1115" s="379" t="s">
        <v>3783</v>
      </c>
      <c r="OZY1115" s="379" t="s">
        <v>3783</v>
      </c>
      <c r="OZZ1115" s="379" t="s">
        <v>3783</v>
      </c>
      <c r="PAA1115" s="379" t="s">
        <v>3783</v>
      </c>
      <c r="PAB1115" s="379" t="s">
        <v>3783</v>
      </c>
      <c r="PAC1115" s="379" t="s">
        <v>3783</v>
      </c>
      <c r="PAD1115" s="379" t="s">
        <v>3783</v>
      </c>
      <c r="PAE1115" s="379" t="s">
        <v>3783</v>
      </c>
      <c r="PAF1115" s="379" t="s">
        <v>3783</v>
      </c>
      <c r="PAG1115" s="379" t="s">
        <v>3783</v>
      </c>
      <c r="PAH1115" s="379" t="s">
        <v>3783</v>
      </c>
      <c r="PAI1115" s="379" t="s">
        <v>3783</v>
      </c>
      <c r="PAJ1115" s="379" t="s">
        <v>3783</v>
      </c>
      <c r="PAK1115" s="379" t="s">
        <v>3783</v>
      </c>
      <c r="PAL1115" s="379" t="s">
        <v>3783</v>
      </c>
      <c r="PAM1115" s="379" t="s">
        <v>3783</v>
      </c>
      <c r="PAN1115" s="379" t="s">
        <v>3783</v>
      </c>
      <c r="PAO1115" s="379" t="s">
        <v>3783</v>
      </c>
      <c r="PAP1115" s="379" t="s">
        <v>3783</v>
      </c>
      <c r="PAQ1115" s="379" t="s">
        <v>3783</v>
      </c>
      <c r="PAR1115" s="379" t="s">
        <v>3783</v>
      </c>
      <c r="PAS1115" s="379" t="s">
        <v>3783</v>
      </c>
      <c r="PAT1115" s="379" t="s">
        <v>3783</v>
      </c>
      <c r="PAU1115" s="379" t="s">
        <v>3783</v>
      </c>
      <c r="PAV1115" s="379" t="s">
        <v>3783</v>
      </c>
      <c r="PAW1115" s="379" t="s">
        <v>3783</v>
      </c>
      <c r="PAX1115" s="379" t="s">
        <v>3783</v>
      </c>
      <c r="PAY1115" s="379" t="s">
        <v>3783</v>
      </c>
      <c r="PAZ1115" s="379" t="s">
        <v>3783</v>
      </c>
      <c r="PBA1115" s="379" t="s">
        <v>3783</v>
      </c>
      <c r="PBB1115" s="379" t="s">
        <v>3783</v>
      </c>
      <c r="PBC1115" s="379" t="s">
        <v>3783</v>
      </c>
      <c r="PBD1115" s="379" t="s">
        <v>3783</v>
      </c>
      <c r="PBE1115" s="379" t="s">
        <v>3783</v>
      </c>
      <c r="PBF1115" s="379" t="s">
        <v>3783</v>
      </c>
      <c r="PBG1115" s="379" t="s">
        <v>3783</v>
      </c>
      <c r="PBH1115" s="379" t="s">
        <v>3783</v>
      </c>
      <c r="PBI1115" s="379" t="s">
        <v>3783</v>
      </c>
      <c r="PBJ1115" s="379" t="s">
        <v>3783</v>
      </c>
      <c r="PBK1115" s="379" t="s">
        <v>3783</v>
      </c>
      <c r="PBL1115" s="379" t="s">
        <v>3783</v>
      </c>
      <c r="PBM1115" s="379" t="s">
        <v>3783</v>
      </c>
      <c r="PBN1115" s="379" t="s">
        <v>3783</v>
      </c>
      <c r="PBO1115" s="379" t="s">
        <v>3783</v>
      </c>
      <c r="PBP1115" s="379" t="s">
        <v>3783</v>
      </c>
      <c r="PBQ1115" s="379" t="s">
        <v>3783</v>
      </c>
      <c r="PBR1115" s="379" t="s">
        <v>3783</v>
      </c>
      <c r="PBS1115" s="379" t="s">
        <v>3783</v>
      </c>
      <c r="PBT1115" s="379" t="s">
        <v>3783</v>
      </c>
      <c r="PBU1115" s="379" t="s">
        <v>3783</v>
      </c>
      <c r="PBV1115" s="379" t="s">
        <v>3783</v>
      </c>
      <c r="PBW1115" s="379" t="s">
        <v>3783</v>
      </c>
      <c r="PBX1115" s="379" t="s">
        <v>3783</v>
      </c>
      <c r="PBY1115" s="379" t="s">
        <v>3783</v>
      </c>
      <c r="PBZ1115" s="379" t="s">
        <v>3783</v>
      </c>
      <c r="PCA1115" s="379" t="s">
        <v>3783</v>
      </c>
      <c r="PCB1115" s="379" t="s">
        <v>3783</v>
      </c>
      <c r="PCC1115" s="379" t="s">
        <v>3783</v>
      </c>
      <c r="PCD1115" s="379" t="s">
        <v>3783</v>
      </c>
      <c r="PCE1115" s="379" t="s">
        <v>3783</v>
      </c>
      <c r="PCF1115" s="379" t="s">
        <v>3783</v>
      </c>
      <c r="PCG1115" s="379" t="s">
        <v>3783</v>
      </c>
      <c r="PCH1115" s="379" t="s">
        <v>3783</v>
      </c>
      <c r="PCI1115" s="379" t="s">
        <v>3783</v>
      </c>
      <c r="PCJ1115" s="379" t="s">
        <v>3783</v>
      </c>
      <c r="PCK1115" s="379" t="s">
        <v>3783</v>
      </c>
      <c r="PCL1115" s="379" t="s">
        <v>3783</v>
      </c>
      <c r="PCM1115" s="379" t="s">
        <v>3783</v>
      </c>
      <c r="PCN1115" s="379" t="s">
        <v>3783</v>
      </c>
      <c r="PCO1115" s="379" t="s">
        <v>3783</v>
      </c>
      <c r="PCP1115" s="379" t="s">
        <v>3783</v>
      </c>
      <c r="PCQ1115" s="379" t="s">
        <v>3783</v>
      </c>
      <c r="PCR1115" s="379" t="s">
        <v>3783</v>
      </c>
      <c r="PCS1115" s="379" t="s">
        <v>3783</v>
      </c>
      <c r="PCT1115" s="379" t="s">
        <v>3783</v>
      </c>
      <c r="PCU1115" s="379" t="s">
        <v>3783</v>
      </c>
      <c r="PCV1115" s="379" t="s">
        <v>3783</v>
      </c>
      <c r="PCW1115" s="379" t="s">
        <v>3783</v>
      </c>
      <c r="PCX1115" s="379" t="s">
        <v>3783</v>
      </c>
      <c r="PCY1115" s="379" t="s">
        <v>3783</v>
      </c>
      <c r="PCZ1115" s="379" t="s">
        <v>3783</v>
      </c>
      <c r="PDA1115" s="379" t="s">
        <v>3783</v>
      </c>
      <c r="PDB1115" s="379" t="s">
        <v>3783</v>
      </c>
      <c r="PDC1115" s="379" t="s">
        <v>3783</v>
      </c>
      <c r="PDD1115" s="379" t="s">
        <v>3783</v>
      </c>
      <c r="PDE1115" s="379" t="s">
        <v>3783</v>
      </c>
      <c r="PDF1115" s="379" t="s">
        <v>3783</v>
      </c>
      <c r="PDG1115" s="379" t="s">
        <v>3783</v>
      </c>
      <c r="PDH1115" s="379" t="s">
        <v>3783</v>
      </c>
      <c r="PDI1115" s="379" t="s">
        <v>3783</v>
      </c>
      <c r="PDJ1115" s="379" t="s">
        <v>3783</v>
      </c>
      <c r="PDK1115" s="379" t="s">
        <v>3783</v>
      </c>
      <c r="PDL1115" s="379" t="s">
        <v>3783</v>
      </c>
      <c r="PDM1115" s="379" t="s">
        <v>3783</v>
      </c>
      <c r="PDN1115" s="379" t="s">
        <v>3783</v>
      </c>
      <c r="PDO1115" s="379" t="s">
        <v>3783</v>
      </c>
      <c r="PDP1115" s="379" t="s">
        <v>3783</v>
      </c>
      <c r="PDQ1115" s="379" t="s">
        <v>3783</v>
      </c>
      <c r="PDR1115" s="379" t="s">
        <v>3783</v>
      </c>
      <c r="PDS1115" s="379" t="s">
        <v>3783</v>
      </c>
      <c r="PDT1115" s="379" t="s">
        <v>3783</v>
      </c>
      <c r="PDU1115" s="379" t="s">
        <v>3783</v>
      </c>
      <c r="PDV1115" s="379" t="s">
        <v>3783</v>
      </c>
      <c r="PDW1115" s="379" t="s">
        <v>3783</v>
      </c>
      <c r="PDX1115" s="379" t="s">
        <v>3783</v>
      </c>
      <c r="PDY1115" s="379" t="s">
        <v>3783</v>
      </c>
      <c r="PDZ1115" s="379" t="s">
        <v>3783</v>
      </c>
      <c r="PEA1115" s="379" t="s">
        <v>3783</v>
      </c>
      <c r="PEB1115" s="379" t="s">
        <v>3783</v>
      </c>
      <c r="PEC1115" s="379" t="s">
        <v>3783</v>
      </c>
      <c r="PED1115" s="379" t="s">
        <v>3783</v>
      </c>
      <c r="PEE1115" s="379" t="s">
        <v>3783</v>
      </c>
      <c r="PEF1115" s="379" t="s">
        <v>3783</v>
      </c>
      <c r="PEG1115" s="379" t="s">
        <v>3783</v>
      </c>
      <c r="PEH1115" s="379" t="s">
        <v>3783</v>
      </c>
      <c r="PEI1115" s="379" t="s">
        <v>3783</v>
      </c>
      <c r="PEJ1115" s="379" t="s">
        <v>3783</v>
      </c>
      <c r="PEK1115" s="379" t="s">
        <v>3783</v>
      </c>
      <c r="PEL1115" s="379" t="s">
        <v>3783</v>
      </c>
      <c r="PEM1115" s="379" t="s">
        <v>3783</v>
      </c>
      <c r="PEN1115" s="379" t="s">
        <v>3783</v>
      </c>
      <c r="PEO1115" s="379" t="s">
        <v>3783</v>
      </c>
      <c r="PEP1115" s="379" t="s">
        <v>3783</v>
      </c>
      <c r="PEQ1115" s="379" t="s">
        <v>3783</v>
      </c>
      <c r="PER1115" s="379" t="s">
        <v>3783</v>
      </c>
      <c r="PES1115" s="379" t="s">
        <v>3783</v>
      </c>
      <c r="PET1115" s="379" t="s">
        <v>3783</v>
      </c>
      <c r="PEU1115" s="379" t="s">
        <v>3783</v>
      </c>
      <c r="PEV1115" s="379" t="s">
        <v>3783</v>
      </c>
      <c r="PEW1115" s="379" t="s">
        <v>3783</v>
      </c>
      <c r="PEX1115" s="379" t="s">
        <v>3783</v>
      </c>
      <c r="PEY1115" s="379" t="s">
        <v>3783</v>
      </c>
      <c r="PEZ1115" s="379" t="s">
        <v>3783</v>
      </c>
      <c r="PFA1115" s="379" t="s">
        <v>3783</v>
      </c>
      <c r="PFB1115" s="379" t="s">
        <v>3783</v>
      </c>
      <c r="PFC1115" s="379" t="s">
        <v>3783</v>
      </c>
      <c r="PFD1115" s="379" t="s">
        <v>3783</v>
      </c>
      <c r="PFE1115" s="379" t="s">
        <v>3783</v>
      </c>
      <c r="PFF1115" s="379" t="s">
        <v>3783</v>
      </c>
      <c r="PFG1115" s="379" t="s">
        <v>3783</v>
      </c>
      <c r="PFH1115" s="379" t="s">
        <v>3783</v>
      </c>
      <c r="PFI1115" s="379" t="s">
        <v>3783</v>
      </c>
      <c r="PFJ1115" s="379" t="s">
        <v>3783</v>
      </c>
      <c r="PFK1115" s="379" t="s">
        <v>3783</v>
      </c>
      <c r="PFL1115" s="379" t="s">
        <v>3783</v>
      </c>
      <c r="PFM1115" s="379" t="s">
        <v>3783</v>
      </c>
      <c r="PFN1115" s="379" t="s">
        <v>3783</v>
      </c>
      <c r="PFO1115" s="379" t="s">
        <v>3783</v>
      </c>
      <c r="PFP1115" s="379" t="s">
        <v>3783</v>
      </c>
      <c r="PFQ1115" s="379" t="s">
        <v>3783</v>
      </c>
      <c r="PFR1115" s="379" t="s">
        <v>3783</v>
      </c>
      <c r="PFS1115" s="379" t="s">
        <v>3783</v>
      </c>
      <c r="PFT1115" s="379" t="s">
        <v>3783</v>
      </c>
      <c r="PFU1115" s="379" t="s">
        <v>3783</v>
      </c>
      <c r="PFV1115" s="379" t="s">
        <v>3783</v>
      </c>
      <c r="PFW1115" s="379" t="s">
        <v>3783</v>
      </c>
      <c r="PFX1115" s="379" t="s">
        <v>3783</v>
      </c>
      <c r="PFY1115" s="379" t="s">
        <v>3783</v>
      </c>
      <c r="PFZ1115" s="379" t="s">
        <v>3783</v>
      </c>
      <c r="PGA1115" s="379" t="s">
        <v>3783</v>
      </c>
      <c r="PGB1115" s="379" t="s">
        <v>3783</v>
      </c>
      <c r="PGC1115" s="379" t="s">
        <v>3783</v>
      </c>
      <c r="PGD1115" s="379" t="s">
        <v>3783</v>
      </c>
      <c r="PGE1115" s="379" t="s">
        <v>3783</v>
      </c>
      <c r="PGF1115" s="379" t="s">
        <v>3783</v>
      </c>
      <c r="PGG1115" s="379" t="s">
        <v>3783</v>
      </c>
      <c r="PGH1115" s="379" t="s">
        <v>3783</v>
      </c>
      <c r="PGI1115" s="379" t="s">
        <v>3783</v>
      </c>
      <c r="PGJ1115" s="379" t="s">
        <v>3783</v>
      </c>
      <c r="PGK1115" s="379" t="s">
        <v>3783</v>
      </c>
      <c r="PGL1115" s="379" t="s">
        <v>3783</v>
      </c>
      <c r="PGM1115" s="379" t="s">
        <v>3783</v>
      </c>
      <c r="PGN1115" s="379" t="s">
        <v>3783</v>
      </c>
      <c r="PGO1115" s="379" t="s">
        <v>3783</v>
      </c>
      <c r="PGP1115" s="379" t="s">
        <v>3783</v>
      </c>
      <c r="PGQ1115" s="379" t="s">
        <v>3783</v>
      </c>
      <c r="PGR1115" s="379" t="s">
        <v>3783</v>
      </c>
      <c r="PGS1115" s="379" t="s">
        <v>3783</v>
      </c>
      <c r="PGT1115" s="379" t="s">
        <v>3783</v>
      </c>
      <c r="PGU1115" s="379" t="s">
        <v>3783</v>
      </c>
      <c r="PGV1115" s="379" t="s">
        <v>3783</v>
      </c>
      <c r="PGW1115" s="379" t="s">
        <v>3783</v>
      </c>
      <c r="PGX1115" s="379" t="s">
        <v>3783</v>
      </c>
      <c r="PGY1115" s="379" t="s">
        <v>3783</v>
      </c>
      <c r="PGZ1115" s="379" t="s">
        <v>3783</v>
      </c>
      <c r="PHA1115" s="379" t="s">
        <v>3783</v>
      </c>
      <c r="PHB1115" s="379" t="s">
        <v>3783</v>
      </c>
      <c r="PHC1115" s="379" t="s">
        <v>3783</v>
      </c>
      <c r="PHD1115" s="379" t="s">
        <v>3783</v>
      </c>
      <c r="PHE1115" s="379" t="s">
        <v>3783</v>
      </c>
      <c r="PHF1115" s="379" t="s">
        <v>3783</v>
      </c>
      <c r="PHG1115" s="379" t="s">
        <v>3783</v>
      </c>
      <c r="PHH1115" s="379" t="s">
        <v>3783</v>
      </c>
      <c r="PHI1115" s="379" t="s">
        <v>3783</v>
      </c>
      <c r="PHJ1115" s="379" t="s">
        <v>3783</v>
      </c>
      <c r="PHK1115" s="379" t="s">
        <v>3783</v>
      </c>
      <c r="PHL1115" s="379" t="s">
        <v>3783</v>
      </c>
      <c r="PHM1115" s="379" t="s">
        <v>3783</v>
      </c>
      <c r="PHN1115" s="379" t="s">
        <v>3783</v>
      </c>
      <c r="PHO1115" s="379" t="s">
        <v>3783</v>
      </c>
      <c r="PHP1115" s="379" t="s">
        <v>3783</v>
      </c>
      <c r="PHQ1115" s="379" t="s">
        <v>3783</v>
      </c>
      <c r="PHR1115" s="379" t="s">
        <v>3783</v>
      </c>
      <c r="PHS1115" s="379" t="s">
        <v>3783</v>
      </c>
      <c r="PHT1115" s="379" t="s">
        <v>3783</v>
      </c>
      <c r="PHU1115" s="379" t="s">
        <v>3783</v>
      </c>
      <c r="PHV1115" s="379" t="s">
        <v>3783</v>
      </c>
      <c r="PHW1115" s="379" t="s">
        <v>3783</v>
      </c>
      <c r="PHX1115" s="379" t="s">
        <v>3783</v>
      </c>
      <c r="PHY1115" s="379" t="s">
        <v>3783</v>
      </c>
      <c r="PHZ1115" s="379" t="s">
        <v>3783</v>
      </c>
      <c r="PIA1115" s="379" t="s">
        <v>3783</v>
      </c>
      <c r="PIB1115" s="379" t="s">
        <v>3783</v>
      </c>
      <c r="PIC1115" s="379" t="s">
        <v>3783</v>
      </c>
      <c r="PID1115" s="379" t="s">
        <v>3783</v>
      </c>
      <c r="PIE1115" s="379" t="s">
        <v>3783</v>
      </c>
      <c r="PIF1115" s="379" t="s">
        <v>3783</v>
      </c>
      <c r="PIG1115" s="379" t="s">
        <v>3783</v>
      </c>
      <c r="PIH1115" s="379" t="s">
        <v>3783</v>
      </c>
      <c r="PII1115" s="379" t="s">
        <v>3783</v>
      </c>
      <c r="PIJ1115" s="379" t="s">
        <v>3783</v>
      </c>
      <c r="PIK1115" s="379" t="s">
        <v>3783</v>
      </c>
      <c r="PIL1115" s="379" t="s">
        <v>3783</v>
      </c>
      <c r="PIM1115" s="379" t="s">
        <v>3783</v>
      </c>
      <c r="PIN1115" s="379" t="s">
        <v>3783</v>
      </c>
      <c r="PIO1115" s="379" t="s">
        <v>3783</v>
      </c>
      <c r="PIP1115" s="379" t="s">
        <v>3783</v>
      </c>
      <c r="PIQ1115" s="379" t="s">
        <v>3783</v>
      </c>
      <c r="PIR1115" s="379" t="s">
        <v>3783</v>
      </c>
      <c r="PIS1115" s="379" t="s">
        <v>3783</v>
      </c>
      <c r="PIT1115" s="379" t="s">
        <v>3783</v>
      </c>
      <c r="PIU1115" s="379" t="s">
        <v>3783</v>
      </c>
      <c r="PIV1115" s="379" t="s">
        <v>3783</v>
      </c>
      <c r="PIW1115" s="379" t="s">
        <v>3783</v>
      </c>
      <c r="PIX1115" s="379" t="s">
        <v>3783</v>
      </c>
      <c r="PIY1115" s="379" t="s">
        <v>3783</v>
      </c>
      <c r="PIZ1115" s="379" t="s">
        <v>3783</v>
      </c>
      <c r="PJA1115" s="379" t="s">
        <v>3783</v>
      </c>
      <c r="PJB1115" s="379" t="s">
        <v>3783</v>
      </c>
      <c r="PJC1115" s="379" t="s">
        <v>3783</v>
      </c>
      <c r="PJD1115" s="379" t="s">
        <v>3783</v>
      </c>
      <c r="PJE1115" s="379" t="s">
        <v>3783</v>
      </c>
      <c r="PJF1115" s="379" t="s">
        <v>3783</v>
      </c>
      <c r="PJG1115" s="379" t="s">
        <v>3783</v>
      </c>
      <c r="PJH1115" s="379" t="s">
        <v>3783</v>
      </c>
      <c r="PJI1115" s="379" t="s">
        <v>3783</v>
      </c>
      <c r="PJJ1115" s="379" t="s">
        <v>3783</v>
      </c>
      <c r="PJK1115" s="379" t="s">
        <v>3783</v>
      </c>
      <c r="PJL1115" s="379" t="s">
        <v>3783</v>
      </c>
      <c r="PJM1115" s="379" t="s">
        <v>3783</v>
      </c>
      <c r="PJN1115" s="379" t="s">
        <v>3783</v>
      </c>
      <c r="PJO1115" s="379" t="s">
        <v>3783</v>
      </c>
      <c r="PJP1115" s="379" t="s">
        <v>3783</v>
      </c>
      <c r="PJQ1115" s="379" t="s">
        <v>3783</v>
      </c>
      <c r="PJR1115" s="379" t="s">
        <v>3783</v>
      </c>
      <c r="PJS1115" s="379" t="s">
        <v>3783</v>
      </c>
      <c r="PJT1115" s="379" t="s">
        <v>3783</v>
      </c>
      <c r="PJU1115" s="379" t="s">
        <v>3783</v>
      </c>
      <c r="PJV1115" s="379" t="s">
        <v>3783</v>
      </c>
      <c r="PJW1115" s="379" t="s">
        <v>3783</v>
      </c>
      <c r="PJX1115" s="379" t="s">
        <v>3783</v>
      </c>
      <c r="PJY1115" s="379" t="s">
        <v>3783</v>
      </c>
      <c r="PJZ1115" s="379" t="s">
        <v>3783</v>
      </c>
      <c r="PKA1115" s="379" t="s">
        <v>3783</v>
      </c>
      <c r="PKB1115" s="379" t="s">
        <v>3783</v>
      </c>
      <c r="PKC1115" s="379" t="s">
        <v>3783</v>
      </c>
      <c r="PKD1115" s="379" t="s">
        <v>3783</v>
      </c>
      <c r="PKE1115" s="379" t="s">
        <v>3783</v>
      </c>
      <c r="PKF1115" s="379" t="s">
        <v>3783</v>
      </c>
      <c r="PKG1115" s="379" t="s">
        <v>3783</v>
      </c>
      <c r="PKH1115" s="379" t="s">
        <v>3783</v>
      </c>
      <c r="PKI1115" s="379" t="s">
        <v>3783</v>
      </c>
      <c r="PKJ1115" s="379" t="s">
        <v>3783</v>
      </c>
      <c r="PKK1115" s="379" t="s">
        <v>3783</v>
      </c>
      <c r="PKL1115" s="379" t="s">
        <v>3783</v>
      </c>
      <c r="PKM1115" s="379" t="s">
        <v>3783</v>
      </c>
      <c r="PKN1115" s="379" t="s">
        <v>3783</v>
      </c>
      <c r="PKO1115" s="379" t="s">
        <v>3783</v>
      </c>
      <c r="PKP1115" s="379" t="s">
        <v>3783</v>
      </c>
      <c r="PKQ1115" s="379" t="s">
        <v>3783</v>
      </c>
      <c r="PKR1115" s="379" t="s">
        <v>3783</v>
      </c>
      <c r="PKS1115" s="379" t="s">
        <v>3783</v>
      </c>
      <c r="PKT1115" s="379" t="s">
        <v>3783</v>
      </c>
      <c r="PKU1115" s="379" t="s">
        <v>3783</v>
      </c>
      <c r="PKV1115" s="379" t="s">
        <v>3783</v>
      </c>
      <c r="PKW1115" s="379" t="s">
        <v>3783</v>
      </c>
      <c r="PKX1115" s="379" t="s">
        <v>3783</v>
      </c>
      <c r="PKY1115" s="379" t="s">
        <v>3783</v>
      </c>
      <c r="PKZ1115" s="379" t="s">
        <v>3783</v>
      </c>
      <c r="PLA1115" s="379" t="s">
        <v>3783</v>
      </c>
      <c r="PLB1115" s="379" t="s">
        <v>3783</v>
      </c>
      <c r="PLC1115" s="379" t="s">
        <v>3783</v>
      </c>
      <c r="PLD1115" s="379" t="s">
        <v>3783</v>
      </c>
      <c r="PLE1115" s="379" t="s">
        <v>3783</v>
      </c>
      <c r="PLF1115" s="379" t="s">
        <v>3783</v>
      </c>
      <c r="PLG1115" s="379" t="s">
        <v>3783</v>
      </c>
      <c r="PLH1115" s="379" t="s">
        <v>3783</v>
      </c>
      <c r="PLI1115" s="379" t="s">
        <v>3783</v>
      </c>
      <c r="PLJ1115" s="379" t="s">
        <v>3783</v>
      </c>
      <c r="PLK1115" s="379" t="s">
        <v>3783</v>
      </c>
      <c r="PLL1115" s="379" t="s">
        <v>3783</v>
      </c>
      <c r="PLM1115" s="379" t="s">
        <v>3783</v>
      </c>
      <c r="PLN1115" s="379" t="s">
        <v>3783</v>
      </c>
      <c r="PLO1115" s="379" t="s">
        <v>3783</v>
      </c>
      <c r="PLP1115" s="379" t="s">
        <v>3783</v>
      </c>
      <c r="PLQ1115" s="379" t="s">
        <v>3783</v>
      </c>
      <c r="PLR1115" s="379" t="s">
        <v>3783</v>
      </c>
      <c r="PLS1115" s="379" t="s">
        <v>3783</v>
      </c>
      <c r="PLT1115" s="379" t="s">
        <v>3783</v>
      </c>
      <c r="PLU1115" s="379" t="s">
        <v>3783</v>
      </c>
      <c r="PLV1115" s="379" t="s">
        <v>3783</v>
      </c>
      <c r="PLW1115" s="379" t="s">
        <v>3783</v>
      </c>
      <c r="PLX1115" s="379" t="s">
        <v>3783</v>
      </c>
      <c r="PLY1115" s="379" t="s">
        <v>3783</v>
      </c>
      <c r="PLZ1115" s="379" t="s">
        <v>3783</v>
      </c>
      <c r="PMA1115" s="379" t="s">
        <v>3783</v>
      </c>
      <c r="PMB1115" s="379" t="s">
        <v>3783</v>
      </c>
      <c r="PMC1115" s="379" t="s">
        <v>3783</v>
      </c>
      <c r="PMD1115" s="379" t="s">
        <v>3783</v>
      </c>
      <c r="PME1115" s="379" t="s">
        <v>3783</v>
      </c>
      <c r="PMF1115" s="379" t="s">
        <v>3783</v>
      </c>
      <c r="PMG1115" s="379" t="s">
        <v>3783</v>
      </c>
      <c r="PMH1115" s="379" t="s">
        <v>3783</v>
      </c>
      <c r="PMI1115" s="379" t="s">
        <v>3783</v>
      </c>
      <c r="PMJ1115" s="379" t="s">
        <v>3783</v>
      </c>
      <c r="PMK1115" s="379" t="s">
        <v>3783</v>
      </c>
      <c r="PML1115" s="379" t="s">
        <v>3783</v>
      </c>
      <c r="PMM1115" s="379" t="s">
        <v>3783</v>
      </c>
      <c r="PMN1115" s="379" t="s">
        <v>3783</v>
      </c>
      <c r="PMO1115" s="379" t="s">
        <v>3783</v>
      </c>
      <c r="PMP1115" s="379" t="s">
        <v>3783</v>
      </c>
      <c r="PMQ1115" s="379" t="s">
        <v>3783</v>
      </c>
      <c r="PMR1115" s="379" t="s">
        <v>3783</v>
      </c>
      <c r="PMS1115" s="379" t="s">
        <v>3783</v>
      </c>
      <c r="PMT1115" s="379" t="s">
        <v>3783</v>
      </c>
      <c r="PMU1115" s="379" t="s">
        <v>3783</v>
      </c>
      <c r="PMV1115" s="379" t="s">
        <v>3783</v>
      </c>
      <c r="PMW1115" s="379" t="s">
        <v>3783</v>
      </c>
      <c r="PMX1115" s="379" t="s">
        <v>3783</v>
      </c>
      <c r="PMY1115" s="379" t="s">
        <v>3783</v>
      </c>
      <c r="PMZ1115" s="379" t="s">
        <v>3783</v>
      </c>
      <c r="PNA1115" s="379" t="s">
        <v>3783</v>
      </c>
      <c r="PNB1115" s="379" t="s">
        <v>3783</v>
      </c>
      <c r="PNC1115" s="379" t="s">
        <v>3783</v>
      </c>
      <c r="PND1115" s="379" t="s">
        <v>3783</v>
      </c>
      <c r="PNE1115" s="379" t="s">
        <v>3783</v>
      </c>
      <c r="PNF1115" s="379" t="s">
        <v>3783</v>
      </c>
      <c r="PNG1115" s="379" t="s">
        <v>3783</v>
      </c>
      <c r="PNH1115" s="379" t="s">
        <v>3783</v>
      </c>
      <c r="PNI1115" s="379" t="s">
        <v>3783</v>
      </c>
      <c r="PNJ1115" s="379" t="s">
        <v>3783</v>
      </c>
      <c r="PNK1115" s="379" t="s">
        <v>3783</v>
      </c>
      <c r="PNL1115" s="379" t="s">
        <v>3783</v>
      </c>
      <c r="PNM1115" s="379" t="s">
        <v>3783</v>
      </c>
      <c r="PNN1115" s="379" t="s">
        <v>3783</v>
      </c>
      <c r="PNO1115" s="379" t="s">
        <v>3783</v>
      </c>
      <c r="PNP1115" s="379" t="s">
        <v>3783</v>
      </c>
      <c r="PNQ1115" s="379" t="s">
        <v>3783</v>
      </c>
      <c r="PNR1115" s="379" t="s">
        <v>3783</v>
      </c>
      <c r="PNS1115" s="379" t="s">
        <v>3783</v>
      </c>
      <c r="PNT1115" s="379" t="s">
        <v>3783</v>
      </c>
      <c r="PNU1115" s="379" t="s">
        <v>3783</v>
      </c>
      <c r="PNV1115" s="379" t="s">
        <v>3783</v>
      </c>
      <c r="PNW1115" s="379" t="s">
        <v>3783</v>
      </c>
      <c r="PNX1115" s="379" t="s">
        <v>3783</v>
      </c>
      <c r="PNY1115" s="379" t="s">
        <v>3783</v>
      </c>
      <c r="PNZ1115" s="379" t="s">
        <v>3783</v>
      </c>
      <c r="POA1115" s="379" t="s">
        <v>3783</v>
      </c>
      <c r="POB1115" s="379" t="s">
        <v>3783</v>
      </c>
      <c r="POC1115" s="379" t="s">
        <v>3783</v>
      </c>
      <c r="POD1115" s="379" t="s">
        <v>3783</v>
      </c>
      <c r="POE1115" s="379" t="s">
        <v>3783</v>
      </c>
      <c r="POF1115" s="379" t="s">
        <v>3783</v>
      </c>
      <c r="POG1115" s="379" t="s">
        <v>3783</v>
      </c>
      <c r="POH1115" s="379" t="s">
        <v>3783</v>
      </c>
      <c r="POI1115" s="379" t="s">
        <v>3783</v>
      </c>
      <c r="POJ1115" s="379" t="s">
        <v>3783</v>
      </c>
      <c r="POK1115" s="379" t="s">
        <v>3783</v>
      </c>
      <c r="POL1115" s="379" t="s">
        <v>3783</v>
      </c>
      <c r="POM1115" s="379" t="s">
        <v>3783</v>
      </c>
      <c r="PON1115" s="379" t="s">
        <v>3783</v>
      </c>
      <c r="POO1115" s="379" t="s">
        <v>3783</v>
      </c>
      <c r="POP1115" s="379" t="s">
        <v>3783</v>
      </c>
      <c r="POQ1115" s="379" t="s">
        <v>3783</v>
      </c>
      <c r="POR1115" s="379" t="s">
        <v>3783</v>
      </c>
      <c r="POS1115" s="379" t="s">
        <v>3783</v>
      </c>
      <c r="POT1115" s="379" t="s">
        <v>3783</v>
      </c>
      <c r="POU1115" s="379" t="s">
        <v>3783</v>
      </c>
      <c r="POV1115" s="379" t="s">
        <v>3783</v>
      </c>
      <c r="POW1115" s="379" t="s">
        <v>3783</v>
      </c>
      <c r="POX1115" s="379" t="s">
        <v>3783</v>
      </c>
      <c r="POY1115" s="379" t="s">
        <v>3783</v>
      </c>
      <c r="POZ1115" s="379" t="s">
        <v>3783</v>
      </c>
      <c r="PPA1115" s="379" t="s">
        <v>3783</v>
      </c>
      <c r="PPB1115" s="379" t="s">
        <v>3783</v>
      </c>
      <c r="PPC1115" s="379" t="s">
        <v>3783</v>
      </c>
      <c r="PPD1115" s="379" t="s">
        <v>3783</v>
      </c>
      <c r="PPE1115" s="379" t="s">
        <v>3783</v>
      </c>
      <c r="PPF1115" s="379" t="s">
        <v>3783</v>
      </c>
      <c r="PPG1115" s="379" t="s">
        <v>3783</v>
      </c>
      <c r="PPH1115" s="379" t="s">
        <v>3783</v>
      </c>
      <c r="PPI1115" s="379" t="s">
        <v>3783</v>
      </c>
      <c r="PPJ1115" s="379" t="s">
        <v>3783</v>
      </c>
      <c r="PPK1115" s="379" t="s">
        <v>3783</v>
      </c>
      <c r="PPL1115" s="379" t="s">
        <v>3783</v>
      </c>
      <c r="PPM1115" s="379" t="s">
        <v>3783</v>
      </c>
      <c r="PPN1115" s="379" t="s">
        <v>3783</v>
      </c>
      <c r="PPO1115" s="379" t="s">
        <v>3783</v>
      </c>
      <c r="PPP1115" s="379" t="s">
        <v>3783</v>
      </c>
      <c r="PPQ1115" s="379" t="s">
        <v>3783</v>
      </c>
      <c r="PPR1115" s="379" t="s">
        <v>3783</v>
      </c>
      <c r="PPS1115" s="379" t="s">
        <v>3783</v>
      </c>
      <c r="PPT1115" s="379" t="s">
        <v>3783</v>
      </c>
      <c r="PPU1115" s="379" t="s">
        <v>3783</v>
      </c>
      <c r="PPV1115" s="379" t="s">
        <v>3783</v>
      </c>
      <c r="PPW1115" s="379" t="s">
        <v>3783</v>
      </c>
      <c r="PPX1115" s="379" t="s">
        <v>3783</v>
      </c>
      <c r="PPY1115" s="379" t="s">
        <v>3783</v>
      </c>
      <c r="PPZ1115" s="379" t="s">
        <v>3783</v>
      </c>
      <c r="PQA1115" s="379" t="s">
        <v>3783</v>
      </c>
      <c r="PQB1115" s="379" t="s">
        <v>3783</v>
      </c>
      <c r="PQC1115" s="379" t="s">
        <v>3783</v>
      </c>
      <c r="PQD1115" s="379" t="s">
        <v>3783</v>
      </c>
      <c r="PQE1115" s="379" t="s">
        <v>3783</v>
      </c>
      <c r="PQF1115" s="379" t="s">
        <v>3783</v>
      </c>
      <c r="PQG1115" s="379" t="s">
        <v>3783</v>
      </c>
      <c r="PQH1115" s="379" t="s">
        <v>3783</v>
      </c>
      <c r="PQI1115" s="379" t="s">
        <v>3783</v>
      </c>
      <c r="PQJ1115" s="379" t="s">
        <v>3783</v>
      </c>
      <c r="PQK1115" s="379" t="s">
        <v>3783</v>
      </c>
      <c r="PQL1115" s="379" t="s">
        <v>3783</v>
      </c>
      <c r="PQM1115" s="379" t="s">
        <v>3783</v>
      </c>
      <c r="PQN1115" s="379" t="s">
        <v>3783</v>
      </c>
      <c r="PQO1115" s="379" t="s">
        <v>3783</v>
      </c>
      <c r="PQP1115" s="379" t="s">
        <v>3783</v>
      </c>
      <c r="PQQ1115" s="379" t="s">
        <v>3783</v>
      </c>
      <c r="PQR1115" s="379" t="s">
        <v>3783</v>
      </c>
      <c r="PQS1115" s="379" t="s">
        <v>3783</v>
      </c>
      <c r="PQT1115" s="379" t="s">
        <v>3783</v>
      </c>
      <c r="PQU1115" s="379" t="s">
        <v>3783</v>
      </c>
      <c r="PQV1115" s="379" t="s">
        <v>3783</v>
      </c>
      <c r="PQW1115" s="379" t="s">
        <v>3783</v>
      </c>
      <c r="PQX1115" s="379" t="s">
        <v>3783</v>
      </c>
      <c r="PQY1115" s="379" t="s">
        <v>3783</v>
      </c>
      <c r="PQZ1115" s="379" t="s">
        <v>3783</v>
      </c>
      <c r="PRA1115" s="379" t="s">
        <v>3783</v>
      </c>
      <c r="PRB1115" s="379" t="s">
        <v>3783</v>
      </c>
      <c r="PRC1115" s="379" t="s">
        <v>3783</v>
      </c>
      <c r="PRD1115" s="379" t="s">
        <v>3783</v>
      </c>
      <c r="PRE1115" s="379" t="s">
        <v>3783</v>
      </c>
      <c r="PRF1115" s="379" t="s">
        <v>3783</v>
      </c>
      <c r="PRG1115" s="379" t="s">
        <v>3783</v>
      </c>
      <c r="PRH1115" s="379" t="s">
        <v>3783</v>
      </c>
      <c r="PRI1115" s="379" t="s">
        <v>3783</v>
      </c>
      <c r="PRJ1115" s="379" t="s">
        <v>3783</v>
      </c>
      <c r="PRK1115" s="379" t="s">
        <v>3783</v>
      </c>
      <c r="PRL1115" s="379" t="s">
        <v>3783</v>
      </c>
      <c r="PRM1115" s="379" t="s">
        <v>3783</v>
      </c>
      <c r="PRN1115" s="379" t="s">
        <v>3783</v>
      </c>
      <c r="PRO1115" s="379" t="s">
        <v>3783</v>
      </c>
      <c r="PRP1115" s="379" t="s">
        <v>3783</v>
      </c>
      <c r="PRQ1115" s="379" t="s">
        <v>3783</v>
      </c>
      <c r="PRR1115" s="379" t="s">
        <v>3783</v>
      </c>
      <c r="PRS1115" s="379" t="s">
        <v>3783</v>
      </c>
      <c r="PRT1115" s="379" t="s">
        <v>3783</v>
      </c>
      <c r="PRU1115" s="379" t="s">
        <v>3783</v>
      </c>
      <c r="PRV1115" s="379" t="s">
        <v>3783</v>
      </c>
      <c r="PRW1115" s="379" t="s">
        <v>3783</v>
      </c>
      <c r="PRX1115" s="379" t="s">
        <v>3783</v>
      </c>
      <c r="PRY1115" s="379" t="s">
        <v>3783</v>
      </c>
      <c r="PRZ1115" s="379" t="s">
        <v>3783</v>
      </c>
      <c r="PSA1115" s="379" t="s">
        <v>3783</v>
      </c>
      <c r="PSB1115" s="379" t="s">
        <v>3783</v>
      </c>
      <c r="PSC1115" s="379" t="s">
        <v>3783</v>
      </c>
      <c r="PSD1115" s="379" t="s">
        <v>3783</v>
      </c>
      <c r="PSE1115" s="379" t="s">
        <v>3783</v>
      </c>
      <c r="PSF1115" s="379" t="s">
        <v>3783</v>
      </c>
      <c r="PSG1115" s="379" t="s">
        <v>3783</v>
      </c>
      <c r="PSH1115" s="379" t="s">
        <v>3783</v>
      </c>
      <c r="PSI1115" s="379" t="s">
        <v>3783</v>
      </c>
      <c r="PSJ1115" s="379" t="s">
        <v>3783</v>
      </c>
      <c r="PSK1115" s="379" t="s">
        <v>3783</v>
      </c>
      <c r="PSL1115" s="379" t="s">
        <v>3783</v>
      </c>
      <c r="PSM1115" s="379" t="s">
        <v>3783</v>
      </c>
      <c r="PSN1115" s="379" t="s">
        <v>3783</v>
      </c>
      <c r="PSO1115" s="379" t="s">
        <v>3783</v>
      </c>
      <c r="PSP1115" s="379" t="s">
        <v>3783</v>
      </c>
      <c r="PSQ1115" s="379" t="s">
        <v>3783</v>
      </c>
      <c r="PSR1115" s="379" t="s">
        <v>3783</v>
      </c>
      <c r="PSS1115" s="379" t="s">
        <v>3783</v>
      </c>
      <c r="PST1115" s="379" t="s">
        <v>3783</v>
      </c>
      <c r="PSU1115" s="379" t="s">
        <v>3783</v>
      </c>
      <c r="PSV1115" s="379" t="s">
        <v>3783</v>
      </c>
      <c r="PSW1115" s="379" t="s">
        <v>3783</v>
      </c>
      <c r="PSX1115" s="379" t="s">
        <v>3783</v>
      </c>
      <c r="PSY1115" s="379" t="s">
        <v>3783</v>
      </c>
      <c r="PSZ1115" s="379" t="s">
        <v>3783</v>
      </c>
      <c r="PTA1115" s="379" t="s">
        <v>3783</v>
      </c>
      <c r="PTB1115" s="379" t="s">
        <v>3783</v>
      </c>
      <c r="PTC1115" s="379" t="s">
        <v>3783</v>
      </c>
      <c r="PTD1115" s="379" t="s">
        <v>3783</v>
      </c>
      <c r="PTE1115" s="379" t="s">
        <v>3783</v>
      </c>
      <c r="PTF1115" s="379" t="s">
        <v>3783</v>
      </c>
      <c r="PTG1115" s="379" t="s">
        <v>3783</v>
      </c>
      <c r="PTH1115" s="379" t="s">
        <v>3783</v>
      </c>
      <c r="PTI1115" s="379" t="s">
        <v>3783</v>
      </c>
      <c r="PTJ1115" s="379" t="s">
        <v>3783</v>
      </c>
      <c r="PTK1115" s="379" t="s">
        <v>3783</v>
      </c>
      <c r="PTL1115" s="379" t="s">
        <v>3783</v>
      </c>
      <c r="PTM1115" s="379" t="s">
        <v>3783</v>
      </c>
      <c r="PTN1115" s="379" t="s">
        <v>3783</v>
      </c>
      <c r="PTO1115" s="379" t="s">
        <v>3783</v>
      </c>
      <c r="PTP1115" s="379" t="s">
        <v>3783</v>
      </c>
      <c r="PTQ1115" s="379" t="s">
        <v>3783</v>
      </c>
      <c r="PTR1115" s="379" t="s">
        <v>3783</v>
      </c>
      <c r="PTS1115" s="379" t="s">
        <v>3783</v>
      </c>
      <c r="PTT1115" s="379" t="s">
        <v>3783</v>
      </c>
      <c r="PTU1115" s="379" t="s">
        <v>3783</v>
      </c>
      <c r="PTV1115" s="379" t="s">
        <v>3783</v>
      </c>
      <c r="PTW1115" s="379" t="s">
        <v>3783</v>
      </c>
      <c r="PTX1115" s="379" t="s">
        <v>3783</v>
      </c>
      <c r="PTY1115" s="379" t="s">
        <v>3783</v>
      </c>
      <c r="PTZ1115" s="379" t="s">
        <v>3783</v>
      </c>
      <c r="PUA1115" s="379" t="s">
        <v>3783</v>
      </c>
      <c r="PUB1115" s="379" t="s">
        <v>3783</v>
      </c>
      <c r="PUC1115" s="379" t="s">
        <v>3783</v>
      </c>
      <c r="PUD1115" s="379" t="s">
        <v>3783</v>
      </c>
      <c r="PUE1115" s="379" t="s">
        <v>3783</v>
      </c>
      <c r="PUF1115" s="379" t="s">
        <v>3783</v>
      </c>
      <c r="PUG1115" s="379" t="s">
        <v>3783</v>
      </c>
      <c r="PUH1115" s="379" t="s">
        <v>3783</v>
      </c>
      <c r="PUI1115" s="379" t="s">
        <v>3783</v>
      </c>
      <c r="PUJ1115" s="379" t="s">
        <v>3783</v>
      </c>
      <c r="PUK1115" s="379" t="s">
        <v>3783</v>
      </c>
      <c r="PUL1115" s="379" t="s">
        <v>3783</v>
      </c>
      <c r="PUM1115" s="379" t="s">
        <v>3783</v>
      </c>
      <c r="PUN1115" s="379" t="s">
        <v>3783</v>
      </c>
      <c r="PUO1115" s="379" t="s">
        <v>3783</v>
      </c>
      <c r="PUP1115" s="379" t="s">
        <v>3783</v>
      </c>
      <c r="PUQ1115" s="379" t="s">
        <v>3783</v>
      </c>
      <c r="PUR1115" s="379" t="s">
        <v>3783</v>
      </c>
      <c r="PUS1115" s="379" t="s">
        <v>3783</v>
      </c>
      <c r="PUT1115" s="379" t="s">
        <v>3783</v>
      </c>
      <c r="PUU1115" s="379" t="s">
        <v>3783</v>
      </c>
      <c r="PUV1115" s="379" t="s">
        <v>3783</v>
      </c>
      <c r="PUW1115" s="379" t="s">
        <v>3783</v>
      </c>
      <c r="PUX1115" s="379" t="s">
        <v>3783</v>
      </c>
      <c r="PUY1115" s="379" t="s">
        <v>3783</v>
      </c>
      <c r="PUZ1115" s="379" t="s">
        <v>3783</v>
      </c>
      <c r="PVA1115" s="379" t="s">
        <v>3783</v>
      </c>
      <c r="PVB1115" s="379" t="s">
        <v>3783</v>
      </c>
      <c r="PVC1115" s="379" t="s">
        <v>3783</v>
      </c>
      <c r="PVD1115" s="379" t="s">
        <v>3783</v>
      </c>
      <c r="PVE1115" s="379" t="s">
        <v>3783</v>
      </c>
      <c r="PVF1115" s="379" t="s">
        <v>3783</v>
      </c>
      <c r="PVG1115" s="379" t="s">
        <v>3783</v>
      </c>
      <c r="PVH1115" s="379" t="s">
        <v>3783</v>
      </c>
      <c r="PVI1115" s="379" t="s">
        <v>3783</v>
      </c>
      <c r="PVJ1115" s="379" t="s">
        <v>3783</v>
      </c>
      <c r="PVK1115" s="379" t="s">
        <v>3783</v>
      </c>
      <c r="PVL1115" s="379" t="s">
        <v>3783</v>
      </c>
      <c r="PVM1115" s="379" t="s">
        <v>3783</v>
      </c>
      <c r="PVN1115" s="379" t="s">
        <v>3783</v>
      </c>
      <c r="PVO1115" s="379" t="s">
        <v>3783</v>
      </c>
      <c r="PVP1115" s="379" t="s">
        <v>3783</v>
      </c>
      <c r="PVQ1115" s="379" t="s">
        <v>3783</v>
      </c>
      <c r="PVR1115" s="379" t="s">
        <v>3783</v>
      </c>
      <c r="PVS1115" s="379" t="s">
        <v>3783</v>
      </c>
      <c r="PVT1115" s="379" t="s">
        <v>3783</v>
      </c>
      <c r="PVU1115" s="379" t="s">
        <v>3783</v>
      </c>
      <c r="PVV1115" s="379" t="s">
        <v>3783</v>
      </c>
      <c r="PVW1115" s="379" t="s">
        <v>3783</v>
      </c>
      <c r="PVX1115" s="379" t="s">
        <v>3783</v>
      </c>
      <c r="PVY1115" s="379" t="s">
        <v>3783</v>
      </c>
      <c r="PVZ1115" s="379" t="s">
        <v>3783</v>
      </c>
      <c r="PWA1115" s="379" t="s">
        <v>3783</v>
      </c>
      <c r="PWB1115" s="379" t="s">
        <v>3783</v>
      </c>
      <c r="PWC1115" s="379" t="s">
        <v>3783</v>
      </c>
      <c r="PWD1115" s="379" t="s">
        <v>3783</v>
      </c>
      <c r="PWE1115" s="379" t="s">
        <v>3783</v>
      </c>
      <c r="PWF1115" s="379" t="s">
        <v>3783</v>
      </c>
      <c r="PWG1115" s="379" t="s">
        <v>3783</v>
      </c>
      <c r="PWH1115" s="379" t="s">
        <v>3783</v>
      </c>
      <c r="PWI1115" s="379" t="s">
        <v>3783</v>
      </c>
      <c r="PWJ1115" s="379" t="s">
        <v>3783</v>
      </c>
      <c r="PWK1115" s="379" t="s">
        <v>3783</v>
      </c>
      <c r="PWL1115" s="379" t="s">
        <v>3783</v>
      </c>
      <c r="PWM1115" s="379" t="s">
        <v>3783</v>
      </c>
      <c r="PWN1115" s="379" t="s">
        <v>3783</v>
      </c>
      <c r="PWO1115" s="379" t="s">
        <v>3783</v>
      </c>
      <c r="PWP1115" s="379" t="s">
        <v>3783</v>
      </c>
      <c r="PWQ1115" s="379" t="s">
        <v>3783</v>
      </c>
      <c r="PWR1115" s="379" t="s">
        <v>3783</v>
      </c>
      <c r="PWS1115" s="379" t="s">
        <v>3783</v>
      </c>
      <c r="PWT1115" s="379" t="s">
        <v>3783</v>
      </c>
      <c r="PWU1115" s="379" t="s">
        <v>3783</v>
      </c>
      <c r="PWV1115" s="379" t="s">
        <v>3783</v>
      </c>
      <c r="PWW1115" s="379" t="s">
        <v>3783</v>
      </c>
      <c r="PWX1115" s="379" t="s">
        <v>3783</v>
      </c>
      <c r="PWY1115" s="379" t="s">
        <v>3783</v>
      </c>
      <c r="PWZ1115" s="379" t="s">
        <v>3783</v>
      </c>
      <c r="PXA1115" s="379" t="s">
        <v>3783</v>
      </c>
      <c r="PXB1115" s="379" t="s">
        <v>3783</v>
      </c>
      <c r="PXC1115" s="379" t="s">
        <v>3783</v>
      </c>
      <c r="PXD1115" s="379" t="s">
        <v>3783</v>
      </c>
      <c r="PXE1115" s="379" t="s">
        <v>3783</v>
      </c>
      <c r="PXF1115" s="379" t="s">
        <v>3783</v>
      </c>
      <c r="PXG1115" s="379" t="s">
        <v>3783</v>
      </c>
      <c r="PXH1115" s="379" t="s">
        <v>3783</v>
      </c>
      <c r="PXI1115" s="379" t="s">
        <v>3783</v>
      </c>
      <c r="PXJ1115" s="379" t="s">
        <v>3783</v>
      </c>
      <c r="PXK1115" s="379" t="s">
        <v>3783</v>
      </c>
      <c r="PXL1115" s="379" t="s">
        <v>3783</v>
      </c>
      <c r="PXM1115" s="379" t="s">
        <v>3783</v>
      </c>
      <c r="PXN1115" s="379" t="s">
        <v>3783</v>
      </c>
      <c r="PXO1115" s="379" t="s">
        <v>3783</v>
      </c>
      <c r="PXP1115" s="379" t="s">
        <v>3783</v>
      </c>
      <c r="PXQ1115" s="379" t="s">
        <v>3783</v>
      </c>
      <c r="PXR1115" s="379" t="s">
        <v>3783</v>
      </c>
      <c r="PXS1115" s="379" t="s">
        <v>3783</v>
      </c>
      <c r="PXT1115" s="379" t="s">
        <v>3783</v>
      </c>
      <c r="PXU1115" s="379" t="s">
        <v>3783</v>
      </c>
      <c r="PXV1115" s="379" t="s">
        <v>3783</v>
      </c>
      <c r="PXW1115" s="379" t="s">
        <v>3783</v>
      </c>
      <c r="PXX1115" s="379" t="s">
        <v>3783</v>
      </c>
      <c r="PXY1115" s="379" t="s">
        <v>3783</v>
      </c>
      <c r="PXZ1115" s="379" t="s">
        <v>3783</v>
      </c>
      <c r="PYA1115" s="379" t="s">
        <v>3783</v>
      </c>
      <c r="PYB1115" s="379" t="s">
        <v>3783</v>
      </c>
      <c r="PYC1115" s="379" t="s">
        <v>3783</v>
      </c>
      <c r="PYD1115" s="379" t="s">
        <v>3783</v>
      </c>
      <c r="PYE1115" s="379" t="s">
        <v>3783</v>
      </c>
      <c r="PYF1115" s="379" t="s">
        <v>3783</v>
      </c>
      <c r="PYG1115" s="379" t="s">
        <v>3783</v>
      </c>
      <c r="PYH1115" s="379" t="s">
        <v>3783</v>
      </c>
      <c r="PYI1115" s="379" t="s">
        <v>3783</v>
      </c>
      <c r="PYJ1115" s="379" t="s">
        <v>3783</v>
      </c>
      <c r="PYK1115" s="379" t="s">
        <v>3783</v>
      </c>
      <c r="PYL1115" s="379" t="s">
        <v>3783</v>
      </c>
      <c r="PYM1115" s="379" t="s">
        <v>3783</v>
      </c>
      <c r="PYN1115" s="379" t="s">
        <v>3783</v>
      </c>
      <c r="PYO1115" s="379" t="s">
        <v>3783</v>
      </c>
      <c r="PYP1115" s="379" t="s">
        <v>3783</v>
      </c>
      <c r="PYQ1115" s="379" t="s">
        <v>3783</v>
      </c>
      <c r="PYR1115" s="379" t="s">
        <v>3783</v>
      </c>
      <c r="PYS1115" s="379" t="s">
        <v>3783</v>
      </c>
      <c r="PYT1115" s="379" t="s">
        <v>3783</v>
      </c>
      <c r="PYU1115" s="379" t="s">
        <v>3783</v>
      </c>
      <c r="PYV1115" s="379" t="s">
        <v>3783</v>
      </c>
      <c r="PYW1115" s="379" t="s">
        <v>3783</v>
      </c>
      <c r="PYX1115" s="379" t="s">
        <v>3783</v>
      </c>
      <c r="PYY1115" s="379" t="s">
        <v>3783</v>
      </c>
      <c r="PYZ1115" s="379" t="s">
        <v>3783</v>
      </c>
      <c r="PZA1115" s="379" t="s">
        <v>3783</v>
      </c>
      <c r="PZB1115" s="379" t="s">
        <v>3783</v>
      </c>
      <c r="PZC1115" s="379" t="s">
        <v>3783</v>
      </c>
      <c r="PZD1115" s="379" t="s">
        <v>3783</v>
      </c>
      <c r="PZE1115" s="379" t="s">
        <v>3783</v>
      </c>
      <c r="PZF1115" s="379" t="s">
        <v>3783</v>
      </c>
      <c r="PZG1115" s="379" t="s">
        <v>3783</v>
      </c>
      <c r="PZH1115" s="379" t="s">
        <v>3783</v>
      </c>
      <c r="PZI1115" s="379" t="s">
        <v>3783</v>
      </c>
      <c r="PZJ1115" s="379" t="s">
        <v>3783</v>
      </c>
      <c r="PZK1115" s="379" t="s">
        <v>3783</v>
      </c>
      <c r="PZL1115" s="379" t="s">
        <v>3783</v>
      </c>
      <c r="PZM1115" s="379" t="s">
        <v>3783</v>
      </c>
      <c r="PZN1115" s="379" t="s">
        <v>3783</v>
      </c>
      <c r="PZO1115" s="379" t="s">
        <v>3783</v>
      </c>
      <c r="PZP1115" s="379" t="s">
        <v>3783</v>
      </c>
      <c r="PZQ1115" s="379" t="s">
        <v>3783</v>
      </c>
      <c r="PZR1115" s="379" t="s">
        <v>3783</v>
      </c>
      <c r="PZS1115" s="379" t="s">
        <v>3783</v>
      </c>
      <c r="PZT1115" s="379" t="s">
        <v>3783</v>
      </c>
      <c r="PZU1115" s="379" t="s">
        <v>3783</v>
      </c>
      <c r="PZV1115" s="379" t="s">
        <v>3783</v>
      </c>
      <c r="PZW1115" s="379" t="s">
        <v>3783</v>
      </c>
      <c r="PZX1115" s="379" t="s">
        <v>3783</v>
      </c>
      <c r="PZY1115" s="379" t="s">
        <v>3783</v>
      </c>
      <c r="PZZ1115" s="379" t="s">
        <v>3783</v>
      </c>
      <c r="QAA1115" s="379" t="s">
        <v>3783</v>
      </c>
      <c r="QAB1115" s="379" t="s">
        <v>3783</v>
      </c>
      <c r="QAC1115" s="379" t="s">
        <v>3783</v>
      </c>
      <c r="QAD1115" s="379" t="s">
        <v>3783</v>
      </c>
      <c r="QAE1115" s="379" t="s">
        <v>3783</v>
      </c>
      <c r="QAF1115" s="379" t="s">
        <v>3783</v>
      </c>
      <c r="QAG1115" s="379" t="s">
        <v>3783</v>
      </c>
      <c r="QAH1115" s="379" t="s">
        <v>3783</v>
      </c>
      <c r="QAI1115" s="379" t="s">
        <v>3783</v>
      </c>
      <c r="QAJ1115" s="379" t="s">
        <v>3783</v>
      </c>
      <c r="QAK1115" s="379" t="s">
        <v>3783</v>
      </c>
      <c r="QAL1115" s="379" t="s">
        <v>3783</v>
      </c>
      <c r="QAM1115" s="379" t="s">
        <v>3783</v>
      </c>
      <c r="QAN1115" s="379" t="s">
        <v>3783</v>
      </c>
      <c r="QAO1115" s="379" t="s">
        <v>3783</v>
      </c>
      <c r="QAP1115" s="379" t="s">
        <v>3783</v>
      </c>
      <c r="QAQ1115" s="379" t="s">
        <v>3783</v>
      </c>
      <c r="QAR1115" s="379" t="s">
        <v>3783</v>
      </c>
      <c r="QAS1115" s="379" t="s">
        <v>3783</v>
      </c>
      <c r="QAT1115" s="379" t="s">
        <v>3783</v>
      </c>
      <c r="QAU1115" s="379" t="s">
        <v>3783</v>
      </c>
      <c r="QAV1115" s="379" t="s">
        <v>3783</v>
      </c>
      <c r="QAW1115" s="379" t="s">
        <v>3783</v>
      </c>
      <c r="QAX1115" s="379" t="s">
        <v>3783</v>
      </c>
      <c r="QAY1115" s="379" t="s">
        <v>3783</v>
      </c>
      <c r="QAZ1115" s="379" t="s">
        <v>3783</v>
      </c>
      <c r="QBA1115" s="379" t="s">
        <v>3783</v>
      </c>
      <c r="QBB1115" s="379" t="s">
        <v>3783</v>
      </c>
      <c r="QBC1115" s="379" t="s">
        <v>3783</v>
      </c>
      <c r="QBD1115" s="379" t="s">
        <v>3783</v>
      </c>
      <c r="QBE1115" s="379" t="s">
        <v>3783</v>
      </c>
      <c r="QBF1115" s="379" t="s">
        <v>3783</v>
      </c>
      <c r="QBG1115" s="379" t="s">
        <v>3783</v>
      </c>
      <c r="QBH1115" s="379" t="s">
        <v>3783</v>
      </c>
      <c r="QBI1115" s="379" t="s">
        <v>3783</v>
      </c>
      <c r="QBJ1115" s="379" t="s">
        <v>3783</v>
      </c>
      <c r="QBK1115" s="379" t="s">
        <v>3783</v>
      </c>
      <c r="QBL1115" s="379" t="s">
        <v>3783</v>
      </c>
      <c r="QBM1115" s="379" t="s">
        <v>3783</v>
      </c>
      <c r="QBN1115" s="379" t="s">
        <v>3783</v>
      </c>
      <c r="QBO1115" s="379" t="s">
        <v>3783</v>
      </c>
      <c r="QBP1115" s="379" t="s">
        <v>3783</v>
      </c>
      <c r="QBQ1115" s="379" t="s">
        <v>3783</v>
      </c>
      <c r="QBR1115" s="379" t="s">
        <v>3783</v>
      </c>
      <c r="QBS1115" s="379" t="s">
        <v>3783</v>
      </c>
      <c r="QBT1115" s="379" t="s">
        <v>3783</v>
      </c>
      <c r="QBU1115" s="379" t="s">
        <v>3783</v>
      </c>
      <c r="QBV1115" s="379" t="s">
        <v>3783</v>
      </c>
      <c r="QBW1115" s="379" t="s">
        <v>3783</v>
      </c>
      <c r="QBX1115" s="379" t="s">
        <v>3783</v>
      </c>
      <c r="QBY1115" s="379" t="s">
        <v>3783</v>
      </c>
      <c r="QBZ1115" s="379" t="s">
        <v>3783</v>
      </c>
      <c r="QCA1115" s="379" t="s">
        <v>3783</v>
      </c>
      <c r="QCB1115" s="379" t="s">
        <v>3783</v>
      </c>
      <c r="QCC1115" s="379" t="s">
        <v>3783</v>
      </c>
      <c r="QCD1115" s="379" t="s">
        <v>3783</v>
      </c>
      <c r="QCE1115" s="379" t="s">
        <v>3783</v>
      </c>
      <c r="QCF1115" s="379" t="s">
        <v>3783</v>
      </c>
      <c r="QCG1115" s="379" t="s">
        <v>3783</v>
      </c>
      <c r="QCH1115" s="379" t="s">
        <v>3783</v>
      </c>
      <c r="QCI1115" s="379" t="s">
        <v>3783</v>
      </c>
      <c r="QCJ1115" s="379" t="s">
        <v>3783</v>
      </c>
      <c r="QCK1115" s="379" t="s">
        <v>3783</v>
      </c>
      <c r="QCL1115" s="379" t="s">
        <v>3783</v>
      </c>
      <c r="QCM1115" s="379" t="s">
        <v>3783</v>
      </c>
      <c r="QCN1115" s="379" t="s">
        <v>3783</v>
      </c>
      <c r="QCO1115" s="379" t="s">
        <v>3783</v>
      </c>
      <c r="QCP1115" s="379" t="s">
        <v>3783</v>
      </c>
      <c r="QCQ1115" s="379" t="s">
        <v>3783</v>
      </c>
      <c r="QCR1115" s="379" t="s">
        <v>3783</v>
      </c>
      <c r="QCS1115" s="379" t="s">
        <v>3783</v>
      </c>
      <c r="QCT1115" s="379" t="s">
        <v>3783</v>
      </c>
      <c r="QCU1115" s="379" t="s">
        <v>3783</v>
      </c>
      <c r="QCV1115" s="379" t="s">
        <v>3783</v>
      </c>
      <c r="QCW1115" s="379" t="s">
        <v>3783</v>
      </c>
      <c r="QCX1115" s="379" t="s">
        <v>3783</v>
      </c>
      <c r="QCY1115" s="379" t="s">
        <v>3783</v>
      </c>
      <c r="QCZ1115" s="379" t="s">
        <v>3783</v>
      </c>
      <c r="QDA1115" s="379" t="s">
        <v>3783</v>
      </c>
      <c r="QDB1115" s="379" t="s">
        <v>3783</v>
      </c>
      <c r="QDC1115" s="379" t="s">
        <v>3783</v>
      </c>
      <c r="QDD1115" s="379" t="s">
        <v>3783</v>
      </c>
      <c r="QDE1115" s="379" t="s">
        <v>3783</v>
      </c>
      <c r="QDF1115" s="379" t="s">
        <v>3783</v>
      </c>
      <c r="QDG1115" s="379" t="s">
        <v>3783</v>
      </c>
      <c r="QDH1115" s="379" t="s">
        <v>3783</v>
      </c>
      <c r="QDI1115" s="379" t="s">
        <v>3783</v>
      </c>
      <c r="QDJ1115" s="379" t="s">
        <v>3783</v>
      </c>
      <c r="QDK1115" s="379" t="s">
        <v>3783</v>
      </c>
      <c r="QDL1115" s="379" t="s">
        <v>3783</v>
      </c>
      <c r="QDM1115" s="379" t="s">
        <v>3783</v>
      </c>
      <c r="QDN1115" s="379" t="s">
        <v>3783</v>
      </c>
      <c r="QDO1115" s="379" t="s">
        <v>3783</v>
      </c>
      <c r="QDP1115" s="379" t="s">
        <v>3783</v>
      </c>
      <c r="QDQ1115" s="379" t="s">
        <v>3783</v>
      </c>
      <c r="QDR1115" s="379" t="s">
        <v>3783</v>
      </c>
      <c r="QDS1115" s="379" t="s">
        <v>3783</v>
      </c>
      <c r="QDT1115" s="379" t="s">
        <v>3783</v>
      </c>
      <c r="QDU1115" s="379" t="s">
        <v>3783</v>
      </c>
      <c r="QDV1115" s="379" t="s">
        <v>3783</v>
      </c>
      <c r="QDW1115" s="379" t="s">
        <v>3783</v>
      </c>
      <c r="QDX1115" s="379" t="s">
        <v>3783</v>
      </c>
      <c r="QDY1115" s="379" t="s">
        <v>3783</v>
      </c>
      <c r="QDZ1115" s="379" t="s">
        <v>3783</v>
      </c>
      <c r="QEA1115" s="379" t="s">
        <v>3783</v>
      </c>
      <c r="QEB1115" s="379" t="s">
        <v>3783</v>
      </c>
      <c r="QEC1115" s="379" t="s">
        <v>3783</v>
      </c>
      <c r="QED1115" s="379" t="s">
        <v>3783</v>
      </c>
      <c r="QEE1115" s="379" t="s">
        <v>3783</v>
      </c>
      <c r="QEF1115" s="379" t="s">
        <v>3783</v>
      </c>
      <c r="QEG1115" s="379" t="s">
        <v>3783</v>
      </c>
      <c r="QEH1115" s="379" t="s">
        <v>3783</v>
      </c>
      <c r="QEI1115" s="379" t="s">
        <v>3783</v>
      </c>
      <c r="QEJ1115" s="379" t="s">
        <v>3783</v>
      </c>
      <c r="QEK1115" s="379" t="s">
        <v>3783</v>
      </c>
      <c r="QEL1115" s="379" t="s">
        <v>3783</v>
      </c>
      <c r="QEM1115" s="379" t="s">
        <v>3783</v>
      </c>
      <c r="QEN1115" s="379" t="s">
        <v>3783</v>
      </c>
      <c r="QEO1115" s="379" t="s">
        <v>3783</v>
      </c>
      <c r="QEP1115" s="379" t="s">
        <v>3783</v>
      </c>
      <c r="QEQ1115" s="379" t="s">
        <v>3783</v>
      </c>
      <c r="QER1115" s="379" t="s">
        <v>3783</v>
      </c>
      <c r="QES1115" s="379" t="s">
        <v>3783</v>
      </c>
      <c r="QET1115" s="379" t="s">
        <v>3783</v>
      </c>
      <c r="QEU1115" s="379" t="s">
        <v>3783</v>
      </c>
      <c r="QEV1115" s="379" t="s">
        <v>3783</v>
      </c>
      <c r="QEW1115" s="379" t="s">
        <v>3783</v>
      </c>
      <c r="QEX1115" s="379" t="s">
        <v>3783</v>
      </c>
      <c r="QEY1115" s="379" t="s">
        <v>3783</v>
      </c>
      <c r="QEZ1115" s="379" t="s">
        <v>3783</v>
      </c>
      <c r="QFA1115" s="379" t="s">
        <v>3783</v>
      </c>
      <c r="QFB1115" s="379" t="s">
        <v>3783</v>
      </c>
      <c r="QFC1115" s="379" t="s">
        <v>3783</v>
      </c>
      <c r="QFD1115" s="379" t="s">
        <v>3783</v>
      </c>
      <c r="QFE1115" s="379" t="s">
        <v>3783</v>
      </c>
      <c r="QFF1115" s="379" t="s">
        <v>3783</v>
      </c>
      <c r="QFG1115" s="379" t="s">
        <v>3783</v>
      </c>
      <c r="QFH1115" s="379" t="s">
        <v>3783</v>
      </c>
      <c r="QFI1115" s="379" t="s">
        <v>3783</v>
      </c>
      <c r="QFJ1115" s="379" t="s">
        <v>3783</v>
      </c>
      <c r="QFK1115" s="379" t="s">
        <v>3783</v>
      </c>
      <c r="QFL1115" s="379" t="s">
        <v>3783</v>
      </c>
      <c r="QFM1115" s="379" t="s">
        <v>3783</v>
      </c>
      <c r="QFN1115" s="379" t="s">
        <v>3783</v>
      </c>
      <c r="QFO1115" s="379" t="s">
        <v>3783</v>
      </c>
      <c r="QFP1115" s="379" t="s">
        <v>3783</v>
      </c>
      <c r="QFQ1115" s="379" t="s">
        <v>3783</v>
      </c>
      <c r="QFR1115" s="379" t="s">
        <v>3783</v>
      </c>
      <c r="QFS1115" s="379" t="s">
        <v>3783</v>
      </c>
      <c r="QFT1115" s="379" t="s">
        <v>3783</v>
      </c>
      <c r="QFU1115" s="379" t="s">
        <v>3783</v>
      </c>
      <c r="QFV1115" s="379" t="s">
        <v>3783</v>
      </c>
      <c r="QFW1115" s="379" t="s">
        <v>3783</v>
      </c>
      <c r="QFX1115" s="379" t="s">
        <v>3783</v>
      </c>
      <c r="QFY1115" s="379" t="s">
        <v>3783</v>
      </c>
      <c r="QFZ1115" s="379" t="s">
        <v>3783</v>
      </c>
      <c r="QGA1115" s="379" t="s">
        <v>3783</v>
      </c>
      <c r="QGB1115" s="379" t="s">
        <v>3783</v>
      </c>
      <c r="QGC1115" s="379" t="s">
        <v>3783</v>
      </c>
      <c r="QGD1115" s="379" t="s">
        <v>3783</v>
      </c>
      <c r="QGE1115" s="379" t="s">
        <v>3783</v>
      </c>
      <c r="QGF1115" s="379" t="s">
        <v>3783</v>
      </c>
      <c r="QGG1115" s="379" t="s">
        <v>3783</v>
      </c>
      <c r="QGH1115" s="379" t="s">
        <v>3783</v>
      </c>
      <c r="QGI1115" s="379" t="s">
        <v>3783</v>
      </c>
      <c r="QGJ1115" s="379" t="s">
        <v>3783</v>
      </c>
      <c r="QGK1115" s="379" t="s">
        <v>3783</v>
      </c>
      <c r="QGL1115" s="379" t="s">
        <v>3783</v>
      </c>
      <c r="QGM1115" s="379" t="s">
        <v>3783</v>
      </c>
      <c r="QGN1115" s="379" t="s">
        <v>3783</v>
      </c>
      <c r="QGO1115" s="379" t="s">
        <v>3783</v>
      </c>
      <c r="QGP1115" s="379" t="s">
        <v>3783</v>
      </c>
      <c r="QGQ1115" s="379" t="s">
        <v>3783</v>
      </c>
      <c r="QGR1115" s="379" t="s">
        <v>3783</v>
      </c>
      <c r="QGS1115" s="379" t="s">
        <v>3783</v>
      </c>
      <c r="QGT1115" s="379" t="s">
        <v>3783</v>
      </c>
      <c r="QGU1115" s="379" t="s">
        <v>3783</v>
      </c>
      <c r="QGV1115" s="379" t="s">
        <v>3783</v>
      </c>
      <c r="QGW1115" s="379" t="s">
        <v>3783</v>
      </c>
      <c r="QGX1115" s="379" t="s">
        <v>3783</v>
      </c>
      <c r="QGY1115" s="379" t="s">
        <v>3783</v>
      </c>
      <c r="QGZ1115" s="379" t="s">
        <v>3783</v>
      </c>
      <c r="QHA1115" s="379" t="s">
        <v>3783</v>
      </c>
      <c r="QHB1115" s="379" t="s">
        <v>3783</v>
      </c>
      <c r="QHC1115" s="379" t="s">
        <v>3783</v>
      </c>
      <c r="QHD1115" s="379" t="s">
        <v>3783</v>
      </c>
      <c r="QHE1115" s="379" t="s">
        <v>3783</v>
      </c>
      <c r="QHF1115" s="379" t="s">
        <v>3783</v>
      </c>
      <c r="QHG1115" s="379" t="s">
        <v>3783</v>
      </c>
      <c r="QHH1115" s="379" t="s">
        <v>3783</v>
      </c>
      <c r="QHI1115" s="379" t="s">
        <v>3783</v>
      </c>
      <c r="QHJ1115" s="379" t="s">
        <v>3783</v>
      </c>
      <c r="QHK1115" s="379" t="s">
        <v>3783</v>
      </c>
      <c r="QHL1115" s="379" t="s">
        <v>3783</v>
      </c>
      <c r="QHM1115" s="379" t="s">
        <v>3783</v>
      </c>
      <c r="QHN1115" s="379" t="s">
        <v>3783</v>
      </c>
      <c r="QHO1115" s="379" t="s">
        <v>3783</v>
      </c>
      <c r="QHP1115" s="379" t="s">
        <v>3783</v>
      </c>
      <c r="QHQ1115" s="379" t="s">
        <v>3783</v>
      </c>
      <c r="QHR1115" s="379" t="s">
        <v>3783</v>
      </c>
      <c r="QHS1115" s="379" t="s">
        <v>3783</v>
      </c>
      <c r="QHT1115" s="379" t="s">
        <v>3783</v>
      </c>
      <c r="QHU1115" s="379" t="s">
        <v>3783</v>
      </c>
      <c r="QHV1115" s="379" t="s">
        <v>3783</v>
      </c>
      <c r="QHW1115" s="379" t="s">
        <v>3783</v>
      </c>
      <c r="QHX1115" s="379" t="s">
        <v>3783</v>
      </c>
      <c r="QHY1115" s="379" t="s">
        <v>3783</v>
      </c>
      <c r="QHZ1115" s="379" t="s">
        <v>3783</v>
      </c>
      <c r="QIA1115" s="379" t="s">
        <v>3783</v>
      </c>
      <c r="QIB1115" s="379" t="s">
        <v>3783</v>
      </c>
      <c r="QIC1115" s="379" t="s">
        <v>3783</v>
      </c>
      <c r="QID1115" s="379" t="s">
        <v>3783</v>
      </c>
      <c r="QIE1115" s="379" t="s">
        <v>3783</v>
      </c>
      <c r="QIF1115" s="379" t="s">
        <v>3783</v>
      </c>
      <c r="QIG1115" s="379" t="s">
        <v>3783</v>
      </c>
      <c r="QIH1115" s="379" t="s">
        <v>3783</v>
      </c>
      <c r="QII1115" s="379" t="s">
        <v>3783</v>
      </c>
      <c r="QIJ1115" s="379" t="s">
        <v>3783</v>
      </c>
      <c r="QIK1115" s="379" t="s">
        <v>3783</v>
      </c>
      <c r="QIL1115" s="379" t="s">
        <v>3783</v>
      </c>
      <c r="QIM1115" s="379" t="s">
        <v>3783</v>
      </c>
      <c r="QIN1115" s="379" t="s">
        <v>3783</v>
      </c>
      <c r="QIO1115" s="379" t="s">
        <v>3783</v>
      </c>
      <c r="QIP1115" s="379" t="s">
        <v>3783</v>
      </c>
      <c r="QIQ1115" s="379" t="s">
        <v>3783</v>
      </c>
      <c r="QIR1115" s="379" t="s">
        <v>3783</v>
      </c>
      <c r="QIS1115" s="379" t="s">
        <v>3783</v>
      </c>
      <c r="QIT1115" s="379" t="s">
        <v>3783</v>
      </c>
      <c r="QIU1115" s="379" t="s">
        <v>3783</v>
      </c>
      <c r="QIV1115" s="379" t="s">
        <v>3783</v>
      </c>
      <c r="QIW1115" s="379" t="s">
        <v>3783</v>
      </c>
      <c r="QIX1115" s="379" t="s">
        <v>3783</v>
      </c>
      <c r="QIY1115" s="379" t="s">
        <v>3783</v>
      </c>
      <c r="QIZ1115" s="379" t="s">
        <v>3783</v>
      </c>
      <c r="QJA1115" s="379" t="s">
        <v>3783</v>
      </c>
      <c r="QJB1115" s="379" t="s">
        <v>3783</v>
      </c>
      <c r="QJC1115" s="379" t="s">
        <v>3783</v>
      </c>
      <c r="QJD1115" s="379" t="s">
        <v>3783</v>
      </c>
      <c r="QJE1115" s="379" t="s">
        <v>3783</v>
      </c>
      <c r="QJF1115" s="379" t="s">
        <v>3783</v>
      </c>
      <c r="QJG1115" s="379" t="s">
        <v>3783</v>
      </c>
      <c r="QJH1115" s="379" t="s">
        <v>3783</v>
      </c>
      <c r="QJI1115" s="379" t="s">
        <v>3783</v>
      </c>
      <c r="QJJ1115" s="379" t="s">
        <v>3783</v>
      </c>
      <c r="QJK1115" s="379" t="s">
        <v>3783</v>
      </c>
      <c r="QJL1115" s="379" t="s">
        <v>3783</v>
      </c>
      <c r="QJM1115" s="379" t="s">
        <v>3783</v>
      </c>
      <c r="QJN1115" s="379" t="s">
        <v>3783</v>
      </c>
      <c r="QJO1115" s="379" t="s">
        <v>3783</v>
      </c>
      <c r="QJP1115" s="379" t="s">
        <v>3783</v>
      </c>
      <c r="QJQ1115" s="379" t="s">
        <v>3783</v>
      </c>
      <c r="QJR1115" s="379" t="s">
        <v>3783</v>
      </c>
      <c r="QJS1115" s="379" t="s">
        <v>3783</v>
      </c>
      <c r="QJT1115" s="379" t="s">
        <v>3783</v>
      </c>
      <c r="QJU1115" s="379" t="s">
        <v>3783</v>
      </c>
      <c r="QJV1115" s="379" t="s">
        <v>3783</v>
      </c>
      <c r="QJW1115" s="379" t="s">
        <v>3783</v>
      </c>
      <c r="QJX1115" s="379" t="s">
        <v>3783</v>
      </c>
      <c r="QJY1115" s="379" t="s">
        <v>3783</v>
      </c>
      <c r="QJZ1115" s="379" t="s">
        <v>3783</v>
      </c>
      <c r="QKA1115" s="379" t="s">
        <v>3783</v>
      </c>
      <c r="QKB1115" s="379" t="s">
        <v>3783</v>
      </c>
      <c r="QKC1115" s="379" t="s">
        <v>3783</v>
      </c>
      <c r="QKD1115" s="379" t="s">
        <v>3783</v>
      </c>
      <c r="QKE1115" s="379" t="s">
        <v>3783</v>
      </c>
      <c r="QKF1115" s="379" t="s">
        <v>3783</v>
      </c>
      <c r="QKG1115" s="379" t="s">
        <v>3783</v>
      </c>
      <c r="QKH1115" s="379" t="s">
        <v>3783</v>
      </c>
      <c r="QKI1115" s="379" t="s">
        <v>3783</v>
      </c>
      <c r="QKJ1115" s="379" t="s">
        <v>3783</v>
      </c>
      <c r="QKK1115" s="379" t="s">
        <v>3783</v>
      </c>
      <c r="QKL1115" s="379" t="s">
        <v>3783</v>
      </c>
      <c r="QKM1115" s="379" t="s">
        <v>3783</v>
      </c>
      <c r="QKN1115" s="379" t="s">
        <v>3783</v>
      </c>
      <c r="QKO1115" s="379" t="s">
        <v>3783</v>
      </c>
      <c r="QKP1115" s="379" t="s">
        <v>3783</v>
      </c>
      <c r="QKQ1115" s="379" t="s">
        <v>3783</v>
      </c>
      <c r="QKR1115" s="379" t="s">
        <v>3783</v>
      </c>
      <c r="QKS1115" s="379" t="s">
        <v>3783</v>
      </c>
      <c r="QKT1115" s="379" t="s">
        <v>3783</v>
      </c>
      <c r="QKU1115" s="379" t="s">
        <v>3783</v>
      </c>
      <c r="QKV1115" s="379" t="s">
        <v>3783</v>
      </c>
      <c r="QKW1115" s="379" t="s">
        <v>3783</v>
      </c>
      <c r="QKX1115" s="379" t="s">
        <v>3783</v>
      </c>
      <c r="QKY1115" s="379" t="s">
        <v>3783</v>
      </c>
      <c r="QKZ1115" s="379" t="s">
        <v>3783</v>
      </c>
      <c r="QLA1115" s="379" t="s">
        <v>3783</v>
      </c>
      <c r="QLB1115" s="379" t="s">
        <v>3783</v>
      </c>
      <c r="QLC1115" s="379" t="s">
        <v>3783</v>
      </c>
      <c r="QLD1115" s="379" t="s">
        <v>3783</v>
      </c>
      <c r="QLE1115" s="379" t="s">
        <v>3783</v>
      </c>
      <c r="QLF1115" s="379" t="s">
        <v>3783</v>
      </c>
      <c r="QLG1115" s="379" t="s">
        <v>3783</v>
      </c>
      <c r="QLH1115" s="379" t="s">
        <v>3783</v>
      </c>
      <c r="QLI1115" s="379" t="s">
        <v>3783</v>
      </c>
      <c r="QLJ1115" s="379" t="s">
        <v>3783</v>
      </c>
      <c r="QLK1115" s="379" t="s">
        <v>3783</v>
      </c>
      <c r="QLL1115" s="379" t="s">
        <v>3783</v>
      </c>
      <c r="QLM1115" s="379" t="s">
        <v>3783</v>
      </c>
      <c r="QLN1115" s="379" t="s">
        <v>3783</v>
      </c>
      <c r="QLO1115" s="379" t="s">
        <v>3783</v>
      </c>
      <c r="QLP1115" s="379" t="s">
        <v>3783</v>
      </c>
      <c r="QLQ1115" s="379" t="s">
        <v>3783</v>
      </c>
      <c r="QLR1115" s="379" t="s">
        <v>3783</v>
      </c>
      <c r="QLS1115" s="379" t="s">
        <v>3783</v>
      </c>
      <c r="QLT1115" s="379" t="s">
        <v>3783</v>
      </c>
      <c r="QLU1115" s="379" t="s">
        <v>3783</v>
      </c>
      <c r="QLV1115" s="379" t="s">
        <v>3783</v>
      </c>
      <c r="QLW1115" s="379" t="s">
        <v>3783</v>
      </c>
      <c r="QLX1115" s="379" t="s">
        <v>3783</v>
      </c>
      <c r="QLY1115" s="379" t="s">
        <v>3783</v>
      </c>
      <c r="QLZ1115" s="379" t="s">
        <v>3783</v>
      </c>
      <c r="QMA1115" s="379" t="s">
        <v>3783</v>
      </c>
      <c r="QMB1115" s="379" t="s">
        <v>3783</v>
      </c>
      <c r="QMC1115" s="379" t="s">
        <v>3783</v>
      </c>
      <c r="QMD1115" s="379" t="s">
        <v>3783</v>
      </c>
      <c r="QME1115" s="379" t="s">
        <v>3783</v>
      </c>
      <c r="QMF1115" s="379" t="s">
        <v>3783</v>
      </c>
      <c r="QMG1115" s="379" t="s">
        <v>3783</v>
      </c>
      <c r="QMH1115" s="379" t="s">
        <v>3783</v>
      </c>
      <c r="QMI1115" s="379" t="s">
        <v>3783</v>
      </c>
      <c r="QMJ1115" s="379" t="s">
        <v>3783</v>
      </c>
      <c r="QMK1115" s="379" t="s">
        <v>3783</v>
      </c>
      <c r="QML1115" s="379" t="s">
        <v>3783</v>
      </c>
      <c r="QMM1115" s="379" t="s">
        <v>3783</v>
      </c>
      <c r="QMN1115" s="379" t="s">
        <v>3783</v>
      </c>
      <c r="QMO1115" s="379" t="s">
        <v>3783</v>
      </c>
      <c r="QMP1115" s="379" t="s">
        <v>3783</v>
      </c>
      <c r="QMQ1115" s="379" t="s">
        <v>3783</v>
      </c>
      <c r="QMR1115" s="379" t="s">
        <v>3783</v>
      </c>
      <c r="QMS1115" s="379" t="s">
        <v>3783</v>
      </c>
      <c r="QMT1115" s="379" t="s">
        <v>3783</v>
      </c>
      <c r="QMU1115" s="379" t="s">
        <v>3783</v>
      </c>
      <c r="QMV1115" s="379" t="s">
        <v>3783</v>
      </c>
      <c r="QMW1115" s="379" t="s">
        <v>3783</v>
      </c>
      <c r="QMX1115" s="379" t="s">
        <v>3783</v>
      </c>
      <c r="QMY1115" s="379" t="s">
        <v>3783</v>
      </c>
      <c r="QMZ1115" s="379" t="s">
        <v>3783</v>
      </c>
      <c r="QNA1115" s="379" t="s">
        <v>3783</v>
      </c>
      <c r="QNB1115" s="379" t="s">
        <v>3783</v>
      </c>
      <c r="QNC1115" s="379" t="s">
        <v>3783</v>
      </c>
      <c r="QND1115" s="379" t="s">
        <v>3783</v>
      </c>
      <c r="QNE1115" s="379" t="s">
        <v>3783</v>
      </c>
      <c r="QNF1115" s="379" t="s">
        <v>3783</v>
      </c>
      <c r="QNG1115" s="379" t="s">
        <v>3783</v>
      </c>
      <c r="QNH1115" s="379" t="s">
        <v>3783</v>
      </c>
      <c r="QNI1115" s="379" t="s">
        <v>3783</v>
      </c>
      <c r="QNJ1115" s="379" t="s">
        <v>3783</v>
      </c>
      <c r="QNK1115" s="379" t="s">
        <v>3783</v>
      </c>
      <c r="QNL1115" s="379" t="s">
        <v>3783</v>
      </c>
      <c r="QNM1115" s="379" t="s">
        <v>3783</v>
      </c>
      <c r="QNN1115" s="379" t="s">
        <v>3783</v>
      </c>
      <c r="QNO1115" s="379" t="s">
        <v>3783</v>
      </c>
      <c r="QNP1115" s="379" t="s">
        <v>3783</v>
      </c>
      <c r="QNQ1115" s="379" t="s">
        <v>3783</v>
      </c>
      <c r="QNR1115" s="379" t="s">
        <v>3783</v>
      </c>
      <c r="QNS1115" s="379" t="s">
        <v>3783</v>
      </c>
      <c r="QNT1115" s="379" t="s">
        <v>3783</v>
      </c>
      <c r="QNU1115" s="379" t="s">
        <v>3783</v>
      </c>
      <c r="QNV1115" s="379" t="s">
        <v>3783</v>
      </c>
      <c r="QNW1115" s="379" t="s">
        <v>3783</v>
      </c>
      <c r="QNX1115" s="379" t="s">
        <v>3783</v>
      </c>
      <c r="QNY1115" s="379" t="s">
        <v>3783</v>
      </c>
      <c r="QNZ1115" s="379" t="s">
        <v>3783</v>
      </c>
      <c r="QOA1115" s="379" t="s">
        <v>3783</v>
      </c>
      <c r="QOB1115" s="379" t="s">
        <v>3783</v>
      </c>
      <c r="QOC1115" s="379" t="s">
        <v>3783</v>
      </c>
      <c r="QOD1115" s="379" t="s">
        <v>3783</v>
      </c>
      <c r="QOE1115" s="379" t="s">
        <v>3783</v>
      </c>
      <c r="QOF1115" s="379" t="s">
        <v>3783</v>
      </c>
      <c r="QOG1115" s="379" t="s">
        <v>3783</v>
      </c>
      <c r="QOH1115" s="379" t="s">
        <v>3783</v>
      </c>
      <c r="QOI1115" s="379" t="s">
        <v>3783</v>
      </c>
      <c r="QOJ1115" s="379" t="s">
        <v>3783</v>
      </c>
      <c r="QOK1115" s="379" t="s">
        <v>3783</v>
      </c>
      <c r="QOL1115" s="379" t="s">
        <v>3783</v>
      </c>
      <c r="QOM1115" s="379" t="s">
        <v>3783</v>
      </c>
      <c r="QON1115" s="379" t="s">
        <v>3783</v>
      </c>
      <c r="QOO1115" s="379" t="s">
        <v>3783</v>
      </c>
      <c r="QOP1115" s="379" t="s">
        <v>3783</v>
      </c>
      <c r="QOQ1115" s="379" t="s">
        <v>3783</v>
      </c>
      <c r="QOR1115" s="379" t="s">
        <v>3783</v>
      </c>
      <c r="QOS1115" s="379" t="s">
        <v>3783</v>
      </c>
      <c r="QOT1115" s="379" t="s">
        <v>3783</v>
      </c>
      <c r="QOU1115" s="379" t="s">
        <v>3783</v>
      </c>
      <c r="QOV1115" s="379" t="s">
        <v>3783</v>
      </c>
      <c r="QOW1115" s="379" t="s">
        <v>3783</v>
      </c>
      <c r="QOX1115" s="379" t="s">
        <v>3783</v>
      </c>
      <c r="QOY1115" s="379" t="s">
        <v>3783</v>
      </c>
      <c r="QOZ1115" s="379" t="s">
        <v>3783</v>
      </c>
      <c r="QPA1115" s="379" t="s">
        <v>3783</v>
      </c>
      <c r="QPB1115" s="379" t="s">
        <v>3783</v>
      </c>
      <c r="QPC1115" s="379" t="s">
        <v>3783</v>
      </c>
      <c r="QPD1115" s="379" t="s">
        <v>3783</v>
      </c>
      <c r="QPE1115" s="379" t="s">
        <v>3783</v>
      </c>
      <c r="QPF1115" s="379" t="s">
        <v>3783</v>
      </c>
      <c r="QPG1115" s="379" t="s">
        <v>3783</v>
      </c>
      <c r="QPH1115" s="379" t="s">
        <v>3783</v>
      </c>
      <c r="QPI1115" s="379" t="s">
        <v>3783</v>
      </c>
      <c r="QPJ1115" s="379" t="s">
        <v>3783</v>
      </c>
      <c r="QPK1115" s="379" t="s">
        <v>3783</v>
      </c>
      <c r="QPL1115" s="379" t="s">
        <v>3783</v>
      </c>
      <c r="QPM1115" s="379" t="s">
        <v>3783</v>
      </c>
      <c r="QPN1115" s="379" t="s">
        <v>3783</v>
      </c>
      <c r="QPO1115" s="379" t="s">
        <v>3783</v>
      </c>
      <c r="QPP1115" s="379" t="s">
        <v>3783</v>
      </c>
      <c r="QPQ1115" s="379" t="s">
        <v>3783</v>
      </c>
      <c r="QPR1115" s="379" t="s">
        <v>3783</v>
      </c>
      <c r="QPS1115" s="379" t="s">
        <v>3783</v>
      </c>
      <c r="QPT1115" s="379" t="s">
        <v>3783</v>
      </c>
      <c r="QPU1115" s="379" t="s">
        <v>3783</v>
      </c>
      <c r="QPV1115" s="379" t="s">
        <v>3783</v>
      </c>
      <c r="QPW1115" s="379" t="s">
        <v>3783</v>
      </c>
      <c r="QPX1115" s="379" t="s">
        <v>3783</v>
      </c>
      <c r="QPY1115" s="379" t="s">
        <v>3783</v>
      </c>
      <c r="QPZ1115" s="379" t="s">
        <v>3783</v>
      </c>
      <c r="QQA1115" s="379" t="s">
        <v>3783</v>
      </c>
      <c r="QQB1115" s="379" t="s">
        <v>3783</v>
      </c>
      <c r="QQC1115" s="379" t="s">
        <v>3783</v>
      </c>
      <c r="QQD1115" s="379" t="s">
        <v>3783</v>
      </c>
      <c r="QQE1115" s="379" t="s">
        <v>3783</v>
      </c>
      <c r="QQF1115" s="379" t="s">
        <v>3783</v>
      </c>
      <c r="QQG1115" s="379" t="s">
        <v>3783</v>
      </c>
      <c r="QQH1115" s="379" t="s">
        <v>3783</v>
      </c>
      <c r="QQI1115" s="379" t="s">
        <v>3783</v>
      </c>
      <c r="QQJ1115" s="379" t="s">
        <v>3783</v>
      </c>
      <c r="QQK1115" s="379" t="s">
        <v>3783</v>
      </c>
      <c r="QQL1115" s="379" t="s">
        <v>3783</v>
      </c>
      <c r="QQM1115" s="379" t="s">
        <v>3783</v>
      </c>
      <c r="QQN1115" s="379" t="s">
        <v>3783</v>
      </c>
      <c r="QQO1115" s="379" t="s">
        <v>3783</v>
      </c>
      <c r="QQP1115" s="379" t="s">
        <v>3783</v>
      </c>
      <c r="QQQ1115" s="379" t="s">
        <v>3783</v>
      </c>
      <c r="QQR1115" s="379" t="s">
        <v>3783</v>
      </c>
      <c r="QQS1115" s="379" t="s">
        <v>3783</v>
      </c>
      <c r="QQT1115" s="379" t="s">
        <v>3783</v>
      </c>
      <c r="QQU1115" s="379" t="s">
        <v>3783</v>
      </c>
      <c r="QQV1115" s="379" t="s">
        <v>3783</v>
      </c>
      <c r="QQW1115" s="379" t="s">
        <v>3783</v>
      </c>
      <c r="QQX1115" s="379" t="s">
        <v>3783</v>
      </c>
      <c r="QQY1115" s="379" t="s">
        <v>3783</v>
      </c>
      <c r="QQZ1115" s="379" t="s">
        <v>3783</v>
      </c>
      <c r="QRA1115" s="379" t="s">
        <v>3783</v>
      </c>
      <c r="QRB1115" s="379" t="s">
        <v>3783</v>
      </c>
      <c r="QRC1115" s="379" t="s">
        <v>3783</v>
      </c>
      <c r="QRD1115" s="379" t="s">
        <v>3783</v>
      </c>
      <c r="QRE1115" s="379" t="s">
        <v>3783</v>
      </c>
      <c r="QRF1115" s="379" t="s">
        <v>3783</v>
      </c>
      <c r="QRG1115" s="379" t="s">
        <v>3783</v>
      </c>
      <c r="QRH1115" s="379" t="s">
        <v>3783</v>
      </c>
      <c r="QRI1115" s="379" t="s">
        <v>3783</v>
      </c>
      <c r="QRJ1115" s="379" t="s">
        <v>3783</v>
      </c>
      <c r="QRK1115" s="379" t="s">
        <v>3783</v>
      </c>
      <c r="QRL1115" s="379" t="s">
        <v>3783</v>
      </c>
      <c r="QRM1115" s="379" t="s">
        <v>3783</v>
      </c>
      <c r="QRN1115" s="379" t="s">
        <v>3783</v>
      </c>
      <c r="QRO1115" s="379" t="s">
        <v>3783</v>
      </c>
      <c r="QRP1115" s="379" t="s">
        <v>3783</v>
      </c>
      <c r="QRQ1115" s="379" t="s">
        <v>3783</v>
      </c>
      <c r="QRR1115" s="379" t="s">
        <v>3783</v>
      </c>
      <c r="QRS1115" s="379" t="s">
        <v>3783</v>
      </c>
      <c r="QRT1115" s="379" t="s">
        <v>3783</v>
      </c>
      <c r="QRU1115" s="379" t="s">
        <v>3783</v>
      </c>
      <c r="QRV1115" s="379" t="s">
        <v>3783</v>
      </c>
      <c r="QRW1115" s="379" t="s">
        <v>3783</v>
      </c>
      <c r="QRX1115" s="379" t="s">
        <v>3783</v>
      </c>
      <c r="QRY1115" s="379" t="s">
        <v>3783</v>
      </c>
      <c r="QRZ1115" s="379" t="s">
        <v>3783</v>
      </c>
      <c r="QSA1115" s="379" t="s">
        <v>3783</v>
      </c>
      <c r="QSB1115" s="379" t="s">
        <v>3783</v>
      </c>
      <c r="QSC1115" s="379" t="s">
        <v>3783</v>
      </c>
      <c r="QSD1115" s="379" t="s">
        <v>3783</v>
      </c>
      <c r="QSE1115" s="379" t="s">
        <v>3783</v>
      </c>
      <c r="QSF1115" s="379" t="s">
        <v>3783</v>
      </c>
      <c r="QSG1115" s="379" t="s">
        <v>3783</v>
      </c>
      <c r="QSH1115" s="379" t="s">
        <v>3783</v>
      </c>
      <c r="QSI1115" s="379" t="s">
        <v>3783</v>
      </c>
      <c r="QSJ1115" s="379" t="s">
        <v>3783</v>
      </c>
      <c r="QSK1115" s="379" t="s">
        <v>3783</v>
      </c>
      <c r="QSL1115" s="379" t="s">
        <v>3783</v>
      </c>
      <c r="QSM1115" s="379" t="s">
        <v>3783</v>
      </c>
      <c r="QSN1115" s="379" t="s">
        <v>3783</v>
      </c>
      <c r="QSO1115" s="379" t="s">
        <v>3783</v>
      </c>
      <c r="QSP1115" s="379" t="s">
        <v>3783</v>
      </c>
      <c r="QSQ1115" s="379" t="s">
        <v>3783</v>
      </c>
      <c r="QSR1115" s="379" t="s">
        <v>3783</v>
      </c>
      <c r="QSS1115" s="379" t="s">
        <v>3783</v>
      </c>
      <c r="QST1115" s="379" t="s">
        <v>3783</v>
      </c>
      <c r="QSU1115" s="379" t="s">
        <v>3783</v>
      </c>
      <c r="QSV1115" s="379" t="s">
        <v>3783</v>
      </c>
      <c r="QSW1115" s="379" t="s">
        <v>3783</v>
      </c>
      <c r="QSX1115" s="379" t="s">
        <v>3783</v>
      </c>
      <c r="QSY1115" s="379" t="s">
        <v>3783</v>
      </c>
      <c r="QSZ1115" s="379" t="s">
        <v>3783</v>
      </c>
      <c r="QTA1115" s="379" t="s">
        <v>3783</v>
      </c>
      <c r="QTB1115" s="379" t="s">
        <v>3783</v>
      </c>
      <c r="QTC1115" s="379" t="s">
        <v>3783</v>
      </c>
      <c r="QTD1115" s="379" t="s">
        <v>3783</v>
      </c>
      <c r="QTE1115" s="379" t="s">
        <v>3783</v>
      </c>
      <c r="QTF1115" s="379" t="s">
        <v>3783</v>
      </c>
      <c r="QTG1115" s="379" t="s">
        <v>3783</v>
      </c>
      <c r="QTH1115" s="379" t="s">
        <v>3783</v>
      </c>
      <c r="QTI1115" s="379" t="s">
        <v>3783</v>
      </c>
      <c r="QTJ1115" s="379" t="s">
        <v>3783</v>
      </c>
      <c r="QTK1115" s="379" t="s">
        <v>3783</v>
      </c>
      <c r="QTL1115" s="379" t="s">
        <v>3783</v>
      </c>
      <c r="QTM1115" s="379" t="s">
        <v>3783</v>
      </c>
      <c r="QTN1115" s="379" t="s">
        <v>3783</v>
      </c>
      <c r="QTO1115" s="379" t="s">
        <v>3783</v>
      </c>
      <c r="QTP1115" s="379" t="s">
        <v>3783</v>
      </c>
      <c r="QTQ1115" s="379" t="s">
        <v>3783</v>
      </c>
      <c r="QTR1115" s="379" t="s">
        <v>3783</v>
      </c>
      <c r="QTS1115" s="379" t="s">
        <v>3783</v>
      </c>
      <c r="QTT1115" s="379" t="s">
        <v>3783</v>
      </c>
      <c r="QTU1115" s="379" t="s">
        <v>3783</v>
      </c>
      <c r="QTV1115" s="379" t="s">
        <v>3783</v>
      </c>
      <c r="QTW1115" s="379" t="s">
        <v>3783</v>
      </c>
      <c r="QTX1115" s="379" t="s">
        <v>3783</v>
      </c>
      <c r="QTY1115" s="379" t="s">
        <v>3783</v>
      </c>
      <c r="QTZ1115" s="379" t="s">
        <v>3783</v>
      </c>
      <c r="QUA1115" s="379" t="s">
        <v>3783</v>
      </c>
      <c r="QUB1115" s="379" t="s">
        <v>3783</v>
      </c>
      <c r="QUC1115" s="379" t="s">
        <v>3783</v>
      </c>
      <c r="QUD1115" s="379" t="s">
        <v>3783</v>
      </c>
      <c r="QUE1115" s="379" t="s">
        <v>3783</v>
      </c>
      <c r="QUF1115" s="379" t="s">
        <v>3783</v>
      </c>
      <c r="QUG1115" s="379" t="s">
        <v>3783</v>
      </c>
      <c r="QUH1115" s="379" t="s">
        <v>3783</v>
      </c>
      <c r="QUI1115" s="379" t="s">
        <v>3783</v>
      </c>
      <c r="QUJ1115" s="379" t="s">
        <v>3783</v>
      </c>
      <c r="QUK1115" s="379" t="s">
        <v>3783</v>
      </c>
      <c r="QUL1115" s="379" t="s">
        <v>3783</v>
      </c>
      <c r="QUM1115" s="379" t="s">
        <v>3783</v>
      </c>
      <c r="QUN1115" s="379" t="s">
        <v>3783</v>
      </c>
      <c r="QUO1115" s="379" t="s">
        <v>3783</v>
      </c>
      <c r="QUP1115" s="379" t="s">
        <v>3783</v>
      </c>
      <c r="QUQ1115" s="379" t="s">
        <v>3783</v>
      </c>
      <c r="QUR1115" s="379" t="s">
        <v>3783</v>
      </c>
      <c r="QUS1115" s="379" t="s">
        <v>3783</v>
      </c>
      <c r="QUT1115" s="379" t="s">
        <v>3783</v>
      </c>
      <c r="QUU1115" s="379" t="s">
        <v>3783</v>
      </c>
      <c r="QUV1115" s="379" t="s">
        <v>3783</v>
      </c>
      <c r="QUW1115" s="379" t="s">
        <v>3783</v>
      </c>
      <c r="QUX1115" s="379" t="s">
        <v>3783</v>
      </c>
      <c r="QUY1115" s="379" t="s">
        <v>3783</v>
      </c>
      <c r="QUZ1115" s="379" t="s">
        <v>3783</v>
      </c>
      <c r="QVA1115" s="379" t="s">
        <v>3783</v>
      </c>
      <c r="QVB1115" s="379" t="s">
        <v>3783</v>
      </c>
      <c r="QVC1115" s="379" t="s">
        <v>3783</v>
      </c>
      <c r="QVD1115" s="379" t="s">
        <v>3783</v>
      </c>
      <c r="QVE1115" s="379" t="s">
        <v>3783</v>
      </c>
      <c r="QVF1115" s="379" t="s">
        <v>3783</v>
      </c>
      <c r="QVG1115" s="379" t="s">
        <v>3783</v>
      </c>
      <c r="QVH1115" s="379" t="s">
        <v>3783</v>
      </c>
      <c r="QVI1115" s="379" t="s">
        <v>3783</v>
      </c>
      <c r="QVJ1115" s="379" t="s">
        <v>3783</v>
      </c>
      <c r="QVK1115" s="379" t="s">
        <v>3783</v>
      </c>
      <c r="QVL1115" s="379" t="s">
        <v>3783</v>
      </c>
      <c r="QVM1115" s="379" t="s">
        <v>3783</v>
      </c>
      <c r="QVN1115" s="379" t="s">
        <v>3783</v>
      </c>
      <c r="QVO1115" s="379" t="s">
        <v>3783</v>
      </c>
      <c r="QVP1115" s="379" t="s">
        <v>3783</v>
      </c>
      <c r="QVQ1115" s="379" t="s">
        <v>3783</v>
      </c>
      <c r="QVR1115" s="379" t="s">
        <v>3783</v>
      </c>
      <c r="QVS1115" s="379" t="s">
        <v>3783</v>
      </c>
      <c r="QVT1115" s="379" t="s">
        <v>3783</v>
      </c>
      <c r="QVU1115" s="379" t="s">
        <v>3783</v>
      </c>
      <c r="QVV1115" s="379" t="s">
        <v>3783</v>
      </c>
      <c r="QVW1115" s="379" t="s">
        <v>3783</v>
      </c>
      <c r="QVX1115" s="379" t="s">
        <v>3783</v>
      </c>
      <c r="QVY1115" s="379" t="s">
        <v>3783</v>
      </c>
      <c r="QVZ1115" s="379" t="s">
        <v>3783</v>
      </c>
      <c r="QWA1115" s="379" t="s">
        <v>3783</v>
      </c>
      <c r="QWB1115" s="379" t="s">
        <v>3783</v>
      </c>
      <c r="QWC1115" s="379" t="s">
        <v>3783</v>
      </c>
      <c r="QWD1115" s="379" t="s">
        <v>3783</v>
      </c>
      <c r="QWE1115" s="379" t="s">
        <v>3783</v>
      </c>
      <c r="QWF1115" s="379" t="s">
        <v>3783</v>
      </c>
      <c r="QWG1115" s="379" t="s">
        <v>3783</v>
      </c>
      <c r="QWH1115" s="379" t="s">
        <v>3783</v>
      </c>
      <c r="QWI1115" s="379" t="s">
        <v>3783</v>
      </c>
      <c r="QWJ1115" s="379" t="s">
        <v>3783</v>
      </c>
      <c r="QWK1115" s="379" t="s">
        <v>3783</v>
      </c>
      <c r="QWL1115" s="379" t="s">
        <v>3783</v>
      </c>
      <c r="QWM1115" s="379" t="s">
        <v>3783</v>
      </c>
      <c r="QWN1115" s="379" t="s">
        <v>3783</v>
      </c>
      <c r="QWO1115" s="379" t="s">
        <v>3783</v>
      </c>
      <c r="QWP1115" s="379" t="s">
        <v>3783</v>
      </c>
      <c r="QWQ1115" s="379" t="s">
        <v>3783</v>
      </c>
      <c r="QWR1115" s="379" t="s">
        <v>3783</v>
      </c>
      <c r="QWS1115" s="379" t="s">
        <v>3783</v>
      </c>
      <c r="QWT1115" s="379" t="s">
        <v>3783</v>
      </c>
      <c r="QWU1115" s="379" t="s">
        <v>3783</v>
      </c>
      <c r="QWV1115" s="379" t="s">
        <v>3783</v>
      </c>
      <c r="QWW1115" s="379" t="s">
        <v>3783</v>
      </c>
      <c r="QWX1115" s="379" t="s">
        <v>3783</v>
      </c>
      <c r="QWY1115" s="379" t="s">
        <v>3783</v>
      </c>
      <c r="QWZ1115" s="379" t="s">
        <v>3783</v>
      </c>
      <c r="QXA1115" s="379" t="s">
        <v>3783</v>
      </c>
      <c r="QXB1115" s="379" t="s">
        <v>3783</v>
      </c>
      <c r="QXC1115" s="379" t="s">
        <v>3783</v>
      </c>
      <c r="QXD1115" s="379" t="s">
        <v>3783</v>
      </c>
      <c r="QXE1115" s="379" t="s">
        <v>3783</v>
      </c>
      <c r="QXF1115" s="379" t="s">
        <v>3783</v>
      </c>
      <c r="QXG1115" s="379" t="s">
        <v>3783</v>
      </c>
      <c r="QXH1115" s="379" t="s">
        <v>3783</v>
      </c>
      <c r="QXI1115" s="379" t="s">
        <v>3783</v>
      </c>
      <c r="QXJ1115" s="379" t="s">
        <v>3783</v>
      </c>
      <c r="QXK1115" s="379" t="s">
        <v>3783</v>
      </c>
      <c r="QXL1115" s="379" t="s">
        <v>3783</v>
      </c>
      <c r="QXM1115" s="379" t="s">
        <v>3783</v>
      </c>
      <c r="QXN1115" s="379" t="s">
        <v>3783</v>
      </c>
      <c r="QXO1115" s="379" t="s">
        <v>3783</v>
      </c>
      <c r="QXP1115" s="379" t="s">
        <v>3783</v>
      </c>
      <c r="QXQ1115" s="379" t="s">
        <v>3783</v>
      </c>
      <c r="QXR1115" s="379" t="s">
        <v>3783</v>
      </c>
      <c r="QXS1115" s="379" t="s">
        <v>3783</v>
      </c>
      <c r="QXT1115" s="379" t="s">
        <v>3783</v>
      </c>
      <c r="QXU1115" s="379" t="s">
        <v>3783</v>
      </c>
      <c r="QXV1115" s="379" t="s">
        <v>3783</v>
      </c>
      <c r="QXW1115" s="379" t="s">
        <v>3783</v>
      </c>
      <c r="QXX1115" s="379" t="s">
        <v>3783</v>
      </c>
      <c r="QXY1115" s="379" t="s">
        <v>3783</v>
      </c>
      <c r="QXZ1115" s="379" t="s">
        <v>3783</v>
      </c>
      <c r="QYA1115" s="379" t="s">
        <v>3783</v>
      </c>
      <c r="QYB1115" s="379" t="s">
        <v>3783</v>
      </c>
      <c r="QYC1115" s="379" t="s">
        <v>3783</v>
      </c>
      <c r="QYD1115" s="379" t="s">
        <v>3783</v>
      </c>
      <c r="QYE1115" s="379" t="s">
        <v>3783</v>
      </c>
      <c r="QYF1115" s="379" t="s">
        <v>3783</v>
      </c>
      <c r="QYG1115" s="379" t="s">
        <v>3783</v>
      </c>
      <c r="QYH1115" s="379" t="s">
        <v>3783</v>
      </c>
      <c r="QYI1115" s="379" t="s">
        <v>3783</v>
      </c>
      <c r="QYJ1115" s="379" t="s">
        <v>3783</v>
      </c>
      <c r="QYK1115" s="379" t="s">
        <v>3783</v>
      </c>
      <c r="QYL1115" s="379" t="s">
        <v>3783</v>
      </c>
      <c r="QYM1115" s="379" t="s">
        <v>3783</v>
      </c>
      <c r="QYN1115" s="379" t="s">
        <v>3783</v>
      </c>
      <c r="QYO1115" s="379" t="s">
        <v>3783</v>
      </c>
      <c r="QYP1115" s="379" t="s">
        <v>3783</v>
      </c>
      <c r="QYQ1115" s="379" t="s">
        <v>3783</v>
      </c>
      <c r="QYR1115" s="379" t="s">
        <v>3783</v>
      </c>
      <c r="QYS1115" s="379" t="s">
        <v>3783</v>
      </c>
      <c r="QYT1115" s="379" t="s">
        <v>3783</v>
      </c>
      <c r="QYU1115" s="379" t="s">
        <v>3783</v>
      </c>
      <c r="QYV1115" s="379" t="s">
        <v>3783</v>
      </c>
      <c r="QYW1115" s="379" t="s">
        <v>3783</v>
      </c>
      <c r="QYX1115" s="379" t="s">
        <v>3783</v>
      </c>
      <c r="QYY1115" s="379" t="s">
        <v>3783</v>
      </c>
      <c r="QYZ1115" s="379" t="s">
        <v>3783</v>
      </c>
      <c r="QZA1115" s="379" t="s">
        <v>3783</v>
      </c>
      <c r="QZB1115" s="379" t="s">
        <v>3783</v>
      </c>
      <c r="QZC1115" s="379" t="s">
        <v>3783</v>
      </c>
      <c r="QZD1115" s="379" t="s">
        <v>3783</v>
      </c>
      <c r="QZE1115" s="379" t="s">
        <v>3783</v>
      </c>
      <c r="QZF1115" s="379" t="s">
        <v>3783</v>
      </c>
      <c r="QZG1115" s="379" t="s">
        <v>3783</v>
      </c>
      <c r="QZH1115" s="379" t="s">
        <v>3783</v>
      </c>
      <c r="QZI1115" s="379" t="s">
        <v>3783</v>
      </c>
      <c r="QZJ1115" s="379" t="s">
        <v>3783</v>
      </c>
      <c r="QZK1115" s="379" t="s">
        <v>3783</v>
      </c>
      <c r="QZL1115" s="379" t="s">
        <v>3783</v>
      </c>
      <c r="QZM1115" s="379" t="s">
        <v>3783</v>
      </c>
      <c r="QZN1115" s="379" t="s">
        <v>3783</v>
      </c>
      <c r="QZO1115" s="379" t="s">
        <v>3783</v>
      </c>
      <c r="QZP1115" s="379" t="s">
        <v>3783</v>
      </c>
      <c r="QZQ1115" s="379" t="s">
        <v>3783</v>
      </c>
      <c r="QZR1115" s="379" t="s">
        <v>3783</v>
      </c>
      <c r="QZS1115" s="379" t="s">
        <v>3783</v>
      </c>
      <c r="QZT1115" s="379" t="s">
        <v>3783</v>
      </c>
      <c r="QZU1115" s="379" t="s">
        <v>3783</v>
      </c>
      <c r="QZV1115" s="379" t="s">
        <v>3783</v>
      </c>
      <c r="QZW1115" s="379" t="s">
        <v>3783</v>
      </c>
      <c r="QZX1115" s="379" t="s">
        <v>3783</v>
      </c>
      <c r="QZY1115" s="379" t="s">
        <v>3783</v>
      </c>
      <c r="QZZ1115" s="379" t="s">
        <v>3783</v>
      </c>
      <c r="RAA1115" s="379" t="s">
        <v>3783</v>
      </c>
      <c r="RAB1115" s="379" t="s">
        <v>3783</v>
      </c>
      <c r="RAC1115" s="379" t="s">
        <v>3783</v>
      </c>
      <c r="RAD1115" s="379" t="s">
        <v>3783</v>
      </c>
      <c r="RAE1115" s="379" t="s">
        <v>3783</v>
      </c>
      <c r="RAF1115" s="379" t="s">
        <v>3783</v>
      </c>
      <c r="RAG1115" s="379" t="s">
        <v>3783</v>
      </c>
      <c r="RAH1115" s="379" t="s">
        <v>3783</v>
      </c>
      <c r="RAI1115" s="379" t="s">
        <v>3783</v>
      </c>
      <c r="RAJ1115" s="379" t="s">
        <v>3783</v>
      </c>
      <c r="RAK1115" s="379" t="s">
        <v>3783</v>
      </c>
      <c r="RAL1115" s="379" t="s">
        <v>3783</v>
      </c>
      <c r="RAM1115" s="379" t="s">
        <v>3783</v>
      </c>
      <c r="RAN1115" s="379" t="s">
        <v>3783</v>
      </c>
      <c r="RAO1115" s="379" t="s">
        <v>3783</v>
      </c>
      <c r="RAP1115" s="379" t="s">
        <v>3783</v>
      </c>
      <c r="RAQ1115" s="379" t="s">
        <v>3783</v>
      </c>
      <c r="RAR1115" s="379" t="s">
        <v>3783</v>
      </c>
      <c r="RAS1115" s="379" t="s">
        <v>3783</v>
      </c>
      <c r="RAT1115" s="379" t="s">
        <v>3783</v>
      </c>
      <c r="RAU1115" s="379" t="s">
        <v>3783</v>
      </c>
      <c r="RAV1115" s="379" t="s">
        <v>3783</v>
      </c>
      <c r="RAW1115" s="379" t="s">
        <v>3783</v>
      </c>
      <c r="RAX1115" s="379" t="s">
        <v>3783</v>
      </c>
      <c r="RAY1115" s="379" t="s">
        <v>3783</v>
      </c>
      <c r="RAZ1115" s="379" t="s">
        <v>3783</v>
      </c>
      <c r="RBA1115" s="379" t="s">
        <v>3783</v>
      </c>
      <c r="RBB1115" s="379" t="s">
        <v>3783</v>
      </c>
      <c r="RBC1115" s="379" t="s">
        <v>3783</v>
      </c>
      <c r="RBD1115" s="379" t="s">
        <v>3783</v>
      </c>
      <c r="RBE1115" s="379" t="s">
        <v>3783</v>
      </c>
      <c r="RBF1115" s="379" t="s">
        <v>3783</v>
      </c>
      <c r="RBG1115" s="379" t="s">
        <v>3783</v>
      </c>
      <c r="RBH1115" s="379" t="s">
        <v>3783</v>
      </c>
      <c r="RBI1115" s="379" t="s">
        <v>3783</v>
      </c>
      <c r="RBJ1115" s="379" t="s">
        <v>3783</v>
      </c>
      <c r="RBK1115" s="379" t="s">
        <v>3783</v>
      </c>
      <c r="RBL1115" s="379" t="s">
        <v>3783</v>
      </c>
      <c r="RBM1115" s="379" t="s">
        <v>3783</v>
      </c>
      <c r="RBN1115" s="379" t="s">
        <v>3783</v>
      </c>
      <c r="RBO1115" s="379" t="s">
        <v>3783</v>
      </c>
      <c r="RBP1115" s="379" t="s">
        <v>3783</v>
      </c>
      <c r="RBQ1115" s="379" t="s">
        <v>3783</v>
      </c>
      <c r="RBR1115" s="379" t="s">
        <v>3783</v>
      </c>
      <c r="RBS1115" s="379" t="s">
        <v>3783</v>
      </c>
      <c r="RBT1115" s="379" t="s">
        <v>3783</v>
      </c>
      <c r="RBU1115" s="379" t="s">
        <v>3783</v>
      </c>
      <c r="RBV1115" s="379" t="s">
        <v>3783</v>
      </c>
      <c r="RBW1115" s="379" t="s">
        <v>3783</v>
      </c>
      <c r="RBX1115" s="379" t="s">
        <v>3783</v>
      </c>
      <c r="RBY1115" s="379" t="s">
        <v>3783</v>
      </c>
      <c r="RBZ1115" s="379" t="s">
        <v>3783</v>
      </c>
      <c r="RCA1115" s="379" t="s">
        <v>3783</v>
      </c>
      <c r="RCB1115" s="379" t="s">
        <v>3783</v>
      </c>
      <c r="RCC1115" s="379" t="s">
        <v>3783</v>
      </c>
      <c r="RCD1115" s="379" t="s">
        <v>3783</v>
      </c>
      <c r="RCE1115" s="379" t="s">
        <v>3783</v>
      </c>
      <c r="RCF1115" s="379" t="s">
        <v>3783</v>
      </c>
      <c r="RCG1115" s="379" t="s">
        <v>3783</v>
      </c>
      <c r="RCH1115" s="379" t="s">
        <v>3783</v>
      </c>
      <c r="RCI1115" s="379" t="s">
        <v>3783</v>
      </c>
      <c r="RCJ1115" s="379" t="s">
        <v>3783</v>
      </c>
      <c r="RCK1115" s="379" t="s">
        <v>3783</v>
      </c>
      <c r="RCL1115" s="379" t="s">
        <v>3783</v>
      </c>
      <c r="RCM1115" s="379" t="s">
        <v>3783</v>
      </c>
      <c r="RCN1115" s="379" t="s">
        <v>3783</v>
      </c>
      <c r="RCO1115" s="379" t="s">
        <v>3783</v>
      </c>
      <c r="RCP1115" s="379" t="s">
        <v>3783</v>
      </c>
      <c r="RCQ1115" s="379" t="s">
        <v>3783</v>
      </c>
      <c r="RCR1115" s="379" t="s">
        <v>3783</v>
      </c>
      <c r="RCS1115" s="379" t="s">
        <v>3783</v>
      </c>
      <c r="RCT1115" s="379" t="s">
        <v>3783</v>
      </c>
      <c r="RCU1115" s="379" t="s">
        <v>3783</v>
      </c>
      <c r="RCV1115" s="379" t="s">
        <v>3783</v>
      </c>
      <c r="RCW1115" s="379" t="s">
        <v>3783</v>
      </c>
      <c r="RCX1115" s="379" t="s">
        <v>3783</v>
      </c>
      <c r="RCY1115" s="379" t="s">
        <v>3783</v>
      </c>
      <c r="RCZ1115" s="379" t="s">
        <v>3783</v>
      </c>
      <c r="RDA1115" s="379" t="s">
        <v>3783</v>
      </c>
      <c r="RDB1115" s="379" t="s">
        <v>3783</v>
      </c>
      <c r="RDC1115" s="379" t="s">
        <v>3783</v>
      </c>
      <c r="RDD1115" s="379" t="s">
        <v>3783</v>
      </c>
      <c r="RDE1115" s="379" t="s">
        <v>3783</v>
      </c>
      <c r="RDF1115" s="379" t="s">
        <v>3783</v>
      </c>
      <c r="RDG1115" s="379" t="s">
        <v>3783</v>
      </c>
      <c r="RDH1115" s="379" t="s">
        <v>3783</v>
      </c>
      <c r="RDI1115" s="379" t="s">
        <v>3783</v>
      </c>
      <c r="RDJ1115" s="379" t="s">
        <v>3783</v>
      </c>
      <c r="RDK1115" s="379" t="s">
        <v>3783</v>
      </c>
      <c r="RDL1115" s="379" t="s">
        <v>3783</v>
      </c>
      <c r="RDM1115" s="379" t="s">
        <v>3783</v>
      </c>
      <c r="RDN1115" s="379" t="s">
        <v>3783</v>
      </c>
      <c r="RDO1115" s="379" t="s">
        <v>3783</v>
      </c>
      <c r="RDP1115" s="379" t="s">
        <v>3783</v>
      </c>
      <c r="RDQ1115" s="379" t="s">
        <v>3783</v>
      </c>
      <c r="RDR1115" s="379" t="s">
        <v>3783</v>
      </c>
      <c r="RDS1115" s="379" t="s">
        <v>3783</v>
      </c>
      <c r="RDT1115" s="379" t="s">
        <v>3783</v>
      </c>
      <c r="RDU1115" s="379" t="s">
        <v>3783</v>
      </c>
      <c r="RDV1115" s="379" t="s">
        <v>3783</v>
      </c>
      <c r="RDW1115" s="379" t="s">
        <v>3783</v>
      </c>
      <c r="RDX1115" s="379" t="s">
        <v>3783</v>
      </c>
      <c r="RDY1115" s="379" t="s">
        <v>3783</v>
      </c>
      <c r="RDZ1115" s="379" t="s">
        <v>3783</v>
      </c>
      <c r="REA1115" s="379" t="s">
        <v>3783</v>
      </c>
      <c r="REB1115" s="379" t="s">
        <v>3783</v>
      </c>
      <c r="REC1115" s="379" t="s">
        <v>3783</v>
      </c>
      <c r="RED1115" s="379" t="s">
        <v>3783</v>
      </c>
      <c r="REE1115" s="379" t="s">
        <v>3783</v>
      </c>
      <c r="REF1115" s="379" t="s">
        <v>3783</v>
      </c>
      <c r="REG1115" s="379" t="s">
        <v>3783</v>
      </c>
      <c r="REH1115" s="379" t="s">
        <v>3783</v>
      </c>
      <c r="REI1115" s="379" t="s">
        <v>3783</v>
      </c>
      <c r="REJ1115" s="379" t="s">
        <v>3783</v>
      </c>
      <c r="REK1115" s="379" t="s">
        <v>3783</v>
      </c>
      <c r="REL1115" s="379" t="s">
        <v>3783</v>
      </c>
      <c r="REM1115" s="379" t="s">
        <v>3783</v>
      </c>
      <c r="REN1115" s="379" t="s">
        <v>3783</v>
      </c>
      <c r="REO1115" s="379" t="s">
        <v>3783</v>
      </c>
      <c r="REP1115" s="379" t="s">
        <v>3783</v>
      </c>
      <c r="REQ1115" s="379" t="s">
        <v>3783</v>
      </c>
      <c r="RER1115" s="379" t="s">
        <v>3783</v>
      </c>
      <c r="RES1115" s="379" t="s">
        <v>3783</v>
      </c>
      <c r="RET1115" s="379" t="s">
        <v>3783</v>
      </c>
      <c r="REU1115" s="379" t="s">
        <v>3783</v>
      </c>
      <c r="REV1115" s="379" t="s">
        <v>3783</v>
      </c>
      <c r="REW1115" s="379" t="s">
        <v>3783</v>
      </c>
      <c r="REX1115" s="379" t="s">
        <v>3783</v>
      </c>
      <c r="REY1115" s="379" t="s">
        <v>3783</v>
      </c>
      <c r="REZ1115" s="379" t="s">
        <v>3783</v>
      </c>
      <c r="RFA1115" s="379" t="s">
        <v>3783</v>
      </c>
      <c r="RFB1115" s="379" t="s">
        <v>3783</v>
      </c>
      <c r="RFC1115" s="379" t="s">
        <v>3783</v>
      </c>
      <c r="RFD1115" s="379" t="s">
        <v>3783</v>
      </c>
      <c r="RFE1115" s="379" t="s">
        <v>3783</v>
      </c>
      <c r="RFF1115" s="379" t="s">
        <v>3783</v>
      </c>
      <c r="RFG1115" s="379" t="s">
        <v>3783</v>
      </c>
      <c r="RFH1115" s="379" t="s">
        <v>3783</v>
      </c>
      <c r="RFI1115" s="379" t="s">
        <v>3783</v>
      </c>
      <c r="RFJ1115" s="379" t="s">
        <v>3783</v>
      </c>
      <c r="RFK1115" s="379" t="s">
        <v>3783</v>
      </c>
      <c r="RFL1115" s="379" t="s">
        <v>3783</v>
      </c>
      <c r="RFM1115" s="379" t="s">
        <v>3783</v>
      </c>
      <c r="RFN1115" s="379" t="s">
        <v>3783</v>
      </c>
      <c r="RFO1115" s="379" t="s">
        <v>3783</v>
      </c>
      <c r="RFP1115" s="379" t="s">
        <v>3783</v>
      </c>
      <c r="RFQ1115" s="379" t="s">
        <v>3783</v>
      </c>
      <c r="RFR1115" s="379" t="s">
        <v>3783</v>
      </c>
      <c r="RFS1115" s="379" t="s">
        <v>3783</v>
      </c>
      <c r="RFT1115" s="379" t="s">
        <v>3783</v>
      </c>
      <c r="RFU1115" s="379" t="s">
        <v>3783</v>
      </c>
      <c r="RFV1115" s="379" t="s">
        <v>3783</v>
      </c>
      <c r="RFW1115" s="379" t="s">
        <v>3783</v>
      </c>
      <c r="RFX1115" s="379" t="s">
        <v>3783</v>
      </c>
      <c r="RFY1115" s="379" t="s">
        <v>3783</v>
      </c>
      <c r="RFZ1115" s="379" t="s">
        <v>3783</v>
      </c>
      <c r="RGA1115" s="379" t="s">
        <v>3783</v>
      </c>
      <c r="RGB1115" s="379" t="s">
        <v>3783</v>
      </c>
      <c r="RGC1115" s="379" t="s">
        <v>3783</v>
      </c>
      <c r="RGD1115" s="379" t="s">
        <v>3783</v>
      </c>
      <c r="RGE1115" s="379" t="s">
        <v>3783</v>
      </c>
      <c r="RGF1115" s="379" t="s">
        <v>3783</v>
      </c>
      <c r="RGG1115" s="379" t="s">
        <v>3783</v>
      </c>
      <c r="RGH1115" s="379" t="s">
        <v>3783</v>
      </c>
      <c r="RGI1115" s="379" t="s">
        <v>3783</v>
      </c>
      <c r="RGJ1115" s="379" t="s">
        <v>3783</v>
      </c>
      <c r="RGK1115" s="379" t="s">
        <v>3783</v>
      </c>
      <c r="RGL1115" s="379" t="s">
        <v>3783</v>
      </c>
      <c r="RGM1115" s="379" t="s">
        <v>3783</v>
      </c>
      <c r="RGN1115" s="379" t="s">
        <v>3783</v>
      </c>
      <c r="RGO1115" s="379" t="s">
        <v>3783</v>
      </c>
      <c r="RGP1115" s="379" t="s">
        <v>3783</v>
      </c>
      <c r="RGQ1115" s="379" t="s">
        <v>3783</v>
      </c>
      <c r="RGR1115" s="379" t="s">
        <v>3783</v>
      </c>
      <c r="RGS1115" s="379" t="s">
        <v>3783</v>
      </c>
      <c r="RGT1115" s="379" t="s">
        <v>3783</v>
      </c>
      <c r="RGU1115" s="379" t="s">
        <v>3783</v>
      </c>
      <c r="RGV1115" s="379" t="s">
        <v>3783</v>
      </c>
      <c r="RGW1115" s="379" t="s">
        <v>3783</v>
      </c>
      <c r="RGX1115" s="379" t="s">
        <v>3783</v>
      </c>
      <c r="RGY1115" s="379" t="s">
        <v>3783</v>
      </c>
      <c r="RGZ1115" s="379" t="s">
        <v>3783</v>
      </c>
      <c r="RHA1115" s="379" t="s">
        <v>3783</v>
      </c>
      <c r="RHB1115" s="379" t="s">
        <v>3783</v>
      </c>
      <c r="RHC1115" s="379" t="s">
        <v>3783</v>
      </c>
      <c r="RHD1115" s="379" t="s">
        <v>3783</v>
      </c>
      <c r="RHE1115" s="379" t="s">
        <v>3783</v>
      </c>
      <c r="RHF1115" s="379" t="s">
        <v>3783</v>
      </c>
      <c r="RHG1115" s="379" t="s">
        <v>3783</v>
      </c>
      <c r="RHH1115" s="379" t="s">
        <v>3783</v>
      </c>
      <c r="RHI1115" s="379" t="s">
        <v>3783</v>
      </c>
      <c r="RHJ1115" s="379" t="s">
        <v>3783</v>
      </c>
      <c r="RHK1115" s="379" t="s">
        <v>3783</v>
      </c>
      <c r="RHL1115" s="379" t="s">
        <v>3783</v>
      </c>
      <c r="RHM1115" s="379" t="s">
        <v>3783</v>
      </c>
      <c r="RHN1115" s="379" t="s">
        <v>3783</v>
      </c>
      <c r="RHO1115" s="379" t="s">
        <v>3783</v>
      </c>
      <c r="RHP1115" s="379" t="s">
        <v>3783</v>
      </c>
      <c r="RHQ1115" s="379" t="s">
        <v>3783</v>
      </c>
      <c r="RHR1115" s="379" t="s">
        <v>3783</v>
      </c>
      <c r="RHS1115" s="379" t="s">
        <v>3783</v>
      </c>
      <c r="RHT1115" s="379" t="s">
        <v>3783</v>
      </c>
      <c r="RHU1115" s="379" t="s">
        <v>3783</v>
      </c>
      <c r="RHV1115" s="379" t="s">
        <v>3783</v>
      </c>
      <c r="RHW1115" s="379" t="s">
        <v>3783</v>
      </c>
      <c r="RHX1115" s="379" t="s">
        <v>3783</v>
      </c>
      <c r="RHY1115" s="379" t="s">
        <v>3783</v>
      </c>
      <c r="RHZ1115" s="379" t="s">
        <v>3783</v>
      </c>
      <c r="RIA1115" s="379" t="s">
        <v>3783</v>
      </c>
      <c r="RIB1115" s="379" t="s">
        <v>3783</v>
      </c>
      <c r="RIC1115" s="379" t="s">
        <v>3783</v>
      </c>
      <c r="RID1115" s="379" t="s">
        <v>3783</v>
      </c>
      <c r="RIE1115" s="379" t="s">
        <v>3783</v>
      </c>
      <c r="RIF1115" s="379" t="s">
        <v>3783</v>
      </c>
      <c r="RIG1115" s="379" t="s">
        <v>3783</v>
      </c>
      <c r="RIH1115" s="379" t="s">
        <v>3783</v>
      </c>
      <c r="RII1115" s="379" t="s">
        <v>3783</v>
      </c>
      <c r="RIJ1115" s="379" t="s">
        <v>3783</v>
      </c>
      <c r="RIK1115" s="379" t="s">
        <v>3783</v>
      </c>
      <c r="RIL1115" s="379" t="s">
        <v>3783</v>
      </c>
      <c r="RIM1115" s="379" t="s">
        <v>3783</v>
      </c>
      <c r="RIN1115" s="379" t="s">
        <v>3783</v>
      </c>
      <c r="RIO1115" s="379" t="s">
        <v>3783</v>
      </c>
      <c r="RIP1115" s="379" t="s">
        <v>3783</v>
      </c>
      <c r="RIQ1115" s="379" t="s">
        <v>3783</v>
      </c>
      <c r="RIR1115" s="379" t="s">
        <v>3783</v>
      </c>
      <c r="RIS1115" s="379" t="s">
        <v>3783</v>
      </c>
      <c r="RIT1115" s="379" t="s">
        <v>3783</v>
      </c>
      <c r="RIU1115" s="379" t="s">
        <v>3783</v>
      </c>
      <c r="RIV1115" s="379" t="s">
        <v>3783</v>
      </c>
      <c r="RIW1115" s="379" t="s">
        <v>3783</v>
      </c>
      <c r="RIX1115" s="379" t="s">
        <v>3783</v>
      </c>
      <c r="RIY1115" s="379" t="s">
        <v>3783</v>
      </c>
      <c r="RIZ1115" s="379" t="s">
        <v>3783</v>
      </c>
      <c r="RJA1115" s="379" t="s">
        <v>3783</v>
      </c>
      <c r="RJB1115" s="379" t="s">
        <v>3783</v>
      </c>
      <c r="RJC1115" s="379" t="s">
        <v>3783</v>
      </c>
      <c r="RJD1115" s="379" t="s">
        <v>3783</v>
      </c>
      <c r="RJE1115" s="379" t="s">
        <v>3783</v>
      </c>
      <c r="RJF1115" s="379" t="s">
        <v>3783</v>
      </c>
      <c r="RJG1115" s="379" t="s">
        <v>3783</v>
      </c>
      <c r="RJH1115" s="379" t="s">
        <v>3783</v>
      </c>
      <c r="RJI1115" s="379" t="s">
        <v>3783</v>
      </c>
      <c r="RJJ1115" s="379" t="s">
        <v>3783</v>
      </c>
      <c r="RJK1115" s="379" t="s">
        <v>3783</v>
      </c>
      <c r="RJL1115" s="379" t="s">
        <v>3783</v>
      </c>
      <c r="RJM1115" s="379" t="s">
        <v>3783</v>
      </c>
      <c r="RJN1115" s="379" t="s">
        <v>3783</v>
      </c>
      <c r="RJO1115" s="379" t="s">
        <v>3783</v>
      </c>
      <c r="RJP1115" s="379" t="s">
        <v>3783</v>
      </c>
      <c r="RJQ1115" s="379" t="s">
        <v>3783</v>
      </c>
      <c r="RJR1115" s="379" t="s">
        <v>3783</v>
      </c>
      <c r="RJS1115" s="379" t="s">
        <v>3783</v>
      </c>
      <c r="RJT1115" s="379" t="s">
        <v>3783</v>
      </c>
      <c r="RJU1115" s="379" t="s">
        <v>3783</v>
      </c>
      <c r="RJV1115" s="379" t="s">
        <v>3783</v>
      </c>
      <c r="RJW1115" s="379" t="s">
        <v>3783</v>
      </c>
      <c r="RJX1115" s="379" t="s">
        <v>3783</v>
      </c>
      <c r="RJY1115" s="379" t="s">
        <v>3783</v>
      </c>
      <c r="RJZ1115" s="379" t="s">
        <v>3783</v>
      </c>
      <c r="RKA1115" s="379" t="s">
        <v>3783</v>
      </c>
      <c r="RKB1115" s="379" t="s">
        <v>3783</v>
      </c>
      <c r="RKC1115" s="379" t="s">
        <v>3783</v>
      </c>
      <c r="RKD1115" s="379" t="s">
        <v>3783</v>
      </c>
      <c r="RKE1115" s="379" t="s">
        <v>3783</v>
      </c>
      <c r="RKF1115" s="379" t="s">
        <v>3783</v>
      </c>
      <c r="RKG1115" s="379" t="s">
        <v>3783</v>
      </c>
      <c r="RKH1115" s="379" t="s">
        <v>3783</v>
      </c>
      <c r="RKI1115" s="379" t="s">
        <v>3783</v>
      </c>
      <c r="RKJ1115" s="379" t="s">
        <v>3783</v>
      </c>
      <c r="RKK1115" s="379" t="s">
        <v>3783</v>
      </c>
      <c r="RKL1115" s="379" t="s">
        <v>3783</v>
      </c>
      <c r="RKM1115" s="379" t="s">
        <v>3783</v>
      </c>
      <c r="RKN1115" s="379" t="s">
        <v>3783</v>
      </c>
      <c r="RKO1115" s="379" t="s">
        <v>3783</v>
      </c>
      <c r="RKP1115" s="379" t="s">
        <v>3783</v>
      </c>
      <c r="RKQ1115" s="379" t="s">
        <v>3783</v>
      </c>
      <c r="RKR1115" s="379" t="s">
        <v>3783</v>
      </c>
      <c r="RKS1115" s="379" t="s">
        <v>3783</v>
      </c>
      <c r="RKT1115" s="379" t="s">
        <v>3783</v>
      </c>
      <c r="RKU1115" s="379" t="s">
        <v>3783</v>
      </c>
      <c r="RKV1115" s="379" t="s">
        <v>3783</v>
      </c>
      <c r="RKW1115" s="379" t="s">
        <v>3783</v>
      </c>
      <c r="RKX1115" s="379" t="s">
        <v>3783</v>
      </c>
      <c r="RKY1115" s="379" t="s">
        <v>3783</v>
      </c>
      <c r="RKZ1115" s="379" t="s">
        <v>3783</v>
      </c>
      <c r="RLA1115" s="379" t="s">
        <v>3783</v>
      </c>
      <c r="RLB1115" s="379" t="s">
        <v>3783</v>
      </c>
      <c r="RLC1115" s="379" t="s">
        <v>3783</v>
      </c>
      <c r="RLD1115" s="379" t="s">
        <v>3783</v>
      </c>
      <c r="RLE1115" s="379" t="s">
        <v>3783</v>
      </c>
      <c r="RLF1115" s="379" t="s">
        <v>3783</v>
      </c>
      <c r="RLG1115" s="379" t="s">
        <v>3783</v>
      </c>
      <c r="RLH1115" s="379" t="s">
        <v>3783</v>
      </c>
      <c r="RLI1115" s="379" t="s">
        <v>3783</v>
      </c>
      <c r="RLJ1115" s="379" t="s">
        <v>3783</v>
      </c>
      <c r="RLK1115" s="379" t="s">
        <v>3783</v>
      </c>
      <c r="RLL1115" s="379" t="s">
        <v>3783</v>
      </c>
      <c r="RLM1115" s="379" t="s">
        <v>3783</v>
      </c>
      <c r="RLN1115" s="379" t="s">
        <v>3783</v>
      </c>
      <c r="RLO1115" s="379" t="s">
        <v>3783</v>
      </c>
      <c r="RLP1115" s="379" t="s">
        <v>3783</v>
      </c>
      <c r="RLQ1115" s="379" t="s">
        <v>3783</v>
      </c>
      <c r="RLR1115" s="379" t="s">
        <v>3783</v>
      </c>
      <c r="RLS1115" s="379" t="s">
        <v>3783</v>
      </c>
      <c r="RLT1115" s="379" t="s">
        <v>3783</v>
      </c>
      <c r="RLU1115" s="379" t="s">
        <v>3783</v>
      </c>
      <c r="RLV1115" s="379" t="s">
        <v>3783</v>
      </c>
      <c r="RLW1115" s="379" t="s">
        <v>3783</v>
      </c>
      <c r="RLX1115" s="379" t="s">
        <v>3783</v>
      </c>
      <c r="RLY1115" s="379" t="s">
        <v>3783</v>
      </c>
      <c r="RLZ1115" s="379" t="s">
        <v>3783</v>
      </c>
      <c r="RMA1115" s="379" t="s">
        <v>3783</v>
      </c>
      <c r="RMB1115" s="379" t="s">
        <v>3783</v>
      </c>
      <c r="RMC1115" s="379" t="s">
        <v>3783</v>
      </c>
      <c r="RMD1115" s="379" t="s">
        <v>3783</v>
      </c>
      <c r="RME1115" s="379" t="s">
        <v>3783</v>
      </c>
      <c r="RMF1115" s="379" t="s">
        <v>3783</v>
      </c>
      <c r="RMG1115" s="379" t="s">
        <v>3783</v>
      </c>
      <c r="RMH1115" s="379" t="s">
        <v>3783</v>
      </c>
      <c r="RMI1115" s="379" t="s">
        <v>3783</v>
      </c>
      <c r="RMJ1115" s="379" t="s">
        <v>3783</v>
      </c>
      <c r="RMK1115" s="379" t="s">
        <v>3783</v>
      </c>
      <c r="RML1115" s="379" t="s">
        <v>3783</v>
      </c>
      <c r="RMM1115" s="379" t="s">
        <v>3783</v>
      </c>
      <c r="RMN1115" s="379" t="s">
        <v>3783</v>
      </c>
      <c r="RMO1115" s="379" t="s">
        <v>3783</v>
      </c>
      <c r="RMP1115" s="379" t="s">
        <v>3783</v>
      </c>
      <c r="RMQ1115" s="379" t="s">
        <v>3783</v>
      </c>
      <c r="RMR1115" s="379" t="s">
        <v>3783</v>
      </c>
      <c r="RMS1115" s="379" t="s">
        <v>3783</v>
      </c>
      <c r="RMT1115" s="379" t="s">
        <v>3783</v>
      </c>
      <c r="RMU1115" s="379" t="s">
        <v>3783</v>
      </c>
      <c r="RMV1115" s="379" t="s">
        <v>3783</v>
      </c>
      <c r="RMW1115" s="379" t="s">
        <v>3783</v>
      </c>
      <c r="RMX1115" s="379" t="s">
        <v>3783</v>
      </c>
      <c r="RMY1115" s="379" t="s">
        <v>3783</v>
      </c>
      <c r="RMZ1115" s="379" t="s">
        <v>3783</v>
      </c>
      <c r="RNA1115" s="379" t="s">
        <v>3783</v>
      </c>
      <c r="RNB1115" s="379" t="s">
        <v>3783</v>
      </c>
      <c r="RNC1115" s="379" t="s">
        <v>3783</v>
      </c>
      <c r="RND1115" s="379" t="s">
        <v>3783</v>
      </c>
      <c r="RNE1115" s="379" t="s">
        <v>3783</v>
      </c>
      <c r="RNF1115" s="379" t="s">
        <v>3783</v>
      </c>
      <c r="RNG1115" s="379" t="s">
        <v>3783</v>
      </c>
      <c r="RNH1115" s="379" t="s">
        <v>3783</v>
      </c>
      <c r="RNI1115" s="379" t="s">
        <v>3783</v>
      </c>
      <c r="RNJ1115" s="379" t="s">
        <v>3783</v>
      </c>
      <c r="RNK1115" s="379" t="s">
        <v>3783</v>
      </c>
      <c r="RNL1115" s="379" t="s">
        <v>3783</v>
      </c>
      <c r="RNM1115" s="379" t="s">
        <v>3783</v>
      </c>
      <c r="RNN1115" s="379" t="s">
        <v>3783</v>
      </c>
      <c r="RNO1115" s="379" t="s">
        <v>3783</v>
      </c>
      <c r="RNP1115" s="379" t="s">
        <v>3783</v>
      </c>
      <c r="RNQ1115" s="379" t="s">
        <v>3783</v>
      </c>
      <c r="RNR1115" s="379" t="s">
        <v>3783</v>
      </c>
      <c r="RNS1115" s="379" t="s">
        <v>3783</v>
      </c>
      <c r="RNT1115" s="379" t="s">
        <v>3783</v>
      </c>
      <c r="RNU1115" s="379" t="s">
        <v>3783</v>
      </c>
      <c r="RNV1115" s="379" t="s">
        <v>3783</v>
      </c>
      <c r="RNW1115" s="379" t="s">
        <v>3783</v>
      </c>
      <c r="RNX1115" s="379" t="s">
        <v>3783</v>
      </c>
      <c r="RNY1115" s="379" t="s">
        <v>3783</v>
      </c>
      <c r="RNZ1115" s="379" t="s">
        <v>3783</v>
      </c>
      <c r="ROA1115" s="379" t="s">
        <v>3783</v>
      </c>
      <c r="ROB1115" s="379" t="s">
        <v>3783</v>
      </c>
      <c r="ROC1115" s="379" t="s">
        <v>3783</v>
      </c>
      <c r="ROD1115" s="379" t="s">
        <v>3783</v>
      </c>
      <c r="ROE1115" s="379" t="s">
        <v>3783</v>
      </c>
      <c r="ROF1115" s="379" t="s">
        <v>3783</v>
      </c>
      <c r="ROG1115" s="379" t="s">
        <v>3783</v>
      </c>
      <c r="ROH1115" s="379" t="s">
        <v>3783</v>
      </c>
      <c r="ROI1115" s="379" t="s">
        <v>3783</v>
      </c>
      <c r="ROJ1115" s="379" t="s">
        <v>3783</v>
      </c>
      <c r="ROK1115" s="379" t="s">
        <v>3783</v>
      </c>
      <c r="ROL1115" s="379" t="s">
        <v>3783</v>
      </c>
      <c r="ROM1115" s="379" t="s">
        <v>3783</v>
      </c>
      <c r="RON1115" s="379" t="s">
        <v>3783</v>
      </c>
      <c r="ROO1115" s="379" t="s">
        <v>3783</v>
      </c>
      <c r="ROP1115" s="379" t="s">
        <v>3783</v>
      </c>
      <c r="ROQ1115" s="379" t="s">
        <v>3783</v>
      </c>
      <c r="ROR1115" s="379" t="s">
        <v>3783</v>
      </c>
      <c r="ROS1115" s="379" t="s">
        <v>3783</v>
      </c>
      <c r="ROT1115" s="379" t="s">
        <v>3783</v>
      </c>
      <c r="ROU1115" s="379" t="s">
        <v>3783</v>
      </c>
      <c r="ROV1115" s="379" t="s">
        <v>3783</v>
      </c>
      <c r="ROW1115" s="379" t="s">
        <v>3783</v>
      </c>
      <c r="ROX1115" s="379" t="s">
        <v>3783</v>
      </c>
      <c r="ROY1115" s="379" t="s">
        <v>3783</v>
      </c>
      <c r="ROZ1115" s="379" t="s">
        <v>3783</v>
      </c>
      <c r="RPA1115" s="379" t="s">
        <v>3783</v>
      </c>
      <c r="RPB1115" s="379" t="s">
        <v>3783</v>
      </c>
      <c r="RPC1115" s="379" t="s">
        <v>3783</v>
      </c>
      <c r="RPD1115" s="379" t="s">
        <v>3783</v>
      </c>
      <c r="RPE1115" s="379" t="s">
        <v>3783</v>
      </c>
      <c r="RPF1115" s="379" t="s">
        <v>3783</v>
      </c>
      <c r="RPG1115" s="379" t="s">
        <v>3783</v>
      </c>
      <c r="RPH1115" s="379" t="s">
        <v>3783</v>
      </c>
      <c r="RPI1115" s="379" t="s">
        <v>3783</v>
      </c>
      <c r="RPJ1115" s="379" t="s">
        <v>3783</v>
      </c>
      <c r="RPK1115" s="379" t="s">
        <v>3783</v>
      </c>
      <c r="RPL1115" s="379" t="s">
        <v>3783</v>
      </c>
      <c r="RPM1115" s="379" t="s">
        <v>3783</v>
      </c>
      <c r="RPN1115" s="379" t="s">
        <v>3783</v>
      </c>
      <c r="RPO1115" s="379" t="s">
        <v>3783</v>
      </c>
      <c r="RPP1115" s="379" t="s">
        <v>3783</v>
      </c>
      <c r="RPQ1115" s="379" t="s">
        <v>3783</v>
      </c>
      <c r="RPR1115" s="379" t="s">
        <v>3783</v>
      </c>
      <c r="RPS1115" s="379" t="s">
        <v>3783</v>
      </c>
      <c r="RPT1115" s="379" t="s">
        <v>3783</v>
      </c>
      <c r="RPU1115" s="379" t="s">
        <v>3783</v>
      </c>
      <c r="RPV1115" s="379" t="s">
        <v>3783</v>
      </c>
      <c r="RPW1115" s="379" t="s">
        <v>3783</v>
      </c>
      <c r="RPX1115" s="379" t="s">
        <v>3783</v>
      </c>
      <c r="RPY1115" s="379" t="s">
        <v>3783</v>
      </c>
      <c r="RPZ1115" s="379" t="s">
        <v>3783</v>
      </c>
      <c r="RQA1115" s="379" t="s">
        <v>3783</v>
      </c>
      <c r="RQB1115" s="379" t="s">
        <v>3783</v>
      </c>
      <c r="RQC1115" s="379" t="s">
        <v>3783</v>
      </c>
      <c r="RQD1115" s="379" t="s">
        <v>3783</v>
      </c>
      <c r="RQE1115" s="379" t="s">
        <v>3783</v>
      </c>
      <c r="RQF1115" s="379" t="s">
        <v>3783</v>
      </c>
      <c r="RQG1115" s="379" t="s">
        <v>3783</v>
      </c>
      <c r="RQH1115" s="379" t="s">
        <v>3783</v>
      </c>
      <c r="RQI1115" s="379" t="s">
        <v>3783</v>
      </c>
      <c r="RQJ1115" s="379" t="s">
        <v>3783</v>
      </c>
      <c r="RQK1115" s="379" t="s">
        <v>3783</v>
      </c>
      <c r="RQL1115" s="379" t="s">
        <v>3783</v>
      </c>
      <c r="RQM1115" s="379" t="s">
        <v>3783</v>
      </c>
      <c r="RQN1115" s="379" t="s">
        <v>3783</v>
      </c>
      <c r="RQO1115" s="379" t="s">
        <v>3783</v>
      </c>
      <c r="RQP1115" s="379" t="s">
        <v>3783</v>
      </c>
      <c r="RQQ1115" s="379" t="s">
        <v>3783</v>
      </c>
      <c r="RQR1115" s="379" t="s">
        <v>3783</v>
      </c>
      <c r="RQS1115" s="379" t="s">
        <v>3783</v>
      </c>
      <c r="RQT1115" s="379" t="s">
        <v>3783</v>
      </c>
      <c r="RQU1115" s="379" t="s">
        <v>3783</v>
      </c>
      <c r="RQV1115" s="379" t="s">
        <v>3783</v>
      </c>
      <c r="RQW1115" s="379" t="s">
        <v>3783</v>
      </c>
      <c r="RQX1115" s="379" t="s">
        <v>3783</v>
      </c>
      <c r="RQY1115" s="379" t="s">
        <v>3783</v>
      </c>
      <c r="RQZ1115" s="379" t="s">
        <v>3783</v>
      </c>
      <c r="RRA1115" s="379" t="s">
        <v>3783</v>
      </c>
      <c r="RRB1115" s="379" t="s">
        <v>3783</v>
      </c>
      <c r="RRC1115" s="379" t="s">
        <v>3783</v>
      </c>
      <c r="RRD1115" s="379" t="s">
        <v>3783</v>
      </c>
      <c r="RRE1115" s="379" t="s">
        <v>3783</v>
      </c>
      <c r="RRF1115" s="379" t="s">
        <v>3783</v>
      </c>
      <c r="RRG1115" s="379" t="s">
        <v>3783</v>
      </c>
      <c r="RRH1115" s="379" t="s">
        <v>3783</v>
      </c>
      <c r="RRI1115" s="379" t="s">
        <v>3783</v>
      </c>
      <c r="RRJ1115" s="379" t="s">
        <v>3783</v>
      </c>
      <c r="RRK1115" s="379" t="s">
        <v>3783</v>
      </c>
      <c r="RRL1115" s="379" t="s">
        <v>3783</v>
      </c>
      <c r="RRM1115" s="379" t="s">
        <v>3783</v>
      </c>
      <c r="RRN1115" s="379" t="s">
        <v>3783</v>
      </c>
      <c r="RRO1115" s="379" t="s">
        <v>3783</v>
      </c>
      <c r="RRP1115" s="379" t="s">
        <v>3783</v>
      </c>
      <c r="RRQ1115" s="379" t="s">
        <v>3783</v>
      </c>
      <c r="RRR1115" s="379" t="s">
        <v>3783</v>
      </c>
      <c r="RRS1115" s="379" t="s">
        <v>3783</v>
      </c>
      <c r="RRT1115" s="379" t="s">
        <v>3783</v>
      </c>
      <c r="RRU1115" s="379" t="s">
        <v>3783</v>
      </c>
      <c r="RRV1115" s="379" t="s">
        <v>3783</v>
      </c>
      <c r="RRW1115" s="379" t="s">
        <v>3783</v>
      </c>
      <c r="RRX1115" s="379" t="s">
        <v>3783</v>
      </c>
      <c r="RRY1115" s="379" t="s">
        <v>3783</v>
      </c>
      <c r="RRZ1115" s="379" t="s">
        <v>3783</v>
      </c>
      <c r="RSA1115" s="379" t="s">
        <v>3783</v>
      </c>
      <c r="RSB1115" s="379" t="s">
        <v>3783</v>
      </c>
      <c r="RSC1115" s="379" t="s">
        <v>3783</v>
      </c>
      <c r="RSD1115" s="379" t="s">
        <v>3783</v>
      </c>
      <c r="RSE1115" s="379" t="s">
        <v>3783</v>
      </c>
      <c r="RSF1115" s="379" t="s">
        <v>3783</v>
      </c>
      <c r="RSG1115" s="379" t="s">
        <v>3783</v>
      </c>
      <c r="RSH1115" s="379" t="s">
        <v>3783</v>
      </c>
      <c r="RSI1115" s="379" t="s">
        <v>3783</v>
      </c>
      <c r="RSJ1115" s="379" t="s">
        <v>3783</v>
      </c>
      <c r="RSK1115" s="379" t="s">
        <v>3783</v>
      </c>
      <c r="RSL1115" s="379" t="s">
        <v>3783</v>
      </c>
      <c r="RSM1115" s="379" t="s">
        <v>3783</v>
      </c>
      <c r="RSN1115" s="379" t="s">
        <v>3783</v>
      </c>
      <c r="RSO1115" s="379" t="s">
        <v>3783</v>
      </c>
      <c r="RSP1115" s="379" t="s">
        <v>3783</v>
      </c>
      <c r="RSQ1115" s="379" t="s">
        <v>3783</v>
      </c>
      <c r="RSR1115" s="379" t="s">
        <v>3783</v>
      </c>
      <c r="RSS1115" s="379" t="s">
        <v>3783</v>
      </c>
      <c r="RST1115" s="379" t="s">
        <v>3783</v>
      </c>
      <c r="RSU1115" s="379" t="s">
        <v>3783</v>
      </c>
      <c r="RSV1115" s="379" t="s">
        <v>3783</v>
      </c>
      <c r="RSW1115" s="379" t="s">
        <v>3783</v>
      </c>
      <c r="RSX1115" s="379" t="s">
        <v>3783</v>
      </c>
      <c r="RSY1115" s="379" t="s">
        <v>3783</v>
      </c>
      <c r="RSZ1115" s="379" t="s">
        <v>3783</v>
      </c>
      <c r="RTA1115" s="379" t="s">
        <v>3783</v>
      </c>
      <c r="RTB1115" s="379" t="s">
        <v>3783</v>
      </c>
      <c r="RTC1115" s="379" t="s">
        <v>3783</v>
      </c>
      <c r="RTD1115" s="379" t="s">
        <v>3783</v>
      </c>
      <c r="RTE1115" s="379" t="s">
        <v>3783</v>
      </c>
      <c r="RTF1115" s="379" t="s">
        <v>3783</v>
      </c>
      <c r="RTG1115" s="379" t="s">
        <v>3783</v>
      </c>
      <c r="RTH1115" s="379" t="s">
        <v>3783</v>
      </c>
      <c r="RTI1115" s="379" t="s">
        <v>3783</v>
      </c>
      <c r="RTJ1115" s="379" t="s">
        <v>3783</v>
      </c>
      <c r="RTK1115" s="379" t="s">
        <v>3783</v>
      </c>
      <c r="RTL1115" s="379" t="s">
        <v>3783</v>
      </c>
      <c r="RTM1115" s="379" t="s">
        <v>3783</v>
      </c>
      <c r="RTN1115" s="379" t="s">
        <v>3783</v>
      </c>
      <c r="RTO1115" s="379" t="s">
        <v>3783</v>
      </c>
      <c r="RTP1115" s="379" t="s">
        <v>3783</v>
      </c>
      <c r="RTQ1115" s="379" t="s">
        <v>3783</v>
      </c>
      <c r="RTR1115" s="379" t="s">
        <v>3783</v>
      </c>
      <c r="RTS1115" s="379" t="s">
        <v>3783</v>
      </c>
      <c r="RTT1115" s="379" t="s">
        <v>3783</v>
      </c>
      <c r="RTU1115" s="379" t="s">
        <v>3783</v>
      </c>
      <c r="RTV1115" s="379" t="s">
        <v>3783</v>
      </c>
      <c r="RTW1115" s="379" t="s">
        <v>3783</v>
      </c>
      <c r="RTX1115" s="379" t="s">
        <v>3783</v>
      </c>
      <c r="RTY1115" s="379" t="s">
        <v>3783</v>
      </c>
      <c r="RTZ1115" s="379" t="s">
        <v>3783</v>
      </c>
      <c r="RUA1115" s="379" t="s">
        <v>3783</v>
      </c>
      <c r="RUB1115" s="379" t="s">
        <v>3783</v>
      </c>
      <c r="RUC1115" s="379" t="s">
        <v>3783</v>
      </c>
      <c r="RUD1115" s="379" t="s">
        <v>3783</v>
      </c>
      <c r="RUE1115" s="379" t="s">
        <v>3783</v>
      </c>
      <c r="RUF1115" s="379" t="s">
        <v>3783</v>
      </c>
      <c r="RUG1115" s="379" t="s">
        <v>3783</v>
      </c>
      <c r="RUH1115" s="379" t="s">
        <v>3783</v>
      </c>
      <c r="RUI1115" s="379" t="s">
        <v>3783</v>
      </c>
      <c r="RUJ1115" s="379" t="s">
        <v>3783</v>
      </c>
      <c r="RUK1115" s="379" t="s">
        <v>3783</v>
      </c>
      <c r="RUL1115" s="379" t="s">
        <v>3783</v>
      </c>
      <c r="RUM1115" s="379" t="s">
        <v>3783</v>
      </c>
      <c r="RUN1115" s="379" t="s">
        <v>3783</v>
      </c>
      <c r="RUO1115" s="379" t="s">
        <v>3783</v>
      </c>
      <c r="RUP1115" s="379" t="s">
        <v>3783</v>
      </c>
      <c r="RUQ1115" s="379" t="s">
        <v>3783</v>
      </c>
      <c r="RUR1115" s="379" t="s">
        <v>3783</v>
      </c>
      <c r="RUS1115" s="379" t="s">
        <v>3783</v>
      </c>
      <c r="RUT1115" s="379" t="s">
        <v>3783</v>
      </c>
      <c r="RUU1115" s="379" t="s">
        <v>3783</v>
      </c>
      <c r="RUV1115" s="379" t="s">
        <v>3783</v>
      </c>
      <c r="RUW1115" s="379" t="s">
        <v>3783</v>
      </c>
      <c r="RUX1115" s="379" t="s">
        <v>3783</v>
      </c>
      <c r="RUY1115" s="379" t="s">
        <v>3783</v>
      </c>
      <c r="RUZ1115" s="379" t="s">
        <v>3783</v>
      </c>
      <c r="RVA1115" s="379" t="s">
        <v>3783</v>
      </c>
      <c r="RVB1115" s="379" t="s">
        <v>3783</v>
      </c>
      <c r="RVC1115" s="379" t="s">
        <v>3783</v>
      </c>
      <c r="RVD1115" s="379" t="s">
        <v>3783</v>
      </c>
      <c r="RVE1115" s="379" t="s">
        <v>3783</v>
      </c>
      <c r="RVF1115" s="379" t="s">
        <v>3783</v>
      </c>
      <c r="RVG1115" s="379" t="s">
        <v>3783</v>
      </c>
      <c r="RVH1115" s="379" t="s">
        <v>3783</v>
      </c>
      <c r="RVI1115" s="379" t="s">
        <v>3783</v>
      </c>
      <c r="RVJ1115" s="379" t="s">
        <v>3783</v>
      </c>
      <c r="RVK1115" s="379" t="s">
        <v>3783</v>
      </c>
      <c r="RVL1115" s="379" t="s">
        <v>3783</v>
      </c>
      <c r="RVM1115" s="379" t="s">
        <v>3783</v>
      </c>
      <c r="RVN1115" s="379" t="s">
        <v>3783</v>
      </c>
      <c r="RVO1115" s="379" t="s">
        <v>3783</v>
      </c>
      <c r="RVP1115" s="379" t="s">
        <v>3783</v>
      </c>
      <c r="RVQ1115" s="379" t="s">
        <v>3783</v>
      </c>
      <c r="RVR1115" s="379" t="s">
        <v>3783</v>
      </c>
      <c r="RVS1115" s="379" t="s">
        <v>3783</v>
      </c>
      <c r="RVT1115" s="379" t="s">
        <v>3783</v>
      </c>
      <c r="RVU1115" s="379" t="s">
        <v>3783</v>
      </c>
      <c r="RVV1115" s="379" t="s">
        <v>3783</v>
      </c>
      <c r="RVW1115" s="379" t="s">
        <v>3783</v>
      </c>
      <c r="RVX1115" s="379" t="s">
        <v>3783</v>
      </c>
      <c r="RVY1115" s="379" t="s">
        <v>3783</v>
      </c>
      <c r="RVZ1115" s="379" t="s">
        <v>3783</v>
      </c>
      <c r="RWA1115" s="379" t="s">
        <v>3783</v>
      </c>
      <c r="RWB1115" s="379" t="s">
        <v>3783</v>
      </c>
      <c r="RWC1115" s="379" t="s">
        <v>3783</v>
      </c>
      <c r="RWD1115" s="379" t="s">
        <v>3783</v>
      </c>
      <c r="RWE1115" s="379" t="s">
        <v>3783</v>
      </c>
      <c r="RWF1115" s="379" t="s">
        <v>3783</v>
      </c>
      <c r="RWG1115" s="379" t="s">
        <v>3783</v>
      </c>
      <c r="RWH1115" s="379" t="s">
        <v>3783</v>
      </c>
      <c r="RWI1115" s="379" t="s">
        <v>3783</v>
      </c>
      <c r="RWJ1115" s="379" t="s">
        <v>3783</v>
      </c>
      <c r="RWK1115" s="379" t="s">
        <v>3783</v>
      </c>
      <c r="RWL1115" s="379" t="s">
        <v>3783</v>
      </c>
      <c r="RWM1115" s="379" t="s">
        <v>3783</v>
      </c>
      <c r="RWN1115" s="379" t="s">
        <v>3783</v>
      </c>
      <c r="RWO1115" s="379" t="s">
        <v>3783</v>
      </c>
      <c r="RWP1115" s="379" t="s">
        <v>3783</v>
      </c>
      <c r="RWQ1115" s="379" t="s">
        <v>3783</v>
      </c>
      <c r="RWR1115" s="379" t="s">
        <v>3783</v>
      </c>
      <c r="RWS1115" s="379" t="s">
        <v>3783</v>
      </c>
      <c r="RWT1115" s="379" t="s">
        <v>3783</v>
      </c>
      <c r="RWU1115" s="379" t="s">
        <v>3783</v>
      </c>
      <c r="RWV1115" s="379" t="s">
        <v>3783</v>
      </c>
      <c r="RWW1115" s="379" t="s">
        <v>3783</v>
      </c>
      <c r="RWX1115" s="379" t="s">
        <v>3783</v>
      </c>
      <c r="RWY1115" s="379" t="s">
        <v>3783</v>
      </c>
      <c r="RWZ1115" s="379" t="s">
        <v>3783</v>
      </c>
      <c r="RXA1115" s="379" t="s">
        <v>3783</v>
      </c>
      <c r="RXB1115" s="379" t="s">
        <v>3783</v>
      </c>
      <c r="RXC1115" s="379" t="s">
        <v>3783</v>
      </c>
      <c r="RXD1115" s="379" t="s">
        <v>3783</v>
      </c>
      <c r="RXE1115" s="379" t="s">
        <v>3783</v>
      </c>
      <c r="RXF1115" s="379" t="s">
        <v>3783</v>
      </c>
      <c r="RXG1115" s="379" t="s">
        <v>3783</v>
      </c>
      <c r="RXH1115" s="379" t="s">
        <v>3783</v>
      </c>
      <c r="RXI1115" s="379" t="s">
        <v>3783</v>
      </c>
      <c r="RXJ1115" s="379" t="s">
        <v>3783</v>
      </c>
      <c r="RXK1115" s="379" t="s">
        <v>3783</v>
      </c>
      <c r="RXL1115" s="379" t="s">
        <v>3783</v>
      </c>
      <c r="RXM1115" s="379" t="s">
        <v>3783</v>
      </c>
      <c r="RXN1115" s="379" t="s">
        <v>3783</v>
      </c>
      <c r="RXO1115" s="379" t="s">
        <v>3783</v>
      </c>
      <c r="RXP1115" s="379" t="s">
        <v>3783</v>
      </c>
      <c r="RXQ1115" s="379" t="s">
        <v>3783</v>
      </c>
      <c r="RXR1115" s="379" t="s">
        <v>3783</v>
      </c>
      <c r="RXS1115" s="379" t="s">
        <v>3783</v>
      </c>
      <c r="RXT1115" s="379" t="s">
        <v>3783</v>
      </c>
      <c r="RXU1115" s="379" t="s">
        <v>3783</v>
      </c>
      <c r="RXV1115" s="379" t="s">
        <v>3783</v>
      </c>
      <c r="RXW1115" s="379" t="s">
        <v>3783</v>
      </c>
      <c r="RXX1115" s="379" t="s">
        <v>3783</v>
      </c>
      <c r="RXY1115" s="379" t="s">
        <v>3783</v>
      </c>
      <c r="RXZ1115" s="379" t="s">
        <v>3783</v>
      </c>
      <c r="RYA1115" s="379" t="s">
        <v>3783</v>
      </c>
      <c r="RYB1115" s="379" t="s">
        <v>3783</v>
      </c>
      <c r="RYC1115" s="379" t="s">
        <v>3783</v>
      </c>
      <c r="RYD1115" s="379" t="s">
        <v>3783</v>
      </c>
      <c r="RYE1115" s="379" t="s">
        <v>3783</v>
      </c>
      <c r="RYF1115" s="379" t="s">
        <v>3783</v>
      </c>
      <c r="RYG1115" s="379" t="s">
        <v>3783</v>
      </c>
      <c r="RYH1115" s="379" t="s">
        <v>3783</v>
      </c>
      <c r="RYI1115" s="379" t="s">
        <v>3783</v>
      </c>
      <c r="RYJ1115" s="379" t="s">
        <v>3783</v>
      </c>
      <c r="RYK1115" s="379" t="s">
        <v>3783</v>
      </c>
      <c r="RYL1115" s="379" t="s">
        <v>3783</v>
      </c>
      <c r="RYM1115" s="379" t="s">
        <v>3783</v>
      </c>
      <c r="RYN1115" s="379" t="s">
        <v>3783</v>
      </c>
      <c r="RYO1115" s="379" t="s">
        <v>3783</v>
      </c>
      <c r="RYP1115" s="379" t="s">
        <v>3783</v>
      </c>
      <c r="RYQ1115" s="379" t="s">
        <v>3783</v>
      </c>
      <c r="RYR1115" s="379" t="s">
        <v>3783</v>
      </c>
      <c r="RYS1115" s="379" t="s">
        <v>3783</v>
      </c>
      <c r="RYT1115" s="379" t="s">
        <v>3783</v>
      </c>
      <c r="RYU1115" s="379" t="s">
        <v>3783</v>
      </c>
      <c r="RYV1115" s="379" t="s">
        <v>3783</v>
      </c>
      <c r="RYW1115" s="379" t="s">
        <v>3783</v>
      </c>
      <c r="RYX1115" s="379" t="s">
        <v>3783</v>
      </c>
      <c r="RYY1115" s="379" t="s">
        <v>3783</v>
      </c>
      <c r="RYZ1115" s="379" t="s">
        <v>3783</v>
      </c>
      <c r="RZA1115" s="379" t="s">
        <v>3783</v>
      </c>
      <c r="RZB1115" s="379" t="s">
        <v>3783</v>
      </c>
      <c r="RZC1115" s="379" t="s">
        <v>3783</v>
      </c>
      <c r="RZD1115" s="379" t="s">
        <v>3783</v>
      </c>
      <c r="RZE1115" s="379" t="s">
        <v>3783</v>
      </c>
      <c r="RZF1115" s="379" t="s">
        <v>3783</v>
      </c>
      <c r="RZG1115" s="379" t="s">
        <v>3783</v>
      </c>
      <c r="RZH1115" s="379" t="s">
        <v>3783</v>
      </c>
      <c r="RZI1115" s="379" t="s">
        <v>3783</v>
      </c>
      <c r="RZJ1115" s="379" t="s">
        <v>3783</v>
      </c>
      <c r="RZK1115" s="379" t="s">
        <v>3783</v>
      </c>
      <c r="RZL1115" s="379" t="s">
        <v>3783</v>
      </c>
      <c r="RZM1115" s="379" t="s">
        <v>3783</v>
      </c>
      <c r="RZN1115" s="379" t="s">
        <v>3783</v>
      </c>
      <c r="RZO1115" s="379" t="s">
        <v>3783</v>
      </c>
      <c r="RZP1115" s="379" t="s">
        <v>3783</v>
      </c>
      <c r="RZQ1115" s="379" t="s">
        <v>3783</v>
      </c>
      <c r="RZR1115" s="379" t="s">
        <v>3783</v>
      </c>
      <c r="RZS1115" s="379" t="s">
        <v>3783</v>
      </c>
      <c r="RZT1115" s="379" t="s">
        <v>3783</v>
      </c>
      <c r="RZU1115" s="379" t="s">
        <v>3783</v>
      </c>
      <c r="RZV1115" s="379" t="s">
        <v>3783</v>
      </c>
      <c r="RZW1115" s="379" t="s">
        <v>3783</v>
      </c>
      <c r="RZX1115" s="379" t="s">
        <v>3783</v>
      </c>
      <c r="RZY1115" s="379" t="s">
        <v>3783</v>
      </c>
      <c r="RZZ1115" s="379" t="s">
        <v>3783</v>
      </c>
      <c r="SAA1115" s="379" t="s">
        <v>3783</v>
      </c>
      <c r="SAB1115" s="379" t="s">
        <v>3783</v>
      </c>
      <c r="SAC1115" s="379" t="s">
        <v>3783</v>
      </c>
      <c r="SAD1115" s="379" t="s">
        <v>3783</v>
      </c>
      <c r="SAE1115" s="379" t="s">
        <v>3783</v>
      </c>
      <c r="SAF1115" s="379" t="s">
        <v>3783</v>
      </c>
      <c r="SAG1115" s="379" t="s">
        <v>3783</v>
      </c>
      <c r="SAH1115" s="379" t="s">
        <v>3783</v>
      </c>
      <c r="SAI1115" s="379" t="s">
        <v>3783</v>
      </c>
      <c r="SAJ1115" s="379" t="s">
        <v>3783</v>
      </c>
      <c r="SAK1115" s="379" t="s">
        <v>3783</v>
      </c>
      <c r="SAL1115" s="379" t="s">
        <v>3783</v>
      </c>
      <c r="SAM1115" s="379" t="s">
        <v>3783</v>
      </c>
      <c r="SAN1115" s="379" t="s">
        <v>3783</v>
      </c>
      <c r="SAO1115" s="379" t="s">
        <v>3783</v>
      </c>
      <c r="SAP1115" s="379" t="s">
        <v>3783</v>
      </c>
      <c r="SAQ1115" s="379" t="s">
        <v>3783</v>
      </c>
      <c r="SAR1115" s="379" t="s">
        <v>3783</v>
      </c>
      <c r="SAS1115" s="379" t="s">
        <v>3783</v>
      </c>
      <c r="SAT1115" s="379" t="s">
        <v>3783</v>
      </c>
      <c r="SAU1115" s="379" t="s">
        <v>3783</v>
      </c>
      <c r="SAV1115" s="379" t="s">
        <v>3783</v>
      </c>
      <c r="SAW1115" s="379" t="s">
        <v>3783</v>
      </c>
      <c r="SAX1115" s="379" t="s">
        <v>3783</v>
      </c>
      <c r="SAY1115" s="379" t="s">
        <v>3783</v>
      </c>
      <c r="SAZ1115" s="379" t="s">
        <v>3783</v>
      </c>
      <c r="SBA1115" s="379" t="s">
        <v>3783</v>
      </c>
      <c r="SBB1115" s="379" t="s">
        <v>3783</v>
      </c>
      <c r="SBC1115" s="379" t="s">
        <v>3783</v>
      </c>
      <c r="SBD1115" s="379" t="s">
        <v>3783</v>
      </c>
      <c r="SBE1115" s="379" t="s">
        <v>3783</v>
      </c>
      <c r="SBF1115" s="379" t="s">
        <v>3783</v>
      </c>
      <c r="SBG1115" s="379" t="s">
        <v>3783</v>
      </c>
      <c r="SBH1115" s="379" t="s">
        <v>3783</v>
      </c>
      <c r="SBI1115" s="379" t="s">
        <v>3783</v>
      </c>
      <c r="SBJ1115" s="379" t="s">
        <v>3783</v>
      </c>
      <c r="SBK1115" s="379" t="s">
        <v>3783</v>
      </c>
      <c r="SBL1115" s="379" t="s">
        <v>3783</v>
      </c>
      <c r="SBM1115" s="379" t="s">
        <v>3783</v>
      </c>
      <c r="SBN1115" s="379" t="s">
        <v>3783</v>
      </c>
      <c r="SBO1115" s="379" t="s">
        <v>3783</v>
      </c>
      <c r="SBP1115" s="379" t="s">
        <v>3783</v>
      </c>
      <c r="SBQ1115" s="379" t="s">
        <v>3783</v>
      </c>
      <c r="SBR1115" s="379" t="s">
        <v>3783</v>
      </c>
      <c r="SBS1115" s="379" t="s">
        <v>3783</v>
      </c>
      <c r="SBT1115" s="379" t="s">
        <v>3783</v>
      </c>
      <c r="SBU1115" s="379" t="s">
        <v>3783</v>
      </c>
      <c r="SBV1115" s="379" t="s">
        <v>3783</v>
      </c>
      <c r="SBW1115" s="379" t="s">
        <v>3783</v>
      </c>
      <c r="SBX1115" s="379" t="s">
        <v>3783</v>
      </c>
      <c r="SBY1115" s="379" t="s">
        <v>3783</v>
      </c>
      <c r="SBZ1115" s="379" t="s">
        <v>3783</v>
      </c>
      <c r="SCA1115" s="379" t="s">
        <v>3783</v>
      </c>
      <c r="SCB1115" s="379" t="s">
        <v>3783</v>
      </c>
      <c r="SCC1115" s="379" t="s">
        <v>3783</v>
      </c>
      <c r="SCD1115" s="379" t="s">
        <v>3783</v>
      </c>
      <c r="SCE1115" s="379" t="s">
        <v>3783</v>
      </c>
      <c r="SCF1115" s="379" t="s">
        <v>3783</v>
      </c>
      <c r="SCG1115" s="379" t="s">
        <v>3783</v>
      </c>
      <c r="SCH1115" s="379" t="s">
        <v>3783</v>
      </c>
      <c r="SCI1115" s="379" t="s">
        <v>3783</v>
      </c>
      <c r="SCJ1115" s="379" t="s">
        <v>3783</v>
      </c>
      <c r="SCK1115" s="379" t="s">
        <v>3783</v>
      </c>
      <c r="SCL1115" s="379" t="s">
        <v>3783</v>
      </c>
      <c r="SCM1115" s="379" t="s">
        <v>3783</v>
      </c>
      <c r="SCN1115" s="379" t="s">
        <v>3783</v>
      </c>
      <c r="SCO1115" s="379" t="s">
        <v>3783</v>
      </c>
      <c r="SCP1115" s="379" t="s">
        <v>3783</v>
      </c>
      <c r="SCQ1115" s="379" t="s">
        <v>3783</v>
      </c>
      <c r="SCR1115" s="379" t="s">
        <v>3783</v>
      </c>
      <c r="SCS1115" s="379" t="s">
        <v>3783</v>
      </c>
      <c r="SCT1115" s="379" t="s">
        <v>3783</v>
      </c>
      <c r="SCU1115" s="379" t="s">
        <v>3783</v>
      </c>
      <c r="SCV1115" s="379" t="s">
        <v>3783</v>
      </c>
      <c r="SCW1115" s="379" t="s">
        <v>3783</v>
      </c>
      <c r="SCX1115" s="379" t="s">
        <v>3783</v>
      </c>
      <c r="SCY1115" s="379" t="s">
        <v>3783</v>
      </c>
      <c r="SCZ1115" s="379" t="s">
        <v>3783</v>
      </c>
      <c r="SDA1115" s="379" t="s">
        <v>3783</v>
      </c>
      <c r="SDB1115" s="379" t="s">
        <v>3783</v>
      </c>
      <c r="SDC1115" s="379" t="s">
        <v>3783</v>
      </c>
      <c r="SDD1115" s="379" t="s">
        <v>3783</v>
      </c>
      <c r="SDE1115" s="379" t="s">
        <v>3783</v>
      </c>
      <c r="SDF1115" s="379" t="s">
        <v>3783</v>
      </c>
      <c r="SDG1115" s="379" t="s">
        <v>3783</v>
      </c>
      <c r="SDH1115" s="379" t="s">
        <v>3783</v>
      </c>
      <c r="SDI1115" s="379" t="s">
        <v>3783</v>
      </c>
      <c r="SDJ1115" s="379" t="s">
        <v>3783</v>
      </c>
      <c r="SDK1115" s="379" t="s">
        <v>3783</v>
      </c>
      <c r="SDL1115" s="379" t="s">
        <v>3783</v>
      </c>
      <c r="SDM1115" s="379" t="s">
        <v>3783</v>
      </c>
      <c r="SDN1115" s="379" t="s">
        <v>3783</v>
      </c>
      <c r="SDO1115" s="379" t="s">
        <v>3783</v>
      </c>
      <c r="SDP1115" s="379" t="s">
        <v>3783</v>
      </c>
      <c r="SDQ1115" s="379" t="s">
        <v>3783</v>
      </c>
      <c r="SDR1115" s="379" t="s">
        <v>3783</v>
      </c>
      <c r="SDS1115" s="379" t="s">
        <v>3783</v>
      </c>
      <c r="SDT1115" s="379" t="s">
        <v>3783</v>
      </c>
      <c r="SDU1115" s="379" t="s">
        <v>3783</v>
      </c>
      <c r="SDV1115" s="379" t="s">
        <v>3783</v>
      </c>
      <c r="SDW1115" s="379" t="s">
        <v>3783</v>
      </c>
      <c r="SDX1115" s="379" t="s">
        <v>3783</v>
      </c>
      <c r="SDY1115" s="379" t="s">
        <v>3783</v>
      </c>
      <c r="SDZ1115" s="379" t="s">
        <v>3783</v>
      </c>
      <c r="SEA1115" s="379" t="s">
        <v>3783</v>
      </c>
      <c r="SEB1115" s="379" t="s">
        <v>3783</v>
      </c>
      <c r="SEC1115" s="379" t="s">
        <v>3783</v>
      </c>
      <c r="SED1115" s="379" t="s">
        <v>3783</v>
      </c>
      <c r="SEE1115" s="379" t="s">
        <v>3783</v>
      </c>
      <c r="SEF1115" s="379" t="s">
        <v>3783</v>
      </c>
      <c r="SEG1115" s="379" t="s">
        <v>3783</v>
      </c>
      <c r="SEH1115" s="379" t="s">
        <v>3783</v>
      </c>
      <c r="SEI1115" s="379" t="s">
        <v>3783</v>
      </c>
      <c r="SEJ1115" s="379" t="s">
        <v>3783</v>
      </c>
      <c r="SEK1115" s="379" t="s">
        <v>3783</v>
      </c>
      <c r="SEL1115" s="379" t="s">
        <v>3783</v>
      </c>
      <c r="SEM1115" s="379" t="s">
        <v>3783</v>
      </c>
      <c r="SEN1115" s="379" t="s">
        <v>3783</v>
      </c>
      <c r="SEO1115" s="379" t="s">
        <v>3783</v>
      </c>
      <c r="SEP1115" s="379" t="s">
        <v>3783</v>
      </c>
      <c r="SEQ1115" s="379" t="s">
        <v>3783</v>
      </c>
      <c r="SER1115" s="379" t="s">
        <v>3783</v>
      </c>
      <c r="SES1115" s="379" t="s">
        <v>3783</v>
      </c>
      <c r="SET1115" s="379" t="s">
        <v>3783</v>
      </c>
      <c r="SEU1115" s="379" t="s">
        <v>3783</v>
      </c>
      <c r="SEV1115" s="379" t="s">
        <v>3783</v>
      </c>
      <c r="SEW1115" s="379" t="s">
        <v>3783</v>
      </c>
      <c r="SEX1115" s="379" t="s">
        <v>3783</v>
      </c>
      <c r="SEY1115" s="379" t="s">
        <v>3783</v>
      </c>
      <c r="SEZ1115" s="379" t="s">
        <v>3783</v>
      </c>
      <c r="SFA1115" s="379" t="s">
        <v>3783</v>
      </c>
      <c r="SFB1115" s="379" t="s">
        <v>3783</v>
      </c>
      <c r="SFC1115" s="379" t="s">
        <v>3783</v>
      </c>
      <c r="SFD1115" s="379" t="s">
        <v>3783</v>
      </c>
      <c r="SFE1115" s="379" t="s">
        <v>3783</v>
      </c>
      <c r="SFF1115" s="379" t="s">
        <v>3783</v>
      </c>
      <c r="SFG1115" s="379" t="s">
        <v>3783</v>
      </c>
      <c r="SFH1115" s="379" t="s">
        <v>3783</v>
      </c>
      <c r="SFI1115" s="379" t="s">
        <v>3783</v>
      </c>
      <c r="SFJ1115" s="379" t="s">
        <v>3783</v>
      </c>
      <c r="SFK1115" s="379" t="s">
        <v>3783</v>
      </c>
      <c r="SFL1115" s="379" t="s">
        <v>3783</v>
      </c>
      <c r="SFM1115" s="379" t="s">
        <v>3783</v>
      </c>
      <c r="SFN1115" s="379" t="s">
        <v>3783</v>
      </c>
      <c r="SFO1115" s="379" t="s">
        <v>3783</v>
      </c>
      <c r="SFP1115" s="379" t="s">
        <v>3783</v>
      </c>
      <c r="SFQ1115" s="379" t="s">
        <v>3783</v>
      </c>
      <c r="SFR1115" s="379" t="s">
        <v>3783</v>
      </c>
      <c r="SFS1115" s="379" t="s">
        <v>3783</v>
      </c>
      <c r="SFT1115" s="379" t="s">
        <v>3783</v>
      </c>
      <c r="SFU1115" s="379" t="s">
        <v>3783</v>
      </c>
      <c r="SFV1115" s="379" t="s">
        <v>3783</v>
      </c>
      <c r="SFW1115" s="379" t="s">
        <v>3783</v>
      </c>
      <c r="SFX1115" s="379" t="s">
        <v>3783</v>
      </c>
      <c r="SFY1115" s="379" t="s">
        <v>3783</v>
      </c>
      <c r="SFZ1115" s="379" t="s">
        <v>3783</v>
      </c>
      <c r="SGA1115" s="379" t="s">
        <v>3783</v>
      </c>
      <c r="SGB1115" s="379" t="s">
        <v>3783</v>
      </c>
      <c r="SGC1115" s="379" t="s">
        <v>3783</v>
      </c>
      <c r="SGD1115" s="379" t="s">
        <v>3783</v>
      </c>
      <c r="SGE1115" s="379" t="s">
        <v>3783</v>
      </c>
      <c r="SGF1115" s="379" t="s">
        <v>3783</v>
      </c>
      <c r="SGG1115" s="379" t="s">
        <v>3783</v>
      </c>
      <c r="SGH1115" s="379" t="s">
        <v>3783</v>
      </c>
      <c r="SGI1115" s="379" t="s">
        <v>3783</v>
      </c>
      <c r="SGJ1115" s="379" t="s">
        <v>3783</v>
      </c>
      <c r="SGK1115" s="379" t="s">
        <v>3783</v>
      </c>
      <c r="SGL1115" s="379" t="s">
        <v>3783</v>
      </c>
      <c r="SGM1115" s="379" t="s">
        <v>3783</v>
      </c>
      <c r="SGN1115" s="379" t="s">
        <v>3783</v>
      </c>
      <c r="SGO1115" s="379" t="s">
        <v>3783</v>
      </c>
      <c r="SGP1115" s="379" t="s">
        <v>3783</v>
      </c>
      <c r="SGQ1115" s="379" t="s">
        <v>3783</v>
      </c>
      <c r="SGR1115" s="379" t="s">
        <v>3783</v>
      </c>
      <c r="SGS1115" s="379" t="s">
        <v>3783</v>
      </c>
      <c r="SGT1115" s="379" t="s">
        <v>3783</v>
      </c>
      <c r="SGU1115" s="379" t="s">
        <v>3783</v>
      </c>
      <c r="SGV1115" s="379" t="s">
        <v>3783</v>
      </c>
      <c r="SGW1115" s="379" t="s">
        <v>3783</v>
      </c>
      <c r="SGX1115" s="379" t="s">
        <v>3783</v>
      </c>
      <c r="SGY1115" s="379" t="s">
        <v>3783</v>
      </c>
      <c r="SGZ1115" s="379" t="s">
        <v>3783</v>
      </c>
      <c r="SHA1115" s="379" t="s">
        <v>3783</v>
      </c>
      <c r="SHB1115" s="379" t="s">
        <v>3783</v>
      </c>
      <c r="SHC1115" s="379" t="s">
        <v>3783</v>
      </c>
      <c r="SHD1115" s="379" t="s">
        <v>3783</v>
      </c>
      <c r="SHE1115" s="379" t="s">
        <v>3783</v>
      </c>
      <c r="SHF1115" s="379" t="s">
        <v>3783</v>
      </c>
      <c r="SHG1115" s="379" t="s">
        <v>3783</v>
      </c>
      <c r="SHH1115" s="379" t="s">
        <v>3783</v>
      </c>
      <c r="SHI1115" s="379" t="s">
        <v>3783</v>
      </c>
      <c r="SHJ1115" s="379" t="s">
        <v>3783</v>
      </c>
      <c r="SHK1115" s="379" t="s">
        <v>3783</v>
      </c>
      <c r="SHL1115" s="379" t="s">
        <v>3783</v>
      </c>
      <c r="SHM1115" s="379" t="s">
        <v>3783</v>
      </c>
      <c r="SHN1115" s="379" t="s">
        <v>3783</v>
      </c>
      <c r="SHO1115" s="379" t="s">
        <v>3783</v>
      </c>
      <c r="SHP1115" s="379" t="s">
        <v>3783</v>
      </c>
      <c r="SHQ1115" s="379" t="s">
        <v>3783</v>
      </c>
      <c r="SHR1115" s="379" t="s">
        <v>3783</v>
      </c>
      <c r="SHS1115" s="379" t="s">
        <v>3783</v>
      </c>
      <c r="SHT1115" s="379" t="s">
        <v>3783</v>
      </c>
      <c r="SHU1115" s="379" t="s">
        <v>3783</v>
      </c>
      <c r="SHV1115" s="379" t="s">
        <v>3783</v>
      </c>
      <c r="SHW1115" s="379" t="s">
        <v>3783</v>
      </c>
      <c r="SHX1115" s="379" t="s">
        <v>3783</v>
      </c>
      <c r="SHY1115" s="379" t="s">
        <v>3783</v>
      </c>
      <c r="SHZ1115" s="379" t="s">
        <v>3783</v>
      </c>
      <c r="SIA1115" s="379" t="s">
        <v>3783</v>
      </c>
      <c r="SIB1115" s="379" t="s">
        <v>3783</v>
      </c>
      <c r="SIC1115" s="379" t="s">
        <v>3783</v>
      </c>
      <c r="SID1115" s="379" t="s">
        <v>3783</v>
      </c>
      <c r="SIE1115" s="379" t="s">
        <v>3783</v>
      </c>
      <c r="SIF1115" s="379" t="s">
        <v>3783</v>
      </c>
      <c r="SIG1115" s="379" t="s">
        <v>3783</v>
      </c>
      <c r="SIH1115" s="379" t="s">
        <v>3783</v>
      </c>
      <c r="SII1115" s="379" t="s">
        <v>3783</v>
      </c>
      <c r="SIJ1115" s="379" t="s">
        <v>3783</v>
      </c>
      <c r="SIK1115" s="379" t="s">
        <v>3783</v>
      </c>
      <c r="SIL1115" s="379" t="s">
        <v>3783</v>
      </c>
      <c r="SIM1115" s="379" t="s">
        <v>3783</v>
      </c>
      <c r="SIN1115" s="379" t="s">
        <v>3783</v>
      </c>
      <c r="SIO1115" s="379" t="s">
        <v>3783</v>
      </c>
      <c r="SIP1115" s="379" t="s">
        <v>3783</v>
      </c>
      <c r="SIQ1115" s="379" t="s">
        <v>3783</v>
      </c>
      <c r="SIR1115" s="379" t="s">
        <v>3783</v>
      </c>
      <c r="SIS1115" s="379" t="s">
        <v>3783</v>
      </c>
      <c r="SIT1115" s="379" t="s">
        <v>3783</v>
      </c>
      <c r="SIU1115" s="379" t="s">
        <v>3783</v>
      </c>
      <c r="SIV1115" s="379" t="s">
        <v>3783</v>
      </c>
      <c r="SIW1115" s="379" t="s">
        <v>3783</v>
      </c>
      <c r="SIX1115" s="379" t="s">
        <v>3783</v>
      </c>
      <c r="SIY1115" s="379" t="s">
        <v>3783</v>
      </c>
      <c r="SIZ1115" s="379" t="s">
        <v>3783</v>
      </c>
      <c r="SJA1115" s="379" t="s">
        <v>3783</v>
      </c>
      <c r="SJB1115" s="379" t="s">
        <v>3783</v>
      </c>
      <c r="SJC1115" s="379" t="s">
        <v>3783</v>
      </c>
      <c r="SJD1115" s="379" t="s">
        <v>3783</v>
      </c>
      <c r="SJE1115" s="379" t="s">
        <v>3783</v>
      </c>
      <c r="SJF1115" s="379" t="s">
        <v>3783</v>
      </c>
      <c r="SJG1115" s="379" t="s">
        <v>3783</v>
      </c>
      <c r="SJH1115" s="379" t="s">
        <v>3783</v>
      </c>
      <c r="SJI1115" s="379" t="s">
        <v>3783</v>
      </c>
      <c r="SJJ1115" s="379" t="s">
        <v>3783</v>
      </c>
      <c r="SJK1115" s="379" t="s">
        <v>3783</v>
      </c>
      <c r="SJL1115" s="379" t="s">
        <v>3783</v>
      </c>
      <c r="SJM1115" s="379" t="s">
        <v>3783</v>
      </c>
      <c r="SJN1115" s="379" t="s">
        <v>3783</v>
      </c>
      <c r="SJO1115" s="379" t="s">
        <v>3783</v>
      </c>
      <c r="SJP1115" s="379" t="s">
        <v>3783</v>
      </c>
      <c r="SJQ1115" s="379" t="s">
        <v>3783</v>
      </c>
      <c r="SJR1115" s="379" t="s">
        <v>3783</v>
      </c>
      <c r="SJS1115" s="379" t="s">
        <v>3783</v>
      </c>
      <c r="SJT1115" s="379" t="s">
        <v>3783</v>
      </c>
      <c r="SJU1115" s="379" t="s">
        <v>3783</v>
      </c>
      <c r="SJV1115" s="379" t="s">
        <v>3783</v>
      </c>
      <c r="SJW1115" s="379" t="s">
        <v>3783</v>
      </c>
      <c r="SJX1115" s="379" t="s">
        <v>3783</v>
      </c>
      <c r="SJY1115" s="379" t="s">
        <v>3783</v>
      </c>
      <c r="SJZ1115" s="379" t="s">
        <v>3783</v>
      </c>
      <c r="SKA1115" s="379" t="s">
        <v>3783</v>
      </c>
      <c r="SKB1115" s="379" t="s">
        <v>3783</v>
      </c>
      <c r="SKC1115" s="379" t="s">
        <v>3783</v>
      </c>
      <c r="SKD1115" s="379" t="s">
        <v>3783</v>
      </c>
      <c r="SKE1115" s="379" t="s">
        <v>3783</v>
      </c>
      <c r="SKF1115" s="379" t="s">
        <v>3783</v>
      </c>
      <c r="SKG1115" s="379" t="s">
        <v>3783</v>
      </c>
      <c r="SKH1115" s="379" t="s">
        <v>3783</v>
      </c>
      <c r="SKI1115" s="379" t="s">
        <v>3783</v>
      </c>
      <c r="SKJ1115" s="379" t="s">
        <v>3783</v>
      </c>
      <c r="SKK1115" s="379" t="s">
        <v>3783</v>
      </c>
      <c r="SKL1115" s="379" t="s">
        <v>3783</v>
      </c>
      <c r="SKM1115" s="379" t="s">
        <v>3783</v>
      </c>
      <c r="SKN1115" s="379" t="s">
        <v>3783</v>
      </c>
      <c r="SKO1115" s="379" t="s">
        <v>3783</v>
      </c>
      <c r="SKP1115" s="379" t="s">
        <v>3783</v>
      </c>
      <c r="SKQ1115" s="379" t="s">
        <v>3783</v>
      </c>
      <c r="SKR1115" s="379" t="s">
        <v>3783</v>
      </c>
      <c r="SKS1115" s="379" t="s">
        <v>3783</v>
      </c>
      <c r="SKT1115" s="379" t="s">
        <v>3783</v>
      </c>
      <c r="SKU1115" s="379" t="s">
        <v>3783</v>
      </c>
      <c r="SKV1115" s="379" t="s">
        <v>3783</v>
      </c>
      <c r="SKW1115" s="379" t="s">
        <v>3783</v>
      </c>
      <c r="SKX1115" s="379" t="s">
        <v>3783</v>
      </c>
      <c r="SKY1115" s="379" t="s">
        <v>3783</v>
      </c>
      <c r="SKZ1115" s="379" t="s">
        <v>3783</v>
      </c>
      <c r="SLA1115" s="379" t="s">
        <v>3783</v>
      </c>
      <c r="SLB1115" s="379" t="s">
        <v>3783</v>
      </c>
      <c r="SLC1115" s="379" t="s">
        <v>3783</v>
      </c>
      <c r="SLD1115" s="379" t="s">
        <v>3783</v>
      </c>
      <c r="SLE1115" s="379" t="s">
        <v>3783</v>
      </c>
      <c r="SLF1115" s="379" t="s">
        <v>3783</v>
      </c>
      <c r="SLG1115" s="379" t="s">
        <v>3783</v>
      </c>
      <c r="SLH1115" s="379" t="s">
        <v>3783</v>
      </c>
      <c r="SLI1115" s="379" t="s">
        <v>3783</v>
      </c>
      <c r="SLJ1115" s="379" t="s">
        <v>3783</v>
      </c>
      <c r="SLK1115" s="379" t="s">
        <v>3783</v>
      </c>
      <c r="SLL1115" s="379" t="s">
        <v>3783</v>
      </c>
      <c r="SLM1115" s="379" t="s">
        <v>3783</v>
      </c>
      <c r="SLN1115" s="379" t="s">
        <v>3783</v>
      </c>
      <c r="SLO1115" s="379" t="s">
        <v>3783</v>
      </c>
      <c r="SLP1115" s="379" t="s">
        <v>3783</v>
      </c>
      <c r="SLQ1115" s="379" t="s">
        <v>3783</v>
      </c>
      <c r="SLR1115" s="379" t="s">
        <v>3783</v>
      </c>
      <c r="SLS1115" s="379" t="s">
        <v>3783</v>
      </c>
      <c r="SLT1115" s="379" t="s">
        <v>3783</v>
      </c>
      <c r="SLU1115" s="379" t="s">
        <v>3783</v>
      </c>
      <c r="SLV1115" s="379" t="s">
        <v>3783</v>
      </c>
      <c r="SLW1115" s="379" t="s">
        <v>3783</v>
      </c>
      <c r="SLX1115" s="379" t="s">
        <v>3783</v>
      </c>
      <c r="SLY1115" s="379" t="s">
        <v>3783</v>
      </c>
      <c r="SLZ1115" s="379" t="s">
        <v>3783</v>
      </c>
      <c r="SMA1115" s="379" t="s">
        <v>3783</v>
      </c>
      <c r="SMB1115" s="379" t="s">
        <v>3783</v>
      </c>
      <c r="SMC1115" s="379" t="s">
        <v>3783</v>
      </c>
      <c r="SMD1115" s="379" t="s">
        <v>3783</v>
      </c>
      <c r="SME1115" s="379" t="s">
        <v>3783</v>
      </c>
      <c r="SMF1115" s="379" t="s">
        <v>3783</v>
      </c>
      <c r="SMG1115" s="379" t="s">
        <v>3783</v>
      </c>
      <c r="SMH1115" s="379" t="s">
        <v>3783</v>
      </c>
      <c r="SMI1115" s="379" t="s">
        <v>3783</v>
      </c>
      <c r="SMJ1115" s="379" t="s">
        <v>3783</v>
      </c>
      <c r="SMK1115" s="379" t="s">
        <v>3783</v>
      </c>
      <c r="SML1115" s="379" t="s">
        <v>3783</v>
      </c>
      <c r="SMM1115" s="379" t="s">
        <v>3783</v>
      </c>
      <c r="SMN1115" s="379" t="s">
        <v>3783</v>
      </c>
      <c r="SMO1115" s="379" t="s">
        <v>3783</v>
      </c>
      <c r="SMP1115" s="379" t="s">
        <v>3783</v>
      </c>
      <c r="SMQ1115" s="379" t="s">
        <v>3783</v>
      </c>
      <c r="SMR1115" s="379" t="s">
        <v>3783</v>
      </c>
      <c r="SMS1115" s="379" t="s">
        <v>3783</v>
      </c>
      <c r="SMT1115" s="379" t="s">
        <v>3783</v>
      </c>
      <c r="SMU1115" s="379" t="s">
        <v>3783</v>
      </c>
      <c r="SMV1115" s="379" t="s">
        <v>3783</v>
      </c>
      <c r="SMW1115" s="379" t="s">
        <v>3783</v>
      </c>
      <c r="SMX1115" s="379" t="s">
        <v>3783</v>
      </c>
      <c r="SMY1115" s="379" t="s">
        <v>3783</v>
      </c>
      <c r="SMZ1115" s="379" t="s">
        <v>3783</v>
      </c>
      <c r="SNA1115" s="379" t="s">
        <v>3783</v>
      </c>
      <c r="SNB1115" s="379" t="s">
        <v>3783</v>
      </c>
      <c r="SNC1115" s="379" t="s">
        <v>3783</v>
      </c>
      <c r="SND1115" s="379" t="s">
        <v>3783</v>
      </c>
      <c r="SNE1115" s="379" t="s">
        <v>3783</v>
      </c>
      <c r="SNF1115" s="379" t="s">
        <v>3783</v>
      </c>
      <c r="SNG1115" s="379" t="s">
        <v>3783</v>
      </c>
      <c r="SNH1115" s="379" t="s">
        <v>3783</v>
      </c>
      <c r="SNI1115" s="379" t="s">
        <v>3783</v>
      </c>
      <c r="SNJ1115" s="379" t="s">
        <v>3783</v>
      </c>
      <c r="SNK1115" s="379" t="s">
        <v>3783</v>
      </c>
      <c r="SNL1115" s="379" t="s">
        <v>3783</v>
      </c>
      <c r="SNM1115" s="379" t="s">
        <v>3783</v>
      </c>
      <c r="SNN1115" s="379" t="s">
        <v>3783</v>
      </c>
      <c r="SNO1115" s="379" t="s">
        <v>3783</v>
      </c>
      <c r="SNP1115" s="379" t="s">
        <v>3783</v>
      </c>
      <c r="SNQ1115" s="379" t="s">
        <v>3783</v>
      </c>
      <c r="SNR1115" s="379" t="s">
        <v>3783</v>
      </c>
      <c r="SNS1115" s="379" t="s">
        <v>3783</v>
      </c>
      <c r="SNT1115" s="379" t="s">
        <v>3783</v>
      </c>
      <c r="SNU1115" s="379" t="s">
        <v>3783</v>
      </c>
      <c r="SNV1115" s="379" t="s">
        <v>3783</v>
      </c>
      <c r="SNW1115" s="379" t="s">
        <v>3783</v>
      </c>
      <c r="SNX1115" s="379" t="s">
        <v>3783</v>
      </c>
      <c r="SNY1115" s="379" t="s">
        <v>3783</v>
      </c>
      <c r="SNZ1115" s="379" t="s">
        <v>3783</v>
      </c>
      <c r="SOA1115" s="379" t="s">
        <v>3783</v>
      </c>
      <c r="SOB1115" s="379" t="s">
        <v>3783</v>
      </c>
      <c r="SOC1115" s="379" t="s">
        <v>3783</v>
      </c>
      <c r="SOD1115" s="379" t="s">
        <v>3783</v>
      </c>
      <c r="SOE1115" s="379" t="s">
        <v>3783</v>
      </c>
      <c r="SOF1115" s="379" t="s">
        <v>3783</v>
      </c>
      <c r="SOG1115" s="379" t="s">
        <v>3783</v>
      </c>
      <c r="SOH1115" s="379" t="s">
        <v>3783</v>
      </c>
      <c r="SOI1115" s="379" t="s">
        <v>3783</v>
      </c>
      <c r="SOJ1115" s="379" t="s">
        <v>3783</v>
      </c>
      <c r="SOK1115" s="379" t="s">
        <v>3783</v>
      </c>
      <c r="SOL1115" s="379" t="s">
        <v>3783</v>
      </c>
      <c r="SOM1115" s="379" t="s">
        <v>3783</v>
      </c>
      <c r="SON1115" s="379" t="s">
        <v>3783</v>
      </c>
      <c r="SOO1115" s="379" t="s">
        <v>3783</v>
      </c>
      <c r="SOP1115" s="379" t="s">
        <v>3783</v>
      </c>
      <c r="SOQ1115" s="379" t="s">
        <v>3783</v>
      </c>
      <c r="SOR1115" s="379" t="s">
        <v>3783</v>
      </c>
      <c r="SOS1115" s="379" t="s">
        <v>3783</v>
      </c>
      <c r="SOT1115" s="379" t="s">
        <v>3783</v>
      </c>
      <c r="SOU1115" s="379" t="s">
        <v>3783</v>
      </c>
      <c r="SOV1115" s="379" t="s">
        <v>3783</v>
      </c>
      <c r="SOW1115" s="379" t="s">
        <v>3783</v>
      </c>
      <c r="SOX1115" s="379" t="s">
        <v>3783</v>
      </c>
      <c r="SOY1115" s="379" t="s">
        <v>3783</v>
      </c>
      <c r="SOZ1115" s="379" t="s">
        <v>3783</v>
      </c>
      <c r="SPA1115" s="379" t="s">
        <v>3783</v>
      </c>
      <c r="SPB1115" s="379" t="s">
        <v>3783</v>
      </c>
      <c r="SPC1115" s="379" t="s">
        <v>3783</v>
      </c>
      <c r="SPD1115" s="379" t="s">
        <v>3783</v>
      </c>
      <c r="SPE1115" s="379" t="s">
        <v>3783</v>
      </c>
      <c r="SPF1115" s="379" t="s">
        <v>3783</v>
      </c>
      <c r="SPG1115" s="379" t="s">
        <v>3783</v>
      </c>
      <c r="SPH1115" s="379" t="s">
        <v>3783</v>
      </c>
      <c r="SPI1115" s="379" t="s">
        <v>3783</v>
      </c>
      <c r="SPJ1115" s="379" t="s">
        <v>3783</v>
      </c>
      <c r="SPK1115" s="379" t="s">
        <v>3783</v>
      </c>
      <c r="SPL1115" s="379" t="s">
        <v>3783</v>
      </c>
      <c r="SPM1115" s="379" t="s">
        <v>3783</v>
      </c>
      <c r="SPN1115" s="379" t="s">
        <v>3783</v>
      </c>
      <c r="SPO1115" s="379" t="s">
        <v>3783</v>
      </c>
      <c r="SPP1115" s="379" t="s">
        <v>3783</v>
      </c>
      <c r="SPQ1115" s="379" t="s">
        <v>3783</v>
      </c>
      <c r="SPR1115" s="379" t="s">
        <v>3783</v>
      </c>
      <c r="SPS1115" s="379" t="s">
        <v>3783</v>
      </c>
      <c r="SPT1115" s="379" t="s">
        <v>3783</v>
      </c>
      <c r="SPU1115" s="379" t="s">
        <v>3783</v>
      </c>
      <c r="SPV1115" s="379" t="s">
        <v>3783</v>
      </c>
      <c r="SPW1115" s="379" t="s">
        <v>3783</v>
      </c>
      <c r="SPX1115" s="379" t="s">
        <v>3783</v>
      </c>
      <c r="SPY1115" s="379" t="s">
        <v>3783</v>
      </c>
      <c r="SPZ1115" s="379" t="s">
        <v>3783</v>
      </c>
      <c r="SQA1115" s="379" t="s">
        <v>3783</v>
      </c>
      <c r="SQB1115" s="379" t="s">
        <v>3783</v>
      </c>
      <c r="SQC1115" s="379" t="s">
        <v>3783</v>
      </c>
      <c r="SQD1115" s="379" t="s">
        <v>3783</v>
      </c>
      <c r="SQE1115" s="379" t="s">
        <v>3783</v>
      </c>
      <c r="SQF1115" s="379" t="s">
        <v>3783</v>
      </c>
      <c r="SQG1115" s="379" t="s">
        <v>3783</v>
      </c>
      <c r="SQH1115" s="379" t="s">
        <v>3783</v>
      </c>
      <c r="SQI1115" s="379" t="s">
        <v>3783</v>
      </c>
      <c r="SQJ1115" s="379" t="s">
        <v>3783</v>
      </c>
      <c r="SQK1115" s="379" t="s">
        <v>3783</v>
      </c>
      <c r="SQL1115" s="379" t="s">
        <v>3783</v>
      </c>
      <c r="SQM1115" s="379" t="s">
        <v>3783</v>
      </c>
      <c r="SQN1115" s="379" t="s">
        <v>3783</v>
      </c>
      <c r="SQO1115" s="379" t="s">
        <v>3783</v>
      </c>
      <c r="SQP1115" s="379" t="s">
        <v>3783</v>
      </c>
      <c r="SQQ1115" s="379" t="s">
        <v>3783</v>
      </c>
      <c r="SQR1115" s="379" t="s">
        <v>3783</v>
      </c>
      <c r="SQS1115" s="379" t="s">
        <v>3783</v>
      </c>
      <c r="SQT1115" s="379" t="s">
        <v>3783</v>
      </c>
      <c r="SQU1115" s="379" t="s">
        <v>3783</v>
      </c>
      <c r="SQV1115" s="379" t="s">
        <v>3783</v>
      </c>
      <c r="SQW1115" s="379" t="s">
        <v>3783</v>
      </c>
      <c r="SQX1115" s="379" t="s">
        <v>3783</v>
      </c>
      <c r="SQY1115" s="379" t="s">
        <v>3783</v>
      </c>
      <c r="SQZ1115" s="379" t="s">
        <v>3783</v>
      </c>
      <c r="SRA1115" s="379" t="s">
        <v>3783</v>
      </c>
      <c r="SRB1115" s="379" t="s">
        <v>3783</v>
      </c>
      <c r="SRC1115" s="379" t="s">
        <v>3783</v>
      </c>
      <c r="SRD1115" s="379" t="s">
        <v>3783</v>
      </c>
      <c r="SRE1115" s="379" t="s">
        <v>3783</v>
      </c>
      <c r="SRF1115" s="379" t="s">
        <v>3783</v>
      </c>
      <c r="SRG1115" s="379" t="s">
        <v>3783</v>
      </c>
      <c r="SRH1115" s="379" t="s">
        <v>3783</v>
      </c>
      <c r="SRI1115" s="379" t="s">
        <v>3783</v>
      </c>
      <c r="SRJ1115" s="379" t="s">
        <v>3783</v>
      </c>
      <c r="SRK1115" s="379" t="s">
        <v>3783</v>
      </c>
      <c r="SRL1115" s="379" t="s">
        <v>3783</v>
      </c>
      <c r="SRM1115" s="379" t="s">
        <v>3783</v>
      </c>
      <c r="SRN1115" s="379" t="s">
        <v>3783</v>
      </c>
      <c r="SRO1115" s="379" t="s">
        <v>3783</v>
      </c>
      <c r="SRP1115" s="379" t="s">
        <v>3783</v>
      </c>
      <c r="SRQ1115" s="379" t="s">
        <v>3783</v>
      </c>
      <c r="SRR1115" s="379" t="s">
        <v>3783</v>
      </c>
      <c r="SRS1115" s="379" t="s">
        <v>3783</v>
      </c>
      <c r="SRT1115" s="379" t="s">
        <v>3783</v>
      </c>
      <c r="SRU1115" s="379" t="s">
        <v>3783</v>
      </c>
      <c r="SRV1115" s="379" t="s">
        <v>3783</v>
      </c>
      <c r="SRW1115" s="379" t="s">
        <v>3783</v>
      </c>
      <c r="SRX1115" s="379" t="s">
        <v>3783</v>
      </c>
      <c r="SRY1115" s="379" t="s">
        <v>3783</v>
      </c>
      <c r="SRZ1115" s="379" t="s">
        <v>3783</v>
      </c>
      <c r="SSA1115" s="379" t="s">
        <v>3783</v>
      </c>
      <c r="SSB1115" s="379" t="s">
        <v>3783</v>
      </c>
      <c r="SSC1115" s="379" t="s">
        <v>3783</v>
      </c>
      <c r="SSD1115" s="379" t="s">
        <v>3783</v>
      </c>
      <c r="SSE1115" s="379" t="s">
        <v>3783</v>
      </c>
      <c r="SSF1115" s="379" t="s">
        <v>3783</v>
      </c>
      <c r="SSG1115" s="379" t="s">
        <v>3783</v>
      </c>
      <c r="SSH1115" s="379" t="s">
        <v>3783</v>
      </c>
      <c r="SSI1115" s="379" t="s">
        <v>3783</v>
      </c>
      <c r="SSJ1115" s="379" t="s">
        <v>3783</v>
      </c>
      <c r="SSK1115" s="379" t="s">
        <v>3783</v>
      </c>
      <c r="SSL1115" s="379" t="s">
        <v>3783</v>
      </c>
      <c r="SSM1115" s="379" t="s">
        <v>3783</v>
      </c>
      <c r="SSN1115" s="379" t="s">
        <v>3783</v>
      </c>
      <c r="SSO1115" s="379" t="s">
        <v>3783</v>
      </c>
      <c r="SSP1115" s="379" t="s">
        <v>3783</v>
      </c>
      <c r="SSQ1115" s="379" t="s">
        <v>3783</v>
      </c>
      <c r="SSR1115" s="379" t="s">
        <v>3783</v>
      </c>
      <c r="SSS1115" s="379" t="s">
        <v>3783</v>
      </c>
      <c r="SST1115" s="379" t="s">
        <v>3783</v>
      </c>
      <c r="SSU1115" s="379" t="s">
        <v>3783</v>
      </c>
      <c r="SSV1115" s="379" t="s">
        <v>3783</v>
      </c>
      <c r="SSW1115" s="379" t="s">
        <v>3783</v>
      </c>
      <c r="SSX1115" s="379" t="s">
        <v>3783</v>
      </c>
      <c r="SSY1115" s="379" t="s">
        <v>3783</v>
      </c>
      <c r="SSZ1115" s="379" t="s">
        <v>3783</v>
      </c>
      <c r="STA1115" s="379" t="s">
        <v>3783</v>
      </c>
      <c r="STB1115" s="379" t="s">
        <v>3783</v>
      </c>
      <c r="STC1115" s="379" t="s">
        <v>3783</v>
      </c>
      <c r="STD1115" s="379" t="s">
        <v>3783</v>
      </c>
      <c r="STE1115" s="379" t="s">
        <v>3783</v>
      </c>
      <c r="STF1115" s="379" t="s">
        <v>3783</v>
      </c>
      <c r="STG1115" s="379" t="s">
        <v>3783</v>
      </c>
      <c r="STH1115" s="379" t="s">
        <v>3783</v>
      </c>
      <c r="STI1115" s="379" t="s">
        <v>3783</v>
      </c>
      <c r="STJ1115" s="379" t="s">
        <v>3783</v>
      </c>
      <c r="STK1115" s="379" t="s">
        <v>3783</v>
      </c>
      <c r="STL1115" s="379" t="s">
        <v>3783</v>
      </c>
      <c r="STM1115" s="379" t="s">
        <v>3783</v>
      </c>
      <c r="STN1115" s="379" t="s">
        <v>3783</v>
      </c>
      <c r="STO1115" s="379" t="s">
        <v>3783</v>
      </c>
      <c r="STP1115" s="379" t="s">
        <v>3783</v>
      </c>
      <c r="STQ1115" s="379" t="s">
        <v>3783</v>
      </c>
      <c r="STR1115" s="379" t="s">
        <v>3783</v>
      </c>
      <c r="STS1115" s="379" t="s">
        <v>3783</v>
      </c>
      <c r="STT1115" s="379" t="s">
        <v>3783</v>
      </c>
      <c r="STU1115" s="379" t="s">
        <v>3783</v>
      </c>
      <c r="STV1115" s="379" t="s">
        <v>3783</v>
      </c>
      <c r="STW1115" s="379" t="s">
        <v>3783</v>
      </c>
      <c r="STX1115" s="379" t="s">
        <v>3783</v>
      </c>
      <c r="STY1115" s="379" t="s">
        <v>3783</v>
      </c>
      <c r="STZ1115" s="379" t="s">
        <v>3783</v>
      </c>
      <c r="SUA1115" s="379" t="s">
        <v>3783</v>
      </c>
      <c r="SUB1115" s="379" t="s">
        <v>3783</v>
      </c>
      <c r="SUC1115" s="379" t="s">
        <v>3783</v>
      </c>
      <c r="SUD1115" s="379" t="s">
        <v>3783</v>
      </c>
      <c r="SUE1115" s="379" t="s">
        <v>3783</v>
      </c>
      <c r="SUF1115" s="379" t="s">
        <v>3783</v>
      </c>
      <c r="SUG1115" s="379" t="s">
        <v>3783</v>
      </c>
      <c r="SUH1115" s="379" t="s">
        <v>3783</v>
      </c>
      <c r="SUI1115" s="379" t="s">
        <v>3783</v>
      </c>
      <c r="SUJ1115" s="379" t="s">
        <v>3783</v>
      </c>
      <c r="SUK1115" s="379" t="s">
        <v>3783</v>
      </c>
      <c r="SUL1115" s="379" t="s">
        <v>3783</v>
      </c>
      <c r="SUM1115" s="379" t="s">
        <v>3783</v>
      </c>
      <c r="SUN1115" s="379" t="s">
        <v>3783</v>
      </c>
      <c r="SUO1115" s="379" t="s">
        <v>3783</v>
      </c>
      <c r="SUP1115" s="379" t="s">
        <v>3783</v>
      </c>
      <c r="SUQ1115" s="379" t="s">
        <v>3783</v>
      </c>
      <c r="SUR1115" s="379" t="s">
        <v>3783</v>
      </c>
      <c r="SUS1115" s="379" t="s">
        <v>3783</v>
      </c>
      <c r="SUT1115" s="379" t="s">
        <v>3783</v>
      </c>
      <c r="SUU1115" s="379" t="s">
        <v>3783</v>
      </c>
      <c r="SUV1115" s="379" t="s">
        <v>3783</v>
      </c>
      <c r="SUW1115" s="379" t="s">
        <v>3783</v>
      </c>
      <c r="SUX1115" s="379" t="s">
        <v>3783</v>
      </c>
      <c r="SUY1115" s="379" t="s">
        <v>3783</v>
      </c>
      <c r="SUZ1115" s="379" t="s">
        <v>3783</v>
      </c>
      <c r="SVA1115" s="379" t="s">
        <v>3783</v>
      </c>
      <c r="SVB1115" s="379" t="s">
        <v>3783</v>
      </c>
      <c r="SVC1115" s="379" t="s">
        <v>3783</v>
      </c>
      <c r="SVD1115" s="379" t="s">
        <v>3783</v>
      </c>
      <c r="SVE1115" s="379" t="s">
        <v>3783</v>
      </c>
      <c r="SVF1115" s="379" t="s">
        <v>3783</v>
      </c>
      <c r="SVG1115" s="379" t="s">
        <v>3783</v>
      </c>
      <c r="SVH1115" s="379" t="s">
        <v>3783</v>
      </c>
      <c r="SVI1115" s="379" t="s">
        <v>3783</v>
      </c>
      <c r="SVJ1115" s="379" t="s">
        <v>3783</v>
      </c>
      <c r="SVK1115" s="379" t="s">
        <v>3783</v>
      </c>
      <c r="SVL1115" s="379" t="s">
        <v>3783</v>
      </c>
      <c r="SVM1115" s="379" t="s">
        <v>3783</v>
      </c>
      <c r="SVN1115" s="379" t="s">
        <v>3783</v>
      </c>
      <c r="SVO1115" s="379" t="s">
        <v>3783</v>
      </c>
      <c r="SVP1115" s="379" t="s">
        <v>3783</v>
      </c>
      <c r="SVQ1115" s="379" t="s">
        <v>3783</v>
      </c>
      <c r="SVR1115" s="379" t="s">
        <v>3783</v>
      </c>
      <c r="SVS1115" s="379" t="s">
        <v>3783</v>
      </c>
      <c r="SVT1115" s="379" t="s">
        <v>3783</v>
      </c>
      <c r="SVU1115" s="379" t="s">
        <v>3783</v>
      </c>
      <c r="SVV1115" s="379" t="s">
        <v>3783</v>
      </c>
      <c r="SVW1115" s="379" t="s">
        <v>3783</v>
      </c>
      <c r="SVX1115" s="379" t="s">
        <v>3783</v>
      </c>
      <c r="SVY1115" s="379" t="s">
        <v>3783</v>
      </c>
      <c r="SVZ1115" s="379" t="s">
        <v>3783</v>
      </c>
      <c r="SWA1115" s="379" t="s">
        <v>3783</v>
      </c>
      <c r="SWB1115" s="379" t="s">
        <v>3783</v>
      </c>
      <c r="SWC1115" s="379" t="s">
        <v>3783</v>
      </c>
      <c r="SWD1115" s="379" t="s">
        <v>3783</v>
      </c>
      <c r="SWE1115" s="379" t="s">
        <v>3783</v>
      </c>
      <c r="SWF1115" s="379" t="s">
        <v>3783</v>
      </c>
      <c r="SWG1115" s="379" t="s">
        <v>3783</v>
      </c>
      <c r="SWH1115" s="379" t="s">
        <v>3783</v>
      </c>
      <c r="SWI1115" s="379" t="s">
        <v>3783</v>
      </c>
      <c r="SWJ1115" s="379" t="s">
        <v>3783</v>
      </c>
      <c r="SWK1115" s="379" t="s">
        <v>3783</v>
      </c>
      <c r="SWL1115" s="379" t="s">
        <v>3783</v>
      </c>
      <c r="SWM1115" s="379" t="s">
        <v>3783</v>
      </c>
      <c r="SWN1115" s="379" t="s">
        <v>3783</v>
      </c>
      <c r="SWO1115" s="379" t="s">
        <v>3783</v>
      </c>
      <c r="SWP1115" s="379" t="s">
        <v>3783</v>
      </c>
      <c r="SWQ1115" s="379" t="s">
        <v>3783</v>
      </c>
      <c r="SWR1115" s="379" t="s">
        <v>3783</v>
      </c>
      <c r="SWS1115" s="379" t="s">
        <v>3783</v>
      </c>
      <c r="SWT1115" s="379" t="s">
        <v>3783</v>
      </c>
      <c r="SWU1115" s="379" t="s">
        <v>3783</v>
      </c>
      <c r="SWV1115" s="379" t="s">
        <v>3783</v>
      </c>
      <c r="SWW1115" s="379" t="s">
        <v>3783</v>
      </c>
      <c r="SWX1115" s="379" t="s">
        <v>3783</v>
      </c>
      <c r="SWY1115" s="379" t="s">
        <v>3783</v>
      </c>
      <c r="SWZ1115" s="379" t="s">
        <v>3783</v>
      </c>
      <c r="SXA1115" s="379" t="s">
        <v>3783</v>
      </c>
      <c r="SXB1115" s="379" t="s">
        <v>3783</v>
      </c>
      <c r="SXC1115" s="379" t="s">
        <v>3783</v>
      </c>
      <c r="SXD1115" s="379" t="s">
        <v>3783</v>
      </c>
      <c r="SXE1115" s="379" t="s">
        <v>3783</v>
      </c>
      <c r="SXF1115" s="379" t="s">
        <v>3783</v>
      </c>
      <c r="SXG1115" s="379" t="s">
        <v>3783</v>
      </c>
      <c r="SXH1115" s="379" t="s">
        <v>3783</v>
      </c>
      <c r="SXI1115" s="379" t="s">
        <v>3783</v>
      </c>
      <c r="SXJ1115" s="379" t="s">
        <v>3783</v>
      </c>
      <c r="SXK1115" s="379" t="s">
        <v>3783</v>
      </c>
      <c r="SXL1115" s="379" t="s">
        <v>3783</v>
      </c>
      <c r="SXM1115" s="379" t="s">
        <v>3783</v>
      </c>
      <c r="SXN1115" s="379" t="s">
        <v>3783</v>
      </c>
      <c r="SXO1115" s="379" t="s">
        <v>3783</v>
      </c>
      <c r="SXP1115" s="379" t="s">
        <v>3783</v>
      </c>
      <c r="SXQ1115" s="379" t="s">
        <v>3783</v>
      </c>
      <c r="SXR1115" s="379" t="s">
        <v>3783</v>
      </c>
      <c r="SXS1115" s="379" t="s">
        <v>3783</v>
      </c>
      <c r="SXT1115" s="379" t="s">
        <v>3783</v>
      </c>
      <c r="SXU1115" s="379" t="s">
        <v>3783</v>
      </c>
      <c r="SXV1115" s="379" t="s">
        <v>3783</v>
      </c>
      <c r="SXW1115" s="379" t="s">
        <v>3783</v>
      </c>
      <c r="SXX1115" s="379" t="s">
        <v>3783</v>
      </c>
      <c r="SXY1115" s="379" t="s">
        <v>3783</v>
      </c>
      <c r="SXZ1115" s="379" t="s">
        <v>3783</v>
      </c>
      <c r="SYA1115" s="379" t="s">
        <v>3783</v>
      </c>
      <c r="SYB1115" s="379" t="s">
        <v>3783</v>
      </c>
      <c r="SYC1115" s="379" t="s">
        <v>3783</v>
      </c>
      <c r="SYD1115" s="379" t="s">
        <v>3783</v>
      </c>
      <c r="SYE1115" s="379" t="s">
        <v>3783</v>
      </c>
      <c r="SYF1115" s="379" t="s">
        <v>3783</v>
      </c>
      <c r="SYG1115" s="379" t="s">
        <v>3783</v>
      </c>
      <c r="SYH1115" s="379" t="s">
        <v>3783</v>
      </c>
      <c r="SYI1115" s="379" t="s">
        <v>3783</v>
      </c>
      <c r="SYJ1115" s="379" t="s">
        <v>3783</v>
      </c>
      <c r="SYK1115" s="379" t="s">
        <v>3783</v>
      </c>
      <c r="SYL1115" s="379" t="s">
        <v>3783</v>
      </c>
      <c r="SYM1115" s="379" t="s">
        <v>3783</v>
      </c>
      <c r="SYN1115" s="379" t="s">
        <v>3783</v>
      </c>
      <c r="SYO1115" s="379" t="s">
        <v>3783</v>
      </c>
      <c r="SYP1115" s="379" t="s">
        <v>3783</v>
      </c>
      <c r="SYQ1115" s="379" t="s">
        <v>3783</v>
      </c>
      <c r="SYR1115" s="379" t="s">
        <v>3783</v>
      </c>
      <c r="SYS1115" s="379" t="s">
        <v>3783</v>
      </c>
      <c r="SYT1115" s="379" t="s">
        <v>3783</v>
      </c>
      <c r="SYU1115" s="379" t="s">
        <v>3783</v>
      </c>
      <c r="SYV1115" s="379" t="s">
        <v>3783</v>
      </c>
      <c r="SYW1115" s="379" t="s">
        <v>3783</v>
      </c>
      <c r="SYX1115" s="379" t="s">
        <v>3783</v>
      </c>
      <c r="SYY1115" s="379" t="s">
        <v>3783</v>
      </c>
      <c r="SYZ1115" s="379" t="s">
        <v>3783</v>
      </c>
      <c r="SZA1115" s="379" t="s">
        <v>3783</v>
      </c>
      <c r="SZB1115" s="379" t="s">
        <v>3783</v>
      </c>
      <c r="SZC1115" s="379" t="s">
        <v>3783</v>
      </c>
      <c r="SZD1115" s="379" t="s">
        <v>3783</v>
      </c>
      <c r="SZE1115" s="379" t="s">
        <v>3783</v>
      </c>
      <c r="SZF1115" s="379" t="s">
        <v>3783</v>
      </c>
      <c r="SZG1115" s="379" t="s">
        <v>3783</v>
      </c>
      <c r="SZH1115" s="379" t="s">
        <v>3783</v>
      </c>
      <c r="SZI1115" s="379" t="s">
        <v>3783</v>
      </c>
      <c r="SZJ1115" s="379" t="s">
        <v>3783</v>
      </c>
      <c r="SZK1115" s="379" t="s">
        <v>3783</v>
      </c>
      <c r="SZL1115" s="379" t="s">
        <v>3783</v>
      </c>
      <c r="SZM1115" s="379" t="s">
        <v>3783</v>
      </c>
      <c r="SZN1115" s="379" t="s">
        <v>3783</v>
      </c>
      <c r="SZO1115" s="379" t="s">
        <v>3783</v>
      </c>
      <c r="SZP1115" s="379" t="s">
        <v>3783</v>
      </c>
      <c r="SZQ1115" s="379" t="s">
        <v>3783</v>
      </c>
      <c r="SZR1115" s="379" t="s">
        <v>3783</v>
      </c>
      <c r="SZS1115" s="379" t="s">
        <v>3783</v>
      </c>
      <c r="SZT1115" s="379" t="s">
        <v>3783</v>
      </c>
      <c r="SZU1115" s="379" t="s">
        <v>3783</v>
      </c>
      <c r="SZV1115" s="379" t="s">
        <v>3783</v>
      </c>
      <c r="SZW1115" s="379" t="s">
        <v>3783</v>
      </c>
      <c r="SZX1115" s="379" t="s">
        <v>3783</v>
      </c>
      <c r="SZY1115" s="379" t="s">
        <v>3783</v>
      </c>
      <c r="SZZ1115" s="379" t="s">
        <v>3783</v>
      </c>
      <c r="TAA1115" s="379" t="s">
        <v>3783</v>
      </c>
      <c r="TAB1115" s="379" t="s">
        <v>3783</v>
      </c>
      <c r="TAC1115" s="379" t="s">
        <v>3783</v>
      </c>
      <c r="TAD1115" s="379" t="s">
        <v>3783</v>
      </c>
      <c r="TAE1115" s="379" t="s">
        <v>3783</v>
      </c>
      <c r="TAF1115" s="379" t="s">
        <v>3783</v>
      </c>
      <c r="TAG1115" s="379" t="s">
        <v>3783</v>
      </c>
      <c r="TAH1115" s="379" t="s">
        <v>3783</v>
      </c>
      <c r="TAI1115" s="379" t="s">
        <v>3783</v>
      </c>
      <c r="TAJ1115" s="379" t="s">
        <v>3783</v>
      </c>
      <c r="TAK1115" s="379" t="s">
        <v>3783</v>
      </c>
      <c r="TAL1115" s="379" t="s">
        <v>3783</v>
      </c>
      <c r="TAM1115" s="379" t="s">
        <v>3783</v>
      </c>
      <c r="TAN1115" s="379" t="s">
        <v>3783</v>
      </c>
      <c r="TAO1115" s="379" t="s">
        <v>3783</v>
      </c>
      <c r="TAP1115" s="379" t="s">
        <v>3783</v>
      </c>
      <c r="TAQ1115" s="379" t="s">
        <v>3783</v>
      </c>
      <c r="TAR1115" s="379" t="s">
        <v>3783</v>
      </c>
      <c r="TAS1115" s="379" t="s">
        <v>3783</v>
      </c>
      <c r="TAT1115" s="379" t="s">
        <v>3783</v>
      </c>
      <c r="TAU1115" s="379" t="s">
        <v>3783</v>
      </c>
      <c r="TAV1115" s="379" t="s">
        <v>3783</v>
      </c>
      <c r="TAW1115" s="379" t="s">
        <v>3783</v>
      </c>
      <c r="TAX1115" s="379" t="s">
        <v>3783</v>
      </c>
      <c r="TAY1115" s="379" t="s">
        <v>3783</v>
      </c>
      <c r="TAZ1115" s="379" t="s">
        <v>3783</v>
      </c>
      <c r="TBA1115" s="379" t="s">
        <v>3783</v>
      </c>
      <c r="TBB1115" s="379" t="s">
        <v>3783</v>
      </c>
      <c r="TBC1115" s="379" t="s">
        <v>3783</v>
      </c>
      <c r="TBD1115" s="379" t="s">
        <v>3783</v>
      </c>
      <c r="TBE1115" s="379" t="s">
        <v>3783</v>
      </c>
      <c r="TBF1115" s="379" t="s">
        <v>3783</v>
      </c>
      <c r="TBG1115" s="379" t="s">
        <v>3783</v>
      </c>
      <c r="TBH1115" s="379" t="s">
        <v>3783</v>
      </c>
      <c r="TBI1115" s="379" t="s">
        <v>3783</v>
      </c>
      <c r="TBJ1115" s="379" t="s">
        <v>3783</v>
      </c>
      <c r="TBK1115" s="379" t="s">
        <v>3783</v>
      </c>
      <c r="TBL1115" s="379" t="s">
        <v>3783</v>
      </c>
      <c r="TBM1115" s="379" t="s">
        <v>3783</v>
      </c>
      <c r="TBN1115" s="379" t="s">
        <v>3783</v>
      </c>
      <c r="TBO1115" s="379" t="s">
        <v>3783</v>
      </c>
      <c r="TBP1115" s="379" t="s">
        <v>3783</v>
      </c>
      <c r="TBQ1115" s="379" t="s">
        <v>3783</v>
      </c>
      <c r="TBR1115" s="379" t="s">
        <v>3783</v>
      </c>
      <c r="TBS1115" s="379" t="s">
        <v>3783</v>
      </c>
      <c r="TBT1115" s="379" t="s">
        <v>3783</v>
      </c>
      <c r="TBU1115" s="379" t="s">
        <v>3783</v>
      </c>
      <c r="TBV1115" s="379" t="s">
        <v>3783</v>
      </c>
      <c r="TBW1115" s="379" t="s">
        <v>3783</v>
      </c>
      <c r="TBX1115" s="379" t="s">
        <v>3783</v>
      </c>
      <c r="TBY1115" s="379" t="s">
        <v>3783</v>
      </c>
      <c r="TBZ1115" s="379" t="s">
        <v>3783</v>
      </c>
      <c r="TCA1115" s="379" t="s">
        <v>3783</v>
      </c>
      <c r="TCB1115" s="379" t="s">
        <v>3783</v>
      </c>
      <c r="TCC1115" s="379" t="s">
        <v>3783</v>
      </c>
      <c r="TCD1115" s="379" t="s">
        <v>3783</v>
      </c>
      <c r="TCE1115" s="379" t="s">
        <v>3783</v>
      </c>
      <c r="TCF1115" s="379" t="s">
        <v>3783</v>
      </c>
      <c r="TCG1115" s="379" t="s">
        <v>3783</v>
      </c>
      <c r="TCH1115" s="379" t="s">
        <v>3783</v>
      </c>
      <c r="TCI1115" s="379" t="s">
        <v>3783</v>
      </c>
      <c r="TCJ1115" s="379" t="s">
        <v>3783</v>
      </c>
      <c r="TCK1115" s="379" t="s">
        <v>3783</v>
      </c>
      <c r="TCL1115" s="379" t="s">
        <v>3783</v>
      </c>
      <c r="TCM1115" s="379" t="s">
        <v>3783</v>
      </c>
      <c r="TCN1115" s="379" t="s">
        <v>3783</v>
      </c>
      <c r="TCO1115" s="379" t="s">
        <v>3783</v>
      </c>
      <c r="TCP1115" s="379" t="s">
        <v>3783</v>
      </c>
      <c r="TCQ1115" s="379" t="s">
        <v>3783</v>
      </c>
      <c r="TCR1115" s="379" t="s">
        <v>3783</v>
      </c>
      <c r="TCS1115" s="379" t="s">
        <v>3783</v>
      </c>
      <c r="TCT1115" s="379" t="s">
        <v>3783</v>
      </c>
      <c r="TCU1115" s="379" t="s">
        <v>3783</v>
      </c>
      <c r="TCV1115" s="379" t="s">
        <v>3783</v>
      </c>
      <c r="TCW1115" s="379" t="s">
        <v>3783</v>
      </c>
      <c r="TCX1115" s="379" t="s">
        <v>3783</v>
      </c>
      <c r="TCY1115" s="379" t="s">
        <v>3783</v>
      </c>
      <c r="TCZ1115" s="379" t="s">
        <v>3783</v>
      </c>
      <c r="TDA1115" s="379" t="s">
        <v>3783</v>
      </c>
      <c r="TDB1115" s="379" t="s">
        <v>3783</v>
      </c>
      <c r="TDC1115" s="379" t="s">
        <v>3783</v>
      </c>
      <c r="TDD1115" s="379" t="s">
        <v>3783</v>
      </c>
      <c r="TDE1115" s="379" t="s">
        <v>3783</v>
      </c>
      <c r="TDF1115" s="379" t="s">
        <v>3783</v>
      </c>
      <c r="TDG1115" s="379" t="s">
        <v>3783</v>
      </c>
      <c r="TDH1115" s="379" t="s">
        <v>3783</v>
      </c>
      <c r="TDI1115" s="379" t="s">
        <v>3783</v>
      </c>
      <c r="TDJ1115" s="379" t="s">
        <v>3783</v>
      </c>
      <c r="TDK1115" s="379" t="s">
        <v>3783</v>
      </c>
      <c r="TDL1115" s="379" t="s">
        <v>3783</v>
      </c>
      <c r="TDM1115" s="379" t="s">
        <v>3783</v>
      </c>
      <c r="TDN1115" s="379" t="s">
        <v>3783</v>
      </c>
      <c r="TDO1115" s="379" t="s">
        <v>3783</v>
      </c>
      <c r="TDP1115" s="379" t="s">
        <v>3783</v>
      </c>
      <c r="TDQ1115" s="379" t="s">
        <v>3783</v>
      </c>
      <c r="TDR1115" s="379" t="s">
        <v>3783</v>
      </c>
      <c r="TDS1115" s="379" t="s">
        <v>3783</v>
      </c>
      <c r="TDT1115" s="379" t="s">
        <v>3783</v>
      </c>
      <c r="TDU1115" s="379" t="s">
        <v>3783</v>
      </c>
      <c r="TDV1115" s="379" t="s">
        <v>3783</v>
      </c>
      <c r="TDW1115" s="379" t="s">
        <v>3783</v>
      </c>
      <c r="TDX1115" s="379" t="s">
        <v>3783</v>
      </c>
      <c r="TDY1115" s="379" t="s">
        <v>3783</v>
      </c>
      <c r="TDZ1115" s="379" t="s">
        <v>3783</v>
      </c>
      <c r="TEA1115" s="379" t="s">
        <v>3783</v>
      </c>
      <c r="TEB1115" s="379" t="s">
        <v>3783</v>
      </c>
      <c r="TEC1115" s="379" t="s">
        <v>3783</v>
      </c>
      <c r="TED1115" s="379" t="s">
        <v>3783</v>
      </c>
      <c r="TEE1115" s="379" t="s">
        <v>3783</v>
      </c>
      <c r="TEF1115" s="379" t="s">
        <v>3783</v>
      </c>
      <c r="TEG1115" s="379" t="s">
        <v>3783</v>
      </c>
      <c r="TEH1115" s="379" t="s">
        <v>3783</v>
      </c>
      <c r="TEI1115" s="379" t="s">
        <v>3783</v>
      </c>
      <c r="TEJ1115" s="379" t="s">
        <v>3783</v>
      </c>
      <c r="TEK1115" s="379" t="s">
        <v>3783</v>
      </c>
      <c r="TEL1115" s="379" t="s">
        <v>3783</v>
      </c>
      <c r="TEM1115" s="379" t="s">
        <v>3783</v>
      </c>
      <c r="TEN1115" s="379" t="s">
        <v>3783</v>
      </c>
      <c r="TEO1115" s="379" t="s">
        <v>3783</v>
      </c>
      <c r="TEP1115" s="379" t="s">
        <v>3783</v>
      </c>
      <c r="TEQ1115" s="379" t="s">
        <v>3783</v>
      </c>
      <c r="TER1115" s="379" t="s">
        <v>3783</v>
      </c>
      <c r="TES1115" s="379" t="s">
        <v>3783</v>
      </c>
      <c r="TET1115" s="379" t="s">
        <v>3783</v>
      </c>
      <c r="TEU1115" s="379" t="s">
        <v>3783</v>
      </c>
      <c r="TEV1115" s="379" t="s">
        <v>3783</v>
      </c>
      <c r="TEW1115" s="379" t="s">
        <v>3783</v>
      </c>
      <c r="TEX1115" s="379" t="s">
        <v>3783</v>
      </c>
      <c r="TEY1115" s="379" t="s">
        <v>3783</v>
      </c>
      <c r="TEZ1115" s="379" t="s">
        <v>3783</v>
      </c>
      <c r="TFA1115" s="379" t="s">
        <v>3783</v>
      </c>
      <c r="TFB1115" s="379" t="s">
        <v>3783</v>
      </c>
      <c r="TFC1115" s="379" t="s">
        <v>3783</v>
      </c>
      <c r="TFD1115" s="379" t="s">
        <v>3783</v>
      </c>
      <c r="TFE1115" s="379" t="s">
        <v>3783</v>
      </c>
      <c r="TFF1115" s="379" t="s">
        <v>3783</v>
      </c>
      <c r="TFG1115" s="379" t="s">
        <v>3783</v>
      </c>
      <c r="TFH1115" s="379" t="s">
        <v>3783</v>
      </c>
      <c r="TFI1115" s="379" t="s">
        <v>3783</v>
      </c>
      <c r="TFJ1115" s="379" t="s">
        <v>3783</v>
      </c>
      <c r="TFK1115" s="379" t="s">
        <v>3783</v>
      </c>
      <c r="TFL1115" s="379" t="s">
        <v>3783</v>
      </c>
      <c r="TFM1115" s="379" t="s">
        <v>3783</v>
      </c>
      <c r="TFN1115" s="379" t="s">
        <v>3783</v>
      </c>
      <c r="TFO1115" s="379" t="s">
        <v>3783</v>
      </c>
      <c r="TFP1115" s="379" t="s">
        <v>3783</v>
      </c>
      <c r="TFQ1115" s="379" t="s">
        <v>3783</v>
      </c>
      <c r="TFR1115" s="379" t="s">
        <v>3783</v>
      </c>
      <c r="TFS1115" s="379" t="s">
        <v>3783</v>
      </c>
      <c r="TFT1115" s="379" t="s">
        <v>3783</v>
      </c>
      <c r="TFU1115" s="379" t="s">
        <v>3783</v>
      </c>
      <c r="TFV1115" s="379" t="s">
        <v>3783</v>
      </c>
      <c r="TFW1115" s="379" t="s">
        <v>3783</v>
      </c>
      <c r="TFX1115" s="379" t="s">
        <v>3783</v>
      </c>
      <c r="TFY1115" s="379" t="s">
        <v>3783</v>
      </c>
      <c r="TFZ1115" s="379" t="s">
        <v>3783</v>
      </c>
      <c r="TGA1115" s="379" t="s">
        <v>3783</v>
      </c>
      <c r="TGB1115" s="379" t="s">
        <v>3783</v>
      </c>
      <c r="TGC1115" s="379" t="s">
        <v>3783</v>
      </c>
      <c r="TGD1115" s="379" t="s">
        <v>3783</v>
      </c>
      <c r="TGE1115" s="379" t="s">
        <v>3783</v>
      </c>
      <c r="TGF1115" s="379" t="s">
        <v>3783</v>
      </c>
      <c r="TGG1115" s="379" t="s">
        <v>3783</v>
      </c>
      <c r="TGH1115" s="379" t="s">
        <v>3783</v>
      </c>
      <c r="TGI1115" s="379" t="s">
        <v>3783</v>
      </c>
      <c r="TGJ1115" s="379" t="s">
        <v>3783</v>
      </c>
      <c r="TGK1115" s="379" t="s">
        <v>3783</v>
      </c>
      <c r="TGL1115" s="379" t="s">
        <v>3783</v>
      </c>
      <c r="TGM1115" s="379" t="s">
        <v>3783</v>
      </c>
      <c r="TGN1115" s="379" t="s">
        <v>3783</v>
      </c>
      <c r="TGO1115" s="379" t="s">
        <v>3783</v>
      </c>
      <c r="TGP1115" s="379" t="s">
        <v>3783</v>
      </c>
      <c r="TGQ1115" s="379" t="s">
        <v>3783</v>
      </c>
      <c r="TGR1115" s="379" t="s">
        <v>3783</v>
      </c>
      <c r="TGS1115" s="379" t="s">
        <v>3783</v>
      </c>
      <c r="TGT1115" s="379" t="s">
        <v>3783</v>
      </c>
      <c r="TGU1115" s="379" t="s">
        <v>3783</v>
      </c>
      <c r="TGV1115" s="379" t="s">
        <v>3783</v>
      </c>
      <c r="TGW1115" s="379" t="s">
        <v>3783</v>
      </c>
      <c r="TGX1115" s="379" t="s">
        <v>3783</v>
      </c>
      <c r="TGY1115" s="379" t="s">
        <v>3783</v>
      </c>
      <c r="TGZ1115" s="379" t="s">
        <v>3783</v>
      </c>
      <c r="THA1115" s="379" t="s">
        <v>3783</v>
      </c>
      <c r="THB1115" s="379" t="s">
        <v>3783</v>
      </c>
      <c r="THC1115" s="379" t="s">
        <v>3783</v>
      </c>
      <c r="THD1115" s="379" t="s">
        <v>3783</v>
      </c>
      <c r="THE1115" s="379" t="s">
        <v>3783</v>
      </c>
      <c r="THF1115" s="379" t="s">
        <v>3783</v>
      </c>
      <c r="THG1115" s="379" t="s">
        <v>3783</v>
      </c>
      <c r="THH1115" s="379" t="s">
        <v>3783</v>
      </c>
      <c r="THI1115" s="379" t="s">
        <v>3783</v>
      </c>
      <c r="THJ1115" s="379" t="s">
        <v>3783</v>
      </c>
      <c r="THK1115" s="379" t="s">
        <v>3783</v>
      </c>
      <c r="THL1115" s="379" t="s">
        <v>3783</v>
      </c>
      <c r="THM1115" s="379" t="s">
        <v>3783</v>
      </c>
      <c r="THN1115" s="379" t="s">
        <v>3783</v>
      </c>
      <c r="THO1115" s="379" t="s">
        <v>3783</v>
      </c>
      <c r="THP1115" s="379" t="s">
        <v>3783</v>
      </c>
      <c r="THQ1115" s="379" t="s">
        <v>3783</v>
      </c>
      <c r="THR1115" s="379" t="s">
        <v>3783</v>
      </c>
      <c r="THS1115" s="379" t="s">
        <v>3783</v>
      </c>
      <c r="THT1115" s="379" t="s">
        <v>3783</v>
      </c>
      <c r="THU1115" s="379" t="s">
        <v>3783</v>
      </c>
      <c r="THV1115" s="379" t="s">
        <v>3783</v>
      </c>
      <c r="THW1115" s="379" t="s">
        <v>3783</v>
      </c>
      <c r="THX1115" s="379" t="s">
        <v>3783</v>
      </c>
      <c r="THY1115" s="379" t="s">
        <v>3783</v>
      </c>
      <c r="THZ1115" s="379" t="s">
        <v>3783</v>
      </c>
      <c r="TIA1115" s="379" t="s">
        <v>3783</v>
      </c>
      <c r="TIB1115" s="379" t="s">
        <v>3783</v>
      </c>
      <c r="TIC1115" s="379" t="s">
        <v>3783</v>
      </c>
      <c r="TID1115" s="379" t="s">
        <v>3783</v>
      </c>
      <c r="TIE1115" s="379" t="s">
        <v>3783</v>
      </c>
      <c r="TIF1115" s="379" t="s">
        <v>3783</v>
      </c>
      <c r="TIG1115" s="379" t="s">
        <v>3783</v>
      </c>
      <c r="TIH1115" s="379" t="s">
        <v>3783</v>
      </c>
      <c r="TII1115" s="379" t="s">
        <v>3783</v>
      </c>
      <c r="TIJ1115" s="379" t="s">
        <v>3783</v>
      </c>
      <c r="TIK1115" s="379" t="s">
        <v>3783</v>
      </c>
      <c r="TIL1115" s="379" t="s">
        <v>3783</v>
      </c>
      <c r="TIM1115" s="379" t="s">
        <v>3783</v>
      </c>
      <c r="TIN1115" s="379" t="s">
        <v>3783</v>
      </c>
      <c r="TIO1115" s="379" t="s">
        <v>3783</v>
      </c>
      <c r="TIP1115" s="379" t="s">
        <v>3783</v>
      </c>
      <c r="TIQ1115" s="379" t="s">
        <v>3783</v>
      </c>
      <c r="TIR1115" s="379" t="s">
        <v>3783</v>
      </c>
      <c r="TIS1115" s="379" t="s">
        <v>3783</v>
      </c>
      <c r="TIT1115" s="379" t="s">
        <v>3783</v>
      </c>
      <c r="TIU1115" s="379" t="s">
        <v>3783</v>
      </c>
      <c r="TIV1115" s="379" t="s">
        <v>3783</v>
      </c>
      <c r="TIW1115" s="379" t="s">
        <v>3783</v>
      </c>
      <c r="TIX1115" s="379" t="s">
        <v>3783</v>
      </c>
      <c r="TIY1115" s="379" t="s">
        <v>3783</v>
      </c>
      <c r="TIZ1115" s="379" t="s">
        <v>3783</v>
      </c>
      <c r="TJA1115" s="379" t="s">
        <v>3783</v>
      </c>
      <c r="TJB1115" s="379" t="s">
        <v>3783</v>
      </c>
      <c r="TJC1115" s="379" t="s">
        <v>3783</v>
      </c>
      <c r="TJD1115" s="379" t="s">
        <v>3783</v>
      </c>
      <c r="TJE1115" s="379" t="s">
        <v>3783</v>
      </c>
      <c r="TJF1115" s="379" t="s">
        <v>3783</v>
      </c>
      <c r="TJG1115" s="379" t="s">
        <v>3783</v>
      </c>
      <c r="TJH1115" s="379" t="s">
        <v>3783</v>
      </c>
      <c r="TJI1115" s="379" t="s">
        <v>3783</v>
      </c>
      <c r="TJJ1115" s="379" t="s">
        <v>3783</v>
      </c>
      <c r="TJK1115" s="379" t="s">
        <v>3783</v>
      </c>
      <c r="TJL1115" s="379" t="s">
        <v>3783</v>
      </c>
      <c r="TJM1115" s="379" t="s">
        <v>3783</v>
      </c>
      <c r="TJN1115" s="379" t="s">
        <v>3783</v>
      </c>
      <c r="TJO1115" s="379" t="s">
        <v>3783</v>
      </c>
      <c r="TJP1115" s="379" t="s">
        <v>3783</v>
      </c>
      <c r="TJQ1115" s="379" t="s">
        <v>3783</v>
      </c>
      <c r="TJR1115" s="379" t="s">
        <v>3783</v>
      </c>
      <c r="TJS1115" s="379" t="s">
        <v>3783</v>
      </c>
      <c r="TJT1115" s="379" t="s">
        <v>3783</v>
      </c>
      <c r="TJU1115" s="379" t="s">
        <v>3783</v>
      </c>
      <c r="TJV1115" s="379" t="s">
        <v>3783</v>
      </c>
      <c r="TJW1115" s="379" t="s">
        <v>3783</v>
      </c>
      <c r="TJX1115" s="379" t="s">
        <v>3783</v>
      </c>
      <c r="TJY1115" s="379" t="s">
        <v>3783</v>
      </c>
      <c r="TJZ1115" s="379" t="s">
        <v>3783</v>
      </c>
      <c r="TKA1115" s="379" t="s">
        <v>3783</v>
      </c>
      <c r="TKB1115" s="379" t="s">
        <v>3783</v>
      </c>
      <c r="TKC1115" s="379" t="s">
        <v>3783</v>
      </c>
      <c r="TKD1115" s="379" t="s">
        <v>3783</v>
      </c>
      <c r="TKE1115" s="379" t="s">
        <v>3783</v>
      </c>
      <c r="TKF1115" s="379" t="s">
        <v>3783</v>
      </c>
      <c r="TKG1115" s="379" t="s">
        <v>3783</v>
      </c>
      <c r="TKH1115" s="379" t="s">
        <v>3783</v>
      </c>
      <c r="TKI1115" s="379" t="s">
        <v>3783</v>
      </c>
      <c r="TKJ1115" s="379" t="s">
        <v>3783</v>
      </c>
      <c r="TKK1115" s="379" t="s">
        <v>3783</v>
      </c>
      <c r="TKL1115" s="379" t="s">
        <v>3783</v>
      </c>
      <c r="TKM1115" s="379" t="s">
        <v>3783</v>
      </c>
      <c r="TKN1115" s="379" t="s">
        <v>3783</v>
      </c>
      <c r="TKO1115" s="379" t="s">
        <v>3783</v>
      </c>
      <c r="TKP1115" s="379" t="s">
        <v>3783</v>
      </c>
      <c r="TKQ1115" s="379" t="s">
        <v>3783</v>
      </c>
      <c r="TKR1115" s="379" t="s">
        <v>3783</v>
      </c>
      <c r="TKS1115" s="379" t="s">
        <v>3783</v>
      </c>
      <c r="TKT1115" s="379" t="s">
        <v>3783</v>
      </c>
      <c r="TKU1115" s="379" t="s">
        <v>3783</v>
      </c>
      <c r="TKV1115" s="379" t="s">
        <v>3783</v>
      </c>
      <c r="TKW1115" s="379" t="s">
        <v>3783</v>
      </c>
      <c r="TKX1115" s="379" t="s">
        <v>3783</v>
      </c>
      <c r="TKY1115" s="379" t="s">
        <v>3783</v>
      </c>
      <c r="TKZ1115" s="379" t="s">
        <v>3783</v>
      </c>
      <c r="TLA1115" s="379" t="s">
        <v>3783</v>
      </c>
      <c r="TLB1115" s="379" t="s">
        <v>3783</v>
      </c>
      <c r="TLC1115" s="379" t="s">
        <v>3783</v>
      </c>
      <c r="TLD1115" s="379" t="s">
        <v>3783</v>
      </c>
      <c r="TLE1115" s="379" t="s">
        <v>3783</v>
      </c>
      <c r="TLF1115" s="379" t="s">
        <v>3783</v>
      </c>
      <c r="TLG1115" s="379" t="s">
        <v>3783</v>
      </c>
      <c r="TLH1115" s="379" t="s">
        <v>3783</v>
      </c>
      <c r="TLI1115" s="379" t="s">
        <v>3783</v>
      </c>
      <c r="TLJ1115" s="379" t="s">
        <v>3783</v>
      </c>
      <c r="TLK1115" s="379" t="s">
        <v>3783</v>
      </c>
      <c r="TLL1115" s="379" t="s">
        <v>3783</v>
      </c>
      <c r="TLM1115" s="379" t="s">
        <v>3783</v>
      </c>
      <c r="TLN1115" s="379" t="s">
        <v>3783</v>
      </c>
      <c r="TLO1115" s="379" t="s">
        <v>3783</v>
      </c>
      <c r="TLP1115" s="379" t="s">
        <v>3783</v>
      </c>
      <c r="TLQ1115" s="379" t="s">
        <v>3783</v>
      </c>
      <c r="TLR1115" s="379" t="s">
        <v>3783</v>
      </c>
      <c r="TLS1115" s="379" t="s">
        <v>3783</v>
      </c>
      <c r="TLT1115" s="379" t="s">
        <v>3783</v>
      </c>
      <c r="TLU1115" s="379" t="s">
        <v>3783</v>
      </c>
      <c r="TLV1115" s="379" t="s">
        <v>3783</v>
      </c>
      <c r="TLW1115" s="379" t="s">
        <v>3783</v>
      </c>
      <c r="TLX1115" s="379" t="s">
        <v>3783</v>
      </c>
      <c r="TLY1115" s="379" t="s">
        <v>3783</v>
      </c>
      <c r="TLZ1115" s="379" t="s">
        <v>3783</v>
      </c>
      <c r="TMA1115" s="379" t="s">
        <v>3783</v>
      </c>
      <c r="TMB1115" s="379" t="s">
        <v>3783</v>
      </c>
      <c r="TMC1115" s="379" t="s">
        <v>3783</v>
      </c>
      <c r="TMD1115" s="379" t="s">
        <v>3783</v>
      </c>
      <c r="TME1115" s="379" t="s">
        <v>3783</v>
      </c>
      <c r="TMF1115" s="379" t="s">
        <v>3783</v>
      </c>
      <c r="TMG1115" s="379" t="s">
        <v>3783</v>
      </c>
      <c r="TMH1115" s="379" t="s">
        <v>3783</v>
      </c>
      <c r="TMI1115" s="379" t="s">
        <v>3783</v>
      </c>
      <c r="TMJ1115" s="379" t="s">
        <v>3783</v>
      </c>
      <c r="TMK1115" s="379" t="s">
        <v>3783</v>
      </c>
      <c r="TML1115" s="379" t="s">
        <v>3783</v>
      </c>
      <c r="TMM1115" s="379" t="s">
        <v>3783</v>
      </c>
      <c r="TMN1115" s="379" t="s">
        <v>3783</v>
      </c>
      <c r="TMO1115" s="379" t="s">
        <v>3783</v>
      </c>
      <c r="TMP1115" s="379" t="s">
        <v>3783</v>
      </c>
      <c r="TMQ1115" s="379" t="s">
        <v>3783</v>
      </c>
      <c r="TMR1115" s="379" t="s">
        <v>3783</v>
      </c>
      <c r="TMS1115" s="379" t="s">
        <v>3783</v>
      </c>
      <c r="TMT1115" s="379" t="s">
        <v>3783</v>
      </c>
      <c r="TMU1115" s="379" t="s">
        <v>3783</v>
      </c>
      <c r="TMV1115" s="379" t="s">
        <v>3783</v>
      </c>
      <c r="TMW1115" s="379" t="s">
        <v>3783</v>
      </c>
      <c r="TMX1115" s="379" t="s">
        <v>3783</v>
      </c>
      <c r="TMY1115" s="379" t="s">
        <v>3783</v>
      </c>
      <c r="TMZ1115" s="379" t="s">
        <v>3783</v>
      </c>
      <c r="TNA1115" s="379" t="s">
        <v>3783</v>
      </c>
      <c r="TNB1115" s="379" t="s">
        <v>3783</v>
      </c>
      <c r="TNC1115" s="379" t="s">
        <v>3783</v>
      </c>
      <c r="TND1115" s="379" t="s">
        <v>3783</v>
      </c>
      <c r="TNE1115" s="379" t="s">
        <v>3783</v>
      </c>
      <c r="TNF1115" s="379" t="s">
        <v>3783</v>
      </c>
      <c r="TNG1115" s="379" t="s">
        <v>3783</v>
      </c>
      <c r="TNH1115" s="379" t="s">
        <v>3783</v>
      </c>
      <c r="TNI1115" s="379" t="s">
        <v>3783</v>
      </c>
      <c r="TNJ1115" s="379" t="s">
        <v>3783</v>
      </c>
      <c r="TNK1115" s="379" t="s">
        <v>3783</v>
      </c>
      <c r="TNL1115" s="379" t="s">
        <v>3783</v>
      </c>
      <c r="TNM1115" s="379" t="s">
        <v>3783</v>
      </c>
      <c r="TNN1115" s="379" t="s">
        <v>3783</v>
      </c>
      <c r="TNO1115" s="379" t="s">
        <v>3783</v>
      </c>
      <c r="TNP1115" s="379" t="s">
        <v>3783</v>
      </c>
      <c r="TNQ1115" s="379" t="s">
        <v>3783</v>
      </c>
      <c r="TNR1115" s="379" t="s">
        <v>3783</v>
      </c>
      <c r="TNS1115" s="379" t="s">
        <v>3783</v>
      </c>
      <c r="TNT1115" s="379" t="s">
        <v>3783</v>
      </c>
      <c r="TNU1115" s="379" t="s">
        <v>3783</v>
      </c>
      <c r="TNV1115" s="379" t="s">
        <v>3783</v>
      </c>
      <c r="TNW1115" s="379" t="s">
        <v>3783</v>
      </c>
      <c r="TNX1115" s="379" t="s">
        <v>3783</v>
      </c>
      <c r="TNY1115" s="379" t="s">
        <v>3783</v>
      </c>
      <c r="TNZ1115" s="379" t="s">
        <v>3783</v>
      </c>
      <c r="TOA1115" s="379" t="s">
        <v>3783</v>
      </c>
      <c r="TOB1115" s="379" t="s">
        <v>3783</v>
      </c>
      <c r="TOC1115" s="379" t="s">
        <v>3783</v>
      </c>
      <c r="TOD1115" s="379" t="s">
        <v>3783</v>
      </c>
      <c r="TOE1115" s="379" t="s">
        <v>3783</v>
      </c>
      <c r="TOF1115" s="379" t="s">
        <v>3783</v>
      </c>
      <c r="TOG1115" s="379" t="s">
        <v>3783</v>
      </c>
      <c r="TOH1115" s="379" t="s">
        <v>3783</v>
      </c>
      <c r="TOI1115" s="379" t="s">
        <v>3783</v>
      </c>
      <c r="TOJ1115" s="379" t="s">
        <v>3783</v>
      </c>
      <c r="TOK1115" s="379" t="s">
        <v>3783</v>
      </c>
      <c r="TOL1115" s="379" t="s">
        <v>3783</v>
      </c>
      <c r="TOM1115" s="379" t="s">
        <v>3783</v>
      </c>
      <c r="TON1115" s="379" t="s">
        <v>3783</v>
      </c>
      <c r="TOO1115" s="379" t="s">
        <v>3783</v>
      </c>
      <c r="TOP1115" s="379" t="s">
        <v>3783</v>
      </c>
      <c r="TOQ1115" s="379" t="s">
        <v>3783</v>
      </c>
      <c r="TOR1115" s="379" t="s">
        <v>3783</v>
      </c>
      <c r="TOS1115" s="379" t="s">
        <v>3783</v>
      </c>
      <c r="TOT1115" s="379" t="s">
        <v>3783</v>
      </c>
      <c r="TOU1115" s="379" t="s">
        <v>3783</v>
      </c>
      <c r="TOV1115" s="379" t="s">
        <v>3783</v>
      </c>
      <c r="TOW1115" s="379" t="s">
        <v>3783</v>
      </c>
      <c r="TOX1115" s="379" t="s">
        <v>3783</v>
      </c>
      <c r="TOY1115" s="379" t="s">
        <v>3783</v>
      </c>
      <c r="TOZ1115" s="379" t="s">
        <v>3783</v>
      </c>
      <c r="TPA1115" s="379" t="s">
        <v>3783</v>
      </c>
      <c r="TPB1115" s="379" t="s">
        <v>3783</v>
      </c>
      <c r="TPC1115" s="379" t="s">
        <v>3783</v>
      </c>
      <c r="TPD1115" s="379" t="s">
        <v>3783</v>
      </c>
      <c r="TPE1115" s="379" t="s">
        <v>3783</v>
      </c>
      <c r="TPF1115" s="379" t="s">
        <v>3783</v>
      </c>
      <c r="TPG1115" s="379" t="s">
        <v>3783</v>
      </c>
      <c r="TPH1115" s="379" t="s">
        <v>3783</v>
      </c>
      <c r="TPI1115" s="379" t="s">
        <v>3783</v>
      </c>
      <c r="TPJ1115" s="379" t="s">
        <v>3783</v>
      </c>
      <c r="TPK1115" s="379" t="s">
        <v>3783</v>
      </c>
      <c r="TPL1115" s="379" t="s">
        <v>3783</v>
      </c>
      <c r="TPM1115" s="379" t="s">
        <v>3783</v>
      </c>
      <c r="TPN1115" s="379" t="s">
        <v>3783</v>
      </c>
      <c r="TPO1115" s="379" t="s">
        <v>3783</v>
      </c>
      <c r="TPP1115" s="379" t="s">
        <v>3783</v>
      </c>
      <c r="TPQ1115" s="379" t="s">
        <v>3783</v>
      </c>
      <c r="TPR1115" s="379" t="s">
        <v>3783</v>
      </c>
      <c r="TPS1115" s="379" t="s">
        <v>3783</v>
      </c>
      <c r="TPT1115" s="379" t="s">
        <v>3783</v>
      </c>
      <c r="TPU1115" s="379" t="s">
        <v>3783</v>
      </c>
      <c r="TPV1115" s="379" t="s">
        <v>3783</v>
      </c>
      <c r="TPW1115" s="379" t="s">
        <v>3783</v>
      </c>
      <c r="TPX1115" s="379" t="s">
        <v>3783</v>
      </c>
      <c r="TPY1115" s="379" t="s">
        <v>3783</v>
      </c>
      <c r="TPZ1115" s="379" t="s">
        <v>3783</v>
      </c>
      <c r="TQA1115" s="379" t="s">
        <v>3783</v>
      </c>
      <c r="TQB1115" s="379" t="s">
        <v>3783</v>
      </c>
      <c r="TQC1115" s="379" t="s">
        <v>3783</v>
      </c>
      <c r="TQD1115" s="379" t="s">
        <v>3783</v>
      </c>
      <c r="TQE1115" s="379" t="s">
        <v>3783</v>
      </c>
      <c r="TQF1115" s="379" t="s">
        <v>3783</v>
      </c>
      <c r="TQG1115" s="379" t="s">
        <v>3783</v>
      </c>
      <c r="TQH1115" s="379" t="s">
        <v>3783</v>
      </c>
      <c r="TQI1115" s="379" t="s">
        <v>3783</v>
      </c>
      <c r="TQJ1115" s="379" t="s">
        <v>3783</v>
      </c>
      <c r="TQK1115" s="379" t="s">
        <v>3783</v>
      </c>
      <c r="TQL1115" s="379" t="s">
        <v>3783</v>
      </c>
      <c r="TQM1115" s="379" t="s">
        <v>3783</v>
      </c>
      <c r="TQN1115" s="379" t="s">
        <v>3783</v>
      </c>
      <c r="TQO1115" s="379" t="s">
        <v>3783</v>
      </c>
      <c r="TQP1115" s="379" t="s">
        <v>3783</v>
      </c>
      <c r="TQQ1115" s="379" t="s">
        <v>3783</v>
      </c>
      <c r="TQR1115" s="379" t="s">
        <v>3783</v>
      </c>
      <c r="TQS1115" s="379" t="s">
        <v>3783</v>
      </c>
      <c r="TQT1115" s="379" t="s">
        <v>3783</v>
      </c>
      <c r="TQU1115" s="379" t="s">
        <v>3783</v>
      </c>
      <c r="TQV1115" s="379" t="s">
        <v>3783</v>
      </c>
      <c r="TQW1115" s="379" t="s">
        <v>3783</v>
      </c>
      <c r="TQX1115" s="379" t="s">
        <v>3783</v>
      </c>
      <c r="TQY1115" s="379" t="s">
        <v>3783</v>
      </c>
      <c r="TQZ1115" s="379" t="s">
        <v>3783</v>
      </c>
      <c r="TRA1115" s="379" t="s">
        <v>3783</v>
      </c>
      <c r="TRB1115" s="379" t="s">
        <v>3783</v>
      </c>
      <c r="TRC1115" s="379" t="s">
        <v>3783</v>
      </c>
      <c r="TRD1115" s="379" t="s">
        <v>3783</v>
      </c>
      <c r="TRE1115" s="379" t="s">
        <v>3783</v>
      </c>
      <c r="TRF1115" s="379" t="s">
        <v>3783</v>
      </c>
      <c r="TRG1115" s="379" t="s">
        <v>3783</v>
      </c>
      <c r="TRH1115" s="379" t="s">
        <v>3783</v>
      </c>
      <c r="TRI1115" s="379" t="s">
        <v>3783</v>
      </c>
      <c r="TRJ1115" s="379" t="s">
        <v>3783</v>
      </c>
      <c r="TRK1115" s="379" t="s">
        <v>3783</v>
      </c>
      <c r="TRL1115" s="379" t="s">
        <v>3783</v>
      </c>
      <c r="TRM1115" s="379" t="s">
        <v>3783</v>
      </c>
      <c r="TRN1115" s="379" t="s">
        <v>3783</v>
      </c>
      <c r="TRO1115" s="379" t="s">
        <v>3783</v>
      </c>
      <c r="TRP1115" s="379" t="s">
        <v>3783</v>
      </c>
      <c r="TRQ1115" s="379" t="s">
        <v>3783</v>
      </c>
      <c r="TRR1115" s="379" t="s">
        <v>3783</v>
      </c>
      <c r="TRS1115" s="379" t="s">
        <v>3783</v>
      </c>
      <c r="TRT1115" s="379" t="s">
        <v>3783</v>
      </c>
      <c r="TRU1115" s="379" t="s">
        <v>3783</v>
      </c>
      <c r="TRV1115" s="379" t="s">
        <v>3783</v>
      </c>
      <c r="TRW1115" s="379" t="s">
        <v>3783</v>
      </c>
      <c r="TRX1115" s="379" t="s">
        <v>3783</v>
      </c>
      <c r="TRY1115" s="379" t="s">
        <v>3783</v>
      </c>
      <c r="TRZ1115" s="379" t="s">
        <v>3783</v>
      </c>
      <c r="TSA1115" s="379" t="s">
        <v>3783</v>
      </c>
      <c r="TSB1115" s="379" t="s">
        <v>3783</v>
      </c>
      <c r="TSC1115" s="379" t="s">
        <v>3783</v>
      </c>
      <c r="TSD1115" s="379" t="s">
        <v>3783</v>
      </c>
      <c r="TSE1115" s="379" t="s">
        <v>3783</v>
      </c>
      <c r="TSF1115" s="379" t="s">
        <v>3783</v>
      </c>
      <c r="TSG1115" s="379" t="s">
        <v>3783</v>
      </c>
      <c r="TSH1115" s="379" t="s">
        <v>3783</v>
      </c>
      <c r="TSI1115" s="379" t="s">
        <v>3783</v>
      </c>
      <c r="TSJ1115" s="379" t="s">
        <v>3783</v>
      </c>
      <c r="TSK1115" s="379" t="s">
        <v>3783</v>
      </c>
      <c r="TSL1115" s="379" t="s">
        <v>3783</v>
      </c>
      <c r="TSM1115" s="379" t="s">
        <v>3783</v>
      </c>
      <c r="TSN1115" s="379" t="s">
        <v>3783</v>
      </c>
      <c r="TSO1115" s="379" t="s">
        <v>3783</v>
      </c>
      <c r="TSP1115" s="379" t="s">
        <v>3783</v>
      </c>
      <c r="TSQ1115" s="379" t="s">
        <v>3783</v>
      </c>
      <c r="TSR1115" s="379" t="s">
        <v>3783</v>
      </c>
      <c r="TSS1115" s="379" t="s">
        <v>3783</v>
      </c>
      <c r="TST1115" s="379" t="s">
        <v>3783</v>
      </c>
      <c r="TSU1115" s="379" t="s">
        <v>3783</v>
      </c>
      <c r="TSV1115" s="379" t="s">
        <v>3783</v>
      </c>
      <c r="TSW1115" s="379" t="s">
        <v>3783</v>
      </c>
      <c r="TSX1115" s="379" t="s">
        <v>3783</v>
      </c>
      <c r="TSY1115" s="379" t="s">
        <v>3783</v>
      </c>
      <c r="TSZ1115" s="379" t="s">
        <v>3783</v>
      </c>
      <c r="TTA1115" s="379" t="s">
        <v>3783</v>
      </c>
      <c r="TTB1115" s="379" t="s">
        <v>3783</v>
      </c>
      <c r="TTC1115" s="379" t="s">
        <v>3783</v>
      </c>
      <c r="TTD1115" s="379" t="s">
        <v>3783</v>
      </c>
      <c r="TTE1115" s="379" t="s">
        <v>3783</v>
      </c>
      <c r="TTF1115" s="379" t="s">
        <v>3783</v>
      </c>
      <c r="TTG1115" s="379" t="s">
        <v>3783</v>
      </c>
      <c r="TTH1115" s="379" t="s">
        <v>3783</v>
      </c>
      <c r="TTI1115" s="379" t="s">
        <v>3783</v>
      </c>
      <c r="TTJ1115" s="379" t="s">
        <v>3783</v>
      </c>
      <c r="TTK1115" s="379" t="s">
        <v>3783</v>
      </c>
      <c r="TTL1115" s="379" t="s">
        <v>3783</v>
      </c>
      <c r="TTM1115" s="379" t="s">
        <v>3783</v>
      </c>
      <c r="TTN1115" s="379" t="s">
        <v>3783</v>
      </c>
      <c r="TTO1115" s="379" t="s">
        <v>3783</v>
      </c>
      <c r="TTP1115" s="379" t="s">
        <v>3783</v>
      </c>
      <c r="TTQ1115" s="379" t="s">
        <v>3783</v>
      </c>
      <c r="TTR1115" s="379" t="s">
        <v>3783</v>
      </c>
      <c r="TTS1115" s="379" t="s">
        <v>3783</v>
      </c>
      <c r="TTT1115" s="379" t="s">
        <v>3783</v>
      </c>
      <c r="TTU1115" s="379" t="s">
        <v>3783</v>
      </c>
      <c r="TTV1115" s="379" t="s">
        <v>3783</v>
      </c>
      <c r="TTW1115" s="379" t="s">
        <v>3783</v>
      </c>
      <c r="TTX1115" s="379" t="s">
        <v>3783</v>
      </c>
      <c r="TTY1115" s="379" t="s">
        <v>3783</v>
      </c>
      <c r="TTZ1115" s="379" t="s">
        <v>3783</v>
      </c>
      <c r="TUA1115" s="379" t="s">
        <v>3783</v>
      </c>
      <c r="TUB1115" s="379" t="s">
        <v>3783</v>
      </c>
      <c r="TUC1115" s="379" t="s">
        <v>3783</v>
      </c>
      <c r="TUD1115" s="379" t="s">
        <v>3783</v>
      </c>
      <c r="TUE1115" s="379" t="s">
        <v>3783</v>
      </c>
      <c r="TUF1115" s="379" t="s">
        <v>3783</v>
      </c>
      <c r="TUG1115" s="379" t="s">
        <v>3783</v>
      </c>
      <c r="TUH1115" s="379" t="s">
        <v>3783</v>
      </c>
      <c r="TUI1115" s="379" t="s">
        <v>3783</v>
      </c>
      <c r="TUJ1115" s="379" t="s">
        <v>3783</v>
      </c>
      <c r="TUK1115" s="379" t="s">
        <v>3783</v>
      </c>
      <c r="TUL1115" s="379" t="s">
        <v>3783</v>
      </c>
      <c r="TUM1115" s="379" t="s">
        <v>3783</v>
      </c>
      <c r="TUN1115" s="379" t="s">
        <v>3783</v>
      </c>
      <c r="TUO1115" s="379" t="s">
        <v>3783</v>
      </c>
      <c r="TUP1115" s="379" t="s">
        <v>3783</v>
      </c>
      <c r="TUQ1115" s="379" t="s">
        <v>3783</v>
      </c>
      <c r="TUR1115" s="379" t="s">
        <v>3783</v>
      </c>
      <c r="TUS1115" s="379" t="s">
        <v>3783</v>
      </c>
      <c r="TUT1115" s="379" t="s">
        <v>3783</v>
      </c>
      <c r="TUU1115" s="379" t="s">
        <v>3783</v>
      </c>
      <c r="TUV1115" s="379" t="s">
        <v>3783</v>
      </c>
      <c r="TUW1115" s="379" t="s">
        <v>3783</v>
      </c>
      <c r="TUX1115" s="379" t="s">
        <v>3783</v>
      </c>
      <c r="TUY1115" s="379" t="s">
        <v>3783</v>
      </c>
      <c r="TUZ1115" s="379" t="s">
        <v>3783</v>
      </c>
      <c r="TVA1115" s="379" t="s">
        <v>3783</v>
      </c>
      <c r="TVB1115" s="379" t="s">
        <v>3783</v>
      </c>
      <c r="TVC1115" s="379" t="s">
        <v>3783</v>
      </c>
      <c r="TVD1115" s="379" t="s">
        <v>3783</v>
      </c>
      <c r="TVE1115" s="379" t="s">
        <v>3783</v>
      </c>
      <c r="TVF1115" s="379" t="s">
        <v>3783</v>
      </c>
      <c r="TVG1115" s="379" t="s">
        <v>3783</v>
      </c>
      <c r="TVH1115" s="379" t="s">
        <v>3783</v>
      </c>
      <c r="TVI1115" s="379" t="s">
        <v>3783</v>
      </c>
      <c r="TVJ1115" s="379" t="s">
        <v>3783</v>
      </c>
      <c r="TVK1115" s="379" t="s">
        <v>3783</v>
      </c>
      <c r="TVL1115" s="379" t="s">
        <v>3783</v>
      </c>
      <c r="TVM1115" s="379" t="s">
        <v>3783</v>
      </c>
      <c r="TVN1115" s="379" t="s">
        <v>3783</v>
      </c>
      <c r="TVO1115" s="379" t="s">
        <v>3783</v>
      </c>
      <c r="TVP1115" s="379" t="s">
        <v>3783</v>
      </c>
      <c r="TVQ1115" s="379" t="s">
        <v>3783</v>
      </c>
      <c r="TVR1115" s="379" t="s">
        <v>3783</v>
      </c>
      <c r="TVS1115" s="379" t="s">
        <v>3783</v>
      </c>
      <c r="TVT1115" s="379" t="s">
        <v>3783</v>
      </c>
      <c r="TVU1115" s="379" t="s">
        <v>3783</v>
      </c>
      <c r="TVV1115" s="379" t="s">
        <v>3783</v>
      </c>
      <c r="TVW1115" s="379" t="s">
        <v>3783</v>
      </c>
      <c r="TVX1115" s="379" t="s">
        <v>3783</v>
      </c>
      <c r="TVY1115" s="379" t="s">
        <v>3783</v>
      </c>
      <c r="TVZ1115" s="379" t="s">
        <v>3783</v>
      </c>
      <c r="TWA1115" s="379" t="s">
        <v>3783</v>
      </c>
      <c r="TWB1115" s="379" t="s">
        <v>3783</v>
      </c>
      <c r="TWC1115" s="379" t="s">
        <v>3783</v>
      </c>
      <c r="TWD1115" s="379" t="s">
        <v>3783</v>
      </c>
      <c r="TWE1115" s="379" t="s">
        <v>3783</v>
      </c>
      <c r="TWF1115" s="379" t="s">
        <v>3783</v>
      </c>
      <c r="TWG1115" s="379" t="s">
        <v>3783</v>
      </c>
      <c r="TWH1115" s="379" t="s">
        <v>3783</v>
      </c>
      <c r="TWI1115" s="379" t="s">
        <v>3783</v>
      </c>
      <c r="TWJ1115" s="379" t="s">
        <v>3783</v>
      </c>
      <c r="TWK1115" s="379" t="s">
        <v>3783</v>
      </c>
      <c r="TWL1115" s="379" t="s">
        <v>3783</v>
      </c>
      <c r="TWM1115" s="379" t="s">
        <v>3783</v>
      </c>
      <c r="TWN1115" s="379" t="s">
        <v>3783</v>
      </c>
      <c r="TWO1115" s="379" t="s">
        <v>3783</v>
      </c>
      <c r="TWP1115" s="379" t="s">
        <v>3783</v>
      </c>
      <c r="TWQ1115" s="379" t="s">
        <v>3783</v>
      </c>
      <c r="TWR1115" s="379" t="s">
        <v>3783</v>
      </c>
      <c r="TWS1115" s="379" t="s">
        <v>3783</v>
      </c>
      <c r="TWT1115" s="379" t="s">
        <v>3783</v>
      </c>
      <c r="TWU1115" s="379" t="s">
        <v>3783</v>
      </c>
      <c r="TWV1115" s="379" t="s">
        <v>3783</v>
      </c>
      <c r="TWW1115" s="379" t="s">
        <v>3783</v>
      </c>
      <c r="TWX1115" s="379" t="s">
        <v>3783</v>
      </c>
      <c r="TWY1115" s="379" t="s">
        <v>3783</v>
      </c>
      <c r="TWZ1115" s="379" t="s">
        <v>3783</v>
      </c>
      <c r="TXA1115" s="379" t="s">
        <v>3783</v>
      </c>
      <c r="TXB1115" s="379" t="s">
        <v>3783</v>
      </c>
      <c r="TXC1115" s="379" t="s">
        <v>3783</v>
      </c>
      <c r="TXD1115" s="379" t="s">
        <v>3783</v>
      </c>
      <c r="TXE1115" s="379" t="s">
        <v>3783</v>
      </c>
      <c r="TXF1115" s="379" t="s">
        <v>3783</v>
      </c>
      <c r="TXG1115" s="379" t="s">
        <v>3783</v>
      </c>
      <c r="TXH1115" s="379" t="s">
        <v>3783</v>
      </c>
      <c r="TXI1115" s="379" t="s">
        <v>3783</v>
      </c>
      <c r="TXJ1115" s="379" t="s">
        <v>3783</v>
      </c>
      <c r="TXK1115" s="379" t="s">
        <v>3783</v>
      </c>
      <c r="TXL1115" s="379" t="s">
        <v>3783</v>
      </c>
      <c r="TXM1115" s="379" t="s">
        <v>3783</v>
      </c>
      <c r="TXN1115" s="379" t="s">
        <v>3783</v>
      </c>
      <c r="TXO1115" s="379" t="s">
        <v>3783</v>
      </c>
      <c r="TXP1115" s="379" t="s">
        <v>3783</v>
      </c>
      <c r="TXQ1115" s="379" t="s">
        <v>3783</v>
      </c>
      <c r="TXR1115" s="379" t="s">
        <v>3783</v>
      </c>
      <c r="TXS1115" s="379" t="s">
        <v>3783</v>
      </c>
      <c r="TXT1115" s="379" t="s">
        <v>3783</v>
      </c>
      <c r="TXU1115" s="379" t="s">
        <v>3783</v>
      </c>
      <c r="TXV1115" s="379" t="s">
        <v>3783</v>
      </c>
      <c r="TXW1115" s="379" t="s">
        <v>3783</v>
      </c>
      <c r="TXX1115" s="379" t="s">
        <v>3783</v>
      </c>
      <c r="TXY1115" s="379" t="s">
        <v>3783</v>
      </c>
      <c r="TXZ1115" s="379" t="s">
        <v>3783</v>
      </c>
      <c r="TYA1115" s="379" t="s">
        <v>3783</v>
      </c>
      <c r="TYB1115" s="379" t="s">
        <v>3783</v>
      </c>
      <c r="TYC1115" s="379" t="s">
        <v>3783</v>
      </c>
      <c r="TYD1115" s="379" t="s">
        <v>3783</v>
      </c>
      <c r="TYE1115" s="379" t="s">
        <v>3783</v>
      </c>
      <c r="TYF1115" s="379" t="s">
        <v>3783</v>
      </c>
      <c r="TYG1115" s="379" t="s">
        <v>3783</v>
      </c>
      <c r="TYH1115" s="379" t="s">
        <v>3783</v>
      </c>
      <c r="TYI1115" s="379" t="s">
        <v>3783</v>
      </c>
      <c r="TYJ1115" s="379" t="s">
        <v>3783</v>
      </c>
      <c r="TYK1115" s="379" t="s">
        <v>3783</v>
      </c>
      <c r="TYL1115" s="379" t="s">
        <v>3783</v>
      </c>
      <c r="TYM1115" s="379" t="s">
        <v>3783</v>
      </c>
      <c r="TYN1115" s="379" t="s">
        <v>3783</v>
      </c>
      <c r="TYO1115" s="379" t="s">
        <v>3783</v>
      </c>
      <c r="TYP1115" s="379" t="s">
        <v>3783</v>
      </c>
      <c r="TYQ1115" s="379" t="s">
        <v>3783</v>
      </c>
      <c r="TYR1115" s="379" t="s">
        <v>3783</v>
      </c>
      <c r="TYS1115" s="379" t="s">
        <v>3783</v>
      </c>
      <c r="TYT1115" s="379" t="s">
        <v>3783</v>
      </c>
      <c r="TYU1115" s="379" t="s">
        <v>3783</v>
      </c>
      <c r="TYV1115" s="379" t="s">
        <v>3783</v>
      </c>
      <c r="TYW1115" s="379" t="s">
        <v>3783</v>
      </c>
      <c r="TYX1115" s="379" t="s">
        <v>3783</v>
      </c>
      <c r="TYY1115" s="379" t="s">
        <v>3783</v>
      </c>
      <c r="TYZ1115" s="379" t="s">
        <v>3783</v>
      </c>
      <c r="TZA1115" s="379" t="s">
        <v>3783</v>
      </c>
      <c r="TZB1115" s="379" t="s">
        <v>3783</v>
      </c>
      <c r="TZC1115" s="379" t="s">
        <v>3783</v>
      </c>
      <c r="TZD1115" s="379" t="s">
        <v>3783</v>
      </c>
      <c r="TZE1115" s="379" t="s">
        <v>3783</v>
      </c>
      <c r="TZF1115" s="379" t="s">
        <v>3783</v>
      </c>
      <c r="TZG1115" s="379" t="s">
        <v>3783</v>
      </c>
      <c r="TZH1115" s="379" t="s">
        <v>3783</v>
      </c>
      <c r="TZI1115" s="379" t="s">
        <v>3783</v>
      </c>
      <c r="TZJ1115" s="379" t="s">
        <v>3783</v>
      </c>
      <c r="TZK1115" s="379" t="s">
        <v>3783</v>
      </c>
      <c r="TZL1115" s="379" t="s">
        <v>3783</v>
      </c>
      <c r="TZM1115" s="379" t="s">
        <v>3783</v>
      </c>
      <c r="TZN1115" s="379" t="s">
        <v>3783</v>
      </c>
      <c r="TZO1115" s="379" t="s">
        <v>3783</v>
      </c>
      <c r="TZP1115" s="379" t="s">
        <v>3783</v>
      </c>
      <c r="TZQ1115" s="379" t="s">
        <v>3783</v>
      </c>
      <c r="TZR1115" s="379" t="s">
        <v>3783</v>
      </c>
      <c r="TZS1115" s="379" t="s">
        <v>3783</v>
      </c>
      <c r="TZT1115" s="379" t="s">
        <v>3783</v>
      </c>
      <c r="TZU1115" s="379" t="s">
        <v>3783</v>
      </c>
      <c r="TZV1115" s="379" t="s">
        <v>3783</v>
      </c>
      <c r="TZW1115" s="379" t="s">
        <v>3783</v>
      </c>
      <c r="TZX1115" s="379" t="s">
        <v>3783</v>
      </c>
      <c r="TZY1115" s="379" t="s">
        <v>3783</v>
      </c>
      <c r="TZZ1115" s="379" t="s">
        <v>3783</v>
      </c>
      <c r="UAA1115" s="379" t="s">
        <v>3783</v>
      </c>
      <c r="UAB1115" s="379" t="s">
        <v>3783</v>
      </c>
      <c r="UAC1115" s="379" t="s">
        <v>3783</v>
      </c>
      <c r="UAD1115" s="379" t="s">
        <v>3783</v>
      </c>
      <c r="UAE1115" s="379" t="s">
        <v>3783</v>
      </c>
      <c r="UAF1115" s="379" t="s">
        <v>3783</v>
      </c>
      <c r="UAG1115" s="379" t="s">
        <v>3783</v>
      </c>
      <c r="UAH1115" s="379" t="s">
        <v>3783</v>
      </c>
      <c r="UAI1115" s="379" t="s">
        <v>3783</v>
      </c>
      <c r="UAJ1115" s="379" t="s">
        <v>3783</v>
      </c>
      <c r="UAK1115" s="379" t="s">
        <v>3783</v>
      </c>
      <c r="UAL1115" s="379" t="s">
        <v>3783</v>
      </c>
      <c r="UAM1115" s="379" t="s">
        <v>3783</v>
      </c>
      <c r="UAN1115" s="379" t="s">
        <v>3783</v>
      </c>
      <c r="UAO1115" s="379" t="s">
        <v>3783</v>
      </c>
      <c r="UAP1115" s="379" t="s">
        <v>3783</v>
      </c>
      <c r="UAQ1115" s="379" t="s">
        <v>3783</v>
      </c>
      <c r="UAR1115" s="379" t="s">
        <v>3783</v>
      </c>
      <c r="UAS1115" s="379" t="s">
        <v>3783</v>
      </c>
      <c r="UAT1115" s="379" t="s">
        <v>3783</v>
      </c>
      <c r="UAU1115" s="379" t="s">
        <v>3783</v>
      </c>
      <c r="UAV1115" s="379" t="s">
        <v>3783</v>
      </c>
      <c r="UAW1115" s="379" t="s">
        <v>3783</v>
      </c>
      <c r="UAX1115" s="379" t="s">
        <v>3783</v>
      </c>
      <c r="UAY1115" s="379" t="s">
        <v>3783</v>
      </c>
      <c r="UAZ1115" s="379" t="s">
        <v>3783</v>
      </c>
      <c r="UBA1115" s="379" t="s">
        <v>3783</v>
      </c>
      <c r="UBB1115" s="379" t="s">
        <v>3783</v>
      </c>
      <c r="UBC1115" s="379" t="s">
        <v>3783</v>
      </c>
      <c r="UBD1115" s="379" t="s">
        <v>3783</v>
      </c>
      <c r="UBE1115" s="379" t="s">
        <v>3783</v>
      </c>
      <c r="UBF1115" s="379" t="s">
        <v>3783</v>
      </c>
      <c r="UBG1115" s="379" t="s">
        <v>3783</v>
      </c>
      <c r="UBH1115" s="379" t="s">
        <v>3783</v>
      </c>
      <c r="UBI1115" s="379" t="s">
        <v>3783</v>
      </c>
      <c r="UBJ1115" s="379" t="s">
        <v>3783</v>
      </c>
      <c r="UBK1115" s="379" t="s">
        <v>3783</v>
      </c>
      <c r="UBL1115" s="379" t="s">
        <v>3783</v>
      </c>
      <c r="UBM1115" s="379" t="s">
        <v>3783</v>
      </c>
      <c r="UBN1115" s="379" t="s">
        <v>3783</v>
      </c>
      <c r="UBO1115" s="379" t="s">
        <v>3783</v>
      </c>
      <c r="UBP1115" s="379" t="s">
        <v>3783</v>
      </c>
      <c r="UBQ1115" s="379" t="s">
        <v>3783</v>
      </c>
      <c r="UBR1115" s="379" t="s">
        <v>3783</v>
      </c>
      <c r="UBS1115" s="379" t="s">
        <v>3783</v>
      </c>
      <c r="UBT1115" s="379" t="s">
        <v>3783</v>
      </c>
      <c r="UBU1115" s="379" t="s">
        <v>3783</v>
      </c>
      <c r="UBV1115" s="379" t="s">
        <v>3783</v>
      </c>
      <c r="UBW1115" s="379" t="s">
        <v>3783</v>
      </c>
      <c r="UBX1115" s="379" t="s">
        <v>3783</v>
      </c>
      <c r="UBY1115" s="379" t="s">
        <v>3783</v>
      </c>
      <c r="UBZ1115" s="379" t="s">
        <v>3783</v>
      </c>
      <c r="UCA1115" s="379" t="s">
        <v>3783</v>
      </c>
      <c r="UCB1115" s="379" t="s">
        <v>3783</v>
      </c>
      <c r="UCC1115" s="379" t="s">
        <v>3783</v>
      </c>
      <c r="UCD1115" s="379" t="s">
        <v>3783</v>
      </c>
      <c r="UCE1115" s="379" t="s">
        <v>3783</v>
      </c>
      <c r="UCF1115" s="379" t="s">
        <v>3783</v>
      </c>
      <c r="UCG1115" s="379" t="s">
        <v>3783</v>
      </c>
      <c r="UCH1115" s="379" t="s">
        <v>3783</v>
      </c>
      <c r="UCI1115" s="379" t="s">
        <v>3783</v>
      </c>
      <c r="UCJ1115" s="379" t="s">
        <v>3783</v>
      </c>
      <c r="UCK1115" s="379" t="s">
        <v>3783</v>
      </c>
      <c r="UCL1115" s="379" t="s">
        <v>3783</v>
      </c>
      <c r="UCM1115" s="379" t="s">
        <v>3783</v>
      </c>
      <c r="UCN1115" s="379" t="s">
        <v>3783</v>
      </c>
      <c r="UCO1115" s="379" t="s">
        <v>3783</v>
      </c>
      <c r="UCP1115" s="379" t="s">
        <v>3783</v>
      </c>
      <c r="UCQ1115" s="379" t="s">
        <v>3783</v>
      </c>
      <c r="UCR1115" s="379" t="s">
        <v>3783</v>
      </c>
      <c r="UCS1115" s="379" t="s">
        <v>3783</v>
      </c>
      <c r="UCT1115" s="379" t="s">
        <v>3783</v>
      </c>
      <c r="UCU1115" s="379" t="s">
        <v>3783</v>
      </c>
      <c r="UCV1115" s="379" t="s">
        <v>3783</v>
      </c>
      <c r="UCW1115" s="379" t="s">
        <v>3783</v>
      </c>
      <c r="UCX1115" s="379" t="s">
        <v>3783</v>
      </c>
      <c r="UCY1115" s="379" t="s">
        <v>3783</v>
      </c>
      <c r="UCZ1115" s="379" t="s">
        <v>3783</v>
      </c>
      <c r="UDA1115" s="379" t="s">
        <v>3783</v>
      </c>
      <c r="UDB1115" s="379" t="s">
        <v>3783</v>
      </c>
      <c r="UDC1115" s="379" t="s">
        <v>3783</v>
      </c>
      <c r="UDD1115" s="379" t="s">
        <v>3783</v>
      </c>
      <c r="UDE1115" s="379" t="s">
        <v>3783</v>
      </c>
      <c r="UDF1115" s="379" t="s">
        <v>3783</v>
      </c>
      <c r="UDG1115" s="379" t="s">
        <v>3783</v>
      </c>
      <c r="UDH1115" s="379" t="s">
        <v>3783</v>
      </c>
      <c r="UDI1115" s="379" t="s">
        <v>3783</v>
      </c>
      <c r="UDJ1115" s="379" t="s">
        <v>3783</v>
      </c>
      <c r="UDK1115" s="379" t="s">
        <v>3783</v>
      </c>
      <c r="UDL1115" s="379" t="s">
        <v>3783</v>
      </c>
      <c r="UDM1115" s="379" t="s">
        <v>3783</v>
      </c>
      <c r="UDN1115" s="379" t="s">
        <v>3783</v>
      </c>
      <c r="UDO1115" s="379" t="s">
        <v>3783</v>
      </c>
      <c r="UDP1115" s="379" t="s">
        <v>3783</v>
      </c>
      <c r="UDQ1115" s="379" t="s">
        <v>3783</v>
      </c>
      <c r="UDR1115" s="379" t="s">
        <v>3783</v>
      </c>
      <c r="UDS1115" s="379" t="s">
        <v>3783</v>
      </c>
      <c r="UDT1115" s="379" t="s">
        <v>3783</v>
      </c>
      <c r="UDU1115" s="379" t="s">
        <v>3783</v>
      </c>
      <c r="UDV1115" s="379" t="s">
        <v>3783</v>
      </c>
      <c r="UDW1115" s="379" t="s">
        <v>3783</v>
      </c>
      <c r="UDX1115" s="379" t="s">
        <v>3783</v>
      </c>
      <c r="UDY1115" s="379" t="s">
        <v>3783</v>
      </c>
      <c r="UDZ1115" s="379" t="s">
        <v>3783</v>
      </c>
      <c r="UEA1115" s="379" t="s">
        <v>3783</v>
      </c>
      <c r="UEB1115" s="379" t="s">
        <v>3783</v>
      </c>
      <c r="UEC1115" s="379" t="s">
        <v>3783</v>
      </c>
      <c r="UED1115" s="379" t="s">
        <v>3783</v>
      </c>
      <c r="UEE1115" s="379" t="s">
        <v>3783</v>
      </c>
      <c r="UEF1115" s="379" t="s">
        <v>3783</v>
      </c>
      <c r="UEG1115" s="379" t="s">
        <v>3783</v>
      </c>
      <c r="UEH1115" s="379" t="s">
        <v>3783</v>
      </c>
      <c r="UEI1115" s="379" t="s">
        <v>3783</v>
      </c>
      <c r="UEJ1115" s="379" t="s">
        <v>3783</v>
      </c>
      <c r="UEK1115" s="379" t="s">
        <v>3783</v>
      </c>
      <c r="UEL1115" s="379" t="s">
        <v>3783</v>
      </c>
      <c r="UEM1115" s="379" t="s">
        <v>3783</v>
      </c>
      <c r="UEN1115" s="379" t="s">
        <v>3783</v>
      </c>
      <c r="UEO1115" s="379" t="s">
        <v>3783</v>
      </c>
      <c r="UEP1115" s="379" t="s">
        <v>3783</v>
      </c>
      <c r="UEQ1115" s="379" t="s">
        <v>3783</v>
      </c>
      <c r="UER1115" s="379" t="s">
        <v>3783</v>
      </c>
      <c r="UES1115" s="379" t="s">
        <v>3783</v>
      </c>
      <c r="UET1115" s="379" t="s">
        <v>3783</v>
      </c>
      <c r="UEU1115" s="379" t="s">
        <v>3783</v>
      </c>
      <c r="UEV1115" s="379" t="s">
        <v>3783</v>
      </c>
      <c r="UEW1115" s="379" t="s">
        <v>3783</v>
      </c>
      <c r="UEX1115" s="379" t="s">
        <v>3783</v>
      </c>
      <c r="UEY1115" s="379" t="s">
        <v>3783</v>
      </c>
      <c r="UEZ1115" s="379" t="s">
        <v>3783</v>
      </c>
      <c r="UFA1115" s="379" t="s">
        <v>3783</v>
      </c>
      <c r="UFB1115" s="379" t="s">
        <v>3783</v>
      </c>
      <c r="UFC1115" s="379" t="s">
        <v>3783</v>
      </c>
      <c r="UFD1115" s="379" t="s">
        <v>3783</v>
      </c>
      <c r="UFE1115" s="379" t="s">
        <v>3783</v>
      </c>
      <c r="UFF1115" s="379" t="s">
        <v>3783</v>
      </c>
      <c r="UFG1115" s="379" t="s">
        <v>3783</v>
      </c>
      <c r="UFH1115" s="379" t="s">
        <v>3783</v>
      </c>
      <c r="UFI1115" s="379" t="s">
        <v>3783</v>
      </c>
      <c r="UFJ1115" s="379" t="s">
        <v>3783</v>
      </c>
      <c r="UFK1115" s="379" t="s">
        <v>3783</v>
      </c>
      <c r="UFL1115" s="379" t="s">
        <v>3783</v>
      </c>
      <c r="UFM1115" s="379" t="s">
        <v>3783</v>
      </c>
      <c r="UFN1115" s="379" t="s">
        <v>3783</v>
      </c>
      <c r="UFO1115" s="379" t="s">
        <v>3783</v>
      </c>
      <c r="UFP1115" s="379" t="s">
        <v>3783</v>
      </c>
      <c r="UFQ1115" s="379" t="s">
        <v>3783</v>
      </c>
      <c r="UFR1115" s="379" t="s">
        <v>3783</v>
      </c>
      <c r="UFS1115" s="379" t="s">
        <v>3783</v>
      </c>
      <c r="UFT1115" s="379" t="s">
        <v>3783</v>
      </c>
      <c r="UFU1115" s="379" t="s">
        <v>3783</v>
      </c>
      <c r="UFV1115" s="379" t="s">
        <v>3783</v>
      </c>
      <c r="UFW1115" s="379" t="s">
        <v>3783</v>
      </c>
      <c r="UFX1115" s="379" t="s">
        <v>3783</v>
      </c>
      <c r="UFY1115" s="379" t="s">
        <v>3783</v>
      </c>
      <c r="UFZ1115" s="379" t="s">
        <v>3783</v>
      </c>
      <c r="UGA1115" s="379" t="s">
        <v>3783</v>
      </c>
      <c r="UGB1115" s="379" t="s">
        <v>3783</v>
      </c>
      <c r="UGC1115" s="379" t="s">
        <v>3783</v>
      </c>
      <c r="UGD1115" s="379" t="s">
        <v>3783</v>
      </c>
      <c r="UGE1115" s="379" t="s">
        <v>3783</v>
      </c>
      <c r="UGF1115" s="379" t="s">
        <v>3783</v>
      </c>
      <c r="UGG1115" s="379" t="s">
        <v>3783</v>
      </c>
      <c r="UGH1115" s="379" t="s">
        <v>3783</v>
      </c>
      <c r="UGI1115" s="379" t="s">
        <v>3783</v>
      </c>
      <c r="UGJ1115" s="379" t="s">
        <v>3783</v>
      </c>
      <c r="UGK1115" s="379" t="s">
        <v>3783</v>
      </c>
      <c r="UGL1115" s="379" t="s">
        <v>3783</v>
      </c>
      <c r="UGM1115" s="379" t="s">
        <v>3783</v>
      </c>
      <c r="UGN1115" s="379" t="s">
        <v>3783</v>
      </c>
      <c r="UGO1115" s="379" t="s">
        <v>3783</v>
      </c>
      <c r="UGP1115" s="379" t="s">
        <v>3783</v>
      </c>
      <c r="UGQ1115" s="379" t="s">
        <v>3783</v>
      </c>
      <c r="UGR1115" s="379" t="s">
        <v>3783</v>
      </c>
      <c r="UGS1115" s="379" t="s">
        <v>3783</v>
      </c>
      <c r="UGT1115" s="379" t="s">
        <v>3783</v>
      </c>
      <c r="UGU1115" s="379" t="s">
        <v>3783</v>
      </c>
      <c r="UGV1115" s="379" t="s">
        <v>3783</v>
      </c>
      <c r="UGW1115" s="379" t="s">
        <v>3783</v>
      </c>
      <c r="UGX1115" s="379" t="s">
        <v>3783</v>
      </c>
      <c r="UGY1115" s="379" t="s">
        <v>3783</v>
      </c>
      <c r="UGZ1115" s="379" t="s">
        <v>3783</v>
      </c>
      <c r="UHA1115" s="379" t="s">
        <v>3783</v>
      </c>
      <c r="UHB1115" s="379" t="s">
        <v>3783</v>
      </c>
      <c r="UHC1115" s="379" t="s">
        <v>3783</v>
      </c>
      <c r="UHD1115" s="379" t="s">
        <v>3783</v>
      </c>
      <c r="UHE1115" s="379" t="s">
        <v>3783</v>
      </c>
      <c r="UHF1115" s="379" t="s">
        <v>3783</v>
      </c>
      <c r="UHG1115" s="379" t="s">
        <v>3783</v>
      </c>
      <c r="UHH1115" s="379" t="s">
        <v>3783</v>
      </c>
      <c r="UHI1115" s="379" t="s">
        <v>3783</v>
      </c>
      <c r="UHJ1115" s="379" t="s">
        <v>3783</v>
      </c>
      <c r="UHK1115" s="379" t="s">
        <v>3783</v>
      </c>
      <c r="UHL1115" s="379" t="s">
        <v>3783</v>
      </c>
      <c r="UHM1115" s="379" t="s">
        <v>3783</v>
      </c>
      <c r="UHN1115" s="379" t="s">
        <v>3783</v>
      </c>
      <c r="UHO1115" s="379" t="s">
        <v>3783</v>
      </c>
      <c r="UHP1115" s="379" t="s">
        <v>3783</v>
      </c>
      <c r="UHQ1115" s="379" t="s">
        <v>3783</v>
      </c>
      <c r="UHR1115" s="379" t="s">
        <v>3783</v>
      </c>
      <c r="UHS1115" s="379" t="s">
        <v>3783</v>
      </c>
      <c r="UHT1115" s="379" t="s">
        <v>3783</v>
      </c>
      <c r="UHU1115" s="379" t="s">
        <v>3783</v>
      </c>
      <c r="UHV1115" s="379" t="s">
        <v>3783</v>
      </c>
      <c r="UHW1115" s="379" t="s">
        <v>3783</v>
      </c>
      <c r="UHX1115" s="379" t="s">
        <v>3783</v>
      </c>
      <c r="UHY1115" s="379" t="s">
        <v>3783</v>
      </c>
      <c r="UHZ1115" s="379" t="s">
        <v>3783</v>
      </c>
      <c r="UIA1115" s="379" t="s">
        <v>3783</v>
      </c>
      <c r="UIB1115" s="379" t="s">
        <v>3783</v>
      </c>
      <c r="UIC1115" s="379" t="s">
        <v>3783</v>
      </c>
      <c r="UID1115" s="379" t="s">
        <v>3783</v>
      </c>
      <c r="UIE1115" s="379" t="s">
        <v>3783</v>
      </c>
      <c r="UIF1115" s="379" t="s">
        <v>3783</v>
      </c>
      <c r="UIG1115" s="379" t="s">
        <v>3783</v>
      </c>
      <c r="UIH1115" s="379" t="s">
        <v>3783</v>
      </c>
      <c r="UII1115" s="379" t="s">
        <v>3783</v>
      </c>
      <c r="UIJ1115" s="379" t="s">
        <v>3783</v>
      </c>
      <c r="UIK1115" s="379" t="s">
        <v>3783</v>
      </c>
      <c r="UIL1115" s="379" t="s">
        <v>3783</v>
      </c>
      <c r="UIM1115" s="379" t="s">
        <v>3783</v>
      </c>
      <c r="UIN1115" s="379" t="s">
        <v>3783</v>
      </c>
      <c r="UIO1115" s="379" t="s">
        <v>3783</v>
      </c>
      <c r="UIP1115" s="379" t="s">
        <v>3783</v>
      </c>
      <c r="UIQ1115" s="379" t="s">
        <v>3783</v>
      </c>
      <c r="UIR1115" s="379" t="s">
        <v>3783</v>
      </c>
      <c r="UIS1115" s="379" t="s">
        <v>3783</v>
      </c>
      <c r="UIT1115" s="379" t="s">
        <v>3783</v>
      </c>
      <c r="UIU1115" s="379" t="s">
        <v>3783</v>
      </c>
      <c r="UIV1115" s="379" t="s">
        <v>3783</v>
      </c>
      <c r="UIW1115" s="379" t="s">
        <v>3783</v>
      </c>
      <c r="UIX1115" s="379" t="s">
        <v>3783</v>
      </c>
      <c r="UIY1115" s="379" t="s">
        <v>3783</v>
      </c>
      <c r="UIZ1115" s="379" t="s">
        <v>3783</v>
      </c>
      <c r="UJA1115" s="379" t="s">
        <v>3783</v>
      </c>
      <c r="UJB1115" s="379" t="s">
        <v>3783</v>
      </c>
      <c r="UJC1115" s="379" t="s">
        <v>3783</v>
      </c>
      <c r="UJD1115" s="379" t="s">
        <v>3783</v>
      </c>
      <c r="UJE1115" s="379" t="s">
        <v>3783</v>
      </c>
      <c r="UJF1115" s="379" t="s">
        <v>3783</v>
      </c>
      <c r="UJG1115" s="379" t="s">
        <v>3783</v>
      </c>
      <c r="UJH1115" s="379" t="s">
        <v>3783</v>
      </c>
      <c r="UJI1115" s="379" t="s">
        <v>3783</v>
      </c>
      <c r="UJJ1115" s="379" t="s">
        <v>3783</v>
      </c>
      <c r="UJK1115" s="379" t="s">
        <v>3783</v>
      </c>
      <c r="UJL1115" s="379" t="s">
        <v>3783</v>
      </c>
      <c r="UJM1115" s="379" t="s">
        <v>3783</v>
      </c>
      <c r="UJN1115" s="379" t="s">
        <v>3783</v>
      </c>
      <c r="UJO1115" s="379" t="s">
        <v>3783</v>
      </c>
      <c r="UJP1115" s="379" t="s">
        <v>3783</v>
      </c>
      <c r="UJQ1115" s="379" t="s">
        <v>3783</v>
      </c>
      <c r="UJR1115" s="379" t="s">
        <v>3783</v>
      </c>
      <c r="UJS1115" s="379" t="s">
        <v>3783</v>
      </c>
      <c r="UJT1115" s="379" t="s">
        <v>3783</v>
      </c>
      <c r="UJU1115" s="379" t="s">
        <v>3783</v>
      </c>
      <c r="UJV1115" s="379" t="s">
        <v>3783</v>
      </c>
      <c r="UJW1115" s="379" t="s">
        <v>3783</v>
      </c>
      <c r="UJX1115" s="379" t="s">
        <v>3783</v>
      </c>
      <c r="UJY1115" s="379" t="s">
        <v>3783</v>
      </c>
      <c r="UJZ1115" s="379" t="s">
        <v>3783</v>
      </c>
      <c r="UKA1115" s="379" t="s">
        <v>3783</v>
      </c>
      <c r="UKB1115" s="379" t="s">
        <v>3783</v>
      </c>
      <c r="UKC1115" s="379" t="s">
        <v>3783</v>
      </c>
      <c r="UKD1115" s="379" t="s">
        <v>3783</v>
      </c>
      <c r="UKE1115" s="379" t="s">
        <v>3783</v>
      </c>
      <c r="UKF1115" s="379" t="s">
        <v>3783</v>
      </c>
      <c r="UKG1115" s="379" t="s">
        <v>3783</v>
      </c>
      <c r="UKH1115" s="379" t="s">
        <v>3783</v>
      </c>
      <c r="UKI1115" s="379" t="s">
        <v>3783</v>
      </c>
      <c r="UKJ1115" s="379" t="s">
        <v>3783</v>
      </c>
      <c r="UKK1115" s="379" t="s">
        <v>3783</v>
      </c>
      <c r="UKL1115" s="379" t="s">
        <v>3783</v>
      </c>
      <c r="UKM1115" s="379" t="s">
        <v>3783</v>
      </c>
      <c r="UKN1115" s="379" t="s">
        <v>3783</v>
      </c>
      <c r="UKO1115" s="379" t="s">
        <v>3783</v>
      </c>
      <c r="UKP1115" s="379" t="s">
        <v>3783</v>
      </c>
      <c r="UKQ1115" s="379" t="s">
        <v>3783</v>
      </c>
      <c r="UKR1115" s="379" t="s">
        <v>3783</v>
      </c>
      <c r="UKS1115" s="379" t="s">
        <v>3783</v>
      </c>
      <c r="UKT1115" s="379" t="s">
        <v>3783</v>
      </c>
      <c r="UKU1115" s="379" t="s">
        <v>3783</v>
      </c>
      <c r="UKV1115" s="379" t="s">
        <v>3783</v>
      </c>
      <c r="UKW1115" s="379" t="s">
        <v>3783</v>
      </c>
      <c r="UKX1115" s="379" t="s">
        <v>3783</v>
      </c>
      <c r="UKY1115" s="379" t="s">
        <v>3783</v>
      </c>
      <c r="UKZ1115" s="379" t="s">
        <v>3783</v>
      </c>
      <c r="ULA1115" s="379" t="s">
        <v>3783</v>
      </c>
      <c r="ULB1115" s="379" t="s">
        <v>3783</v>
      </c>
      <c r="ULC1115" s="379" t="s">
        <v>3783</v>
      </c>
      <c r="ULD1115" s="379" t="s">
        <v>3783</v>
      </c>
      <c r="ULE1115" s="379" t="s">
        <v>3783</v>
      </c>
      <c r="ULF1115" s="379" t="s">
        <v>3783</v>
      </c>
      <c r="ULG1115" s="379" t="s">
        <v>3783</v>
      </c>
      <c r="ULH1115" s="379" t="s">
        <v>3783</v>
      </c>
      <c r="ULI1115" s="379" t="s">
        <v>3783</v>
      </c>
      <c r="ULJ1115" s="379" t="s">
        <v>3783</v>
      </c>
      <c r="ULK1115" s="379" t="s">
        <v>3783</v>
      </c>
      <c r="ULL1115" s="379" t="s">
        <v>3783</v>
      </c>
      <c r="ULM1115" s="379" t="s">
        <v>3783</v>
      </c>
      <c r="ULN1115" s="379" t="s">
        <v>3783</v>
      </c>
      <c r="ULO1115" s="379" t="s">
        <v>3783</v>
      </c>
      <c r="ULP1115" s="379" t="s">
        <v>3783</v>
      </c>
      <c r="ULQ1115" s="379" t="s">
        <v>3783</v>
      </c>
      <c r="ULR1115" s="379" t="s">
        <v>3783</v>
      </c>
      <c r="ULS1115" s="379" t="s">
        <v>3783</v>
      </c>
      <c r="ULT1115" s="379" t="s">
        <v>3783</v>
      </c>
      <c r="ULU1115" s="379" t="s">
        <v>3783</v>
      </c>
      <c r="ULV1115" s="379" t="s">
        <v>3783</v>
      </c>
      <c r="ULW1115" s="379" t="s">
        <v>3783</v>
      </c>
      <c r="ULX1115" s="379" t="s">
        <v>3783</v>
      </c>
      <c r="ULY1115" s="379" t="s">
        <v>3783</v>
      </c>
      <c r="ULZ1115" s="379" t="s">
        <v>3783</v>
      </c>
      <c r="UMA1115" s="379" t="s">
        <v>3783</v>
      </c>
      <c r="UMB1115" s="379" t="s">
        <v>3783</v>
      </c>
      <c r="UMC1115" s="379" t="s">
        <v>3783</v>
      </c>
      <c r="UMD1115" s="379" t="s">
        <v>3783</v>
      </c>
      <c r="UME1115" s="379" t="s">
        <v>3783</v>
      </c>
      <c r="UMF1115" s="379" t="s">
        <v>3783</v>
      </c>
      <c r="UMG1115" s="379" t="s">
        <v>3783</v>
      </c>
      <c r="UMH1115" s="379" t="s">
        <v>3783</v>
      </c>
      <c r="UMI1115" s="379" t="s">
        <v>3783</v>
      </c>
      <c r="UMJ1115" s="379" t="s">
        <v>3783</v>
      </c>
      <c r="UMK1115" s="379" t="s">
        <v>3783</v>
      </c>
      <c r="UML1115" s="379" t="s">
        <v>3783</v>
      </c>
      <c r="UMM1115" s="379" t="s">
        <v>3783</v>
      </c>
      <c r="UMN1115" s="379" t="s">
        <v>3783</v>
      </c>
      <c r="UMO1115" s="379" t="s">
        <v>3783</v>
      </c>
      <c r="UMP1115" s="379" t="s">
        <v>3783</v>
      </c>
      <c r="UMQ1115" s="379" t="s">
        <v>3783</v>
      </c>
      <c r="UMR1115" s="379" t="s">
        <v>3783</v>
      </c>
      <c r="UMS1115" s="379" t="s">
        <v>3783</v>
      </c>
      <c r="UMT1115" s="379" t="s">
        <v>3783</v>
      </c>
      <c r="UMU1115" s="379" t="s">
        <v>3783</v>
      </c>
      <c r="UMV1115" s="379" t="s">
        <v>3783</v>
      </c>
      <c r="UMW1115" s="379" t="s">
        <v>3783</v>
      </c>
      <c r="UMX1115" s="379" t="s">
        <v>3783</v>
      </c>
      <c r="UMY1115" s="379" t="s">
        <v>3783</v>
      </c>
      <c r="UMZ1115" s="379" t="s">
        <v>3783</v>
      </c>
      <c r="UNA1115" s="379" t="s">
        <v>3783</v>
      </c>
      <c r="UNB1115" s="379" t="s">
        <v>3783</v>
      </c>
      <c r="UNC1115" s="379" t="s">
        <v>3783</v>
      </c>
      <c r="UND1115" s="379" t="s">
        <v>3783</v>
      </c>
      <c r="UNE1115" s="379" t="s">
        <v>3783</v>
      </c>
      <c r="UNF1115" s="379" t="s">
        <v>3783</v>
      </c>
      <c r="UNG1115" s="379" t="s">
        <v>3783</v>
      </c>
      <c r="UNH1115" s="379" t="s">
        <v>3783</v>
      </c>
      <c r="UNI1115" s="379" t="s">
        <v>3783</v>
      </c>
      <c r="UNJ1115" s="379" t="s">
        <v>3783</v>
      </c>
      <c r="UNK1115" s="379" t="s">
        <v>3783</v>
      </c>
      <c r="UNL1115" s="379" t="s">
        <v>3783</v>
      </c>
      <c r="UNM1115" s="379" t="s">
        <v>3783</v>
      </c>
      <c r="UNN1115" s="379" t="s">
        <v>3783</v>
      </c>
      <c r="UNO1115" s="379" t="s">
        <v>3783</v>
      </c>
      <c r="UNP1115" s="379" t="s">
        <v>3783</v>
      </c>
      <c r="UNQ1115" s="379" t="s">
        <v>3783</v>
      </c>
      <c r="UNR1115" s="379" t="s">
        <v>3783</v>
      </c>
      <c r="UNS1115" s="379" t="s">
        <v>3783</v>
      </c>
      <c r="UNT1115" s="379" t="s">
        <v>3783</v>
      </c>
      <c r="UNU1115" s="379" t="s">
        <v>3783</v>
      </c>
      <c r="UNV1115" s="379" t="s">
        <v>3783</v>
      </c>
      <c r="UNW1115" s="379" t="s">
        <v>3783</v>
      </c>
      <c r="UNX1115" s="379" t="s">
        <v>3783</v>
      </c>
      <c r="UNY1115" s="379" t="s">
        <v>3783</v>
      </c>
      <c r="UNZ1115" s="379" t="s">
        <v>3783</v>
      </c>
      <c r="UOA1115" s="379" t="s">
        <v>3783</v>
      </c>
      <c r="UOB1115" s="379" t="s">
        <v>3783</v>
      </c>
      <c r="UOC1115" s="379" t="s">
        <v>3783</v>
      </c>
      <c r="UOD1115" s="379" t="s">
        <v>3783</v>
      </c>
      <c r="UOE1115" s="379" t="s">
        <v>3783</v>
      </c>
      <c r="UOF1115" s="379" t="s">
        <v>3783</v>
      </c>
      <c r="UOG1115" s="379" t="s">
        <v>3783</v>
      </c>
      <c r="UOH1115" s="379" t="s">
        <v>3783</v>
      </c>
      <c r="UOI1115" s="379" t="s">
        <v>3783</v>
      </c>
      <c r="UOJ1115" s="379" t="s">
        <v>3783</v>
      </c>
      <c r="UOK1115" s="379" t="s">
        <v>3783</v>
      </c>
      <c r="UOL1115" s="379" t="s">
        <v>3783</v>
      </c>
      <c r="UOM1115" s="379" t="s">
        <v>3783</v>
      </c>
      <c r="UON1115" s="379" t="s">
        <v>3783</v>
      </c>
      <c r="UOO1115" s="379" t="s">
        <v>3783</v>
      </c>
      <c r="UOP1115" s="379" t="s">
        <v>3783</v>
      </c>
      <c r="UOQ1115" s="379" t="s">
        <v>3783</v>
      </c>
      <c r="UOR1115" s="379" t="s">
        <v>3783</v>
      </c>
      <c r="UOS1115" s="379" t="s">
        <v>3783</v>
      </c>
      <c r="UOT1115" s="379" t="s">
        <v>3783</v>
      </c>
      <c r="UOU1115" s="379" t="s">
        <v>3783</v>
      </c>
      <c r="UOV1115" s="379" t="s">
        <v>3783</v>
      </c>
      <c r="UOW1115" s="379" t="s">
        <v>3783</v>
      </c>
      <c r="UOX1115" s="379" t="s">
        <v>3783</v>
      </c>
      <c r="UOY1115" s="379" t="s">
        <v>3783</v>
      </c>
      <c r="UOZ1115" s="379" t="s">
        <v>3783</v>
      </c>
      <c r="UPA1115" s="379" t="s">
        <v>3783</v>
      </c>
      <c r="UPB1115" s="379" t="s">
        <v>3783</v>
      </c>
      <c r="UPC1115" s="379" t="s">
        <v>3783</v>
      </c>
      <c r="UPD1115" s="379" t="s">
        <v>3783</v>
      </c>
      <c r="UPE1115" s="379" t="s">
        <v>3783</v>
      </c>
      <c r="UPF1115" s="379" t="s">
        <v>3783</v>
      </c>
      <c r="UPG1115" s="379" t="s">
        <v>3783</v>
      </c>
      <c r="UPH1115" s="379" t="s">
        <v>3783</v>
      </c>
      <c r="UPI1115" s="379" t="s">
        <v>3783</v>
      </c>
      <c r="UPJ1115" s="379" t="s">
        <v>3783</v>
      </c>
      <c r="UPK1115" s="379" t="s">
        <v>3783</v>
      </c>
      <c r="UPL1115" s="379" t="s">
        <v>3783</v>
      </c>
      <c r="UPM1115" s="379" t="s">
        <v>3783</v>
      </c>
      <c r="UPN1115" s="379" t="s">
        <v>3783</v>
      </c>
      <c r="UPO1115" s="379" t="s">
        <v>3783</v>
      </c>
      <c r="UPP1115" s="379" t="s">
        <v>3783</v>
      </c>
      <c r="UPQ1115" s="379" t="s">
        <v>3783</v>
      </c>
      <c r="UPR1115" s="379" t="s">
        <v>3783</v>
      </c>
      <c r="UPS1115" s="379" t="s">
        <v>3783</v>
      </c>
      <c r="UPT1115" s="379" t="s">
        <v>3783</v>
      </c>
      <c r="UPU1115" s="379" t="s">
        <v>3783</v>
      </c>
      <c r="UPV1115" s="379" t="s">
        <v>3783</v>
      </c>
      <c r="UPW1115" s="379" t="s">
        <v>3783</v>
      </c>
      <c r="UPX1115" s="379" t="s">
        <v>3783</v>
      </c>
      <c r="UPY1115" s="379" t="s">
        <v>3783</v>
      </c>
      <c r="UPZ1115" s="379" t="s">
        <v>3783</v>
      </c>
      <c r="UQA1115" s="379" t="s">
        <v>3783</v>
      </c>
      <c r="UQB1115" s="379" t="s">
        <v>3783</v>
      </c>
      <c r="UQC1115" s="379" t="s">
        <v>3783</v>
      </c>
      <c r="UQD1115" s="379" t="s">
        <v>3783</v>
      </c>
      <c r="UQE1115" s="379" t="s">
        <v>3783</v>
      </c>
      <c r="UQF1115" s="379" t="s">
        <v>3783</v>
      </c>
      <c r="UQG1115" s="379" t="s">
        <v>3783</v>
      </c>
      <c r="UQH1115" s="379" t="s">
        <v>3783</v>
      </c>
      <c r="UQI1115" s="379" t="s">
        <v>3783</v>
      </c>
      <c r="UQJ1115" s="379" t="s">
        <v>3783</v>
      </c>
      <c r="UQK1115" s="379" t="s">
        <v>3783</v>
      </c>
      <c r="UQL1115" s="379" t="s">
        <v>3783</v>
      </c>
      <c r="UQM1115" s="379" t="s">
        <v>3783</v>
      </c>
      <c r="UQN1115" s="379" t="s">
        <v>3783</v>
      </c>
      <c r="UQO1115" s="379" t="s">
        <v>3783</v>
      </c>
      <c r="UQP1115" s="379" t="s">
        <v>3783</v>
      </c>
      <c r="UQQ1115" s="379" t="s">
        <v>3783</v>
      </c>
      <c r="UQR1115" s="379" t="s">
        <v>3783</v>
      </c>
      <c r="UQS1115" s="379" t="s">
        <v>3783</v>
      </c>
      <c r="UQT1115" s="379" t="s">
        <v>3783</v>
      </c>
      <c r="UQU1115" s="379" t="s">
        <v>3783</v>
      </c>
      <c r="UQV1115" s="379" t="s">
        <v>3783</v>
      </c>
      <c r="UQW1115" s="379" t="s">
        <v>3783</v>
      </c>
      <c r="UQX1115" s="379" t="s">
        <v>3783</v>
      </c>
      <c r="UQY1115" s="379" t="s">
        <v>3783</v>
      </c>
      <c r="UQZ1115" s="379" t="s">
        <v>3783</v>
      </c>
      <c r="URA1115" s="379" t="s">
        <v>3783</v>
      </c>
      <c r="URB1115" s="379" t="s">
        <v>3783</v>
      </c>
      <c r="URC1115" s="379" t="s">
        <v>3783</v>
      </c>
      <c r="URD1115" s="379" t="s">
        <v>3783</v>
      </c>
      <c r="URE1115" s="379" t="s">
        <v>3783</v>
      </c>
      <c r="URF1115" s="379" t="s">
        <v>3783</v>
      </c>
      <c r="URG1115" s="379" t="s">
        <v>3783</v>
      </c>
      <c r="URH1115" s="379" t="s">
        <v>3783</v>
      </c>
      <c r="URI1115" s="379" t="s">
        <v>3783</v>
      </c>
      <c r="URJ1115" s="379" t="s">
        <v>3783</v>
      </c>
      <c r="URK1115" s="379" t="s">
        <v>3783</v>
      </c>
      <c r="URL1115" s="379" t="s">
        <v>3783</v>
      </c>
      <c r="URM1115" s="379" t="s">
        <v>3783</v>
      </c>
      <c r="URN1115" s="379" t="s">
        <v>3783</v>
      </c>
      <c r="URO1115" s="379" t="s">
        <v>3783</v>
      </c>
      <c r="URP1115" s="379" t="s">
        <v>3783</v>
      </c>
      <c r="URQ1115" s="379" t="s">
        <v>3783</v>
      </c>
      <c r="URR1115" s="379" t="s">
        <v>3783</v>
      </c>
      <c r="URS1115" s="379" t="s">
        <v>3783</v>
      </c>
      <c r="URT1115" s="379" t="s">
        <v>3783</v>
      </c>
      <c r="URU1115" s="379" t="s">
        <v>3783</v>
      </c>
      <c r="URV1115" s="379" t="s">
        <v>3783</v>
      </c>
      <c r="URW1115" s="379" t="s">
        <v>3783</v>
      </c>
      <c r="URX1115" s="379" t="s">
        <v>3783</v>
      </c>
      <c r="URY1115" s="379" t="s">
        <v>3783</v>
      </c>
      <c r="URZ1115" s="379" t="s">
        <v>3783</v>
      </c>
      <c r="USA1115" s="379" t="s">
        <v>3783</v>
      </c>
      <c r="USB1115" s="379" t="s">
        <v>3783</v>
      </c>
      <c r="USC1115" s="379" t="s">
        <v>3783</v>
      </c>
      <c r="USD1115" s="379" t="s">
        <v>3783</v>
      </c>
      <c r="USE1115" s="379" t="s">
        <v>3783</v>
      </c>
      <c r="USF1115" s="379" t="s">
        <v>3783</v>
      </c>
      <c r="USG1115" s="379" t="s">
        <v>3783</v>
      </c>
      <c r="USH1115" s="379" t="s">
        <v>3783</v>
      </c>
      <c r="USI1115" s="379" t="s">
        <v>3783</v>
      </c>
      <c r="USJ1115" s="379" t="s">
        <v>3783</v>
      </c>
      <c r="USK1115" s="379" t="s">
        <v>3783</v>
      </c>
      <c r="USL1115" s="379" t="s">
        <v>3783</v>
      </c>
      <c r="USM1115" s="379" t="s">
        <v>3783</v>
      </c>
      <c r="USN1115" s="379" t="s">
        <v>3783</v>
      </c>
      <c r="USO1115" s="379" t="s">
        <v>3783</v>
      </c>
      <c r="USP1115" s="379" t="s">
        <v>3783</v>
      </c>
      <c r="USQ1115" s="379" t="s">
        <v>3783</v>
      </c>
      <c r="USR1115" s="379" t="s">
        <v>3783</v>
      </c>
      <c r="USS1115" s="379" t="s">
        <v>3783</v>
      </c>
      <c r="UST1115" s="379" t="s">
        <v>3783</v>
      </c>
      <c r="USU1115" s="379" t="s">
        <v>3783</v>
      </c>
      <c r="USV1115" s="379" t="s">
        <v>3783</v>
      </c>
      <c r="USW1115" s="379" t="s">
        <v>3783</v>
      </c>
      <c r="USX1115" s="379" t="s">
        <v>3783</v>
      </c>
      <c r="USY1115" s="379" t="s">
        <v>3783</v>
      </c>
      <c r="USZ1115" s="379" t="s">
        <v>3783</v>
      </c>
      <c r="UTA1115" s="379" t="s">
        <v>3783</v>
      </c>
      <c r="UTB1115" s="379" t="s">
        <v>3783</v>
      </c>
      <c r="UTC1115" s="379" t="s">
        <v>3783</v>
      </c>
      <c r="UTD1115" s="379" t="s">
        <v>3783</v>
      </c>
      <c r="UTE1115" s="379" t="s">
        <v>3783</v>
      </c>
      <c r="UTF1115" s="379" t="s">
        <v>3783</v>
      </c>
      <c r="UTG1115" s="379" t="s">
        <v>3783</v>
      </c>
      <c r="UTH1115" s="379" t="s">
        <v>3783</v>
      </c>
      <c r="UTI1115" s="379" t="s">
        <v>3783</v>
      </c>
      <c r="UTJ1115" s="379" t="s">
        <v>3783</v>
      </c>
      <c r="UTK1115" s="379" t="s">
        <v>3783</v>
      </c>
      <c r="UTL1115" s="379" t="s">
        <v>3783</v>
      </c>
      <c r="UTM1115" s="379" t="s">
        <v>3783</v>
      </c>
      <c r="UTN1115" s="379" t="s">
        <v>3783</v>
      </c>
      <c r="UTO1115" s="379" t="s">
        <v>3783</v>
      </c>
      <c r="UTP1115" s="379" t="s">
        <v>3783</v>
      </c>
      <c r="UTQ1115" s="379" t="s">
        <v>3783</v>
      </c>
      <c r="UTR1115" s="379" t="s">
        <v>3783</v>
      </c>
      <c r="UTS1115" s="379" t="s">
        <v>3783</v>
      </c>
      <c r="UTT1115" s="379" t="s">
        <v>3783</v>
      </c>
      <c r="UTU1115" s="379" t="s">
        <v>3783</v>
      </c>
      <c r="UTV1115" s="379" t="s">
        <v>3783</v>
      </c>
      <c r="UTW1115" s="379" t="s">
        <v>3783</v>
      </c>
      <c r="UTX1115" s="379" t="s">
        <v>3783</v>
      </c>
      <c r="UTY1115" s="379" t="s">
        <v>3783</v>
      </c>
      <c r="UTZ1115" s="379" t="s">
        <v>3783</v>
      </c>
      <c r="UUA1115" s="379" t="s">
        <v>3783</v>
      </c>
      <c r="UUB1115" s="379" t="s">
        <v>3783</v>
      </c>
      <c r="UUC1115" s="379" t="s">
        <v>3783</v>
      </c>
      <c r="UUD1115" s="379" t="s">
        <v>3783</v>
      </c>
      <c r="UUE1115" s="379" t="s">
        <v>3783</v>
      </c>
      <c r="UUF1115" s="379" t="s">
        <v>3783</v>
      </c>
      <c r="UUG1115" s="379" t="s">
        <v>3783</v>
      </c>
      <c r="UUH1115" s="379" t="s">
        <v>3783</v>
      </c>
      <c r="UUI1115" s="379" t="s">
        <v>3783</v>
      </c>
      <c r="UUJ1115" s="379" t="s">
        <v>3783</v>
      </c>
      <c r="UUK1115" s="379" t="s">
        <v>3783</v>
      </c>
      <c r="UUL1115" s="379" t="s">
        <v>3783</v>
      </c>
      <c r="UUM1115" s="379" t="s">
        <v>3783</v>
      </c>
      <c r="UUN1115" s="379" t="s">
        <v>3783</v>
      </c>
      <c r="UUO1115" s="379" t="s">
        <v>3783</v>
      </c>
      <c r="UUP1115" s="379" t="s">
        <v>3783</v>
      </c>
      <c r="UUQ1115" s="379" t="s">
        <v>3783</v>
      </c>
      <c r="UUR1115" s="379" t="s">
        <v>3783</v>
      </c>
      <c r="UUS1115" s="379" t="s">
        <v>3783</v>
      </c>
      <c r="UUT1115" s="379" t="s">
        <v>3783</v>
      </c>
      <c r="UUU1115" s="379" t="s">
        <v>3783</v>
      </c>
      <c r="UUV1115" s="379" t="s">
        <v>3783</v>
      </c>
      <c r="UUW1115" s="379" t="s">
        <v>3783</v>
      </c>
      <c r="UUX1115" s="379" t="s">
        <v>3783</v>
      </c>
      <c r="UUY1115" s="379" t="s">
        <v>3783</v>
      </c>
      <c r="UUZ1115" s="379" t="s">
        <v>3783</v>
      </c>
      <c r="UVA1115" s="379" t="s">
        <v>3783</v>
      </c>
      <c r="UVB1115" s="379" t="s">
        <v>3783</v>
      </c>
      <c r="UVC1115" s="379" t="s">
        <v>3783</v>
      </c>
      <c r="UVD1115" s="379" t="s">
        <v>3783</v>
      </c>
      <c r="UVE1115" s="379" t="s">
        <v>3783</v>
      </c>
      <c r="UVF1115" s="379" t="s">
        <v>3783</v>
      </c>
      <c r="UVG1115" s="379" t="s">
        <v>3783</v>
      </c>
      <c r="UVH1115" s="379" t="s">
        <v>3783</v>
      </c>
      <c r="UVI1115" s="379" t="s">
        <v>3783</v>
      </c>
      <c r="UVJ1115" s="379" t="s">
        <v>3783</v>
      </c>
      <c r="UVK1115" s="379" t="s">
        <v>3783</v>
      </c>
      <c r="UVL1115" s="379" t="s">
        <v>3783</v>
      </c>
      <c r="UVM1115" s="379" t="s">
        <v>3783</v>
      </c>
      <c r="UVN1115" s="379" t="s">
        <v>3783</v>
      </c>
      <c r="UVO1115" s="379" t="s">
        <v>3783</v>
      </c>
      <c r="UVP1115" s="379" t="s">
        <v>3783</v>
      </c>
      <c r="UVQ1115" s="379" t="s">
        <v>3783</v>
      </c>
      <c r="UVR1115" s="379" t="s">
        <v>3783</v>
      </c>
      <c r="UVS1115" s="379" t="s">
        <v>3783</v>
      </c>
      <c r="UVT1115" s="379" t="s">
        <v>3783</v>
      </c>
      <c r="UVU1115" s="379" t="s">
        <v>3783</v>
      </c>
      <c r="UVV1115" s="379" t="s">
        <v>3783</v>
      </c>
      <c r="UVW1115" s="379" t="s">
        <v>3783</v>
      </c>
      <c r="UVX1115" s="379" t="s">
        <v>3783</v>
      </c>
      <c r="UVY1115" s="379" t="s">
        <v>3783</v>
      </c>
      <c r="UVZ1115" s="379" t="s">
        <v>3783</v>
      </c>
      <c r="UWA1115" s="379" t="s">
        <v>3783</v>
      </c>
      <c r="UWB1115" s="379" t="s">
        <v>3783</v>
      </c>
      <c r="UWC1115" s="379" t="s">
        <v>3783</v>
      </c>
      <c r="UWD1115" s="379" t="s">
        <v>3783</v>
      </c>
      <c r="UWE1115" s="379" t="s">
        <v>3783</v>
      </c>
      <c r="UWF1115" s="379" t="s">
        <v>3783</v>
      </c>
      <c r="UWG1115" s="379" t="s">
        <v>3783</v>
      </c>
      <c r="UWH1115" s="379" t="s">
        <v>3783</v>
      </c>
      <c r="UWI1115" s="379" t="s">
        <v>3783</v>
      </c>
      <c r="UWJ1115" s="379" t="s">
        <v>3783</v>
      </c>
      <c r="UWK1115" s="379" t="s">
        <v>3783</v>
      </c>
      <c r="UWL1115" s="379" t="s">
        <v>3783</v>
      </c>
      <c r="UWM1115" s="379" t="s">
        <v>3783</v>
      </c>
      <c r="UWN1115" s="379" t="s">
        <v>3783</v>
      </c>
      <c r="UWO1115" s="379" t="s">
        <v>3783</v>
      </c>
      <c r="UWP1115" s="379" t="s">
        <v>3783</v>
      </c>
      <c r="UWQ1115" s="379" t="s">
        <v>3783</v>
      </c>
      <c r="UWR1115" s="379" t="s">
        <v>3783</v>
      </c>
      <c r="UWS1115" s="379" t="s">
        <v>3783</v>
      </c>
      <c r="UWT1115" s="379" t="s">
        <v>3783</v>
      </c>
      <c r="UWU1115" s="379" t="s">
        <v>3783</v>
      </c>
      <c r="UWV1115" s="379" t="s">
        <v>3783</v>
      </c>
      <c r="UWW1115" s="379" t="s">
        <v>3783</v>
      </c>
      <c r="UWX1115" s="379" t="s">
        <v>3783</v>
      </c>
      <c r="UWY1115" s="379" t="s">
        <v>3783</v>
      </c>
      <c r="UWZ1115" s="379" t="s">
        <v>3783</v>
      </c>
      <c r="UXA1115" s="379" t="s">
        <v>3783</v>
      </c>
      <c r="UXB1115" s="379" t="s">
        <v>3783</v>
      </c>
      <c r="UXC1115" s="379" t="s">
        <v>3783</v>
      </c>
      <c r="UXD1115" s="379" t="s">
        <v>3783</v>
      </c>
      <c r="UXE1115" s="379" t="s">
        <v>3783</v>
      </c>
      <c r="UXF1115" s="379" t="s">
        <v>3783</v>
      </c>
      <c r="UXG1115" s="379" t="s">
        <v>3783</v>
      </c>
      <c r="UXH1115" s="379" t="s">
        <v>3783</v>
      </c>
      <c r="UXI1115" s="379" t="s">
        <v>3783</v>
      </c>
      <c r="UXJ1115" s="379" t="s">
        <v>3783</v>
      </c>
      <c r="UXK1115" s="379" t="s">
        <v>3783</v>
      </c>
      <c r="UXL1115" s="379" t="s">
        <v>3783</v>
      </c>
      <c r="UXM1115" s="379" t="s">
        <v>3783</v>
      </c>
      <c r="UXN1115" s="379" t="s">
        <v>3783</v>
      </c>
      <c r="UXO1115" s="379" t="s">
        <v>3783</v>
      </c>
      <c r="UXP1115" s="379" t="s">
        <v>3783</v>
      </c>
      <c r="UXQ1115" s="379" t="s">
        <v>3783</v>
      </c>
      <c r="UXR1115" s="379" t="s">
        <v>3783</v>
      </c>
      <c r="UXS1115" s="379" t="s">
        <v>3783</v>
      </c>
      <c r="UXT1115" s="379" t="s">
        <v>3783</v>
      </c>
      <c r="UXU1115" s="379" t="s">
        <v>3783</v>
      </c>
      <c r="UXV1115" s="379" t="s">
        <v>3783</v>
      </c>
      <c r="UXW1115" s="379" t="s">
        <v>3783</v>
      </c>
      <c r="UXX1115" s="379" t="s">
        <v>3783</v>
      </c>
      <c r="UXY1115" s="379" t="s">
        <v>3783</v>
      </c>
      <c r="UXZ1115" s="379" t="s">
        <v>3783</v>
      </c>
      <c r="UYA1115" s="379" t="s">
        <v>3783</v>
      </c>
      <c r="UYB1115" s="379" t="s">
        <v>3783</v>
      </c>
      <c r="UYC1115" s="379" t="s">
        <v>3783</v>
      </c>
      <c r="UYD1115" s="379" t="s">
        <v>3783</v>
      </c>
      <c r="UYE1115" s="379" t="s">
        <v>3783</v>
      </c>
      <c r="UYF1115" s="379" t="s">
        <v>3783</v>
      </c>
      <c r="UYG1115" s="379" t="s">
        <v>3783</v>
      </c>
      <c r="UYH1115" s="379" t="s">
        <v>3783</v>
      </c>
      <c r="UYI1115" s="379" t="s">
        <v>3783</v>
      </c>
      <c r="UYJ1115" s="379" t="s">
        <v>3783</v>
      </c>
      <c r="UYK1115" s="379" t="s">
        <v>3783</v>
      </c>
      <c r="UYL1115" s="379" t="s">
        <v>3783</v>
      </c>
      <c r="UYM1115" s="379" t="s">
        <v>3783</v>
      </c>
      <c r="UYN1115" s="379" t="s">
        <v>3783</v>
      </c>
      <c r="UYO1115" s="379" t="s">
        <v>3783</v>
      </c>
      <c r="UYP1115" s="379" t="s">
        <v>3783</v>
      </c>
      <c r="UYQ1115" s="379" t="s">
        <v>3783</v>
      </c>
      <c r="UYR1115" s="379" t="s">
        <v>3783</v>
      </c>
      <c r="UYS1115" s="379" t="s">
        <v>3783</v>
      </c>
      <c r="UYT1115" s="379" t="s">
        <v>3783</v>
      </c>
      <c r="UYU1115" s="379" t="s">
        <v>3783</v>
      </c>
      <c r="UYV1115" s="379" t="s">
        <v>3783</v>
      </c>
      <c r="UYW1115" s="379" t="s">
        <v>3783</v>
      </c>
      <c r="UYX1115" s="379" t="s">
        <v>3783</v>
      </c>
      <c r="UYY1115" s="379" t="s">
        <v>3783</v>
      </c>
      <c r="UYZ1115" s="379" t="s">
        <v>3783</v>
      </c>
      <c r="UZA1115" s="379" t="s">
        <v>3783</v>
      </c>
      <c r="UZB1115" s="379" t="s">
        <v>3783</v>
      </c>
      <c r="UZC1115" s="379" t="s">
        <v>3783</v>
      </c>
      <c r="UZD1115" s="379" t="s">
        <v>3783</v>
      </c>
      <c r="UZE1115" s="379" t="s">
        <v>3783</v>
      </c>
      <c r="UZF1115" s="379" t="s">
        <v>3783</v>
      </c>
      <c r="UZG1115" s="379" t="s">
        <v>3783</v>
      </c>
      <c r="UZH1115" s="379" t="s">
        <v>3783</v>
      </c>
      <c r="UZI1115" s="379" t="s">
        <v>3783</v>
      </c>
      <c r="UZJ1115" s="379" t="s">
        <v>3783</v>
      </c>
      <c r="UZK1115" s="379" t="s">
        <v>3783</v>
      </c>
      <c r="UZL1115" s="379" t="s">
        <v>3783</v>
      </c>
      <c r="UZM1115" s="379" t="s">
        <v>3783</v>
      </c>
      <c r="UZN1115" s="379" t="s">
        <v>3783</v>
      </c>
      <c r="UZO1115" s="379" t="s">
        <v>3783</v>
      </c>
      <c r="UZP1115" s="379" t="s">
        <v>3783</v>
      </c>
      <c r="UZQ1115" s="379" t="s">
        <v>3783</v>
      </c>
      <c r="UZR1115" s="379" t="s">
        <v>3783</v>
      </c>
      <c r="UZS1115" s="379" t="s">
        <v>3783</v>
      </c>
      <c r="UZT1115" s="379" t="s">
        <v>3783</v>
      </c>
      <c r="UZU1115" s="379" t="s">
        <v>3783</v>
      </c>
      <c r="UZV1115" s="379" t="s">
        <v>3783</v>
      </c>
      <c r="UZW1115" s="379" t="s">
        <v>3783</v>
      </c>
      <c r="UZX1115" s="379" t="s">
        <v>3783</v>
      </c>
      <c r="UZY1115" s="379" t="s">
        <v>3783</v>
      </c>
      <c r="UZZ1115" s="379" t="s">
        <v>3783</v>
      </c>
      <c r="VAA1115" s="379" t="s">
        <v>3783</v>
      </c>
      <c r="VAB1115" s="379" t="s">
        <v>3783</v>
      </c>
      <c r="VAC1115" s="379" t="s">
        <v>3783</v>
      </c>
      <c r="VAD1115" s="379" t="s">
        <v>3783</v>
      </c>
      <c r="VAE1115" s="379" t="s">
        <v>3783</v>
      </c>
      <c r="VAF1115" s="379" t="s">
        <v>3783</v>
      </c>
      <c r="VAG1115" s="379" t="s">
        <v>3783</v>
      </c>
      <c r="VAH1115" s="379" t="s">
        <v>3783</v>
      </c>
      <c r="VAI1115" s="379" t="s">
        <v>3783</v>
      </c>
      <c r="VAJ1115" s="379" t="s">
        <v>3783</v>
      </c>
      <c r="VAK1115" s="379" t="s">
        <v>3783</v>
      </c>
      <c r="VAL1115" s="379" t="s">
        <v>3783</v>
      </c>
      <c r="VAM1115" s="379" t="s">
        <v>3783</v>
      </c>
      <c r="VAN1115" s="379" t="s">
        <v>3783</v>
      </c>
      <c r="VAO1115" s="379" t="s">
        <v>3783</v>
      </c>
      <c r="VAP1115" s="379" t="s">
        <v>3783</v>
      </c>
      <c r="VAQ1115" s="379" t="s">
        <v>3783</v>
      </c>
      <c r="VAR1115" s="379" t="s">
        <v>3783</v>
      </c>
      <c r="VAS1115" s="379" t="s">
        <v>3783</v>
      </c>
      <c r="VAT1115" s="379" t="s">
        <v>3783</v>
      </c>
      <c r="VAU1115" s="379" t="s">
        <v>3783</v>
      </c>
      <c r="VAV1115" s="379" t="s">
        <v>3783</v>
      </c>
      <c r="VAW1115" s="379" t="s">
        <v>3783</v>
      </c>
      <c r="VAX1115" s="379" t="s">
        <v>3783</v>
      </c>
      <c r="VAY1115" s="379" t="s">
        <v>3783</v>
      </c>
      <c r="VAZ1115" s="379" t="s">
        <v>3783</v>
      </c>
      <c r="VBA1115" s="379" t="s">
        <v>3783</v>
      </c>
      <c r="VBB1115" s="379" t="s">
        <v>3783</v>
      </c>
      <c r="VBC1115" s="379" t="s">
        <v>3783</v>
      </c>
      <c r="VBD1115" s="379" t="s">
        <v>3783</v>
      </c>
      <c r="VBE1115" s="379" t="s">
        <v>3783</v>
      </c>
      <c r="VBF1115" s="379" t="s">
        <v>3783</v>
      </c>
      <c r="VBG1115" s="379" t="s">
        <v>3783</v>
      </c>
      <c r="VBH1115" s="379" t="s">
        <v>3783</v>
      </c>
      <c r="VBI1115" s="379" t="s">
        <v>3783</v>
      </c>
      <c r="VBJ1115" s="379" t="s">
        <v>3783</v>
      </c>
      <c r="VBK1115" s="379" t="s">
        <v>3783</v>
      </c>
      <c r="VBL1115" s="379" t="s">
        <v>3783</v>
      </c>
      <c r="VBM1115" s="379" t="s">
        <v>3783</v>
      </c>
      <c r="VBN1115" s="379" t="s">
        <v>3783</v>
      </c>
      <c r="VBO1115" s="379" t="s">
        <v>3783</v>
      </c>
      <c r="VBP1115" s="379" t="s">
        <v>3783</v>
      </c>
      <c r="VBQ1115" s="379" t="s">
        <v>3783</v>
      </c>
      <c r="VBR1115" s="379" t="s">
        <v>3783</v>
      </c>
      <c r="VBS1115" s="379" t="s">
        <v>3783</v>
      </c>
      <c r="VBT1115" s="379" t="s">
        <v>3783</v>
      </c>
      <c r="VBU1115" s="379" t="s">
        <v>3783</v>
      </c>
      <c r="VBV1115" s="379" t="s">
        <v>3783</v>
      </c>
      <c r="VBW1115" s="379" t="s">
        <v>3783</v>
      </c>
      <c r="VBX1115" s="379" t="s">
        <v>3783</v>
      </c>
      <c r="VBY1115" s="379" t="s">
        <v>3783</v>
      </c>
      <c r="VBZ1115" s="379" t="s">
        <v>3783</v>
      </c>
      <c r="VCA1115" s="379" t="s">
        <v>3783</v>
      </c>
      <c r="VCB1115" s="379" t="s">
        <v>3783</v>
      </c>
      <c r="VCC1115" s="379" t="s">
        <v>3783</v>
      </c>
      <c r="VCD1115" s="379" t="s">
        <v>3783</v>
      </c>
      <c r="VCE1115" s="379" t="s">
        <v>3783</v>
      </c>
      <c r="VCF1115" s="379" t="s">
        <v>3783</v>
      </c>
      <c r="VCG1115" s="379" t="s">
        <v>3783</v>
      </c>
      <c r="VCH1115" s="379" t="s">
        <v>3783</v>
      </c>
      <c r="VCI1115" s="379" t="s">
        <v>3783</v>
      </c>
      <c r="VCJ1115" s="379" t="s">
        <v>3783</v>
      </c>
      <c r="VCK1115" s="379" t="s">
        <v>3783</v>
      </c>
      <c r="VCL1115" s="379" t="s">
        <v>3783</v>
      </c>
      <c r="VCM1115" s="379" t="s">
        <v>3783</v>
      </c>
      <c r="VCN1115" s="379" t="s">
        <v>3783</v>
      </c>
      <c r="VCO1115" s="379" t="s">
        <v>3783</v>
      </c>
      <c r="VCP1115" s="379" t="s">
        <v>3783</v>
      </c>
      <c r="VCQ1115" s="379" t="s">
        <v>3783</v>
      </c>
      <c r="VCR1115" s="379" t="s">
        <v>3783</v>
      </c>
      <c r="VCS1115" s="379" t="s">
        <v>3783</v>
      </c>
      <c r="VCT1115" s="379" t="s">
        <v>3783</v>
      </c>
      <c r="VCU1115" s="379" t="s">
        <v>3783</v>
      </c>
      <c r="VCV1115" s="379" t="s">
        <v>3783</v>
      </c>
      <c r="VCW1115" s="379" t="s">
        <v>3783</v>
      </c>
      <c r="VCX1115" s="379" t="s">
        <v>3783</v>
      </c>
      <c r="VCY1115" s="379" t="s">
        <v>3783</v>
      </c>
      <c r="VCZ1115" s="379" t="s">
        <v>3783</v>
      </c>
      <c r="VDA1115" s="379" t="s">
        <v>3783</v>
      </c>
      <c r="VDB1115" s="379" t="s">
        <v>3783</v>
      </c>
      <c r="VDC1115" s="379" t="s">
        <v>3783</v>
      </c>
      <c r="VDD1115" s="379" t="s">
        <v>3783</v>
      </c>
      <c r="VDE1115" s="379" t="s">
        <v>3783</v>
      </c>
      <c r="VDF1115" s="379" t="s">
        <v>3783</v>
      </c>
      <c r="VDG1115" s="379" t="s">
        <v>3783</v>
      </c>
      <c r="VDH1115" s="379" t="s">
        <v>3783</v>
      </c>
      <c r="VDI1115" s="379" t="s">
        <v>3783</v>
      </c>
      <c r="VDJ1115" s="379" t="s">
        <v>3783</v>
      </c>
      <c r="VDK1115" s="379" t="s">
        <v>3783</v>
      </c>
      <c r="VDL1115" s="379" t="s">
        <v>3783</v>
      </c>
      <c r="VDM1115" s="379" t="s">
        <v>3783</v>
      </c>
      <c r="VDN1115" s="379" t="s">
        <v>3783</v>
      </c>
      <c r="VDO1115" s="379" t="s">
        <v>3783</v>
      </c>
      <c r="VDP1115" s="379" t="s">
        <v>3783</v>
      </c>
      <c r="VDQ1115" s="379" t="s">
        <v>3783</v>
      </c>
      <c r="VDR1115" s="379" t="s">
        <v>3783</v>
      </c>
      <c r="VDS1115" s="379" t="s">
        <v>3783</v>
      </c>
      <c r="VDT1115" s="379" t="s">
        <v>3783</v>
      </c>
      <c r="VDU1115" s="379" t="s">
        <v>3783</v>
      </c>
      <c r="VDV1115" s="379" t="s">
        <v>3783</v>
      </c>
      <c r="VDW1115" s="379" t="s">
        <v>3783</v>
      </c>
      <c r="VDX1115" s="379" t="s">
        <v>3783</v>
      </c>
      <c r="VDY1115" s="379" t="s">
        <v>3783</v>
      </c>
      <c r="VDZ1115" s="379" t="s">
        <v>3783</v>
      </c>
      <c r="VEA1115" s="379" t="s">
        <v>3783</v>
      </c>
      <c r="VEB1115" s="379" t="s">
        <v>3783</v>
      </c>
      <c r="VEC1115" s="379" t="s">
        <v>3783</v>
      </c>
      <c r="VED1115" s="379" t="s">
        <v>3783</v>
      </c>
      <c r="VEE1115" s="379" t="s">
        <v>3783</v>
      </c>
      <c r="VEF1115" s="379" t="s">
        <v>3783</v>
      </c>
      <c r="VEG1115" s="379" t="s">
        <v>3783</v>
      </c>
      <c r="VEH1115" s="379" t="s">
        <v>3783</v>
      </c>
      <c r="VEI1115" s="379" t="s">
        <v>3783</v>
      </c>
      <c r="VEJ1115" s="379" t="s">
        <v>3783</v>
      </c>
      <c r="VEK1115" s="379" t="s">
        <v>3783</v>
      </c>
      <c r="VEL1115" s="379" t="s">
        <v>3783</v>
      </c>
      <c r="VEM1115" s="379" t="s">
        <v>3783</v>
      </c>
      <c r="VEN1115" s="379" t="s">
        <v>3783</v>
      </c>
      <c r="VEO1115" s="379" t="s">
        <v>3783</v>
      </c>
      <c r="VEP1115" s="379" t="s">
        <v>3783</v>
      </c>
      <c r="VEQ1115" s="379" t="s">
        <v>3783</v>
      </c>
      <c r="VER1115" s="379" t="s">
        <v>3783</v>
      </c>
      <c r="VES1115" s="379" t="s">
        <v>3783</v>
      </c>
      <c r="VET1115" s="379" t="s">
        <v>3783</v>
      </c>
      <c r="VEU1115" s="379" t="s">
        <v>3783</v>
      </c>
      <c r="VEV1115" s="379" t="s">
        <v>3783</v>
      </c>
      <c r="VEW1115" s="379" t="s">
        <v>3783</v>
      </c>
      <c r="VEX1115" s="379" t="s">
        <v>3783</v>
      </c>
      <c r="VEY1115" s="379" t="s">
        <v>3783</v>
      </c>
      <c r="VEZ1115" s="379" t="s">
        <v>3783</v>
      </c>
      <c r="VFA1115" s="379" t="s">
        <v>3783</v>
      </c>
      <c r="VFB1115" s="379" t="s">
        <v>3783</v>
      </c>
      <c r="VFC1115" s="379" t="s">
        <v>3783</v>
      </c>
      <c r="VFD1115" s="379" t="s">
        <v>3783</v>
      </c>
      <c r="VFE1115" s="379" t="s">
        <v>3783</v>
      </c>
      <c r="VFF1115" s="379" t="s">
        <v>3783</v>
      </c>
      <c r="VFG1115" s="379" t="s">
        <v>3783</v>
      </c>
      <c r="VFH1115" s="379" t="s">
        <v>3783</v>
      </c>
      <c r="VFI1115" s="379" t="s">
        <v>3783</v>
      </c>
      <c r="VFJ1115" s="379" t="s">
        <v>3783</v>
      </c>
      <c r="VFK1115" s="379" t="s">
        <v>3783</v>
      </c>
      <c r="VFL1115" s="379" t="s">
        <v>3783</v>
      </c>
      <c r="VFM1115" s="379" t="s">
        <v>3783</v>
      </c>
      <c r="VFN1115" s="379" t="s">
        <v>3783</v>
      </c>
      <c r="VFO1115" s="379" t="s">
        <v>3783</v>
      </c>
      <c r="VFP1115" s="379" t="s">
        <v>3783</v>
      </c>
      <c r="VFQ1115" s="379" t="s">
        <v>3783</v>
      </c>
      <c r="VFR1115" s="379" t="s">
        <v>3783</v>
      </c>
      <c r="VFS1115" s="379" t="s">
        <v>3783</v>
      </c>
      <c r="VFT1115" s="379" t="s">
        <v>3783</v>
      </c>
      <c r="VFU1115" s="379" t="s">
        <v>3783</v>
      </c>
      <c r="VFV1115" s="379" t="s">
        <v>3783</v>
      </c>
      <c r="VFW1115" s="379" t="s">
        <v>3783</v>
      </c>
      <c r="VFX1115" s="379" t="s">
        <v>3783</v>
      </c>
      <c r="VFY1115" s="379" t="s">
        <v>3783</v>
      </c>
      <c r="VFZ1115" s="379" t="s">
        <v>3783</v>
      </c>
      <c r="VGA1115" s="379" t="s">
        <v>3783</v>
      </c>
      <c r="VGB1115" s="379" t="s">
        <v>3783</v>
      </c>
      <c r="VGC1115" s="379" t="s">
        <v>3783</v>
      </c>
      <c r="VGD1115" s="379" t="s">
        <v>3783</v>
      </c>
      <c r="VGE1115" s="379" t="s">
        <v>3783</v>
      </c>
      <c r="VGF1115" s="379" t="s">
        <v>3783</v>
      </c>
      <c r="VGG1115" s="379" t="s">
        <v>3783</v>
      </c>
      <c r="VGH1115" s="379" t="s">
        <v>3783</v>
      </c>
      <c r="VGI1115" s="379" t="s">
        <v>3783</v>
      </c>
      <c r="VGJ1115" s="379" t="s">
        <v>3783</v>
      </c>
      <c r="VGK1115" s="379" t="s">
        <v>3783</v>
      </c>
      <c r="VGL1115" s="379" t="s">
        <v>3783</v>
      </c>
      <c r="VGM1115" s="379" t="s">
        <v>3783</v>
      </c>
      <c r="VGN1115" s="379" t="s">
        <v>3783</v>
      </c>
      <c r="VGO1115" s="379" t="s">
        <v>3783</v>
      </c>
      <c r="VGP1115" s="379" t="s">
        <v>3783</v>
      </c>
      <c r="VGQ1115" s="379" t="s">
        <v>3783</v>
      </c>
      <c r="VGR1115" s="379" t="s">
        <v>3783</v>
      </c>
      <c r="VGS1115" s="379" t="s">
        <v>3783</v>
      </c>
      <c r="VGT1115" s="379" t="s">
        <v>3783</v>
      </c>
      <c r="VGU1115" s="379" t="s">
        <v>3783</v>
      </c>
      <c r="VGV1115" s="379" t="s">
        <v>3783</v>
      </c>
      <c r="VGW1115" s="379" t="s">
        <v>3783</v>
      </c>
      <c r="VGX1115" s="379" t="s">
        <v>3783</v>
      </c>
      <c r="VGY1115" s="379" t="s">
        <v>3783</v>
      </c>
      <c r="VGZ1115" s="379" t="s">
        <v>3783</v>
      </c>
      <c r="VHA1115" s="379" t="s">
        <v>3783</v>
      </c>
      <c r="VHB1115" s="379" t="s">
        <v>3783</v>
      </c>
      <c r="VHC1115" s="379" t="s">
        <v>3783</v>
      </c>
      <c r="VHD1115" s="379" t="s">
        <v>3783</v>
      </c>
      <c r="VHE1115" s="379" t="s">
        <v>3783</v>
      </c>
      <c r="VHF1115" s="379" t="s">
        <v>3783</v>
      </c>
      <c r="VHG1115" s="379" t="s">
        <v>3783</v>
      </c>
      <c r="VHH1115" s="379" t="s">
        <v>3783</v>
      </c>
      <c r="VHI1115" s="379" t="s">
        <v>3783</v>
      </c>
      <c r="VHJ1115" s="379" t="s">
        <v>3783</v>
      </c>
      <c r="VHK1115" s="379" t="s">
        <v>3783</v>
      </c>
      <c r="VHL1115" s="379" t="s">
        <v>3783</v>
      </c>
      <c r="VHM1115" s="379" t="s">
        <v>3783</v>
      </c>
      <c r="VHN1115" s="379" t="s">
        <v>3783</v>
      </c>
      <c r="VHO1115" s="379" t="s">
        <v>3783</v>
      </c>
      <c r="VHP1115" s="379" t="s">
        <v>3783</v>
      </c>
      <c r="VHQ1115" s="379" t="s">
        <v>3783</v>
      </c>
      <c r="VHR1115" s="379" t="s">
        <v>3783</v>
      </c>
      <c r="VHS1115" s="379" t="s">
        <v>3783</v>
      </c>
      <c r="VHT1115" s="379" t="s">
        <v>3783</v>
      </c>
      <c r="VHU1115" s="379" t="s">
        <v>3783</v>
      </c>
      <c r="VHV1115" s="379" t="s">
        <v>3783</v>
      </c>
      <c r="VHW1115" s="379" t="s">
        <v>3783</v>
      </c>
      <c r="VHX1115" s="379" t="s">
        <v>3783</v>
      </c>
      <c r="VHY1115" s="379" t="s">
        <v>3783</v>
      </c>
      <c r="VHZ1115" s="379" t="s">
        <v>3783</v>
      </c>
      <c r="VIA1115" s="379" t="s">
        <v>3783</v>
      </c>
      <c r="VIB1115" s="379" t="s">
        <v>3783</v>
      </c>
      <c r="VIC1115" s="379" t="s">
        <v>3783</v>
      </c>
      <c r="VID1115" s="379" t="s">
        <v>3783</v>
      </c>
      <c r="VIE1115" s="379" t="s">
        <v>3783</v>
      </c>
      <c r="VIF1115" s="379" t="s">
        <v>3783</v>
      </c>
      <c r="VIG1115" s="379" t="s">
        <v>3783</v>
      </c>
      <c r="VIH1115" s="379" t="s">
        <v>3783</v>
      </c>
      <c r="VII1115" s="379" t="s">
        <v>3783</v>
      </c>
      <c r="VIJ1115" s="379" t="s">
        <v>3783</v>
      </c>
      <c r="VIK1115" s="379" t="s">
        <v>3783</v>
      </c>
      <c r="VIL1115" s="379" t="s">
        <v>3783</v>
      </c>
      <c r="VIM1115" s="379" t="s">
        <v>3783</v>
      </c>
      <c r="VIN1115" s="379" t="s">
        <v>3783</v>
      </c>
      <c r="VIO1115" s="379" t="s">
        <v>3783</v>
      </c>
      <c r="VIP1115" s="379" t="s">
        <v>3783</v>
      </c>
      <c r="VIQ1115" s="379" t="s">
        <v>3783</v>
      </c>
      <c r="VIR1115" s="379" t="s">
        <v>3783</v>
      </c>
      <c r="VIS1115" s="379" t="s">
        <v>3783</v>
      </c>
      <c r="VIT1115" s="379" t="s">
        <v>3783</v>
      </c>
      <c r="VIU1115" s="379" t="s">
        <v>3783</v>
      </c>
      <c r="VIV1115" s="379" t="s">
        <v>3783</v>
      </c>
      <c r="VIW1115" s="379" t="s">
        <v>3783</v>
      </c>
      <c r="VIX1115" s="379" t="s">
        <v>3783</v>
      </c>
      <c r="VIY1115" s="379" t="s">
        <v>3783</v>
      </c>
      <c r="VIZ1115" s="379" t="s">
        <v>3783</v>
      </c>
      <c r="VJA1115" s="379" t="s">
        <v>3783</v>
      </c>
      <c r="VJB1115" s="379" t="s">
        <v>3783</v>
      </c>
      <c r="VJC1115" s="379" t="s">
        <v>3783</v>
      </c>
      <c r="VJD1115" s="379" t="s">
        <v>3783</v>
      </c>
      <c r="VJE1115" s="379" t="s">
        <v>3783</v>
      </c>
      <c r="VJF1115" s="379" t="s">
        <v>3783</v>
      </c>
      <c r="VJG1115" s="379" t="s">
        <v>3783</v>
      </c>
      <c r="VJH1115" s="379" t="s">
        <v>3783</v>
      </c>
      <c r="VJI1115" s="379" t="s">
        <v>3783</v>
      </c>
      <c r="VJJ1115" s="379" t="s">
        <v>3783</v>
      </c>
      <c r="VJK1115" s="379" t="s">
        <v>3783</v>
      </c>
      <c r="VJL1115" s="379" t="s">
        <v>3783</v>
      </c>
      <c r="VJM1115" s="379" t="s">
        <v>3783</v>
      </c>
      <c r="VJN1115" s="379" t="s">
        <v>3783</v>
      </c>
      <c r="VJO1115" s="379" t="s">
        <v>3783</v>
      </c>
      <c r="VJP1115" s="379" t="s">
        <v>3783</v>
      </c>
      <c r="VJQ1115" s="379" t="s">
        <v>3783</v>
      </c>
      <c r="VJR1115" s="379" t="s">
        <v>3783</v>
      </c>
      <c r="VJS1115" s="379" t="s">
        <v>3783</v>
      </c>
      <c r="VJT1115" s="379" t="s">
        <v>3783</v>
      </c>
      <c r="VJU1115" s="379" t="s">
        <v>3783</v>
      </c>
      <c r="VJV1115" s="379" t="s">
        <v>3783</v>
      </c>
      <c r="VJW1115" s="379" t="s">
        <v>3783</v>
      </c>
      <c r="VJX1115" s="379" t="s">
        <v>3783</v>
      </c>
      <c r="VJY1115" s="379" t="s">
        <v>3783</v>
      </c>
      <c r="VJZ1115" s="379" t="s">
        <v>3783</v>
      </c>
      <c r="VKA1115" s="379" t="s">
        <v>3783</v>
      </c>
      <c r="VKB1115" s="379" t="s">
        <v>3783</v>
      </c>
      <c r="VKC1115" s="379" t="s">
        <v>3783</v>
      </c>
      <c r="VKD1115" s="379" t="s">
        <v>3783</v>
      </c>
      <c r="VKE1115" s="379" t="s">
        <v>3783</v>
      </c>
      <c r="VKF1115" s="379" t="s">
        <v>3783</v>
      </c>
      <c r="VKG1115" s="379" t="s">
        <v>3783</v>
      </c>
      <c r="VKH1115" s="379" t="s">
        <v>3783</v>
      </c>
      <c r="VKI1115" s="379" t="s">
        <v>3783</v>
      </c>
      <c r="VKJ1115" s="379" t="s">
        <v>3783</v>
      </c>
      <c r="VKK1115" s="379" t="s">
        <v>3783</v>
      </c>
      <c r="VKL1115" s="379" t="s">
        <v>3783</v>
      </c>
      <c r="VKM1115" s="379" t="s">
        <v>3783</v>
      </c>
      <c r="VKN1115" s="379" t="s">
        <v>3783</v>
      </c>
      <c r="VKO1115" s="379" t="s">
        <v>3783</v>
      </c>
      <c r="VKP1115" s="379" t="s">
        <v>3783</v>
      </c>
      <c r="VKQ1115" s="379" t="s">
        <v>3783</v>
      </c>
      <c r="VKR1115" s="379" t="s">
        <v>3783</v>
      </c>
      <c r="VKS1115" s="379" t="s">
        <v>3783</v>
      </c>
      <c r="VKT1115" s="379" t="s">
        <v>3783</v>
      </c>
      <c r="VKU1115" s="379" t="s">
        <v>3783</v>
      </c>
      <c r="VKV1115" s="379" t="s">
        <v>3783</v>
      </c>
      <c r="VKW1115" s="379" t="s">
        <v>3783</v>
      </c>
      <c r="VKX1115" s="379" t="s">
        <v>3783</v>
      </c>
      <c r="VKY1115" s="379" t="s">
        <v>3783</v>
      </c>
      <c r="VKZ1115" s="379" t="s">
        <v>3783</v>
      </c>
      <c r="VLA1115" s="379" t="s">
        <v>3783</v>
      </c>
      <c r="VLB1115" s="379" t="s">
        <v>3783</v>
      </c>
      <c r="VLC1115" s="379" t="s">
        <v>3783</v>
      </c>
      <c r="VLD1115" s="379" t="s">
        <v>3783</v>
      </c>
      <c r="VLE1115" s="379" t="s">
        <v>3783</v>
      </c>
      <c r="VLF1115" s="379" t="s">
        <v>3783</v>
      </c>
      <c r="VLG1115" s="379" t="s">
        <v>3783</v>
      </c>
      <c r="VLH1115" s="379" t="s">
        <v>3783</v>
      </c>
      <c r="VLI1115" s="379" t="s">
        <v>3783</v>
      </c>
      <c r="VLJ1115" s="379" t="s">
        <v>3783</v>
      </c>
      <c r="VLK1115" s="379" t="s">
        <v>3783</v>
      </c>
      <c r="VLL1115" s="379" t="s">
        <v>3783</v>
      </c>
      <c r="VLM1115" s="379" t="s">
        <v>3783</v>
      </c>
      <c r="VLN1115" s="379" t="s">
        <v>3783</v>
      </c>
      <c r="VLO1115" s="379" t="s">
        <v>3783</v>
      </c>
      <c r="VLP1115" s="379" t="s">
        <v>3783</v>
      </c>
      <c r="VLQ1115" s="379" t="s">
        <v>3783</v>
      </c>
      <c r="VLR1115" s="379" t="s">
        <v>3783</v>
      </c>
      <c r="VLS1115" s="379" t="s">
        <v>3783</v>
      </c>
      <c r="VLT1115" s="379" t="s">
        <v>3783</v>
      </c>
      <c r="VLU1115" s="379" t="s">
        <v>3783</v>
      </c>
      <c r="VLV1115" s="379" t="s">
        <v>3783</v>
      </c>
      <c r="VLW1115" s="379" t="s">
        <v>3783</v>
      </c>
      <c r="VLX1115" s="379" t="s">
        <v>3783</v>
      </c>
      <c r="VLY1115" s="379" t="s">
        <v>3783</v>
      </c>
      <c r="VLZ1115" s="379" t="s">
        <v>3783</v>
      </c>
      <c r="VMA1115" s="379" t="s">
        <v>3783</v>
      </c>
      <c r="VMB1115" s="379" t="s">
        <v>3783</v>
      </c>
      <c r="VMC1115" s="379" t="s">
        <v>3783</v>
      </c>
      <c r="VMD1115" s="379" t="s">
        <v>3783</v>
      </c>
      <c r="VME1115" s="379" t="s">
        <v>3783</v>
      </c>
      <c r="VMF1115" s="379" t="s">
        <v>3783</v>
      </c>
      <c r="VMG1115" s="379" t="s">
        <v>3783</v>
      </c>
      <c r="VMH1115" s="379" t="s">
        <v>3783</v>
      </c>
      <c r="VMI1115" s="379" t="s">
        <v>3783</v>
      </c>
      <c r="VMJ1115" s="379" t="s">
        <v>3783</v>
      </c>
      <c r="VMK1115" s="379" t="s">
        <v>3783</v>
      </c>
      <c r="VML1115" s="379" t="s">
        <v>3783</v>
      </c>
      <c r="VMM1115" s="379" t="s">
        <v>3783</v>
      </c>
      <c r="VMN1115" s="379" t="s">
        <v>3783</v>
      </c>
      <c r="VMO1115" s="379" t="s">
        <v>3783</v>
      </c>
      <c r="VMP1115" s="379" t="s">
        <v>3783</v>
      </c>
      <c r="VMQ1115" s="379" t="s">
        <v>3783</v>
      </c>
      <c r="VMR1115" s="379" t="s">
        <v>3783</v>
      </c>
      <c r="VMS1115" s="379" t="s">
        <v>3783</v>
      </c>
      <c r="VMT1115" s="379" t="s">
        <v>3783</v>
      </c>
      <c r="VMU1115" s="379" t="s">
        <v>3783</v>
      </c>
      <c r="VMV1115" s="379" t="s">
        <v>3783</v>
      </c>
      <c r="VMW1115" s="379" t="s">
        <v>3783</v>
      </c>
      <c r="VMX1115" s="379" t="s">
        <v>3783</v>
      </c>
      <c r="VMY1115" s="379" t="s">
        <v>3783</v>
      </c>
      <c r="VMZ1115" s="379" t="s">
        <v>3783</v>
      </c>
      <c r="VNA1115" s="379" t="s">
        <v>3783</v>
      </c>
      <c r="VNB1115" s="379" t="s">
        <v>3783</v>
      </c>
      <c r="VNC1115" s="379" t="s">
        <v>3783</v>
      </c>
      <c r="VND1115" s="379" t="s">
        <v>3783</v>
      </c>
      <c r="VNE1115" s="379" t="s">
        <v>3783</v>
      </c>
      <c r="VNF1115" s="379" t="s">
        <v>3783</v>
      </c>
      <c r="VNG1115" s="379" t="s">
        <v>3783</v>
      </c>
      <c r="VNH1115" s="379" t="s">
        <v>3783</v>
      </c>
      <c r="VNI1115" s="379" t="s">
        <v>3783</v>
      </c>
      <c r="VNJ1115" s="379" t="s">
        <v>3783</v>
      </c>
      <c r="VNK1115" s="379" t="s">
        <v>3783</v>
      </c>
      <c r="VNL1115" s="379" t="s">
        <v>3783</v>
      </c>
      <c r="VNM1115" s="379" t="s">
        <v>3783</v>
      </c>
      <c r="VNN1115" s="379" t="s">
        <v>3783</v>
      </c>
      <c r="VNO1115" s="379" t="s">
        <v>3783</v>
      </c>
      <c r="VNP1115" s="379" t="s">
        <v>3783</v>
      </c>
      <c r="VNQ1115" s="379" t="s">
        <v>3783</v>
      </c>
      <c r="VNR1115" s="379" t="s">
        <v>3783</v>
      </c>
      <c r="VNS1115" s="379" t="s">
        <v>3783</v>
      </c>
      <c r="VNT1115" s="379" t="s">
        <v>3783</v>
      </c>
      <c r="VNU1115" s="379" t="s">
        <v>3783</v>
      </c>
      <c r="VNV1115" s="379" t="s">
        <v>3783</v>
      </c>
      <c r="VNW1115" s="379" t="s">
        <v>3783</v>
      </c>
      <c r="VNX1115" s="379" t="s">
        <v>3783</v>
      </c>
      <c r="VNY1115" s="379" t="s">
        <v>3783</v>
      </c>
      <c r="VNZ1115" s="379" t="s">
        <v>3783</v>
      </c>
      <c r="VOA1115" s="379" t="s">
        <v>3783</v>
      </c>
      <c r="VOB1115" s="379" t="s">
        <v>3783</v>
      </c>
      <c r="VOC1115" s="379" t="s">
        <v>3783</v>
      </c>
      <c r="VOD1115" s="379" t="s">
        <v>3783</v>
      </c>
      <c r="VOE1115" s="379" t="s">
        <v>3783</v>
      </c>
      <c r="VOF1115" s="379" t="s">
        <v>3783</v>
      </c>
      <c r="VOG1115" s="379" t="s">
        <v>3783</v>
      </c>
      <c r="VOH1115" s="379" t="s">
        <v>3783</v>
      </c>
      <c r="VOI1115" s="379" t="s">
        <v>3783</v>
      </c>
      <c r="VOJ1115" s="379" t="s">
        <v>3783</v>
      </c>
      <c r="VOK1115" s="379" t="s">
        <v>3783</v>
      </c>
      <c r="VOL1115" s="379" t="s">
        <v>3783</v>
      </c>
      <c r="VOM1115" s="379" t="s">
        <v>3783</v>
      </c>
      <c r="VON1115" s="379" t="s">
        <v>3783</v>
      </c>
      <c r="VOO1115" s="379" t="s">
        <v>3783</v>
      </c>
      <c r="VOP1115" s="379" t="s">
        <v>3783</v>
      </c>
      <c r="VOQ1115" s="379" t="s">
        <v>3783</v>
      </c>
      <c r="VOR1115" s="379" t="s">
        <v>3783</v>
      </c>
      <c r="VOS1115" s="379" t="s">
        <v>3783</v>
      </c>
      <c r="VOT1115" s="379" t="s">
        <v>3783</v>
      </c>
      <c r="VOU1115" s="379" t="s">
        <v>3783</v>
      </c>
      <c r="VOV1115" s="379" t="s">
        <v>3783</v>
      </c>
      <c r="VOW1115" s="379" t="s">
        <v>3783</v>
      </c>
      <c r="VOX1115" s="379" t="s">
        <v>3783</v>
      </c>
      <c r="VOY1115" s="379" t="s">
        <v>3783</v>
      </c>
      <c r="VOZ1115" s="379" t="s">
        <v>3783</v>
      </c>
      <c r="VPA1115" s="379" t="s">
        <v>3783</v>
      </c>
      <c r="VPB1115" s="379" t="s">
        <v>3783</v>
      </c>
      <c r="VPC1115" s="379" t="s">
        <v>3783</v>
      </c>
      <c r="VPD1115" s="379" t="s">
        <v>3783</v>
      </c>
      <c r="VPE1115" s="379" t="s">
        <v>3783</v>
      </c>
      <c r="VPF1115" s="379" t="s">
        <v>3783</v>
      </c>
      <c r="VPG1115" s="379" t="s">
        <v>3783</v>
      </c>
      <c r="VPH1115" s="379" t="s">
        <v>3783</v>
      </c>
      <c r="VPI1115" s="379" t="s">
        <v>3783</v>
      </c>
      <c r="VPJ1115" s="379" t="s">
        <v>3783</v>
      </c>
      <c r="VPK1115" s="379" t="s">
        <v>3783</v>
      </c>
      <c r="VPL1115" s="379" t="s">
        <v>3783</v>
      </c>
      <c r="VPM1115" s="379" t="s">
        <v>3783</v>
      </c>
      <c r="VPN1115" s="379" t="s">
        <v>3783</v>
      </c>
      <c r="VPO1115" s="379" t="s">
        <v>3783</v>
      </c>
      <c r="VPP1115" s="379" t="s">
        <v>3783</v>
      </c>
      <c r="VPQ1115" s="379" t="s">
        <v>3783</v>
      </c>
      <c r="VPR1115" s="379" t="s">
        <v>3783</v>
      </c>
      <c r="VPS1115" s="379" t="s">
        <v>3783</v>
      </c>
      <c r="VPT1115" s="379" t="s">
        <v>3783</v>
      </c>
      <c r="VPU1115" s="379" t="s">
        <v>3783</v>
      </c>
      <c r="VPV1115" s="379" t="s">
        <v>3783</v>
      </c>
      <c r="VPW1115" s="379" t="s">
        <v>3783</v>
      </c>
      <c r="VPX1115" s="379" t="s">
        <v>3783</v>
      </c>
      <c r="VPY1115" s="379" t="s">
        <v>3783</v>
      </c>
      <c r="VPZ1115" s="379" t="s">
        <v>3783</v>
      </c>
      <c r="VQA1115" s="379" t="s">
        <v>3783</v>
      </c>
      <c r="VQB1115" s="379" t="s">
        <v>3783</v>
      </c>
      <c r="VQC1115" s="379" t="s">
        <v>3783</v>
      </c>
      <c r="VQD1115" s="379" t="s">
        <v>3783</v>
      </c>
      <c r="VQE1115" s="379" t="s">
        <v>3783</v>
      </c>
      <c r="VQF1115" s="379" t="s">
        <v>3783</v>
      </c>
      <c r="VQG1115" s="379" t="s">
        <v>3783</v>
      </c>
      <c r="VQH1115" s="379" t="s">
        <v>3783</v>
      </c>
      <c r="VQI1115" s="379" t="s">
        <v>3783</v>
      </c>
      <c r="VQJ1115" s="379" t="s">
        <v>3783</v>
      </c>
      <c r="VQK1115" s="379" t="s">
        <v>3783</v>
      </c>
      <c r="VQL1115" s="379" t="s">
        <v>3783</v>
      </c>
      <c r="VQM1115" s="379" t="s">
        <v>3783</v>
      </c>
      <c r="VQN1115" s="379" t="s">
        <v>3783</v>
      </c>
      <c r="VQO1115" s="379" t="s">
        <v>3783</v>
      </c>
      <c r="VQP1115" s="379" t="s">
        <v>3783</v>
      </c>
      <c r="VQQ1115" s="379" t="s">
        <v>3783</v>
      </c>
      <c r="VQR1115" s="379" t="s">
        <v>3783</v>
      </c>
      <c r="VQS1115" s="379" t="s">
        <v>3783</v>
      </c>
      <c r="VQT1115" s="379" t="s">
        <v>3783</v>
      </c>
      <c r="VQU1115" s="379" t="s">
        <v>3783</v>
      </c>
      <c r="VQV1115" s="379" t="s">
        <v>3783</v>
      </c>
      <c r="VQW1115" s="379" t="s">
        <v>3783</v>
      </c>
      <c r="VQX1115" s="379" t="s">
        <v>3783</v>
      </c>
      <c r="VQY1115" s="379" t="s">
        <v>3783</v>
      </c>
      <c r="VQZ1115" s="379" t="s">
        <v>3783</v>
      </c>
      <c r="VRA1115" s="379" t="s">
        <v>3783</v>
      </c>
      <c r="VRB1115" s="379" t="s">
        <v>3783</v>
      </c>
      <c r="VRC1115" s="379" t="s">
        <v>3783</v>
      </c>
      <c r="VRD1115" s="379" t="s">
        <v>3783</v>
      </c>
      <c r="VRE1115" s="379" t="s">
        <v>3783</v>
      </c>
      <c r="VRF1115" s="379" t="s">
        <v>3783</v>
      </c>
      <c r="VRG1115" s="379" t="s">
        <v>3783</v>
      </c>
      <c r="VRH1115" s="379" t="s">
        <v>3783</v>
      </c>
      <c r="VRI1115" s="379" t="s">
        <v>3783</v>
      </c>
      <c r="VRJ1115" s="379" t="s">
        <v>3783</v>
      </c>
      <c r="VRK1115" s="379" t="s">
        <v>3783</v>
      </c>
      <c r="VRL1115" s="379" t="s">
        <v>3783</v>
      </c>
      <c r="VRM1115" s="379" t="s">
        <v>3783</v>
      </c>
      <c r="VRN1115" s="379" t="s">
        <v>3783</v>
      </c>
      <c r="VRO1115" s="379" t="s">
        <v>3783</v>
      </c>
      <c r="VRP1115" s="379" t="s">
        <v>3783</v>
      </c>
      <c r="VRQ1115" s="379" t="s">
        <v>3783</v>
      </c>
      <c r="VRR1115" s="379" t="s">
        <v>3783</v>
      </c>
      <c r="VRS1115" s="379" t="s">
        <v>3783</v>
      </c>
      <c r="VRT1115" s="379" t="s">
        <v>3783</v>
      </c>
      <c r="VRU1115" s="379" t="s">
        <v>3783</v>
      </c>
      <c r="VRV1115" s="379" t="s">
        <v>3783</v>
      </c>
      <c r="VRW1115" s="379" t="s">
        <v>3783</v>
      </c>
      <c r="VRX1115" s="379" t="s">
        <v>3783</v>
      </c>
      <c r="VRY1115" s="379" t="s">
        <v>3783</v>
      </c>
      <c r="VRZ1115" s="379" t="s">
        <v>3783</v>
      </c>
      <c r="VSA1115" s="379" t="s">
        <v>3783</v>
      </c>
      <c r="VSB1115" s="379" t="s">
        <v>3783</v>
      </c>
      <c r="VSC1115" s="379" t="s">
        <v>3783</v>
      </c>
      <c r="VSD1115" s="379" t="s">
        <v>3783</v>
      </c>
      <c r="VSE1115" s="379" t="s">
        <v>3783</v>
      </c>
      <c r="VSF1115" s="379" t="s">
        <v>3783</v>
      </c>
      <c r="VSG1115" s="379" t="s">
        <v>3783</v>
      </c>
      <c r="VSH1115" s="379" t="s">
        <v>3783</v>
      </c>
      <c r="VSI1115" s="379" t="s">
        <v>3783</v>
      </c>
      <c r="VSJ1115" s="379" t="s">
        <v>3783</v>
      </c>
      <c r="VSK1115" s="379" t="s">
        <v>3783</v>
      </c>
      <c r="VSL1115" s="379" t="s">
        <v>3783</v>
      </c>
      <c r="VSM1115" s="379" t="s">
        <v>3783</v>
      </c>
      <c r="VSN1115" s="379" t="s">
        <v>3783</v>
      </c>
      <c r="VSO1115" s="379" t="s">
        <v>3783</v>
      </c>
      <c r="VSP1115" s="379" t="s">
        <v>3783</v>
      </c>
      <c r="VSQ1115" s="379" t="s">
        <v>3783</v>
      </c>
      <c r="VSR1115" s="379" t="s">
        <v>3783</v>
      </c>
      <c r="VSS1115" s="379" t="s">
        <v>3783</v>
      </c>
      <c r="VST1115" s="379" t="s">
        <v>3783</v>
      </c>
      <c r="VSU1115" s="379" t="s">
        <v>3783</v>
      </c>
      <c r="VSV1115" s="379" t="s">
        <v>3783</v>
      </c>
      <c r="VSW1115" s="379" t="s">
        <v>3783</v>
      </c>
      <c r="VSX1115" s="379" t="s">
        <v>3783</v>
      </c>
      <c r="VSY1115" s="379" t="s">
        <v>3783</v>
      </c>
      <c r="VSZ1115" s="379" t="s">
        <v>3783</v>
      </c>
      <c r="VTA1115" s="379" t="s">
        <v>3783</v>
      </c>
      <c r="VTB1115" s="379" t="s">
        <v>3783</v>
      </c>
      <c r="VTC1115" s="379" t="s">
        <v>3783</v>
      </c>
      <c r="VTD1115" s="379" t="s">
        <v>3783</v>
      </c>
      <c r="VTE1115" s="379" t="s">
        <v>3783</v>
      </c>
      <c r="VTF1115" s="379" t="s">
        <v>3783</v>
      </c>
      <c r="VTG1115" s="379" t="s">
        <v>3783</v>
      </c>
      <c r="VTH1115" s="379" t="s">
        <v>3783</v>
      </c>
      <c r="VTI1115" s="379" t="s">
        <v>3783</v>
      </c>
      <c r="VTJ1115" s="379" t="s">
        <v>3783</v>
      </c>
      <c r="VTK1115" s="379" t="s">
        <v>3783</v>
      </c>
      <c r="VTL1115" s="379" t="s">
        <v>3783</v>
      </c>
      <c r="VTM1115" s="379" t="s">
        <v>3783</v>
      </c>
      <c r="VTN1115" s="379" t="s">
        <v>3783</v>
      </c>
      <c r="VTO1115" s="379" t="s">
        <v>3783</v>
      </c>
      <c r="VTP1115" s="379" t="s">
        <v>3783</v>
      </c>
      <c r="VTQ1115" s="379" t="s">
        <v>3783</v>
      </c>
      <c r="VTR1115" s="379" t="s">
        <v>3783</v>
      </c>
      <c r="VTS1115" s="379" t="s">
        <v>3783</v>
      </c>
      <c r="VTT1115" s="379" t="s">
        <v>3783</v>
      </c>
      <c r="VTU1115" s="379" t="s">
        <v>3783</v>
      </c>
      <c r="VTV1115" s="379" t="s">
        <v>3783</v>
      </c>
      <c r="VTW1115" s="379" t="s">
        <v>3783</v>
      </c>
      <c r="VTX1115" s="379" t="s">
        <v>3783</v>
      </c>
      <c r="VTY1115" s="379" t="s">
        <v>3783</v>
      </c>
      <c r="VTZ1115" s="379" t="s">
        <v>3783</v>
      </c>
      <c r="VUA1115" s="379" t="s">
        <v>3783</v>
      </c>
      <c r="VUB1115" s="379" t="s">
        <v>3783</v>
      </c>
      <c r="VUC1115" s="379" t="s">
        <v>3783</v>
      </c>
      <c r="VUD1115" s="379" t="s">
        <v>3783</v>
      </c>
      <c r="VUE1115" s="379" t="s">
        <v>3783</v>
      </c>
      <c r="VUF1115" s="379" t="s">
        <v>3783</v>
      </c>
      <c r="VUG1115" s="379" t="s">
        <v>3783</v>
      </c>
      <c r="VUH1115" s="379" t="s">
        <v>3783</v>
      </c>
      <c r="VUI1115" s="379" t="s">
        <v>3783</v>
      </c>
      <c r="VUJ1115" s="379" t="s">
        <v>3783</v>
      </c>
      <c r="VUK1115" s="379" t="s">
        <v>3783</v>
      </c>
      <c r="VUL1115" s="379" t="s">
        <v>3783</v>
      </c>
      <c r="VUM1115" s="379" t="s">
        <v>3783</v>
      </c>
      <c r="VUN1115" s="379" t="s">
        <v>3783</v>
      </c>
      <c r="VUO1115" s="379" t="s">
        <v>3783</v>
      </c>
      <c r="VUP1115" s="379" t="s">
        <v>3783</v>
      </c>
      <c r="VUQ1115" s="379" t="s">
        <v>3783</v>
      </c>
      <c r="VUR1115" s="379" t="s">
        <v>3783</v>
      </c>
      <c r="VUS1115" s="379" t="s">
        <v>3783</v>
      </c>
      <c r="VUT1115" s="379" t="s">
        <v>3783</v>
      </c>
      <c r="VUU1115" s="379" t="s">
        <v>3783</v>
      </c>
      <c r="VUV1115" s="379" t="s">
        <v>3783</v>
      </c>
      <c r="VUW1115" s="379" t="s">
        <v>3783</v>
      </c>
      <c r="VUX1115" s="379" t="s">
        <v>3783</v>
      </c>
      <c r="VUY1115" s="379" t="s">
        <v>3783</v>
      </c>
      <c r="VUZ1115" s="379" t="s">
        <v>3783</v>
      </c>
      <c r="VVA1115" s="379" t="s">
        <v>3783</v>
      </c>
      <c r="VVB1115" s="379" t="s">
        <v>3783</v>
      </c>
      <c r="VVC1115" s="379" t="s">
        <v>3783</v>
      </c>
      <c r="VVD1115" s="379" t="s">
        <v>3783</v>
      </c>
      <c r="VVE1115" s="379" t="s">
        <v>3783</v>
      </c>
      <c r="VVF1115" s="379" t="s">
        <v>3783</v>
      </c>
      <c r="VVG1115" s="379" t="s">
        <v>3783</v>
      </c>
      <c r="VVH1115" s="379" t="s">
        <v>3783</v>
      </c>
      <c r="VVI1115" s="379" t="s">
        <v>3783</v>
      </c>
      <c r="VVJ1115" s="379" t="s">
        <v>3783</v>
      </c>
      <c r="VVK1115" s="379" t="s">
        <v>3783</v>
      </c>
      <c r="VVL1115" s="379" t="s">
        <v>3783</v>
      </c>
      <c r="VVM1115" s="379" t="s">
        <v>3783</v>
      </c>
      <c r="VVN1115" s="379" t="s">
        <v>3783</v>
      </c>
      <c r="VVO1115" s="379" t="s">
        <v>3783</v>
      </c>
      <c r="VVP1115" s="379" t="s">
        <v>3783</v>
      </c>
      <c r="VVQ1115" s="379" t="s">
        <v>3783</v>
      </c>
      <c r="VVR1115" s="379" t="s">
        <v>3783</v>
      </c>
      <c r="VVS1115" s="379" t="s">
        <v>3783</v>
      </c>
      <c r="VVT1115" s="379" t="s">
        <v>3783</v>
      </c>
      <c r="VVU1115" s="379" t="s">
        <v>3783</v>
      </c>
      <c r="VVV1115" s="379" t="s">
        <v>3783</v>
      </c>
      <c r="VVW1115" s="379" t="s">
        <v>3783</v>
      </c>
      <c r="VVX1115" s="379" t="s">
        <v>3783</v>
      </c>
      <c r="VVY1115" s="379" t="s">
        <v>3783</v>
      </c>
      <c r="VVZ1115" s="379" t="s">
        <v>3783</v>
      </c>
      <c r="VWA1115" s="379" t="s">
        <v>3783</v>
      </c>
      <c r="VWB1115" s="379" t="s">
        <v>3783</v>
      </c>
      <c r="VWC1115" s="379" t="s">
        <v>3783</v>
      </c>
      <c r="VWD1115" s="379" t="s">
        <v>3783</v>
      </c>
      <c r="VWE1115" s="379" t="s">
        <v>3783</v>
      </c>
      <c r="VWF1115" s="379" t="s">
        <v>3783</v>
      </c>
      <c r="VWG1115" s="379" t="s">
        <v>3783</v>
      </c>
      <c r="VWH1115" s="379" t="s">
        <v>3783</v>
      </c>
      <c r="VWI1115" s="379" t="s">
        <v>3783</v>
      </c>
      <c r="VWJ1115" s="379" t="s">
        <v>3783</v>
      </c>
      <c r="VWK1115" s="379" t="s">
        <v>3783</v>
      </c>
      <c r="VWL1115" s="379" t="s">
        <v>3783</v>
      </c>
      <c r="VWM1115" s="379" t="s">
        <v>3783</v>
      </c>
      <c r="VWN1115" s="379" t="s">
        <v>3783</v>
      </c>
      <c r="VWO1115" s="379" t="s">
        <v>3783</v>
      </c>
      <c r="VWP1115" s="379" t="s">
        <v>3783</v>
      </c>
      <c r="VWQ1115" s="379" t="s">
        <v>3783</v>
      </c>
      <c r="VWR1115" s="379" t="s">
        <v>3783</v>
      </c>
      <c r="VWS1115" s="379" t="s">
        <v>3783</v>
      </c>
      <c r="VWT1115" s="379" t="s">
        <v>3783</v>
      </c>
      <c r="VWU1115" s="379" t="s">
        <v>3783</v>
      </c>
      <c r="VWV1115" s="379" t="s">
        <v>3783</v>
      </c>
      <c r="VWW1115" s="379" t="s">
        <v>3783</v>
      </c>
      <c r="VWX1115" s="379" t="s">
        <v>3783</v>
      </c>
      <c r="VWY1115" s="379" t="s">
        <v>3783</v>
      </c>
      <c r="VWZ1115" s="379" t="s">
        <v>3783</v>
      </c>
      <c r="VXA1115" s="379" t="s">
        <v>3783</v>
      </c>
      <c r="VXB1115" s="379" t="s">
        <v>3783</v>
      </c>
      <c r="VXC1115" s="379" t="s">
        <v>3783</v>
      </c>
      <c r="VXD1115" s="379" t="s">
        <v>3783</v>
      </c>
      <c r="VXE1115" s="379" t="s">
        <v>3783</v>
      </c>
      <c r="VXF1115" s="379" t="s">
        <v>3783</v>
      </c>
      <c r="VXG1115" s="379" t="s">
        <v>3783</v>
      </c>
      <c r="VXH1115" s="379" t="s">
        <v>3783</v>
      </c>
      <c r="VXI1115" s="379" t="s">
        <v>3783</v>
      </c>
      <c r="VXJ1115" s="379" t="s">
        <v>3783</v>
      </c>
      <c r="VXK1115" s="379" t="s">
        <v>3783</v>
      </c>
      <c r="VXL1115" s="379" t="s">
        <v>3783</v>
      </c>
      <c r="VXM1115" s="379" t="s">
        <v>3783</v>
      </c>
      <c r="VXN1115" s="379" t="s">
        <v>3783</v>
      </c>
      <c r="VXO1115" s="379" t="s">
        <v>3783</v>
      </c>
      <c r="VXP1115" s="379" t="s">
        <v>3783</v>
      </c>
      <c r="VXQ1115" s="379" t="s">
        <v>3783</v>
      </c>
      <c r="VXR1115" s="379" t="s">
        <v>3783</v>
      </c>
      <c r="VXS1115" s="379" t="s">
        <v>3783</v>
      </c>
      <c r="VXT1115" s="379" t="s">
        <v>3783</v>
      </c>
      <c r="VXU1115" s="379" t="s">
        <v>3783</v>
      </c>
      <c r="VXV1115" s="379" t="s">
        <v>3783</v>
      </c>
      <c r="VXW1115" s="379" t="s">
        <v>3783</v>
      </c>
      <c r="VXX1115" s="379" t="s">
        <v>3783</v>
      </c>
      <c r="VXY1115" s="379" t="s">
        <v>3783</v>
      </c>
      <c r="VXZ1115" s="379" t="s">
        <v>3783</v>
      </c>
      <c r="VYA1115" s="379" t="s">
        <v>3783</v>
      </c>
      <c r="VYB1115" s="379" t="s">
        <v>3783</v>
      </c>
      <c r="VYC1115" s="379" t="s">
        <v>3783</v>
      </c>
      <c r="VYD1115" s="379" t="s">
        <v>3783</v>
      </c>
      <c r="VYE1115" s="379" t="s">
        <v>3783</v>
      </c>
      <c r="VYF1115" s="379" t="s">
        <v>3783</v>
      </c>
      <c r="VYG1115" s="379" t="s">
        <v>3783</v>
      </c>
      <c r="VYH1115" s="379" t="s">
        <v>3783</v>
      </c>
      <c r="VYI1115" s="379" t="s">
        <v>3783</v>
      </c>
      <c r="VYJ1115" s="379" t="s">
        <v>3783</v>
      </c>
      <c r="VYK1115" s="379" t="s">
        <v>3783</v>
      </c>
      <c r="VYL1115" s="379" t="s">
        <v>3783</v>
      </c>
      <c r="VYM1115" s="379" t="s">
        <v>3783</v>
      </c>
      <c r="VYN1115" s="379" t="s">
        <v>3783</v>
      </c>
      <c r="VYO1115" s="379" t="s">
        <v>3783</v>
      </c>
      <c r="VYP1115" s="379" t="s">
        <v>3783</v>
      </c>
      <c r="VYQ1115" s="379" t="s">
        <v>3783</v>
      </c>
      <c r="VYR1115" s="379" t="s">
        <v>3783</v>
      </c>
      <c r="VYS1115" s="379" t="s">
        <v>3783</v>
      </c>
      <c r="VYT1115" s="379" t="s">
        <v>3783</v>
      </c>
      <c r="VYU1115" s="379" t="s">
        <v>3783</v>
      </c>
      <c r="VYV1115" s="379" t="s">
        <v>3783</v>
      </c>
      <c r="VYW1115" s="379" t="s">
        <v>3783</v>
      </c>
      <c r="VYX1115" s="379" t="s">
        <v>3783</v>
      </c>
      <c r="VYY1115" s="379" t="s">
        <v>3783</v>
      </c>
      <c r="VYZ1115" s="379" t="s">
        <v>3783</v>
      </c>
      <c r="VZA1115" s="379" t="s">
        <v>3783</v>
      </c>
      <c r="VZB1115" s="379" t="s">
        <v>3783</v>
      </c>
      <c r="VZC1115" s="379" t="s">
        <v>3783</v>
      </c>
      <c r="VZD1115" s="379" t="s">
        <v>3783</v>
      </c>
      <c r="VZE1115" s="379" t="s">
        <v>3783</v>
      </c>
      <c r="VZF1115" s="379" t="s">
        <v>3783</v>
      </c>
      <c r="VZG1115" s="379" t="s">
        <v>3783</v>
      </c>
      <c r="VZH1115" s="379" t="s">
        <v>3783</v>
      </c>
      <c r="VZI1115" s="379" t="s">
        <v>3783</v>
      </c>
      <c r="VZJ1115" s="379" t="s">
        <v>3783</v>
      </c>
      <c r="VZK1115" s="379" t="s">
        <v>3783</v>
      </c>
      <c r="VZL1115" s="379" t="s">
        <v>3783</v>
      </c>
      <c r="VZM1115" s="379" t="s">
        <v>3783</v>
      </c>
      <c r="VZN1115" s="379" t="s">
        <v>3783</v>
      </c>
      <c r="VZO1115" s="379" t="s">
        <v>3783</v>
      </c>
      <c r="VZP1115" s="379" t="s">
        <v>3783</v>
      </c>
      <c r="VZQ1115" s="379" t="s">
        <v>3783</v>
      </c>
      <c r="VZR1115" s="379" t="s">
        <v>3783</v>
      </c>
      <c r="VZS1115" s="379" t="s">
        <v>3783</v>
      </c>
      <c r="VZT1115" s="379" t="s">
        <v>3783</v>
      </c>
      <c r="VZU1115" s="379" t="s">
        <v>3783</v>
      </c>
      <c r="VZV1115" s="379" t="s">
        <v>3783</v>
      </c>
      <c r="VZW1115" s="379" t="s">
        <v>3783</v>
      </c>
      <c r="VZX1115" s="379" t="s">
        <v>3783</v>
      </c>
      <c r="VZY1115" s="379" t="s">
        <v>3783</v>
      </c>
      <c r="VZZ1115" s="379" t="s">
        <v>3783</v>
      </c>
      <c r="WAA1115" s="379" t="s">
        <v>3783</v>
      </c>
      <c r="WAB1115" s="379" t="s">
        <v>3783</v>
      </c>
      <c r="WAC1115" s="379" t="s">
        <v>3783</v>
      </c>
      <c r="WAD1115" s="379" t="s">
        <v>3783</v>
      </c>
      <c r="WAE1115" s="379" t="s">
        <v>3783</v>
      </c>
      <c r="WAF1115" s="379" t="s">
        <v>3783</v>
      </c>
      <c r="WAG1115" s="379" t="s">
        <v>3783</v>
      </c>
      <c r="WAH1115" s="379" t="s">
        <v>3783</v>
      </c>
      <c r="WAI1115" s="379" t="s">
        <v>3783</v>
      </c>
      <c r="WAJ1115" s="379" t="s">
        <v>3783</v>
      </c>
      <c r="WAK1115" s="379" t="s">
        <v>3783</v>
      </c>
      <c r="WAL1115" s="379" t="s">
        <v>3783</v>
      </c>
      <c r="WAM1115" s="379" t="s">
        <v>3783</v>
      </c>
      <c r="WAN1115" s="379" t="s">
        <v>3783</v>
      </c>
      <c r="WAO1115" s="379" t="s">
        <v>3783</v>
      </c>
      <c r="WAP1115" s="379" t="s">
        <v>3783</v>
      </c>
      <c r="WAQ1115" s="379" t="s">
        <v>3783</v>
      </c>
      <c r="WAR1115" s="379" t="s">
        <v>3783</v>
      </c>
      <c r="WAS1115" s="379" t="s">
        <v>3783</v>
      </c>
      <c r="WAT1115" s="379" t="s">
        <v>3783</v>
      </c>
      <c r="WAU1115" s="379" t="s">
        <v>3783</v>
      </c>
      <c r="WAV1115" s="379" t="s">
        <v>3783</v>
      </c>
      <c r="WAW1115" s="379" t="s">
        <v>3783</v>
      </c>
      <c r="WAX1115" s="379" t="s">
        <v>3783</v>
      </c>
      <c r="WAY1115" s="379" t="s">
        <v>3783</v>
      </c>
      <c r="WAZ1115" s="379" t="s">
        <v>3783</v>
      </c>
      <c r="WBA1115" s="379" t="s">
        <v>3783</v>
      </c>
      <c r="WBB1115" s="379" t="s">
        <v>3783</v>
      </c>
      <c r="WBC1115" s="379" t="s">
        <v>3783</v>
      </c>
      <c r="WBD1115" s="379" t="s">
        <v>3783</v>
      </c>
      <c r="WBE1115" s="379" t="s">
        <v>3783</v>
      </c>
      <c r="WBF1115" s="379" t="s">
        <v>3783</v>
      </c>
      <c r="WBG1115" s="379" t="s">
        <v>3783</v>
      </c>
      <c r="WBH1115" s="379" t="s">
        <v>3783</v>
      </c>
      <c r="WBI1115" s="379" t="s">
        <v>3783</v>
      </c>
      <c r="WBJ1115" s="379" t="s">
        <v>3783</v>
      </c>
      <c r="WBK1115" s="379" t="s">
        <v>3783</v>
      </c>
      <c r="WBL1115" s="379" t="s">
        <v>3783</v>
      </c>
      <c r="WBM1115" s="379" t="s">
        <v>3783</v>
      </c>
      <c r="WBN1115" s="379" t="s">
        <v>3783</v>
      </c>
      <c r="WBO1115" s="379" t="s">
        <v>3783</v>
      </c>
      <c r="WBP1115" s="379" t="s">
        <v>3783</v>
      </c>
      <c r="WBQ1115" s="379" t="s">
        <v>3783</v>
      </c>
      <c r="WBR1115" s="379" t="s">
        <v>3783</v>
      </c>
      <c r="WBS1115" s="379" t="s">
        <v>3783</v>
      </c>
      <c r="WBT1115" s="379" t="s">
        <v>3783</v>
      </c>
      <c r="WBU1115" s="379" t="s">
        <v>3783</v>
      </c>
      <c r="WBV1115" s="379" t="s">
        <v>3783</v>
      </c>
      <c r="WBW1115" s="379" t="s">
        <v>3783</v>
      </c>
      <c r="WBX1115" s="379" t="s">
        <v>3783</v>
      </c>
      <c r="WBY1115" s="379" t="s">
        <v>3783</v>
      </c>
      <c r="WBZ1115" s="379" t="s">
        <v>3783</v>
      </c>
      <c r="WCA1115" s="379" t="s">
        <v>3783</v>
      </c>
      <c r="WCB1115" s="379" t="s">
        <v>3783</v>
      </c>
      <c r="WCC1115" s="379" t="s">
        <v>3783</v>
      </c>
      <c r="WCD1115" s="379" t="s">
        <v>3783</v>
      </c>
      <c r="WCE1115" s="379" t="s">
        <v>3783</v>
      </c>
      <c r="WCF1115" s="379" t="s">
        <v>3783</v>
      </c>
      <c r="WCG1115" s="379" t="s">
        <v>3783</v>
      </c>
      <c r="WCH1115" s="379" t="s">
        <v>3783</v>
      </c>
      <c r="WCI1115" s="379" t="s">
        <v>3783</v>
      </c>
      <c r="WCJ1115" s="379" t="s">
        <v>3783</v>
      </c>
      <c r="WCK1115" s="379" t="s">
        <v>3783</v>
      </c>
      <c r="WCL1115" s="379" t="s">
        <v>3783</v>
      </c>
      <c r="WCM1115" s="379" t="s">
        <v>3783</v>
      </c>
      <c r="WCN1115" s="379" t="s">
        <v>3783</v>
      </c>
      <c r="WCO1115" s="379" t="s">
        <v>3783</v>
      </c>
      <c r="WCP1115" s="379" t="s">
        <v>3783</v>
      </c>
      <c r="WCQ1115" s="379" t="s">
        <v>3783</v>
      </c>
      <c r="WCR1115" s="379" t="s">
        <v>3783</v>
      </c>
      <c r="WCS1115" s="379" t="s">
        <v>3783</v>
      </c>
      <c r="WCT1115" s="379" t="s">
        <v>3783</v>
      </c>
      <c r="WCU1115" s="379" t="s">
        <v>3783</v>
      </c>
      <c r="WCV1115" s="379" t="s">
        <v>3783</v>
      </c>
      <c r="WCW1115" s="379" t="s">
        <v>3783</v>
      </c>
      <c r="WCX1115" s="379" t="s">
        <v>3783</v>
      </c>
      <c r="WCY1115" s="379" t="s">
        <v>3783</v>
      </c>
      <c r="WCZ1115" s="379" t="s">
        <v>3783</v>
      </c>
      <c r="WDA1115" s="379" t="s">
        <v>3783</v>
      </c>
      <c r="WDB1115" s="379" t="s">
        <v>3783</v>
      </c>
      <c r="WDC1115" s="379" t="s">
        <v>3783</v>
      </c>
      <c r="WDD1115" s="379" t="s">
        <v>3783</v>
      </c>
      <c r="WDE1115" s="379" t="s">
        <v>3783</v>
      </c>
      <c r="WDF1115" s="379" t="s">
        <v>3783</v>
      </c>
      <c r="WDG1115" s="379" t="s">
        <v>3783</v>
      </c>
      <c r="WDH1115" s="379" t="s">
        <v>3783</v>
      </c>
      <c r="WDI1115" s="379" t="s">
        <v>3783</v>
      </c>
      <c r="WDJ1115" s="379" t="s">
        <v>3783</v>
      </c>
      <c r="WDK1115" s="379" t="s">
        <v>3783</v>
      </c>
      <c r="WDL1115" s="379" t="s">
        <v>3783</v>
      </c>
      <c r="WDM1115" s="379" t="s">
        <v>3783</v>
      </c>
      <c r="WDN1115" s="379" t="s">
        <v>3783</v>
      </c>
      <c r="WDO1115" s="379" t="s">
        <v>3783</v>
      </c>
      <c r="WDP1115" s="379" t="s">
        <v>3783</v>
      </c>
      <c r="WDQ1115" s="379" t="s">
        <v>3783</v>
      </c>
      <c r="WDR1115" s="379" t="s">
        <v>3783</v>
      </c>
      <c r="WDS1115" s="379" t="s">
        <v>3783</v>
      </c>
      <c r="WDT1115" s="379" t="s">
        <v>3783</v>
      </c>
      <c r="WDU1115" s="379" t="s">
        <v>3783</v>
      </c>
      <c r="WDV1115" s="379" t="s">
        <v>3783</v>
      </c>
      <c r="WDW1115" s="379" t="s">
        <v>3783</v>
      </c>
      <c r="WDX1115" s="379" t="s">
        <v>3783</v>
      </c>
      <c r="WDY1115" s="379" t="s">
        <v>3783</v>
      </c>
      <c r="WDZ1115" s="379" t="s">
        <v>3783</v>
      </c>
      <c r="WEA1115" s="379" t="s">
        <v>3783</v>
      </c>
      <c r="WEB1115" s="379" t="s">
        <v>3783</v>
      </c>
      <c r="WEC1115" s="379" t="s">
        <v>3783</v>
      </c>
      <c r="WED1115" s="379" t="s">
        <v>3783</v>
      </c>
      <c r="WEE1115" s="379" t="s">
        <v>3783</v>
      </c>
      <c r="WEF1115" s="379" t="s">
        <v>3783</v>
      </c>
      <c r="WEG1115" s="379" t="s">
        <v>3783</v>
      </c>
      <c r="WEH1115" s="379" t="s">
        <v>3783</v>
      </c>
      <c r="WEI1115" s="379" t="s">
        <v>3783</v>
      </c>
      <c r="WEJ1115" s="379" t="s">
        <v>3783</v>
      </c>
      <c r="WEK1115" s="379" t="s">
        <v>3783</v>
      </c>
      <c r="WEL1115" s="379" t="s">
        <v>3783</v>
      </c>
      <c r="WEM1115" s="379" t="s">
        <v>3783</v>
      </c>
      <c r="WEN1115" s="379" t="s">
        <v>3783</v>
      </c>
      <c r="WEO1115" s="379" t="s">
        <v>3783</v>
      </c>
      <c r="WEP1115" s="379" t="s">
        <v>3783</v>
      </c>
      <c r="WEQ1115" s="379" t="s">
        <v>3783</v>
      </c>
      <c r="WER1115" s="379" t="s">
        <v>3783</v>
      </c>
      <c r="WES1115" s="379" t="s">
        <v>3783</v>
      </c>
      <c r="WET1115" s="379" t="s">
        <v>3783</v>
      </c>
      <c r="WEU1115" s="379" t="s">
        <v>3783</v>
      </c>
      <c r="WEV1115" s="379" t="s">
        <v>3783</v>
      </c>
      <c r="WEW1115" s="379" t="s">
        <v>3783</v>
      </c>
      <c r="WEX1115" s="379" t="s">
        <v>3783</v>
      </c>
      <c r="WEY1115" s="379" t="s">
        <v>3783</v>
      </c>
      <c r="WEZ1115" s="379" t="s">
        <v>3783</v>
      </c>
      <c r="WFA1115" s="379" t="s">
        <v>3783</v>
      </c>
      <c r="WFB1115" s="379" t="s">
        <v>3783</v>
      </c>
      <c r="WFC1115" s="379" t="s">
        <v>3783</v>
      </c>
      <c r="WFD1115" s="379" t="s">
        <v>3783</v>
      </c>
      <c r="WFE1115" s="379" t="s">
        <v>3783</v>
      </c>
      <c r="WFF1115" s="379" t="s">
        <v>3783</v>
      </c>
      <c r="WFG1115" s="379" t="s">
        <v>3783</v>
      </c>
      <c r="WFH1115" s="379" t="s">
        <v>3783</v>
      </c>
      <c r="WFI1115" s="379" t="s">
        <v>3783</v>
      </c>
      <c r="WFJ1115" s="379" t="s">
        <v>3783</v>
      </c>
      <c r="WFK1115" s="379" t="s">
        <v>3783</v>
      </c>
      <c r="WFL1115" s="379" t="s">
        <v>3783</v>
      </c>
      <c r="WFM1115" s="379" t="s">
        <v>3783</v>
      </c>
      <c r="WFN1115" s="379" t="s">
        <v>3783</v>
      </c>
      <c r="WFO1115" s="379" t="s">
        <v>3783</v>
      </c>
      <c r="WFP1115" s="379" t="s">
        <v>3783</v>
      </c>
      <c r="WFQ1115" s="379" t="s">
        <v>3783</v>
      </c>
      <c r="WFR1115" s="379" t="s">
        <v>3783</v>
      </c>
      <c r="WFS1115" s="379" t="s">
        <v>3783</v>
      </c>
      <c r="WFT1115" s="379" t="s">
        <v>3783</v>
      </c>
      <c r="WFU1115" s="379" t="s">
        <v>3783</v>
      </c>
      <c r="WFV1115" s="379" t="s">
        <v>3783</v>
      </c>
      <c r="WFW1115" s="379" t="s">
        <v>3783</v>
      </c>
      <c r="WFX1115" s="379" t="s">
        <v>3783</v>
      </c>
      <c r="WFY1115" s="379" t="s">
        <v>3783</v>
      </c>
      <c r="WFZ1115" s="379" t="s">
        <v>3783</v>
      </c>
      <c r="WGA1115" s="379" t="s">
        <v>3783</v>
      </c>
      <c r="WGB1115" s="379" t="s">
        <v>3783</v>
      </c>
      <c r="WGC1115" s="379" t="s">
        <v>3783</v>
      </c>
      <c r="WGD1115" s="379" t="s">
        <v>3783</v>
      </c>
      <c r="WGE1115" s="379" t="s">
        <v>3783</v>
      </c>
      <c r="WGF1115" s="379" t="s">
        <v>3783</v>
      </c>
      <c r="WGG1115" s="379" t="s">
        <v>3783</v>
      </c>
      <c r="WGH1115" s="379" t="s">
        <v>3783</v>
      </c>
      <c r="WGI1115" s="379" t="s">
        <v>3783</v>
      </c>
      <c r="WGJ1115" s="379" t="s">
        <v>3783</v>
      </c>
      <c r="WGK1115" s="379" t="s">
        <v>3783</v>
      </c>
      <c r="WGL1115" s="379" t="s">
        <v>3783</v>
      </c>
      <c r="WGM1115" s="379" t="s">
        <v>3783</v>
      </c>
      <c r="WGN1115" s="379" t="s">
        <v>3783</v>
      </c>
      <c r="WGO1115" s="379" t="s">
        <v>3783</v>
      </c>
      <c r="WGP1115" s="379" t="s">
        <v>3783</v>
      </c>
      <c r="WGQ1115" s="379" t="s">
        <v>3783</v>
      </c>
      <c r="WGR1115" s="379" t="s">
        <v>3783</v>
      </c>
      <c r="WGS1115" s="379" t="s">
        <v>3783</v>
      </c>
      <c r="WGT1115" s="379" t="s">
        <v>3783</v>
      </c>
      <c r="WGU1115" s="379" t="s">
        <v>3783</v>
      </c>
      <c r="WGV1115" s="379" t="s">
        <v>3783</v>
      </c>
      <c r="WGW1115" s="379" t="s">
        <v>3783</v>
      </c>
      <c r="WGX1115" s="379" t="s">
        <v>3783</v>
      </c>
      <c r="WGY1115" s="379" t="s">
        <v>3783</v>
      </c>
      <c r="WGZ1115" s="379" t="s">
        <v>3783</v>
      </c>
      <c r="WHA1115" s="379" t="s">
        <v>3783</v>
      </c>
      <c r="WHB1115" s="379" t="s">
        <v>3783</v>
      </c>
      <c r="WHC1115" s="379" t="s">
        <v>3783</v>
      </c>
      <c r="WHD1115" s="379" t="s">
        <v>3783</v>
      </c>
      <c r="WHE1115" s="379" t="s">
        <v>3783</v>
      </c>
      <c r="WHF1115" s="379" t="s">
        <v>3783</v>
      </c>
      <c r="WHG1115" s="379" t="s">
        <v>3783</v>
      </c>
      <c r="WHH1115" s="379" t="s">
        <v>3783</v>
      </c>
      <c r="WHI1115" s="379" t="s">
        <v>3783</v>
      </c>
      <c r="WHJ1115" s="379" t="s">
        <v>3783</v>
      </c>
      <c r="WHK1115" s="379" t="s">
        <v>3783</v>
      </c>
      <c r="WHL1115" s="379" t="s">
        <v>3783</v>
      </c>
      <c r="WHM1115" s="379" t="s">
        <v>3783</v>
      </c>
      <c r="WHN1115" s="379" t="s">
        <v>3783</v>
      </c>
      <c r="WHO1115" s="379" t="s">
        <v>3783</v>
      </c>
      <c r="WHP1115" s="379" t="s">
        <v>3783</v>
      </c>
      <c r="WHQ1115" s="379" t="s">
        <v>3783</v>
      </c>
      <c r="WHR1115" s="379" t="s">
        <v>3783</v>
      </c>
      <c r="WHS1115" s="379" t="s">
        <v>3783</v>
      </c>
      <c r="WHT1115" s="379" t="s">
        <v>3783</v>
      </c>
      <c r="WHU1115" s="379" t="s">
        <v>3783</v>
      </c>
      <c r="WHV1115" s="379" t="s">
        <v>3783</v>
      </c>
      <c r="WHW1115" s="379" t="s">
        <v>3783</v>
      </c>
      <c r="WHX1115" s="379" t="s">
        <v>3783</v>
      </c>
      <c r="WHY1115" s="379" t="s">
        <v>3783</v>
      </c>
      <c r="WHZ1115" s="379" t="s">
        <v>3783</v>
      </c>
      <c r="WIA1115" s="379" t="s">
        <v>3783</v>
      </c>
      <c r="WIB1115" s="379" t="s">
        <v>3783</v>
      </c>
      <c r="WIC1115" s="379" t="s">
        <v>3783</v>
      </c>
      <c r="WID1115" s="379" t="s">
        <v>3783</v>
      </c>
      <c r="WIE1115" s="379" t="s">
        <v>3783</v>
      </c>
      <c r="WIF1115" s="379" t="s">
        <v>3783</v>
      </c>
      <c r="WIG1115" s="379" t="s">
        <v>3783</v>
      </c>
      <c r="WIH1115" s="379" t="s">
        <v>3783</v>
      </c>
      <c r="WII1115" s="379" t="s">
        <v>3783</v>
      </c>
      <c r="WIJ1115" s="379" t="s">
        <v>3783</v>
      </c>
      <c r="WIK1115" s="379" t="s">
        <v>3783</v>
      </c>
      <c r="WIL1115" s="379" t="s">
        <v>3783</v>
      </c>
      <c r="WIM1115" s="379" t="s">
        <v>3783</v>
      </c>
      <c r="WIN1115" s="379" t="s">
        <v>3783</v>
      </c>
      <c r="WIO1115" s="379" t="s">
        <v>3783</v>
      </c>
      <c r="WIP1115" s="379" t="s">
        <v>3783</v>
      </c>
      <c r="WIQ1115" s="379" t="s">
        <v>3783</v>
      </c>
      <c r="WIR1115" s="379" t="s">
        <v>3783</v>
      </c>
      <c r="WIS1115" s="379" t="s">
        <v>3783</v>
      </c>
      <c r="WIT1115" s="379" t="s">
        <v>3783</v>
      </c>
      <c r="WIU1115" s="379" t="s">
        <v>3783</v>
      </c>
      <c r="WIV1115" s="379" t="s">
        <v>3783</v>
      </c>
      <c r="WIW1115" s="379" t="s">
        <v>3783</v>
      </c>
      <c r="WIX1115" s="379" t="s">
        <v>3783</v>
      </c>
      <c r="WIY1115" s="379" t="s">
        <v>3783</v>
      </c>
      <c r="WIZ1115" s="379" t="s">
        <v>3783</v>
      </c>
      <c r="WJA1115" s="379" t="s">
        <v>3783</v>
      </c>
      <c r="WJB1115" s="379" t="s">
        <v>3783</v>
      </c>
      <c r="WJC1115" s="379" t="s">
        <v>3783</v>
      </c>
      <c r="WJD1115" s="379" t="s">
        <v>3783</v>
      </c>
      <c r="WJE1115" s="379" t="s">
        <v>3783</v>
      </c>
      <c r="WJF1115" s="379" t="s">
        <v>3783</v>
      </c>
      <c r="WJG1115" s="379" t="s">
        <v>3783</v>
      </c>
      <c r="WJH1115" s="379" t="s">
        <v>3783</v>
      </c>
      <c r="WJI1115" s="379" t="s">
        <v>3783</v>
      </c>
      <c r="WJJ1115" s="379" t="s">
        <v>3783</v>
      </c>
      <c r="WJK1115" s="379" t="s">
        <v>3783</v>
      </c>
      <c r="WJL1115" s="379" t="s">
        <v>3783</v>
      </c>
      <c r="WJM1115" s="379" t="s">
        <v>3783</v>
      </c>
      <c r="WJN1115" s="379" t="s">
        <v>3783</v>
      </c>
      <c r="WJO1115" s="379" t="s">
        <v>3783</v>
      </c>
      <c r="WJP1115" s="379" t="s">
        <v>3783</v>
      </c>
      <c r="WJQ1115" s="379" t="s">
        <v>3783</v>
      </c>
      <c r="WJR1115" s="379" t="s">
        <v>3783</v>
      </c>
      <c r="WJS1115" s="379" t="s">
        <v>3783</v>
      </c>
      <c r="WJT1115" s="379" t="s">
        <v>3783</v>
      </c>
      <c r="WJU1115" s="379" t="s">
        <v>3783</v>
      </c>
      <c r="WJV1115" s="379" t="s">
        <v>3783</v>
      </c>
      <c r="WJW1115" s="379" t="s">
        <v>3783</v>
      </c>
      <c r="WJX1115" s="379" t="s">
        <v>3783</v>
      </c>
      <c r="WJY1115" s="379" t="s">
        <v>3783</v>
      </c>
      <c r="WJZ1115" s="379" t="s">
        <v>3783</v>
      </c>
      <c r="WKA1115" s="379" t="s">
        <v>3783</v>
      </c>
      <c r="WKB1115" s="379" t="s">
        <v>3783</v>
      </c>
      <c r="WKC1115" s="379" t="s">
        <v>3783</v>
      </c>
      <c r="WKD1115" s="379" t="s">
        <v>3783</v>
      </c>
      <c r="WKE1115" s="379" t="s">
        <v>3783</v>
      </c>
      <c r="WKF1115" s="379" t="s">
        <v>3783</v>
      </c>
      <c r="WKG1115" s="379" t="s">
        <v>3783</v>
      </c>
      <c r="WKH1115" s="379" t="s">
        <v>3783</v>
      </c>
      <c r="WKI1115" s="379" t="s">
        <v>3783</v>
      </c>
      <c r="WKJ1115" s="379" t="s">
        <v>3783</v>
      </c>
      <c r="WKK1115" s="379" t="s">
        <v>3783</v>
      </c>
      <c r="WKL1115" s="379" t="s">
        <v>3783</v>
      </c>
      <c r="WKM1115" s="379" t="s">
        <v>3783</v>
      </c>
      <c r="WKN1115" s="379" t="s">
        <v>3783</v>
      </c>
      <c r="WKO1115" s="379" t="s">
        <v>3783</v>
      </c>
      <c r="WKP1115" s="379" t="s">
        <v>3783</v>
      </c>
      <c r="WKQ1115" s="379" t="s">
        <v>3783</v>
      </c>
      <c r="WKR1115" s="379" t="s">
        <v>3783</v>
      </c>
      <c r="WKS1115" s="379" t="s">
        <v>3783</v>
      </c>
      <c r="WKT1115" s="379" t="s">
        <v>3783</v>
      </c>
      <c r="WKU1115" s="379" t="s">
        <v>3783</v>
      </c>
      <c r="WKV1115" s="379" t="s">
        <v>3783</v>
      </c>
      <c r="WKW1115" s="379" t="s">
        <v>3783</v>
      </c>
      <c r="WKX1115" s="379" t="s">
        <v>3783</v>
      </c>
      <c r="WKY1115" s="379" t="s">
        <v>3783</v>
      </c>
      <c r="WKZ1115" s="379" t="s">
        <v>3783</v>
      </c>
      <c r="WLA1115" s="379" t="s">
        <v>3783</v>
      </c>
      <c r="WLB1115" s="379" t="s">
        <v>3783</v>
      </c>
      <c r="WLC1115" s="379" t="s">
        <v>3783</v>
      </c>
      <c r="WLD1115" s="379" t="s">
        <v>3783</v>
      </c>
      <c r="WLE1115" s="379" t="s">
        <v>3783</v>
      </c>
      <c r="WLF1115" s="379" t="s">
        <v>3783</v>
      </c>
      <c r="WLG1115" s="379" t="s">
        <v>3783</v>
      </c>
      <c r="WLH1115" s="379" t="s">
        <v>3783</v>
      </c>
      <c r="WLI1115" s="379" t="s">
        <v>3783</v>
      </c>
      <c r="WLJ1115" s="379" t="s">
        <v>3783</v>
      </c>
      <c r="WLK1115" s="379" t="s">
        <v>3783</v>
      </c>
      <c r="WLL1115" s="379" t="s">
        <v>3783</v>
      </c>
      <c r="WLM1115" s="379" t="s">
        <v>3783</v>
      </c>
      <c r="WLN1115" s="379" t="s">
        <v>3783</v>
      </c>
      <c r="WLO1115" s="379" t="s">
        <v>3783</v>
      </c>
      <c r="WLP1115" s="379" t="s">
        <v>3783</v>
      </c>
      <c r="WLQ1115" s="379" t="s">
        <v>3783</v>
      </c>
      <c r="WLR1115" s="379" t="s">
        <v>3783</v>
      </c>
      <c r="WLS1115" s="379" t="s">
        <v>3783</v>
      </c>
      <c r="WLT1115" s="379" t="s">
        <v>3783</v>
      </c>
      <c r="WLU1115" s="379" t="s">
        <v>3783</v>
      </c>
      <c r="WLV1115" s="379" t="s">
        <v>3783</v>
      </c>
      <c r="WLW1115" s="379" t="s">
        <v>3783</v>
      </c>
      <c r="WLX1115" s="379" t="s">
        <v>3783</v>
      </c>
      <c r="WLY1115" s="379" t="s">
        <v>3783</v>
      </c>
      <c r="WLZ1115" s="379" t="s">
        <v>3783</v>
      </c>
      <c r="WMA1115" s="379" t="s">
        <v>3783</v>
      </c>
      <c r="WMB1115" s="379" t="s">
        <v>3783</v>
      </c>
      <c r="WMC1115" s="379" t="s">
        <v>3783</v>
      </c>
      <c r="WMD1115" s="379" t="s">
        <v>3783</v>
      </c>
      <c r="WME1115" s="379" t="s">
        <v>3783</v>
      </c>
      <c r="WMF1115" s="379" t="s">
        <v>3783</v>
      </c>
      <c r="WMG1115" s="379" t="s">
        <v>3783</v>
      </c>
      <c r="WMH1115" s="379" t="s">
        <v>3783</v>
      </c>
      <c r="WMI1115" s="379" t="s">
        <v>3783</v>
      </c>
      <c r="WMJ1115" s="379" t="s">
        <v>3783</v>
      </c>
      <c r="WMK1115" s="379" t="s">
        <v>3783</v>
      </c>
      <c r="WML1115" s="379" t="s">
        <v>3783</v>
      </c>
      <c r="WMM1115" s="379" t="s">
        <v>3783</v>
      </c>
      <c r="WMN1115" s="379" t="s">
        <v>3783</v>
      </c>
      <c r="WMO1115" s="379" t="s">
        <v>3783</v>
      </c>
      <c r="WMP1115" s="379" t="s">
        <v>3783</v>
      </c>
      <c r="WMQ1115" s="379" t="s">
        <v>3783</v>
      </c>
      <c r="WMR1115" s="379" t="s">
        <v>3783</v>
      </c>
      <c r="WMS1115" s="379" t="s">
        <v>3783</v>
      </c>
      <c r="WMT1115" s="379" t="s">
        <v>3783</v>
      </c>
      <c r="WMU1115" s="379" t="s">
        <v>3783</v>
      </c>
      <c r="WMV1115" s="379" t="s">
        <v>3783</v>
      </c>
      <c r="WMW1115" s="379" t="s">
        <v>3783</v>
      </c>
      <c r="WMX1115" s="379" t="s">
        <v>3783</v>
      </c>
      <c r="WMY1115" s="379" t="s">
        <v>3783</v>
      </c>
      <c r="WMZ1115" s="379" t="s">
        <v>3783</v>
      </c>
      <c r="WNA1115" s="379" t="s">
        <v>3783</v>
      </c>
      <c r="WNB1115" s="379" t="s">
        <v>3783</v>
      </c>
      <c r="WNC1115" s="379" t="s">
        <v>3783</v>
      </c>
      <c r="WND1115" s="379" t="s">
        <v>3783</v>
      </c>
      <c r="WNE1115" s="379" t="s">
        <v>3783</v>
      </c>
      <c r="WNF1115" s="379" t="s">
        <v>3783</v>
      </c>
      <c r="WNG1115" s="379" t="s">
        <v>3783</v>
      </c>
      <c r="WNH1115" s="379" t="s">
        <v>3783</v>
      </c>
      <c r="WNI1115" s="379" t="s">
        <v>3783</v>
      </c>
      <c r="WNJ1115" s="379" t="s">
        <v>3783</v>
      </c>
      <c r="WNK1115" s="379" t="s">
        <v>3783</v>
      </c>
      <c r="WNL1115" s="379" t="s">
        <v>3783</v>
      </c>
      <c r="WNM1115" s="379" t="s">
        <v>3783</v>
      </c>
      <c r="WNN1115" s="379" t="s">
        <v>3783</v>
      </c>
      <c r="WNO1115" s="379" t="s">
        <v>3783</v>
      </c>
      <c r="WNP1115" s="379" t="s">
        <v>3783</v>
      </c>
      <c r="WNQ1115" s="379" t="s">
        <v>3783</v>
      </c>
      <c r="WNR1115" s="379" t="s">
        <v>3783</v>
      </c>
      <c r="WNS1115" s="379" t="s">
        <v>3783</v>
      </c>
      <c r="WNT1115" s="379" t="s">
        <v>3783</v>
      </c>
      <c r="WNU1115" s="379" t="s">
        <v>3783</v>
      </c>
      <c r="WNV1115" s="379" t="s">
        <v>3783</v>
      </c>
      <c r="WNW1115" s="379" t="s">
        <v>3783</v>
      </c>
      <c r="WNX1115" s="379" t="s">
        <v>3783</v>
      </c>
      <c r="WNY1115" s="379" t="s">
        <v>3783</v>
      </c>
      <c r="WNZ1115" s="379" t="s">
        <v>3783</v>
      </c>
      <c r="WOA1115" s="379" t="s">
        <v>3783</v>
      </c>
      <c r="WOB1115" s="379" t="s">
        <v>3783</v>
      </c>
      <c r="WOC1115" s="379" t="s">
        <v>3783</v>
      </c>
      <c r="WOD1115" s="379" t="s">
        <v>3783</v>
      </c>
      <c r="WOE1115" s="379" t="s">
        <v>3783</v>
      </c>
      <c r="WOF1115" s="379" t="s">
        <v>3783</v>
      </c>
      <c r="WOG1115" s="379" t="s">
        <v>3783</v>
      </c>
      <c r="WOH1115" s="379" t="s">
        <v>3783</v>
      </c>
      <c r="WOI1115" s="379" t="s">
        <v>3783</v>
      </c>
      <c r="WOJ1115" s="379" t="s">
        <v>3783</v>
      </c>
      <c r="WOK1115" s="379" t="s">
        <v>3783</v>
      </c>
      <c r="WOL1115" s="379" t="s">
        <v>3783</v>
      </c>
      <c r="WOM1115" s="379" t="s">
        <v>3783</v>
      </c>
      <c r="WON1115" s="379" t="s">
        <v>3783</v>
      </c>
      <c r="WOO1115" s="379" t="s">
        <v>3783</v>
      </c>
      <c r="WOP1115" s="379" t="s">
        <v>3783</v>
      </c>
      <c r="WOQ1115" s="379" t="s">
        <v>3783</v>
      </c>
      <c r="WOR1115" s="379" t="s">
        <v>3783</v>
      </c>
      <c r="WOS1115" s="379" t="s">
        <v>3783</v>
      </c>
      <c r="WOT1115" s="379" t="s">
        <v>3783</v>
      </c>
      <c r="WOU1115" s="379" t="s">
        <v>3783</v>
      </c>
      <c r="WOV1115" s="379" t="s">
        <v>3783</v>
      </c>
      <c r="WOW1115" s="379" t="s">
        <v>3783</v>
      </c>
      <c r="WOX1115" s="379" t="s">
        <v>3783</v>
      </c>
      <c r="WOY1115" s="379" t="s">
        <v>3783</v>
      </c>
      <c r="WOZ1115" s="379" t="s">
        <v>3783</v>
      </c>
      <c r="WPA1115" s="379" t="s">
        <v>3783</v>
      </c>
      <c r="WPB1115" s="379" t="s">
        <v>3783</v>
      </c>
      <c r="WPC1115" s="379" t="s">
        <v>3783</v>
      </c>
      <c r="WPD1115" s="379" t="s">
        <v>3783</v>
      </c>
      <c r="WPE1115" s="379" t="s">
        <v>3783</v>
      </c>
      <c r="WPF1115" s="379" t="s">
        <v>3783</v>
      </c>
      <c r="WPG1115" s="379" t="s">
        <v>3783</v>
      </c>
      <c r="WPH1115" s="379" t="s">
        <v>3783</v>
      </c>
      <c r="WPI1115" s="379" t="s">
        <v>3783</v>
      </c>
      <c r="WPJ1115" s="379" t="s">
        <v>3783</v>
      </c>
      <c r="WPK1115" s="379" t="s">
        <v>3783</v>
      </c>
      <c r="WPL1115" s="379" t="s">
        <v>3783</v>
      </c>
      <c r="WPM1115" s="379" t="s">
        <v>3783</v>
      </c>
      <c r="WPN1115" s="379" t="s">
        <v>3783</v>
      </c>
      <c r="WPO1115" s="379" t="s">
        <v>3783</v>
      </c>
      <c r="WPP1115" s="379" t="s">
        <v>3783</v>
      </c>
      <c r="WPQ1115" s="379" t="s">
        <v>3783</v>
      </c>
      <c r="WPR1115" s="379" t="s">
        <v>3783</v>
      </c>
      <c r="WPS1115" s="379" t="s">
        <v>3783</v>
      </c>
      <c r="WPT1115" s="379" t="s">
        <v>3783</v>
      </c>
      <c r="WPU1115" s="379" t="s">
        <v>3783</v>
      </c>
      <c r="WPV1115" s="379" t="s">
        <v>3783</v>
      </c>
      <c r="WPW1115" s="379" t="s">
        <v>3783</v>
      </c>
      <c r="WPX1115" s="379" t="s">
        <v>3783</v>
      </c>
      <c r="WPY1115" s="379" t="s">
        <v>3783</v>
      </c>
      <c r="WPZ1115" s="379" t="s">
        <v>3783</v>
      </c>
      <c r="WQA1115" s="379" t="s">
        <v>3783</v>
      </c>
      <c r="WQB1115" s="379" t="s">
        <v>3783</v>
      </c>
      <c r="WQC1115" s="379" t="s">
        <v>3783</v>
      </c>
      <c r="WQD1115" s="379" t="s">
        <v>3783</v>
      </c>
      <c r="WQE1115" s="379" t="s">
        <v>3783</v>
      </c>
      <c r="WQF1115" s="379" t="s">
        <v>3783</v>
      </c>
      <c r="WQG1115" s="379" t="s">
        <v>3783</v>
      </c>
      <c r="WQH1115" s="379" t="s">
        <v>3783</v>
      </c>
      <c r="WQI1115" s="379" t="s">
        <v>3783</v>
      </c>
      <c r="WQJ1115" s="379" t="s">
        <v>3783</v>
      </c>
      <c r="WQK1115" s="379" t="s">
        <v>3783</v>
      </c>
      <c r="WQL1115" s="379" t="s">
        <v>3783</v>
      </c>
      <c r="WQM1115" s="379" t="s">
        <v>3783</v>
      </c>
      <c r="WQN1115" s="379" t="s">
        <v>3783</v>
      </c>
      <c r="WQO1115" s="379" t="s">
        <v>3783</v>
      </c>
      <c r="WQP1115" s="379" t="s">
        <v>3783</v>
      </c>
      <c r="WQQ1115" s="379" t="s">
        <v>3783</v>
      </c>
      <c r="WQR1115" s="379" t="s">
        <v>3783</v>
      </c>
      <c r="WQS1115" s="379" t="s">
        <v>3783</v>
      </c>
      <c r="WQT1115" s="379" t="s">
        <v>3783</v>
      </c>
      <c r="WQU1115" s="379" t="s">
        <v>3783</v>
      </c>
      <c r="WQV1115" s="379" t="s">
        <v>3783</v>
      </c>
      <c r="WQW1115" s="379" t="s">
        <v>3783</v>
      </c>
      <c r="WQX1115" s="379" t="s">
        <v>3783</v>
      </c>
      <c r="WQY1115" s="379" t="s">
        <v>3783</v>
      </c>
      <c r="WQZ1115" s="379" t="s">
        <v>3783</v>
      </c>
      <c r="WRA1115" s="379" t="s">
        <v>3783</v>
      </c>
      <c r="WRB1115" s="379" t="s">
        <v>3783</v>
      </c>
      <c r="WRC1115" s="379" t="s">
        <v>3783</v>
      </c>
      <c r="WRD1115" s="379" t="s">
        <v>3783</v>
      </c>
      <c r="WRE1115" s="379" t="s">
        <v>3783</v>
      </c>
      <c r="WRF1115" s="379" t="s">
        <v>3783</v>
      </c>
      <c r="WRG1115" s="379" t="s">
        <v>3783</v>
      </c>
      <c r="WRH1115" s="379" t="s">
        <v>3783</v>
      </c>
      <c r="WRI1115" s="379" t="s">
        <v>3783</v>
      </c>
      <c r="WRJ1115" s="379" t="s">
        <v>3783</v>
      </c>
      <c r="WRK1115" s="379" t="s">
        <v>3783</v>
      </c>
      <c r="WRL1115" s="379" t="s">
        <v>3783</v>
      </c>
      <c r="WRM1115" s="379" t="s">
        <v>3783</v>
      </c>
      <c r="WRN1115" s="379" t="s">
        <v>3783</v>
      </c>
      <c r="WRO1115" s="379" t="s">
        <v>3783</v>
      </c>
      <c r="WRP1115" s="379" t="s">
        <v>3783</v>
      </c>
      <c r="WRQ1115" s="379" t="s">
        <v>3783</v>
      </c>
      <c r="WRR1115" s="379" t="s">
        <v>3783</v>
      </c>
      <c r="WRS1115" s="379" t="s">
        <v>3783</v>
      </c>
      <c r="WRT1115" s="379" t="s">
        <v>3783</v>
      </c>
      <c r="WRU1115" s="379" t="s">
        <v>3783</v>
      </c>
      <c r="WRV1115" s="379" t="s">
        <v>3783</v>
      </c>
      <c r="WRW1115" s="379" t="s">
        <v>3783</v>
      </c>
      <c r="WRX1115" s="379" t="s">
        <v>3783</v>
      </c>
      <c r="WRY1115" s="379" t="s">
        <v>3783</v>
      </c>
      <c r="WRZ1115" s="379" t="s">
        <v>3783</v>
      </c>
      <c r="WSA1115" s="379" t="s">
        <v>3783</v>
      </c>
      <c r="WSB1115" s="379" t="s">
        <v>3783</v>
      </c>
      <c r="WSC1115" s="379" t="s">
        <v>3783</v>
      </c>
      <c r="WSD1115" s="379" t="s">
        <v>3783</v>
      </c>
      <c r="WSE1115" s="379" t="s">
        <v>3783</v>
      </c>
      <c r="WSF1115" s="379" t="s">
        <v>3783</v>
      </c>
      <c r="WSG1115" s="379" t="s">
        <v>3783</v>
      </c>
      <c r="WSH1115" s="379" t="s">
        <v>3783</v>
      </c>
      <c r="WSI1115" s="379" t="s">
        <v>3783</v>
      </c>
      <c r="WSJ1115" s="379" t="s">
        <v>3783</v>
      </c>
      <c r="WSK1115" s="379" t="s">
        <v>3783</v>
      </c>
      <c r="WSL1115" s="379" t="s">
        <v>3783</v>
      </c>
      <c r="WSM1115" s="379" t="s">
        <v>3783</v>
      </c>
      <c r="WSN1115" s="379" t="s">
        <v>3783</v>
      </c>
      <c r="WSO1115" s="379" t="s">
        <v>3783</v>
      </c>
      <c r="WSP1115" s="379" t="s">
        <v>3783</v>
      </c>
      <c r="WSQ1115" s="379" t="s">
        <v>3783</v>
      </c>
      <c r="WSR1115" s="379" t="s">
        <v>3783</v>
      </c>
      <c r="WSS1115" s="379" t="s">
        <v>3783</v>
      </c>
      <c r="WST1115" s="379" t="s">
        <v>3783</v>
      </c>
      <c r="WSU1115" s="379" t="s">
        <v>3783</v>
      </c>
      <c r="WSV1115" s="379" t="s">
        <v>3783</v>
      </c>
      <c r="WSW1115" s="379" t="s">
        <v>3783</v>
      </c>
      <c r="WSX1115" s="379" t="s">
        <v>3783</v>
      </c>
      <c r="WSY1115" s="379" t="s">
        <v>3783</v>
      </c>
      <c r="WSZ1115" s="379" t="s">
        <v>3783</v>
      </c>
      <c r="WTA1115" s="379" t="s">
        <v>3783</v>
      </c>
      <c r="WTB1115" s="379" t="s">
        <v>3783</v>
      </c>
      <c r="WTC1115" s="379" t="s">
        <v>3783</v>
      </c>
      <c r="WTD1115" s="379" t="s">
        <v>3783</v>
      </c>
      <c r="WTE1115" s="379" t="s">
        <v>3783</v>
      </c>
      <c r="WTF1115" s="379" t="s">
        <v>3783</v>
      </c>
      <c r="WTG1115" s="379" t="s">
        <v>3783</v>
      </c>
      <c r="WTH1115" s="379" t="s">
        <v>3783</v>
      </c>
      <c r="WTI1115" s="379" t="s">
        <v>3783</v>
      </c>
      <c r="WTJ1115" s="379" t="s">
        <v>3783</v>
      </c>
      <c r="WTK1115" s="379" t="s">
        <v>3783</v>
      </c>
      <c r="WTL1115" s="379" t="s">
        <v>3783</v>
      </c>
      <c r="WTM1115" s="379" t="s">
        <v>3783</v>
      </c>
      <c r="WTN1115" s="379" t="s">
        <v>3783</v>
      </c>
      <c r="WTO1115" s="379" t="s">
        <v>3783</v>
      </c>
      <c r="WTP1115" s="379" t="s">
        <v>3783</v>
      </c>
      <c r="WTQ1115" s="379" t="s">
        <v>3783</v>
      </c>
      <c r="WTR1115" s="379" t="s">
        <v>3783</v>
      </c>
      <c r="WTS1115" s="379" t="s">
        <v>3783</v>
      </c>
      <c r="WTT1115" s="379" t="s">
        <v>3783</v>
      </c>
      <c r="WTU1115" s="379" t="s">
        <v>3783</v>
      </c>
      <c r="WTV1115" s="379" t="s">
        <v>3783</v>
      </c>
      <c r="WTW1115" s="379" t="s">
        <v>3783</v>
      </c>
      <c r="WTX1115" s="379" t="s">
        <v>3783</v>
      </c>
      <c r="WTY1115" s="379" t="s">
        <v>3783</v>
      </c>
      <c r="WTZ1115" s="379" t="s">
        <v>3783</v>
      </c>
      <c r="WUA1115" s="379" t="s">
        <v>3783</v>
      </c>
      <c r="WUB1115" s="379" t="s">
        <v>3783</v>
      </c>
      <c r="WUC1115" s="379" t="s">
        <v>3783</v>
      </c>
      <c r="WUD1115" s="379" t="s">
        <v>3783</v>
      </c>
      <c r="WUE1115" s="379" t="s">
        <v>3783</v>
      </c>
      <c r="WUF1115" s="379" t="s">
        <v>3783</v>
      </c>
      <c r="WUG1115" s="379" t="s">
        <v>3783</v>
      </c>
      <c r="WUH1115" s="379" t="s">
        <v>3783</v>
      </c>
      <c r="WUI1115" s="379" t="s">
        <v>3783</v>
      </c>
      <c r="WUJ1115" s="379" t="s">
        <v>3783</v>
      </c>
      <c r="WUK1115" s="379" t="s">
        <v>3783</v>
      </c>
      <c r="WUL1115" s="379" t="s">
        <v>3783</v>
      </c>
      <c r="WUM1115" s="379" t="s">
        <v>3783</v>
      </c>
      <c r="WUN1115" s="379" t="s">
        <v>3783</v>
      </c>
      <c r="WUO1115" s="379" t="s">
        <v>3783</v>
      </c>
      <c r="WUP1115" s="379" t="s">
        <v>3783</v>
      </c>
      <c r="WUQ1115" s="379" t="s">
        <v>3783</v>
      </c>
      <c r="WUR1115" s="379" t="s">
        <v>3783</v>
      </c>
      <c r="WUS1115" s="379" t="s">
        <v>3783</v>
      </c>
      <c r="WUT1115" s="379" t="s">
        <v>3783</v>
      </c>
      <c r="WUU1115" s="379" t="s">
        <v>3783</v>
      </c>
      <c r="WUV1115" s="379" t="s">
        <v>3783</v>
      </c>
      <c r="WUW1115" s="379" t="s">
        <v>3783</v>
      </c>
      <c r="WUX1115" s="379" t="s">
        <v>3783</v>
      </c>
      <c r="WUY1115" s="379" t="s">
        <v>3783</v>
      </c>
      <c r="WUZ1115" s="379" t="s">
        <v>3783</v>
      </c>
      <c r="WVA1115" s="379" t="s">
        <v>3783</v>
      </c>
      <c r="WVB1115" s="379" t="s">
        <v>3783</v>
      </c>
      <c r="WVC1115" s="379" t="s">
        <v>3783</v>
      </c>
      <c r="WVD1115" s="379" t="s">
        <v>3783</v>
      </c>
      <c r="WVE1115" s="379" t="s">
        <v>3783</v>
      </c>
      <c r="WVF1115" s="379" t="s">
        <v>3783</v>
      </c>
      <c r="WVG1115" s="379" t="s">
        <v>3783</v>
      </c>
      <c r="WVH1115" s="379" t="s">
        <v>3783</v>
      </c>
      <c r="WVI1115" s="379" t="s">
        <v>3783</v>
      </c>
      <c r="WVJ1115" s="379" t="s">
        <v>3783</v>
      </c>
      <c r="WVK1115" s="379" t="s">
        <v>3783</v>
      </c>
      <c r="WVL1115" s="379" t="s">
        <v>3783</v>
      </c>
      <c r="WVM1115" s="379" t="s">
        <v>3783</v>
      </c>
      <c r="WVN1115" s="379" t="s">
        <v>3783</v>
      </c>
      <c r="WVO1115" s="379" t="s">
        <v>3783</v>
      </c>
      <c r="WVP1115" s="379" t="s">
        <v>3783</v>
      </c>
      <c r="WVQ1115" s="379" t="s">
        <v>3783</v>
      </c>
      <c r="WVR1115" s="379" t="s">
        <v>3783</v>
      </c>
      <c r="WVS1115" s="379" t="s">
        <v>3783</v>
      </c>
      <c r="WVT1115" s="379" t="s">
        <v>3783</v>
      </c>
      <c r="WVU1115" s="379" t="s">
        <v>3783</v>
      </c>
      <c r="WVV1115" s="379" t="s">
        <v>3783</v>
      </c>
      <c r="WVW1115" s="379" t="s">
        <v>3783</v>
      </c>
      <c r="WVX1115" s="379" t="s">
        <v>3783</v>
      </c>
      <c r="WVY1115" s="379" t="s">
        <v>3783</v>
      </c>
      <c r="WVZ1115" s="379" t="s">
        <v>3783</v>
      </c>
      <c r="WWA1115" s="379" t="s">
        <v>3783</v>
      </c>
      <c r="WWB1115" s="379" t="s">
        <v>3783</v>
      </c>
      <c r="WWC1115" s="379" t="s">
        <v>3783</v>
      </c>
      <c r="WWD1115" s="379" t="s">
        <v>3783</v>
      </c>
      <c r="WWE1115" s="379" t="s">
        <v>3783</v>
      </c>
      <c r="WWF1115" s="379" t="s">
        <v>3783</v>
      </c>
      <c r="WWG1115" s="379" t="s">
        <v>3783</v>
      </c>
      <c r="WWH1115" s="379" t="s">
        <v>3783</v>
      </c>
      <c r="WWI1115" s="379" t="s">
        <v>3783</v>
      </c>
      <c r="WWJ1115" s="379" t="s">
        <v>3783</v>
      </c>
      <c r="WWK1115" s="379" t="s">
        <v>3783</v>
      </c>
      <c r="WWL1115" s="379" t="s">
        <v>3783</v>
      </c>
      <c r="WWM1115" s="379" t="s">
        <v>3783</v>
      </c>
      <c r="WWN1115" s="379" t="s">
        <v>3783</v>
      </c>
      <c r="WWO1115" s="379" t="s">
        <v>3783</v>
      </c>
      <c r="WWP1115" s="379" t="s">
        <v>3783</v>
      </c>
      <c r="WWQ1115" s="379" t="s">
        <v>3783</v>
      </c>
      <c r="WWR1115" s="379" t="s">
        <v>3783</v>
      </c>
      <c r="WWS1115" s="379" t="s">
        <v>3783</v>
      </c>
      <c r="WWT1115" s="379" t="s">
        <v>3783</v>
      </c>
      <c r="WWU1115" s="379" t="s">
        <v>3783</v>
      </c>
      <c r="WWV1115" s="379" t="s">
        <v>3783</v>
      </c>
      <c r="WWW1115" s="379" t="s">
        <v>3783</v>
      </c>
      <c r="WWX1115" s="379" t="s">
        <v>3783</v>
      </c>
      <c r="WWY1115" s="379" t="s">
        <v>3783</v>
      </c>
      <c r="WWZ1115" s="379" t="s">
        <v>3783</v>
      </c>
      <c r="WXA1115" s="379" t="s">
        <v>3783</v>
      </c>
      <c r="WXB1115" s="379" t="s">
        <v>3783</v>
      </c>
      <c r="WXC1115" s="379" t="s">
        <v>3783</v>
      </c>
      <c r="WXD1115" s="379" t="s">
        <v>3783</v>
      </c>
      <c r="WXE1115" s="379" t="s">
        <v>3783</v>
      </c>
      <c r="WXF1115" s="379" t="s">
        <v>3783</v>
      </c>
      <c r="WXG1115" s="379" t="s">
        <v>3783</v>
      </c>
      <c r="WXH1115" s="379" t="s">
        <v>3783</v>
      </c>
      <c r="WXI1115" s="379" t="s">
        <v>3783</v>
      </c>
      <c r="WXJ1115" s="379" t="s">
        <v>3783</v>
      </c>
      <c r="WXK1115" s="379" t="s">
        <v>3783</v>
      </c>
      <c r="WXL1115" s="379" t="s">
        <v>3783</v>
      </c>
      <c r="WXM1115" s="379" t="s">
        <v>3783</v>
      </c>
      <c r="WXN1115" s="379" t="s">
        <v>3783</v>
      </c>
      <c r="WXO1115" s="379" t="s">
        <v>3783</v>
      </c>
      <c r="WXP1115" s="379" t="s">
        <v>3783</v>
      </c>
      <c r="WXQ1115" s="379" t="s">
        <v>3783</v>
      </c>
      <c r="WXR1115" s="379" t="s">
        <v>3783</v>
      </c>
      <c r="WXS1115" s="379" t="s">
        <v>3783</v>
      </c>
      <c r="WXT1115" s="379" t="s">
        <v>3783</v>
      </c>
      <c r="WXU1115" s="379" t="s">
        <v>3783</v>
      </c>
      <c r="WXV1115" s="379" t="s">
        <v>3783</v>
      </c>
      <c r="WXW1115" s="379" t="s">
        <v>3783</v>
      </c>
      <c r="WXX1115" s="379" t="s">
        <v>3783</v>
      </c>
      <c r="WXY1115" s="379" t="s">
        <v>3783</v>
      </c>
      <c r="WXZ1115" s="379" t="s">
        <v>3783</v>
      </c>
      <c r="WYA1115" s="379" t="s">
        <v>3783</v>
      </c>
      <c r="WYB1115" s="379" t="s">
        <v>3783</v>
      </c>
      <c r="WYC1115" s="379" t="s">
        <v>3783</v>
      </c>
      <c r="WYD1115" s="379" t="s">
        <v>3783</v>
      </c>
      <c r="WYE1115" s="379" t="s">
        <v>3783</v>
      </c>
      <c r="WYF1115" s="379" t="s">
        <v>3783</v>
      </c>
      <c r="WYG1115" s="379" t="s">
        <v>3783</v>
      </c>
      <c r="WYH1115" s="379" t="s">
        <v>3783</v>
      </c>
      <c r="WYI1115" s="379" t="s">
        <v>3783</v>
      </c>
      <c r="WYJ1115" s="379" t="s">
        <v>3783</v>
      </c>
      <c r="WYK1115" s="379" t="s">
        <v>3783</v>
      </c>
      <c r="WYL1115" s="379" t="s">
        <v>3783</v>
      </c>
      <c r="WYM1115" s="379" t="s">
        <v>3783</v>
      </c>
      <c r="WYN1115" s="379" t="s">
        <v>3783</v>
      </c>
      <c r="WYO1115" s="379" t="s">
        <v>3783</v>
      </c>
      <c r="WYP1115" s="379" t="s">
        <v>3783</v>
      </c>
      <c r="WYQ1115" s="379" t="s">
        <v>3783</v>
      </c>
      <c r="WYR1115" s="379" t="s">
        <v>3783</v>
      </c>
      <c r="WYS1115" s="379" t="s">
        <v>3783</v>
      </c>
      <c r="WYT1115" s="379" t="s">
        <v>3783</v>
      </c>
      <c r="WYU1115" s="379" t="s">
        <v>3783</v>
      </c>
      <c r="WYV1115" s="379" t="s">
        <v>3783</v>
      </c>
      <c r="WYW1115" s="379" t="s">
        <v>3783</v>
      </c>
      <c r="WYX1115" s="379" t="s">
        <v>3783</v>
      </c>
      <c r="WYY1115" s="379" t="s">
        <v>3783</v>
      </c>
      <c r="WYZ1115" s="379" t="s">
        <v>3783</v>
      </c>
      <c r="WZA1115" s="379" t="s">
        <v>3783</v>
      </c>
      <c r="WZB1115" s="379" t="s">
        <v>3783</v>
      </c>
      <c r="WZC1115" s="379" t="s">
        <v>3783</v>
      </c>
      <c r="WZD1115" s="379" t="s">
        <v>3783</v>
      </c>
      <c r="WZE1115" s="379" t="s">
        <v>3783</v>
      </c>
      <c r="WZF1115" s="379" t="s">
        <v>3783</v>
      </c>
      <c r="WZG1115" s="379" t="s">
        <v>3783</v>
      </c>
      <c r="WZH1115" s="379" t="s">
        <v>3783</v>
      </c>
      <c r="WZI1115" s="379" t="s">
        <v>3783</v>
      </c>
      <c r="WZJ1115" s="379" t="s">
        <v>3783</v>
      </c>
      <c r="WZK1115" s="379" t="s">
        <v>3783</v>
      </c>
      <c r="WZL1115" s="379" t="s">
        <v>3783</v>
      </c>
      <c r="WZM1115" s="379" t="s">
        <v>3783</v>
      </c>
      <c r="WZN1115" s="379" t="s">
        <v>3783</v>
      </c>
      <c r="WZO1115" s="379" t="s">
        <v>3783</v>
      </c>
      <c r="WZP1115" s="379" t="s">
        <v>3783</v>
      </c>
      <c r="WZQ1115" s="379" t="s">
        <v>3783</v>
      </c>
      <c r="WZR1115" s="379" t="s">
        <v>3783</v>
      </c>
      <c r="WZS1115" s="379" t="s">
        <v>3783</v>
      </c>
      <c r="WZT1115" s="379" t="s">
        <v>3783</v>
      </c>
      <c r="WZU1115" s="379" t="s">
        <v>3783</v>
      </c>
      <c r="WZV1115" s="379" t="s">
        <v>3783</v>
      </c>
      <c r="WZW1115" s="379" t="s">
        <v>3783</v>
      </c>
      <c r="WZX1115" s="379" t="s">
        <v>3783</v>
      </c>
      <c r="WZY1115" s="379" t="s">
        <v>3783</v>
      </c>
      <c r="WZZ1115" s="379" t="s">
        <v>3783</v>
      </c>
      <c r="XAA1115" s="379" t="s">
        <v>3783</v>
      </c>
      <c r="XAB1115" s="379" t="s">
        <v>3783</v>
      </c>
      <c r="XAC1115" s="379" t="s">
        <v>3783</v>
      </c>
      <c r="XAD1115" s="379" t="s">
        <v>3783</v>
      </c>
      <c r="XAE1115" s="379" t="s">
        <v>3783</v>
      </c>
      <c r="XAF1115" s="379" t="s">
        <v>3783</v>
      </c>
      <c r="XAG1115" s="379" t="s">
        <v>3783</v>
      </c>
      <c r="XAH1115" s="379" t="s">
        <v>3783</v>
      </c>
      <c r="XAI1115" s="379" t="s">
        <v>3783</v>
      </c>
      <c r="XAJ1115" s="379" t="s">
        <v>3783</v>
      </c>
      <c r="XAK1115" s="379" t="s">
        <v>3783</v>
      </c>
      <c r="XAL1115" s="379" t="s">
        <v>3783</v>
      </c>
      <c r="XAM1115" s="379" t="s">
        <v>3783</v>
      </c>
      <c r="XAN1115" s="379" t="s">
        <v>3783</v>
      </c>
      <c r="XAO1115" s="379" t="s">
        <v>3783</v>
      </c>
      <c r="XAP1115" s="379" t="s">
        <v>3783</v>
      </c>
      <c r="XAQ1115" s="379" t="s">
        <v>3783</v>
      </c>
      <c r="XAR1115" s="379" t="s">
        <v>3783</v>
      </c>
      <c r="XAS1115" s="379" t="s">
        <v>3783</v>
      </c>
      <c r="XAT1115" s="379" t="s">
        <v>3783</v>
      </c>
      <c r="XAU1115" s="379" t="s">
        <v>3783</v>
      </c>
      <c r="XAV1115" s="379" t="s">
        <v>3783</v>
      </c>
      <c r="XAW1115" s="379" t="s">
        <v>3783</v>
      </c>
      <c r="XAX1115" s="379" t="s">
        <v>3783</v>
      </c>
      <c r="XAY1115" s="379" t="s">
        <v>3783</v>
      </c>
      <c r="XAZ1115" s="379" t="s">
        <v>3783</v>
      </c>
      <c r="XBA1115" s="379" t="s">
        <v>3783</v>
      </c>
      <c r="XBB1115" s="379" t="s">
        <v>3783</v>
      </c>
      <c r="XBC1115" s="379" t="s">
        <v>3783</v>
      </c>
      <c r="XBD1115" s="379" t="s">
        <v>3783</v>
      </c>
      <c r="XBE1115" s="379" t="s">
        <v>3783</v>
      </c>
      <c r="XBF1115" s="379" t="s">
        <v>3783</v>
      </c>
      <c r="XBG1115" s="379" t="s">
        <v>3783</v>
      </c>
      <c r="XBH1115" s="379" t="s">
        <v>3783</v>
      </c>
      <c r="XBI1115" s="379" t="s">
        <v>3783</v>
      </c>
      <c r="XBJ1115" s="379" t="s">
        <v>3783</v>
      </c>
      <c r="XBK1115" s="379" t="s">
        <v>3783</v>
      </c>
      <c r="XBL1115" s="379" t="s">
        <v>3783</v>
      </c>
      <c r="XBM1115" s="379" t="s">
        <v>3783</v>
      </c>
      <c r="XBN1115" s="379" t="s">
        <v>3783</v>
      </c>
      <c r="XBO1115" s="379" t="s">
        <v>3783</v>
      </c>
      <c r="XBP1115" s="379" t="s">
        <v>3783</v>
      </c>
      <c r="XBQ1115" s="379" t="s">
        <v>3783</v>
      </c>
      <c r="XBR1115" s="379" t="s">
        <v>3783</v>
      </c>
      <c r="XBS1115" s="379" t="s">
        <v>3783</v>
      </c>
      <c r="XBT1115" s="379" t="s">
        <v>3783</v>
      </c>
      <c r="XBU1115" s="379" t="s">
        <v>3783</v>
      </c>
      <c r="XBV1115" s="379" t="s">
        <v>3783</v>
      </c>
      <c r="XBW1115" s="379" t="s">
        <v>3783</v>
      </c>
      <c r="XBX1115" s="379" t="s">
        <v>3783</v>
      </c>
      <c r="XBY1115" s="379" t="s">
        <v>3783</v>
      </c>
      <c r="XBZ1115" s="379" t="s">
        <v>3783</v>
      </c>
      <c r="XCA1115" s="379" t="s">
        <v>3783</v>
      </c>
      <c r="XCB1115" s="379" t="s">
        <v>3783</v>
      </c>
      <c r="XCC1115" s="379" t="s">
        <v>3783</v>
      </c>
      <c r="XCD1115" s="379" t="s">
        <v>3783</v>
      </c>
      <c r="XCE1115" s="379" t="s">
        <v>3783</v>
      </c>
      <c r="XCF1115" s="379" t="s">
        <v>3783</v>
      </c>
      <c r="XCG1115" s="379" t="s">
        <v>3783</v>
      </c>
      <c r="XCH1115" s="379" t="s">
        <v>3783</v>
      </c>
      <c r="XCI1115" s="379" t="s">
        <v>3783</v>
      </c>
      <c r="XCJ1115" s="379" t="s">
        <v>3783</v>
      </c>
      <c r="XCK1115" s="379" t="s">
        <v>3783</v>
      </c>
      <c r="XCL1115" s="379" t="s">
        <v>3783</v>
      </c>
      <c r="XCM1115" s="379" t="s">
        <v>3783</v>
      </c>
      <c r="XCN1115" s="379" t="s">
        <v>3783</v>
      </c>
      <c r="XCO1115" s="379" t="s">
        <v>3783</v>
      </c>
      <c r="XCP1115" s="379" t="s">
        <v>3783</v>
      </c>
      <c r="XCQ1115" s="379" t="s">
        <v>3783</v>
      </c>
      <c r="XCR1115" s="379" t="s">
        <v>3783</v>
      </c>
      <c r="XCS1115" s="379" t="s">
        <v>3783</v>
      </c>
      <c r="XCT1115" s="379" t="s">
        <v>3783</v>
      </c>
      <c r="XCU1115" s="379" t="s">
        <v>3783</v>
      </c>
      <c r="XCV1115" s="379" t="s">
        <v>3783</v>
      </c>
      <c r="XCW1115" s="379" t="s">
        <v>3783</v>
      </c>
      <c r="XCX1115" s="379" t="s">
        <v>3783</v>
      </c>
      <c r="XCY1115" s="379" t="s">
        <v>3783</v>
      </c>
      <c r="XCZ1115" s="379" t="s">
        <v>3783</v>
      </c>
      <c r="XDA1115" s="379" t="s">
        <v>3783</v>
      </c>
      <c r="XDB1115" s="379" t="s">
        <v>3783</v>
      </c>
      <c r="XDC1115" s="379" t="s">
        <v>3783</v>
      </c>
      <c r="XDD1115" s="379" t="s">
        <v>3783</v>
      </c>
      <c r="XDE1115" s="379" t="s">
        <v>3783</v>
      </c>
      <c r="XDF1115" s="379" t="s">
        <v>3783</v>
      </c>
      <c r="XDG1115" s="379" t="s">
        <v>3783</v>
      </c>
      <c r="XDH1115" s="379" t="s">
        <v>3783</v>
      </c>
      <c r="XDI1115" s="379" t="s">
        <v>3783</v>
      </c>
      <c r="XDJ1115" s="379" t="s">
        <v>3783</v>
      </c>
      <c r="XDK1115" s="379" t="s">
        <v>3783</v>
      </c>
      <c r="XDL1115" s="379" t="s">
        <v>3783</v>
      </c>
      <c r="XDM1115" s="379" t="s">
        <v>3783</v>
      </c>
      <c r="XDN1115" s="379" t="s">
        <v>3783</v>
      </c>
      <c r="XDO1115" s="379" t="s">
        <v>3783</v>
      </c>
      <c r="XDP1115" s="379" t="s">
        <v>3783</v>
      </c>
      <c r="XDQ1115" s="379" t="s">
        <v>3783</v>
      </c>
      <c r="XDR1115" s="379" t="s">
        <v>3783</v>
      </c>
      <c r="XDS1115" s="379" t="s">
        <v>3783</v>
      </c>
      <c r="XDT1115" s="379" t="s">
        <v>3783</v>
      </c>
      <c r="XDU1115" s="379" t="s">
        <v>3783</v>
      </c>
      <c r="XDV1115" s="379" t="s">
        <v>3783</v>
      </c>
      <c r="XDW1115" s="379" t="s">
        <v>3783</v>
      </c>
      <c r="XDX1115" s="379" t="s">
        <v>3783</v>
      </c>
      <c r="XDY1115" s="379" t="s">
        <v>3783</v>
      </c>
      <c r="XDZ1115" s="379" t="s">
        <v>3783</v>
      </c>
      <c r="XEA1115" s="379" t="s">
        <v>3783</v>
      </c>
      <c r="XEB1115" s="379" t="s">
        <v>3783</v>
      </c>
      <c r="XEC1115" s="379" t="s">
        <v>3783</v>
      </c>
      <c r="XED1115" s="379" t="s">
        <v>3783</v>
      </c>
      <c r="XEE1115" s="379" t="s">
        <v>3783</v>
      </c>
      <c r="XEF1115" s="379" t="s">
        <v>3783</v>
      </c>
      <c r="XEG1115" s="379" t="s">
        <v>3783</v>
      </c>
      <c r="XEH1115" s="379" t="s">
        <v>3783</v>
      </c>
      <c r="XEI1115" s="379" t="s">
        <v>3783</v>
      </c>
      <c r="XEJ1115" s="379" t="s">
        <v>3783</v>
      </c>
      <c r="XEK1115" s="379" t="s">
        <v>3783</v>
      </c>
      <c r="XEL1115" s="379" t="s">
        <v>3783</v>
      </c>
      <c r="XEM1115" s="379" t="s">
        <v>3783</v>
      </c>
      <c r="XEN1115" s="379" t="s">
        <v>3783</v>
      </c>
      <c r="XEO1115" s="379" t="s">
        <v>3783</v>
      </c>
      <c r="XEP1115" s="379" t="s">
        <v>3783</v>
      </c>
      <c r="XEQ1115" s="379" t="s">
        <v>3783</v>
      </c>
      <c r="XER1115" s="379" t="s">
        <v>3783</v>
      </c>
      <c r="XES1115" s="379" t="s">
        <v>3783</v>
      </c>
      <c r="XET1115" s="379" t="s">
        <v>3783</v>
      </c>
      <c r="XEU1115" s="379" t="s">
        <v>3783</v>
      </c>
    </row>
    <row r="1116" spans="1:16375" ht="30.75" hidden="1" customHeight="1" x14ac:dyDescent="0.25">
      <c r="A1116" s="999"/>
      <c r="B1116" s="1024"/>
      <c r="C1116" s="82" t="s">
        <v>3785</v>
      </c>
      <c r="D1116" s="576">
        <v>817500000</v>
      </c>
      <c r="E1116" s="232">
        <v>682820000</v>
      </c>
      <c r="F1116" s="232"/>
      <c r="G1116" s="201">
        <f t="shared" si="92"/>
        <v>83.525382262996942</v>
      </c>
      <c r="H1116" s="232">
        <v>85</v>
      </c>
      <c r="I1116" s="4637"/>
      <c r="J1116" s="4890"/>
      <c r="K1116" s="536"/>
      <c r="L1116" s="536"/>
    </row>
    <row r="1117" spans="1:16375" ht="18" hidden="1" customHeight="1" x14ac:dyDescent="0.25">
      <c r="A1117" s="999"/>
      <c r="B1117" s="1024"/>
      <c r="C1117" s="82" t="s">
        <v>3786</v>
      </c>
      <c r="D1117" s="576">
        <v>1440000000</v>
      </c>
      <c r="E1117" s="576">
        <v>1435390000</v>
      </c>
      <c r="F1117" s="576"/>
      <c r="G1117" s="201">
        <f t="shared" si="92"/>
        <v>99.679861111111109</v>
      </c>
      <c r="H1117" s="576">
        <v>100</v>
      </c>
      <c r="I1117" s="4637"/>
      <c r="J1117" s="4890"/>
      <c r="K1117" s="536"/>
      <c r="L1117" s="536"/>
    </row>
    <row r="1118" spans="1:16375" ht="17.25" hidden="1" customHeight="1" x14ac:dyDescent="0.25">
      <c r="A1118" s="999"/>
      <c r="B1118" s="1024"/>
      <c r="C1118" s="82" t="s">
        <v>3787</v>
      </c>
      <c r="D1118" s="576">
        <v>999100000</v>
      </c>
      <c r="E1118" s="576">
        <v>982660000</v>
      </c>
      <c r="F1118" s="576"/>
      <c r="G1118" s="201">
        <f t="shared" si="92"/>
        <v>98.354519067160439</v>
      </c>
      <c r="H1118" s="576">
        <v>99</v>
      </c>
      <c r="I1118" s="4637"/>
      <c r="J1118" s="4890"/>
      <c r="K1118" s="536"/>
      <c r="L1118" s="536"/>
    </row>
    <row r="1119" spans="1:16375" ht="27" hidden="1" customHeight="1" x14ac:dyDescent="0.25">
      <c r="A1119" s="999"/>
      <c r="B1119" s="1024"/>
      <c r="C1119" s="82" t="s">
        <v>3788</v>
      </c>
      <c r="D1119" s="4624" t="s">
        <v>3317</v>
      </c>
      <c r="E1119" s="4625" t="s">
        <v>3317</v>
      </c>
      <c r="F1119" s="4625"/>
      <c r="G1119" s="4625" t="s">
        <v>3317</v>
      </c>
      <c r="H1119" s="4625" t="s">
        <v>3317</v>
      </c>
      <c r="I1119" s="4637"/>
      <c r="J1119" s="4890"/>
      <c r="K1119" s="536"/>
      <c r="L1119" s="536"/>
    </row>
    <row r="1120" spans="1:16375" ht="15.75" hidden="1" customHeight="1" x14ac:dyDescent="0.25">
      <c r="A1120" s="999"/>
      <c r="B1120" s="1024"/>
      <c r="C1120" s="82" t="s">
        <v>3789</v>
      </c>
      <c r="D1120" s="576">
        <v>219725000</v>
      </c>
      <c r="E1120" s="576">
        <v>218000000</v>
      </c>
      <c r="F1120" s="576"/>
      <c r="G1120" s="201">
        <f t="shared" ref="G1120:G1123" si="93">SUM(E1120/D1120*100)</f>
        <v>99.21492775059734</v>
      </c>
      <c r="H1120" s="576">
        <v>100</v>
      </c>
      <c r="I1120" s="4637"/>
      <c r="J1120" s="4890"/>
      <c r="K1120" s="536"/>
      <c r="L1120" s="536"/>
    </row>
    <row r="1121" spans="1:12" ht="19.5" hidden="1" customHeight="1" x14ac:dyDescent="0.25">
      <c r="A1121" s="999"/>
      <c r="B1121" s="1024"/>
      <c r="C1121" s="82" t="s">
        <v>3790</v>
      </c>
      <c r="D1121" s="576">
        <v>15275000</v>
      </c>
      <c r="E1121" s="576">
        <v>15250000</v>
      </c>
      <c r="F1121" s="576"/>
      <c r="G1121" s="201">
        <f t="shared" si="93"/>
        <v>99.836333878887075</v>
      </c>
      <c r="H1121" s="576">
        <v>100</v>
      </c>
      <c r="I1121" s="4637"/>
      <c r="J1121" s="4890"/>
      <c r="K1121" s="536"/>
      <c r="L1121" s="536"/>
    </row>
    <row r="1122" spans="1:12" ht="10.5" hidden="1" customHeight="1" x14ac:dyDescent="0.25">
      <c r="A1122" s="999"/>
      <c r="B1122" s="1024"/>
      <c r="C1122" s="119"/>
      <c r="D1122" s="4629"/>
      <c r="E1122" s="348"/>
      <c r="F1122" s="348"/>
      <c r="G1122" s="348"/>
      <c r="H1122" s="348"/>
      <c r="I1122" s="4637"/>
      <c r="J1122" s="4890"/>
      <c r="K1122" s="536"/>
      <c r="L1122" s="536"/>
    </row>
    <row r="1123" spans="1:12" ht="17.25" hidden="1" customHeight="1" x14ac:dyDescent="0.25">
      <c r="A1123" s="999"/>
      <c r="B1123" s="1024"/>
      <c r="C1123" s="134" t="s">
        <v>2815</v>
      </c>
      <c r="D1123" s="4628">
        <f>SUM(D1124:D1128)</f>
        <v>1960900000</v>
      </c>
      <c r="E1123" s="84">
        <f>SUM(E1124:E1128)</f>
        <v>1124818000</v>
      </c>
      <c r="F1123" s="84"/>
      <c r="G1123" s="202">
        <f t="shared" si="93"/>
        <v>57.362333622316285</v>
      </c>
      <c r="H1123" s="202">
        <f>SUM(H1124:H1128)/5</f>
        <v>60</v>
      </c>
      <c r="I1123" s="4637"/>
      <c r="J1123" s="4890"/>
      <c r="K1123" s="536"/>
      <c r="L1123" s="536"/>
    </row>
    <row r="1124" spans="1:12" ht="18" hidden="1" customHeight="1" x14ac:dyDescent="0.25">
      <c r="A1124" s="999"/>
      <c r="B1124" s="1024"/>
      <c r="C1124" s="82" t="s">
        <v>2816</v>
      </c>
      <c r="D1124" s="576">
        <v>359400000</v>
      </c>
      <c r="E1124" s="576">
        <v>358818000</v>
      </c>
      <c r="F1124" s="576"/>
      <c r="G1124" s="576">
        <f t="shared" ref="G1124:G1128" si="94">E1124/D1124*100</f>
        <v>99.83806343906511</v>
      </c>
      <c r="H1124" s="576">
        <v>100</v>
      </c>
      <c r="I1124" s="4637"/>
      <c r="J1124" s="4890"/>
      <c r="K1124" s="536"/>
      <c r="L1124" s="536"/>
    </row>
    <row r="1125" spans="1:12" ht="30" hidden="1" customHeight="1" x14ac:dyDescent="0.25">
      <c r="A1125" s="999"/>
      <c r="B1125" s="1024"/>
      <c r="C1125" s="82" t="s">
        <v>2817</v>
      </c>
      <c r="D1125" s="576">
        <v>961500000</v>
      </c>
      <c r="E1125" s="576">
        <v>366000000</v>
      </c>
      <c r="F1125" s="576"/>
      <c r="G1125" s="576">
        <f t="shared" si="94"/>
        <v>38.065522620904837</v>
      </c>
      <c r="H1125" s="576">
        <v>100</v>
      </c>
      <c r="I1125" s="4637"/>
      <c r="J1125" s="4890"/>
      <c r="K1125" s="536"/>
      <c r="L1125" s="536"/>
    </row>
    <row r="1126" spans="1:12" ht="18" hidden="1" customHeight="1" x14ac:dyDescent="0.25">
      <c r="A1126" s="999"/>
      <c r="B1126" s="1024"/>
      <c r="C1126" s="82" t="s">
        <v>2818</v>
      </c>
      <c r="D1126" s="576">
        <v>60000000</v>
      </c>
      <c r="E1126" s="232">
        <v>0</v>
      </c>
      <c r="F1126" s="232"/>
      <c r="G1126" s="232">
        <v>0</v>
      </c>
      <c r="H1126" s="232">
        <v>0</v>
      </c>
      <c r="I1126" s="4637"/>
      <c r="J1126" s="4890"/>
      <c r="K1126" s="536"/>
      <c r="L1126" s="536"/>
    </row>
    <row r="1127" spans="1:12" ht="18" hidden="1" customHeight="1" x14ac:dyDescent="0.25">
      <c r="A1127" s="999"/>
      <c r="B1127" s="1024"/>
      <c r="C1127" s="82" t="s">
        <v>2819</v>
      </c>
      <c r="D1127" s="576">
        <v>180000000</v>
      </c>
      <c r="E1127" s="232">
        <v>0</v>
      </c>
      <c r="F1127" s="232"/>
      <c r="G1127" s="232">
        <v>0</v>
      </c>
      <c r="H1127" s="232">
        <v>0</v>
      </c>
      <c r="I1127" s="4637"/>
      <c r="J1127" s="4890"/>
      <c r="K1127" s="536"/>
      <c r="L1127" s="536"/>
    </row>
    <row r="1128" spans="1:12" ht="18.75" hidden="1" customHeight="1" x14ac:dyDescent="0.25">
      <c r="A1128" s="999"/>
      <c r="B1128" s="1024"/>
      <c r="C1128" s="82" t="s">
        <v>2820</v>
      </c>
      <c r="D1128" s="576">
        <v>400000000</v>
      </c>
      <c r="E1128" s="576">
        <v>400000000</v>
      </c>
      <c r="F1128" s="576"/>
      <c r="G1128" s="576">
        <f t="shared" si="94"/>
        <v>100</v>
      </c>
      <c r="H1128" s="576">
        <v>100</v>
      </c>
      <c r="I1128" s="4637"/>
      <c r="J1128" s="4890"/>
      <c r="K1128" s="536"/>
      <c r="L1128" s="536"/>
    </row>
    <row r="1129" spans="1:12" ht="12" hidden="1" customHeight="1" x14ac:dyDescent="0.25">
      <c r="A1129" s="999"/>
      <c r="B1129" s="1024"/>
      <c r="C1129" s="82"/>
      <c r="D1129" s="4630"/>
      <c r="E1129" s="348"/>
      <c r="F1129" s="348"/>
      <c r="G1129" s="348"/>
      <c r="H1129" s="348"/>
      <c r="I1129" s="4637"/>
      <c r="J1129" s="4890"/>
      <c r="K1129" s="536"/>
      <c r="L1129" s="536"/>
    </row>
    <row r="1130" spans="1:12" ht="17.25" hidden="1" customHeight="1" x14ac:dyDescent="0.25">
      <c r="A1130" s="999"/>
      <c r="B1130" s="1024"/>
      <c r="C1130" s="134" t="s">
        <v>2821</v>
      </c>
      <c r="D1130" s="4628">
        <f>SUM(D1131:D1132)</f>
        <v>500000000</v>
      </c>
      <c r="E1130" s="84">
        <f>SUM(E1131:E1132)</f>
        <v>499700000</v>
      </c>
      <c r="F1130" s="84"/>
      <c r="G1130" s="202">
        <f t="shared" ref="G1130" si="95">SUM(E1130/D1130*100)</f>
        <v>99.94</v>
      </c>
      <c r="H1130" s="202">
        <f>SUM(H1131:H1132)/2</f>
        <v>100</v>
      </c>
      <c r="I1130" s="4637"/>
      <c r="J1130" s="4890"/>
      <c r="K1130" s="536"/>
      <c r="L1130" s="536"/>
    </row>
    <row r="1131" spans="1:12" ht="15" hidden="1" customHeight="1" x14ac:dyDescent="0.25">
      <c r="A1131" s="999"/>
      <c r="B1131" s="1024"/>
      <c r="C1131" s="82" t="s">
        <v>2822</v>
      </c>
      <c r="D1131" s="576">
        <v>250000000</v>
      </c>
      <c r="E1131" s="232">
        <v>250000000</v>
      </c>
      <c r="F1131" s="232"/>
      <c r="G1131" s="576">
        <f t="shared" ref="G1131:G1132" si="96">E1131/D1131*100</f>
        <v>100</v>
      </c>
      <c r="H1131" s="232">
        <v>100</v>
      </c>
      <c r="I1131" s="4637"/>
      <c r="J1131" s="4890"/>
      <c r="K1131" s="536"/>
      <c r="L1131" s="536"/>
    </row>
    <row r="1132" spans="1:12" ht="15" hidden="1" customHeight="1" x14ac:dyDescent="0.25">
      <c r="A1132" s="999"/>
      <c r="B1132" s="1024"/>
      <c r="C1132" s="82" t="s">
        <v>2823</v>
      </c>
      <c r="D1132" s="576">
        <v>250000000</v>
      </c>
      <c r="E1132" s="576">
        <v>249700000</v>
      </c>
      <c r="F1132" s="576"/>
      <c r="G1132" s="576">
        <f t="shared" si="96"/>
        <v>99.88</v>
      </c>
      <c r="H1132" s="576">
        <v>100</v>
      </c>
      <c r="I1132" s="4637"/>
      <c r="J1132" s="4890"/>
      <c r="K1132" s="536"/>
      <c r="L1132" s="536"/>
    </row>
    <row r="1133" spans="1:12" ht="12" hidden="1" customHeight="1" x14ac:dyDescent="0.25">
      <c r="A1133" s="999"/>
      <c r="B1133" s="1993"/>
      <c r="C1133" s="82"/>
      <c r="D1133" s="4631"/>
      <c r="E1133" s="348"/>
      <c r="F1133" s="348"/>
      <c r="G1133" s="202"/>
      <c r="H1133" s="348"/>
      <c r="I1133" s="4637"/>
      <c r="J1133" s="4890"/>
      <c r="K1133" s="536"/>
      <c r="L1133" s="536"/>
    </row>
    <row r="1134" spans="1:12" ht="15.75" hidden="1" customHeight="1" x14ac:dyDescent="0.25">
      <c r="A1134" s="999"/>
      <c r="B1134" s="1024"/>
      <c r="C1134" s="134" t="s">
        <v>2824</v>
      </c>
      <c r="D1134" s="4628">
        <f>SUM(D1135:D1136)</f>
        <v>645000000</v>
      </c>
      <c r="E1134" s="84">
        <f>SUM(E1135:E1136)</f>
        <v>72000000</v>
      </c>
      <c r="F1134" s="84"/>
      <c r="G1134" s="202">
        <f t="shared" ref="G1134" si="97">SUM(E1134/D1134*100)</f>
        <v>11.162790697674419</v>
      </c>
      <c r="H1134" s="202">
        <f>SUM(H1135:H1136)/2</f>
        <v>25</v>
      </c>
      <c r="I1134" s="4637"/>
      <c r="J1134" s="4890"/>
      <c r="K1134" s="536"/>
      <c r="L1134" s="536"/>
    </row>
    <row r="1135" spans="1:12" ht="15.75" hidden="1" customHeight="1" x14ac:dyDescent="0.25">
      <c r="A1135" s="999"/>
      <c r="B1135" s="1024"/>
      <c r="C1135" s="82" t="s">
        <v>2825</v>
      </c>
      <c r="D1135" s="576">
        <v>495000000</v>
      </c>
      <c r="E1135" s="140">
        <v>0</v>
      </c>
      <c r="F1135" s="140"/>
      <c r="G1135" s="140">
        <v>0</v>
      </c>
      <c r="H1135" s="140">
        <v>0</v>
      </c>
      <c r="I1135" s="4637"/>
      <c r="J1135" s="4890"/>
      <c r="K1135" s="536"/>
      <c r="L1135" s="536"/>
    </row>
    <row r="1136" spans="1:12" ht="15.75" hidden="1" customHeight="1" x14ac:dyDescent="0.25">
      <c r="A1136" s="999"/>
      <c r="B1136" s="1024"/>
      <c r="C1136" s="82" t="s">
        <v>2826</v>
      </c>
      <c r="D1136" s="576">
        <v>150000000</v>
      </c>
      <c r="E1136" s="140">
        <v>72000000</v>
      </c>
      <c r="F1136" s="140"/>
      <c r="G1136" s="576">
        <f t="shared" ref="G1136" si="98">E1136/D1136*100</f>
        <v>48</v>
      </c>
      <c r="H1136" s="140">
        <v>50</v>
      </c>
      <c r="I1136" s="4637"/>
      <c r="J1136" s="4890"/>
      <c r="K1136" s="536"/>
      <c r="L1136" s="536"/>
    </row>
    <row r="1137" spans="1:12" ht="12" hidden="1" customHeight="1" x14ac:dyDescent="0.25">
      <c r="A1137" s="999"/>
      <c r="B1137" s="1024"/>
      <c r="C1137" s="214"/>
      <c r="D1137" s="4632"/>
      <c r="E1137" s="348"/>
      <c r="F1137" s="348"/>
      <c r="G1137" s="201"/>
      <c r="H1137" s="348"/>
      <c r="I1137" s="4637"/>
      <c r="J1137" s="4890"/>
      <c r="K1137" s="536"/>
      <c r="L1137" s="536"/>
    </row>
    <row r="1138" spans="1:12" ht="18.75" hidden="1" customHeight="1" x14ac:dyDescent="0.25">
      <c r="A1138" s="999"/>
      <c r="B1138" s="1024"/>
      <c r="C1138" s="134" t="s">
        <v>2827</v>
      </c>
      <c r="D1138" s="4628">
        <f>SUM(D1139:D1140)</f>
        <v>349400000</v>
      </c>
      <c r="E1138" s="84">
        <f>SUM(E1139:E1140)</f>
        <v>345000000</v>
      </c>
      <c r="F1138" s="84"/>
      <c r="G1138" s="202">
        <f t="shared" ref="G1138" si="99">SUM(E1138/D1138*100)</f>
        <v>98.740698340011448</v>
      </c>
      <c r="H1138" s="260">
        <f>SUM(H1140)/1</f>
        <v>99</v>
      </c>
      <c r="I1138" s="4637"/>
      <c r="J1138" s="4890"/>
      <c r="K1138" s="536"/>
      <c r="L1138" s="536"/>
    </row>
    <row r="1139" spans="1:12" ht="14.25" hidden="1" customHeight="1" x14ac:dyDescent="0.25">
      <c r="A1139" s="999"/>
      <c r="B1139" s="1024"/>
      <c r="C1139" s="82" t="s">
        <v>2828</v>
      </c>
      <c r="D1139" s="4624" t="s">
        <v>3317</v>
      </c>
      <c r="E1139" s="4625" t="s">
        <v>3317</v>
      </c>
      <c r="F1139" s="4625"/>
      <c r="G1139" s="4625" t="s">
        <v>3317</v>
      </c>
      <c r="H1139" s="4625" t="s">
        <v>3317</v>
      </c>
      <c r="I1139" s="4637"/>
      <c r="J1139" s="4890"/>
      <c r="K1139" s="536"/>
      <c r="L1139" s="536"/>
    </row>
    <row r="1140" spans="1:12" ht="14.25" hidden="1" customHeight="1" x14ac:dyDescent="0.25">
      <c r="A1140" s="999"/>
      <c r="B1140" s="1024"/>
      <c r="C1140" s="82" t="s">
        <v>2829</v>
      </c>
      <c r="D1140" s="576">
        <v>349400000</v>
      </c>
      <c r="E1140" s="232">
        <v>345000000</v>
      </c>
      <c r="F1140" s="232"/>
      <c r="G1140" s="576">
        <f t="shared" ref="G1140" si="100">E1140/D1140*100</f>
        <v>98.740698340011448</v>
      </c>
      <c r="H1140" s="232">
        <v>99</v>
      </c>
      <c r="I1140" s="4637"/>
      <c r="J1140" s="4890"/>
      <c r="K1140" s="536"/>
      <c r="L1140" s="536"/>
    </row>
    <row r="1141" spans="1:12" ht="11.25" hidden="1" customHeight="1" x14ac:dyDescent="0.25">
      <c r="A1141" s="999"/>
      <c r="B1141" s="1024"/>
      <c r="C1141" s="214"/>
      <c r="D1141" s="4633"/>
      <c r="E1141" s="1935"/>
      <c r="F1141" s="1935"/>
      <c r="G1141" s="204"/>
      <c r="H1141" s="1935"/>
      <c r="I1141" s="4637"/>
      <c r="J1141" s="4890"/>
      <c r="K1141" s="536"/>
      <c r="L1141" s="536"/>
    </row>
    <row r="1142" spans="1:12" ht="22.5" hidden="1" customHeight="1" x14ac:dyDescent="0.25">
      <c r="A1142" s="999"/>
      <c r="B1142" s="1024"/>
      <c r="C1142" s="63" t="s">
        <v>2830</v>
      </c>
      <c r="D1142" s="4628">
        <f>SUM(D1143:D1145)</f>
        <v>8847414000</v>
      </c>
      <c r="E1142" s="84">
        <f>SUM(E1143:E1145)</f>
        <v>5550816761</v>
      </c>
      <c r="F1142" s="84"/>
      <c r="G1142" s="202">
        <f t="shared" ref="G1142" si="101">SUM(E1142/D1142*100)</f>
        <v>62.739426017591128</v>
      </c>
      <c r="H1142" s="202">
        <f>SUM(H1143:H1145)/3</f>
        <v>74.666666666666671</v>
      </c>
      <c r="I1142" s="4637"/>
      <c r="J1142" s="4890"/>
      <c r="K1142" s="536"/>
      <c r="L1142" s="536"/>
    </row>
    <row r="1143" spans="1:12" ht="15.75" hidden="1" customHeight="1" x14ac:dyDescent="0.25">
      <c r="A1143" s="999"/>
      <c r="B1143" s="1024"/>
      <c r="C1143" s="82" t="s">
        <v>2831</v>
      </c>
      <c r="D1143" s="576">
        <v>3076814000</v>
      </c>
      <c r="E1143" s="576">
        <v>2683607761</v>
      </c>
      <c r="F1143" s="576"/>
      <c r="G1143" s="576">
        <f t="shared" ref="G1143:G1145" si="102">E1143/D1143*100</f>
        <v>87.220344193701678</v>
      </c>
      <c r="H1143" s="576">
        <v>90</v>
      </c>
      <c r="I1143" s="4637"/>
      <c r="J1143" s="4890"/>
      <c r="K1143" s="536"/>
      <c r="L1143" s="536"/>
    </row>
    <row r="1144" spans="1:12" ht="17.25" hidden="1" customHeight="1" x14ac:dyDescent="0.25">
      <c r="A1144" s="999"/>
      <c r="B1144" s="1024"/>
      <c r="C1144" s="82" t="s">
        <v>2832</v>
      </c>
      <c r="D1144" s="576">
        <v>1453050000</v>
      </c>
      <c r="E1144" s="576">
        <v>1436200700</v>
      </c>
      <c r="F1144" s="576"/>
      <c r="G1144" s="576">
        <f t="shared" si="102"/>
        <v>98.840418430198554</v>
      </c>
      <c r="H1144" s="576">
        <v>99</v>
      </c>
      <c r="I1144" s="4637"/>
      <c r="J1144" s="4890"/>
      <c r="K1144" s="536"/>
      <c r="L1144" s="536"/>
    </row>
    <row r="1145" spans="1:12" ht="30" hidden="1" customHeight="1" x14ac:dyDescent="0.25">
      <c r="A1145" s="999"/>
      <c r="B1145" s="1024"/>
      <c r="C1145" s="82" t="s">
        <v>2833</v>
      </c>
      <c r="D1145" s="576">
        <f>4350000000-32450000</f>
        <v>4317550000</v>
      </c>
      <c r="E1145" s="576">
        <v>1431008300</v>
      </c>
      <c r="F1145" s="576"/>
      <c r="G1145" s="576">
        <f t="shared" si="102"/>
        <v>33.143989067874138</v>
      </c>
      <c r="H1145" s="576">
        <v>35</v>
      </c>
      <c r="I1145" s="4637"/>
      <c r="J1145" s="4890"/>
      <c r="K1145" s="536"/>
      <c r="L1145" s="536"/>
    </row>
    <row r="1146" spans="1:12" ht="12.75" hidden="1" customHeight="1" x14ac:dyDescent="0.25">
      <c r="A1146" s="999"/>
      <c r="B1146" s="1024"/>
      <c r="C1146" s="82"/>
      <c r="D1146" s="4631"/>
      <c r="E1146" s="348"/>
      <c r="F1146" s="348"/>
      <c r="G1146" s="201"/>
      <c r="H1146" s="348"/>
      <c r="I1146" s="4637"/>
      <c r="J1146" s="4890"/>
      <c r="K1146" s="536"/>
      <c r="L1146" s="536"/>
    </row>
    <row r="1147" spans="1:12" ht="15" hidden="1" customHeight="1" x14ac:dyDescent="0.25">
      <c r="A1147" s="999"/>
      <c r="B1147" s="1024"/>
      <c r="C1147" s="134" t="s">
        <v>2834</v>
      </c>
      <c r="D1147" s="4628">
        <f>SUM(D1148:D1160)</f>
        <v>3547911000</v>
      </c>
      <c r="E1147" s="84">
        <f>SUM(E1148:E1160)</f>
        <v>3415135023</v>
      </c>
      <c r="F1147" s="84"/>
      <c r="G1147" s="202">
        <f t="shared" ref="G1147" si="103">SUM(E1147/D1147*100)</f>
        <v>96.257629433207313</v>
      </c>
      <c r="H1147" s="202">
        <f>SUM(H1148:H1160)/13</f>
        <v>95.15384615384616</v>
      </c>
      <c r="I1147" s="4637"/>
      <c r="J1147" s="4890"/>
      <c r="K1147" s="536"/>
      <c r="L1147" s="536"/>
    </row>
    <row r="1148" spans="1:12" ht="20.25" hidden="1" customHeight="1" x14ac:dyDescent="0.25">
      <c r="A1148" s="999"/>
      <c r="B1148" s="1024"/>
      <c r="C1148" s="82" t="s">
        <v>2835</v>
      </c>
      <c r="D1148" s="576">
        <v>249090000</v>
      </c>
      <c r="E1148" s="576">
        <v>249090000</v>
      </c>
      <c r="F1148" s="576"/>
      <c r="G1148" s="576">
        <f t="shared" ref="G1148:G1160" si="104">E1148/D1148*100</f>
        <v>100</v>
      </c>
      <c r="H1148" s="576">
        <v>100</v>
      </c>
      <c r="I1148" s="4637"/>
      <c r="J1148" s="4890"/>
      <c r="K1148" s="536"/>
      <c r="L1148" s="536"/>
    </row>
    <row r="1149" spans="1:12" ht="13.5" hidden="1" customHeight="1" x14ac:dyDescent="0.25">
      <c r="A1149" s="999"/>
      <c r="B1149" s="1024"/>
      <c r="C1149" s="82" t="s">
        <v>2836</v>
      </c>
      <c r="D1149" s="576">
        <v>350000000</v>
      </c>
      <c r="E1149" s="576">
        <v>349780000</v>
      </c>
      <c r="F1149" s="576"/>
      <c r="G1149" s="576">
        <f t="shared" si="104"/>
        <v>99.937142857142859</v>
      </c>
      <c r="H1149" s="576">
        <v>100</v>
      </c>
      <c r="I1149" s="4637"/>
      <c r="J1149" s="4890"/>
      <c r="K1149" s="536"/>
      <c r="L1149" s="536"/>
    </row>
    <row r="1150" spans="1:12" ht="15.75" hidden="1" customHeight="1" x14ac:dyDescent="0.25">
      <c r="A1150" s="999"/>
      <c r="B1150" s="1024"/>
      <c r="C1150" s="82" t="s">
        <v>2837</v>
      </c>
      <c r="D1150" s="576">
        <v>249550000</v>
      </c>
      <c r="E1150" s="576">
        <v>247950000</v>
      </c>
      <c r="F1150" s="576"/>
      <c r="G1150" s="576">
        <f t="shared" si="104"/>
        <v>99.358845922660791</v>
      </c>
      <c r="H1150" s="576">
        <v>100</v>
      </c>
      <c r="I1150" s="4637"/>
      <c r="J1150" s="4890"/>
      <c r="K1150" s="536"/>
      <c r="L1150" s="536"/>
    </row>
    <row r="1151" spans="1:12" ht="15.75" hidden="1" customHeight="1" x14ac:dyDescent="0.25">
      <c r="A1151" s="999"/>
      <c r="B1151" s="1024"/>
      <c r="C1151" s="119" t="s">
        <v>2838</v>
      </c>
      <c r="D1151" s="576">
        <v>319490000</v>
      </c>
      <c r="E1151" s="576">
        <v>319490000</v>
      </c>
      <c r="F1151" s="576"/>
      <c r="G1151" s="576">
        <f t="shared" si="104"/>
        <v>100</v>
      </c>
      <c r="H1151" s="576">
        <v>100</v>
      </c>
      <c r="I1151" s="4637"/>
      <c r="J1151" s="4890"/>
      <c r="K1151" s="536"/>
      <c r="L1151" s="536"/>
    </row>
    <row r="1152" spans="1:12" ht="15.75" hidden="1" customHeight="1" x14ac:dyDescent="0.25">
      <c r="A1152" s="999"/>
      <c r="B1152" s="1024"/>
      <c r="C1152" s="82" t="s">
        <v>2839</v>
      </c>
      <c r="D1152" s="576">
        <v>150000000</v>
      </c>
      <c r="E1152" s="232">
        <v>150000000</v>
      </c>
      <c r="F1152" s="232"/>
      <c r="G1152" s="576">
        <f t="shared" si="104"/>
        <v>100</v>
      </c>
      <c r="H1152" s="576">
        <v>100</v>
      </c>
      <c r="I1152" s="4637"/>
      <c r="J1152" s="4890"/>
      <c r="K1152" s="536"/>
      <c r="L1152" s="536"/>
    </row>
    <row r="1153" spans="1:12" ht="15.75" hidden="1" customHeight="1" x14ac:dyDescent="0.25">
      <c r="A1153" s="999"/>
      <c r="B1153" s="1024"/>
      <c r="C1153" s="82" t="s">
        <v>2840</v>
      </c>
      <c r="D1153" s="576">
        <v>169870000</v>
      </c>
      <c r="E1153" s="576">
        <v>169870000</v>
      </c>
      <c r="F1153" s="576"/>
      <c r="G1153" s="576">
        <f t="shared" si="104"/>
        <v>100</v>
      </c>
      <c r="H1153" s="576">
        <v>100</v>
      </c>
      <c r="I1153" s="4637"/>
      <c r="J1153" s="4890"/>
      <c r="K1153" s="536"/>
      <c r="L1153" s="536"/>
    </row>
    <row r="1154" spans="1:12" ht="15.75" hidden="1" customHeight="1" x14ac:dyDescent="0.25">
      <c r="A1154" s="999"/>
      <c r="B1154" s="1024"/>
      <c r="C1154" s="82" t="s">
        <v>2841</v>
      </c>
      <c r="D1154" s="576">
        <v>169970000</v>
      </c>
      <c r="E1154" s="576">
        <v>152984023</v>
      </c>
      <c r="F1154" s="576"/>
      <c r="G1154" s="576">
        <f t="shared" si="104"/>
        <v>90.006485262105073</v>
      </c>
      <c r="H1154" s="576">
        <v>93</v>
      </c>
      <c r="I1154" s="4637"/>
      <c r="J1154" s="4890"/>
      <c r="K1154" s="536"/>
      <c r="L1154" s="536"/>
    </row>
    <row r="1155" spans="1:12" ht="15.75" hidden="1" customHeight="1" x14ac:dyDescent="0.25">
      <c r="A1155" s="999"/>
      <c r="B1155" s="1024"/>
      <c r="C1155" s="82" t="s">
        <v>2842</v>
      </c>
      <c r="D1155" s="576">
        <v>169941000</v>
      </c>
      <c r="E1155" s="232">
        <v>169941000</v>
      </c>
      <c r="F1155" s="232"/>
      <c r="G1155" s="576">
        <f t="shared" si="104"/>
        <v>100</v>
      </c>
      <c r="H1155" s="232">
        <v>100</v>
      </c>
      <c r="I1155" s="4637"/>
      <c r="J1155" s="4890"/>
      <c r="K1155" s="536"/>
      <c r="L1155" s="536"/>
    </row>
    <row r="1156" spans="1:12" ht="15.75" hidden="1" customHeight="1" x14ac:dyDescent="0.25">
      <c r="A1156" s="999"/>
      <c r="B1156" s="1024"/>
      <c r="C1156" s="82" t="s">
        <v>2843</v>
      </c>
      <c r="D1156" s="576">
        <v>400000000</v>
      </c>
      <c r="E1156" s="576">
        <v>370650000</v>
      </c>
      <c r="F1156" s="576"/>
      <c r="G1156" s="576">
        <f t="shared" si="104"/>
        <v>92.662500000000009</v>
      </c>
      <c r="H1156" s="576">
        <v>95</v>
      </c>
      <c r="I1156" s="4637"/>
      <c r="J1156" s="4890"/>
      <c r="K1156" s="536"/>
      <c r="L1156" s="536"/>
    </row>
    <row r="1157" spans="1:12" ht="15.75" hidden="1" customHeight="1" x14ac:dyDescent="0.25">
      <c r="A1157" s="999"/>
      <c r="B1157" s="1024"/>
      <c r="C1157" s="379" t="s">
        <v>3794</v>
      </c>
      <c r="D1157" s="576">
        <v>1000000000</v>
      </c>
      <c r="E1157" s="576">
        <v>965150000</v>
      </c>
      <c r="F1157" s="576"/>
      <c r="G1157" s="576">
        <f t="shared" si="104"/>
        <v>96.515000000000001</v>
      </c>
      <c r="H1157" s="576">
        <v>99</v>
      </c>
      <c r="I1157" s="4637"/>
      <c r="J1157" s="4890"/>
      <c r="K1157" s="536"/>
      <c r="L1157" s="536"/>
    </row>
    <row r="1158" spans="1:12" ht="15.75" hidden="1" customHeight="1" x14ac:dyDescent="0.25">
      <c r="A1158" s="999"/>
      <c r="B1158" s="1024"/>
      <c r="C1158" s="82" t="s">
        <v>3791</v>
      </c>
      <c r="D1158" s="576">
        <v>120000000</v>
      </c>
      <c r="E1158" s="576">
        <v>120000000</v>
      </c>
      <c r="F1158" s="576"/>
      <c r="G1158" s="576">
        <f t="shared" si="104"/>
        <v>100</v>
      </c>
      <c r="H1158" s="576">
        <v>100</v>
      </c>
      <c r="I1158" s="4637"/>
      <c r="J1158" s="4890"/>
      <c r="K1158" s="536"/>
      <c r="L1158" s="536"/>
    </row>
    <row r="1159" spans="1:12" ht="15.75" hidden="1" customHeight="1" x14ac:dyDescent="0.25">
      <c r="A1159" s="999"/>
      <c r="B1159" s="1024"/>
      <c r="C1159" s="82" t="s">
        <v>3792</v>
      </c>
      <c r="D1159" s="576">
        <v>80000000</v>
      </c>
      <c r="E1159" s="576">
        <v>30230000</v>
      </c>
      <c r="F1159" s="576"/>
      <c r="G1159" s="576">
        <f t="shared" si="104"/>
        <v>37.787500000000001</v>
      </c>
      <c r="H1159" s="576">
        <v>50</v>
      </c>
      <c r="I1159" s="4637"/>
      <c r="J1159" s="4890"/>
      <c r="K1159" s="536"/>
      <c r="L1159" s="536"/>
    </row>
    <row r="1160" spans="1:12" ht="15.75" hidden="1" customHeight="1" x14ac:dyDescent="0.25">
      <c r="A1160" s="999"/>
      <c r="B1160" s="1024"/>
      <c r="C1160" s="82" t="s">
        <v>3793</v>
      </c>
      <c r="D1160" s="576">
        <v>120000000</v>
      </c>
      <c r="E1160" s="576">
        <v>120000000</v>
      </c>
      <c r="F1160" s="576"/>
      <c r="G1160" s="576">
        <f t="shared" si="104"/>
        <v>100</v>
      </c>
      <c r="H1160" s="576">
        <v>100</v>
      </c>
      <c r="I1160" s="4637"/>
      <c r="J1160" s="4890"/>
      <c r="K1160" s="536"/>
      <c r="L1160" s="536"/>
    </row>
    <row r="1161" spans="1:12" ht="15.75" hidden="1" customHeight="1" x14ac:dyDescent="0.25">
      <c r="A1161" s="999"/>
      <c r="B1161" s="1024"/>
      <c r="C1161" s="119"/>
      <c r="D1161" s="2416"/>
      <c r="E1161" s="2416"/>
      <c r="F1161" s="2416"/>
      <c r="G1161" s="2416"/>
      <c r="H1161" s="2416"/>
      <c r="I1161" s="4856"/>
      <c r="J1161" s="4857"/>
    </row>
    <row r="1162" spans="1:12" ht="15.75" hidden="1" customHeight="1" x14ac:dyDescent="0.25">
      <c r="A1162" s="999"/>
      <c r="B1162" s="1029"/>
      <c r="C1162" s="89" t="s">
        <v>2931</v>
      </c>
      <c r="D1162" s="131">
        <f t="shared" ref="D1162:E1163" si="105">D1163</f>
        <v>88800000</v>
      </c>
      <c r="E1162" s="131">
        <f t="shared" si="105"/>
        <v>88274500</v>
      </c>
      <c r="F1162" s="131"/>
      <c r="G1162" s="2445">
        <f>E1162/D1162*100</f>
        <v>99.40822072072072</v>
      </c>
      <c r="H1162" s="2445">
        <f>H1163</f>
        <v>100</v>
      </c>
      <c r="I1162" s="4856"/>
      <c r="J1162" s="4857"/>
    </row>
    <row r="1163" spans="1:12" ht="22.5" hidden="1" customHeight="1" x14ac:dyDescent="0.25">
      <c r="A1163" s="999"/>
      <c r="B1163" s="1024"/>
      <c r="C1163" s="134" t="s">
        <v>2934</v>
      </c>
      <c r="D1163" s="84">
        <f t="shared" si="105"/>
        <v>88800000</v>
      </c>
      <c r="E1163" s="84">
        <f t="shared" si="105"/>
        <v>88274500</v>
      </c>
      <c r="F1163" s="84"/>
      <c r="G1163" s="202">
        <f>E1163/D1163*100</f>
        <v>99.40822072072072</v>
      </c>
      <c r="H1163" s="257">
        <f>H1164</f>
        <v>100</v>
      </c>
      <c r="I1163" s="4856"/>
      <c r="J1163" s="4857"/>
    </row>
    <row r="1164" spans="1:12" ht="19.5" hidden="1" customHeight="1" x14ac:dyDescent="0.25">
      <c r="A1164" s="999"/>
      <c r="B1164" s="1024"/>
      <c r="C1164" s="82" t="s">
        <v>2935</v>
      </c>
      <c r="D1164" s="576">
        <v>88800000</v>
      </c>
      <c r="E1164" s="576">
        <v>88274500</v>
      </c>
      <c r="F1164" s="576"/>
      <c r="G1164" s="576">
        <f t="shared" ref="G1164" si="106">E1164/D1164*100</f>
        <v>99.40822072072072</v>
      </c>
      <c r="H1164" s="576">
        <v>100</v>
      </c>
      <c r="I1164" s="4856"/>
      <c r="J1164" s="4857"/>
    </row>
    <row r="1165" spans="1:12" ht="15.75" hidden="1" customHeight="1" x14ac:dyDescent="0.25">
      <c r="A1165" s="999"/>
      <c r="B1165" s="1024"/>
      <c r="C1165" s="119"/>
      <c r="D1165" s="2416"/>
      <c r="E1165" s="2416"/>
      <c r="F1165" s="2416"/>
      <c r="G1165" s="2416"/>
      <c r="H1165" s="2416"/>
      <c r="I1165" s="4856"/>
      <c r="J1165" s="4857"/>
    </row>
    <row r="1166" spans="1:12" ht="34.5" hidden="1" customHeight="1" x14ac:dyDescent="0.25">
      <c r="A1166" s="999"/>
      <c r="B1166" s="1029"/>
      <c r="C1166" s="89" t="s">
        <v>2939</v>
      </c>
      <c r="D1166" s="78">
        <f>SUM(D1167+D1170)</f>
        <v>835815500</v>
      </c>
      <c r="E1166" s="78">
        <f>SUM(E1167+E1170)</f>
        <v>835275500</v>
      </c>
      <c r="F1166" s="78"/>
      <c r="G1166" s="200">
        <f>E1166/D1166*100</f>
        <v>99.93539244007799</v>
      </c>
      <c r="H1166" s="346">
        <f>SUM(H1167+H1170)/2</f>
        <v>91.666666666666657</v>
      </c>
      <c r="I1166" s="4856"/>
      <c r="J1166" s="4857"/>
    </row>
    <row r="1167" spans="1:12" ht="18.75" hidden="1" customHeight="1" x14ac:dyDescent="0.25">
      <c r="A1167" s="999"/>
      <c r="B1167" s="1024"/>
      <c r="C1167" s="138" t="s">
        <v>2940</v>
      </c>
      <c r="D1167" s="142">
        <f>D1168</f>
        <v>173000000</v>
      </c>
      <c r="E1167" s="142">
        <f>E1168</f>
        <v>172610000</v>
      </c>
      <c r="F1167" s="142"/>
      <c r="G1167" s="202">
        <f>E1167/D1167*100</f>
        <v>99.774566473988429</v>
      </c>
      <c r="H1167" s="260">
        <f>H1168</f>
        <v>100</v>
      </c>
      <c r="I1167" s="4856"/>
      <c r="J1167" s="4857"/>
    </row>
    <row r="1168" spans="1:12" ht="36" hidden="1" customHeight="1" x14ac:dyDescent="0.25">
      <c r="A1168" s="999"/>
      <c r="B1168" s="1024"/>
      <c r="C1168" s="132" t="s">
        <v>2941</v>
      </c>
      <c r="D1168" s="576">
        <v>173000000</v>
      </c>
      <c r="E1168" s="232">
        <v>172610000</v>
      </c>
      <c r="F1168" s="232"/>
      <c r="G1168" s="576">
        <f t="shared" ref="G1168" si="107">E1168/D1168*100</f>
        <v>99.774566473988429</v>
      </c>
      <c r="H1168" s="232">
        <v>100</v>
      </c>
      <c r="I1168" s="4856"/>
      <c r="J1168" s="4857"/>
    </row>
    <row r="1169" spans="1:10" ht="12.75" hidden="1" customHeight="1" x14ac:dyDescent="0.25">
      <c r="A1169" s="999"/>
      <c r="B1169" s="1024"/>
      <c r="C1169" s="143"/>
      <c r="D1169" s="232"/>
      <c r="E1169" s="232"/>
      <c r="F1169" s="232"/>
      <c r="G1169" s="201"/>
      <c r="H1169" s="344"/>
      <c r="I1169" s="4856"/>
      <c r="J1169" s="4857"/>
    </row>
    <row r="1170" spans="1:10" ht="20.25" hidden="1" customHeight="1" x14ac:dyDescent="0.25">
      <c r="A1170" s="999"/>
      <c r="B1170" s="1024"/>
      <c r="C1170" s="216" t="s">
        <v>2942</v>
      </c>
      <c r="D1170" s="2446">
        <f>SUM(D1171+D1172+D1173+D1174+D1175)</f>
        <v>662815500</v>
      </c>
      <c r="E1170" s="2446">
        <f>SUM(E1171+E1172+E1173+E1174+E1175)</f>
        <v>662665500</v>
      </c>
      <c r="F1170" s="2446"/>
      <c r="G1170" s="202">
        <f>E1170/D1170*100</f>
        <v>99.977369267918448</v>
      </c>
      <c r="H1170" s="2036">
        <f>SUM(H1171:H1175)/6</f>
        <v>83.333333333333329</v>
      </c>
      <c r="I1170" s="4856"/>
      <c r="J1170" s="4857"/>
    </row>
    <row r="1171" spans="1:10" ht="30" hidden="1" customHeight="1" x14ac:dyDescent="0.25">
      <c r="A1171" s="999"/>
      <c r="B1171" s="1024"/>
      <c r="C1171" s="132" t="s">
        <v>2943</v>
      </c>
      <c r="D1171" s="576">
        <v>197112900</v>
      </c>
      <c r="E1171" s="232">
        <v>197112900</v>
      </c>
      <c r="F1171" s="232"/>
      <c r="G1171" s="576">
        <f t="shared" ref="G1171:G1175" si="108">E1171/D1171*100</f>
        <v>100</v>
      </c>
      <c r="H1171" s="232">
        <v>100</v>
      </c>
      <c r="I1171" s="4856"/>
      <c r="J1171" s="4857"/>
    </row>
    <row r="1172" spans="1:10" ht="22.5" hidden="1" customHeight="1" x14ac:dyDescent="0.25">
      <c r="A1172" s="999"/>
      <c r="B1172" s="1024"/>
      <c r="C1172" s="132" t="s">
        <v>2944</v>
      </c>
      <c r="D1172" s="576">
        <v>100000000</v>
      </c>
      <c r="E1172" s="232">
        <v>99850000</v>
      </c>
      <c r="F1172" s="232"/>
      <c r="G1172" s="576">
        <f t="shared" si="108"/>
        <v>99.850000000000009</v>
      </c>
      <c r="H1172" s="232">
        <v>100</v>
      </c>
      <c r="I1172" s="4856"/>
      <c r="J1172" s="4857"/>
    </row>
    <row r="1173" spans="1:10" ht="15.75" hidden="1" customHeight="1" x14ac:dyDescent="0.25">
      <c r="A1173" s="999"/>
      <c r="B1173" s="1024"/>
      <c r="C1173" s="132" t="s">
        <v>2945</v>
      </c>
      <c r="D1173" s="576">
        <v>182823600</v>
      </c>
      <c r="E1173" s="576">
        <v>182823600</v>
      </c>
      <c r="F1173" s="576"/>
      <c r="G1173" s="576">
        <f t="shared" si="108"/>
        <v>100</v>
      </c>
      <c r="H1173" s="576">
        <v>100</v>
      </c>
      <c r="I1173" s="4856"/>
      <c r="J1173" s="4857"/>
    </row>
    <row r="1174" spans="1:10" ht="19.5" hidden="1" customHeight="1" x14ac:dyDescent="0.25">
      <c r="A1174" s="999"/>
      <c r="B1174" s="1024"/>
      <c r="C1174" s="132" t="s">
        <v>2946</v>
      </c>
      <c r="D1174" s="576">
        <v>91125000</v>
      </c>
      <c r="E1174" s="576">
        <v>91125000</v>
      </c>
      <c r="F1174" s="576"/>
      <c r="G1174" s="576">
        <f t="shared" si="108"/>
        <v>100</v>
      </c>
      <c r="H1174" s="576">
        <v>100</v>
      </c>
      <c r="I1174" s="4856"/>
      <c r="J1174" s="4857"/>
    </row>
    <row r="1175" spans="1:10" ht="15.75" hidden="1" customHeight="1" x14ac:dyDescent="0.25">
      <c r="A1175" s="999"/>
      <c r="B1175" s="1024"/>
      <c r="C1175" s="132" t="s">
        <v>3813</v>
      </c>
      <c r="D1175" s="576">
        <v>91754000</v>
      </c>
      <c r="E1175" s="576">
        <v>91754000</v>
      </c>
      <c r="F1175" s="576"/>
      <c r="G1175" s="576">
        <f t="shared" si="108"/>
        <v>100</v>
      </c>
      <c r="H1175" s="576">
        <v>100</v>
      </c>
      <c r="I1175" s="4856"/>
      <c r="J1175" s="4857"/>
    </row>
    <row r="1176" spans="1:10" ht="15.75" hidden="1" customHeight="1" x14ac:dyDescent="0.25">
      <c r="A1176" s="999"/>
      <c r="B1176" s="1024"/>
      <c r="C1176" s="119"/>
      <c r="D1176" s="2416"/>
      <c r="E1176" s="2416"/>
      <c r="F1176" s="2416"/>
      <c r="G1176" s="2416"/>
      <c r="H1176" s="2416"/>
      <c r="I1176" s="4856"/>
      <c r="J1176" s="4857"/>
    </row>
    <row r="1177" spans="1:10" ht="17.25" hidden="1" customHeight="1" x14ac:dyDescent="0.25">
      <c r="A1177" s="999"/>
      <c r="B1177" s="1029"/>
      <c r="C1177" s="89" t="s">
        <v>2992</v>
      </c>
      <c r="D1177" s="131">
        <f>D1178</f>
        <v>471000000</v>
      </c>
      <c r="E1177" s="131">
        <f>E1178</f>
        <v>470900000</v>
      </c>
      <c r="F1177" s="131"/>
      <c r="G1177" s="200">
        <f>E1177/D1177*100</f>
        <v>99.978768577494691</v>
      </c>
      <c r="H1177" s="346">
        <f>H1178</f>
        <v>100</v>
      </c>
      <c r="I1177" s="4856"/>
      <c r="J1177" s="4857"/>
    </row>
    <row r="1178" spans="1:10" ht="15.75" hidden="1" customHeight="1" x14ac:dyDescent="0.25">
      <c r="A1178" s="999"/>
      <c r="B1178" s="1904"/>
      <c r="C1178" s="138" t="s">
        <v>2993</v>
      </c>
      <c r="D1178" s="233">
        <f>D1179</f>
        <v>471000000</v>
      </c>
      <c r="E1178" s="233">
        <f>E1179</f>
        <v>470900000</v>
      </c>
      <c r="F1178" s="233"/>
      <c r="G1178" s="202">
        <f>E1178/D1178*100</f>
        <v>99.978768577494691</v>
      </c>
      <c r="H1178" s="257">
        <f>H1179</f>
        <v>100</v>
      </c>
      <c r="I1178" s="4856"/>
      <c r="J1178" s="4857"/>
    </row>
    <row r="1179" spans="1:10" ht="19.5" hidden="1" customHeight="1" x14ac:dyDescent="0.25">
      <c r="A1179" s="999"/>
      <c r="B1179" s="1904"/>
      <c r="C1179" s="132" t="s">
        <v>2994</v>
      </c>
      <c r="D1179" s="576">
        <v>471000000</v>
      </c>
      <c r="E1179" s="576">
        <v>470900000</v>
      </c>
      <c r="F1179" s="576"/>
      <c r="G1179" s="576">
        <f t="shared" ref="G1179" si="109">E1179/D1179*100</f>
        <v>99.978768577494691</v>
      </c>
      <c r="H1179" s="576">
        <v>100</v>
      </c>
      <c r="I1179" s="4856"/>
      <c r="J1179" s="4857"/>
    </row>
    <row r="1180" spans="1:10" ht="12.75" hidden="1" customHeight="1" x14ac:dyDescent="0.25">
      <c r="B1180" s="1024"/>
      <c r="C1180" s="2162"/>
      <c r="D1180" s="1956"/>
      <c r="E1180" s="1956"/>
      <c r="F1180" s="1956"/>
      <c r="G1180" s="1956"/>
      <c r="H1180" s="1956"/>
      <c r="I1180" s="4856"/>
      <c r="J1180" s="4857"/>
    </row>
    <row r="1181" spans="1:10" ht="20.25" hidden="1" customHeight="1" x14ac:dyDescent="0.25">
      <c r="B1181" s="1029"/>
      <c r="C1181" s="124" t="s">
        <v>3012</v>
      </c>
      <c r="D1181" s="2425">
        <f>SUM(D1182+D1186+D1189+D1192)</f>
        <v>495150000</v>
      </c>
      <c r="E1181" s="2425">
        <f>SUM(E1182+E1186+E1189+E1192)</f>
        <v>444329131</v>
      </c>
      <c r="F1181" s="2425"/>
      <c r="G1181" s="155">
        <f>E1181/D1181*100</f>
        <v>89.73626799959608</v>
      </c>
      <c r="H1181" s="155">
        <f>SUM(H1182+H1186+H1189+H1192)/4</f>
        <v>87.5</v>
      </c>
      <c r="I1181" s="4856"/>
      <c r="J1181" s="4857"/>
    </row>
    <row r="1182" spans="1:10" ht="21.75" hidden="1" customHeight="1" x14ac:dyDescent="0.25">
      <c r="B1182" s="2460"/>
      <c r="C1182" s="148" t="s">
        <v>3013</v>
      </c>
      <c r="D1182" s="2447">
        <f>SUM(D1183:D1184)</f>
        <v>300000000</v>
      </c>
      <c r="E1182" s="2447">
        <f>SUM(E1183:E1184)</f>
        <v>249179131</v>
      </c>
      <c r="F1182" s="2447"/>
      <c r="G1182" s="1089">
        <f>E1182/D1182*100</f>
        <v>83.059710333333342</v>
      </c>
      <c r="H1182" s="1089">
        <f>SUM(H1183:H1184)/2</f>
        <v>50</v>
      </c>
      <c r="I1182" s="4856"/>
      <c r="J1182" s="4857"/>
    </row>
    <row r="1183" spans="1:10" ht="17.25" hidden="1" customHeight="1" x14ac:dyDescent="0.25">
      <c r="B1183" s="1024"/>
      <c r="C1183" s="361" t="s">
        <v>3014</v>
      </c>
      <c r="D1183" s="4634">
        <v>250000000</v>
      </c>
      <c r="E1183" s="232">
        <v>249179131</v>
      </c>
      <c r="F1183" s="232"/>
      <c r="G1183" s="576">
        <f t="shared" ref="G1183" si="110">E1183/D1183*100</f>
        <v>99.671652399999999</v>
      </c>
      <c r="H1183" s="232">
        <v>100</v>
      </c>
      <c r="I1183" s="4856"/>
      <c r="J1183" s="4857"/>
    </row>
    <row r="1184" spans="1:10" ht="19.5" hidden="1" customHeight="1" x14ac:dyDescent="0.25">
      <c r="B1184" s="1024"/>
      <c r="C1184" s="211" t="s">
        <v>3828</v>
      </c>
      <c r="D1184" s="2448">
        <v>50000000</v>
      </c>
      <c r="E1184" s="232">
        <v>0</v>
      </c>
      <c r="F1184" s="232"/>
      <c r="G1184" s="232">
        <v>0</v>
      </c>
      <c r="H1184" s="232">
        <v>0</v>
      </c>
      <c r="I1184" s="4856"/>
      <c r="J1184" s="4857"/>
    </row>
    <row r="1185" spans="1:10" ht="11.25" hidden="1" customHeight="1" x14ac:dyDescent="0.25">
      <c r="B1185" s="1024"/>
      <c r="C1185" s="211"/>
      <c r="D1185" s="2444"/>
      <c r="E1185" s="232"/>
      <c r="F1185" s="958"/>
      <c r="G1185" s="958"/>
      <c r="H1185" s="958"/>
      <c r="I1185" s="4856"/>
      <c r="J1185" s="4857"/>
    </row>
    <row r="1186" spans="1:10" ht="21" hidden="1" customHeight="1" x14ac:dyDescent="0.25">
      <c r="B1186" s="1024"/>
      <c r="C1186" s="138" t="s">
        <v>3017</v>
      </c>
      <c r="D1186" s="84">
        <f>D1187</f>
        <v>30000000</v>
      </c>
      <c r="E1186" s="84">
        <f>E1187</f>
        <v>30000000</v>
      </c>
      <c r="F1186" s="84"/>
      <c r="G1186" s="260">
        <f>E1186/D1186*100</f>
        <v>100</v>
      </c>
      <c r="H1186" s="260">
        <f>H1187</f>
        <v>100</v>
      </c>
      <c r="I1186" s="4856"/>
      <c r="J1186" s="4857"/>
    </row>
    <row r="1187" spans="1:10" ht="19.5" hidden="1" customHeight="1" x14ac:dyDescent="0.25">
      <c r="B1187" s="1024"/>
      <c r="C1187" s="132" t="s">
        <v>3018</v>
      </c>
      <c r="D1187" s="4634">
        <v>30000000</v>
      </c>
      <c r="E1187" s="232">
        <v>30000000</v>
      </c>
      <c r="F1187" s="232"/>
      <c r="G1187" s="576">
        <f t="shared" ref="G1187" si="111">E1187/D1187*100</f>
        <v>100</v>
      </c>
      <c r="H1187" s="232">
        <v>100</v>
      </c>
      <c r="I1187" s="4856"/>
      <c r="J1187" s="4857"/>
    </row>
    <row r="1188" spans="1:10" ht="9" hidden="1" customHeight="1" x14ac:dyDescent="0.25">
      <c r="B1188" s="1024"/>
      <c r="C1188" s="211"/>
      <c r="D1188" s="2444"/>
      <c r="E1188" s="232"/>
      <c r="F1188" s="958"/>
      <c r="G1188" s="958"/>
      <c r="H1188" s="958"/>
      <c r="I1188" s="4856"/>
      <c r="J1188" s="4857"/>
    </row>
    <row r="1189" spans="1:10" ht="20.25" hidden="1" customHeight="1" x14ac:dyDescent="0.25">
      <c r="B1189" s="1024"/>
      <c r="C1189" s="138" t="s">
        <v>3834</v>
      </c>
      <c r="D1189" s="2449">
        <f>SUM(D1190)</f>
        <v>45150000</v>
      </c>
      <c r="E1189" s="2449">
        <f>SUM(E1190)</f>
        <v>45150000</v>
      </c>
      <c r="F1189" s="2449"/>
      <c r="G1189" s="260">
        <f>E1189/D1189*100</f>
        <v>100</v>
      </c>
      <c r="H1189" s="260">
        <f>H1190</f>
        <v>100</v>
      </c>
      <c r="I1189" s="4856"/>
      <c r="J1189" s="4857"/>
    </row>
    <row r="1190" spans="1:10" ht="17.25" hidden="1" customHeight="1" x14ac:dyDescent="0.25">
      <c r="B1190" s="1024"/>
      <c r="C1190" s="132" t="s">
        <v>3835</v>
      </c>
      <c r="D1190" s="576">
        <v>45150000</v>
      </c>
      <c r="E1190" s="232">
        <v>45150000</v>
      </c>
      <c r="F1190" s="232"/>
      <c r="G1190" s="576">
        <f t="shared" ref="G1190" si="112">E1190/D1190*100</f>
        <v>100</v>
      </c>
      <c r="H1190" s="232">
        <v>100</v>
      </c>
      <c r="I1190" s="4856"/>
      <c r="J1190" s="4857"/>
    </row>
    <row r="1191" spans="1:10" ht="11.25" hidden="1" customHeight="1" x14ac:dyDescent="0.25">
      <c r="B1191" s="1024"/>
      <c r="C1191" s="211"/>
      <c r="D1191" s="2444"/>
      <c r="E1191" s="232"/>
      <c r="F1191" s="958"/>
      <c r="G1191" s="958"/>
      <c r="H1191" s="958"/>
      <c r="I1191" s="4856"/>
      <c r="J1191" s="4857"/>
    </row>
    <row r="1192" spans="1:10" ht="20.25" hidden="1" customHeight="1" x14ac:dyDescent="0.25">
      <c r="B1192" s="1024"/>
      <c r="C1192" s="138" t="s">
        <v>3840</v>
      </c>
      <c r="D1192" s="84">
        <f>SUM(D1193:D1194)</f>
        <v>120000000</v>
      </c>
      <c r="E1192" s="84">
        <f>SUM(E1193:E1194)</f>
        <v>120000000</v>
      </c>
      <c r="F1192" s="84"/>
      <c r="G1192" s="260">
        <f>E1192/D1192*100</f>
        <v>100</v>
      </c>
      <c r="H1192" s="260">
        <f>H1193</f>
        <v>100</v>
      </c>
      <c r="I1192" s="4856"/>
      <c r="J1192" s="4857"/>
    </row>
    <row r="1193" spans="1:10" ht="19.5" hidden="1" customHeight="1" x14ac:dyDescent="0.25">
      <c r="B1193" s="1024"/>
      <c r="C1193" s="132" t="s">
        <v>3841</v>
      </c>
      <c r="D1193" s="576">
        <v>120000000</v>
      </c>
      <c r="E1193" s="232">
        <v>120000000</v>
      </c>
      <c r="F1193" s="232"/>
      <c r="G1193" s="576">
        <f t="shared" ref="G1193" si="113">E1193/D1193*100</f>
        <v>100</v>
      </c>
      <c r="H1193" s="232">
        <v>100</v>
      </c>
      <c r="I1193" s="4856"/>
      <c r="J1193" s="4857"/>
    </row>
    <row r="1194" spans="1:10" ht="20.25" hidden="1" customHeight="1" x14ac:dyDescent="0.25">
      <c r="B1194" s="1024"/>
      <c r="C1194" s="132" t="s">
        <v>3837</v>
      </c>
      <c r="D1194" s="4631" t="s">
        <v>3317</v>
      </c>
      <c r="E1194" s="232" t="s">
        <v>3317</v>
      </c>
      <c r="F1194" s="232"/>
      <c r="G1194" s="232" t="s">
        <v>3317</v>
      </c>
      <c r="H1194" s="232" t="s">
        <v>3317</v>
      </c>
      <c r="I1194" s="4856"/>
      <c r="J1194" s="4857"/>
    </row>
    <row r="1195" spans="1:10" ht="12.75" hidden="1" customHeight="1" x14ac:dyDescent="0.25">
      <c r="B1195" s="1024"/>
      <c r="C1195" s="2162"/>
      <c r="D1195" s="1956"/>
      <c r="E1195" s="1956"/>
      <c r="F1195" s="1956"/>
      <c r="G1195" s="1956"/>
      <c r="H1195" s="1956"/>
      <c r="I1195" s="4856"/>
      <c r="J1195" s="4857"/>
    </row>
    <row r="1196" spans="1:10" ht="21" hidden="1" customHeight="1" x14ac:dyDescent="0.25">
      <c r="B1196" s="1029"/>
      <c r="C1196" s="89" t="s">
        <v>3058</v>
      </c>
      <c r="D1196" s="131">
        <f>D1197</f>
        <v>4510000000</v>
      </c>
      <c r="E1196" s="131">
        <f>E1197</f>
        <v>2551000000</v>
      </c>
      <c r="F1196" s="131"/>
      <c r="G1196" s="200">
        <f>E1196/D1196*100</f>
        <v>56.563192904656326</v>
      </c>
      <c r="H1196" s="200">
        <f>H1197</f>
        <v>70</v>
      </c>
      <c r="I1196" s="4856"/>
      <c r="J1196" s="4857"/>
    </row>
    <row r="1197" spans="1:10" ht="16.5" hidden="1" customHeight="1" x14ac:dyDescent="0.25">
      <c r="B1197" s="1993"/>
      <c r="C1197" s="147" t="s">
        <v>3076</v>
      </c>
      <c r="D1197" s="260">
        <f>D1198</f>
        <v>4510000000</v>
      </c>
      <c r="E1197" s="260">
        <f>E1198</f>
        <v>2551000000</v>
      </c>
      <c r="F1197" s="260"/>
      <c r="G1197" s="202">
        <f>E1197/D1197*100</f>
        <v>56.563192904656326</v>
      </c>
      <c r="H1197" s="202">
        <f>H1198</f>
        <v>70</v>
      </c>
      <c r="I1197" s="4856"/>
      <c r="J1197" s="4857"/>
    </row>
    <row r="1198" spans="1:10" ht="20.25" hidden="1" customHeight="1" x14ac:dyDescent="0.25">
      <c r="B1198" s="1904"/>
      <c r="C1198" s="103" t="s">
        <v>3077</v>
      </c>
      <c r="D1198" s="232">
        <v>4510000000</v>
      </c>
      <c r="E1198" s="204">
        <v>2551000000</v>
      </c>
      <c r="F1198" s="204"/>
      <c r="G1198" s="576">
        <f>E1198/D1198*100</f>
        <v>56.563192904656326</v>
      </c>
      <c r="H1198" s="201">
        <v>70</v>
      </c>
      <c r="I1198" s="4856"/>
      <c r="J1198" s="4857"/>
    </row>
    <row r="1199" spans="1:10" ht="16.5" hidden="1" customHeight="1" thickBot="1" x14ac:dyDescent="0.3">
      <c r="B1199" s="1904"/>
      <c r="C1199" s="61"/>
      <c r="D1199" s="1935"/>
      <c r="E1199" s="1935"/>
      <c r="F1199" s="1935"/>
      <c r="G1199" s="1935"/>
      <c r="H1199" s="1935"/>
      <c r="I1199" s="4879"/>
      <c r="J1199" s="4857"/>
    </row>
    <row r="1200" spans="1:10" s="228" customFormat="1" ht="22.5" customHeight="1" thickTop="1" thickBot="1" x14ac:dyDescent="0.3">
      <c r="A1200" s="40"/>
      <c r="B1200" s="2258"/>
      <c r="C1200" s="2259" t="s">
        <v>3061</v>
      </c>
      <c r="D1200" s="2262">
        <f>D13+D94</f>
        <v>733552457844</v>
      </c>
      <c r="E1200" s="2262">
        <f>E13+E94</f>
        <v>667159606110</v>
      </c>
      <c r="F1200" s="1900">
        <f>D1200-E1200</f>
        <v>66392851734</v>
      </c>
      <c r="G1200" s="2262">
        <f>E1200/D1200*100</f>
        <v>90.949133763502516</v>
      </c>
      <c r="H1200" s="2262">
        <f>SUM(H13+H94)/2</f>
        <v>89.525858730502961</v>
      </c>
      <c r="I1200" s="4912"/>
      <c r="J1200" s="4913"/>
    </row>
    <row r="1201" spans="1:10" ht="14.1" customHeight="1" x14ac:dyDescent="0.25">
      <c r="B1201" s="2463"/>
      <c r="C1201" s="395"/>
      <c r="D1201" s="2450"/>
      <c r="E1201" s="2450"/>
      <c r="F1201" s="2450"/>
      <c r="G1201" s="2450"/>
      <c r="H1201" s="4511"/>
      <c r="I1201" s="4914"/>
      <c r="J1201" s="4857"/>
    </row>
    <row r="1202" spans="1:10" ht="20.100000000000001" customHeight="1" x14ac:dyDescent="0.25">
      <c r="B1202" s="2464"/>
      <c r="C1202" s="2272"/>
      <c r="D1202" s="5014" t="s">
        <v>7954</v>
      </c>
      <c r="E1202" s="5014"/>
      <c r="F1202" s="5014"/>
      <c r="G1202" s="5014"/>
      <c r="H1202" s="5014"/>
      <c r="I1202" s="4914"/>
      <c r="J1202" s="4857"/>
    </row>
    <row r="1203" spans="1:10" x14ac:dyDescent="0.25">
      <c r="B1203" s="5015"/>
      <c r="C1203" s="5016"/>
      <c r="D1203" s="5014" t="s">
        <v>3078</v>
      </c>
      <c r="E1203" s="5014"/>
      <c r="F1203" s="5014"/>
      <c r="G1203" s="5014"/>
      <c r="H1203" s="5014"/>
      <c r="I1203" s="4914"/>
      <c r="J1203" s="4857"/>
    </row>
    <row r="1204" spans="1:10" x14ac:dyDescent="0.25">
      <c r="B1204" s="4510"/>
      <c r="C1204" s="396"/>
      <c r="D1204" s="5014" t="s">
        <v>3063</v>
      </c>
      <c r="E1204" s="5014"/>
      <c r="F1204" s="5014"/>
      <c r="G1204" s="5014"/>
      <c r="H1204" s="5014"/>
      <c r="I1204" s="4914"/>
      <c r="J1204" s="4857"/>
    </row>
    <row r="1205" spans="1:10" s="229" customFormat="1" x14ac:dyDescent="0.25">
      <c r="A1205" s="1002"/>
      <c r="B1205" s="5015"/>
      <c r="C1205" s="5016"/>
      <c r="D1205" s="2450"/>
      <c r="E1205" s="2450"/>
      <c r="F1205" s="2450"/>
      <c r="G1205" s="413"/>
      <c r="H1205" s="4512"/>
      <c r="I1205" s="4915"/>
      <c r="J1205" s="4893"/>
    </row>
    <row r="1206" spans="1:10" s="229" customFormat="1" x14ac:dyDescent="0.25">
      <c r="A1206" s="1002"/>
      <c r="B1206" s="5015"/>
      <c r="C1206" s="5016"/>
      <c r="D1206" s="2450"/>
      <c r="E1206" s="2450"/>
      <c r="F1206" s="2450"/>
      <c r="G1206" s="413"/>
      <c r="H1206" s="4512"/>
      <c r="I1206" s="4915"/>
      <c r="J1206" s="4893"/>
    </row>
    <row r="1207" spans="1:10" s="229" customFormat="1" x14ac:dyDescent="0.25">
      <c r="A1207" s="1002"/>
      <c r="B1207" s="2465"/>
      <c r="C1207" s="397"/>
      <c r="D1207" s="2450"/>
      <c r="E1207" s="2450"/>
      <c r="F1207" s="2450"/>
      <c r="G1207" s="413"/>
      <c r="H1207" s="4511"/>
      <c r="I1207" s="4915"/>
      <c r="J1207" s="4893"/>
    </row>
    <row r="1208" spans="1:10" s="229" customFormat="1" x14ac:dyDescent="0.25">
      <c r="A1208" s="1002"/>
      <c r="B1208" s="2465"/>
      <c r="C1208" s="397"/>
      <c r="D1208" s="2450"/>
      <c r="E1208" s="2450"/>
      <c r="F1208" s="2450"/>
      <c r="G1208" s="413"/>
      <c r="H1208" s="4512"/>
      <c r="I1208" s="4915"/>
      <c r="J1208" s="4893"/>
    </row>
    <row r="1209" spans="1:10" s="229" customFormat="1" x14ac:dyDescent="0.25">
      <c r="A1209" s="1002"/>
      <c r="B1209" s="2465"/>
      <c r="C1209" s="397"/>
      <c r="D1209" s="5017" t="s">
        <v>3064</v>
      </c>
      <c r="E1209" s="5017"/>
      <c r="F1209" s="5017"/>
      <c r="G1209" s="5017"/>
      <c r="H1209" s="5017"/>
      <c r="I1209" s="4915"/>
      <c r="J1209" s="4893"/>
    </row>
    <row r="1210" spans="1:10" s="229" customFormat="1" ht="15" customHeight="1" x14ac:dyDescent="0.25">
      <c r="A1210" s="1002"/>
      <c r="B1210" s="2465"/>
      <c r="C1210" s="397"/>
      <c r="D1210" s="5018" t="s">
        <v>3778</v>
      </c>
      <c r="E1210" s="5018"/>
      <c r="F1210" s="5018"/>
      <c r="G1210" s="5018"/>
      <c r="H1210" s="5018"/>
      <c r="I1210" s="4915"/>
      <c r="J1210" s="4893"/>
    </row>
    <row r="1211" spans="1:10" s="229" customFormat="1" ht="16.5" thickBot="1" x14ac:dyDescent="0.3">
      <c r="A1211" s="1002"/>
      <c r="B1211" s="2466"/>
      <c r="C1211" s="2452"/>
      <c r="D1211" s="5010" t="s">
        <v>3065</v>
      </c>
      <c r="E1211" s="5010"/>
      <c r="F1211" s="5010"/>
      <c r="G1211" s="5010"/>
      <c r="H1211" s="5010"/>
      <c r="I1211" s="4916"/>
      <c r="J1211" s="4893"/>
    </row>
    <row r="1212" spans="1:10" s="229" customFormat="1" x14ac:dyDescent="0.25">
      <c r="A1212" s="1002"/>
      <c r="B1212" s="1151"/>
      <c r="C1212" s="397"/>
      <c r="D1212" s="2376"/>
      <c r="E1212" s="2376"/>
      <c r="F1212" s="2376"/>
      <c r="G1212" s="2376"/>
      <c r="H1212" s="2376"/>
      <c r="I1212" s="4917"/>
      <c r="J1212" s="4918"/>
    </row>
    <row r="1213" spans="1:10" s="229" customFormat="1" x14ac:dyDescent="0.25">
      <c r="A1213" s="1002"/>
      <c r="B1213" s="1151"/>
      <c r="C1213" s="396"/>
      <c r="D1213" s="2376"/>
      <c r="E1213" s="2376"/>
      <c r="F1213" s="2376"/>
      <c r="G1213" s="4509"/>
      <c r="H1213" s="4509"/>
      <c r="I1213" s="4917"/>
      <c r="J1213" s="4918"/>
    </row>
    <row r="1214" spans="1:10" s="229" customFormat="1" x14ac:dyDescent="0.25">
      <c r="A1214" s="1002"/>
      <c r="B1214" s="1151"/>
      <c r="C1214" s="396"/>
      <c r="D1214" s="2376"/>
      <c r="E1214" s="2376"/>
      <c r="F1214" s="2376"/>
      <c r="G1214" s="4509"/>
      <c r="H1214" s="4509"/>
      <c r="I1214" s="4917"/>
      <c r="J1214" s="4918"/>
    </row>
    <row r="1215" spans="1:10" s="229" customFormat="1" x14ac:dyDescent="0.25">
      <c r="A1215" s="1002"/>
      <c r="B1215" s="1151"/>
      <c r="C1215" s="397"/>
      <c r="D1215" s="2376"/>
      <c r="E1215" s="2376"/>
      <c r="F1215" s="2376"/>
      <c r="G1215" s="4509"/>
      <c r="H1215" s="4509"/>
      <c r="I1215" s="4917"/>
      <c r="J1215" s="4918"/>
    </row>
    <row r="1216" spans="1:10" s="229" customFormat="1" x14ac:dyDescent="0.25">
      <c r="A1216" s="1002"/>
      <c r="B1216" s="1151"/>
      <c r="C1216" s="397"/>
      <c r="D1216" s="2376"/>
      <c r="E1216" s="2376"/>
      <c r="F1216" s="2376"/>
      <c r="G1216" s="4509"/>
      <c r="H1216" s="4509"/>
      <c r="I1216" s="4917"/>
      <c r="J1216" s="4918"/>
    </row>
    <row r="1217" spans="1:10" s="229" customFormat="1" x14ac:dyDescent="0.25">
      <c r="A1217" s="1002"/>
      <c r="B1217" s="1151"/>
      <c r="C1217" s="397"/>
      <c r="D1217" s="2376"/>
      <c r="E1217" s="2376"/>
      <c r="F1217" s="2376"/>
      <c r="G1217" s="548"/>
      <c r="H1217" s="548"/>
      <c r="I1217" s="4917"/>
      <c r="J1217" s="4918"/>
    </row>
    <row r="1218" spans="1:10" s="229" customFormat="1" x14ac:dyDescent="0.25">
      <c r="A1218" s="1002"/>
      <c r="B1218" s="1151"/>
      <c r="C1218" s="2280"/>
      <c r="D1218" s="2376"/>
      <c r="E1218" s="2376"/>
      <c r="F1218" s="2376"/>
      <c r="G1218" s="548"/>
      <c r="H1218" s="548"/>
      <c r="I1218" s="4917"/>
      <c r="J1218" s="4918"/>
    </row>
    <row r="1219" spans="1:10" s="229" customFormat="1" x14ac:dyDescent="0.25">
      <c r="A1219" s="1002"/>
      <c r="B1219" s="1151"/>
      <c r="C1219" s="397"/>
      <c r="D1219" s="2376"/>
      <c r="E1219" s="2376"/>
      <c r="F1219" s="2376"/>
      <c r="G1219" s="548"/>
      <c r="H1219" s="548"/>
      <c r="I1219" s="4917"/>
      <c r="J1219" s="4918"/>
    </row>
    <row r="1220" spans="1:10" s="229" customFormat="1" x14ac:dyDescent="0.25">
      <c r="A1220" s="1002"/>
      <c r="B1220" s="1151"/>
      <c r="C1220" s="397"/>
      <c r="D1220" s="2376"/>
      <c r="E1220" s="2376"/>
      <c r="F1220" s="2376"/>
      <c r="G1220" s="4509"/>
      <c r="H1220" s="4509"/>
      <c r="I1220" s="4917"/>
      <c r="J1220" s="4918"/>
    </row>
    <row r="1221" spans="1:10" x14ac:dyDescent="0.25">
      <c r="G1221" s="548"/>
      <c r="H1221" s="548"/>
    </row>
  </sheetData>
  <mergeCells count="18">
    <mergeCell ref="D1211:H1211"/>
    <mergeCell ref="D10:H10"/>
    <mergeCell ref="I10:I11"/>
    <mergeCell ref="D1202:H1202"/>
    <mergeCell ref="B1203:C1203"/>
    <mergeCell ref="D1203:H1203"/>
    <mergeCell ref="D1204:H1204"/>
    <mergeCell ref="B1205:C1205"/>
    <mergeCell ref="B1206:C1206"/>
    <mergeCell ref="D1209:H1209"/>
    <mergeCell ref="D1210:H1210"/>
    <mergeCell ref="B8:D8"/>
    <mergeCell ref="B1:H1"/>
    <mergeCell ref="B2:H2"/>
    <mergeCell ref="B3:H3"/>
    <mergeCell ref="A4:H4"/>
    <mergeCell ref="B7:H7"/>
    <mergeCell ref="H8:I8"/>
  </mergeCells>
  <printOptions horizontalCentered="1"/>
  <pageMargins left="0" right="0" top="0.74803149606299213" bottom="0.74803149606299213" header="0.31496062992125984" footer="0.31496062992125984"/>
  <pageSetup paperSize="258" scale="55" orientation="landscape" r:id="rId1"/>
  <headerFooter differentFirst="1" alignWithMargins="0">
    <oddFooter>&amp;RPage &amp;P of &amp;N</oddFooter>
  </headerFooter>
  <rowBreaks count="7" manualBreakCount="7">
    <brk id="76" max="16383" man="1"/>
    <brk id="211" max="13" man="1"/>
    <brk id="256" max="16383" man="1"/>
    <brk id="503" max="16383" man="1"/>
    <brk id="637" max="16383" man="1"/>
    <brk id="865" max="16383" man="1"/>
    <brk id="1042" max="1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1094"/>
  <sheetViews>
    <sheetView view="pageBreakPreview" topLeftCell="A49" zoomScale="90" zoomScaleNormal="90" zoomScaleSheetLayoutView="90" workbookViewId="0">
      <pane xSplit="19905" topLeftCell="T1"/>
      <selection activeCell="B13" sqref="B13:H952"/>
      <selection pane="topRight" activeCell="E6" sqref="E6"/>
    </sheetView>
  </sheetViews>
  <sheetFormatPr defaultColWidth="8.85546875" defaultRowHeight="15.75" x14ac:dyDescent="0.25"/>
  <cols>
    <col min="1" max="1" width="0.7109375" customWidth="1"/>
    <col min="2" max="2" width="5" style="40" customWidth="1"/>
    <col min="3" max="3" width="42.42578125" style="198" customWidth="1"/>
    <col min="4" max="4" width="24.140625" style="43" customWidth="1"/>
    <col min="5" max="6" width="22.140625" style="43" customWidth="1"/>
    <col min="7" max="7" width="15.85546875" style="1007" customWidth="1"/>
    <col min="8" max="8" width="11" style="1009" customWidth="1"/>
    <col min="9" max="9" width="14.5703125" style="1002" customWidth="1"/>
    <col min="10" max="10" width="18" customWidth="1"/>
    <col min="11" max="11" width="19" style="35" customWidth="1"/>
    <col min="12" max="12" width="2.42578125" style="35" customWidth="1"/>
    <col min="13" max="13" width="12.5703125" customWidth="1"/>
    <col min="14" max="14" width="0.140625" customWidth="1"/>
    <col min="15" max="15" width="6.140625" customWidth="1"/>
    <col min="16" max="16" width="2.5703125" hidden="1" customWidth="1"/>
  </cols>
  <sheetData>
    <row r="1" spans="1:12" ht="20.100000000000001" customHeight="1" x14ac:dyDescent="0.25">
      <c r="B1" s="5019"/>
      <c r="C1" s="5019"/>
      <c r="D1" s="5019"/>
      <c r="E1" s="5019"/>
      <c r="F1" s="5019"/>
      <c r="G1" s="5019"/>
      <c r="H1" s="5019"/>
      <c r="I1" s="5019"/>
    </row>
    <row r="2" spans="1:12" s="37" customFormat="1" ht="18.75" customHeight="1" x14ac:dyDescent="0.3">
      <c r="A2" s="36"/>
      <c r="B2" s="5020" t="s">
        <v>3079</v>
      </c>
      <c r="C2" s="5020"/>
      <c r="D2" s="5020"/>
      <c r="E2" s="5020"/>
      <c r="F2" s="5020"/>
      <c r="G2" s="5020"/>
      <c r="H2" s="5020"/>
      <c r="I2" s="5020"/>
      <c r="K2" s="38"/>
      <c r="L2" s="38"/>
    </row>
    <row r="3" spans="1:12" ht="15.75" customHeight="1" x14ac:dyDescent="0.3">
      <c r="A3" s="36"/>
      <c r="B3" s="5021" t="s">
        <v>3080</v>
      </c>
      <c r="C3" s="5021"/>
      <c r="D3" s="5021"/>
      <c r="E3" s="5021"/>
      <c r="F3" s="5021"/>
      <c r="G3" s="5021"/>
      <c r="H3" s="5021"/>
      <c r="I3" s="5021"/>
    </row>
    <row r="4" spans="1:12" ht="18.75" customHeight="1" x14ac:dyDescent="0.25">
      <c r="A4" s="5022" t="s">
        <v>2</v>
      </c>
      <c r="B4" s="5022"/>
      <c r="C4" s="5022"/>
      <c r="D4" s="5022"/>
      <c r="E4" s="5022"/>
      <c r="F4" s="5022"/>
      <c r="G4" s="5022"/>
      <c r="H4" s="5022"/>
      <c r="I4" s="5022"/>
    </row>
    <row r="5" spans="1:12" ht="14.1" customHeight="1" x14ac:dyDescent="0.25">
      <c r="B5" s="1004"/>
      <c r="C5" s="39"/>
      <c r="D5" s="40"/>
      <c r="E5" s="40"/>
      <c r="F5" s="40"/>
      <c r="G5" s="1004"/>
      <c r="H5" s="1001"/>
      <c r="I5" s="1001"/>
    </row>
    <row r="6" spans="1:12" ht="14.1" customHeight="1" x14ac:dyDescent="0.25">
      <c r="B6" s="1004"/>
      <c r="C6" s="39"/>
      <c r="D6" s="40"/>
      <c r="E6" s="40"/>
      <c r="F6" s="40"/>
      <c r="G6" s="1004"/>
      <c r="H6" s="1001"/>
      <c r="I6" s="1001"/>
    </row>
    <row r="7" spans="1:12" ht="14.1" customHeight="1" x14ac:dyDescent="0.25">
      <c r="B7" s="5023" t="s">
        <v>7957</v>
      </c>
      <c r="C7" s="5023"/>
      <c r="D7" s="5023"/>
      <c r="E7" s="5023"/>
      <c r="F7" s="5023"/>
      <c r="G7" s="5023"/>
      <c r="H7" s="5023"/>
      <c r="I7" s="5023"/>
    </row>
    <row r="8" spans="1:12" ht="18.75" customHeight="1" x14ac:dyDescent="0.25">
      <c r="B8" s="5024" t="s">
        <v>4116</v>
      </c>
      <c r="C8" s="5024"/>
      <c r="D8" s="5024"/>
      <c r="E8" s="1458"/>
      <c r="F8" s="4864"/>
      <c r="G8" s="1457"/>
      <c r="H8" s="1456"/>
      <c r="I8" s="1456"/>
    </row>
    <row r="9" spans="1:12" ht="15" customHeight="1" x14ac:dyDescent="0.25">
      <c r="B9" s="1006"/>
      <c r="C9" s="42"/>
      <c r="D9" s="1458"/>
      <c r="E9" s="1458"/>
      <c r="F9" s="4864"/>
      <c r="G9" s="1457"/>
      <c r="H9" s="1456"/>
      <c r="I9" s="4672" t="s">
        <v>4115</v>
      </c>
    </row>
    <row r="10" spans="1:12" ht="14.1" customHeight="1" thickBot="1" x14ac:dyDescent="0.3">
      <c r="B10" s="1458"/>
      <c r="C10" s="42"/>
      <c r="I10" s="408"/>
    </row>
    <row r="11" spans="1:12" ht="18.75" customHeight="1" x14ac:dyDescent="0.25">
      <c r="B11" s="4944" t="s">
        <v>6</v>
      </c>
      <c r="C11" s="4946" t="s">
        <v>7</v>
      </c>
      <c r="D11" s="5025" t="s">
        <v>8</v>
      </c>
      <c r="E11" s="5025"/>
      <c r="F11" s="5025"/>
      <c r="G11" s="5025"/>
      <c r="H11" s="5025"/>
      <c r="I11" s="5026" t="s">
        <v>11</v>
      </c>
    </row>
    <row r="12" spans="1:12" ht="7.5" customHeight="1" thickBot="1" x14ac:dyDescent="0.3">
      <c r="B12" s="4945"/>
      <c r="C12" s="216"/>
      <c r="D12" s="5029"/>
      <c r="E12" s="5029"/>
      <c r="F12" s="5029"/>
      <c r="G12" s="5029"/>
      <c r="H12" s="5029"/>
      <c r="I12" s="5027"/>
    </row>
    <row r="13" spans="1:12" s="45" customFormat="1" ht="82.5" customHeight="1" thickBot="1" x14ac:dyDescent="0.25">
      <c r="B13" s="4860" t="s">
        <v>6</v>
      </c>
      <c r="C13" s="4861" t="s">
        <v>7</v>
      </c>
      <c r="D13" s="1479" t="s">
        <v>12</v>
      </c>
      <c r="E13" s="1479" t="s">
        <v>3083</v>
      </c>
      <c r="F13" s="1479" t="s">
        <v>7961</v>
      </c>
      <c r="G13" s="1479" t="s">
        <v>3082</v>
      </c>
      <c r="H13" s="1481" t="s">
        <v>18</v>
      </c>
      <c r="I13" s="5028"/>
      <c r="K13" s="46"/>
      <c r="L13" s="46"/>
    </row>
    <row r="14" spans="1:12" ht="20.100000000000001" hidden="1" customHeight="1" thickTop="1" thickBot="1" x14ac:dyDescent="0.3">
      <c r="B14" s="1011" t="s">
        <v>19</v>
      </c>
      <c r="C14" s="47" t="s">
        <v>20</v>
      </c>
      <c r="D14" s="48" t="s">
        <v>21</v>
      </c>
      <c r="E14" s="1011" t="s">
        <v>22</v>
      </c>
      <c r="F14" s="1011"/>
      <c r="G14" s="48" t="s">
        <v>23</v>
      </c>
      <c r="H14" s="1011" t="s">
        <v>24</v>
      </c>
      <c r="I14" s="1011" t="s">
        <v>25</v>
      </c>
    </row>
    <row r="15" spans="1:12" s="1" customFormat="1" ht="18.75" customHeight="1" thickTop="1" x14ac:dyDescent="0.25">
      <c r="B15" s="1013" t="s">
        <v>32</v>
      </c>
      <c r="C15" s="49" t="s">
        <v>33</v>
      </c>
      <c r="D15" s="50">
        <f>SUM(D17+D37+D41+D45)</f>
        <v>24066656000</v>
      </c>
      <c r="E15" s="50">
        <f>SUM(E17+E37+E41+E45)</f>
        <v>19363589671</v>
      </c>
      <c r="F15" s="50">
        <f>D15-E15</f>
        <v>4703066329</v>
      </c>
      <c r="G15" s="50">
        <f>E15/D15*100</f>
        <v>80.458164486998101</v>
      </c>
      <c r="H15" s="1014">
        <f>SUM(H17)</f>
        <v>55.516666666666673</v>
      </c>
      <c r="I15" s="2281"/>
      <c r="J15" s="535"/>
      <c r="K15" s="535"/>
      <c r="L15" s="51"/>
    </row>
    <row r="16" spans="1:12" s="52" customFormat="1" ht="8.25" hidden="1" customHeight="1" x14ac:dyDescent="0.25">
      <c r="B16" s="1017"/>
      <c r="C16" s="53"/>
      <c r="D16" s="54"/>
      <c r="E16" s="54"/>
      <c r="F16" s="54"/>
      <c r="G16" s="54"/>
      <c r="H16" s="1018"/>
      <c r="I16" s="1484"/>
      <c r="K16" s="55"/>
      <c r="L16" s="55"/>
    </row>
    <row r="17" spans="1:12" s="4" customFormat="1" ht="20.25" hidden="1" customHeight="1" x14ac:dyDescent="0.25">
      <c r="B17" s="1029" t="s">
        <v>89</v>
      </c>
      <c r="C17" s="56" t="s">
        <v>90</v>
      </c>
      <c r="D17" s="57">
        <f>D18+D21+D25+D28+D31+D34</f>
        <v>24066656000</v>
      </c>
      <c r="E17" s="57">
        <f>E18+E21+E25+E28+E31+E34</f>
        <v>19363589671</v>
      </c>
      <c r="F17" s="57"/>
      <c r="G17" s="131">
        <f>E17/D17*100</f>
        <v>80.458164486998101</v>
      </c>
      <c r="H17" s="131">
        <f>SUM(H18+H21+H25+H28+H31+H34)/6</f>
        <v>55.516666666666673</v>
      </c>
      <c r="I17" s="1485"/>
      <c r="K17" s="58"/>
      <c r="L17" s="58"/>
    </row>
    <row r="18" spans="1:12" s="4" customFormat="1" ht="18.75" hidden="1" customHeight="1" x14ac:dyDescent="0.25">
      <c r="B18" s="1024"/>
      <c r="C18" s="69" t="s">
        <v>91</v>
      </c>
      <c r="D18" s="120">
        <f>D19</f>
        <v>3050000000</v>
      </c>
      <c r="E18" s="120">
        <f>E19</f>
        <v>1009581171</v>
      </c>
      <c r="F18" s="120"/>
      <c r="G18" s="234">
        <f>E18/D18*100</f>
        <v>33.101022</v>
      </c>
      <c r="H18" s="234">
        <f>H19</f>
        <v>33.1</v>
      </c>
      <c r="I18" s="2282"/>
    </row>
    <row r="19" spans="1:12" s="4" customFormat="1" ht="17.25" hidden="1" customHeight="1" x14ac:dyDescent="0.25">
      <c r="B19" s="1024"/>
      <c r="C19" s="61" t="s">
        <v>92</v>
      </c>
      <c r="D19" s="130">
        <v>3050000000</v>
      </c>
      <c r="E19" s="368">
        <v>1009581171</v>
      </c>
      <c r="F19" s="368"/>
      <c r="G19" s="140">
        <f>E19/D19*100</f>
        <v>33.101022</v>
      </c>
      <c r="H19" s="140">
        <v>33.1</v>
      </c>
      <c r="I19" s="2216"/>
    </row>
    <row r="20" spans="1:12" s="4" customFormat="1" ht="9.75" hidden="1" customHeight="1" x14ac:dyDescent="0.25">
      <c r="B20" s="1024"/>
      <c r="C20" s="63"/>
      <c r="D20" s="2283"/>
      <c r="E20" s="2283"/>
      <c r="F20" s="2283"/>
      <c r="G20" s="142"/>
      <c r="H20" s="142"/>
      <c r="I20" s="2216"/>
    </row>
    <row r="21" spans="1:12" s="4" customFormat="1" ht="17.25" hidden="1" customHeight="1" x14ac:dyDescent="0.25">
      <c r="B21" s="1024"/>
      <c r="C21" s="63" t="s">
        <v>93</v>
      </c>
      <c r="D21" s="92">
        <f>SUM(D22:D23)</f>
        <v>1949000000</v>
      </c>
      <c r="E21" s="92">
        <f>SUM(E22:E23)</f>
        <v>1721692500</v>
      </c>
      <c r="F21" s="92"/>
      <c r="G21" s="142">
        <f t="shared" ref="G21:G35" si="0">E21/D21*100</f>
        <v>88.337224217547458</v>
      </c>
      <c r="H21" s="142">
        <f>SUM(H22:H23)/2</f>
        <v>100</v>
      </c>
      <c r="I21" s="2216"/>
    </row>
    <row r="22" spans="1:12" s="4" customFormat="1" ht="17.25" hidden="1" customHeight="1" x14ac:dyDescent="0.25">
      <c r="B22" s="1024"/>
      <c r="C22" s="61" t="s">
        <v>94</v>
      </c>
      <c r="D22" s="2284">
        <v>585000000</v>
      </c>
      <c r="E22" s="2284">
        <v>482676000</v>
      </c>
      <c r="F22" s="2284"/>
      <c r="G22" s="140">
        <f t="shared" si="0"/>
        <v>82.508717948717944</v>
      </c>
      <c r="H22" s="2284">
        <v>100</v>
      </c>
      <c r="I22" s="2216"/>
    </row>
    <row r="23" spans="1:12" s="4" customFormat="1" ht="17.25" hidden="1" customHeight="1" x14ac:dyDescent="0.25">
      <c r="B23" s="1024"/>
      <c r="C23" s="61" t="s">
        <v>4089</v>
      </c>
      <c r="D23" s="2284">
        <v>1364000000</v>
      </c>
      <c r="E23" s="2284">
        <v>1239016500</v>
      </c>
      <c r="F23" s="2284"/>
      <c r="G23" s="140">
        <f t="shared" si="0"/>
        <v>90.836986803519054</v>
      </c>
      <c r="H23" s="140">
        <v>100</v>
      </c>
      <c r="I23" s="2216"/>
    </row>
    <row r="24" spans="1:12" s="4" customFormat="1" ht="9.75" hidden="1" customHeight="1" x14ac:dyDescent="0.25">
      <c r="B24" s="1024"/>
      <c r="C24" s="63"/>
      <c r="D24" s="2283"/>
      <c r="E24" s="2283"/>
      <c r="F24" s="2283"/>
      <c r="G24" s="142"/>
      <c r="H24" s="142"/>
      <c r="I24" s="2216"/>
    </row>
    <row r="25" spans="1:12" s="4" customFormat="1" ht="33" hidden="1" customHeight="1" x14ac:dyDescent="0.25">
      <c r="B25" s="1024"/>
      <c r="C25" s="63" t="s">
        <v>95</v>
      </c>
      <c r="D25" s="92">
        <f>D26</f>
        <v>500000000</v>
      </c>
      <c r="E25" s="142">
        <v>0</v>
      </c>
      <c r="F25" s="142"/>
      <c r="G25" s="142">
        <f t="shared" si="0"/>
        <v>0</v>
      </c>
      <c r="H25" s="142">
        <v>0</v>
      </c>
      <c r="I25" s="2216"/>
    </row>
    <row r="26" spans="1:12" s="4" customFormat="1" ht="18" hidden="1" customHeight="1" x14ac:dyDescent="0.25">
      <c r="B26" s="1024"/>
      <c r="C26" s="61" t="s">
        <v>96</v>
      </c>
      <c r="D26" s="2284">
        <v>500000000</v>
      </c>
      <c r="E26" s="2284">
        <v>0</v>
      </c>
      <c r="F26" s="2284"/>
      <c r="G26" s="140">
        <f t="shared" si="0"/>
        <v>0</v>
      </c>
      <c r="H26" s="2284">
        <v>0</v>
      </c>
      <c r="I26" s="2216"/>
    </row>
    <row r="27" spans="1:12" s="4" customFormat="1" ht="10.5" hidden="1" customHeight="1" x14ac:dyDescent="0.25">
      <c r="B27" s="1024"/>
      <c r="C27" s="63"/>
      <c r="D27" s="2283"/>
      <c r="E27" s="2283"/>
      <c r="F27" s="2283"/>
      <c r="G27" s="142"/>
      <c r="H27" s="142"/>
      <c r="I27" s="2216"/>
    </row>
    <row r="28" spans="1:12" s="4" customFormat="1" ht="16.5" hidden="1" customHeight="1" x14ac:dyDescent="0.25">
      <c r="B28" s="1024"/>
      <c r="C28" s="63" t="s">
        <v>97</v>
      </c>
      <c r="D28" s="92">
        <f>D29</f>
        <v>14996460000</v>
      </c>
      <c r="E28" s="92">
        <f>E29</f>
        <v>13562916000</v>
      </c>
      <c r="F28" s="92"/>
      <c r="G28" s="142">
        <f t="shared" si="0"/>
        <v>90.440784025029913</v>
      </c>
      <c r="H28" s="142">
        <f>H29</f>
        <v>100</v>
      </c>
      <c r="I28" s="2216"/>
    </row>
    <row r="29" spans="1:12" s="27" customFormat="1" ht="19.5" hidden="1" customHeight="1" x14ac:dyDescent="0.25">
      <c r="A29" s="6"/>
      <c r="B29" s="1024"/>
      <c r="C29" s="61" t="s">
        <v>98</v>
      </c>
      <c r="D29" s="990">
        <v>14996460000</v>
      </c>
      <c r="E29" s="2285">
        <v>13562916000</v>
      </c>
      <c r="F29" s="2285"/>
      <c r="G29" s="140">
        <f t="shared" si="0"/>
        <v>90.440784025029913</v>
      </c>
      <c r="H29" s="140">
        <v>100</v>
      </c>
      <c r="I29" s="1991"/>
    </row>
    <row r="30" spans="1:12" s="27" customFormat="1" ht="11.25" hidden="1" customHeight="1" x14ac:dyDescent="0.25">
      <c r="A30" s="6"/>
      <c r="B30" s="1024"/>
      <c r="C30" s="61"/>
      <c r="D30" s="2286"/>
      <c r="E30" s="2287"/>
      <c r="F30" s="2287"/>
      <c r="G30" s="142"/>
      <c r="H30" s="189"/>
      <c r="I30" s="1991"/>
    </row>
    <row r="31" spans="1:12" s="4" customFormat="1" ht="29.25" hidden="1" customHeight="1" x14ac:dyDescent="0.25">
      <c r="B31" s="1024"/>
      <c r="C31" s="63" t="s">
        <v>99</v>
      </c>
      <c r="D31" s="92">
        <f>D32</f>
        <v>3101000000</v>
      </c>
      <c r="E31" s="92">
        <f>E32</f>
        <v>3069400000</v>
      </c>
      <c r="F31" s="92"/>
      <c r="G31" s="142">
        <f t="shared" si="0"/>
        <v>98.980973879393744</v>
      </c>
      <c r="H31" s="142">
        <f>H32</f>
        <v>100</v>
      </c>
      <c r="I31" s="2216"/>
    </row>
    <row r="32" spans="1:12" s="4" customFormat="1" ht="18" hidden="1" customHeight="1" x14ac:dyDescent="0.25">
      <c r="B32" s="1024"/>
      <c r="C32" s="61" t="s">
        <v>100</v>
      </c>
      <c r="D32" s="1224">
        <v>3101000000</v>
      </c>
      <c r="E32" s="2288">
        <v>3069400000</v>
      </c>
      <c r="F32" s="2288"/>
      <c r="G32" s="140">
        <f t="shared" si="0"/>
        <v>98.980973879393744</v>
      </c>
      <c r="H32" s="140">
        <v>100</v>
      </c>
      <c r="I32" s="2216"/>
    </row>
    <row r="33" spans="2:9" s="4" customFormat="1" ht="9.75" hidden="1" customHeight="1" x14ac:dyDescent="0.25">
      <c r="B33" s="1024"/>
      <c r="C33" s="61"/>
      <c r="D33" s="1224"/>
      <c r="E33" s="2288"/>
      <c r="F33" s="2288"/>
      <c r="G33" s="142"/>
      <c r="H33" s="140"/>
      <c r="I33" s="2216"/>
    </row>
    <row r="34" spans="2:9" s="4" customFormat="1" ht="18" hidden="1" customHeight="1" x14ac:dyDescent="0.25">
      <c r="B34" s="1024"/>
      <c r="C34" s="63" t="s">
        <v>4090</v>
      </c>
      <c r="D34" s="2289">
        <f>D35</f>
        <v>470196000</v>
      </c>
      <c r="E34" s="142">
        <v>0</v>
      </c>
      <c r="F34" s="142"/>
      <c r="G34" s="142">
        <f t="shared" si="0"/>
        <v>0</v>
      </c>
      <c r="H34" s="142">
        <v>0</v>
      </c>
      <c r="I34" s="2216"/>
    </row>
    <row r="35" spans="2:9" s="4" customFormat="1" ht="18" hidden="1" customHeight="1" x14ac:dyDescent="0.25">
      <c r="B35" s="1024"/>
      <c r="C35" s="61" t="s">
        <v>4091</v>
      </c>
      <c r="D35" s="1224">
        <v>470196000</v>
      </c>
      <c r="E35" s="2284">
        <v>0</v>
      </c>
      <c r="F35" s="2284"/>
      <c r="G35" s="140">
        <f t="shared" si="0"/>
        <v>0</v>
      </c>
      <c r="H35" s="140">
        <v>0</v>
      </c>
      <c r="I35" s="2216"/>
    </row>
    <row r="36" spans="2:9" ht="12" hidden="1" customHeight="1" x14ac:dyDescent="0.25">
      <c r="B36" s="1914"/>
      <c r="C36" s="64"/>
      <c r="D36" s="215"/>
      <c r="E36" s="215"/>
      <c r="F36" s="215"/>
      <c r="G36" s="209"/>
      <c r="H36" s="1494"/>
      <c r="I36" s="1106"/>
    </row>
    <row r="37" spans="2:9" ht="20.25" hidden="1" customHeight="1" x14ac:dyDescent="0.25">
      <c r="B37" s="1029" t="s">
        <v>111</v>
      </c>
      <c r="C37" s="56" t="s">
        <v>112</v>
      </c>
      <c r="D37" s="2290"/>
      <c r="E37" s="2290"/>
      <c r="F37" s="2290"/>
      <c r="G37" s="2290"/>
      <c r="H37" s="2290" t="s">
        <v>3317</v>
      </c>
      <c r="I37" s="1106"/>
    </row>
    <row r="38" spans="2:9" ht="19.5" hidden="1" customHeight="1" x14ac:dyDescent="0.25">
      <c r="B38" s="1028"/>
      <c r="C38" s="69" t="s">
        <v>113</v>
      </c>
      <c r="D38" s="2291" t="s">
        <v>3317</v>
      </c>
      <c r="E38" s="2291" t="s">
        <v>3317</v>
      </c>
      <c r="F38" s="2291"/>
      <c r="G38" s="2291" t="s">
        <v>3317</v>
      </c>
      <c r="H38" s="2291" t="s">
        <v>3317</v>
      </c>
      <c r="I38" s="1106"/>
    </row>
    <row r="39" spans="2:9" ht="19.5" hidden="1" customHeight="1" x14ac:dyDescent="0.25">
      <c r="B39" s="1028"/>
      <c r="C39" s="61" t="s">
        <v>115</v>
      </c>
      <c r="D39" s="2291" t="s">
        <v>3317</v>
      </c>
      <c r="E39" s="2291" t="s">
        <v>3317</v>
      </c>
      <c r="F39" s="2291"/>
      <c r="G39" s="2291" t="s">
        <v>3317</v>
      </c>
      <c r="H39" s="2291" t="s">
        <v>3317</v>
      </c>
      <c r="I39" s="1106"/>
    </row>
    <row r="40" spans="2:9" ht="12" hidden="1" customHeight="1" x14ac:dyDescent="0.25">
      <c r="B40" s="1028"/>
      <c r="C40" s="61"/>
      <c r="D40" s="199"/>
      <c r="E40" s="199"/>
      <c r="F40" s="199"/>
      <c r="G40" s="336"/>
      <c r="H40" s="1121"/>
      <c r="I40" s="1106"/>
    </row>
    <row r="41" spans="2:9" ht="21" hidden="1" customHeight="1" x14ac:dyDescent="0.25">
      <c r="B41" s="1029" t="s">
        <v>136</v>
      </c>
      <c r="C41" s="56" t="s">
        <v>137</v>
      </c>
      <c r="D41" s="987"/>
      <c r="E41" s="987"/>
      <c r="F41" s="987"/>
      <c r="G41" s="179"/>
      <c r="H41" s="1030"/>
      <c r="I41" s="1106"/>
    </row>
    <row r="42" spans="2:9" ht="20.25" hidden="1" customHeight="1" x14ac:dyDescent="0.25">
      <c r="B42" s="1028"/>
      <c r="C42" s="69" t="s">
        <v>138</v>
      </c>
      <c r="D42" s="2292" t="s">
        <v>3317</v>
      </c>
      <c r="E42" s="2292" t="s">
        <v>3317</v>
      </c>
      <c r="F42" s="2292"/>
      <c r="G42" s="2292" t="s">
        <v>3317</v>
      </c>
      <c r="H42" s="2292" t="s">
        <v>3317</v>
      </c>
      <c r="I42" s="1106"/>
    </row>
    <row r="43" spans="2:9" ht="18" hidden="1" customHeight="1" x14ac:dyDescent="0.25">
      <c r="B43" s="1028"/>
      <c r="C43" s="61" t="s">
        <v>141</v>
      </c>
      <c r="D43" s="2292" t="s">
        <v>3317</v>
      </c>
      <c r="E43" s="2292" t="s">
        <v>3317</v>
      </c>
      <c r="F43" s="2292"/>
      <c r="G43" s="2292" t="s">
        <v>3317</v>
      </c>
      <c r="H43" s="2292" t="s">
        <v>3317</v>
      </c>
      <c r="I43" s="1106"/>
    </row>
    <row r="44" spans="2:9" ht="12" hidden="1" customHeight="1" x14ac:dyDescent="0.25">
      <c r="B44" s="1028"/>
      <c r="C44" s="61"/>
      <c r="D44" s="199"/>
      <c r="E44" s="199"/>
      <c r="F44" s="199"/>
      <c r="G44" s="336"/>
      <c r="H44" s="1121"/>
      <c r="I44" s="1106"/>
    </row>
    <row r="45" spans="2:9" ht="21" hidden="1" customHeight="1" x14ac:dyDescent="0.25">
      <c r="B45" s="1029" t="s">
        <v>209</v>
      </c>
      <c r="C45" s="56" t="s">
        <v>210</v>
      </c>
      <c r="D45" s="987"/>
      <c r="E45" s="987"/>
      <c r="F45" s="987"/>
      <c r="G45" s="179"/>
      <c r="H45" s="1030"/>
      <c r="I45" s="1106"/>
    </row>
    <row r="46" spans="2:9" ht="20.25" hidden="1" customHeight="1" x14ac:dyDescent="0.25">
      <c r="B46" s="1028"/>
      <c r="C46" s="69" t="s">
        <v>211</v>
      </c>
      <c r="D46" s="365"/>
      <c r="E46" s="365"/>
      <c r="F46" s="365"/>
      <c r="G46" s="72"/>
      <c r="H46" s="1486"/>
      <c r="I46" s="1106"/>
    </row>
    <row r="47" spans="2:9" ht="22.5" hidden="1" customHeight="1" x14ac:dyDescent="0.25">
      <c r="B47" s="1028"/>
      <c r="C47" s="61" t="s">
        <v>212</v>
      </c>
      <c r="D47" s="348" t="s">
        <v>3317</v>
      </c>
      <c r="E47" s="348" t="s">
        <v>3317</v>
      </c>
      <c r="F47" s="348"/>
      <c r="G47" s="348" t="s">
        <v>3317</v>
      </c>
      <c r="H47" s="348" t="s">
        <v>3317</v>
      </c>
      <c r="I47" s="1106"/>
    </row>
    <row r="48" spans="2:9" ht="17.25" hidden="1" customHeight="1" x14ac:dyDescent="0.25">
      <c r="B48" s="2293"/>
      <c r="C48" s="61"/>
      <c r="D48" s="197"/>
      <c r="E48" s="197"/>
      <c r="F48" s="197"/>
      <c r="G48" s="157"/>
      <c r="H48" s="1105"/>
      <c r="I48" s="1106"/>
    </row>
    <row r="49" spans="1:12" s="52" customFormat="1" ht="24" customHeight="1" x14ac:dyDescent="0.25">
      <c r="A49" s="8"/>
      <c r="B49" s="1013" t="s">
        <v>239</v>
      </c>
      <c r="C49" s="49" t="s">
        <v>240</v>
      </c>
      <c r="D49" s="74">
        <f>SUM(D51+D106+D144+D284+D238+D353+D454+D535+D804+D952+D904+D671+D621)</f>
        <v>355551447731</v>
      </c>
      <c r="E49" s="74">
        <f>SUM(E51+E106+E144+E284+E238+E353+E454+E535+E804+E952+E904+E671+E621)</f>
        <v>322319777431</v>
      </c>
      <c r="F49" s="50">
        <f>D49-E49</f>
        <v>33231670300</v>
      </c>
      <c r="G49" s="330">
        <f>E49/D49*100</f>
        <v>90.653484745436302</v>
      </c>
      <c r="H49" s="1032">
        <f>SUM(H51+H106+H144+H238+H284+H353+H426+H454+H535+H621+H671+H804+H904)/13</f>
        <v>92.766521685223609</v>
      </c>
      <c r="I49" s="1484"/>
      <c r="K49" s="55"/>
      <c r="L49" s="55"/>
    </row>
    <row r="50" spans="1:12" ht="12.75" hidden="1" customHeight="1" x14ac:dyDescent="0.25">
      <c r="B50" s="1033"/>
      <c r="C50" s="75"/>
      <c r="D50" s="197"/>
      <c r="E50" s="197"/>
      <c r="F50" s="199"/>
      <c r="G50" s="336"/>
      <c r="H50" s="1105"/>
      <c r="I50" s="1093"/>
    </row>
    <row r="51" spans="1:12" s="76" customFormat="1" ht="21.75" customHeight="1" x14ac:dyDescent="0.25">
      <c r="B51" s="2294"/>
      <c r="C51" s="422" t="s">
        <v>241</v>
      </c>
      <c r="D51" s="2295">
        <f>SUM(D53+D91+D102+D95)</f>
        <v>38021928351</v>
      </c>
      <c r="E51" s="2295">
        <f>SUM(E53+E91+E102+E95)</f>
        <v>38021928351</v>
      </c>
      <c r="F51" s="50">
        <f>D51-E51</f>
        <v>0</v>
      </c>
      <c r="G51" s="423">
        <f>E51/D51*100</f>
        <v>100</v>
      </c>
      <c r="H51" s="2296">
        <f>H53</f>
        <v>100</v>
      </c>
      <c r="I51" s="1509"/>
      <c r="J51" s="121"/>
      <c r="K51" s="122"/>
      <c r="L51" s="122"/>
    </row>
    <row r="52" spans="1:12" ht="6.75" hidden="1" customHeight="1" x14ac:dyDescent="0.25">
      <c r="B52" s="1037"/>
      <c r="C52" s="53"/>
      <c r="D52" s="197"/>
      <c r="E52" s="197"/>
      <c r="F52" s="365"/>
      <c r="G52" s="72"/>
      <c r="H52" s="1105"/>
      <c r="I52" s="1106"/>
    </row>
    <row r="53" spans="1:12" s="27" customFormat="1" ht="21" hidden="1" customHeight="1" x14ac:dyDescent="0.25">
      <c r="B53" s="1038"/>
      <c r="C53" s="89" t="s">
        <v>252</v>
      </c>
      <c r="D53" s="57">
        <f>SUM(D54+D57+D85)</f>
        <v>18418279696</v>
      </c>
      <c r="E53" s="57">
        <f>SUM(E54+E57+E85)</f>
        <v>18418279696</v>
      </c>
      <c r="F53" s="57"/>
      <c r="G53" s="200">
        <f>E53/D53*100</f>
        <v>100</v>
      </c>
      <c r="H53" s="57">
        <f>SUM(H54+H57+H85)/3</f>
        <v>100</v>
      </c>
      <c r="I53" s="1045"/>
      <c r="K53" s="79"/>
      <c r="L53" s="79"/>
    </row>
    <row r="54" spans="1:12" s="27" customFormat="1" ht="16.5" hidden="1" customHeight="1" x14ac:dyDescent="0.25">
      <c r="A54" s="6"/>
      <c r="B54" s="441"/>
      <c r="C54" s="2498" t="s">
        <v>253</v>
      </c>
      <c r="D54" s="2809">
        <f>D55</f>
        <v>6707805540</v>
      </c>
      <c r="E54" s="2723">
        <f>E55</f>
        <v>6707805540</v>
      </c>
      <c r="F54" s="2723"/>
      <c r="G54" s="2679">
        <f t="shared" ref="G54:G89" si="1">E54/D54*100</f>
        <v>100</v>
      </c>
      <c r="H54" s="2722">
        <f>H55</f>
        <v>100</v>
      </c>
      <c r="I54" s="1463"/>
      <c r="K54" s="995"/>
      <c r="L54" s="995"/>
    </row>
    <row r="55" spans="1:12" s="27" customFormat="1" ht="18" hidden="1" customHeight="1" x14ac:dyDescent="0.25">
      <c r="A55" s="6"/>
      <c r="B55" s="441"/>
      <c r="C55" s="2489" t="s">
        <v>254</v>
      </c>
      <c r="D55" s="2811">
        <f>5019015540+1688790000</f>
        <v>6707805540</v>
      </c>
      <c r="E55" s="2811">
        <f>5019015540+1688790000</f>
        <v>6707805540</v>
      </c>
      <c r="F55" s="2811"/>
      <c r="G55" s="2685">
        <f t="shared" si="1"/>
        <v>100</v>
      </c>
      <c r="H55" s="2685">
        <v>100</v>
      </c>
      <c r="I55" s="1463"/>
      <c r="K55" s="995"/>
      <c r="L55" s="995"/>
    </row>
    <row r="56" spans="1:12" s="27" customFormat="1" ht="12" hidden="1" customHeight="1" x14ac:dyDescent="0.25">
      <c r="A56" s="6"/>
      <c r="B56" s="441"/>
      <c r="C56" s="2494"/>
      <c r="D56" s="2700"/>
      <c r="E56" s="2700"/>
      <c r="F56" s="2700"/>
      <c r="G56" s="899"/>
      <c r="H56" s="899"/>
      <c r="I56" s="1463"/>
      <c r="K56" s="995"/>
      <c r="L56" s="995"/>
    </row>
    <row r="57" spans="1:12" s="27" customFormat="1" ht="21.75" hidden="1" customHeight="1" x14ac:dyDescent="0.25">
      <c r="A57" s="6"/>
      <c r="B57" s="441"/>
      <c r="C57" s="2499" t="s">
        <v>255</v>
      </c>
      <c r="D57" s="2812">
        <f>SUM(D58:D83)</f>
        <v>6673340000</v>
      </c>
      <c r="E57" s="2812">
        <f>SUM(E58:E83)</f>
        <v>6673340000</v>
      </c>
      <c r="F57" s="2812"/>
      <c r="G57" s="2679">
        <f t="shared" si="1"/>
        <v>100</v>
      </c>
      <c r="H57" s="899">
        <f>SUM(H58:H83)/24</f>
        <v>100</v>
      </c>
      <c r="I57" s="1463"/>
      <c r="K57" s="995"/>
      <c r="L57" s="995"/>
    </row>
    <row r="58" spans="1:12" s="27" customFormat="1" ht="21.75" hidden="1" customHeight="1" x14ac:dyDescent="0.25">
      <c r="A58" s="6"/>
      <c r="B58" s="441"/>
      <c r="C58" s="2492" t="s">
        <v>256</v>
      </c>
      <c r="D58" s="3609">
        <v>483620000</v>
      </c>
      <c r="E58" s="2700">
        <v>483620000</v>
      </c>
      <c r="F58" s="2700"/>
      <c r="G58" s="2685">
        <f t="shared" si="1"/>
        <v>100</v>
      </c>
      <c r="H58" s="896">
        <v>100</v>
      </c>
      <c r="I58" s="1463"/>
      <c r="K58" s="995"/>
      <c r="L58" s="995"/>
    </row>
    <row r="59" spans="1:12" s="27" customFormat="1" ht="15.75" hidden="1" customHeight="1" x14ac:dyDescent="0.25">
      <c r="A59" s="6"/>
      <c r="B59" s="441"/>
      <c r="C59" s="2492" t="s">
        <v>257</v>
      </c>
      <c r="D59" s="2816">
        <v>498200000</v>
      </c>
      <c r="E59" s="2700">
        <v>498200000</v>
      </c>
      <c r="F59" s="2700"/>
      <c r="G59" s="2685">
        <f t="shared" si="1"/>
        <v>100</v>
      </c>
      <c r="H59" s="896">
        <v>100</v>
      </c>
      <c r="I59" s="1463"/>
      <c r="K59" s="995"/>
      <c r="L59" s="995"/>
    </row>
    <row r="60" spans="1:12" s="27" customFormat="1" ht="19.5" hidden="1" customHeight="1" x14ac:dyDescent="0.25">
      <c r="A60" s="6"/>
      <c r="B60" s="441"/>
      <c r="C60" s="2492" t="s">
        <v>258</v>
      </c>
      <c r="D60" s="2816">
        <v>604000000</v>
      </c>
      <c r="E60" s="2700">
        <v>604000000</v>
      </c>
      <c r="F60" s="2700"/>
      <c r="G60" s="2685">
        <f t="shared" si="1"/>
        <v>100</v>
      </c>
      <c r="H60" s="896">
        <v>100</v>
      </c>
      <c r="I60" s="1463"/>
      <c r="K60" s="995"/>
      <c r="L60" s="995"/>
    </row>
    <row r="61" spans="1:12" s="27" customFormat="1" ht="20.25" hidden="1" customHeight="1" x14ac:dyDescent="0.25">
      <c r="A61" s="6"/>
      <c r="B61" s="441"/>
      <c r="C61" s="2492" t="s">
        <v>259</v>
      </c>
      <c r="D61" s="2816">
        <v>144800000</v>
      </c>
      <c r="E61" s="2700">
        <v>144800000</v>
      </c>
      <c r="F61" s="2700"/>
      <c r="G61" s="2685">
        <f t="shared" si="1"/>
        <v>100</v>
      </c>
      <c r="H61" s="896">
        <v>100</v>
      </c>
      <c r="I61" s="1463"/>
      <c r="K61" s="995"/>
      <c r="L61" s="995"/>
    </row>
    <row r="62" spans="1:12" s="27" customFormat="1" ht="19.5" hidden="1" customHeight="1" x14ac:dyDescent="0.25">
      <c r="A62" s="6"/>
      <c r="B62" s="441"/>
      <c r="C62" s="2492" t="s">
        <v>260</v>
      </c>
      <c r="D62" s="2816">
        <v>319760000</v>
      </c>
      <c r="E62" s="2700">
        <v>319760000</v>
      </c>
      <c r="F62" s="2700"/>
      <c r="G62" s="2685">
        <f t="shared" si="1"/>
        <v>100</v>
      </c>
      <c r="H62" s="896">
        <v>100</v>
      </c>
      <c r="I62" s="1463"/>
      <c r="K62" s="995"/>
      <c r="L62" s="995"/>
    </row>
    <row r="63" spans="1:12" s="27" customFormat="1" ht="18" hidden="1" customHeight="1" x14ac:dyDescent="0.25">
      <c r="A63" s="6"/>
      <c r="B63" s="441"/>
      <c r="C63" s="2492" t="s">
        <v>261</v>
      </c>
      <c r="D63" s="2803">
        <v>0</v>
      </c>
      <c r="E63" s="2803">
        <v>0</v>
      </c>
      <c r="F63" s="2803"/>
      <c r="G63" s="2803">
        <v>0</v>
      </c>
      <c r="H63" s="2803">
        <v>0</v>
      </c>
      <c r="I63" s="1463"/>
      <c r="K63" s="995"/>
      <c r="L63" s="995"/>
    </row>
    <row r="64" spans="1:12" s="27" customFormat="1" ht="17.25" hidden="1" customHeight="1" x14ac:dyDescent="0.25">
      <c r="A64" s="6"/>
      <c r="B64" s="441"/>
      <c r="C64" s="2492" t="s">
        <v>262</v>
      </c>
      <c r="D64" s="2816">
        <v>193920000</v>
      </c>
      <c r="E64" s="2700">
        <v>193920000</v>
      </c>
      <c r="F64" s="2700"/>
      <c r="G64" s="2685">
        <f t="shared" si="1"/>
        <v>100</v>
      </c>
      <c r="H64" s="896">
        <v>100</v>
      </c>
      <c r="I64" s="1463"/>
      <c r="K64" s="995"/>
      <c r="L64" s="995"/>
    </row>
    <row r="65" spans="1:12" s="27" customFormat="1" ht="21" hidden="1" customHeight="1" x14ac:dyDescent="0.25">
      <c r="A65" s="6"/>
      <c r="B65" s="441"/>
      <c r="C65" s="2492" t="s">
        <v>263</v>
      </c>
      <c r="D65" s="2816">
        <v>258920000</v>
      </c>
      <c r="E65" s="2700">
        <v>258920000</v>
      </c>
      <c r="F65" s="2700"/>
      <c r="G65" s="2685">
        <f t="shared" si="1"/>
        <v>100</v>
      </c>
      <c r="H65" s="896">
        <v>100</v>
      </c>
      <c r="I65" s="1463"/>
      <c r="K65" s="995"/>
      <c r="L65" s="995"/>
    </row>
    <row r="66" spans="1:12" s="27" customFormat="1" ht="16.5" hidden="1" customHeight="1" x14ac:dyDescent="0.25">
      <c r="A66" s="6"/>
      <c r="B66" s="441"/>
      <c r="C66" s="3733" t="s">
        <v>264</v>
      </c>
      <c r="D66" s="3610">
        <v>266920000</v>
      </c>
      <c r="E66" s="2831">
        <v>266920000</v>
      </c>
      <c r="F66" s="2831"/>
      <c r="G66" s="2708">
        <f t="shared" si="1"/>
        <v>100</v>
      </c>
      <c r="H66" s="896">
        <v>100</v>
      </c>
      <c r="I66" s="3711"/>
      <c r="K66" s="995"/>
      <c r="L66" s="995"/>
    </row>
    <row r="67" spans="1:12" s="27" customFormat="1" ht="19.5" hidden="1" customHeight="1" x14ac:dyDescent="0.25">
      <c r="A67" s="6"/>
      <c r="B67" s="449"/>
      <c r="C67" s="2492" t="s">
        <v>3457</v>
      </c>
      <c r="D67" s="2816">
        <v>434120000</v>
      </c>
      <c r="E67" s="2700">
        <v>434120000</v>
      </c>
      <c r="F67" s="2700"/>
      <c r="G67" s="2685">
        <f t="shared" si="1"/>
        <v>100</v>
      </c>
      <c r="H67" s="896">
        <v>100</v>
      </c>
      <c r="I67" s="1463"/>
      <c r="K67" s="995"/>
      <c r="L67" s="995"/>
    </row>
    <row r="68" spans="1:12" s="27" customFormat="1" ht="18.75" hidden="1" customHeight="1" x14ac:dyDescent="0.25">
      <c r="A68" s="6"/>
      <c r="B68" s="441"/>
      <c r="C68" s="3613" t="s">
        <v>265</v>
      </c>
      <c r="D68" s="3611">
        <v>234700000</v>
      </c>
      <c r="E68" s="2731">
        <v>234700000</v>
      </c>
      <c r="F68" s="2731"/>
      <c r="G68" s="2804">
        <f t="shared" si="1"/>
        <v>100</v>
      </c>
      <c r="H68" s="896">
        <v>100</v>
      </c>
      <c r="I68" s="3712"/>
      <c r="K68" s="995"/>
      <c r="L68" s="995"/>
    </row>
    <row r="69" spans="1:12" s="27" customFormat="1" ht="16.5" hidden="1" customHeight="1" x14ac:dyDescent="0.25">
      <c r="A69" s="6"/>
      <c r="B69" s="441"/>
      <c r="C69" s="2492" t="s">
        <v>266</v>
      </c>
      <c r="D69" s="2816">
        <v>271800000</v>
      </c>
      <c r="E69" s="2700">
        <v>271800000</v>
      </c>
      <c r="F69" s="2700"/>
      <c r="G69" s="2685">
        <f t="shared" si="1"/>
        <v>100</v>
      </c>
      <c r="H69" s="896">
        <v>100</v>
      </c>
      <c r="I69" s="1463"/>
      <c r="K69" s="995"/>
      <c r="L69" s="995"/>
    </row>
    <row r="70" spans="1:12" s="27" customFormat="1" ht="21" hidden="1" customHeight="1" x14ac:dyDescent="0.25">
      <c r="A70" s="6"/>
      <c r="B70" s="441"/>
      <c r="C70" s="2492" t="s">
        <v>267</v>
      </c>
      <c r="D70" s="2816">
        <v>253300000</v>
      </c>
      <c r="E70" s="2700">
        <v>253300000</v>
      </c>
      <c r="F70" s="2700"/>
      <c r="G70" s="2685">
        <f t="shared" si="1"/>
        <v>100</v>
      </c>
      <c r="H70" s="896">
        <v>100</v>
      </c>
      <c r="I70" s="1463"/>
      <c r="K70" s="995"/>
      <c r="L70" s="995"/>
    </row>
    <row r="71" spans="1:12" s="27" customFormat="1" ht="20.25" hidden="1" customHeight="1" x14ac:dyDescent="0.25">
      <c r="A71" s="6"/>
      <c r="B71" s="441"/>
      <c r="C71" s="2492" t="s">
        <v>268</v>
      </c>
      <c r="D71" s="2816">
        <v>432120000</v>
      </c>
      <c r="E71" s="2700">
        <v>432120000</v>
      </c>
      <c r="F71" s="2700"/>
      <c r="G71" s="2685">
        <f t="shared" si="1"/>
        <v>100</v>
      </c>
      <c r="H71" s="896">
        <v>100</v>
      </c>
      <c r="I71" s="1463"/>
      <c r="K71" s="995"/>
      <c r="L71" s="995"/>
    </row>
    <row r="72" spans="1:12" s="27" customFormat="1" ht="19.5" hidden="1" customHeight="1" x14ac:dyDescent="0.25">
      <c r="A72" s="6"/>
      <c r="B72" s="441"/>
      <c r="C72" s="2492" t="s">
        <v>269</v>
      </c>
      <c r="D72" s="2816">
        <v>155920000</v>
      </c>
      <c r="E72" s="2700">
        <v>155920000</v>
      </c>
      <c r="F72" s="2700"/>
      <c r="G72" s="2685">
        <f t="shared" si="1"/>
        <v>100</v>
      </c>
      <c r="H72" s="896">
        <v>100</v>
      </c>
      <c r="I72" s="1463"/>
      <c r="K72" s="995"/>
      <c r="L72" s="995"/>
    </row>
    <row r="73" spans="1:12" s="27" customFormat="1" ht="21" hidden="1" customHeight="1" x14ac:dyDescent="0.25">
      <c r="A73" s="6"/>
      <c r="B73" s="441"/>
      <c r="C73" s="2492" t="s">
        <v>270</v>
      </c>
      <c r="D73" s="2816">
        <v>222000000</v>
      </c>
      <c r="E73" s="2700">
        <v>222000000</v>
      </c>
      <c r="F73" s="2700"/>
      <c r="G73" s="2685">
        <f t="shared" si="1"/>
        <v>100</v>
      </c>
      <c r="H73" s="896">
        <v>100</v>
      </c>
      <c r="I73" s="1463"/>
      <c r="K73" s="995"/>
      <c r="L73" s="995"/>
    </row>
    <row r="74" spans="1:12" s="27" customFormat="1" ht="18.75" hidden="1" customHeight="1" x14ac:dyDescent="0.25">
      <c r="A74" s="6"/>
      <c r="B74" s="441"/>
      <c r="C74" s="2492" t="s">
        <v>271</v>
      </c>
      <c r="D74" s="2816">
        <v>430620000</v>
      </c>
      <c r="E74" s="2700">
        <v>430620000</v>
      </c>
      <c r="F74" s="2700"/>
      <c r="G74" s="2685">
        <f t="shared" si="1"/>
        <v>100</v>
      </c>
      <c r="H74" s="896">
        <v>100</v>
      </c>
      <c r="I74" s="1463"/>
      <c r="K74" s="995"/>
      <c r="L74" s="995"/>
    </row>
    <row r="75" spans="1:12" s="27" customFormat="1" ht="20.25" hidden="1" customHeight="1" x14ac:dyDescent="0.25">
      <c r="A75" s="6"/>
      <c r="B75" s="441"/>
      <c r="C75" s="2492" t="s">
        <v>272</v>
      </c>
      <c r="D75" s="2816">
        <v>164920000</v>
      </c>
      <c r="E75" s="2700">
        <v>164920000</v>
      </c>
      <c r="F75" s="2700"/>
      <c r="G75" s="2685">
        <f t="shared" si="1"/>
        <v>100</v>
      </c>
      <c r="H75" s="896">
        <v>100</v>
      </c>
      <c r="I75" s="1463"/>
      <c r="K75" s="995"/>
      <c r="L75" s="995"/>
    </row>
    <row r="76" spans="1:12" s="27" customFormat="1" ht="19.5" hidden="1" customHeight="1" x14ac:dyDescent="0.25">
      <c r="A76" s="6"/>
      <c r="B76" s="441"/>
      <c r="C76" s="2492" t="s">
        <v>273</v>
      </c>
      <c r="D76" s="2816">
        <v>229800000</v>
      </c>
      <c r="E76" s="2700">
        <v>229800000</v>
      </c>
      <c r="F76" s="2700"/>
      <c r="G76" s="2685">
        <f t="shared" si="1"/>
        <v>100</v>
      </c>
      <c r="H76" s="896">
        <v>100</v>
      </c>
      <c r="I76" s="1463"/>
      <c r="K76" s="995"/>
      <c r="L76" s="995"/>
    </row>
    <row r="77" spans="1:12" s="27" customFormat="1" ht="20.25" hidden="1" customHeight="1" x14ac:dyDescent="0.25">
      <c r="A77" s="6"/>
      <c r="B77" s="441"/>
      <c r="C77" s="2492" t="s">
        <v>274</v>
      </c>
      <c r="D77" s="2803">
        <v>0</v>
      </c>
      <c r="E77" s="2803">
        <v>0</v>
      </c>
      <c r="F77" s="2803"/>
      <c r="G77" s="2803">
        <v>0</v>
      </c>
      <c r="H77" s="2803">
        <v>0</v>
      </c>
      <c r="I77" s="1463"/>
      <c r="K77" s="995"/>
      <c r="L77" s="995"/>
    </row>
    <row r="78" spans="1:12" s="27" customFormat="1" ht="21" hidden="1" customHeight="1" x14ac:dyDescent="0.25">
      <c r="A78" s="6"/>
      <c r="B78" s="441"/>
      <c r="C78" s="2492" t="s">
        <v>275</v>
      </c>
      <c r="D78" s="2816">
        <v>322000000</v>
      </c>
      <c r="E78" s="2700">
        <v>322000000</v>
      </c>
      <c r="F78" s="2700"/>
      <c r="G78" s="2685">
        <f t="shared" si="1"/>
        <v>100</v>
      </c>
      <c r="H78" s="896">
        <v>100</v>
      </c>
      <c r="I78" s="1463"/>
      <c r="K78" s="995"/>
      <c r="L78" s="995"/>
    </row>
    <row r="79" spans="1:12" s="27" customFormat="1" ht="18" hidden="1" customHeight="1" x14ac:dyDescent="0.25">
      <c r="A79" s="6"/>
      <c r="B79" s="441"/>
      <c r="C79" s="2492" t="s">
        <v>276</v>
      </c>
      <c r="D79" s="2816">
        <v>108800000</v>
      </c>
      <c r="E79" s="2700">
        <v>108800000</v>
      </c>
      <c r="F79" s="2700"/>
      <c r="G79" s="2685">
        <f t="shared" si="1"/>
        <v>100</v>
      </c>
      <c r="H79" s="896">
        <v>100</v>
      </c>
      <c r="I79" s="1463"/>
      <c r="K79" s="995"/>
      <c r="L79" s="995"/>
    </row>
    <row r="80" spans="1:12" s="27" customFormat="1" ht="19.5" hidden="1" customHeight="1" x14ac:dyDescent="0.25">
      <c r="A80" s="6"/>
      <c r="B80" s="441"/>
      <c r="C80" s="2492" t="s">
        <v>277</v>
      </c>
      <c r="D80" s="2816">
        <v>220300000</v>
      </c>
      <c r="E80" s="2700">
        <v>220300000</v>
      </c>
      <c r="F80" s="2700"/>
      <c r="G80" s="2685">
        <f t="shared" si="1"/>
        <v>100</v>
      </c>
      <c r="H80" s="896">
        <v>100</v>
      </c>
      <c r="I80" s="1463"/>
      <c r="K80" s="995"/>
      <c r="L80" s="995"/>
    </row>
    <row r="81" spans="1:12" s="27" customFormat="1" ht="19.5" hidden="1" customHeight="1" x14ac:dyDescent="0.25">
      <c r="A81" s="6"/>
      <c r="B81" s="441"/>
      <c r="C81" s="2492" t="s">
        <v>278</v>
      </c>
      <c r="D81" s="2816">
        <v>100000000</v>
      </c>
      <c r="E81" s="2700">
        <v>100000000</v>
      </c>
      <c r="F81" s="2700"/>
      <c r="G81" s="2685">
        <f t="shared" si="1"/>
        <v>100</v>
      </c>
      <c r="H81" s="896">
        <v>100</v>
      </c>
      <c r="I81" s="1463"/>
      <c r="K81" s="995"/>
      <c r="L81" s="995"/>
    </row>
    <row r="82" spans="1:12" s="27" customFormat="1" ht="20.25" hidden="1" customHeight="1" x14ac:dyDescent="0.25">
      <c r="A82" s="6"/>
      <c r="B82" s="441"/>
      <c r="C82" s="2492" t="s">
        <v>279</v>
      </c>
      <c r="D82" s="2816">
        <v>100000000</v>
      </c>
      <c r="E82" s="2700">
        <v>100000000</v>
      </c>
      <c r="F82" s="2700"/>
      <c r="G82" s="2685">
        <f t="shared" si="1"/>
        <v>100</v>
      </c>
      <c r="H82" s="896">
        <v>100</v>
      </c>
      <c r="I82" s="1463"/>
      <c r="K82" s="995"/>
      <c r="L82" s="995"/>
    </row>
    <row r="83" spans="1:12" s="27" customFormat="1" ht="16.5" hidden="1" customHeight="1" x14ac:dyDescent="0.25">
      <c r="A83" s="6"/>
      <c r="B83" s="441"/>
      <c r="C83" s="2492" t="s">
        <v>280</v>
      </c>
      <c r="D83" s="2816">
        <v>222800000</v>
      </c>
      <c r="E83" s="2700">
        <v>222800000</v>
      </c>
      <c r="F83" s="2700"/>
      <c r="G83" s="2685">
        <f t="shared" si="1"/>
        <v>100</v>
      </c>
      <c r="H83" s="896">
        <v>100</v>
      </c>
      <c r="I83" s="1463"/>
      <c r="K83" s="995"/>
      <c r="L83" s="995"/>
    </row>
    <row r="84" spans="1:12" s="27" customFormat="1" ht="12" hidden="1" customHeight="1" x14ac:dyDescent="0.25">
      <c r="A84" s="6"/>
      <c r="B84" s="441"/>
      <c r="C84" s="2494"/>
      <c r="D84" s="2700"/>
      <c r="E84" s="2700"/>
      <c r="F84" s="2700"/>
      <c r="G84" s="899"/>
      <c r="H84" s="899"/>
      <c r="I84" s="1463"/>
      <c r="K84" s="995"/>
      <c r="L84" s="995"/>
    </row>
    <row r="85" spans="1:12" s="27" customFormat="1" ht="20.25" hidden="1" customHeight="1" x14ac:dyDescent="0.25">
      <c r="A85" s="6"/>
      <c r="B85" s="441"/>
      <c r="C85" s="2490" t="s">
        <v>281</v>
      </c>
      <c r="D85" s="2812">
        <f>SUM(D86:D89)</f>
        <v>5037134156</v>
      </c>
      <c r="E85" s="2812">
        <f>SUM(E86:E89)</f>
        <v>5037134156</v>
      </c>
      <c r="F85" s="2812"/>
      <c r="G85" s="2679">
        <f t="shared" si="1"/>
        <v>100</v>
      </c>
      <c r="H85" s="2679">
        <f>SUM(H86:H89)/4</f>
        <v>100</v>
      </c>
      <c r="I85" s="1463"/>
      <c r="K85" s="995"/>
      <c r="L85" s="995"/>
    </row>
    <row r="86" spans="1:12" s="27" customFormat="1" ht="18.75" hidden="1" customHeight="1" x14ac:dyDescent="0.25">
      <c r="A86" s="6"/>
      <c r="B86" s="441"/>
      <c r="C86" s="2500" t="s">
        <v>282</v>
      </c>
      <c r="D86" s="2816">
        <v>3157494156</v>
      </c>
      <c r="E86" s="2700">
        <v>3157494156</v>
      </c>
      <c r="F86" s="2700"/>
      <c r="G86" s="2685">
        <f t="shared" si="1"/>
        <v>100</v>
      </c>
      <c r="H86" s="2700">
        <v>100</v>
      </c>
      <c r="I86" s="1463"/>
      <c r="K86" s="995"/>
      <c r="L86" s="995"/>
    </row>
    <row r="87" spans="1:12" s="27" customFormat="1" ht="17.25" hidden="1" customHeight="1" x14ac:dyDescent="0.25">
      <c r="A87" s="6"/>
      <c r="B87" s="441"/>
      <c r="C87" s="2500" t="s">
        <v>283</v>
      </c>
      <c r="D87" s="2816">
        <v>621640000</v>
      </c>
      <c r="E87" s="2700">
        <v>621640000</v>
      </c>
      <c r="F87" s="2700"/>
      <c r="G87" s="2685">
        <f t="shared" si="1"/>
        <v>100</v>
      </c>
      <c r="H87" s="2700">
        <v>100</v>
      </c>
      <c r="I87" s="1463"/>
      <c r="K87" s="995"/>
      <c r="L87" s="995"/>
    </row>
    <row r="88" spans="1:12" s="27" customFormat="1" ht="17.25" hidden="1" customHeight="1" x14ac:dyDescent="0.25">
      <c r="A88" s="6"/>
      <c r="B88" s="441"/>
      <c r="C88" s="2501" t="s">
        <v>284</v>
      </c>
      <c r="D88" s="2819">
        <v>486000000</v>
      </c>
      <c r="E88" s="2700">
        <v>486000000</v>
      </c>
      <c r="F88" s="2700"/>
      <c r="G88" s="2685">
        <f t="shared" si="1"/>
        <v>100</v>
      </c>
      <c r="H88" s="2700">
        <v>100</v>
      </c>
      <c r="I88" s="1463"/>
      <c r="K88" s="995"/>
      <c r="L88" s="995"/>
    </row>
    <row r="89" spans="1:12" s="27" customFormat="1" ht="15.75" hidden="1" customHeight="1" x14ac:dyDescent="0.25">
      <c r="A89" s="6"/>
      <c r="B89" s="441"/>
      <c r="C89" s="2500" t="s">
        <v>285</v>
      </c>
      <c r="D89" s="2816">
        <v>772000000</v>
      </c>
      <c r="E89" s="2700">
        <v>772000000</v>
      </c>
      <c r="F89" s="2700"/>
      <c r="G89" s="2685">
        <f t="shared" si="1"/>
        <v>100</v>
      </c>
      <c r="H89" s="2700">
        <v>100</v>
      </c>
      <c r="I89" s="1463"/>
      <c r="K89" s="995"/>
      <c r="L89" s="995"/>
    </row>
    <row r="90" spans="1:12" ht="12" hidden="1" customHeight="1" x14ac:dyDescent="0.25">
      <c r="B90" s="1037"/>
      <c r="C90" s="2299"/>
      <c r="D90" s="239"/>
      <c r="E90" s="239"/>
      <c r="F90" s="239"/>
      <c r="G90" s="191"/>
      <c r="H90" s="1510"/>
      <c r="I90" s="1106"/>
    </row>
    <row r="91" spans="1:12" s="27" customFormat="1" ht="18" hidden="1" customHeight="1" x14ac:dyDescent="0.25">
      <c r="B91" s="1038"/>
      <c r="C91" s="89" t="s">
        <v>286</v>
      </c>
      <c r="D91" s="2300">
        <f>D92</f>
        <v>3931886655</v>
      </c>
      <c r="E91" s="2300">
        <f>E92</f>
        <v>3931886655</v>
      </c>
      <c r="F91" s="2300"/>
      <c r="G91" s="200">
        <f>E91/D91*100</f>
        <v>100</v>
      </c>
      <c r="H91" s="179">
        <f>H92</f>
        <v>100</v>
      </c>
      <c r="I91" s="1045"/>
      <c r="K91" s="79"/>
      <c r="L91" s="79"/>
    </row>
    <row r="92" spans="1:12" s="27" customFormat="1" ht="31.5" hidden="1" customHeight="1" x14ac:dyDescent="0.25">
      <c r="A92" s="6"/>
      <c r="B92" s="441"/>
      <c r="C92" s="2502" t="s">
        <v>287</v>
      </c>
      <c r="D92" s="2822">
        <f>D93</f>
        <v>3931886655</v>
      </c>
      <c r="E92" s="2822">
        <f>E93</f>
        <v>3931886655</v>
      </c>
      <c r="F92" s="2808"/>
      <c r="G92" s="2679">
        <f t="shared" ref="G92:G93" si="2">E92/D92*100</f>
        <v>100</v>
      </c>
      <c r="H92" s="2826">
        <f>H93</f>
        <v>100</v>
      </c>
      <c r="I92" s="1463"/>
      <c r="K92" s="995"/>
      <c r="L92" s="995"/>
    </row>
    <row r="93" spans="1:12" s="27" customFormat="1" ht="17.25" hidden="1" customHeight="1" x14ac:dyDescent="0.25">
      <c r="A93" s="6"/>
      <c r="B93" s="441"/>
      <c r="C93" s="2489" t="s">
        <v>288</v>
      </c>
      <c r="D93" s="896">
        <v>3931886655</v>
      </c>
      <c r="E93" s="896">
        <v>3931886655</v>
      </c>
      <c r="F93" s="896"/>
      <c r="G93" s="2685">
        <f t="shared" si="2"/>
        <v>100</v>
      </c>
      <c r="H93" s="896">
        <v>100</v>
      </c>
      <c r="I93" s="1463"/>
      <c r="K93" s="995"/>
      <c r="L93" s="995"/>
    </row>
    <row r="94" spans="1:12" s="27" customFormat="1" ht="12" hidden="1" customHeight="1" x14ac:dyDescent="0.25">
      <c r="B94" s="1042"/>
      <c r="C94" s="1470"/>
      <c r="D94" s="87"/>
      <c r="E94" s="133"/>
      <c r="F94" s="133"/>
      <c r="G94" s="158"/>
      <c r="H94" s="1488"/>
      <c r="I94" s="1045"/>
      <c r="K94" s="79"/>
      <c r="L94" s="79"/>
    </row>
    <row r="95" spans="1:12" s="27" customFormat="1" ht="18" hidden="1" customHeight="1" x14ac:dyDescent="0.25">
      <c r="B95" s="1038"/>
      <c r="C95" s="89" t="s">
        <v>289</v>
      </c>
      <c r="D95" s="2301">
        <f>SUM(D96+D99)</f>
        <v>13734760000</v>
      </c>
      <c r="E95" s="2301">
        <f>SUM(E96+E99)</f>
        <v>13734760000</v>
      </c>
      <c r="F95" s="2301"/>
      <c r="G95" s="200">
        <f>E95/D95*100</f>
        <v>100</v>
      </c>
      <c r="H95" s="131">
        <f>SUM(H96+H99)/1</f>
        <v>100</v>
      </c>
      <c r="I95" s="1045"/>
      <c r="K95" s="79"/>
      <c r="L95" s="79"/>
    </row>
    <row r="96" spans="1:12" s="27" customFormat="1" ht="21.75" hidden="1" customHeight="1" x14ac:dyDescent="0.25">
      <c r="B96" s="1042"/>
      <c r="C96" s="53" t="s">
        <v>290</v>
      </c>
      <c r="D96" s="2302">
        <f>D97</f>
        <v>13734760000</v>
      </c>
      <c r="E96" s="2302">
        <f>E97</f>
        <v>13734760000</v>
      </c>
      <c r="F96" s="2302"/>
      <c r="G96" s="142">
        <f t="shared" ref="G96:G97" si="3">E96/D96*100</f>
        <v>100</v>
      </c>
      <c r="H96" s="233">
        <f>H97</f>
        <v>100</v>
      </c>
      <c r="I96" s="1045"/>
      <c r="K96" s="79"/>
      <c r="L96" s="79"/>
    </row>
    <row r="97" spans="1:12" s="27" customFormat="1" ht="18" hidden="1" customHeight="1" x14ac:dyDescent="0.25">
      <c r="B97" s="1042"/>
      <c r="C97" s="86" t="s">
        <v>291</v>
      </c>
      <c r="D97" s="2297">
        <v>13734760000</v>
      </c>
      <c r="E97" s="2284">
        <v>13734760000</v>
      </c>
      <c r="F97" s="2284"/>
      <c r="G97" s="140">
        <f t="shared" si="3"/>
        <v>100</v>
      </c>
      <c r="H97" s="140">
        <v>100</v>
      </c>
      <c r="I97" s="1045"/>
      <c r="K97" s="79"/>
      <c r="L97" s="79"/>
    </row>
    <row r="98" spans="1:12" s="27" customFormat="1" ht="12" hidden="1" customHeight="1" x14ac:dyDescent="0.25">
      <c r="B98" s="1042"/>
      <c r="C98" s="2298"/>
      <c r="D98" s="2303"/>
      <c r="E98" s="2284"/>
      <c r="F98" s="2284"/>
      <c r="G98" s="140"/>
      <c r="H98" s="140"/>
      <c r="I98" s="1045"/>
      <c r="K98" s="79"/>
      <c r="L98" s="79"/>
    </row>
    <row r="99" spans="1:12" s="27" customFormat="1" ht="18.75" hidden="1" customHeight="1" x14ac:dyDescent="0.25">
      <c r="B99" s="1042"/>
      <c r="C99" s="1957" t="s">
        <v>292</v>
      </c>
      <c r="D99" s="2803">
        <v>0</v>
      </c>
      <c r="E99" s="2803">
        <v>0</v>
      </c>
      <c r="F99" s="2803"/>
      <c r="G99" s="2803">
        <v>0</v>
      </c>
      <c r="H99" s="2803">
        <v>0</v>
      </c>
      <c r="I99" s="1045"/>
      <c r="K99" s="79"/>
      <c r="L99" s="79"/>
    </row>
    <row r="100" spans="1:12" s="27" customFormat="1" ht="20.25" hidden="1" customHeight="1" x14ac:dyDescent="0.25">
      <c r="B100" s="1042"/>
      <c r="C100" s="86" t="s">
        <v>293</v>
      </c>
      <c r="D100" s="2803">
        <v>0</v>
      </c>
      <c r="E100" s="2803">
        <v>0</v>
      </c>
      <c r="F100" s="2803"/>
      <c r="G100" s="2803">
        <v>0</v>
      </c>
      <c r="H100" s="2803">
        <v>0</v>
      </c>
      <c r="I100" s="1045"/>
      <c r="K100" s="79"/>
      <c r="L100" s="79"/>
    </row>
    <row r="101" spans="1:12" s="27" customFormat="1" ht="12" hidden="1" customHeight="1" x14ac:dyDescent="0.25">
      <c r="B101" s="1042"/>
      <c r="C101" s="2299"/>
      <c r="D101" s="93"/>
      <c r="E101" s="239"/>
      <c r="F101" s="239"/>
      <c r="G101" s="191"/>
      <c r="H101" s="1491"/>
      <c r="I101" s="1045"/>
      <c r="K101" s="79"/>
      <c r="L101" s="79"/>
    </row>
    <row r="102" spans="1:12" ht="20.25" hidden="1" customHeight="1" x14ac:dyDescent="0.25">
      <c r="B102" s="1046"/>
      <c r="C102" s="89" t="s">
        <v>332</v>
      </c>
      <c r="D102" s="94">
        <f t="shared" ref="D102:H103" si="4">D103</f>
        <v>1937002000</v>
      </c>
      <c r="E102" s="94">
        <f t="shared" si="4"/>
        <v>1937002000</v>
      </c>
      <c r="F102" s="94"/>
      <c r="G102" s="200">
        <f t="shared" si="4"/>
        <v>100</v>
      </c>
      <c r="H102" s="1047">
        <f t="shared" si="4"/>
        <v>100</v>
      </c>
      <c r="I102" s="1106"/>
    </row>
    <row r="103" spans="1:12" ht="18.75" hidden="1" customHeight="1" x14ac:dyDescent="0.25">
      <c r="B103" s="1037"/>
      <c r="C103" s="1957" t="s">
        <v>333</v>
      </c>
      <c r="D103" s="95">
        <f t="shared" si="4"/>
        <v>1937002000</v>
      </c>
      <c r="E103" s="95">
        <f t="shared" si="4"/>
        <v>1937002000</v>
      </c>
      <c r="F103" s="95"/>
      <c r="G103" s="209">
        <f t="shared" si="4"/>
        <v>100</v>
      </c>
      <c r="H103" s="1493">
        <f t="shared" si="4"/>
        <v>100</v>
      </c>
      <c r="I103" s="1106"/>
    </row>
    <row r="104" spans="1:12" s="27" customFormat="1" ht="17.25" hidden="1" customHeight="1" x14ac:dyDescent="0.25">
      <c r="A104" s="6"/>
      <c r="B104" s="1024"/>
      <c r="C104" s="334" t="s">
        <v>335</v>
      </c>
      <c r="D104" s="2297">
        <v>1937002000</v>
      </c>
      <c r="E104" s="2288">
        <v>1937002000</v>
      </c>
      <c r="F104" s="2288"/>
      <c r="G104" s="140">
        <f t="shared" ref="G104" si="5">E104/D104*100</f>
        <v>100</v>
      </c>
      <c r="H104" s="73">
        <v>100</v>
      </c>
      <c r="I104" s="1045"/>
      <c r="K104" s="80"/>
    </row>
    <row r="105" spans="1:12" ht="12" hidden="1" customHeight="1" x14ac:dyDescent="0.25">
      <c r="B105" s="1037"/>
      <c r="C105" s="53"/>
      <c r="D105" s="215"/>
      <c r="E105" s="215"/>
      <c r="F105" s="215"/>
      <c r="G105" s="73"/>
      <c r="H105" s="1494"/>
      <c r="I105" s="1106"/>
    </row>
    <row r="106" spans="1:12" s="121" customFormat="1" ht="18" customHeight="1" x14ac:dyDescent="0.25">
      <c r="B106" s="2294"/>
      <c r="C106" s="422" t="s">
        <v>353</v>
      </c>
      <c r="D106" s="2295">
        <f>SUM(D108+D132+D136+D140)</f>
        <v>23980658776</v>
      </c>
      <c r="E106" s="2295">
        <f>SUM(E108+E132+E136+E140)</f>
        <v>19961810754</v>
      </c>
      <c r="F106" s="50">
        <f>D106-E106</f>
        <v>4018848022</v>
      </c>
      <c r="G106" s="423">
        <f>E106/D106*100</f>
        <v>83.241294329986928</v>
      </c>
      <c r="H106" s="2304">
        <f>SUM(H108+H132+H136+H140)/4</f>
        <v>95.8</v>
      </c>
      <c r="I106" s="1509"/>
      <c r="K106" s="122"/>
      <c r="L106" s="122"/>
    </row>
    <row r="107" spans="1:12" ht="8.25" hidden="1" customHeight="1" x14ac:dyDescent="0.25">
      <c r="B107" s="1037"/>
      <c r="C107" s="53"/>
      <c r="D107" s="197"/>
      <c r="E107" s="197"/>
      <c r="F107" s="199"/>
      <c r="G107" s="336"/>
      <c r="H107" s="1121"/>
      <c r="I107" s="1106"/>
    </row>
    <row r="108" spans="1:12" s="27" customFormat="1" ht="16.5" hidden="1" customHeight="1" x14ac:dyDescent="0.25">
      <c r="B108" s="1038"/>
      <c r="C108" s="56" t="s">
        <v>398</v>
      </c>
      <c r="D108" s="57">
        <f>SUM(D109+D112+D119+D124+D129)</f>
        <v>17185757488</v>
      </c>
      <c r="E108" s="57">
        <f>SUM(E109+E112+E119+E124+E129)</f>
        <v>13574431400</v>
      </c>
      <c r="F108" s="57"/>
      <c r="G108" s="131">
        <f>E108/D108*100</f>
        <v>78.986517815571318</v>
      </c>
      <c r="H108" s="131">
        <f>SUM(H109+H112+H119+H124+H129)/5</f>
        <v>83.2</v>
      </c>
      <c r="I108" s="1045"/>
      <c r="K108" s="79"/>
      <c r="L108" s="79"/>
    </row>
    <row r="109" spans="1:12" s="27" customFormat="1" ht="18" hidden="1" customHeight="1" x14ac:dyDescent="0.25">
      <c r="A109" s="6"/>
      <c r="B109" s="441"/>
      <c r="C109" s="2478" t="s">
        <v>91</v>
      </c>
      <c r="D109" s="2788">
        <f>D110</f>
        <v>266190000</v>
      </c>
      <c r="E109" s="2723">
        <f>E110</f>
        <v>266190000</v>
      </c>
      <c r="F109" s="2723"/>
      <c r="G109" s="2722">
        <f>E109/D109*100</f>
        <v>100</v>
      </c>
      <c r="H109" s="2722">
        <f>H110</f>
        <v>100</v>
      </c>
      <c r="I109" s="3711"/>
      <c r="K109" s="995"/>
      <c r="L109" s="995"/>
    </row>
    <row r="110" spans="1:12" s="27" customFormat="1" ht="16.5" hidden="1" customHeight="1" x14ac:dyDescent="0.25">
      <c r="A110" s="6"/>
      <c r="B110" s="449"/>
      <c r="C110" s="2473" t="s">
        <v>399</v>
      </c>
      <c r="D110" s="2851">
        <v>266190000</v>
      </c>
      <c r="E110" s="2852">
        <v>266190000</v>
      </c>
      <c r="F110" s="2852"/>
      <c r="G110" s="2685">
        <f>E110/D110*100</f>
        <v>100</v>
      </c>
      <c r="H110" s="2685">
        <v>100</v>
      </c>
      <c r="I110" s="1463"/>
      <c r="K110" s="995"/>
      <c r="L110" s="995"/>
    </row>
    <row r="111" spans="1:12" s="27" customFormat="1" ht="10.5" hidden="1" customHeight="1" x14ac:dyDescent="0.25">
      <c r="A111" s="6"/>
      <c r="B111" s="449"/>
      <c r="C111" s="2474"/>
      <c r="D111" s="898"/>
      <c r="E111" s="2700"/>
      <c r="F111" s="2700"/>
      <c r="G111" s="2685"/>
      <c r="H111" s="2685"/>
      <c r="I111" s="1463"/>
      <c r="K111" s="995"/>
      <c r="L111" s="995"/>
    </row>
    <row r="112" spans="1:12" s="27" customFormat="1" ht="15.75" hidden="1" customHeight="1" x14ac:dyDescent="0.25">
      <c r="A112" s="6"/>
      <c r="B112" s="441"/>
      <c r="C112" s="2472" t="s">
        <v>93</v>
      </c>
      <c r="D112" s="2721">
        <f>SUM(D113:D117)</f>
        <v>5565736700</v>
      </c>
      <c r="E112" s="2721">
        <f>SUM(E113:E117)</f>
        <v>4482083700</v>
      </c>
      <c r="F112" s="2721"/>
      <c r="G112" s="2725">
        <f t="shared" ref="G112:G130" si="6">E112/D112*100</f>
        <v>80.529926972650358</v>
      </c>
      <c r="H112" s="2759">
        <f>SUM(H113:H117)/5</f>
        <v>66</v>
      </c>
      <c r="I112" s="3712"/>
      <c r="K112" s="995"/>
      <c r="L112" s="995"/>
    </row>
    <row r="113" spans="1:12" s="27" customFormat="1" ht="17.25" hidden="1" customHeight="1" x14ac:dyDescent="0.25">
      <c r="A113" s="6"/>
      <c r="B113" s="441"/>
      <c r="C113" s="2473" t="s">
        <v>400</v>
      </c>
      <c r="D113" s="2871">
        <v>337430000</v>
      </c>
      <c r="E113" s="2852">
        <v>196955000</v>
      </c>
      <c r="F113" s="2852"/>
      <c r="G113" s="2685">
        <f t="shared" si="6"/>
        <v>58.3691432297069</v>
      </c>
      <c r="H113" s="896">
        <v>100</v>
      </c>
      <c r="I113" s="1463"/>
      <c r="K113" s="995"/>
      <c r="L113" s="995"/>
    </row>
    <row r="114" spans="1:12" s="27" customFormat="1" ht="16.5" hidden="1" customHeight="1" x14ac:dyDescent="0.25">
      <c r="A114" s="6"/>
      <c r="B114" s="441"/>
      <c r="C114" s="2473" t="s">
        <v>401</v>
      </c>
      <c r="D114" s="2872">
        <v>3042192000</v>
      </c>
      <c r="E114" s="2731">
        <v>2786167000</v>
      </c>
      <c r="F114" s="2731"/>
      <c r="G114" s="2685">
        <f t="shared" si="6"/>
        <v>91.584193239611437</v>
      </c>
      <c r="H114" s="896">
        <v>100</v>
      </c>
      <c r="I114" s="1463"/>
      <c r="K114" s="995"/>
      <c r="L114" s="995"/>
    </row>
    <row r="115" spans="1:12" s="27" customFormat="1" ht="18" hidden="1" customHeight="1" x14ac:dyDescent="0.25">
      <c r="A115" s="6"/>
      <c r="B115" s="441"/>
      <c r="C115" s="2473" t="s">
        <v>402</v>
      </c>
      <c r="D115" s="2872">
        <v>1599294700</v>
      </c>
      <c r="E115" s="2834">
        <v>1421512700</v>
      </c>
      <c r="F115" s="2834"/>
      <c r="G115" s="2685">
        <f t="shared" si="6"/>
        <v>88.883724806941458</v>
      </c>
      <c r="H115" s="896">
        <v>100</v>
      </c>
      <c r="I115" s="1463"/>
      <c r="K115" s="995"/>
      <c r="L115" s="995"/>
    </row>
    <row r="116" spans="1:12" s="27" customFormat="1" ht="17.25" hidden="1" customHeight="1" x14ac:dyDescent="0.25">
      <c r="A116" s="6"/>
      <c r="B116" s="441"/>
      <c r="C116" s="2473" t="s">
        <v>403</v>
      </c>
      <c r="D116" s="2872">
        <v>247600000</v>
      </c>
      <c r="E116" s="2708">
        <v>77449000</v>
      </c>
      <c r="F116" s="2708"/>
      <c r="G116" s="2685">
        <f t="shared" si="6"/>
        <v>31.279886914378029</v>
      </c>
      <c r="H116" s="2685">
        <v>30</v>
      </c>
      <c r="I116" s="1463"/>
      <c r="K116" s="995"/>
      <c r="L116" s="995"/>
    </row>
    <row r="117" spans="1:12" s="27" customFormat="1" ht="16.5" hidden="1" customHeight="1" x14ac:dyDescent="0.25">
      <c r="A117" s="6"/>
      <c r="B117" s="441"/>
      <c r="C117" s="2473" t="s">
        <v>404</v>
      </c>
      <c r="D117" s="2872">
        <v>339220000</v>
      </c>
      <c r="E117" s="2685">
        <v>0</v>
      </c>
      <c r="F117" s="2685"/>
      <c r="G117" s="2685">
        <f t="shared" si="6"/>
        <v>0</v>
      </c>
      <c r="H117" s="2685">
        <v>0</v>
      </c>
      <c r="I117" s="1463"/>
      <c r="K117" s="995"/>
      <c r="L117" s="995"/>
    </row>
    <row r="118" spans="1:12" s="27" customFormat="1" ht="9.75" hidden="1" customHeight="1" x14ac:dyDescent="0.25">
      <c r="A118" s="6"/>
      <c r="B118" s="441"/>
      <c r="C118" s="2474"/>
      <c r="D118" s="2872"/>
      <c r="E118" s="2834"/>
      <c r="F118" s="2834"/>
      <c r="G118" s="2685"/>
      <c r="H118" s="2685"/>
      <c r="I118" s="1463"/>
      <c r="K118" s="995"/>
      <c r="L118" s="995"/>
    </row>
    <row r="119" spans="1:12" s="27" customFormat="1" ht="18" hidden="1" customHeight="1" x14ac:dyDescent="0.25">
      <c r="A119" s="6"/>
      <c r="B119" s="441"/>
      <c r="C119" s="2474" t="s">
        <v>405</v>
      </c>
      <c r="D119" s="2712">
        <f>SUM(D120:D122)</f>
        <v>1496190000</v>
      </c>
      <c r="E119" s="2712">
        <f>SUM(E120:E122)</f>
        <v>1406005200</v>
      </c>
      <c r="F119" s="2712"/>
      <c r="G119" s="2679">
        <f t="shared" si="6"/>
        <v>93.972369819341125</v>
      </c>
      <c r="H119" s="2679">
        <f>SUM(H120:H122)/3</f>
        <v>66.666666666666671</v>
      </c>
      <c r="I119" s="1463"/>
      <c r="K119" s="995"/>
      <c r="L119" s="995"/>
    </row>
    <row r="120" spans="1:12" s="27" customFormat="1" ht="18" hidden="1" customHeight="1" x14ac:dyDescent="0.25">
      <c r="A120" s="6"/>
      <c r="B120" s="441"/>
      <c r="C120" s="2473" t="s">
        <v>406</v>
      </c>
      <c r="D120" s="2871">
        <v>1082750000</v>
      </c>
      <c r="E120" s="2685">
        <v>1080499000</v>
      </c>
      <c r="F120" s="2685"/>
      <c r="G120" s="2685">
        <f t="shared" si="6"/>
        <v>99.792103440314023</v>
      </c>
      <c r="H120" s="2855">
        <v>100</v>
      </c>
      <c r="I120" s="1463"/>
      <c r="K120" s="995"/>
      <c r="L120" s="995"/>
    </row>
    <row r="121" spans="1:12" s="27" customFormat="1" ht="30" hidden="1" customHeight="1" x14ac:dyDescent="0.25">
      <c r="A121" s="6"/>
      <c r="B121" s="441"/>
      <c r="C121" s="2473" t="s">
        <v>407</v>
      </c>
      <c r="D121" s="2871">
        <v>350500000</v>
      </c>
      <c r="E121" s="2852">
        <v>325506200</v>
      </c>
      <c r="F121" s="2852"/>
      <c r="G121" s="2685">
        <f t="shared" si="6"/>
        <v>92.86910128388017</v>
      </c>
      <c r="H121" s="2685">
        <v>100</v>
      </c>
      <c r="I121" s="1463"/>
      <c r="K121" s="995"/>
      <c r="L121" s="995"/>
    </row>
    <row r="122" spans="1:12" s="27" customFormat="1" ht="18" hidden="1" customHeight="1" x14ac:dyDescent="0.25">
      <c r="A122" s="6"/>
      <c r="B122" s="441"/>
      <c r="C122" s="2473" t="s">
        <v>408</v>
      </c>
      <c r="D122" s="2871">
        <v>62940000</v>
      </c>
      <c r="E122" s="2685">
        <v>0</v>
      </c>
      <c r="F122" s="2685"/>
      <c r="G122" s="2685">
        <f t="shared" si="6"/>
        <v>0</v>
      </c>
      <c r="H122" s="2685">
        <v>0</v>
      </c>
      <c r="I122" s="1463"/>
      <c r="K122" s="995"/>
      <c r="L122" s="995"/>
    </row>
    <row r="123" spans="1:12" s="27" customFormat="1" ht="10.5" hidden="1" customHeight="1" x14ac:dyDescent="0.25">
      <c r="A123" s="6"/>
      <c r="B123" s="441"/>
      <c r="C123" s="2473"/>
      <c r="D123" s="2871"/>
      <c r="E123" s="2700"/>
      <c r="F123" s="2700"/>
      <c r="G123" s="2685"/>
      <c r="H123" s="2685"/>
      <c r="I123" s="1463"/>
      <c r="K123" s="995"/>
      <c r="L123" s="995"/>
    </row>
    <row r="124" spans="1:12" s="27" customFormat="1" ht="18" hidden="1" customHeight="1" x14ac:dyDescent="0.25">
      <c r="A124" s="6"/>
      <c r="B124" s="441"/>
      <c r="C124" s="2474" t="s">
        <v>409</v>
      </c>
      <c r="D124" s="899">
        <f>SUM(D125:D127)</f>
        <v>1321933500</v>
      </c>
      <c r="E124" s="899">
        <f>SUM(E125:E127)</f>
        <v>966651500</v>
      </c>
      <c r="F124" s="899"/>
      <c r="G124" s="2679">
        <f t="shared" si="6"/>
        <v>73.124064107612071</v>
      </c>
      <c r="H124" s="2679">
        <f>SUM(H125:H127)/3</f>
        <v>83.333333333333329</v>
      </c>
      <c r="I124" s="1463"/>
      <c r="K124" s="995"/>
      <c r="L124" s="995"/>
    </row>
    <row r="125" spans="1:12" s="27" customFormat="1" ht="18" hidden="1" customHeight="1" x14ac:dyDescent="0.25">
      <c r="A125" s="6"/>
      <c r="B125" s="441"/>
      <c r="C125" s="2473" t="s">
        <v>410</v>
      </c>
      <c r="D125" s="2872">
        <v>429396500</v>
      </c>
      <c r="E125" s="2852">
        <v>426596500</v>
      </c>
      <c r="F125" s="2852"/>
      <c r="G125" s="2685">
        <f t="shared" si="6"/>
        <v>99.347922025447346</v>
      </c>
      <c r="H125" s="2855">
        <v>100</v>
      </c>
      <c r="I125" s="1463"/>
      <c r="K125" s="995"/>
      <c r="L125" s="995"/>
    </row>
    <row r="126" spans="1:12" s="27" customFormat="1" ht="13.5" hidden="1" customHeight="1" x14ac:dyDescent="0.25">
      <c r="A126" s="6"/>
      <c r="B126" s="441"/>
      <c r="C126" s="2473" t="s">
        <v>411</v>
      </c>
      <c r="D126" s="2872">
        <v>641599000</v>
      </c>
      <c r="E126" s="2685">
        <v>411159000</v>
      </c>
      <c r="F126" s="2685"/>
      <c r="G126" s="2685">
        <f t="shared" si="6"/>
        <v>64.08348516752676</v>
      </c>
      <c r="H126" s="2855">
        <v>100</v>
      </c>
      <c r="I126" s="1463"/>
      <c r="K126" s="995"/>
      <c r="L126" s="995"/>
    </row>
    <row r="127" spans="1:12" s="27" customFormat="1" ht="17.25" hidden="1" customHeight="1" x14ac:dyDescent="0.25">
      <c r="A127" s="6"/>
      <c r="B127" s="441"/>
      <c r="C127" s="2473" t="s">
        <v>412</v>
      </c>
      <c r="D127" s="2872">
        <v>250938000</v>
      </c>
      <c r="E127" s="2857">
        <v>128896000</v>
      </c>
      <c r="F127" s="2857"/>
      <c r="G127" s="2685">
        <f t="shared" si="6"/>
        <v>51.365675983709124</v>
      </c>
      <c r="H127" s="2855">
        <v>50</v>
      </c>
      <c r="I127" s="1463"/>
      <c r="K127" s="995"/>
      <c r="L127" s="995"/>
    </row>
    <row r="128" spans="1:12" s="27" customFormat="1" ht="10.5" hidden="1" customHeight="1" x14ac:dyDescent="0.25">
      <c r="A128" s="6"/>
      <c r="B128" s="441"/>
      <c r="C128" s="2517"/>
      <c r="D128" s="2872"/>
      <c r="E128" s="2731"/>
      <c r="F128" s="2731"/>
      <c r="G128" s="2685"/>
      <c r="H128" s="2685"/>
      <c r="I128" s="1463"/>
      <c r="K128" s="995"/>
      <c r="L128" s="995"/>
    </row>
    <row r="129" spans="1:14" s="27" customFormat="1" ht="30.75" hidden="1" customHeight="1" x14ac:dyDescent="0.25">
      <c r="A129" s="6"/>
      <c r="B129" s="441"/>
      <c r="C129" s="2474" t="s">
        <v>413</v>
      </c>
      <c r="D129" s="2882">
        <f>D130</f>
        <v>8535707288</v>
      </c>
      <c r="E129" s="2883">
        <f>E130</f>
        <v>6453501000</v>
      </c>
      <c r="F129" s="2883"/>
      <c r="G129" s="2679">
        <f t="shared" si="6"/>
        <v>75.605931439011641</v>
      </c>
      <c r="H129" s="3618">
        <f>H130</f>
        <v>100</v>
      </c>
      <c r="I129" s="3714"/>
      <c r="J129" s="11">
        <f>SUM(J130:J130)</f>
        <v>0</v>
      </c>
      <c r="K129" s="995"/>
      <c r="L129" s="995"/>
    </row>
    <row r="130" spans="1:14" s="27" customFormat="1" ht="18.75" hidden="1" customHeight="1" x14ac:dyDescent="0.25">
      <c r="A130" s="6"/>
      <c r="B130" s="441"/>
      <c r="C130" s="2473" t="s">
        <v>414</v>
      </c>
      <c r="D130" s="2851">
        <v>8535707288</v>
      </c>
      <c r="E130" s="2852">
        <v>6453501000</v>
      </c>
      <c r="F130" s="2852"/>
      <c r="G130" s="2685">
        <f t="shared" si="6"/>
        <v>75.605931439011641</v>
      </c>
      <c r="H130" s="2855">
        <v>100</v>
      </c>
      <c r="I130" s="1463"/>
      <c r="K130" s="995"/>
      <c r="L130" s="995"/>
    </row>
    <row r="131" spans="1:14" ht="12" hidden="1" customHeight="1" x14ac:dyDescent="0.25">
      <c r="B131" s="1037"/>
      <c r="C131" s="59"/>
      <c r="D131" s="2308"/>
      <c r="E131" s="2306"/>
      <c r="F131" s="2306"/>
      <c r="G131" s="133"/>
      <c r="H131" s="133"/>
      <c r="I131" s="1106"/>
    </row>
    <row r="132" spans="1:14" s="27" customFormat="1" ht="16.5" hidden="1" customHeight="1" x14ac:dyDescent="0.25">
      <c r="B132" s="1038"/>
      <c r="C132" s="56" t="s">
        <v>415</v>
      </c>
      <c r="D132" s="2309">
        <f>D133</f>
        <v>5296293288</v>
      </c>
      <c r="E132" s="2309">
        <f>E133</f>
        <v>4888771354</v>
      </c>
      <c r="F132" s="2309"/>
      <c r="G132" s="131">
        <f>E132/D132*100</f>
        <v>92.305525547021034</v>
      </c>
      <c r="H132" s="131">
        <f>H133</f>
        <v>100</v>
      </c>
      <c r="I132" s="1045"/>
      <c r="K132" s="79"/>
      <c r="L132" s="79"/>
    </row>
    <row r="133" spans="1:14" s="27" customFormat="1" ht="19.5" hidden="1" customHeight="1" x14ac:dyDescent="0.25">
      <c r="B133" s="1052"/>
      <c r="C133" s="59" t="s">
        <v>416</v>
      </c>
      <c r="D133" s="2310">
        <f>D134</f>
        <v>5296293288</v>
      </c>
      <c r="E133" s="2311">
        <f>E134</f>
        <v>4888771354</v>
      </c>
      <c r="F133" s="2310"/>
      <c r="G133" s="233">
        <f>E133/D133*100</f>
        <v>92.305525547021034</v>
      </c>
      <c r="H133" s="233">
        <f>H134</f>
        <v>100</v>
      </c>
      <c r="I133" s="1045"/>
      <c r="K133" s="79"/>
      <c r="L133" s="79"/>
    </row>
    <row r="134" spans="1:14" s="27" customFormat="1" ht="17.25" hidden="1" customHeight="1" x14ac:dyDescent="0.25">
      <c r="B134" s="1053"/>
      <c r="C134" s="61" t="s">
        <v>417</v>
      </c>
      <c r="D134" s="2305">
        <v>5296293288</v>
      </c>
      <c r="E134" s="1223">
        <v>4888771354</v>
      </c>
      <c r="F134" s="1223"/>
      <c r="G134" s="140">
        <f>E134/D134*100</f>
        <v>92.305525547021034</v>
      </c>
      <c r="H134" s="140">
        <v>100</v>
      </c>
      <c r="I134" s="1045"/>
      <c r="K134" s="79"/>
      <c r="L134" s="79"/>
    </row>
    <row r="135" spans="1:14" s="27" customFormat="1" ht="9" hidden="1" customHeight="1" x14ac:dyDescent="0.25">
      <c r="B135" s="1054"/>
      <c r="C135" s="99"/>
      <c r="D135" s="67"/>
      <c r="E135" s="133"/>
      <c r="F135" s="133"/>
      <c r="G135" s="133"/>
      <c r="H135" s="4673"/>
      <c r="I135" s="1045"/>
      <c r="K135" s="79"/>
      <c r="L135" s="79"/>
    </row>
    <row r="136" spans="1:14" s="27" customFormat="1" ht="19.5" hidden="1" customHeight="1" x14ac:dyDescent="0.25">
      <c r="B136" s="1038"/>
      <c r="C136" s="56" t="s">
        <v>483</v>
      </c>
      <c r="D136" s="2315">
        <f>D137</f>
        <v>98608000</v>
      </c>
      <c r="E136" s="131">
        <f>E137</f>
        <v>98608000</v>
      </c>
      <c r="F136" s="131"/>
      <c r="G136" s="131">
        <f>E136/D136*100</f>
        <v>100</v>
      </c>
      <c r="H136" s="131">
        <f>H137</f>
        <v>100</v>
      </c>
      <c r="I136" s="1498"/>
      <c r="K136" s="79"/>
      <c r="L136" s="79"/>
    </row>
    <row r="137" spans="1:14" s="27" customFormat="1" ht="24" hidden="1" customHeight="1" x14ac:dyDescent="0.25">
      <c r="B137" s="1042"/>
      <c r="C137" s="59" t="s">
        <v>484</v>
      </c>
      <c r="D137" s="2312">
        <f>D138</f>
        <v>98608000</v>
      </c>
      <c r="E137" s="233">
        <f>E138</f>
        <v>98608000</v>
      </c>
      <c r="F137" s="233"/>
      <c r="G137" s="233">
        <f>E137/D137*100</f>
        <v>100</v>
      </c>
      <c r="H137" s="233">
        <f>H138</f>
        <v>100</v>
      </c>
      <c r="I137" s="1045"/>
      <c r="K137" s="79"/>
      <c r="L137" s="79"/>
    </row>
    <row r="138" spans="1:14" s="27" customFormat="1" ht="18" hidden="1" customHeight="1" x14ac:dyDescent="0.25">
      <c r="B138" s="1042"/>
      <c r="C138" s="61" t="s">
        <v>4099</v>
      </c>
      <c r="D138" s="2313">
        <v>98608000</v>
      </c>
      <c r="E138" s="2284">
        <v>98608000</v>
      </c>
      <c r="F138" s="2284"/>
      <c r="G138" s="140">
        <f>E138/D138*100</f>
        <v>100</v>
      </c>
      <c r="H138" s="140">
        <v>100</v>
      </c>
      <c r="I138" s="1045"/>
      <c r="K138" s="79"/>
      <c r="L138" s="79"/>
    </row>
    <row r="139" spans="1:14" s="27" customFormat="1" ht="9" hidden="1" customHeight="1" x14ac:dyDescent="0.25">
      <c r="B139" s="1042"/>
      <c r="C139" s="100"/>
      <c r="D139" s="2314"/>
      <c r="E139" s="239"/>
      <c r="F139" s="239"/>
      <c r="G139" s="239"/>
      <c r="H139" s="1499"/>
      <c r="I139" s="1045"/>
      <c r="K139" s="79"/>
      <c r="L139" s="79"/>
    </row>
    <row r="140" spans="1:14" s="27" customFormat="1" ht="15.75" hidden="1" customHeight="1" x14ac:dyDescent="0.25">
      <c r="B140" s="1038"/>
      <c r="C140" s="56" t="s">
        <v>623</v>
      </c>
      <c r="D140" s="2315">
        <f>D141</f>
        <v>1400000000</v>
      </c>
      <c r="E140" s="131">
        <f>E141</f>
        <v>1400000000</v>
      </c>
      <c r="F140" s="131"/>
      <c r="G140" s="131">
        <f>E140/D140*100</f>
        <v>100</v>
      </c>
      <c r="H140" s="131">
        <f>H141</f>
        <v>100</v>
      </c>
      <c r="I140" s="1045"/>
      <c r="K140" s="79"/>
      <c r="L140" s="79"/>
    </row>
    <row r="141" spans="1:14" s="27" customFormat="1" ht="20.25" hidden="1" customHeight="1" x14ac:dyDescent="0.25">
      <c r="B141" s="1042"/>
      <c r="C141" s="102" t="s">
        <v>626</v>
      </c>
      <c r="D141" s="2312">
        <f>D142</f>
        <v>1400000000</v>
      </c>
      <c r="E141" s="233">
        <f>E142</f>
        <v>1400000000</v>
      </c>
      <c r="F141" s="233"/>
      <c r="G141" s="233">
        <f>E141/D141*100</f>
        <v>100</v>
      </c>
      <c r="H141" s="233">
        <f>H142</f>
        <v>100</v>
      </c>
      <c r="I141" s="1045"/>
      <c r="K141" s="79"/>
      <c r="L141" s="79"/>
    </row>
    <row r="142" spans="1:14" s="27" customFormat="1" ht="20.25" hidden="1" customHeight="1" x14ac:dyDescent="0.25">
      <c r="B142" s="1054"/>
      <c r="C142" s="66" t="s">
        <v>628</v>
      </c>
      <c r="D142" s="2305">
        <v>1400000000</v>
      </c>
      <c r="E142" s="1223">
        <v>1400000000</v>
      </c>
      <c r="F142" s="1223"/>
      <c r="G142" s="140">
        <f>E142/D142*100</f>
        <v>100</v>
      </c>
      <c r="H142" s="73">
        <v>100</v>
      </c>
      <c r="I142" s="1045"/>
      <c r="K142" s="79"/>
      <c r="L142" s="79"/>
    </row>
    <row r="143" spans="1:14" ht="12" hidden="1" customHeight="1" x14ac:dyDescent="0.25">
      <c r="B143" s="1033"/>
      <c r="C143" s="75"/>
      <c r="D143" s="1497"/>
      <c r="E143" s="239"/>
      <c r="F143" s="239"/>
      <c r="G143" s="239"/>
      <c r="H143" s="1131"/>
      <c r="I143" s="1106"/>
    </row>
    <row r="144" spans="1:14" s="13" customFormat="1" ht="17.25" customHeight="1" x14ac:dyDescent="0.25">
      <c r="B144" s="2316"/>
      <c r="C144" s="422" t="s">
        <v>629</v>
      </c>
      <c r="D144" s="2295">
        <f>SUM(D146+D217+D224+D231)</f>
        <v>30306691257</v>
      </c>
      <c r="E144" s="2295">
        <f>SUM(E146+E217+E224+E231)</f>
        <v>26075302051</v>
      </c>
      <c r="F144" s="50">
        <f>D144-E144</f>
        <v>4231389206</v>
      </c>
      <c r="G144" s="423">
        <f>E144/D144*100</f>
        <v>86.038102377729317</v>
      </c>
      <c r="H144" s="2317">
        <f>SUM(H146+H217+H224)/3</f>
        <v>98.81196581196582</v>
      </c>
      <c r="I144" s="1503"/>
      <c r="K144" s="104">
        <v>29697561257</v>
      </c>
      <c r="L144" s="104">
        <v>17316715312</v>
      </c>
      <c r="M144" s="13">
        <v>0.58310226762873618</v>
      </c>
      <c r="N144" s="13">
        <v>0.64465811965811959</v>
      </c>
    </row>
    <row r="145" spans="2:12" s="13" customFormat="1" ht="6.75" hidden="1" customHeight="1" x14ac:dyDescent="0.25">
      <c r="B145" s="1059"/>
      <c r="C145" s="103"/>
      <c r="D145" s="235"/>
      <c r="E145" s="236"/>
      <c r="F145" s="236"/>
      <c r="G145" s="235"/>
      <c r="H145" s="1501"/>
      <c r="I145" s="1502"/>
      <c r="K145" s="104"/>
      <c r="L145" s="104"/>
    </row>
    <row r="146" spans="2:12" s="105" customFormat="1" ht="19.5" hidden="1" customHeight="1" x14ac:dyDescent="0.25">
      <c r="B146" s="1062"/>
      <c r="C146" s="89" t="s">
        <v>398</v>
      </c>
      <c r="D146" s="2672">
        <f>D147+D151+D154+D157+D172+D175+D178+D183+D187+D190+D197+D202+D205+D211+D214</f>
        <v>10965047510</v>
      </c>
      <c r="E146" s="2672">
        <f>E147+E151+E154+E157+E172+E175+E178+E183+E187+E190+E197+E202+E205+E211+E214</f>
        <v>10162355834</v>
      </c>
      <c r="F146" s="2672"/>
      <c r="G146" s="2672">
        <f>E146/D146*100</f>
        <v>92.679542197441876</v>
      </c>
      <c r="H146" s="2670">
        <f>SUM(H147+H151+H154+H157+H172+H175+H178+H183+H187+H190+H197+H202+H205+H211+H214)/15</f>
        <v>96.435897435897431</v>
      </c>
      <c r="I146" s="1503"/>
      <c r="K146" s="107"/>
      <c r="L146" s="107"/>
    </row>
    <row r="147" spans="2:12" s="5" customFormat="1" ht="18" hidden="1" customHeight="1" x14ac:dyDescent="0.25">
      <c r="B147" s="448"/>
      <c r="C147" s="2521" t="s">
        <v>675</v>
      </c>
      <c r="D147" s="2785">
        <f>D148+D149</f>
        <v>1384052776</v>
      </c>
      <c r="E147" s="2785">
        <f>E148+E149</f>
        <v>1370852776</v>
      </c>
      <c r="F147" s="2785"/>
      <c r="G147" s="4005">
        <f>E147/D147*100</f>
        <v>99.046279142754315</v>
      </c>
      <c r="H147" s="2990">
        <f>SUM(H148:H149)/2</f>
        <v>100</v>
      </c>
      <c r="I147" s="3715"/>
      <c r="K147" s="1205"/>
      <c r="L147" s="1205"/>
    </row>
    <row r="148" spans="2:12" s="5" customFormat="1" ht="15.75" hidden="1" customHeight="1" x14ac:dyDescent="0.25">
      <c r="B148" s="448"/>
      <c r="C148" s="2524" t="s">
        <v>676</v>
      </c>
      <c r="D148" s="3622">
        <v>223052776</v>
      </c>
      <c r="E148" s="3620">
        <v>220752776</v>
      </c>
      <c r="F148" s="3620"/>
      <c r="G148" s="4008">
        <f>E148/D148*100</f>
        <v>98.96885390029847</v>
      </c>
      <c r="H148" s="2968">
        <v>100</v>
      </c>
      <c r="I148" s="3715"/>
      <c r="K148" s="1205"/>
      <c r="L148" s="1205"/>
    </row>
    <row r="149" spans="2:12" s="5" customFormat="1" ht="15.75" hidden="1" customHeight="1" x14ac:dyDescent="0.25">
      <c r="B149" s="448"/>
      <c r="C149" s="2526" t="s">
        <v>677</v>
      </c>
      <c r="D149" s="3622">
        <v>1161000000</v>
      </c>
      <c r="E149" s="3620">
        <v>1150100000</v>
      </c>
      <c r="F149" s="3620"/>
      <c r="G149" s="4008">
        <f>E149/D149*100</f>
        <v>99.061154177433252</v>
      </c>
      <c r="H149" s="2968">
        <v>100</v>
      </c>
      <c r="I149" s="3715"/>
      <c r="K149" s="1205"/>
      <c r="L149" s="1205"/>
    </row>
    <row r="150" spans="2:12" s="5" customFormat="1" ht="8.25" hidden="1" customHeight="1" x14ac:dyDescent="0.25">
      <c r="B150" s="448"/>
      <c r="C150" s="2527"/>
      <c r="D150" s="3035"/>
      <c r="E150" s="2968"/>
      <c r="F150" s="2968"/>
      <c r="G150" s="2690"/>
      <c r="H150" s="2967"/>
      <c r="I150" s="3715"/>
      <c r="K150" s="1205"/>
      <c r="L150" s="1205"/>
    </row>
    <row r="151" spans="2:12" s="5" customFormat="1" ht="18" hidden="1" customHeight="1" x14ac:dyDescent="0.25">
      <c r="B151" s="448"/>
      <c r="C151" s="2521" t="s">
        <v>678</v>
      </c>
      <c r="D151" s="2695">
        <f>D152</f>
        <v>320930000</v>
      </c>
      <c r="E151" s="2695">
        <f>E152</f>
        <v>304530711</v>
      </c>
      <c r="F151" s="2695"/>
      <c r="G151" s="4005">
        <f>E151/D151*100</f>
        <v>94.890072913096319</v>
      </c>
      <c r="H151" s="2969">
        <f>H152</f>
        <v>100</v>
      </c>
      <c r="I151" s="3715"/>
      <c r="K151" s="1205"/>
      <c r="L151" s="1205"/>
    </row>
    <row r="152" spans="2:12" s="5" customFormat="1" ht="17.25" hidden="1" customHeight="1" x14ac:dyDescent="0.25">
      <c r="B152" s="448"/>
      <c r="C152" s="2524" t="s">
        <v>679</v>
      </c>
      <c r="D152" s="3625">
        <v>320930000</v>
      </c>
      <c r="E152" s="3623">
        <v>304530711</v>
      </c>
      <c r="F152" s="3623"/>
      <c r="G152" s="4008">
        <f>E152/D152*100</f>
        <v>94.890072913096319</v>
      </c>
      <c r="H152" s="2967">
        <v>100</v>
      </c>
      <c r="I152" s="3715"/>
      <c r="K152" s="1205"/>
      <c r="L152" s="1205"/>
    </row>
    <row r="153" spans="2:12" s="5" customFormat="1" ht="9" hidden="1" customHeight="1" x14ac:dyDescent="0.25">
      <c r="B153" s="448"/>
      <c r="C153" s="2524"/>
      <c r="D153" s="2690"/>
      <c r="E153" s="2968"/>
      <c r="F153" s="2968"/>
      <c r="G153" s="2690"/>
      <c r="H153" s="2967"/>
      <c r="I153" s="3715"/>
      <c r="K153" s="1205"/>
      <c r="L153" s="1205"/>
    </row>
    <row r="154" spans="2:12" s="5" customFormat="1" ht="19.5" hidden="1" customHeight="1" x14ac:dyDescent="0.25">
      <c r="B154" s="448"/>
      <c r="C154" s="2525" t="s">
        <v>680</v>
      </c>
      <c r="D154" s="2695">
        <f>SUM(D155)</f>
        <v>110597224</v>
      </c>
      <c r="E154" s="2695">
        <f>SUM(E155)</f>
        <v>83215050</v>
      </c>
      <c r="F154" s="2695"/>
      <c r="G154" s="4005">
        <f>E154/D154*100</f>
        <v>75.241535899671405</v>
      </c>
      <c r="H154" s="2969">
        <f>H155</f>
        <v>100</v>
      </c>
      <c r="I154" s="3715"/>
      <c r="K154" s="1205"/>
      <c r="L154" s="1205"/>
    </row>
    <row r="155" spans="2:12" s="5" customFormat="1" ht="17.25" hidden="1" customHeight="1" x14ac:dyDescent="0.25">
      <c r="B155" s="448"/>
      <c r="C155" s="2524" t="s">
        <v>681</v>
      </c>
      <c r="D155" s="3622">
        <v>110597224</v>
      </c>
      <c r="E155" s="3620">
        <v>83215050</v>
      </c>
      <c r="F155" s="3620"/>
      <c r="G155" s="4008">
        <f>E155/D155*100</f>
        <v>75.241535899671405</v>
      </c>
      <c r="H155" s="2968">
        <v>100</v>
      </c>
      <c r="I155" s="3715"/>
      <c r="K155" s="1205"/>
      <c r="L155" s="1205"/>
    </row>
    <row r="156" spans="2:12" s="5" customFormat="1" ht="10.5" hidden="1" customHeight="1" x14ac:dyDescent="0.25">
      <c r="B156" s="448"/>
      <c r="C156" s="2531"/>
      <c r="D156" s="3341"/>
      <c r="E156" s="2968"/>
      <c r="F156" s="2968"/>
      <c r="G156" s="2690"/>
      <c r="H156" s="2967"/>
      <c r="I156" s="3715"/>
      <c r="K156" s="1205"/>
      <c r="L156" s="1205"/>
    </row>
    <row r="157" spans="2:12" s="5" customFormat="1" ht="18" hidden="1" customHeight="1" x14ac:dyDescent="0.25">
      <c r="B157" s="448"/>
      <c r="C157" s="2525" t="s">
        <v>682</v>
      </c>
      <c r="D157" s="2695">
        <f>SUM(D158:D170)</f>
        <v>3620127037</v>
      </c>
      <c r="E157" s="2695">
        <f>SUM(E158:E170)</f>
        <v>3183299737</v>
      </c>
      <c r="F157" s="2695"/>
      <c r="G157" s="4005">
        <f>E157/D157*100</f>
        <v>87.933370969158062</v>
      </c>
      <c r="H157" s="2969">
        <f>SUM(H158:H170)/13</f>
        <v>96.538461538461533</v>
      </c>
      <c r="I157" s="3715"/>
      <c r="K157" s="1205"/>
      <c r="L157" s="1205"/>
    </row>
    <row r="158" spans="2:12" s="5" customFormat="1" ht="16.5" hidden="1" customHeight="1" x14ac:dyDescent="0.25">
      <c r="B158" s="448"/>
      <c r="C158" s="2526" t="s">
        <v>683</v>
      </c>
      <c r="D158" s="2760">
        <v>341600000</v>
      </c>
      <c r="E158" s="3620">
        <v>210300000</v>
      </c>
      <c r="F158" s="3620"/>
      <c r="G158" s="4008">
        <f>E158/D158*100</f>
        <v>61.563231850117091</v>
      </c>
      <c r="H158" s="2967">
        <v>100</v>
      </c>
      <c r="I158" s="3715"/>
      <c r="K158" s="1205"/>
      <c r="L158" s="1205"/>
    </row>
    <row r="159" spans="2:12" s="5" customFormat="1" ht="15.75" hidden="1" customHeight="1" x14ac:dyDescent="0.25">
      <c r="B159" s="448"/>
      <c r="C159" s="2524" t="s">
        <v>684</v>
      </c>
      <c r="D159" s="2690">
        <v>359500000</v>
      </c>
      <c r="E159" s="3620">
        <v>358500000</v>
      </c>
      <c r="F159" s="3620"/>
      <c r="G159" s="4008">
        <f t="shared" ref="G159:G170" si="7">E159/D159*100</f>
        <v>99.721835883171067</v>
      </c>
      <c r="H159" s="2967">
        <v>100</v>
      </c>
      <c r="I159" s="3715"/>
      <c r="K159" s="1205"/>
      <c r="L159" s="1205"/>
    </row>
    <row r="160" spans="2:12" s="5" customFormat="1" ht="15.75" hidden="1" customHeight="1" x14ac:dyDescent="0.25">
      <c r="B160" s="448"/>
      <c r="C160" s="2526" t="s">
        <v>685</v>
      </c>
      <c r="D160" s="2752">
        <v>50000000</v>
      </c>
      <c r="E160" s="2968">
        <v>50000000</v>
      </c>
      <c r="F160" s="2968"/>
      <c r="G160" s="4008">
        <f t="shared" si="7"/>
        <v>100</v>
      </c>
      <c r="H160" s="2967">
        <v>100</v>
      </c>
      <c r="I160" s="3715"/>
      <c r="K160" s="1205"/>
      <c r="L160" s="1205"/>
    </row>
    <row r="161" spans="2:12" s="5" customFormat="1" ht="15.75" hidden="1" customHeight="1" x14ac:dyDescent="0.25">
      <c r="B161" s="448"/>
      <c r="C161" s="2524" t="s">
        <v>686</v>
      </c>
      <c r="D161" s="2690">
        <v>501100000</v>
      </c>
      <c r="E161" s="3620">
        <v>498600000</v>
      </c>
      <c r="F161" s="3620"/>
      <c r="G161" s="4008">
        <f t="shared" si="7"/>
        <v>99.501097585312309</v>
      </c>
      <c r="H161" s="2967">
        <v>100</v>
      </c>
      <c r="I161" s="3715"/>
      <c r="K161" s="1205"/>
      <c r="L161" s="1205"/>
    </row>
    <row r="162" spans="2:12" s="5" customFormat="1" ht="15" hidden="1" customHeight="1" x14ac:dyDescent="0.25">
      <c r="B162" s="448"/>
      <c r="C162" s="2524" t="s">
        <v>687</v>
      </c>
      <c r="D162" s="2690">
        <v>247084000</v>
      </c>
      <c r="E162" s="3620">
        <v>246893200</v>
      </c>
      <c r="F162" s="3620"/>
      <c r="G162" s="4008">
        <f t="shared" si="7"/>
        <v>99.922779297728709</v>
      </c>
      <c r="H162" s="2967">
        <v>100</v>
      </c>
      <c r="I162" s="3715"/>
      <c r="K162" s="1205"/>
      <c r="L162" s="1205"/>
    </row>
    <row r="163" spans="2:12" s="5" customFormat="1" ht="15.75" hidden="1" customHeight="1" x14ac:dyDescent="0.25">
      <c r="B163" s="448"/>
      <c r="C163" s="2524" t="s">
        <v>688</v>
      </c>
      <c r="D163" s="2690">
        <v>266630037</v>
      </c>
      <c r="E163" s="3620">
        <v>262062037</v>
      </c>
      <c r="F163" s="3620"/>
      <c r="G163" s="4008">
        <f t="shared" si="7"/>
        <v>98.286764667853234</v>
      </c>
      <c r="H163" s="2967">
        <v>100</v>
      </c>
      <c r="I163" s="3715"/>
      <c r="K163" s="1205"/>
      <c r="L163" s="1205"/>
    </row>
    <row r="164" spans="2:12" s="5" customFormat="1" ht="15" hidden="1" customHeight="1" x14ac:dyDescent="0.25">
      <c r="B164" s="448"/>
      <c r="C164" s="2524" t="s">
        <v>689</v>
      </c>
      <c r="D164" s="2690">
        <v>230155500</v>
      </c>
      <c r="E164" s="3620">
        <v>116795000</v>
      </c>
      <c r="F164" s="3620"/>
      <c r="G164" s="4008">
        <f t="shared" si="7"/>
        <v>50.746125988733702</v>
      </c>
      <c r="H164" s="2967">
        <v>55</v>
      </c>
      <c r="I164" s="3715"/>
      <c r="K164" s="1205"/>
      <c r="L164" s="1205"/>
    </row>
    <row r="165" spans="2:12" s="5" customFormat="1" ht="14.25" hidden="1" customHeight="1" x14ac:dyDescent="0.25">
      <c r="B165" s="448"/>
      <c r="C165" s="2524" t="s">
        <v>690</v>
      </c>
      <c r="D165" s="2690">
        <v>250990000</v>
      </c>
      <c r="E165" s="3620">
        <v>244600000</v>
      </c>
      <c r="F165" s="3620"/>
      <c r="G165" s="4008">
        <f t="shared" si="7"/>
        <v>97.454081835929713</v>
      </c>
      <c r="H165" s="2967">
        <v>100</v>
      </c>
      <c r="I165" s="3715"/>
      <c r="K165" s="1205"/>
      <c r="L165" s="1205"/>
    </row>
    <row r="166" spans="2:12" s="5" customFormat="1" ht="15.75" hidden="1" customHeight="1" x14ac:dyDescent="0.25">
      <c r="B166" s="448"/>
      <c r="C166" s="2524" t="s">
        <v>691</v>
      </c>
      <c r="D166" s="2690">
        <v>231030000</v>
      </c>
      <c r="E166" s="3623">
        <v>185824000</v>
      </c>
      <c r="F166" s="3623"/>
      <c r="G166" s="4008">
        <f t="shared" si="7"/>
        <v>80.43284421936545</v>
      </c>
      <c r="H166" s="2967">
        <v>100</v>
      </c>
      <c r="I166" s="3715"/>
      <c r="K166" s="1205"/>
      <c r="L166" s="1205"/>
    </row>
    <row r="167" spans="2:12" s="5" customFormat="1" ht="17.25" hidden="1" customHeight="1" x14ac:dyDescent="0.25">
      <c r="B167" s="448"/>
      <c r="C167" s="2524" t="s">
        <v>692</v>
      </c>
      <c r="D167" s="2690">
        <v>255317000</v>
      </c>
      <c r="E167" s="3620">
        <v>165501000</v>
      </c>
      <c r="F167" s="3620"/>
      <c r="G167" s="4008">
        <f t="shared" si="7"/>
        <v>64.821770583235732</v>
      </c>
      <c r="H167" s="2967">
        <v>100</v>
      </c>
      <c r="I167" s="3715"/>
      <c r="K167" s="1205"/>
      <c r="L167" s="1205"/>
    </row>
    <row r="168" spans="2:12" s="5" customFormat="1" ht="15" hidden="1" customHeight="1" x14ac:dyDescent="0.25">
      <c r="B168" s="448"/>
      <c r="C168" s="2524" t="s">
        <v>693</v>
      </c>
      <c r="D168" s="2690">
        <v>251278000</v>
      </c>
      <c r="E168" s="3620">
        <v>237687000</v>
      </c>
      <c r="F168" s="3620"/>
      <c r="G168" s="4008">
        <f t="shared" si="7"/>
        <v>94.591249532390421</v>
      </c>
      <c r="H168" s="2967">
        <v>100</v>
      </c>
      <c r="I168" s="3715"/>
      <c r="K168" s="1205"/>
      <c r="L168" s="1205"/>
    </row>
    <row r="169" spans="2:12" s="5" customFormat="1" ht="15.75" hidden="1" customHeight="1" x14ac:dyDescent="0.25">
      <c r="B169" s="448"/>
      <c r="C169" s="2524" t="s">
        <v>694</v>
      </c>
      <c r="D169" s="2690">
        <v>334529500</v>
      </c>
      <c r="E169" s="3620">
        <v>312484500</v>
      </c>
      <c r="F169" s="3620"/>
      <c r="G169" s="4008">
        <f t="shared" si="7"/>
        <v>93.410147685032257</v>
      </c>
      <c r="H169" s="2967">
        <v>100</v>
      </c>
      <c r="I169" s="3715"/>
      <c r="K169" s="1205"/>
      <c r="L169" s="1205"/>
    </row>
    <row r="170" spans="2:12" s="5" customFormat="1" ht="15.75" hidden="1" customHeight="1" x14ac:dyDescent="0.25">
      <c r="B170" s="448"/>
      <c r="C170" s="2533" t="s">
        <v>695</v>
      </c>
      <c r="D170" s="2710">
        <v>300913000</v>
      </c>
      <c r="E170" s="3623">
        <v>294053000</v>
      </c>
      <c r="F170" s="3623"/>
      <c r="G170" s="4010">
        <f t="shared" si="7"/>
        <v>97.720271307653704</v>
      </c>
      <c r="H170" s="2967">
        <v>100</v>
      </c>
      <c r="I170" s="3716"/>
      <c r="K170" s="1205"/>
      <c r="L170" s="1205"/>
    </row>
    <row r="171" spans="2:12" s="5" customFormat="1" ht="9.75" hidden="1" customHeight="1" x14ac:dyDescent="0.25">
      <c r="B171" s="462"/>
      <c r="C171" s="2527"/>
      <c r="D171" s="3035"/>
      <c r="E171" s="2968"/>
      <c r="F171" s="2968"/>
      <c r="G171" s="2690"/>
      <c r="H171" s="2967"/>
      <c r="I171" s="3715"/>
      <c r="K171" s="1205"/>
      <c r="L171" s="1205"/>
    </row>
    <row r="172" spans="2:12" s="5" customFormat="1" ht="17.25" hidden="1" customHeight="1" x14ac:dyDescent="0.25">
      <c r="B172" s="448"/>
      <c r="C172" s="2538" t="s">
        <v>696</v>
      </c>
      <c r="D172" s="2734">
        <f>D173</f>
        <v>154200000</v>
      </c>
      <c r="E172" s="2734">
        <f>E173</f>
        <v>154000000</v>
      </c>
      <c r="F172" s="2734"/>
      <c r="G172" s="4011">
        <f>E172/D172*100</f>
        <v>99.870298313878081</v>
      </c>
      <c r="H172" s="2734">
        <f>H173</f>
        <v>100</v>
      </c>
      <c r="I172" s="3717"/>
      <c r="K172" s="1205"/>
      <c r="L172" s="1205"/>
    </row>
    <row r="173" spans="2:12" s="5" customFormat="1" ht="18" hidden="1" customHeight="1" x14ac:dyDescent="0.25">
      <c r="B173" s="448"/>
      <c r="C173" s="2524" t="s">
        <v>697</v>
      </c>
      <c r="D173" s="2690">
        <v>154200000</v>
      </c>
      <c r="E173" s="3622">
        <v>154000000</v>
      </c>
      <c r="F173" s="3622"/>
      <c r="G173" s="4008">
        <f>E173/D173*100</f>
        <v>99.870298313878081</v>
      </c>
      <c r="H173" s="2690">
        <v>100</v>
      </c>
      <c r="I173" s="3715"/>
      <c r="K173" s="1205"/>
      <c r="L173" s="1205"/>
    </row>
    <row r="174" spans="2:12" s="5" customFormat="1" ht="12.75" hidden="1" customHeight="1" x14ac:dyDescent="0.25">
      <c r="B174" s="448"/>
      <c r="C174" s="2527"/>
      <c r="D174" s="3035"/>
      <c r="E174" s="2968"/>
      <c r="F174" s="2968"/>
      <c r="G174" s="2690"/>
      <c r="H174" s="2967"/>
      <c r="I174" s="3715"/>
      <c r="K174" s="1205"/>
      <c r="L174" s="1205"/>
    </row>
    <row r="175" spans="2:12" s="5" customFormat="1" ht="18" hidden="1" customHeight="1" x14ac:dyDescent="0.25">
      <c r="B175" s="448"/>
      <c r="C175" s="2521" t="s">
        <v>698</v>
      </c>
      <c r="D175" s="2785">
        <f>D176</f>
        <v>93700000</v>
      </c>
      <c r="E175" s="2785">
        <f>E176</f>
        <v>93700000</v>
      </c>
      <c r="F175" s="2785"/>
      <c r="G175" s="4005">
        <f>E175/D175*100</f>
        <v>100</v>
      </c>
      <c r="H175" s="2969">
        <f>H176</f>
        <v>100</v>
      </c>
      <c r="I175" s="3715"/>
      <c r="K175" s="1205"/>
      <c r="L175" s="1205"/>
    </row>
    <row r="176" spans="2:12" s="5" customFormat="1" ht="14.25" hidden="1" customHeight="1" x14ac:dyDescent="0.25">
      <c r="B176" s="448"/>
      <c r="C176" s="2524" t="s">
        <v>699</v>
      </c>
      <c r="D176" s="2690">
        <v>93700000</v>
      </c>
      <c r="E176" s="3622">
        <v>93700000</v>
      </c>
      <c r="F176" s="3622"/>
      <c r="G176" s="4008">
        <f>E176/D176*100</f>
        <v>100</v>
      </c>
      <c r="H176" s="2967">
        <v>100</v>
      </c>
      <c r="I176" s="3715"/>
      <c r="K176" s="1205"/>
      <c r="L176" s="1205"/>
    </row>
    <row r="177" spans="2:12" s="5" customFormat="1" ht="12" hidden="1" customHeight="1" x14ac:dyDescent="0.25">
      <c r="B177" s="448"/>
      <c r="C177" s="2527"/>
      <c r="D177" s="3035"/>
      <c r="E177" s="2968"/>
      <c r="F177" s="2968"/>
      <c r="G177" s="2690"/>
      <c r="H177" s="2967"/>
      <c r="I177" s="3715"/>
      <c r="K177" s="1205"/>
      <c r="L177" s="1205"/>
    </row>
    <row r="178" spans="2:12" s="5" customFormat="1" ht="18" hidden="1" customHeight="1" x14ac:dyDescent="0.25">
      <c r="B178" s="448"/>
      <c r="C178" s="2525" t="s">
        <v>700</v>
      </c>
      <c r="D178" s="2695">
        <f>SUM(D179:D181)</f>
        <v>162500000</v>
      </c>
      <c r="E178" s="2695">
        <f>SUM(E179:E181)</f>
        <v>159500000</v>
      </c>
      <c r="F178" s="2695"/>
      <c r="G178" s="4005">
        <f>E178/D178*100</f>
        <v>98.15384615384616</v>
      </c>
      <c r="H178" s="2969">
        <f>SUM(H179:H181)/3</f>
        <v>100</v>
      </c>
      <c r="I178" s="3715"/>
      <c r="K178" s="1205"/>
      <c r="L178" s="1205"/>
    </row>
    <row r="179" spans="2:12" s="5" customFormat="1" ht="15" hidden="1" customHeight="1" x14ac:dyDescent="0.25">
      <c r="B179" s="448"/>
      <c r="C179" s="2526" t="s">
        <v>701</v>
      </c>
      <c r="D179" s="3622">
        <v>98100000</v>
      </c>
      <c r="E179" s="3622">
        <v>98100000</v>
      </c>
      <c r="F179" s="3622"/>
      <c r="G179" s="4008">
        <f>E179/D179*100</f>
        <v>100</v>
      </c>
      <c r="H179" s="2967">
        <v>100</v>
      </c>
      <c r="I179" s="3715"/>
      <c r="K179" s="1205"/>
      <c r="L179" s="1205"/>
    </row>
    <row r="180" spans="2:12" s="5" customFormat="1" ht="18" hidden="1" customHeight="1" x14ac:dyDescent="0.25">
      <c r="B180" s="448"/>
      <c r="C180" s="2524" t="s">
        <v>702</v>
      </c>
      <c r="D180" s="3622">
        <v>48900000</v>
      </c>
      <c r="E180" s="2968">
        <v>45900000</v>
      </c>
      <c r="F180" s="2968"/>
      <c r="G180" s="4008">
        <f>E180/D180*100</f>
        <v>93.865030674846622</v>
      </c>
      <c r="H180" s="2967">
        <v>100</v>
      </c>
      <c r="I180" s="3715"/>
      <c r="K180" s="1205"/>
      <c r="L180" s="1205"/>
    </row>
    <row r="181" spans="2:12" s="5" customFormat="1" ht="16.5" hidden="1" customHeight="1" x14ac:dyDescent="0.25">
      <c r="B181" s="448"/>
      <c r="C181" s="2526" t="s">
        <v>703</v>
      </c>
      <c r="D181" s="3622">
        <v>15500000</v>
      </c>
      <c r="E181" s="3622">
        <v>15500000</v>
      </c>
      <c r="F181" s="3622"/>
      <c r="G181" s="4008">
        <f>E181/D181*100</f>
        <v>100</v>
      </c>
      <c r="H181" s="2967">
        <v>100</v>
      </c>
      <c r="I181" s="3715"/>
      <c r="K181" s="1205"/>
      <c r="L181" s="1205"/>
    </row>
    <row r="182" spans="2:12" s="5" customFormat="1" ht="10.5" hidden="1" customHeight="1" x14ac:dyDescent="0.25">
      <c r="B182" s="448"/>
      <c r="C182" s="2527"/>
      <c r="D182" s="3035"/>
      <c r="E182" s="2968"/>
      <c r="F182" s="2968"/>
      <c r="G182" s="2690"/>
      <c r="H182" s="2967"/>
      <c r="I182" s="3715"/>
      <c r="K182" s="1205"/>
      <c r="L182" s="1205"/>
    </row>
    <row r="183" spans="2:12" s="5" customFormat="1" ht="20.25" hidden="1" customHeight="1" x14ac:dyDescent="0.25">
      <c r="B183" s="448"/>
      <c r="C183" s="2525" t="s">
        <v>704</v>
      </c>
      <c r="D183" s="2695">
        <f>D184+D185</f>
        <v>479843260</v>
      </c>
      <c r="E183" s="2695">
        <f>E184+E185</f>
        <v>408908760</v>
      </c>
      <c r="F183" s="2695"/>
      <c r="G183" s="4005">
        <f>E183/D183*100</f>
        <v>85.217151950826604</v>
      </c>
      <c r="H183" s="2969">
        <f>SUM(H184:H185)/2</f>
        <v>100</v>
      </c>
      <c r="I183" s="3715"/>
      <c r="K183" s="1205"/>
      <c r="L183" s="1205"/>
    </row>
    <row r="184" spans="2:12" s="5" customFormat="1" ht="30" hidden="1" customHeight="1" x14ac:dyDescent="0.25">
      <c r="B184" s="448"/>
      <c r="C184" s="2524" t="s">
        <v>705</v>
      </c>
      <c r="D184" s="2690">
        <v>404343260</v>
      </c>
      <c r="E184" s="3622">
        <v>333408760</v>
      </c>
      <c r="F184" s="3622"/>
      <c r="G184" s="4008">
        <f>E184/D184*100</f>
        <v>82.456861034359761</v>
      </c>
      <c r="H184" s="2967">
        <v>100</v>
      </c>
      <c r="I184" s="3715"/>
      <c r="K184" s="1205"/>
      <c r="L184" s="1205"/>
    </row>
    <row r="185" spans="2:12" s="5" customFormat="1" ht="17.25" hidden="1" customHeight="1" x14ac:dyDescent="0.25">
      <c r="B185" s="448"/>
      <c r="C185" s="2526" t="s">
        <v>706</v>
      </c>
      <c r="D185" s="2752">
        <v>75500000</v>
      </c>
      <c r="E185" s="3625">
        <v>75500000</v>
      </c>
      <c r="F185" s="3625"/>
      <c r="G185" s="4008">
        <f>E185/D185*100</f>
        <v>100</v>
      </c>
      <c r="H185" s="2967">
        <v>100</v>
      </c>
      <c r="I185" s="3715"/>
      <c r="K185" s="1205"/>
      <c r="L185" s="1205"/>
    </row>
    <row r="186" spans="2:12" s="5" customFormat="1" ht="9" hidden="1" customHeight="1" x14ac:dyDescent="0.25">
      <c r="B186" s="448"/>
      <c r="C186" s="2527"/>
      <c r="D186" s="3035"/>
      <c r="E186" s="2968"/>
      <c r="F186" s="2968"/>
      <c r="G186" s="2690"/>
      <c r="H186" s="2967"/>
      <c r="I186" s="3715"/>
      <c r="K186" s="1205"/>
      <c r="L186" s="1205"/>
    </row>
    <row r="187" spans="2:12" s="5" customFormat="1" ht="18" hidden="1" customHeight="1" x14ac:dyDescent="0.25">
      <c r="B187" s="448"/>
      <c r="C187" s="2521" t="s">
        <v>707</v>
      </c>
      <c r="D187" s="2785">
        <f>SUM(D188)</f>
        <v>65000000</v>
      </c>
      <c r="E187" s="2785">
        <f>SUM(E188)</f>
        <v>63735000</v>
      </c>
      <c r="F187" s="2785"/>
      <c r="G187" s="4005">
        <f>E187/D187*100</f>
        <v>98.053846153846152</v>
      </c>
      <c r="H187" s="2969">
        <f>H188</f>
        <v>100</v>
      </c>
      <c r="I187" s="3715"/>
      <c r="K187" s="1205"/>
      <c r="L187" s="1205"/>
    </row>
    <row r="188" spans="2:12" s="5" customFormat="1" ht="17.25" hidden="1" customHeight="1" x14ac:dyDescent="0.25">
      <c r="B188" s="448"/>
      <c r="C188" s="2524" t="s">
        <v>708</v>
      </c>
      <c r="D188" s="2690">
        <v>65000000</v>
      </c>
      <c r="E188" s="3622">
        <v>63735000</v>
      </c>
      <c r="F188" s="3622"/>
      <c r="G188" s="4008">
        <f>E188/D188*100</f>
        <v>98.053846153846152</v>
      </c>
      <c r="H188" s="2967">
        <v>100</v>
      </c>
      <c r="I188" s="3715"/>
      <c r="K188" s="1205"/>
      <c r="L188" s="1205"/>
    </row>
    <row r="189" spans="2:12" s="5" customFormat="1" ht="9" hidden="1" customHeight="1" x14ac:dyDescent="0.25">
      <c r="B189" s="448"/>
      <c r="C189" s="2527"/>
      <c r="D189" s="3035"/>
      <c r="E189" s="2968"/>
      <c r="F189" s="2968"/>
      <c r="G189" s="2690"/>
      <c r="H189" s="2967"/>
      <c r="I189" s="3715"/>
      <c r="K189" s="1205"/>
      <c r="L189" s="1205"/>
    </row>
    <row r="190" spans="2:12" s="4" customFormat="1" ht="21.75" hidden="1" customHeight="1" x14ac:dyDescent="0.25">
      <c r="B190" s="441"/>
      <c r="C190" s="2525" t="s">
        <v>709</v>
      </c>
      <c r="D190" s="2695">
        <f>SUM(D191:D195)</f>
        <v>435038000</v>
      </c>
      <c r="E190" s="2695">
        <f>SUM(E191:E195)</f>
        <v>419335800</v>
      </c>
      <c r="F190" s="2695"/>
      <c r="G190" s="4005">
        <f>E190/D190*100</f>
        <v>96.390614153246375</v>
      </c>
      <c r="H190" s="2966">
        <f>SUM(H191:H195)/5</f>
        <v>100</v>
      </c>
      <c r="I190" s="1462"/>
      <c r="K190" s="1204"/>
      <c r="L190" s="1204"/>
    </row>
    <row r="191" spans="2:12" s="5" customFormat="1" ht="15" hidden="1" customHeight="1" x14ac:dyDescent="0.25">
      <c r="B191" s="448"/>
      <c r="C191" s="2524" t="s">
        <v>710</v>
      </c>
      <c r="D191" s="2690">
        <v>149443000</v>
      </c>
      <c r="E191" s="3622">
        <v>141443000</v>
      </c>
      <c r="F191" s="3622"/>
      <c r="G191" s="4008">
        <f>E191/D191*100</f>
        <v>94.646788407620292</v>
      </c>
      <c r="H191" s="2968">
        <v>100</v>
      </c>
      <c r="I191" s="3715"/>
      <c r="K191" s="1205"/>
      <c r="L191" s="1205"/>
    </row>
    <row r="192" spans="2:12" s="5" customFormat="1" ht="17.25" hidden="1" customHeight="1" x14ac:dyDescent="0.25">
      <c r="B192" s="448"/>
      <c r="C192" s="2524" t="s">
        <v>711</v>
      </c>
      <c r="D192" s="2690">
        <v>52800000</v>
      </c>
      <c r="E192" s="3622">
        <v>45097800</v>
      </c>
      <c r="F192" s="3622"/>
      <c r="G192" s="4008">
        <f t="shared" ref="G192:G195" si="8">E192/D192*100</f>
        <v>85.412500000000009</v>
      </c>
      <c r="H192" s="2968">
        <v>100</v>
      </c>
      <c r="I192" s="3715"/>
      <c r="K192" s="1205"/>
      <c r="L192" s="1205"/>
    </row>
    <row r="193" spans="2:12" s="5" customFormat="1" ht="15.75" hidden="1" customHeight="1" x14ac:dyDescent="0.25">
      <c r="B193" s="448"/>
      <c r="C193" s="2524" t="s">
        <v>712</v>
      </c>
      <c r="D193" s="2690">
        <v>68230000</v>
      </c>
      <c r="E193" s="3622">
        <v>68230000</v>
      </c>
      <c r="F193" s="3622"/>
      <c r="G193" s="4008">
        <f t="shared" si="8"/>
        <v>100</v>
      </c>
      <c r="H193" s="2968">
        <v>100</v>
      </c>
      <c r="I193" s="3715"/>
      <c r="K193" s="1205"/>
      <c r="L193" s="1205"/>
    </row>
    <row r="194" spans="2:12" s="5" customFormat="1" ht="17.25" hidden="1" customHeight="1" x14ac:dyDescent="0.25">
      <c r="B194" s="448"/>
      <c r="C194" s="2524" t="s">
        <v>713</v>
      </c>
      <c r="D194" s="2690">
        <v>73215000</v>
      </c>
      <c r="E194" s="3622">
        <v>73215000</v>
      </c>
      <c r="F194" s="3622"/>
      <c r="G194" s="4008">
        <f t="shared" si="8"/>
        <v>100</v>
      </c>
      <c r="H194" s="2968">
        <v>100</v>
      </c>
      <c r="I194" s="3715"/>
      <c r="K194" s="1205"/>
      <c r="L194" s="1205"/>
    </row>
    <row r="195" spans="2:12" s="5" customFormat="1" ht="18" hidden="1" customHeight="1" x14ac:dyDescent="0.25">
      <c r="B195" s="448"/>
      <c r="C195" s="2524" t="s">
        <v>714</v>
      </c>
      <c r="D195" s="2690">
        <v>91350000</v>
      </c>
      <c r="E195" s="3625">
        <v>91350000</v>
      </c>
      <c r="F195" s="3625"/>
      <c r="G195" s="4008">
        <f t="shared" si="8"/>
        <v>100</v>
      </c>
      <c r="H195" s="2968">
        <v>100</v>
      </c>
      <c r="I195" s="3715"/>
      <c r="K195" s="1205"/>
      <c r="L195" s="1205"/>
    </row>
    <row r="196" spans="2:12" s="5" customFormat="1" ht="9.75" hidden="1" customHeight="1" x14ac:dyDescent="0.25">
      <c r="B196" s="448"/>
      <c r="C196" s="2473"/>
      <c r="D196" s="3035"/>
      <c r="E196" s="2968"/>
      <c r="F196" s="2968"/>
      <c r="G196" s="2690"/>
      <c r="H196" s="2967"/>
      <c r="I196" s="3715"/>
      <c r="K196" s="1205"/>
      <c r="L196" s="1205"/>
    </row>
    <row r="197" spans="2:12" s="5" customFormat="1" ht="19.5" hidden="1" customHeight="1" x14ac:dyDescent="0.25">
      <c r="B197" s="448"/>
      <c r="C197" s="2525" t="s">
        <v>715</v>
      </c>
      <c r="D197" s="2695">
        <f>D198+D199+D200</f>
        <v>422877000</v>
      </c>
      <c r="E197" s="2695">
        <f>E198+E199+E200</f>
        <v>401762000</v>
      </c>
      <c r="F197" s="2695"/>
      <c r="G197" s="4005">
        <f>E197/D197*100</f>
        <v>95.006822314762914</v>
      </c>
      <c r="H197" s="2969">
        <f>SUM(H198:H200)/3</f>
        <v>100</v>
      </c>
      <c r="I197" s="3715"/>
      <c r="K197" s="1205"/>
      <c r="L197" s="1205"/>
    </row>
    <row r="198" spans="2:12" s="5" customFormat="1" ht="15" hidden="1" customHeight="1" x14ac:dyDescent="0.25">
      <c r="B198" s="448"/>
      <c r="C198" s="2524" t="s">
        <v>716</v>
      </c>
      <c r="D198" s="2690">
        <v>97850000</v>
      </c>
      <c r="E198" s="3622">
        <v>97850000</v>
      </c>
      <c r="F198" s="3622"/>
      <c r="G198" s="4008">
        <f>E198/D198*100</f>
        <v>100</v>
      </c>
      <c r="H198" s="2967">
        <v>100</v>
      </c>
      <c r="I198" s="3715"/>
      <c r="K198" s="1205"/>
      <c r="L198" s="1205"/>
    </row>
    <row r="199" spans="2:12" s="5" customFormat="1" ht="15" hidden="1" customHeight="1" x14ac:dyDescent="0.25">
      <c r="B199" s="448"/>
      <c r="C199" s="2526" t="s">
        <v>717</v>
      </c>
      <c r="D199" s="2752">
        <v>249175000</v>
      </c>
      <c r="E199" s="3622">
        <v>228860000</v>
      </c>
      <c r="F199" s="3622"/>
      <c r="G199" s="4008">
        <f>E199/D199*100</f>
        <v>91.847095414869074</v>
      </c>
      <c r="H199" s="2967">
        <v>100</v>
      </c>
      <c r="I199" s="3715"/>
      <c r="K199" s="1205"/>
      <c r="L199" s="1205"/>
    </row>
    <row r="200" spans="2:12" s="5" customFormat="1" ht="20.25" hidden="1" customHeight="1" x14ac:dyDescent="0.25">
      <c r="B200" s="448"/>
      <c r="C200" s="2524" t="s">
        <v>718</v>
      </c>
      <c r="D200" s="2690">
        <v>75852000</v>
      </c>
      <c r="E200" s="2968">
        <v>75052000</v>
      </c>
      <c r="F200" s="2968"/>
      <c r="G200" s="4008">
        <f>E200/D200*100</f>
        <v>98.945314559932498</v>
      </c>
      <c r="H200" s="2968">
        <v>100</v>
      </c>
      <c r="I200" s="3715"/>
      <c r="K200" s="1205"/>
      <c r="L200" s="1205"/>
    </row>
    <row r="201" spans="2:12" s="5" customFormat="1" ht="8.25" hidden="1" customHeight="1" x14ac:dyDescent="0.25">
      <c r="B201" s="448"/>
      <c r="C201" s="2527"/>
      <c r="D201" s="3035"/>
      <c r="E201" s="2968"/>
      <c r="F201" s="2968"/>
      <c r="G201" s="2690"/>
      <c r="H201" s="2967"/>
      <c r="I201" s="3715"/>
      <c r="K201" s="1205"/>
      <c r="L201" s="1205"/>
    </row>
    <row r="202" spans="2:12" s="4" customFormat="1" ht="16.5" hidden="1" customHeight="1" x14ac:dyDescent="0.25">
      <c r="B202" s="441"/>
      <c r="C202" s="2521" t="s">
        <v>719</v>
      </c>
      <c r="D202" s="2695">
        <f>D203</f>
        <v>105200000</v>
      </c>
      <c r="E202" s="2695">
        <f>E203</f>
        <v>90000000</v>
      </c>
      <c r="F202" s="2695"/>
      <c r="G202" s="4005">
        <f>E202/D202*100</f>
        <v>85.551330798479086</v>
      </c>
      <c r="H202" s="2969">
        <f>H203</f>
        <v>100</v>
      </c>
      <c r="I202" s="1462"/>
      <c r="K202" s="1204"/>
      <c r="L202" s="1204"/>
    </row>
    <row r="203" spans="2:12" s="5" customFormat="1" ht="18" hidden="1" customHeight="1" x14ac:dyDescent="0.25">
      <c r="B203" s="448"/>
      <c r="C203" s="2524" t="s">
        <v>720</v>
      </c>
      <c r="D203" s="2690">
        <v>105200000</v>
      </c>
      <c r="E203" s="3622">
        <v>90000000</v>
      </c>
      <c r="F203" s="3622"/>
      <c r="G203" s="4008">
        <f>E203/D203*100</f>
        <v>85.551330798479086</v>
      </c>
      <c r="H203" s="2967">
        <v>100</v>
      </c>
      <c r="I203" s="3715"/>
      <c r="K203" s="1205"/>
      <c r="L203" s="1205"/>
    </row>
    <row r="204" spans="2:12" s="5" customFormat="1" ht="12" hidden="1" customHeight="1" x14ac:dyDescent="0.25">
      <c r="B204" s="448"/>
      <c r="C204" s="2527"/>
      <c r="D204" s="3035"/>
      <c r="E204" s="2968"/>
      <c r="F204" s="2968"/>
      <c r="G204" s="2690"/>
      <c r="H204" s="2967"/>
      <c r="I204" s="3715"/>
      <c r="K204" s="1205"/>
      <c r="L204" s="1205"/>
    </row>
    <row r="205" spans="2:12" s="5" customFormat="1" ht="29.25" hidden="1" customHeight="1" x14ac:dyDescent="0.25">
      <c r="B205" s="448"/>
      <c r="C205" s="2521" t="s">
        <v>721</v>
      </c>
      <c r="D205" s="2785">
        <f>SUM(D206:D209)</f>
        <v>3158551213</v>
      </c>
      <c r="E205" s="2785">
        <f>SUM(E206:E209)</f>
        <v>3089485000</v>
      </c>
      <c r="F205" s="2785"/>
      <c r="G205" s="4005">
        <f>E205/D205*100</f>
        <v>97.813357823177398</v>
      </c>
      <c r="H205" s="2969">
        <f>SUM(H206:H209)/4</f>
        <v>100</v>
      </c>
      <c r="I205" s="3715"/>
      <c r="K205" s="1205"/>
      <c r="L205" s="1205"/>
    </row>
    <row r="206" spans="2:12" s="5" customFormat="1" ht="15.75" hidden="1" customHeight="1" x14ac:dyDescent="0.25">
      <c r="B206" s="448"/>
      <c r="C206" s="2524" t="s">
        <v>722</v>
      </c>
      <c r="D206" s="3622">
        <v>1169351213</v>
      </c>
      <c r="E206" s="3622">
        <v>1160471000</v>
      </c>
      <c r="F206" s="3622"/>
      <c r="G206" s="4008">
        <f>E206/D206*100</f>
        <v>99.240586326736036</v>
      </c>
      <c r="H206" s="2967">
        <v>100</v>
      </c>
      <c r="I206" s="3715"/>
      <c r="K206" s="1205"/>
      <c r="L206" s="1205"/>
    </row>
    <row r="207" spans="2:12" s="5" customFormat="1" ht="17.25" hidden="1" customHeight="1" x14ac:dyDescent="0.25">
      <c r="B207" s="448"/>
      <c r="C207" s="2524" t="s">
        <v>723</v>
      </c>
      <c r="D207" s="3622">
        <v>800000000</v>
      </c>
      <c r="E207" s="3622">
        <v>791589000</v>
      </c>
      <c r="F207" s="3622"/>
      <c r="G207" s="4008">
        <f t="shared" ref="G207:G209" si="9">E207/D207*100</f>
        <v>98.948625000000007</v>
      </c>
      <c r="H207" s="2967">
        <v>100</v>
      </c>
      <c r="I207" s="3715"/>
      <c r="K207" s="1205"/>
      <c r="L207" s="1205"/>
    </row>
    <row r="208" spans="2:12" s="5" customFormat="1" ht="18" hidden="1" customHeight="1" x14ac:dyDescent="0.25">
      <c r="B208" s="442"/>
      <c r="C208" s="2533" t="s">
        <v>724</v>
      </c>
      <c r="D208" s="3625">
        <v>54200000</v>
      </c>
      <c r="E208" s="2999">
        <v>54200000</v>
      </c>
      <c r="F208" s="2999"/>
      <c r="G208" s="4008">
        <f t="shared" si="9"/>
        <v>100</v>
      </c>
      <c r="H208" s="2967">
        <v>100</v>
      </c>
      <c r="I208" s="3716"/>
      <c r="K208" s="1205"/>
      <c r="L208" s="1205"/>
    </row>
    <row r="209" spans="2:12" s="5" customFormat="1" ht="15" hidden="1" customHeight="1" x14ac:dyDescent="0.25">
      <c r="B209" s="462"/>
      <c r="C209" s="2524" t="s">
        <v>725</v>
      </c>
      <c r="D209" s="3622">
        <v>1135000000</v>
      </c>
      <c r="E209" s="3622">
        <v>1083225000</v>
      </c>
      <c r="F209" s="3622"/>
      <c r="G209" s="4008">
        <f t="shared" si="9"/>
        <v>95.43832599118943</v>
      </c>
      <c r="H209" s="2967">
        <v>100</v>
      </c>
      <c r="I209" s="3715"/>
      <c r="K209" s="1205"/>
      <c r="L209" s="1205"/>
    </row>
    <row r="210" spans="2:12" s="5" customFormat="1" ht="7.5" hidden="1" customHeight="1" x14ac:dyDescent="0.25">
      <c r="B210" s="462"/>
      <c r="C210" s="2527"/>
      <c r="D210" s="3035"/>
      <c r="E210" s="2968"/>
      <c r="F210" s="2968"/>
      <c r="G210" s="2968"/>
      <c r="H210" s="2968"/>
      <c r="I210" s="3715"/>
      <c r="K210" s="1205"/>
      <c r="L210" s="1205"/>
    </row>
    <row r="211" spans="2:12" s="5" customFormat="1" ht="17.25" hidden="1" customHeight="1" x14ac:dyDescent="0.25">
      <c r="B211" s="448"/>
      <c r="C211" s="2538" t="s">
        <v>726</v>
      </c>
      <c r="D211" s="2734">
        <f>SUM(D212:D212)</f>
        <v>180340000</v>
      </c>
      <c r="E211" s="2997">
        <f>E212</f>
        <v>80690000</v>
      </c>
      <c r="F211" s="2997"/>
      <c r="G211" s="4005">
        <f>E211/D211*100</f>
        <v>44.743262725962076</v>
      </c>
      <c r="H211" s="2997">
        <f>H212</f>
        <v>50</v>
      </c>
      <c r="I211" s="3717"/>
      <c r="K211" s="1205"/>
      <c r="L211" s="1205"/>
    </row>
    <row r="212" spans="2:12" s="5" customFormat="1" ht="16.5" hidden="1" customHeight="1" x14ac:dyDescent="0.25">
      <c r="B212" s="448"/>
      <c r="C212" s="2524" t="s">
        <v>727</v>
      </c>
      <c r="D212" s="2690">
        <v>180340000</v>
      </c>
      <c r="E212" s="2968">
        <v>80690000</v>
      </c>
      <c r="F212" s="2968"/>
      <c r="G212" s="4008">
        <f>E212/D212*100</f>
        <v>44.743262725962076</v>
      </c>
      <c r="H212" s="2968">
        <v>50</v>
      </c>
      <c r="I212" s="3715"/>
      <c r="K212" s="1205"/>
      <c r="L212" s="1205"/>
    </row>
    <row r="213" spans="2:12" s="12" customFormat="1" ht="9" hidden="1" customHeight="1" x14ac:dyDescent="0.25">
      <c r="B213" s="448"/>
      <c r="C213" s="2476"/>
      <c r="D213" s="2840"/>
      <c r="E213" s="3022"/>
      <c r="F213" s="3022"/>
      <c r="G213" s="2752"/>
      <c r="H213" s="2993"/>
      <c r="I213" s="3715"/>
      <c r="K213" s="1209"/>
      <c r="L213" s="1209"/>
    </row>
    <row r="214" spans="2:12" s="1" customFormat="1" ht="21.75" hidden="1" customHeight="1" x14ac:dyDescent="0.25">
      <c r="B214" s="441"/>
      <c r="C214" s="2474" t="s">
        <v>728</v>
      </c>
      <c r="D214" s="2695">
        <f>D215</f>
        <v>272091000</v>
      </c>
      <c r="E214" s="2695">
        <f>E215</f>
        <v>259341000</v>
      </c>
      <c r="F214" s="2695"/>
      <c r="G214" s="4005">
        <f>E214/D214*100</f>
        <v>95.314067719990732</v>
      </c>
      <c r="H214" s="2969">
        <f>H215</f>
        <v>100</v>
      </c>
      <c r="I214" s="1462"/>
      <c r="K214" s="535"/>
      <c r="L214" s="535"/>
    </row>
    <row r="215" spans="2:12" s="12" customFormat="1" ht="14.25" hidden="1" customHeight="1" x14ac:dyDescent="0.25">
      <c r="B215" s="448"/>
      <c r="C215" s="2473" t="s">
        <v>729</v>
      </c>
      <c r="D215" s="2690">
        <v>272091000</v>
      </c>
      <c r="E215" s="3620">
        <v>259341000</v>
      </c>
      <c r="F215" s="3620"/>
      <c r="G215" s="4008">
        <f>E215/D215*100</f>
        <v>95.314067719990732</v>
      </c>
      <c r="H215" s="2967">
        <v>100</v>
      </c>
      <c r="I215" s="3715"/>
      <c r="K215" s="1209"/>
      <c r="L215" s="1209"/>
    </row>
    <row r="216" spans="2:12" s="13" customFormat="1" ht="12" hidden="1" customHeight="1" x14ac:dyDescent="0.25">
      <c r="B216" s="1067"/>
      <c r="C216" s="119"/>
      <c r="D216" s="85"/>
      <c r="E216" s="241"/>
      <c r="F216" s="241"/>
      <c r="G216" s="85"/>
      <c r="H216" s="1508"/>
      <c r="I216" s="1502"/>
      <c r="K216" s="104"/>
      <c r="L216" s="104"/>
    </row>
    <row r="217" spans="2:12" s="105" customFormat="1" ht="19.5" hidden="1" customHeight="1" x14ac:dyDescent="0.25">
      <c r="B217" s="1062"/>
      <c r="C217" s="89" t="s">
        <v>730</v>
      </c>
      <c r="D217" s="179">
        <f>D218+D221</f>
        <v>6195995880</v>
      </c>
      <c r="E217" s="179">
        <f>E218+E221</f>
        <v>5476434087</v>
      </c>
      <c r="F217" s="179"/>
      <c r="G217" s="200">
        <f>E217/D217*100</f>
        <v>88.386664437226841</v>
      </c>
      <c r="H217" s="254">
        <f>SUM(H218+H221)/2</f>
        <v>100</v>
      </c>
      <c r="I217" s="1503"/>
      <c r="K217" s="107"/>
      <c r="L217" s="107"/>
    </row>
    <row r="218" spans="2:12" s="105" customFormat="1" ht="19.5" hidden="1" customHeight="1" x14ac:dyDescent="0.25">
      <c r="B218" s="1068"/>
      <c r="C218" s="216" t="s">
        <v>731</v>
      </c>
      <c r="D218" s="72">
        <f>D219</f>
        <v>133560000</v>
      </c>
      <c r="E218" s="240">
        <v>0</v>
      </c>
      <c r="F218" s="240"/>
      <c r="G218" s="240">
        <v>0</v>
      </c>
      <c r="H218" s="240">
        <f>H219</f>
        <v>100</v>
      </c>
      <c r="I218" s="1503"/>
      <c r="K218" s="107"/>
      <c r="L218" s="107"/>
    </row>
    <row r="219" spans="2:12" s="105" customFormat="1" ht="19.5" hidden="1" customHeight="1" x14ac:dyDescent="0.25">
      <c r="B219" s="1065"/>
      <c r="C219" s="132" t="s">
        <v>732</v>
      </c>
      <c r="D219" s="158">
        <v>133560000</v>
      </c>
      <c r="E219" s="238">
        <v>0</v>
      </c>
      <c r="F219" s="238"/>
      <c r="G219" s="238">
        <v>0</v>
      </c>
      <c r="H219" s="238">
        <v>100</v>
      </c>
      <c r="I219" s="1503"/>
      <c r="K219" s="107"/>
      <c r="L219" s="107"/>
    </row>
    <row r="220" spans="2:12" s="105" customFormat="1" ht="11.25" hidden="1" customHeight="1" x14ac:dyDescent="0.25">
      <c r="B220" s="1065"/>
      <c r="C220" s="134"/>
      <c r="D220" s="2031"/>
      <c r="E220" s="236"/>
      <c r="F220" s="236"/>
      <c r="G220" s="204"/>
      <c r="H220" s="251"/>
      <c r="I220" s="1503"/>
      <c r="K220" s="107"/>
      <c r="L220" s="107"/>
    </row>
    <row r="221" spans="2:12" s="105" customFormat="1" ht="21.75" hidden="1" customHeight="1" x14ac:dyDescent="0.25">
      <c r="B221" s="1065"/>
      <c r="C221" s="115" t="s">
        <v>733</v>
      </c>
      <c r="D221" s="336">
        <f>D222</f>
        <v>6062435880</v>
      </c>
      <c r="E221" s="336">
        <f>E222</f>
        <v>5476434087</v>
      </c>
      <c r="F221" s="336"/>
      <c r="G221" s="529">
        <f>E221/D221*100</f>
        <v>90.333888809723788</v>
      </c>
      <c r="H221" s="941">
        <f>H222</f>
        <v>100</v>
      </c>
      <c r="I221" s="1503"/>
      <c r="K221" s="107"/>
      <c r="L221" s="107"/>
    </row>
    <row r="222" spans="2:12" s="105" customFormat="1" ht="18" hidden="1" customHeight="1" x14ac:dyDescent="0.25">
      <c r="B222" s="1065"/>
      <c r="C222" s="2154" t="s">
        <v>3431</v>
      </c>
      <c r="D222" s="158">
        <v>6062435880</v>
      </c>
      <c r="E222" s="3620">
        <v>5476434087</v>
      </c>
      <c r="F222" s="3620"/>
      <c r="G222" s="4008">
        <f>E222/D222*100</f>
        <v>90.333888809723788</v>
      </c>
      <c r="H222" s="2985">
        <v>100</v>
      </c>
      <c r="I222" s="1503"/>
      <c r="K222" s="107"/>
      <c r="L222" s="107"/>
    </row>
    <row r="223" spans="2:12" s="121" customFormat="1" ht="12" hidden="1" customHeight="1" x14ac:dyDescent="0.25">
      <c r="B223" s="1069"/>
      <c r="C223" s="103"/>
      <c r="D223" s="2318"/>
      <c r="E223" s="236"/>
      <c r="F223" s="236"/>
      <c r="G223" s="235"/>
      <c r="H223" s="1489"/>
      <c r="I223" s="1093"/>
      <c r="K223" s="122"/>
      <c r="L223" s="122"/>
    </row>
    <row r="224" spans="2:12" s="123" customFormat="1" ht="16.5" hidden="1" customHeight="1" x14ac:dyDescent="0.25">
      <c r="B224" s="1071"/>
      <c r="C224" s="124" t="s">
        <v>3432</v>
      </c>
      <c r="D224" s="90">
        <f>SUM(D225+D228)</f>
        <v>1095530000</v>
      </c>
      <c r="E224" s="90">
        <f>SUM(E225+E228)</f>
        <v>1025342600</v>
      </c>
      <c r="F224" s="90"/>
      <c r="G224" s="200">
        <f>E224/D224*100</f>
        <v>93.593292744151242</v>
      </c>
      <c r="H224" s="254">
        <f>SUM(H225+H228)/2</f>
        <v>100</v>
      </c>
      <c r="I224" s="1509"/>
      <c r="K224" s="125"/>
      <c r="L224" s="125"/>
    </row>
    <row r="225" spans="2:12" s="123" customFormat="1" ht="18" hidden="1" customHeight="1" x14ac:dyDescent="0.25">
      <c r="B225" s="1074"/>
      <c r="C225" s="216" t="s">
        <v>758</v>
      </c>
      <c r="D225" s="209">
        <f>D226</f>
        <v>486400000</v>
      </c>
      <c r="E225" s="2319">
        <f>E226</f>
        <v>421712600</v>
      </c>
      <c r="F225" s="2319"/>
      <c r="G225" s="529">
        <f>E225/D225*100</f>
        <v>86.700781250000006</v>
      </c>
      <c r="H225" s="384">
        <f>H226</f>
        <v>100</v>
      </c>
      <c r="I225" s="1509"/>
      <c r="K225" s="125"/>
      <c r="L225" s="125"/>
    </row>
    <row r="226" spans="2:12" s="123" customFormat="1" ht="21" hidden="1" customHeight="1" x14ac:dyDescent="0.25">
      <c r="B226" s="1074"/>
      <c r="C226" s="132" t="s">
        <v>759</v>
      </c>
      <c r="D226" s="73">
        <v>486400000</v>
      </c>
      <c r="E226" s="3622">
        <v>421712600</v>
      </c>
      <c r="F226" s="3622"/>
      <c r="G226" s="4008">
        <f>E226/D226*100</f>
        <v>86.700781250000006</v>
      </c>
      <c r="H226" s="2967">
        <v>100</v>
      </c>
      <c r="I226" s="1509"/>
      <c r="K226" s="125"/>
      <c r="L226" s="125"/>
    </row>
    <row r="227" spans="2:12" s="121" customFormat="1" ht="12" hidden="1" customHeight="1" x14ac:dyDescent="0.25">
      <c r="B227" s="1069"/>
      <c r="C227" s="103"/>
      <c r="D227" s="197"/>
      <c r="E227" s="2320"/>
      <c r="F227" s="2320"/>
      <c r="G227" s="73"/>
      <c r="H227" s="252"/>
      <c r="I227" s="1093"/>
      <c r="K227" s="122"/>
      <c r="L227" s="122"/>
    </row>
    <row r="228" spans="2:12" s="121" customFormat="1" ht="17.25" hidden="1" customHeight="1" x14ac:dyDescent="0.25">
      <c r="B228" s="1069"/>
      <c r="C228" s="138" t="s">
        <v>760</v>
      </c>
      <c r="D228" s="209">
        <f>D229</f>
        <v>609130000</v>
      </c>
      <c r="E228" s="2320">
        <f>E229</f>
        <v>603630000</v>
      </c>
      <c r="F228" s="2320"/>
      <c r="G228" s="529">
        <f>E228/D228*100</f>
        <v>99.097072874427454</v>
      </c>
      <c r="H228" s="267">
        <f>H229</f>
        <v>100</v>
      </c>
      <c r="I228" s="1093"/>
      <c r="K228" s="122"/>
      <c r="L228" s="122"/>
    </row>
    <row r="229" spans="2:12" s="121" customFormat="1" ht="17.25" hidden="1" customHeight="1" x14ac:dyDescent="0.25">
      <c r="B229" s="1069"/>
      <c r="C229" s="132" t="s">
        <v>761</v>
      </c>
      <c r="D229" s="73">
        <v>609130000</v>
      </c>
      <c r="E229" s="3622">
        <v>603630000</v>
      </c>
      <c r="F229" s="3622"/>
      <c r="G229" s="4008">
        <f>E229/D229*100</f>
        <v>99.097072874427454</v>
      </c>
      <c r="H229" s="2967">
        <v>100</v>
      </c>
      <c r="I229" s="1093"/>
      <c r="K229" s="122"/>
      <c r="L229" s="122"/>
    </row>
    <row r="230" spans="2:12" s="121" customFormat="1" ht="12" hidden="1" customHeight="1" x14ac:dyDescent="0.25">
      <c r="B230" s="1069"/>
      <c r="C230" s="103"/>
      <c r="D230" s="2318"/>
      <c r="E230" s="236"/>
      <c r="F230" s="236"/>
      <c r="G230" s="235"/>
      <c r="H230" s="1489"/>
      <c r="I230" s="1093"/>
      <c r="K230" s="122"/>
      <c r="L230" s="122"/>
    </row>
    <row r="231" spans="2:12" s="121" customFormat="1" ht="17.25" hidden="1" customHeight="1" x14ac:dyDescent="0.25">
      <c r="B231" s="1075"/>
      <c r="C231" s="89" t="s">
        <v>1022</v>
      </c>
      <c r="D231" s="1076">
        <f>SUM(D232+D235)</f>
        <v>12050117867</v>
      </c>
      <c r="E231" s="1076">
        <f>SUM(E232+E235)</f>
        <v>9411169530</v>
      </c>
      <c r="F231" s="1076"/>
      <c r="G231" s="200">
        <f>E231/D231*100</f>
        <v>78.100228013313256</v>
      </c>
      <c r="H231" s="1511">
        <f>SUM(H232+H235)/2</f>
        <v>90</v>
      </c>
      <c r="I231" s="1093"/>
      <c r="K231" s="122"/>
      <c r="L231" s="122"/>
    </row>
    <row r="232" spans="2:12" s="123" customFormat="1" ht="20.25" hidden="1" customHeight="1" x14ac:dyDescent="0.25">
      <c r="B232" s="1074"/>
      <c r="C232" s="1473" t="s">
        <v>1023</v>
      </c>
      <c r="D232" s="157">
        <f>D233</f>
        <v>4592088000</v>
      </c>
      <c r="E232" s="157">
        <f>E233</f>
        <v>3985669530</v>
      </c>
      <c r="F232" s="157"/>
      <c r="G232" s="92">
        <f>G233</f>
        <v>86.794275937220704</v>
      </c>
      <c r="H232" s="92">
        <f>H233</f>
        <v>100</v>
      </c>
      <c r="I232" s="1509"/>
      <c r="K232" s="125"/>
      <c r="L232" s="125"/>
    </row>
    <row r="233" spans="2:12" s="123" customFormat="1" ht="19.5" hidden="1" customHeight="1" x14ac:dyDescent="0.25">
      <c r="B233" s="1074"/>
      <c r="C233" s="2154" t="s">
        <v>3433</v>
      </c>
      <c r="D233" s="2321">
        <v>4592088000</v>
      </c>
      <c r="E233" s="3622">
        <v>3985669530</v>
      </c>
      <c r="F233" s="4030"/>
      <c r="G233" s="3014">
        <f>E233/D233*100</f>
        <v>86.794275937220704</v>
      </c>
      <c r="H233" s="2690">
        <v>100</v>
      </c>
      <c r="I233" s="1509"/>
      <c r="K233" s="125"/>
      <c r="L233" s="125"/>
    </row>
    <row r="234" spans="2:12" s="121" customFormat="1" ht="9.75" hidden="1" customHeight="1" x14ac:dyDescent="0.25">
      <c r="B234" s="1081"/>
      <c r="C234" s="82"/>
      <c r="D234" s="130"/>
      <c r="E234" s="238"/>
      <c r="F234" s="238"/>
      <c r="G234" s="71"/>
      <c r="H234" s="1512"/>
      <c r="I234" s="1093"/>
      <c r="K234" s="122"/>
      <c r="L234" s="122"/>
    </row>
    <row r="235" spans="2:12" s="123" customFormat="1" ht="17.25" hidden="1" customHeight="1" x14ac:dyDescent="0.25">
      <c r="B235" s="1074"/>
      <c r="C235" s="2322" t="s">
        <v>1027</v>
      </c>
      <c r="D235" s="991">
        <f>D236</f>
        <v>7458029867</v>
      </c>
      <c r="E235" s="991">
        <f>E236</f>
        <v>5425500000</v>
      </c>
      <c r="F235" s="991"/>
      <c r="G235" s="120">
        <f>G236</f>
        <v>72.747094028230435</v>
      </c>
      <c r="H235" s="120">
        <f>H236</f>
        <v>80</v>
      </c>
      <c r="I235" s="2323"/>
      <c r="K235" s="125"/>
      <c r="L235" s="125"/>
    </row>
    <row r="236" spans="2:12" s="123" customFormat="1" ht="18.75" hidden="1" customHeight="1" x14ac:dyDescent="0.25">
      <c r="B236" s="1074"/>
      <c r="C236" s="2154" t="s">
        <v>3434</v>
      </c>
      <c r="D236" s="2324">
        <v>7458029867</v>
      </c>
      <c r="E236" s="912">
        <v>5425500000</v>
      </c>
      <c r="F236" s="4947"/>
      <c r="G236" s="109">
        <v>72.747094028230435</v>
      </c>
      <c r="H236" s="73">
        <v>80</v>
      </c>
      <c r="I236" s="1509"/>
      <c r="K236" s="125"/>
      <c r="L236" s="125"/>
    </row>
    <row r="237" spans="2:12" s="123" customFormat="1" ht="18.75" hidden="1" customHeight="1" x14ac:dyDescent="0.25">
      <c r="B237" s="1074"/>
      <c r="C237" s="2162"/>
      <c r="D237" s="235"/>
      <c r="E237" s="235"/>
      <c r="F237" s="235"/>
      <c r="G237" s="88"/>
      <c r="H237" s="1488"/>
      <c r="I237" s="1509"/>
      <c r="K237" s="125"/>
      <c r="L237" s="125"/>
    </row>
    <row r="238" spans="2:12" s="52" customFormat="1" ht="20.25" customHeight="1" x14ac:dyDescent="0.25">
      <c r="B238" s="2294"/>
      <c r="C238" s="422" t="s">
        <v>3069</v>
      </c>
      <c r="D238" s="2295">
        <f>D240+D275</f>
        <v>24836000000</v>
      </c>
      <c r="E238" s="2295">
        <f>E240+E275</f>
        <v>23590017317</v>
      </c>
      <c r="F238" s="50">
        <f>D238-E238</f>
        <v>1245982683</v>
      </c>
      <c r="G238" s="423">
        <f>E238/D238*100</f>
        <v>94.983158789660166</v>
      </c>
      <c r="H238" s="2304">
        <f>SUM(H240+H275)/2</f>
        <v>95.522222222222211</v>
      </c>
      <c r="I238" s="2325"/>
      <c r="J238" s="532"/>
      <c r="K238" s="55"/>
      <c r="L238" s="55"/>
    </row>
    <row r="239" spans="2:12" s="52" customFormat="1" ht="10.5" hidden="1" customHeight="1" x14ac:dyDescent="0.25">
      <c r="B239" s="1075"/>
      <c r="C239" s="89"/>
      <c r="D239" s="90"/>
      <c r="E239" s="90"/>
      <c r="F239" s="90"/>
      <c r="G239" s="57"/>
      <c r="H239" s="1018"/>
      <c r="I239" s="1484"/>
      <c r="K239" s="55"/>
      <c r="L239" s="55"/>
    </row>
    <row r="240" spans="2:12" s="52" customFormat="1" ht="19.5" hidden="1" customHeight="1" x14ac:dyDescent="0.25">
      <c r="B240" s="1075"/>
      <c r="C240" s="89" t="s">
        <v>398</v>
      </c>
      <c r="D240" s="127">
        <f>D241+D245+D249+D252+D256+D259+D265+D268+D271</f>
        <v>13136000000</v>
      </c>
      <c r="E240" s="127">
        <f>E241+E245+E249+E252+E256+E259+E265+E268+E271</f>
        <v>12155358000</v>
      </c>
      <c r="F240" s="127"/>
      <c r="G240" s="131">
        <f>E240/D240*100</f>
        <v>92.534698538367849</v>
      </c>
      <c r="H240" s="1080">
        <f>SUM(H241+H245+H249+H252+H256+H259+H265+H268+H271)/9</f>
        <v>91.044444444444437</v>
      </c>
      <c r="I240" s="1484"/>
      <c r="K240" s="55"/>
      <c r="L240" s="55"/>
    </row>
    <row r="241" spans="1:12" ht="21.75" hidden="1" customHeight="1" x14ac:dyDescent="0.25">
      <c r="A241" s="2"/>
      <c r="B241" s="1024"/>
      <c r="C241" s="69" t="s">
        <v>1053</v>
      </c>
      <c r="D241" s="72">
        <f>D242+D243</f>
        <v>5336000000</v>
      </c>
      <c r="E241" s="72">
        <f>E242+E243</f>
        <v>4885450000</v>
      </c>
      <c r="F241" s="72"/>
      <c r="G241" s="240">
        <f>SUM(E241/D241)*100</f>
        <v>91.556409295352324</v>
      </c>
      <c r="H241" s="240">
        <f>SUM(H242:H243)/2</f>
        <v>49.4</v>
      </c>
      <c r="I241" s="2216"/>
      <c r="K241"/>
      <c r="L241"/>
    </row>
    <row r="242" spans="1:12" ht="14.25" hidden="1" customHeight="1" x14ac:dyDescent="0.25">
      <c r="A242" s="2"/>
      <c r="B242" s="1139"/>
      <c r="C242" s="61" t="s">
        <v>1054</v>
      </c>
      <c r="D242" s="73">
        <v>336000000</v>
      </c>
      <c r="E242" s="238">
        <v>0</v>
      </c>
      <c r="F242" s="238"/>
      <c r="G242" s="238">
        <f>SUM(E242/D242)*100</f>
        <v>0</v>
      </c>
      <c r="H242" s="238">
        <v>0</v>
      </c>
      <c r="I242" s="2326"/>
      <c r="K242"/>
      <c r="L242"/>
    </row>
    <row r="243" spans="1:12" ht="14.25" hidden="1" customHeight="1" x14ac:dyDescent="0.25">
      <c r="A243" s="2"/>
      <c r="B243" s="1139"/>
      <c r="C243" s="61" t="s">
        <v>1055</v>
      </c>
      <c r="D243" s="73">
        <v>5000000000</v>
      </c>
      <c r="E243" s="238">
        <v>4885450000</v>
      </c>
      <c r="F243" s="237"/>
      <c r="G243" s="109">
        <f t="shared" ref="G243" si="10">E243/D243*100</f>
        <v>97.709000000000003</v>
      </c>
      <c r="H243" s="238">
        <v>98.8</v>
      </c>
      <c r="I243" s="2326"/>
      <c r="K243"/>
      <c r="L243"/>
    </row>
    <row r="244" spans="1:12" ht="9" hidden="1" customHeight="1" x14ac:dyDescent="0.25">
      <c r="A244" s="2"/>
      <c r="B244" s="1139"/>
      <c r="C244" s="61"/>
      <c r="D244" s="908"/>
      <c r="E244" s="73"/>
      <c r="F244" s="73"/>
      <c r="G244" s="73"/>
      <c r="H244" s="73"/>
      <c r="I244" s="2326"/>
      <c r="K244"/>
      <c r="L244"/>
    </row>
    <row r="245" spans="1:12" ht="18" hidden="1" customHeight="1" x14ac:dyDescent="0.25">
      <c r="A245" s="2"/>
      <c r="B245" s="1024"/>
      <c r="C245" s="63" t="s">
        <v>1056</v>
      </c>
      <c r="D245" s="157">
        <f>SUM(D246:D247)</f>
        <v>600000000</v>
      </c>
      <c r="E245" s="157">
        <f>SUM(E246:E247)</f>
        <v>599400000</v>
      </c>
      <c r="F245" s="72"/>
      <c r="G245" s="108">
        <f>E245/D245*100</f>
        <v>99.9</v>
      </c>
      <c r="H245" s="267">
        <f>SUM(H246:H247)/2</f>
        <v>100</v>
      </c>
      <c r="I245" s="2216"/>
      <c r="K245"/>
      <c r="L245"/>
    </row>
    <row r="246" spans="1:12" ht="14.25" hidden="1" customHeight="1" x14ac:dyDescent="0.25">
      <c r="A246" s="2"/>
      <c r="B246" s="1139"/>
      <c r="C246" s="61" t="s">
        <v>1057</v>
      </c>
      <c r="D246" s="908">
        <v>350000000</v>
      </c>
      <c r="E246" s="908">
        <v>350000000</v>
      </c>
      <c r="F246" s="917"/>
      <c r="G246" s="109">
        <f t="shared" ref="G246:G247" si="11">E246/D246*100</f>
        <v>100</v>
      </c>
      <c r="H246" s="109">
        <v>100</v>
      </c>
      <c r="I246" s="2326"/>
      <c r="K246"/>
      <c r="L246"/>
    </row>
    <row r="247" spans="1:12" ht="14.25" hidden="1" customHeight="1" x14ac:dyDescent="0.25">
      <c r="A247" s="2"/>
      <c r="B247" s="1139"/>
      <c r="C247" s="61" t="s">
        <v>1058</v>
      </c>
      <c r="D247" s="908">
        <v>250000000</v>
      </c>
      <c r="E247" s="73">
        <v>249400000</v>
      </c>
      <c r="F247" s="194"/>
      <c r="G247" s="109">
        <f t="shared" si="11"/>
        <v>99.76</v>
      </c>
      <c r="H247" s="73">
        <v>100</v>
      </c>
      <c r="I247" s="2326"/>
      <c r="K247"/>
      <c r="L247"/>
    </row>
    <row r="248" spans="1:12" ht="8.25" hidden="1" customHeight="1" x14ac:dyDescent="0.25">
      <c r="A248" s="2"/>
      <c r="B248" s="1139"/>
      <c r="C248" s="61"/>
      <c r="D248" s="908"/>
      <c r="E248" s="73"/>
      <c r="F248" s="73"/>
      <c r="G248" s="201"/>
      <c r="H248" s="73"/>
      <c r="I248" s="2326"/>
      <c r="K248"/>
      <c r="L248"/>
    </row>
    <row r="249" spans="1:12" ht="17.25" hidden="1" customHeight="1" x14ac:dyDescent="0.25">
      <c r="A249" s="2"/>
      <c r="B249" s="1024"/>
      <c r="C249" s="63" t="s">
        <v>405</v>
      </c>
      <c r="D249" s="157">
        <f>D250</f>
        <v>800000000</v>
      </c>
      <c r="E249" s="157">
        <f>SUM(E250)</f>
        <v>800000000</v>
      </c>
      <c r="F249" s="157"/>
      <c r="G249" s="240">
        <f>SUM(E249/D249)*100</f>
        <v>100</v>
      </c>
      <c r="H249" s="240">
        <f>H250</f>
        <v>100</v>
      </c>
      <c r="I249" s="2216"/>
      <c r="K249"/>
      <c r="L249"/>
    </row>
    <row r="250" spans="1:12" ht="18" hidden="1" customHeight="1" x14ac:dyDescent="0.25">
      <c r="A250" s="2"/>
      <c r="B250" s="1024"/>
      <c r="C250" s="66" t="s">
        <v>1059</v>
      </c>
      <c r="D250" s="158">
        <v>800000000</v>
      </c>
      <c r="E250" s="67">
        <v>800000000</v>
      </c>
      <c r="F250" s="67"/>
      <c r="G250" s="236">
        <f>SUM(E250/D250)*100</f>
        <v>100</v>
      </c>
      <c r="H250" s="251">
        <v>100</v>
      </c>
      <c r="I250" s="2327"/>
      <c r="K250"/>
      <c r="L250"/>
    </row>
    <row r="251" spans="1:12" ht="11.25" hidden="1" customHeight="1" x14ac:dyDescent="0.25">
      <c r="A251" s="2"/>
      <c r="B251" s="1904"/>
      <c r="C251" s="61"/>
      <c r="D251" s="909"/>
      <c r="E251" s="909"/>
      <c r="F251" s="909"/>
      <c r="G251" s="157"/>
      <c r="H251" s="267"/>
      <c r="I251" s="2216"/>
      <c r="K251"/>
      <c r="L251"/>
    </row>
    <row r="252" spans="1:12" ht="18.75" hidden="1" customHeight="1" x14ac:dyDescent="0.25">
      <c r="A252" s="2"/>
      <c r="B252" s="1024"/>
      <c r="C252" s="69" t="s">
        <v>409</v>
      </c>
      <c r="D252" s="72">
        <f>SUM(D253:D254)</f>
        <v>600000000</v>
      </c>
      <c r="E252" s="72">
        <f>SUM(E253:E254)</f>
        <v>600000000</v>
      </c>
      <c r="F252" s="72"/>
      <c r="G252" s="108">
        <f>E252/D252*100</f>
        <v>100</v>
      </c>
      <c r="H252" s="1467">
        <f>SUM(H253:H254)/2</f>
        <v>100</v>
      </c>
      <c r="I252" s="2282"/>
      <c r="K252"/>
      <c r="L252"/>
    </row>
    <row r="253" spans="1:12" ht="18" hidden="1" customHeight="1" x14ac:dyDescent="0.25">
      <c r="A253" s="2"/>
      <c r="B253" s="1139"/>
      <c r="C253" s="61" t="s">
        <v>1060</v>
      </c>
      <c r="D253" s="908">
        <v>200000000</v>
      </c>
      <c r="E253" s="70">
        <v>200000000</v>
      </c>
      <c r="F253" s="67"/>
      <c r="G253" s="236">
        <f>SUM(E253/D253)*100</f>
        <v>100</v>
      </c>
      <c r="H253" s="238">
        <v>100</v>
      </c>
      <c r="I253" s="2326"/>
      <c r="K253"/>
      <c r="L253"/>
    </row>
    <row r="254" spans="1:12" ht="14.25" hidden="1" customHeight="1" x14ac:dyDescent="0.25">
      <c r="A254" s="2"/>
      <c r="B254" s="1139"/>
      <c r="C254" s="61" t="s">
        <v>1061</v>
      </c>
      <c r="D254" s="908">
        <v>400000000</v>
      </c>
      <c r="E254" s="238">
        <v>400000000</v>
      </c>
      <c r="F254" s="238"/>
      <c r="G254" s="238">
        <f>SUM(E254/D254)*100</f>
        <v>100</v>
      </c>
      <c r="H254" s="252">
        <v>100</v>
      </c>
      <c r="I254" s="2326"/>
      <c r="K254"/>
      <c r="L254"/>
    </row>
    <row r="255" spans="1:12" ht="9.75" hidden="1" customHeight="1" x14ac:dyDescent="0.25">
      <c r="A255" s="2"/>
      <c r="B255" s="1139"/>
      <c r="C255" s="61"/>
      <c r="D255" s="908"/>
      <c r="E255" s="238"/>
      <c r="F255" s="238"/>
      <c r="G255" s="73"/>
      <c r="H255" s="252"/>
      <c r="I255" s="2326"/>
      <c r="K255"/>
      <c r="L255"/>
    </row>
    <row r="256" spans="1:12" ht="19.5" hidden="1" customHeight="1" x14ac:dyDescent="0.25">
      <c r="A256" s="2"/>
      <c r="B256" s="1139"/>
      <c r="C256" s="63" t="s">
        <v>1062</v>
      </c>
      <c r="D256" s="909">
        <f>D257</f>
        <v>200000000</v>
      </c>
      <c r="E256" s="909">
        <f>E257</f>
        <v>200000000</v>
      </c>
      <c r="F256" s="909"/>
      <c r="G256" s="240">
        <f>SUM(E256/D256)*100</f>
        <v>100</v>
      </c>
      <c r="H256" s="267">
        <v>100</v>
      </c>
      <c r="I256" s="2326"/>
      <c r="K256"/>
      <c r="L256"/>
    </row>
    <row r="257" spans="1:12" ht="14.25" hidden="1" customHeight="1" x14ac:dyDescent="0.25">
      <c r="A257" s="2"/>
      <c r="B257" s="1139"/>
      <c r="C257" s="61" t="s">
        <v>1063</v>
      </c>
      <c r="D257" s="908">
        <v>200000000</v>
      </c>
      <c r="E257" s="908">
        <v>200000000</v>
      </c>
      <c r="F257" s="908"/>
      <c r="G257" s="238">
        <f>SUM(E257/D257)*100</f>
        <v>100</v>
      </c>
      <c r="H257" s="73">
        <v>100</v>
      </c>
      <c r="I257" s="2326"/>
      <c r="K257"/>
      <c r="L257"/>
    </row>
    <row r="258" spans="1:12" ht="8.25" hidden="1" customHeight="1" x14ac:dyDescent="0.25">
      <c r="A258" s="2"/>
      <c r="B258" s="1139"/>
      <c r="C258" s="61"/>
      <c r="D258" s="908"/>
      <c r="E258" s="908"/>
      <c r="F258" s="908"/>
      <c r="G258" s="201"/>
      <c r="H258" s="73"/>
      <c r="I258" s="2326"/>
      <c r="K258"/>
      <c r="L258"/>
    </row>
    <row r="259" spans="1:12" ht="31.5" hidden="1" customHeight="1" x14ac:dyDescent="0.25">
      <c r="A259" s="2"/>
      <c r="B259" s="1024"/>
      <c r="C259" s="63" t="s">
        <v>1064</v>
      </c>
      <c r="D259" s="240">
        <f>SUM(D260:D263)</f>
        <v>2700000000</v>
      </c>
      <c r="E259" s="240">
        <f>SUM(E260:E263)</f>
        <v>2694300000</v>
      </c>
      <c r="F259" s="240"/>
      <c r="G259" s="240">
        <f>SUM(E259/D259)*100</f>
        <v>99.788888888888891</v>
      </c>
      <c r="H259" s="267">
        <f>SUM(H260:H262)/3</f>
        <v>100</v>
      </c>
      <c r="I259" s="2216"/>
      <c r="K259"/>
      <c r="L259"/>
    </row>
    <row r="260" spans="1:12" ht="18.75" hidden="1" customHeight="1" x14ac:dyDescent="0.25">
      <c r="A260" s="2"/>
      <c r="B260" s="1139"/>
      <c r="C260" s="61" t="s">
        <v>1065</v>
      </c>
      <c r="D260" s="908">
        <v>1000000000</v>
      </c>
      <c r="E260" s="238">
        <v>999600000</v>
      </c>
      <c r="F260" s="238"/>
      <c r="G260" s="238">
        <f>SUM(E260/D260)*100</f>
        <v>99.960000000000008</v>
      </c>
      <c r="H260" s="238">
        <v>100</v>
      </c>
      <c r="I260" s="2326"/>
      <c r="K260"/>
      <c r="L260"/>
    </row>
    <row r="261" spans="1:12" ht="15.75" hidden="1" customHeight="1" x14ac:dyDescent="0.25">
      <c r="A261" s="2"/>
      <c r="B261" s="1139"/>
      <c r="C261" s="61" t="s">
        <v>1066</v>
      </c>
      <c r="D261" s="908">
        <v>700000000</v>
      </c>
      <c r="E261" s="908">
        <v>695000000</v>
      </c>
      <c r="F261" s="908"/>
      <c r="G261" s="238">
        <f t="shared" ref="G261:G262" si="12">SUM(E261/D261)*100</f>
        <v>99.285714285714292</v>
      </c>
      <c r="H261" s="252">
        <v>100</v>
      </c>
      <c r="I261" s="2326"/>
      <c r="K261"/>
      <c r="L261"/>
    </row>
    <row r="262" spans="1:12" ht="19.5" hidden="1" customHeight="1" x14ac:dyDescent="0.25">
      <c r="A262" s="2"/>
      <c r="B262" s="1024"/>
      <c r="C262" s="61" t="s">
        <v>1067</v>
      </c>
      <c r="D262" s="908">
        <v>1000000000</v>
      </c>
      <c r="E262" s="197">
        <v>999700000</v>
      </c>
      <c r="F262" s="197"/>
      <c r="G262" s="238">
        <f t="shared" si="12"/>
        <v>99.97</v>
      </c>
      <c r="H262" s="73">
        <v>100</v>
      </c>
      <c r="I262" s="1991"/>
      <c r="K262"/>
      <c r="L262"/>
    </row>
    <row r="263" spans="1:12" ht="14.25" hidden="1" customHeight="1" x14ac:dyDescent="0.25">
      <c r="A263" s="2"/>
      <c r="B263" s="1024"/>
      <c r="C263" s="61" t="s">
        <v>1068</v>
      </c>
      <c r="D263" s="675" t="s">
        <v>3317</v>
      </c>
      <c r="E263" s="675" t="s">
        <v>3317</v>
      </c>
      <c r="F263" s="675"/>
      <c r="G263" s="675" t="s">
        <v>3317</v>
      </c>
      <c r="H263" s="675" t="s">
        <v>3317</v>
      </c>
      <c r="I263" s="546"/>
      <c r="J263" s="542" t="s">
        <v>3317</v>
      </c>
      <c r="K263"/>
      <c r="L263"/>
    </row>
    <row r="264" spans="1:12" ht="8.25" hidden="1" customHeight="1" x14ac:dyDescent="0.25">
      <c r="A264" s="2"/>
      <c r="B264" s="1024"/>
      <c r="C264" s="61"/>
      <c r="D264" s="908"/>
      <c r="E264" s="908"/>
      <c r="F264" s="908"/>
      <c r="G264" s="201"/>
      <c r="H264" s="73"/>
      <c r="I264" s="1991"/>
      <c r="K264"/>
      <c r="L264"/>
    </row>
    <row r="265" spans="1:12" ht="18" hidden="1" customHeight="1" x14ac:dyDescent="0.25">
      <c r="A265" s="2"/>
      <c r="B265" s="1024"/>
      <c r="C265" s="63" t="s">
        <v>1069</v>
      </c>
      <c r="D265" s="157">
        <f>D266</f>
        <v>1300000000</v>
      </c>
      <c r="E265" s="157">
        <f>E266</f>
        <v>1275608000</v>
      </c>
      <c r="F265" s="157"/>
      <c r="G265" s="240">
        <f>SUM(E265/D265)*100</f>
        <v>98.123692307692309</v>
      </c>
      <c r="H265" s="157">
        <f>H266</f>
        <v>100</v>
      </c>
      <c r="I265" s="1991"/>
      <c r="K265"/>
      <c r="L265"/>
    </row>
    <row r="266" spans="1:12" ht="18.75" hidden="1" customHeight="1" x14ac:dyDescent="0.25">
      <c r="A266" s="2"/>
      <c r="B266" s="1024"/>
      <c r="C266" s="61" t="s">
        <v>1070</v>
      </c>
      <c r="D266" s="908">
        <v>1300000000</v>
      </c>
      <c r="E266" s="73">
        <v>1275608000</v>
      </c>
      <c r="F266" s="73"/>
      <c r="G266" s="238">
        <f>SUM(E266/D266)*100</f>
        <v>98.123692307692309</v>
      </c>
      <c r="H266" s="73">
        <v>100</v>
      </c>
      <c r="I266" s="1991"/>
      <c r="K266"/>
      <c r="L266"/>
    </row>
    <row r="267" spans="1:12" ht="9" hidden="1" customHeight="1" x14ac:dyDescent="0.25">
      <c r="A267" s="2"/>
      <c r="B267" s="1024"/>
      <c r="C267" s="61"/>
      <c r="D267" s="908"/>
      <c r="E267" s="197"/>
      <c r="F267" s="197"/>
      <c r="G267" s="201"/>
      <c r="H267" s="73"/>
      <c r="I267" s="1991"/>
      <c r="K267"/>
      <c r="L267"/>
    </row>
    <row r="268" spans="1:12" ht="16.5" hidden="1" customHeight="1" x14ac:dyDescent="0.25">
      <c r="A268" s="2"/>
      <c r="B268" s="1024"/>
      <c r="C268" s="63" t="s">
        <v>1071</v>
      </c>
      <c r="D268" s="157">
        <f>D269</f>
        <v>1000000000</v>
      </c>
      <c r="E268" s="157">
        <f>E269</f>
        <v>500600000</v>
      </c>
      <c r="F268" s="157"/>
      <c r="G268" s="240">
        <f>SUM(E268/D268)*100</f>
        <v>50.06</v>
      </c>
      <c r="H268" s="240">
        <f>H269</f>
        <v>70</v>
      </c>
      <c r="I268" s="1991"/>
      <c r="K268"/>
      <c r="L268"/>
    </row>
    <row r="269" spans="1:12" ht="18.75" hidden="1" customHeight="1" x14ac:dyDescent="0.25">
      <c r="A269" s="2"/>
      <c r="B269" s="1024"/>
      <c r="C269" s="61" t="s">
        <v>1072</v>
      </c>
      <c r="D269" s="73">
        <v>1000000000</v>
      </c>
      <c r="E269" s="238">
        <v>500600000</v>
      </c>
      <c r="F269" s="238"/>
      <c r="G269" s="238">
        <f>SUM(E269/D269)*100</f>
        <v>50.06</v>
      </c>
      <c r="H269" s="238">
        <v>70</v>
      </c>
      <c r="I269" s="1991"/>
      <c r="K269"/>
      <c r="L269"/>
    </row>
    <row r="270" spans="1:12" ht="9" hidden="1" customHeight="1" x14ac:dyDescent="0.25">
      <c r="A270" s="2"/>
      <c r="B270" s="1024"/>
      <c r="C270" s="61"/>
      <c r="D270" s="908"/>
      <c r="E270" s="908"/>
      <c r="F270" s="908"/>
      <c r="G270" s="201"/>
      <c r="H270" s="73"/>
      <c r="I270" s="1991"/>
      <c r="K270"/>
      <c r="L270"/>
    </row>
    <row r="271" spans="1:12" ht="17.25" hidden="1" customHeight="1" x14ac:dyDescent="0.25">
      <c r="A271" s="2"/>
      <c r="B271" s="1024"/>
      <c r="C271" s="63" t="s">
        <v>1073</v>
      </c>
      <c r="D271" s="157">
        <f>SUM(D272:D273)</f>
        <v>600000000</v>
      </c>
      <c r="E271" s="240">
        <f>SUM(E272:E273)</f>
        <v>600000000</v>
      </c>
      <c r="F271" s="240"/>
      <c r="G271" s="240">
        <f>SUM(E271/D271)*100</f>
        <v>100</v>
      </c>
      <c r="H271" s="267">
        <f>SUM(H272:H273)/2</f>
        <v>100</v>
      </c>
      <c r="I271" s="1991"/>
      <c r="K271"/>
      <c r="L271"/>
    </row>
    <row r="272" spans="1:12" ht="20.25" hidden="1" customHeight="1" x14ac:dyDescent="0.25">
      <c r="A272" s="2"/>
      <c r="B272" s="1024"/>
      <c r="C272" s="61" t="s">
        <v>1074</v>
      </c>
      <c r="D272" s="73">
        <v>350000000</v>
      </c>
      <c r="E272" s="238">
        <v>350000000</v>
      </c>
      <c r="F272" s="238"/>
      <c r="G272" s="238">
        <f>SUM(E272/D272)*100</f>
        <v>100</v>
      </c>
      <c r="H272" s="238">
        <v>100</v>
      </c>
      <c r="I272" s="1991"/>
      <c r="K272"/>
      <c r="L272"/>
    </row>
    <row r="273" spans="1:12" ht="28.5" hidden="1" customHeight="1" x14ac:dyDescent="0.25">
      <c r="A273" s="2"/>
      <c r="B273" s="1024"/>
      <c r="C273" s="61" t="s">
        <v>1075</v>
      </c>
      <c r="D273" s="73">
        <v>250000000</v>
      </c>
      <c r="E273" s="73">
        <v>250000000</v>
      </c>
      <c r="F273" s="73"/>
      <c r="G273" s="238">
        <f>SUM(E273/D273)*100</f>
        <v>100</v>
      </c>
      <c r="H273" s="252">
        <v>100</v>
      </c>
      <c r="I273" s="1991"/>
      <c r="K273"/>
      <c r="L273"/>
    </row>
    <row r="274" spans="1:12" s="121" customFormat="1" ht="12" hidden="1" customHeight="1" x14ac:dyDescent="0.25">
      <c r="B274" s="1069"/>
      <c r="C274" s="114"/>
      <c r="D274" s="1048"/>
      <c r="E274" s="1048"/>
      <c r="F274" s="1048"/>
      <c r="G274" s="54"/>
      <c r="H274" s="1514"/>
      <c r="I274" s="1093"/>
      <c r="K274" s="122"/>
      <c r="L274" s="122"/>
    </row>
    <row r="275" spans="1:12" s="52" customFormat="1" ht="22.5" hidden="1" customHeight="1" x14ac:dyDescent="0.25">
      <c r="B275" s="1075"/>
      <c r="C275" s="89" t="s">
        <v>1076</v>
      </c>
      <c r="D275" s="179">
        <f>D276</f>
        <v>11700000000</v>
      </c>
      <c r="E275" s="179">
        <f>E276</f>
        <v>11434659317</v>
      </c>
      <c r="F275" s="179"/>
      <c r="G275" s="131">
        <f>E275/D275*100</f>
        <v>97.732130914529918</v>
      </c>
      <c r="H275" s="254">
        <f>H276</f>
        <v>100</v>
      </c>
      <c r="I275" s="1484"/>
      <c r="K275" s="55"/>
      <c r="L275" s="55"/>
    </row>
    <row r="276" spans="1:12" ht="30" hidden="1" customHeight="1" x14ac:dyDescent="0.25">
      <c r="A276" s="2"/>
      <c r="B276" s="1024"/>
      <c r="C276" s="69" t="s">
        <v>1077</v>
      </c>
      <c r="D276" s="157">
        <f>SUM(D277:D282)</f>
        <v>11700000000</v>
      </c>
      <c r="E276" s="157">
        <f>SUM(E277:E282)</f>
        <v>11434659317</v>
      </c>
      <c r="F276" s="157"/>
      <c r="G276" s="240">
        <f>E276/D276*100</f>
        <v>97.732130914529918</v>
      </c>
      <c r="H276" s="352">
        <f>SUM(H277:H282)/6</f>
        <v>100</v>
      </c>
      <c r="I276" s="2216"/>
      <c r="K276"/>
      <c r="L276"/>
    </row>
    <row r="277" spans="1:12" ht="21" hidden="1" customHeight="1" x14ac:dyDescent="0.25">
      <c r="A277" s="2"/>
      <c r="B277" s="1139"/>
      <c r="C277" s="61" t="s">
        <v>1078</v>
      </c>
      <c r="D277" s="908">
        <v>2000000000</v>
      </c>
      <c r="E277" s="238">
        <v>1952475732</v>
      </c>
      <c r="F277" s="238"/>
      <c r="G277" s="238">
        <f>SUM(E277/D277)*100</f>
        <v>97.623786599999988</v>
      </c>
      <c r="H277" s="238">
        <v>100</v>
      </c>
      <c r="I277" s="2326"/>
      <c r="K277"/>
      <c r="L277"/>
    </row>
    <row r="278" spans="1:12" ht="23.25" hidden="1" customHeight="1" x14ac:dyDescent="0.25">
      <c r="A278" s="2"/>
      <c r="B278" s="1139"/>
      <c r="C278" s="61" t="s">
        <v>1079</v>
      </c>
      <c r="D278" s="908">
        <v>100000000</v>
      </c>
      <c r="E278" s="238">
        <v>99200000</v>
      </c>
      <c r="F278" s="238"/>
      <c r="G278" s="238">
        <f t="shared" ref="G278:G280" si="13">SUM(E278/D278)*100</f>
        <v>99.2</v>
      </c>
      <c r="H278" s="238">
        <v>100</v>
      </c>
      <c r="I278" s="2326"/>
      <c r="K278"/>
      <c r="L278"/>
    </row>
    <row r="279" spans="1:12" ht="17.25" hidden="1" customHeight="1" x14ac:dyDescent="0.25">
      <c r="A279" s="2"/>
      <c r="B279" s="1139"/>
      <c r="C279" s="61" t="s">
        <v>1080</v>
      </c>
      <c r="D279" s="908">
        <v>200000000</v>
      </c>
      <c r="E279" s="238">
        <v>200000000</v>
      </c>
      <c r="F279" s="238"/>
      <c r="G279" s="238">
        <f t="shared" si="13"/>
        <v>100</v>
      </c>
      <c r="H279" s="238">
        <v>100</v>
      </c>
      <c r="I279" s="2326"/>
      <c r="K279"/>
      <c r="L279"/>
    </row>
    <row r="280" spans="1:12" ht="21" hidden="1" customHeight="1" x14ac:dyDescent="0.25">
      <c r="A280" s="2"/>
      <c r="B280" s="1139"/>
      <c r="C280" s="61" t="s">
        <v>1081</v>
      </c>
      <c r="D280" s="908">
        <v>3757320000</v>
      </c>
      <c r="E280" s="238">
        <v>3667760627</v>
      </c>
      <c r="F280" s="238"/>
      <c r="G280" s="238">
        <f t="shared" si="13"/>
        <v>97.61640283499942</v>
      </c>
      <c r="H280" s="238">
        <v>100</v>
      </c>
      <c r="I280" s="2326"/>
      <c r="K280"/>
      <c r="L280"/>
    </row>
    <row r="281" spans="1:12" ht="19.5" hidden="1" customHeight="1" x14ac:dyDescent="0.25">
      <c r="A281" s="2"/>
      <c r="B281" s="1024"/>
      <c r="C281" s="66" t="s">
        <v>1082</v>
      </c>
      <c r="D281" s="906">
        <v>952499450</v>
      </c>
      <c r="E281" s="158">
        <v>912140380</v>
      </c>
      <c r="F281" s="158"/>
      <c r="G281" s="238">
        <f>SUM(E281/D281)*100</f>
        <v>95.76282484992511</v>
      </c>
      <c r="H281" s="158">
        <v>100</v>
      </c>
      <c r="I281" s="1991"/>
      <c r="K281"/>
      <c r="L281"/>
    </row>
    <row r="282" spans="1:12" ht="20.25" hidden="1" customHeight="1" x14ac:dyDescent="0.25">
      <c r="A282" s="2"/>
      <c r="B282" s="1024"/>
      <c r="C282" s="61" t="s">
        <v>1083</v>
      </c>
      <c r="D282" s="908">
        <v>4690180550</v>
      </c>
      <c r="E282" s="238">
        <v>4603082578</v>
      </c>
      <c r="F282" s="238"/>
      <c r="G282" s="238">
        <f>SUM(E282/D282)*100</f>
        <v>98.142971873438853</v>
      </c>
      <c r="H282" s="238">
        <v>100</v>
      </c>
      <c r="I282" s="1991"/>
      <c r="K282"/>
      <c r="L282"/>
    </row>
    <row r="283" spans="1:12" s="121" customFormat="1" ht="14.25" hidden="1" customHeight="1" x14ac:dyDescent="0.25">
      <c r="B283" s="1069"/>
      <c r="C283" s="119"/>
      <c r="D283" s="1048"/>
      <c r="E283" s="1048"/>
      <c r="F283" s="1048"/>
      <c r="G283" s="54"/>
      <c r="H283" s="1514"/>
      <c r="I283" s="1093"/>
      <c r="K283" s="122"/>
      <c r="L283" s="122"/>
    </row>
    <row r="284" spans="1:12" s="121" customFormat="1" ht="22.5" customHeight="1" x14ac:dyDescent="0.25">
      <c r="B284" s="2294"/>
      <c r="C284" s="422" t="s">
        <v>3071</v>
      </c>
      <c r="D284" s="2328">
        <f>SUM(+D286+D346)</f>
        <v>27037599428</v>
      </c>
      <c r="E284" s="2328">
        <f>SUM(+E286+E346)</f>
        <v>23427950364</v>
      </c>
      <c r="F284" s="50">
        <f>D284-E284</f>
        <v>3609649064</v>
      </c>
      <c r="G284" s="2329">
        <f>E284/D284*100</f>
        <v>86.649520888079053</v>
      </c>
      <c r="H284" s="2304">
        <f>SUM(H286+H346)/2</f>
        <v>91.754419191919197</v>
      </c>
      <c r="I284" s="4674"/>
      <c r="K284" s="122"/>
      <c r="L284" s="122"/>
    </row>
    <row r="285" spans="1:12" s="121" customFormat="1" ht="8.25" hidden="1" customHeight="1" x14ac:dyDescent="0.25">
      <c r="B285" s="1017"/>
      <c r="C285" s="119"/>
      <c r="D285" s="1515"/>
      <c r="E285" s="1515"/>
      <c r="F285" s="1515"/>
      <c r="G285" s="120"/>
      <c r="H285" s="1516"/>
      <c r="I285" s="1093"/>
      <c r="K285" s="122"/>
      <c r="L285" s="122"/>
    </row>
    <row r="286" spans="1:12" s="123" customFormat="1" ht="24.75" hidden="1" customHeight="1" x14ac:dyDescent="0.25">
      <c r="B286" s="1071"/>
      <c r="C286" s="89" t="s">
        <v>252</v>
      </c>
      <c r="D286" s="57">
        <f>SUM(D287+D290+D301+D306+D311+D314+D323+D326+D330+D333+D336)</f>
        <v>24456340328</v>
      </c>
      <c r="E286" s="57">
        <f>SUM(E287+E290+E301+E306+E311+E314+E323+E326+E330+E333+E336)</f>
        <v>20851996264</v>
      </c>
      <c r="F286" s="57"/>
      <c r="G286" s="131">
        <f>E286/D286*100</f>
        <v>85.262128283873295</v>
      </c>
      <c r="H286" s="179">
        <f>SUM(H287+H290+H301+H306+H311+H314+H323+H326+H330+H333+H336)/11</f>
        <v>83.508838383838381</v>
      </c>
      <c r="I286" s="1509"/>
      <c r="J286" s="997">
        <v>24456340328</v>
      </c>
      <c r="K286" s="997">
        <v>20926746264</v>
      </c>
      <c r="L286" s="125"/>
    </row>
    <row r="287" spans="1:12" s="20" customFormat="1" ht="21" hidden="1" customHeight="1" x14ac:dyDescent="0.25">
      <c r="A287" s="892"/>
      <c r="B287" s="1024"/>
      <c r="C287" s="415" t="s">
        <v>1281</v>
      </c>
      <c r="D287" s="157">
        <f>D288</f>
        <v>246000000</v>
      </c>
      <c r="E287" s="193">
        <f>E288</f>
        <v>74750000</v>
      </c>
      <c r="F287" s="72"/>
      <c r="G287" s="240">
        <f>E287/D287*100</f>
        <v>30.386178861788615</v>
      </c>
      <c r="H287" s="72">
        <f>H288</f>
        <v>30</v>
      </c>
      <c r="I287" s="1991"/>
      <c r="L287" s="536">
        <v>74750000</v>
      </c>
    </row>
    <row r="288" spans="1:12" s="20" customFormat="1" ht="18" hidden="1" customHeight="1" x14ac:dyDescent="0.25">
      <c r="A288" s="892"/>
      <c r="B288" s="1024"/>
      <c r="C288" s="132" t="s">
        <v>1282</v>
      </c>
      <c r="D288" s="135">
        <v>246000000</v>
      </c>
      <c r="E288" s="920">
        <v>74750000</v>
      </c>
      <c r="F288" s="920"/>
      <c r="G288" s="201">
        <f>E288/D288*100</f>
        <v>30.386178861788615</v>
      </c>
      <c r="H288" s="73">
        <v>30</v>
      </c>
      <c r="I288" s="1991"/>
      <c r="L288" s="536"/>
    </row>
    <row r="289" spans="1:12" s="20" customFormat="1" ht="12" hidden="1" customHeight="1" x14ac:dyDescent="0.25">
      <c r="A289" s="892"/>
      <c r="B289" s="1024"/>
      <c r="C289" s="82"/>
      <c r="D289" s="133"/>
      <c r="E289" s="73"/>
      <c r="F289" s="73"/>
      <c r="G289" s="197"/>
      <c r="H289" s="197"/>
      <c r="I289" s="1991"/>
      <c r="L289" s="536"/>
    </row>
    <row r="290" spans="1:12" s="20" customFormat="1" ht="15.75" hidden="1" customHeight="1" x14ac:dyDescent="0.25">
      <c r="A290" s="892"/>
      <c r="B290" s="1024"/>
      <c r="C290" s="134" t="s">
        <v>1283</v>
      </c>
      <c r="D290" s="92">
        <f>SUM(D291:D299)</f>
        <v>11538156328</v>
      </c>
      <c r="E290" s="92">
        <f>SUM(E291:E299)</f>
        <v>10750319600</v>
      </c>
      <c r="F290" s="92"/>
      <c r="G290" s="202">
        <f>E290/D290*100</f>
        <v>93.171901076707272</v>
      </c>
      <c r="H290" s="157">
        <f>SUM(H291:H299)/9</f>
        <v>97.555555555555557</v>
      </c>
      <c r="I290" s="1991"/>
      <c r="L290" s="536">
        <v>10750319600</v>
      </c>
    </row>
    <row r="291" spans="1:12" s="20" customFormat="1" ht="18.75" hidden="1" customHeight="1" x14ac:dyDescent="0.25">
      <c r="A291" s="892"/>
      <c r="B291" s="1024"/>
      <c r="C291" s="61" t="s">
        <v>1284</v>
      </c>
      <c r="D291" s="135">
        <v>1585740000</v>
      </c>
      <c r="E291" s="920">
        <v>1585740000</v>
      </c>
      <c r="F291" s="920"/>
      <c r="G291" s="201">
        <f>E291/D291*100</f>
        <v>100</v>
      </c>
      <c r="H291" s="73">
        <v>100</v>
      </c>
      <c r="I291" s="1991"/>
      <c r="L291" s="536"/>
    </row>
    <row r="292" spans="1:12" s="20" customFormat="1" ht="20.25" hidden="1" customHeight="1" x14ac:dyDescent="0.25">
      <c r="A292" s="892"/>
      <c r="B292" s="1024"/>
      <c r="C292" s="61" t="s">
        <v>1285</v>
      </c>
      <c r="D292" s="135">
        <v>4585144740</v>
      </c>
      <c r="E292" s="368">
        <v>4373710000</v>
      </c>
      <c r="F292" s="368"/>
      <c r="G292" s="201">
        <f>E292/D292*100</f>
        <v>95.388700859201222</v>
      </c>
      <c r="H292" s="140">
        <v>95</v>
      </c>
      <c r="I292" s="1991"/>
      <c r="L292" s="536"/>
    </row>
    <row r="293" spans="1:12" s="20" customFormat="1" ht="19.5" hidden="1" customHeight="1" x14ac:dyDescent="0.25">
      <c r="A293" s="892"/>
      <c r="B293" s="1024"/>
      <c r="C293" s="61" t="s">
        <v>1286</v>
      </c>
      <c r="D293" s="135">
        <v>946850000</v>
      </c>
      <c r="E293" s="368">
        <v>759000000</v>
      </c>
      <c r="F293" s="368"/>
      <c r="G293" s="201">
        <f>E293/D293*100</f>
        <v>80.160532291281612</v>
      </c>
      <c r="H293" s="368">
        <v>100</v>
      </c>
      <c r="I293" s="1991"/>
      <c r="L293" s="536"/>
    </row>
    <row r="294" spans="1:12" s="20" customFormat="1" ht="18.75" hidden="1" customHeight="1" x14ac:dyDescent="0.25">
      <c r="A294" s="892"/>
      <c r="B294" s="1024"/>
      <c r="C294" s="61" t="s">
        <v>1287</v>
      </c>
      <c r="D294" s="135">
        <v>72970000</v>
      </c>
      <c r="E294" s="368">
        <v>72970000</v>
      </c>
      <c r="F294" s="368"/>
      <c r="G294" s="201">
        <f>E294/D294*100</f>
        <v>100</v>
      </c>
      <c r="H294" s="140">
        <v>100</v>
      </c>
      <c r="I294" s="1991"/>
      <c r="L294" s="536"/>
    </row>
    <row r="295" spans="1:12" s="20" customFormat="1" ht="17.25" hidden="1" customHeight="1" x14ac:dyDescent="0.25">
      <c r="A295" s="892"/>
      <c r="B295" s="1024"/>
      <c r="C295" s="61" t="s">
        <v>1288</v>
      </c>
      <c r="D295" s="135">
        <v>1366568072</v>
      </c>
      <c r="E295" s="140">
        <v>1128408000</v>
      </c>
      <c r="F295" s="140"/>
      <c r="G295" s="201">
        <f t="shared" ref="G295:G297" si="14">E295/D295*100</f>
        <v>82.572395998433663</v>
      </c>
      <c r="H295" s="140">
        <v>83</v>
      </c>
      <c r="I295" s="1991"/>
      <c r="L295" s="536"/>
    </row>
    <row r="296" spans="1:12" s="20" customFormat="1" ht="15" hidden="1" customHeight="1" x14ac:dyDescent="0.25">
      <c r="A296" s="892"/>
      <c r="B296" s="1024"/>
      <c r="C296" s="61" t="s">
        <v>1289</v>
      </c>
      <c r="D296" s="135">
        <v>435050000</v>
      </c>
      <c r="E296" s="368">
        <v>433150000</v>
      </c>
      <c r="F296" s="368"/>
      <c r="G296" s="201">
        <f t="shared" si="14"/>
        <v>99.56326858981727</v>
      </c>
      <c r="H296" s="368">
        <v>100</v>
      </c>
      <c r="I296" s="1991"/>
      <c r="L296" s="536"/>
    </row>
    <row r="297" spans="1:12" s="20" customFormat="1" ht="17.25" hidden="1" customHeight="1" x14ac:dyDescent="0.25">
      <c r="A297" s="892"/>
      <c r="B297" s="1024"/>
      <c r="C297" s="132" t="s">
        <v>1290</v>
      </c>
      <c r="D297" s="135">
        <v>327789000</v>
      </c>
      <c r="E297" s="140">
        <v>327000000</v>
      </c>
      <c r="F297" s="140"/>
      <c r="G297" s="201">
        <f t="shared" si="14"/>
        <v>99.759296376632534</v>
      </c>
      <c r="H297" s="140">
        <v>100</v>
      </c>
      <c r="I297" s="1991"/>
      <c r="L297" s="536"/>
    </row>
    <row r="298" spans="1:12" s="20" customFormat="1" ht="18" hidden="1" customHeight="1" x14ac:dyDescent="0.25">
      <c r="A298" s="892"/>
      <c r="B298" s="1024"/>
      <c r="C298" s="132" t="s">
        <v>1291</v>
      </c>
      <c r="D298" s="135">
        <v>751193500</v>
      </c>
      <c r="E298" s="920">
        <v>746805000</v>
      </c>
      <c r="F298" s="920"/>
      <c r="G298" s="201">
        <f>E298/D298*100</f>
        <v>99.415796329441093</v>
      </c>
      <c r="H298" s="140">
        <v>100</v>
      </c>
      <c r="I298" s="1991"/>
      <c r="L298" s="536"/>
    </row>
    <row r="299" spans="1:12" s="20" customFormat="1" ht="16.5" hidden="1" customHeight="1" x14ac:dyDescent="0.25">
      <c r="A299" s="892"/>
      <c r="B299" s="1024"/>
      <c r="C299" s="82" t="s">
        <v>1292</v>
      </c>
      <c r="D299" s="113">
        <v>1466851016</v>
      </c>
      <c r="E299" s="73">
        <v>1323536600</v>
      </c>
      <c r="F299" s="73"/>
      <c r="G299" s="201">
        <f>E299/D299*100</f>
        <v>90.229790589721347</v>
      </c>
      <c r="H299" s="73">
        <v>100</v>
      </c>
      <c r="I299" s="1991"/>
      <c r="L299" s="536"/>
    </row>
    <row r="300" spans="1:12" s="20" customFormat="1" ht="10.5" hidden="1" customHeight="1" x14ac:dyDescent="0.25">
      <c r="A300" s="892"/>
      <c r="B300" s="1024"/>
      <c r="C300" s="82"/>
      <c r="D300" s="113"/>
      <c r="E300" s="73"/>
      <c r="F300" s="73"/>
      <c r="G300" s="197"/>
      <c r="H300" s="197"/>
      <c r="I300" s="1991"/>
      <c r="L300" s="536"/>
    </row>
    <row r="301" spans="1:12" s="20" customFormat="1" ht="18" hidden="1" customHeight="1" x14ac:dyDescent="0.25">
      <c r="A301" s="892"/>
      <c r="B301" s="1024"/>
      <c r="C301" s="134" t="s">
        <v>680</v>
      </c>
      <c r="D301" s="92">
        <f>SUM(D302:D304)</f>
        <v>2760905000</v>
      </c>
      <c r="E301" s="92">
        <f>SUM(E302:E304)</f>
        <v>2754028064</v>
      </c>
      <c r="F301" s="92"/>
      <c r="G301" s="202">
        <f>E301/D301*100</f>
        <v>99.750917326021721</v>
      </c>
      <c r="H301" s="157">
        <f>SUM(H302:H304)/3</f>
        <v>100</v>
      </c>
      <c r="I301" s="1991"/>
      <c r="L301" s="536">
        <v>2754028064</v>
      </c>
    </row>
    <row r="302" spans="1:12" s="20" customFormat="1" ht="18" hidden="1" customHeight="1" x14ac:dyDescent="0.25">
      <c r="A302" s="892"/>
      <c r="B302" s="1024"/>
      <c r="C302" s="132" t="s">
        <v>1293</v>
      </c>
      <c r="D302" s="135">
        <v>2000000000</v>
      </c>
      <c r="E302" s="368">
        <v>1997654064</v>
      </c>
      <c r="F302" s="368"/>
      <c r="G302" s="201">
        <f>E302/D302*100</f>
        <v>99.882703199999995</v>
      </c>
      <c r="H302" s="368">
        <v>100</v>
      </c>
      <c r="I302" s="1991"/>
      <c r="L302" s="536"/>
    </row>
    <row r="303" spans="1:12" s="20" customFormat="1" ht="16.5" hidden="1" customHeight="1" x14ac:dyDescent="0.25">
      <c r="A303" s="892"/>
      <c r="B303" s="1024"/>
      <c r="C303" s="132" t="s">
        <v>1294</v>
      </c>
      <c r="D303" s="135">
        <v>650000000</v>
      </c>
      <c r="E303" s="368">
        <v>645469000</v>
      </c>
      <c r="F303" s="368"/>
      <c r="G303" s="201">
        <f>E303/D303*100</f>
        <v>99.302923076923079</v>
      </c>
      <c r="H303" s="368">
        <v>100</v>
      </c>
      <c r="I303" s="1991"/>
      <c r="L303" s="536"/>
    </row>
    <row r="304" spans="1:12" s="20" customFormat="1" ht="18.75" hidden="1" customHeight="1" x14ac:dyDescent="0.25">
      <c r="A304" s="892"/>
      <c r="B304" s="1024"/>
      <c r="C304" s="132" t="s">
        <v>1295</v>
      </c>
      <c r="D304" s="135">
        <v>110905000</v>
      </c>
      <c r="E304" s="921">
        <v>110905000</v>
      </c>
      <c r="F304" s="921"/>
      <c r="G304" s="201">
        <f>E304/D304*100</f>
        <v>100</v>
      </c>
      <c r="H304" s="140">
        <v>100</v>
      </c>
      <c r="I304" s="1991"/>
      <c r="L304" s="536"/>
    </row>
    <row r="305" spans="1:12" s="20" customFormat="1" ht="8.25" hidden="1" customHeight="1" x14ac:dyDescent="0.25">
      <c r="A305" s="892"/>
      <c r="B305" s="1993"/>
      <c r="C305" s="136"/>
      <c r="D305" s="137"/>
      <c r="E305" s="368"/>
      <c r="F305" s="368"/>
      <c r="G305" s="140"/>
      <c r="H305" s="140"/>
      <c r="I305" s="1991"/>
      <c r="L305" s="536"/>
    </row>
    <row r="306" spans="1:12" s="20" customFormat="1" ht="16.5" hidden="1" customHeight="1" x14ac:dyDescent="0.25">
      <c r="A306" s="892"/>
      <c r="B306" s="1024"/>
      <c r="C306" s="138" t="s">
        <v>1296</v>
      </c>
      <c r="D306" s="157">
        <f>SUM(D307:D309)</f>
        <v>1641240000</v>
      </c>
      <c r="E306" s="157">
        <f>SUM(E307:E309)</f>
        <v>1003675500</v>
      </c>
      <c r="F306" s="157"/>
      <c r="G306" s="202">
        <f>E306/D306*100</f>
        <v>61.153487606931343</v>
      </c>
      <c r="H306" s="142">
        <f>SUM(H307:H309)/3</f>
        <v>96.666666666666671</v>
      </c>
      <c r="I306" s="1991"/>
      <c r="L306" s="536">
        <v>1003675500</v>
      </c>
    </row>
    <row r="307" spans="1:12" s="20" customFormat="1" ht="14.25" hidden="1" customHeight="1" x14ac:dyDescent="0.25">
      <c r="A307" s="892"/>
      <c r="B307" s="1024"/>
      <c r="C307" s="61" t="s">
        <v>1297</v>
      </c>
      <c r="D307" s="135">
        <v>1163340000</v>
      </c>
      <c r="E307" s="368">
        <v>641425500</v>
      </c>
      <c r="F307" s="368"/>
      <c r="G307" s="201">
        <f>E307/D307*100</f>
        <v>55.136546495435553</v>
      </c>
      <c r="H307" s="368">
        <v>90</v>
      </c>
      <c r="I307" s="1991"/>
      <c r="L307" s="536"/>
    </row>
    <row r="308" spans="1:12" s="20" customFormat="1" ht="15.75" hidden="1" customHeight="1" x14ac:dyDescent="0.25">
      <c r="A308" s="892"/>
      <c r="B308" s="1024"/>
      <c r="C308" s="132" t="s">
        <v>1298</v>
      </c>
      <c r="D308" s="135">
        <v>296600000</v>
      </c>
      <c r="E308" s="368">
        <v>271600000</v>
      </c>
      <c r="F308" s="368"/>
      <c r="G308" s="201">
        <f>E308/D308*100</f>
        <v>91.57113958192852</v>
      </c>
      <c r="H308" s="368">
        <v>100</v>
      </c>
      <c r="I308" s="1991"/>
      <c r="L308" s="536"/>
    </row>
    <row r="309" spans="1:12" s="20" customFormat="1" ht="14.25" hidden="1" customHeight="1" x14ac:dyDescent="0.25">
      <c r="A309" s="892"/>
      <c r="B309" s="1024"/>
      <c r="C309" s="132" t="s">
        <v>1299</v>
      </c>
      <c r="D309" s="135">
        <v>181300000</v>
      </c>
      <c r="E309" s="920">
        <v>90650000</v>
      </c>
      <c r="F309" s="920"/>
      <c r="G309" s="201">
        <f>E309/D309*100</f>
        <v>50</v>
      </c>
      <c r="H309" s="140">
        <v>100</v>
      </c>
      <c r="I309" s="1991"/>
      <c r="L309" s="536"/>
    </row>
    <row r="310" spans="1:12" s="20" customFormat="1" ht="9" hidden="1" customHeight="1" x14ac:dyDescent="0.25">
      <c r="A310" s="892"/>
      <c r="B310" s="1024"/>
      <c r="C310" s="82"/>
      <c r="D310" s="113"/>
      <c r="E310" s="368"/>
      <c r="F310" s="368"/>
      <c r="G310" s="140"/>
      <c r="H310" s="140"/>
      <c r="I310" s="1991"/>
      <c r="L310" s="536"/>
    </row>
    <row r="311" spans="1:12" s="20" customFormat="1" ht="15.75" hidden="1" customHeight="1" x14ac:dyDescent="0.25">
      <c r="A311" s="892"/>
      <c r="B311" s="1024"/>
      <c r="C311" s="63" t="s">
        <v>1300</v>
      </c>
      <c r="D311" s="157">
        <f>SUM(D312)</f>
        <v>30750000</v>
      </c>
      <c r="E311" s="142">
        <v>0</v>
      </c>
      <c r="F311" s="142"/>
      <c r="G311" s="142">
        <v>0</v>
      </c>
      <c r="H311" s="142">
        <v>0</v>
      </c>
      <c r="I311" s="1991"/>
      <c r="L311" s="536"/>
    </row>
    <row r="312" spans="1:12" s="20" customFormat="1" ht="17.25" hidden="1" customHeight="1" x14ac:dyDescent="0.25">
      <c r="A312" s="892"/>
      <c r="B312" s="1024"/>
      <c r="C312" s="132" t="s">
        <v>1301</v>
      </c>
      <c r="D312" s="135">
        <v>30750000</v>
      </c>
      <c r="E312" s="140">
        <v>0</v>
      </c>
      <c r="F312" s="140"/>
      <c r="G312" s="140">
        <v>0</v>
      </c>
      <c r="H312" s="140">
        <v>0</v>
      </c>
      <c r="I312" s="1991"/>
      <c r="L312" s="536"/>
    </row>
    <row r="313" spans="1:12" s="20" customFormat="1" ht="11.25" hidden="1" customHeight="1" x14ac:dyDescent="0.25">
      <c r="A313" s="892"/>
      <c r="B313" s="1024"/>
      <c r="C313" s="82"/>
      <c r="D313" s="140"/>
      <c r="E313" s="73"/>
      <c r="F313" s="73"/>
      <c r="G313" s="197"/>
      <c r="H313" s="197"/>
      <c r="I313" s="1991"/>
      <c r="L313" s="536"/>
    </row>
    <row r="314" spans="1:12" s="20" customFormat="1" ht="21.75" hidden="1" customHeight="1" x14ac:dyDescent="0.25">
      <c r="A314" s="892"/>
      <c r="B314" s="1024"/>
      <c r="C314" s="141" t="s">
        <v>1302</v>
      </c>
      <c r="D314" s="92">
        <f>SUM(D315:D321)</f>
        <v>1562865000</v>
      </c>
      <c r="E314" s="92">
        <f>SUM(E315:E321)</f>
        <v>1447863000</v>
      </c>
      <c r="F314" s="92"/>
      <c r="G314" s="202">
        <f>E314/D314*100</f>
        <v>92.641590924360074</v>
      </c>
      <c r="H314" s="157">
        <f>SUM(H315:H321)/7</f>
        <v>100</v>
      </c>
      <c r="I314" s="1991"/>
      <c r="L314" s="536">
        <v>1447863000</v>
      </c>
    </row>
    <row r="315" spans="1:12" s="20" customFormat="1" ht="15" hidden="1" customHeight="1" x14ac:dyDescent="0.25">
      <c r="A315" s="892"/>
      <c r="B315" s="1024"/>
      <c r="C315" s="132" t="s">
        <v>1303</v>
      </c>
      <c r="D315" s="135">
        <v>304360000</v>
      </c>
      <c r="E315" s="920">
        <v>304360000</v>
      </c>
      <c r="F315" s="920"/>
      <c r="G315" s="201">
        <f>E315/D315*100</f>
        <v>100</v>
      </c>
      <c r="H315" s="73">
        <v>100</v>
      </c>
      <c r="I315" s="1991"/>
      <c r="L315" s="536"/>
    </row>
    <row r="316" spans="1:12" s="20" customFormat="1" ht="15" hidden="1" customHeight="1" x14ac:dyDescent="0.25">
      <c r="A316" s="892"/>
      <c r="B316" s="1024"/>
      <c r="C316" s="132" t="s">
        <v>1304</v>
      </c>
      <c r="D316" s="135">
        <v>353750000</v>
      </c>
      <c r="E316" s="368">
        <v>318500000</v>
      </c>
      <c r="F316" s="368"/>
      <c r="G316" s="201">
        <f>E316/D316*100</f>
        <v>90.035335689045937</v>
      </c>
      <c r="H316" s="140">
        <v>100</v>
      </c>
      <c r="I316" s="1991"/>
      <c r="L316" s="536"/>
    </row>
    <row r="317" spans="1:12" s="20" customFormat="1" ht="14.25" hidden="1" customHeight="1" x14ac:dyDescent="0.25">
      <c r="A317" s="892"/>
      <c r="B317" s="1024"/>
      <c r="C317" s="132" t="s">
        <v>1305</v>
      </c>
      <c r="D317" s="135">
        <v>306250000</v>
      </c>
      <c r="E317" s="368">
        <v>262000000</v>
      </c>
      <c r="F317" s="368"/>
      <c r="G317" s="201">
        <f>E317/D317*100</f>
        <v>85.551020408163268</v>
      </c>
      <c r="H317" s="368">
        <v>100</v>
      </c>
      <c r="I317" s="1991"/>
      <c r="L317" s="536"/>
    </row>
    <row r="318" spans="1:12" s="20" customFormat="1" ht="13.5" hidden="1" customHeight="1" x14ac:dyDescent="0.25">
      <c r="A318" s="892"/>
      <c r="B318" s="1024"/>
      <c r="C318" s="132" t="s">
        <v>1306</v>
      </c>
      <c r="D318" s="135">
        <v>176300000</v>
      </c>
      <c r="E318" s="920">
        <v>176300000</v>
      </c>
      <c r="F318" s="920"/>
      <c r="G318" s="201">
        <f>E318/D318*100</f>
        <v>100</v>
      </c>
      <c r="H318" s="73">
        <v>100</v>
      </c>
      <c r="I318" s="1991"/>
      <c r="L318" s="536"/>
    </row>
    <row r="319" spans="1:12" s="20" customFormat="1" ht="18.75" hidden="1" customHeight="1" x14ac:dyDescent="0.25">
      <c r="A319" s="892"/>
      <c r="B319" s="1024"/>
      <c r="C319" s="132" t="s">
        <v>1307</v>
      </c>
      <c r="D319" s="135">
        <v>115705000</v>
      </c>
      <c r="E319" s="920">
        <v>112203000</v>
      </c>
      <c r="F319" s="920"/>
      <c r="G319" s="201">
        <f t="shared" ref="G319:G321" si="15">E319/D319*100</f>
        <v>96.973337366578804</v>
      </c>
      <c r="H319" s="140">
        <v>100</v>
      </c>
      <c r="I319" s="1991"/>
      <c r="L319" s="536"/>
    </row>
    <row r="320" spans="1:12" s="20" customFormat="1" ht="18" hidden="1" customHeight="1" x14ac:dyDescent="0.25">
      <c r="A320" s="892"/>
      <c r="B320" s="1024"/>
      <c r="C320" s="132" t="s">
        <v>1308</v>
      </c>
      <c r="D320" s="135">
        <v>250000000</v>
      </c>
      <c r="E320" s="920">
        <v>218000000</v>
      </c>
      <c r="F320" s="920"/>
      <c r="G320" s="201">
        <f t="shared" si="15"/>
        <v>87.2</v>
      </c>
      <c r="H320" s="73">
        <v>100</v>
      </c>
      <c r="I320" s="1991"/>
      <c r="L320" s="536"/>
    </row>
    <row r="321" spans="1:12" s="20" customFormat="1" ht="18" hidden="1" customHeight="1" x14ac:dyDescent="0.25">
      <c r="A321" s="892"/>
      <c r="B321" s="1024"/>
      <c r="C321" s="132" t="s">
        <v>1309</v>
      </c>
      <c r="D321" s="135">
        <v>56500000</v>
      </c>
      <c r="E321" s="920">
        <v>56500000</v>
      </c>
      <c r="F321" s="920"/>
      <c r="G321" s="201">
        <f t="shared" si="15"/>
        <v>100</v>
      </c>
      <c r="H321" s="73">
        <v>100</v>
      </c>
      <c r="I321" s="1991"/>
      <c r="L321" s="536"/>
    </row>
    <row r="322" spans="1:12" s="20" customFormat="1" ht="8.25" hidden="1" customHeight="1" x14ac:dyDescent="0.25">
      <c r="A322" s="892"/>
      <c r="B322" s="1024"/>
      <c r="C322" s="1468"/>
      <c r="D322" s="140"/>
      <c r="E322" s="73"/>
      <c r="F322" s="73"/>
      <c r="G322" s="73"/>
      <c r="H322" s="73"/>
      <c r="I322" s="1991"/>
      <c r="L322" s="536"/>
    </row>
    <row r="323" spans="1:12" s="20" customFormat="1" ht="18" hidden="1" customHeight="1" x14ac:dyDescent="0.25">
      <c r="A323" s="892"/>
      <c r="B323" s="1024"/>
      <c r="C323" s="138" t="s">
        <v>1310</v>
      </c>
      <c r="D323" s="83">
        <f>D324</f>
        <v>240200000</v>
      </c>
      <c r="E323" s="83">
        <f>E324</f>
        <v>227700000</v>
      </c>
      <c r="F323" s="83"/>
      <c r="G323" s="202">
        <f>E323/D323*100</f>
        <v>94.796003330557866</v>
      </c>
      <c r="H323" s="142">
        <f>H324</f>
        <v>100</v>
      </c>
      <c r="I323" s="1991"/>
      <c r="L323" s="536">
        <v>227700000</v>
      </c>
    </row>
    <row r="324" spans="1:12" s="20" customFormat="1" ht="21" hidden="1" customHeight="1" x14ac:dyDescent="0.25">
      <c r="A324" s="892"/>
      <c r="B324" s="1024"/>
      <c r="C324" s="132" t="s">
        <v>1311</v>
      </c>
      <c r="D324" s="135">
        <v>240200000</v>
      </c>
      <c r="E324" s="140">
        <v>227700000</v>
      </c>
      <c r="F324" s="140"/>
      <c r="G324" s="201">
        <f>E324/D324*100</f>
        <v>94.796003330557866</v>
      </c>
      <c r="H324" s="140">
        <v>100</v>
      </c>
      <c r="I324" s="1991"/>
      <c r="L324" s="536"/>
    </row>
    <row r="325" spans="1:12" s="20" customFormat="1" ht="11.25" hidden="1" customHeight="1" x14ac:dyDescent="0.25">
      <c r="A325" s="892"/>
      <c r="B325" s="1024"/>
      <c r="C325" s="61"/>
      <c r="D325" s="140"/>
      <c r="E325" s="368"/>
      <c r="F325" s="368"/>
      <c r="G325" s="140"/>
      <c r="H325" s="140"/>
      <c r="I325" s="1991"/>
      <c r="L325" s="536"/>
    </row>
    <row r="326" spans="1:12" s="20" customFormat="1" ht="18.75" hidden="1" customHeight="1" x14ac:dyDescent="0.25">
      <c r="A326" s="892"/>
      <c r="B326" s="1024"/>
      <c r="C326" s="138" t="s">
        <v>1312</v>
      </c>
      <c r="D326" s="83">
        <f>SUM(D327:D328)</f>
        <v>111200000</v>
      </c>
      <c r="E326" s="83">
        <f>SUM(E327:E328)</f>
        <v>80599200</v>
      </c>
      <c r="F326" s="83"/>
      <c r="G326" s="202">
        <f>E326/D326*100</f>
        <v>72.481294964028777</v>
      </c>
      <c r="H326" s="142">
        <f>SUM(H327:H328)/2</f>
        <v>100</v>
      </c>
      <c r="I326" s="1991"/>
      <c r="L326" s="536">
        <v>80599200</v>
      </c>
    </row>
    <row r="327" spans="1:12" s="20" customFormat="1" ht="16.5" hidden="1" customHeight="1" x14ac:dyDescent="0.25">
      <c r="A327" s="892"/>
      <c r="B327" s="1024"/>
      <c r="C327" s="132" t="s">
        <v>1313</v>
      </c>
      <c r="D327" s="135">
        <v>66200000</v>
      </c>
      <c r="E327" s="140">
        <v>35599200</v>
      </c>
      <c r="F327" s="140"/>
      <c r="G327" s="201">
        <f>E327/D327*100</f>
        <v>53.775226586102718</v>
      </c>
      <c r="H327" s="140">
        <v>100</v>
      </c>
      <c r="I327" s="1991"/>
      <c r="L327" s="536"/>
    </row>
    <row r="328" spans="1:12" s="20" customFormat="1" hidden="1" x14ac:dyDescent="0.25">
      <c r="A328" s="892"/>
      <c r="B328" s="1024"/>
      <c r="C328" s="132" t="s">
        <v>1314</v>
      </c>
      <c r="D328" s="135">
        <v>45000000</v>
      </c>
      <c r="E328" s="140">
        <v>45000000</v>
      </c>
      <c r="F328" s="140"/>
      <c r="G328" s="201">
        <f>E328/D328*100</f>
        <v>100</v>
      </c>
      <c r="H328" s="140">
        <v>100</v>
      </c>
      <c r="I328" s="1991"/>
      <c r="L328" s="536"/>
    </row>
    <row r="329" spans="1:12" s="20" customFormat="1" ht="9" hidden="1" customHeight="1" x14ac:dyDescent="0.25">
      <c r="A329" s="892"/>
      <c r="B329" s="1024"/>
      <c r="C329" s="143"/>
      <c r="D329" s="1469"/>
      <c r="E329" s="73"/>
      <c r="F329" s="73"/>
      <c r="G329" s="73"/>
      <c r="H329" s="73"/>
      <c r="I329" s="1991"/>
      <c r="L329" s="536"/>
    </row>
    <row r="330" spans="1:12" s="20" customFormat="1" ht="17.25" hidden="1" customHeight="1" x14ac:dyDescent="0.25">
      <c r="A330" s="892"/>
      <c r="B330" s="1024"/>
      <c r="C330" s="63" t="s">
        <v>1315</v>
      </c>
      <c r="D330" s="157">
        <f>SUM(D331)</f>
        <v>350200000</v>
      </c>
      <c r="E330" s="157">
        <f>SUM(E331)</f>
        <v>211546800</v>
      </c>
      <c r="F330" s="157"/>
      <c r="G330" s="202">
        <f>E330/D330*100</f>
        <v>60.407424328954882</v>
      </c>
      <c r="H330" s="157">
        <f>H331</f>
        <v>95</v>
      </c>
      <c r="I330" s="1991"/>
      <c r="L330" s="536">
        <v>211546800</v>
      </c>
    </row>
    <row r="331" spans="1:12" s="20" customFormat="1" ht="18.75" hidden="1" customHeight="1" x14ac:dyDescent="0.25">
      <c r="A331" s="892"/>
      <c r="B331" s="1024"/>
      <c r="C331" s="132" t="s">
        <v>1316</v>
      </c>
      <c r="D331" s="144">
        <v>350200000</v>
      </c>
      <c r="E331" s="368">
        <v>211546800</v>
      </c>
      <c r="F331" s="368"/>
      <c r="G331" s="201">
        <f>E331/D331*100</f>
        <v>60.407424328954882</v>
      </c>
      <c r="H331" s="140">
        <v>95</v>
      </c>
      <c r="I331" s="1991"/>
      <c r="L331" s="536"/>
    </row>
    <row r="332" spans="1:12" s="20" customFormat="1" ht="12" hidden="1" customHeight="1" x14ac:dyDescent="0.25">
      <c r="A332" s="892"/>
      <c r="B332" s="1024"/>
      <c r="C332" s="132"/>
      <c r="D332" s="135"/>
      <c r="E332" s="73"/>
      <c r="F332" s="73"/>
      <c r="G332" s="73"/>
      <c r="H332" s="73"/>
      <c r="I332" s="1991"/>
      <c r="L332" s="536"/>
    </row>
    <row r="333" spans="1:12" s="20" customFormat="1" ht="21.75" hidden="1" customHeight="1" x14ac:dyDescent="0.25">
      <c r="A333" s="892"/>
      <c r="B333" s="1024"/>
      <c r="C333" s="138" t="s">
        <v>1317</v>
      </c>
      <c r="D333" s="157">
        <f>D334</f>
        <v>500000000</v>
      </c>
      <c r="E333" s="157">
        <f>E334</f>
        <v>496850000</v>
      </c>
      <c r="F333" s="157"/>
      <c r="G333" s="202">
        <f>E333/D333*100</f>
        <v>99.37</v>
      </c>
      <c r="H333" s="142">
        <f>H334</f>
        <v>100</v>
      </c>
      <c r="I333" s="1991"/>
      <c r="L333" s="536">
        <v>496850000</v>
      </c>
    </row>
    <row r="334" spans="1:12" s="20" customFormat="1" ht="19.5" hidden="1" customHeight="1" x14ac:dyDescent="0.25">
      <c r="A334" s="892"/>
      <c r="B334" s="1024"/>
      <c r="C334" s="145" t="s">
        <v>1318</v>
      </c>
      <c r="D334" s="146">
        <v>500000000</v>
      </c>
      <c r="E334" s="140">
        <v>496850000</v>
      </c>
      <c r="F334" s="140"/>
      <c r="G334" s="201">
        <f>E334/D334*100</f>
        <v>99.37</v>
      </c>
      <c r="H334" s="140">
        <v>100</v>
      </c>
      <c r="I334" s="1991"/>
      <c r="L334" s="536"/>
    </row>
    <row r="335" spans="1:12" s="20" customFormat="1" ht="10.5" hidden="1" customHeight="1" x14ac:dyDescent="0.25">
      <c r="A335" s="892"/>
      <c r="B335" s="1024"/>
      <c r="C335" s="145"/>
      <c r="D335" s="146"/>
      <c r="E335" s="73"/>
      <c r="F335" s="73"/>
      <c r="G335" s="73"/>
      <c r="H335" s="73"/>
      <c r="I335" s="1991"/>
      <c r="L335" s="536"/>
    </row>
    <row r="336" spans="1:12" s="20" customFormat="1" ht="17.25" hidden="1" customHeight="1" x14ac:dyDescent="0.25">
      <c r="A336" s="892"/>
      <c r="B336" s="1024"/>
      <c r="C336" s="63" t="s">
        <v>1319</v>
      </c>
      <c r="D336" s="157">
        <f>SUM(D337:D344)</f>
        <v>5474824000</v>
      </c>
      <c r="E336" s="157">
        <f>SUM(E337:E344)</f>
        <v>3804664100</v>
      </c>
      <c r="F336" s="157"/>
      <c r="G336" s="202">
        <f>E336/D336*100</f>
        <v>69.493815691609456</v>
      </c>
      <c r="H336" s="157">
        <f>SUM(H337:H344)/8</f>
        <v>99.375</v>
      </c>
      <c r="I336" s="1991"/>
      <c r="L336" s="536">
        <v>3804664100</v>
      </c>
    </row>
    <row r="337" spans="1:12" s="20" customFormat="1" ht="15.75" hidden="1" customHeight="1" x14ac:dyDescent="0.25">
      <c r="A337" s="892"/>
      <c r="B337" s="1024"/>
      <c r="C337" s="132" t="s">
        <v>1320</v>
      </c>
      <c r="D337" s="135">
        <v>1243104000</v>
      </c>
      <c r="E337" s="920">
        <v>1087647000</v>
      </c>
      <c r="F337" s="920"/>
      <c r="G337" s="201">
        <f>E337/D337*100</f>
        <v>87.494449378330373</v>
      </c>
      <c r="H337" s="73">
        <v>95</v>
      </c>
      <c r="I337" s="1991"/>
      <c r="L337" s="536"/>
    </row>
    <row r="338" spans="1:12" s="20" customFormat="1" ht="15.75" hidden="1" customHeight="1" x14ac:dyDescent="0.25">
      <c r="A338" s="892"/>
      <c r="B338" s="1024"/>
      <c r="C338" s="132" t="s">
        <v>1321</v>
      </c>
      <c r="D338" s="135">
        <v>585600000</v>
      </c>
      <c r="E338" s="920">
        <v>464848400</v>
      </c>
      <c r="F338" s="920"/>
      <c r="G338" s="201">
        <f t="shared" ref="G338:G344" si="16">E338/D338*100</f>
        <v>79.379849726775959</v>
      </c>
      <c r="H338" s="73">
        <v>100</v>
      </c>
      <c r="I338" s="1991"/>
      <c r="L338" s="536"/>
    </row>
    <row r="339" spans="1:12" s="20" customFormat="1" ht="20.25" hidden="1" customHeight="1" x14ac:dyDescent="0.25">
      <c r="A339" s="892"/>
      <c r="B339" s="1024"/>
      <c r="C339" s="132" t="s">
        <v>1322</v>
      </c>
      <c r="D339" s="135">
        <v>515000000</v>
      </c>
      <c r="E339" s="920">
        <v>266876000</v>
      </c>
      <c r="F339" s="920"/>
      <c r="G339" s="201">
        <f t="shared" si="16"/>
        <v>51.820582524271842</v>
      </c>
      <c r="H339" s="73">
        <v>100</v>
      </c>
      <c r="I339" s="1991"/>
      <c r="L339" s="536"/>
    </row>
    <row r="340" spans="1:12" s="20" customFormat="1" ht="17.25" hidden="1" customHeight="1" x14ac:dyDescent="0.25">
      <c r="A340" s="892"/>
      <c r="B340" s="1024"/>
      <c r="C340" s="132" t="s">
        <v>1323</v>
      </c>
      <c r="D340" s="135">
        <v>447600000</v>
      </c>
      <c r="E340" s="920">
        <v>336600000</v>
      </c>
      <c r="F340" s="920"/>
      <c r="G340" s="201">
        <f t="shared" si="16"/>
        <v>75.201072386058982</v>
      </c>
      <c r="H340" s="73">
        <v>100</v>
      </c>
      <c r="I340" s="1991"/>
      <c r="L340" s="536"/>
    </row>
    <row r="341" spans="1:12" s="20" customFormat="1" ht="18" hidden="1" customHeight="1" x14ac:dyDescent="0.25">
      <c r="A341" s="892"/>
      <c r="B341" s="1024"/>
      <c r="C341" s="132" t="s">
        <v>1324</v>
      </c>
      <c r="D341" s="135">
        <v>222000000</v>
      </c>
      <c r="E341" s="140">
        <v>213488600</v>
      </c>
      <c r="F341" s="140"/>
      <c r="G341" s="201">
        <f t="shared" si="16"/>
        <v>96.166036036036047</v>
      </c>
      <c r="H341" s="140">
        <v>100</v>
      </c>
      <c r="I341" s="1991"/>
      <c r="L341" s="536"/>
    </row>
    <row r="342" spans="1:12" s="20" customFormat="1" ht="17.25" hidden="1" customHeight="1" x14ac:dyDescent="0.25">
      <c r="A342" s="892"/>
      <c r="B342" s="1024"/>
      <c r="C342" s="132" t="s">
        <v>1325</v>
      </c>
      <c r="D342" s="135">
        <v>178700000</v>
      </c>
      <c r="E342" s="920">
        <v>172850000</v>
      </c>
      <c r="F342" s="920"/>
      <c r="G342" s="201">
        <f t="shared" si="16"/>
        <v>96.726357022943475</v>
      </c>
      <c r="H342" s="140">
        <v>100</v>
      </c>
      <c r="I342" s="1991"/>
      <c r="L342" s="536"/>
    </row>
    <row r="343" spans="1:12" s="20" customFormat="1" ht="17.25" hidden="1" customHeight="1" x14ac:dyDescent="0.25">
      <c r="A343" s="892"/>
      <c r="B343" s="1024"/>
      <c r="C343" s="132" t="s">
        <v>1326</v>
      </c>
      <c r="D343" s="135">
        <v>2123820000</v>
      </c>
      <c r="E343" s="368">
        <v>1106461000</v>
      </c>
      <c r="F343" s="368"/>
      <c r="G343" s="201">
        <f t="shared" si="16"/>
        <v>52.097682477799431</v>
      </c>
      <c r="H343" s="140">
        <v>100</v>
      </c>
      <c r="I343" s="1991"/>
      <c r="L343" s="536"/>
    </row>
    <row r="344" spans="1:12" s="20" customFormat="1" ht="19.5" hidden="1" customHeight="1" x14ac:dyDescent="0.25">
      <c r="A344" s="892"/>
      <c r="B344" s="1024"/>
      <c r="C344" s="132" t="s">
        <v>1327</v>
      </c>
      <c r="D344" s="135">
        <v>159000000</v>
      </c>
      <c r="E344" s="140">
        <v>155893100</v>
      </c>
      <c r="F344" s="140"/>
      <c r="G344" s="201">
        <f t="shared" si="16"/>
        <v>98.045974842767293</v>
      </c>
      <c r="H344" s="140">
        <v>100</v>
      </c>
      <c r="I344" s="1991"/>
      <c r="L344" s="536"/>
    </row>
    <row r="345" spans="1:12" s="121" customFormat="1" ht="12.75" hidden="1" customHeight="1" x14ac:dyDescent="0.25">
      <c r="B345" s="1069"/>
      <c r="C345" s="2162"/>
      <c r="D345" s="239"/>
      <c r="E345" s="239"/>
      <c r="F345" s="239"/>
      <c r="G345" s="239"/>
      <c r="H345" s="1131"/>
      <c r="I345" s="1093"/>
      <c r="K345" s="122"/>
      <c r="L345" s="122"/>
    </row>
    <row r="346" spans="1:12" s="123" customFormat="1" ht="18.75" hidden="1" customHeight="1" x14ac:dyDescent="0.25">
      <c r="B346" s="1071"/>
      <c r="C346" s="89" t="s">
        <v>1328</v>
      </c>
      <c r="D346" s="57">
        <f>SUM(D347+D350)</f>
        <v>2581259100</v>
      </c>
      <c r="E346" s="534">
        <f>SUM(E347+E350)</f>
        <v>2575954100</v>
      </c>
      <c r="F346" s="534"/>
      <c r="G346" s="131">
        <f>E346/D346*100</f>
        <v>99.794480143430775</v>
      </c>
      <c r="H346" s="179">
        <f>SUM(H347+H350)/2</f>
        <v>100</v>
      </c>
      <c r="I346" s="1509"/>
      <c r="K346" s="125"/>
      <c r="L346" s="125"/>
    </row>
    <row r="347" spans="1:12" s="20" customFormat="1" ht="18" hidden="1" customHeight="1" x14ac:dyDescent="0.25">
      <c r="A347" s="892"/>
      <c r="B347" s="1024"/>
      <c r="C347" s="53" t="s">
        <v>103</v>
      </c>
      <c r="D347" s="894">
        <f>D348</f>
        <v>552655000</v>
      </c>
      <c r="E347" s="894">
        <f>E348</f>
        <v>547350000</v>
      </c>
      <c r="F347" s="894"/>
      <c r="G347" s="240">
        <f>E347/D347*100</f>
        <v>99.040088301019622</v>
      </c>
      <c r="H347" s="72">
        <f>H348</f>
        <v>100</v>
      </c>
      <c r="I347" s="1991"/>
      <c r="L347" s="536"/>
    </row>
    <row r="348" spans="1:12" s="20" customFormat="1" ht="16.5" hidden="1" customHeight="1" x14ac:dyDescent="0.25">
      <c r="A348" s="892"/>
      <c r="B348" s="1024"/>
      <c r="C348" s="61" t="s">
        <v>1329</v>
      </c>
      <c r="D348" s="921">
        <v>552655000</v>
      </c>
      <c r="E348" s="921">
        <v>547350000</v>
      </c>
      <c r="F348" s="921"/>
      <c r="G348" s="201">
        <f t="shared" ref="G348" si="17">E348/D348*100</f>
        <v>99.040088301019622</v>
      </c>
      <c r="H348" s="73">
        <v>100</v>
      </c>
      <c r="I348" s="1991"/>
      <c r="L348" s="536"/>
    </row>
    <row r="349" spans="1:12" s="20" customFormat="1" ht="7.5" hidden="1" customHeight="1" x14ac:dyDescent="0.25">
      <c r="A349" s="892"/>
      <c r="B349" s="1993"/>
      <c r="C349" s="82"/>
      <c r="D349" s="368"/>
      <c r="E349" s="368"/>
      <c r="F349" s="368"/>
      <c r="G349" s="73"/>
      <c r="H349" s="197"/>
      <c r="I349" s="1991"/>
      <c r="L349" s="536"/>
    </row>
    <row r="350" spans="1:12" s="20" customFormat="1" ht="27" hidden="1" customHeight="1" x14ac:dyDescent="0.25">
      <c r="A350" s="892"/>
      <c r="B350" s="1024"/>
      <c r="C350" s="134" t="s">
        <v>1330</v>
      </c>
      <c r="D350" s="680">
        <f>D351</f>
        <v>2028604100</v>
      </c>
      <c r="E350" s="680">
        <f>E351</f>
        <v>2028604100</v>
      </c>
      <c r="F350" s="680"/>
      <c r="G350" s="240">
        <f>E350/D350*100</f>
        <v>100</v>
      </c>
      <c r="H350" s="157">
        <f>H351</f>
        <v>100</v>
      </c>
      <c r="I350" s="1991"/>
      <c r="L350" s="536"/>
    </row>
    <row r="351" spans="1:12" s="20" customFormat="1" ht="16.5" hidden="1" customHeight="1" x14ac:dyDescent="0.25">
      <c r="A351" s="892"/>
      <c r="B351" s="1024"/>
      <c r="C351" s="61" t="s">
        <v>1331</v>
      </c>
      <c r="D351" s="921">
        <v>2028604100</v>
      </c>
      <c r="E351" s="921">
        <v>2028604100</v>
      </c>
      <c r="F351" s="921"/>
      <c r="G351" s="201">
        <f t="shared" ref="G351" si="18">E351/D351*100</f>
        <v>100</v>
      </c>
      <c r="H351" s="140">
        <v>100</v>
      </c>
      <c r="I351" s="1991"/>
      <c r="L351" s="536"/>
    </row>
    <row r="352" spans="1:12" s="121" customFormat="1" ht="12" hidden="1" customHeight="1" x14ac:dyDescent="0.25">
      <c r="B352" s="1088"/>
      <c r="C352" s="147"/>
      <c r="D352" s="110"/>
      <c r="E352" s="71"/>
      <c r="F352" s="235"/>
      <c r="G352" s="235"/>
      <c r="H352" s="2330"/>
      <c r="I352" s="1093"/>
      <c r="K352" s="122"/>
      <c r="L352" s="122"/>
    </row>
    <row r="353" spans="1:12" s="121" customFormat="1" ht="18.75" customHeight="1" x14ac:dyDescent="0.25">
      <c r="B353" s="2294"/>
      <c r="C353" s="422" t="s">
        <v>1452</v>
      </c>
      <c r="D353" s="2295">
        <f>SUM(+D355+D426+D443+D450)</f>
        <v>28962921000</v>
      </c>
      <c r="E353" s="2295">
        <f>SUM(+E355+E426+E443+E450)</f>
        <v>19209868500</v>
      </c>
      <c r="F353" s="50">
        <f>D353-E353</f>
        <v>9753052500</v>
      </c>
      <c r="G353" s="423">
        <f>E353/D353*100</f>
        <v>66.325729024361863</v>
      </c>
      <c r="H353" s="2304">
        <f>SUM(H355+H426+H443+H450)/4</f>
        <v>69.377232142857139</v>
      </c>
      <c r="I353" s="1509"/>
      <c r="K353" s="122"/>
      <c r="L353" s="122"/>
    </row>
    <row r="354" spans="1:12" s="121" customFormat="1" ht="10.5" hidden="1" customHeight="1" x14ac:dyDescent="0.25">
      <c r="B354" s="1017"/>
      <c r="C354" s="147"/>
      <c r="D354" s="110"/>
      <c r="E354" s="110"/>
      <c r="F354" s="1515"/>
      <c r="G354" s="1515"/>
      <c r="H354" s="1516"/>
      <c r="I354" s="1093"/>
      <c r="K354" s="122"/>
      <c r="L354" s="122"/>
    </row>
    <row r="355" spans="1:12" s="121" customFormat="1" ht="17.25" hidden="1" customHeight="1" x14ac:dyDescent="0.25">
      <c r="B355" s="1075"/>
      <c r="C355" s="124" t="s">
        <v>398</v>
      </c>
      <c r="D355" s="179">
        <f>SUM(D356+D366+D372+D378+D408+D414)</f>
        <v>17000200000</v>
      </c>
      <c r="E355" s="179">
        <f>SUM(E356+E366+E372+E378+E408+E414)</f>
        <v>14070473000</v>
      </c>
      <c r="F355" s="179"/>
      <c r="G355" s="200">
        <f>E355/D355*100</f>
        <v>82.766514511593982</v>
      </c>
      <c r="H355" s="179">
        <f>SUM(H356+H366+H372+H378+H408+H414)/6</f>
        <v>77.508928571428569</v>
      </c>
      <c r="I355" s="1093"/>
      <c r="K355" s="122"/>
      <c r="L355" s="122"/>
    </row>
    <row r="356" spans="1:12" ht="17.25" hidden="1" customHeight="1" x14ac:dyDescent="0.25">
      <c r="A356" s="2"/>
      <c r="B356" s="441"/>
      <c r="C356" s="2536" t="s">
        <v>1529</v>
      </c>
      <c r="D356" s="2824">
        <f>SUM(D357:D364)</f>
        <v>3783200000</v>
      </c>
      <c r="E356" s="2824">
        <f>SUM(E357:E364)</f>
        <v>3343518000</v>
      </c>
      <c r="F356" s="2734"/>
      <c r="G356" s="2942">
        <f>E356/D356*100</f>
        <v>88.378039754705</v>
      </c>
      <c r="H356" s="2734">
        <f>SUM(H357:H364)/8</f>
        <v>53.125</v>
      </c>
      <c r="I356" s="1463"/>
      <c r="K356" s="536"/>
      <c r="L356" s="536"/>
    </row>
    <row r="357" spans="1:12" ht="15.75" hidden="1" customHeight="1" x14ac:dyDescent="0.25">
      <c r="A357" s="2"/>
      <c r="B357" s="441"/>
      <c r="C357" s="2473" t="s">
        <v>1530</v>
      </c>
      <c r="D357" s="2855">
        <v>100000000</v>
      </c>
      <c r="E357" s="2968">
        <v>0</v>
      </c>
      <c r="F357" s="2968"/>
      <c r="G357" s="2968">
        <v>0</v>
      </c>
      <c r="H357" s="2968">
        <v>0</v>
      </c>
      <c r="I357" s="1463"/>
      <c r="K357" s="536"/>
      <c r="L357" s="536"/>
    </row>
    <row r="358" spans="1:12" ht="15.75" hidden="1" customHeight="1" x14ac:dyDescent="0.25">
      <c r="A358" s="2"/>
      <c r="B358" s="441"/>
      <c r="C358" s="2473" t="s">
        <v>1531</v>
      </c>
      <c r="D358" s="2855">
        <v>100000000</v>
      </c>
      <c r="E358" s="2968">
        <v>0</v>
      </c>
      <c r="F358" s="2968"/>
      <c r="G358" s="2968">
        <v>0</v>
      </c>
      <c r="H358" s="2968">
        <v>0</v>
      </c>
      <c r="I358" s="1463"/>
      <c r="K358" s="536"/>
      <c r="L358" s="536"/>
    </row>
    <row r="359" spans="1:12" ht="18" hidden="1" customHeight="1" x14ac:dyDescent="0.25">
      <c r="A359" s="2"/>
      <c r="B359" s="441"/>
      <c r="C359" s="2473" t="s">
        <v>1532</v>
      </c>
      <c r="D359" s="2855">
        <v>100000000</v>
      </c>
      <c r="E359" s="2968">
        <v>0</v>
      </c>
      <c r="F359" s="2968"/>
      <c r="G359" s="2968">
        <v>0</v>
      </c>
      <c r="H359" s="2968">
        <v>0</v>
      </c>
      <c r="I359" s="1463"/>
      <c r="K359" s="536"/>
      <c r="L359" s="536"/>
    </row>
    <row r="360" spans="1:12" ht="15.75" hidden="1" customHeight="1" x14ac:dyDescent="0.25">
      <c r="A360" s="2"/>
      <c r="B360" s="441"/>
      <c r="C360" s="2473" t="s">
        <v>1533</v>
      </c>
      <c r="D360" s="2855">
        <v>2083200000</v>
      </c>
      <c r="E360" s="2690">
        <v>2083200000</v>
      </c>
      <c r="F360" s="2760"/>
      <c r="G360" s="2940">
        <f>SUM(E360/D360)*100</f>
        <v>100</v>
      </c>
      <c r="H360" s="2690">
        <v>100</v>
      </c>
      <c r="I360" s="1463"/>
      <c r="K360" s="536"/>
      <c r="L360" s="536"/>
    </row>
    <row r="361" spans="1:12" ht="14.25" hidden="1" customHeight="1" x14ac:dyDescent="0.25">
      <c r="A361" s="2"/>
      <c r="B361" s="441"/>
      <c r="C361" s="2473" t="s">
        <v>1534</v>
      </c>
      <c r="D361" s="2855">
        <v>200000000</v>
      </c>
      <c r="E361" s="2690">
        <v>98318000</v>
      </c>
      <c r="F361" s="2760"/>
      <c r="G361" s="2940">
        <f>SUM(E361/D361)*100</f>
        <v>49.159000000000006</v>
      </c>
      <c r="H361" s="2690">
        <v>50</v>
      </c>
      <c r="I361" s="1463"/>
      <c r="K361" s="536"/>
      <c r="L361" s="536"/>
    </row>
    <row r="362" spans="1:12" ht="15.75" hidden="1" customHeight="1" x14ac:dyDescent="0.25">
      <c r="A362" s="2"/>
      <c r="B362" s="441"/>
      <c r="C362" s="2473" t="s">
        <v>1535</v>
      </c>
      <c r="D362" s="2855">
        <v>800000000</v>
      </c>
      <c r="E362" s="2968">
        <v>800000000</v>
      </c>
      <c r="F362" s="3014"/>
      <c r="G362" s="2940">
        <f>SUM(E362/D362)*100</f>
        <v>100</v>
      </c>
      <c r="H362" s="2968">
        <v>100</v>
      </c>
      <c r="I362" s="1463"/>
      <c r="K362" s="536"/>
      <c r="L362" s="536"/>
    </row>
    <row r="363" spans="1:12" ht="17.25" hidden="1" customHeight="1" x14ac:dyDescent="0.25">
      <c r="A363" s="2"/>
      <c r="B363" s="441"/>
      <c r="C363" s="2473" t="s">
        <v>1536</v>
      </c>
      <c r="D363" s="2855">
        <v>100000000</v>
      </c>
      <c r="E363" s="2968">
        <v>100000000</v>
      </c>
      <c r="F363" s="3014"/>
      <c r="G363" s="2940">
        <f>SUM(E363/D363)*100</f>
        <v>100</v>
      </c>
      <c r="H363" s="2968">
        <v>100</v>
      </c>
      <c r="I363" s="1463"/>
      <c r="K363" s="536"/>
      <c r="L363" s="536"/>
    </row>
    <row r="364" spans="1:12" ht="18" hidden="1" customHeight="1" x14ac:dyDescent="0.25">
      <c r="A364" s="2"/>
      <c r="B364" s="441"/>
      <c r="C364" s="2473" t="s">
        <v>1537</v>
      </c>
      <c r="D364" s="2855">
        <v>300000000</v>
      </c>
      <c r="E364" s="2968">
        <v>262000000</v>
      </c>
      <c r="F364" s="3014"/>
      <c r="G364" s="2940">
        <f>SUM(E364/D364)*100</f>
        <v>87.333333333333329</v>
      </c>
      <c r="H364" s="2968">
        <v>75</v>
      </c>
      <c r="I364" s="1463"/>
      <c r="K364" s="536"/>
      <c r="L364" s="536"/>
    </row>
    <row r="365" spans="1:12" ht="10.5" hidden="1" customHeight="1" x14ac:dyDescent="0.25">
      <c r="A365" s="2"/>
      <c r="B365" s="441"/>
      <c r="C365" s="2473"/>
      <c r="D365" s="2855"/>
      <c r="E365" s="2690"/>
      <c r="F365" s="2760"/>
      <c r="G365" s="2804"/>
      <c r="H365" s="2690"/>
      <c r="I365" s="1463"/>
      <c r="K365" s="536"/>
      <c r="L365" s="536"/>
    </row>
    <row r="366" spans="1:12" ht="17.25" hidden="1" customHeight="1" x14ac:dyDescent="0.25">
      <c r="A366" s="2"/>
      <c r="B366" s="441"/>
      <c r="C366" s="2525" t="s">
        <v>3508</v>
      </c>
      <c r="D366" s="2695">
        <f>SUM(D367:D370)</f>
        <v>600000000</v>
      </c>
      <c r="E366" s="2695">
        <f>SUM(E367:E370)</f>
        <v>505200000</v>
      </c>
      <c r="F366" s="2734"/>
      <c r="G366" s="2942">
        <f>E366/D366*100</f>
        <v>84.2</v>
      </c>
      <c r="H366" s="2966">
        <f>SUM(H367:H370)/4</f>
        <v>85</v>
      </c>
      <c r="I366" s="1463"/>
      <c r="K366" s="536"/>
      <c r="L366" s="536"/>
    </row>
    <row r="367" spans="1:12" ht="16.5" hidden="1" customHeight="1" x14ac:dyDescent="0.25">
      <c r="A367" s="2"/>
      <c r="B367" s="441"/>
      <c r="C367" s="2473" t="s">
        <v>3509</v>
      </c>
      <c r="D367" s="2690">
        <v>50000000</v>
      </c>
      <c r="E367" s="2968">
        <v>50000000</v>
      </c>
      <c r="F367" s="3014"/>
      <c r="G367" s="2940">
        <f>SUM(E367/D367)*100</f>
        <v>100</v>
      </c>
      <c r="H367" s="2968">
        <v>100</v>
      </c>
      <c r="I367" s="1463"/>
      <c r="K367" s="536"/>
      <c r="L367" s="536"/>
    </row>
    <row r="368" spans="1:12" ht="14.25" hidden="1" customHeight="1" x14ac:dyDescent="0.25">
      <c r="A368" s="2"/>
      <c r="B368" s="441"/>
      <c r="C368" s="2473" t="s">
        <v>3510</v>
      </c>
      <c r="D368" s="2690">
        <v>200000000</v>
      </c>
      <c r="E368" s="2968">
        <v>200000000</v>
      </c>
      <c r="F368" s="3014"/>
      <c r="G368" s="2940">
        <f t="shared" ref="G368:G370" si="19">SUM(E368/D368)*100</f>
        <v>100</v>
      </c>
      <c r="H368" s="2968">
        <v>100</v>
      </c>
      <c r="I368" s="1463"/>
      <c r="K368" s="536"/>
      <c r="L368" s="536"/>
    </row>
    <row r="369" spans="1:12" ht="15.75" hidden="1" customHeight="1" x14ac:dyDescent="0.25">
      <c r="A369" s="2"/>
      <c r="B369" s="441"/>
      <c r="C369" s="2473" t="s">
        <v>3511</v>
      </c>
      <c r="D369" s="2690">
        <v>150000000</v>
      </c>
      <c r="E369" s="2968">
        <v>55200000</v>
      </c>
      <c r="F369" s="3014"/>
      <c r="G369" s="2940">
        <f t="shared" si="19"/>
        <v>36.799999999999997</v>
      </c>
      <c r="H369" s="2968">
        <v>40</v>
      </c>
      <c r="I369" s="1463"/>
      <c r="K369" s="536"/>
      <c r="L369" s="536"/>
    </row>
    <row r="370" spans="1:12" ht="15" hidden="1" customHeight="1" x14ac:dyDescent="0.25">
      <c r="A370" s="2"/>
      <c r="B370" s="441"/>
      <c r="C370" s="2475" t="s">
        <v>3512</v>
      </c>
      <c r="D370" s="2752">
        <v>200000000</v>
      </c>
      <c r="E370" s="2968">
        <v>200000000</v>
      </c>
      <c r="F370" s="3014"/>
      <c r="G370" s="2940">
        <f t="shared" si="19"/>
        <v>100</v>
      </c>
      <c r="H370" s="2968">
        <v>100</v>
      </c>
      <c r="I370" s="1463"/>
      <c r="K370" s="536"/>
      <c r="L370" s="536"/>
    </row>
    <row r="371" spans="1:12" ht="9" hidden="1" customHeight="1" x14ac:dyDescent="0.25">
      <c r="A371" s="2"/>
      <c r="B371" s="441"/>
      <c r="C371" s="2474"/>
      <c r="D371" s="3035"/>
      <c r="E371" s="3035"/>
      <c r="F371" s="3035"/>
      <c r="G371" s="3035"/>
      <c r="H371" s="3035"/>
      <c r="I371" s="1463"/>
      <c r="K371" s="536"/>
      <c r="L371" s="536"/>
    </row>
    <row r="372" spans="1:12" ht="21.75" hidden="1" customHeight="1" x14ac:dyDescent="0.25">
      <c r="A372" s="2"/>
      <c r="B372" s="441"/>
      <c r="C372" s="2525" t="s">
        <v>3513</v>
      </c>
      <c r="D372" s="2695">
        <f>SUM(D373:D376)</f>
        <v>162000000</v>
      </c>
      <c r="E372" s="2695">
        <f>SUM(E373:E376)</f>
        <v>162000000</v>
      </c>
      <c r="F372" s="2734"/>
      <c r="G372" s="2942">
        <f>E372/D372*100</f>
        <v>100</v>
      </c>
      <c r="H372" s="2966">
        <f>SUM(H373:H376)/4</f>
        <v>100</v>
      </c>
      <c r="I372" s="1463"/>
      <c r="K372" s="536"/>
      <c r="L372" s="536"/>
    </row>
    <row r="373" spans="1:12" ht="18" hidden="1" customHeight="1" x14ac:dyDescent="0.25">
      <c r="A373" s="2"/>
      <c r="B373" s="441"/>
      <c r="C373" s="2473" t="s">
        <v>3514</v>
      </c>
      <c r="D373" s="2690">
        <v>10000000</v>
      </c>
      <c r="E373" s="2968">
        <v>10000000</v>
      </c>
      <c r="F373" s="3014"/>
      <c r="G373" s="2940">
        <f>SUM(E373/D373)*100</f>
        <v>100</v>
      </c>
      <c r="H373" s="2968">
        <v>100</v>
      </c>
      <c r="I373" s="1463"/>
      <c r="K373" s="536"/>
      <c r="L373" s="536"/>
    </row>
    <row r="374" spans="1:12" ht="15.75" hidden="1" customHeight="1" x14ac:dyDescent="0.25">
      <c r="A374" s="2"/>
      <c r="B374" s="441"/>
      <c r="C374" s="2473" t="s">
        <v>3515</v>
      </c>
      <c r="D374" s="2690">
        <v>100000000</v>
      </c>
      <c r="E374" s="2968">
        <v>100000000</v>
      </c>
      <c r="F374" s="3014"/>
      <c r="G374" s="2940">
        <f t="shared" ref="G374:G376" si="20">SUM(E374/D374)*100</f>
        <v>100</v>
      </c>
      <c r="H374" s="2968">
        <v>100</v>
      </c>
      <c r="I374" s="1463"/>
      <c r="K374" s="536"/>
      <c r="L374" s="536"/>
    </row>
    <row r="375" spans="1:12" ht="14.25" hidden="1" customHeight="1" x14ac:dyDescent="0.25">
      <c r="A375" s="2"/>
      <c r="B375" s="441"/>
      <c r="C375" s="2473" t="s">
        <v>3516</v>
      </c>
      <c r="D375" s="2690">
        <v>12000000</v>
      </c>
      <c r="E375" s="2968">
        <v>12000000</v>
      </c>
      <c r="F375" s="3014"/>
      <c r="G375" s="2940">
        <f t="shared" si="20"/>
        <v>100</v>
      </c>
      <c r="H375" s="2968">
        <v>100</v>
      </c>
      <c r="I375" s="1463"/>
      <c r="K375" s="536"/>
      <c r="L375" s="536"/>
    </row>
    <row r="376" spans="1:12" ht="16.5" hidden="1" customHeight="1" x14ac:dyDescent="0.25">
      <c r="A376" s="2"/>
      <c r="B376" s="441"/>
      <c r="C376" s="2473" t="s">
        <v>3517</v>
      </c>
      <c r="D376" s="2690">
        <v>40000000</v>
      </c>
      <c r="E376" s="2968">
        <v>40000000</v>
      </c>
      <c r="F376" s="3014"/>
      <c r="G376" s="2940">
        <f t="shared" si="20"/>
        <v>100</v>
      </c>
      <c r="H376" s="2968">
        <v>100</v>
      </c>
      <c r="I376" s="1463"/>
      <c r="K376" s="536"/>
      <c r="L376" s="536"/>
    </row>
    <row r="377" spans="1:12" ht="9" hidden="1" customHeight="1" x14ac:dyDescent="0.25">
      <c r="A377" s="2"/>
      <c r="B377" s="441"/>
      <c r="C377" s="2478"/>
      <c r="D377" s="3035"/>
      <c r="E377" s="3035"/>
      <c r="F377" s="3035"/>
      <c r="G377" s="3035"/>
      <c r="H377" s="3035"/>
      <c r="I377" s="1463"/>
      <c r="K377" s="536"/>
      <c r="L377" s="536"/>
    </row>
    <row r="378" spans="1:12" ht="29.25" hidden="1" customHeight="1" x14ac:dyDescent="0.25">
      <c r="A378" s="2"/>
      <c r="B378" s="441"/>
      <c r="C378" s="2525" t="s">
        <v>3518</v>
      </c>
      <c r="D378" s="2695">
        <f>SUM(D379:D406)</f>
        <v>10850000000</v>
      </c>
      <c r="E378" s="2695">
        <f>SUM(E379:E406)</f>
        <v>8899755000</v>
      </c>
      <c r="F378" s="2734"/>
      <c r="G378" s="2725">
        <f t="shared" ref="G378:G387" si="21">E378/D378*100</f>
        <v>82.025391705069126</v>
      </c>
      <c r="H378" s="2695">
        <f>SUM(H379:H406)/28</f>
        <v>88.928571428571431</v>
      </c>
      <c r="I378" s="1463"/>
      <c r="K378" s="536"/>
      <c r="L378" s="536"/>
    </row>
    <row r="379" spans="1:12" ht="16.5" hidden="1" customHeight="1" x14ac:dyDescent="0.25">
      <c r="A379" s="2"/>
      <c r="B379" s="441"/>
      <c r="C379" s="2473" t="s">
        <v>3519</v>
      </c>
      <c r="D379" s="2855">
        <v>600000000</v>
      </c>
      <c r="E379" s="2690">
        <v>600000000</v>
      </c>
      <c r="F379" s="2760"/>
      <c r="G379" s="2804">
        <f t="shared" si="21"/>
        <v>100</v>
      </c>
      <c r="H379" s="2690">
        <v>100</v>
      </c>
      <c r="I379" s="1463"/>
      <c r="K379" s="536"/>
      <c r="L379" s="536"/>
    </row>
    <row r="380" spans="1:12" ht="16.5" hidden="1" customHeight="1" x14ac:dyDescent="0.25">
      <c r="A380" s="2"/>
      <c r="B380" s="441"/>
      <c r="C380" s="2473" t="s">
        <v>3520</v>
      </c>
      <c r="D380" s="2855">
        <v>300000000</v>
      </c>
      <c r="E380" s="2804">
        <v>300000000</v>
      </c>
      <c r="F380" s="2804"/>
      <c r="G380" s="2804">
        <f t="shared" si="21"/>
        <v>100</v>
      </c>
      <c r="H380" s="2690">
        <v>100</v>
      </c>
      <c r="I380" s="1463"/>
      <c r="K380" s="536"/>
      <c r="L380" s="536"/>
    </row>
    <row r="381" spans="1:12" ht="16.5" hidden="1" customHeight="1" x14ac:dyDescent="0.25">
      <c r="A381" s="2"/>
      <c r="B381" s="441"/>
      <c r="C381" s="2473" t="s">
        <v>3521</v>
      </c>
      <c r="D381" s="2855">
        <v>300000000</v>
      </c>
      <c r="E381" s="2804">
        <v>300000000</v>
      </c>
      <c r="F381" s="2804"/>
      <c r="G381" s="2804">
        <f t="shared" si="21"/>
        <v>100</v>
      </c>
      <c r="H381" s="2804">
        <v>100</v>
      </c>
      <c r="I381" s="1463"/>
      <c r="K381" s="536"/>
      <c r="L381" s="536"/>
    </row>
    <row r="382" spans="1:12" ht="16.5" hidden="1" customHeight="1" x14ac:dyDescent="0.25">
      <c r="A382" s="2"/>
      <c r="B382" s="441"/>
      <c r="C382" s="2475" t="s">
        <v>3522</v>
      </c>
      <c r="D382" s="2924">
        <v>300000000</v>
      </c>
      <c r="E382" s="2830">
        <v>300000000</v>
      </c>
      <c r="F382" s="2830"/>
      <c r="G382" s="2804">
        <f t="shared" si="21"/>
        <v>100</v>
      </c>
      <c r="H382" s="2804">
        <v>100</v>
      </c>
      <c r="I382" s="1463"/>
      <c r="K382" s="536"/>
      <c r="L382" s="536"/>
    </row>
    <row r="383" spans="1:12" ht="16.5" hidden="1" customHeight="1" x14ac:dyDescent="0.25">
      <c r="A383" s="2"/>
      <c r="B383" s="441"/>
      <c r="C383" s="2473" t="s">
        <v>3523</v>
      </c>
      <c r="D383" s="2855">
        <v>100000000</v>
      </c>
      <c r="E383" s="2685">
        <v>100000000</v>
      </c>
      <c r="F383" s="2804"/>
      <c r="G383" s="2804">
        <f t="shared" si="21"/>
        <v>100</v>
      </c>
      <c r="H383" s="2804">
        <v>100</v>
      </c>
      <c r="I383" s="1463"/>
      <c r="K383" s="536"/>
      <c r="L383" s="536"/>
    </row>
    <row r="384" spans="1:12" ht="16.5" hidden="1" customHeight="1" x14ac:dyDescent="0.25">
      <c r="A384" s="2"/>
      <c r="B384" s="441"/>
      <c r="C384" s="2473" t="s">
        <v>3524</v>
      </c>
      <c r="D384" s="2855">
        <v>100000000</v>
      </c>
      <c r="E384" s="2685">
        <v>100000000</v>
      </c>
      <c r="F384" s="2804"/>
      <c r="G384" s="2804">
        <f t="shared" si="21"/>
        <v>100</v>
      </c>
      <c r="H384" s="2804">
        <v>100</v>
      </c>
      <c r="I384" s="1463"/>
      <c r="K384" s="536"/>
      <c r="L384" s="536"/>
    </row>
    <row r="385" spans="1:12" ht="16.5" hidden="1" customHeight="1" x14ac:dyDescent="0.25">
      <c r="A385" s="2"/>
      <c r="B385" s="441"/>
      <c r="C385" s="2473" t="s">
        <v>3525</v>
      </c>
      <c r="D385" s="2855">
        <v>100000000</v>
      </c>
      <c r="E385" s="2685">
        <v>100000000</v>
      </c>
      <c r="F385" s="2804"/>
      <c r="G385" s="2804">
        <f t="shared" si="21"/>
        <v>100</v>
      </c>
      <c r="H385" s="2804">
        <v>100</v>
      </c>
      <c r="I385" s="1463"/>
      <c r="K385" s="536"/>
      <c r="L385" s="536"/>
    </row>
    <row r="386" spans="1:12" ht="16.5" hidden="1" customHeight="1" x14ac:dyDescent="0.25">
      <c r="A386" s="2"/>
      <c r="B386" s="441"/>
      <c r="C386" s="2473" t="s">
        <v>3526</v>
      </c>
      <c r="D386" s="2855">
        <v>100000000</v>
      </c>
      <c r="E386" s="2685">
        <v>100000000</v>
      </c>
      <c r="F386" s="2804"/>
      <c r="G386" s="2804">
        <f t="shared" si="21"/>
        <v>100</v>
      </c>
      <c r="H386" s="2804">
        <v>100</v>
      </c>
      <c r="I386" s="1463"/>
      <c r="K386" s="536"/>
      <c r="L386" s="536"/>
    </row>
    <row r="387" spans="1:12" ht="16.5" hidden="1" customHeight="1" x14ac:dyDescent="0.25">
      <c r="A387" s="2"/>
      <c r="B387" s="441"/>
      <c r="C387" s="2473" t="s">
        <v>3527</v>
      </c>
      <c r="D387" s="2855">
        <v>100000000</v>
      </c>
      <c r="E387" s="2685">
        <v>100000000</v>
      </c>
      <c r="F387" s="2804"/>
      <c r="G387" s="2804">
        <f t="shared" si="21"/>
        <v>100</v>
      </c>
      <c r="H387" s="2804">
        <v>100</v>
      </c>
      <c r="I387" s="1463"/>
      <c r="K387" s="536"/>
      <c r="L387" s="536"/>
    </row>
    <row r="388" spans="1:12" ht="16.5" hidden="1" customHeight="1" x14ac:dyDescent="0.25">
      <c r="A388" s="2"/>
      <c r="B388" s="441"/>
      <c r="C388" s="2473" t="s">
        <v>3528</v>
      </c>
      <c r="D388" s="2855">
        <v>200000000</v>
      </c>
      <c r="E388" s="2685">
        <v>200000000</v>
      </c>
      <c r="F388" s="2804"/>
      <c r="G388" s="2804">
        <f>E388/D388*100</f>
        <v>100</v>
      </c>
      <c r="H388" s="2685">
        <v>100</v>
      </c>
      <c r="I388" s="1463"/>
      <c r="K388" s="536"/>
      <c r="L388" s="536"/>
    </row>
    <row r="389" spans="1:12" ht="16.5" hidden="1" customHeight="1" x14ac:dyDescent="0.25">
      <c r="A389" s="2"/>
      <c r="B389" s="441"/>
      <c r="C389" s="2473" t="s">
        <v>3529</v>
      </c>
      <c r="D389" s="2855">
        <v>200000000</v>
      </c>
      <c r="E389" s="2685">
        <v>59000000</v>
      </c>
      <c r="F389" s="2804"/>
      <c r="G389" s="2804">
        <f>E389/D389*100</f>
        <v>29.5</v>
      </c>
      <c r="H389" s="2685">
        <v>30</v>
      </c>
      <c r="I389" s="1463"/>
      <c r="K389" s="536"/>
      <c r="L389" s="536"/>
    </row>
    <row r="390" spans="1:12" ht="16.5" hidden="1" customHeight="1" x14ac:dyDescent="0.25">
      <c r="A390" s="2"/>
      <c r="B390" s="441"/>
      <c r="C390" s="2473" t="s">
        <v>3530</v>
      </c>
      <c r="D390" s="2855">
        <v>1000000000</v>
      </c>
      <c r="E390" s="2685">
        <v>1000000000</v>
      </c>
      <c r="F390" s="2804"/>
      <c r="G390" s="2804">
        <f>E390/D390*100</f>
        <v>100</v>
      </c>
      <c r="H390" s="2685">
        <v>100</v>
      </c>
      <c r="I390" s="1463"/>
      <c r="K390" s="536"/>
      <c r="L390" s="536"/>
    </row>
    <row r="391" spans="1:12" ht="16.5" hidden="1" customHeight="1" x14ac:dyDescent="0.25">
      <c r="A391" s="2"/>
      <c r="B391" s="441"/>
      <c r="C391" s="2473" t="s">
        <v>3531</v>
      </c>
      <c r="D391" s="2855">
        <v>500000000</v>
      </c>
      <c r="E391" s="2685">
        <v>500000000</v>
      </c>
      <c r="F391" s="2804"/>
      <c r="G391" s="2804">
        <f t="shared" ref="G391:G405" si="22">E391/D391*100</f>
        <v>100</v>
      </c>
      <c r="H391" s="2685">
        <v>100</v>
      </c>
      <c r="I391" s="1463"/>
      <c r="K391" s="536"/>
      <c r="L391" s="536"/>
    </row>
    <row r="392" spans="1:12" ht="16.5" hidden="1" customHeight="1" x14ac:dyDescent="0.25">
      <c r="A392" s="2"/>
      <c r="B392" s="441"/>
      <c r="C392" s="2473" t="s">
        <v>3532</v>
      </c>
      <c r="D392" s="2855">
        <v>1000000000</v>
      </c>
      <c r="E392" s="2685">
        <v>990600000</v>
      </c>
      <c r="F392" s="2804"/>
      <c r="G392" s="2804">
        <f t="shared" si="22"/>
        <v>99.06</v>
      </c>
      <c r="H392" s="2685">
        <v>100</v>
      </c>
      <c r="I392" s="1463"/>
      <c r="K392" s="536"/>
      <c r="L392" s="536"/>
    </row>
    <row r="393" spans="1:12" ht="16.5" hidden="1" customHeight="1" x14ac:dyDescent="0.25">
      <c r="A393" s="2"/>
      <c r="B393" s="441"/>
      <c r="C393" s="2473" t="s">
        <v>3533</v>
      </c>
      <c r="D393" s="2855">
        <v>500000000</v>
      </c>
      <c r="E393" s="2685">
        <v>500000000</v>
      </c>
      <c r="F393" s="2804"/>
      <c r="G393" s="2804">
        <f t="shared" si="22"/>
        <v>100</v>
      </c>
      <c r="H393" s="2685">
        <v>100</v>
      </c>
      <c r="I393" s="1463"/>
      <c r="K393" s="536"/>
      <c r="L393" s="536"/>
    </row>
    <row r="394" spans="1:12" ht="16.5" hidden="1" customHeight="1" x14ac:dyDescent="0.25">
      <c r="A394" s="2"/>
      <c r="B394" s="441"/>
      <c r="C394" s="2473" t="s">
        <v>3534</v>
      </c>
      <c r="D394" s="2855">
        <v>500000000</v>
      </c>
      <c r="E394" s="2685">
        <v>500000000</v>
      </c>
      <c r="F394" s="2804"/>
      <c r="G394" s="2804">
        <f t="shared" si="22"/>
        <v>100</v>
      </c>
      <c r="H394" s="2685">
        <v>100</v>
      </c>
      <c r="I394" s="1463"/>
      <c r="K394" s="536"/>
      <c r="L394" s="536"/>
    </row>
    <row r="395" spans="1:12" ht="16.5" hidden="1" customHeight="1" x14ac:dyDescent="0.25">
      <c r="A395" s="2"/>
      <c r="B395" s="441"/>
      <c r="C395" s="2473" t="s">
        <v>3535</v>
      </c>
      <c r="D395" s="2855">
        <v>800000000</v>
      </c>
      <c r="E395" s="2685">
        <v>789735000</v>
      </c>
      <c r="F395" s="2804"/>
      <c r="G395" s="2804">
        <f t="shared" si="22"/>
        <v>98.716875000000002</v>
      </c>
      <c r="H395" s="2685">
        <v>100</v>
      </c>
      <c r="I395" s="1463"/>
      <c r="K395" s="536"/>
      <c r="L395" s="536"/>
    </row>
    <row r="396" spans="1:12" ht="16.5" hidden="1" customHeight="1" x14ac:dyDescent="0.25">
      <c r="A396" s="2"/>
      <c r="B396" s="441"/>
      <c r="C396" s="2473" t="s">
        <v>3536</v>
      </c>
      <c r="D396" s="2855">
        <v>500000000</v>
      </c>
      <c r="E396" s="2685">
        <v>500000000</v>
      </c>
      <c r="F396" s="2804"/>
      <c r="G396" s="2804">
        <f t="shared" si="22"/>
        <v>100</v>
      </c>
      <c r="H396" s="2685">
        <v>100</v>
      </c>
      <c r="I396" s="1463"/>
      <c r="K396" s="536"/>
      <c r="L396" s="536"/>
    </row>
    <row r="397" spans="1:12" ht="16.5" hidden="1" customHeight="1" x14ac:dyDescent="0.25">
      <c r="A397" s="2"/>
      <c r="B397" s="441"/>
      <c r="C397" s="2473" t="s">
        <v>3537</v>
      </c>
      <c r="D397" s="2855">
        <v>1000000000</v>
      </c>
      <c r="E397" s="2685">
        <v>320570000</v>
      </c>
      <c r="F397" s="2804"/>
      <c r="G397" s="2804">
        <f t="shared" si="22"/>
        <v>32.057000000000002</v>
      </c>
      <c r="H397" s="2685">
        <v>30</v>
      </c>
      <c r="I397" s="1463"/>
      <c r="K397" s="536"/>
      <c r="L397" s="536"/>
    </row>
    <row r="398" spans="1:12" ht="16.5" hidden="1" customHeight="1" x14ac:dyDescent="0.25">
      <c r="A398" s="2"/>
      <c r="B398" s="444"/>
      <c r="C398" s="2473" t="s">
        <v>3538</v>
      </c>
      <c r="D398" s="2855">
        <v>100000000</v>
      </c>
      <c r="E398" s="2685">
        <v>100000000</v>
      </c>
      <c r="F398" s="2804"/>
      <c r="G398" s="2804">
        <f t="shared" si="22"/>
        <v>100</v>
      </c>
      <c r="H398" s="2685">
        <v>100</v>
      </c>
      <c r="I398" s="1463"/>
      <c r="K398" s="536"/>
      <c r="L398" s="536"/>
    </row>
    <row r="399" spans="1:12" ht="16.5" hidden="1" customHeight="1" x14ac:dyDescent="0.25">
      <c r="A399" s="2"/>
      <c r="B399" s="441"/>
      <c r="C399" s="2473" t="s">
        <v>3539</v>
      </c>
      <c r="D399" s="2855">
        <v>200000000</v>
      </c>
      <c r="E399" s="2685">
        <v>200000000</v>
      </c>
      <c r="F399" s="2804"/>
      <c r="G399" s="2804">
        <f t="shared" si="22"/>
        <v>100</v>
      </c>
      <c r="H399" s="2685">
        <v>100</v>
      </c>
      <c r="I399" s="1463"/>
      <c r="K399" s="536"/>
      <c r="L399" s="536"/>
    </row>
    <row r="400" spans="1:12" ht="20.25" hidden="1" customHeight="1" x14ac:dyDescent="0.25">
      <c r="A400" s="2"/>
      <c r="B400" s="441"/>
      <c r="C400" s="2473" t="s">
        <v>3540</v>
      </c>
      <c r="D400" s="2855">
        <v>200000000</v>
      </c>
      <c r="E400" s="2685">
        <v>200000000</v>
      </c>
      <c r="F400" s="2804"/>
      <c r="G400" s="2804">
        <f t="shared" si="22"/>
        <v>100</v>
      </c>
      <c r="H400" s="2685">
        <v>100</v>
      </c>
      <c r="I400" s="1463"/>
      <c r="K400" s="536"/>
      <c r="L400" s="536"/>
    </row>
    <row r="401" spans="1:12" ht="16.5" hidden="1" customHeight="1" x14ac:dyDescent="0.25">
      <c r="A401" s="2"/>
      <c r="B401" s="441"/>
      <c r="C401" s="2473" t="s">
        <v>3541</v>
      </c>
      <c r="D401" s="2855">
        <v>200000000</v>
      </c>
      <c r="E401" s="2685">
        <v>200000000</v>
      </c>
      <c r="F401" s="2804"/>
      <c r="G401" s="2804">
        <f t="shared" si="22"/>
        <v>100</v>
      </c>
      <c r="H401" s="2685">
        <v>100</v>
      </c>
      <c r="I401" s="1463"/>
      <c r="K401" s="536"/>
      <c r="L401" s="536"/>
    </row>
    <row r="402" spans="1:12" ht="17.25" hidden="1" customHeight="1" x14ac:dyDescent="0.25">
      <c r="A402" s="2"/>
      <c r="B402" s="441"/>
      <c r="C402" s="2473" t="s">
        <v>3542</v>
      </c>
      <c r="D402" s="2690">
        <v>750000000</v>
      </c>
      <c r="E402" s="2685">
        <v>239850000</v>
      </c>
      <c r="F402" s="2804"/>
      <c r="G402" s="2804">
        <f t="shared" si="22"/>
        <v>31.979999999999997</v>
      </c>
      <c r="H402" s="2685">
        <v>30</v>
      </c>
      <c r="I402" s="1463"/>
      <c r="K402" s="536"/>
      <c r="L402" s="536"/>
    </row>
    <row r="403" spans="1:12" ht="18" hidden="1" customHeight="1" x14ac:dyDescent="0.25">
      <c r="A403" s="2"/>
      <c r="B403" s="441"/>
      <c r="C403" s="2524" t="s">
        <v>3543</v>
      </c>
      <c r="D403" s="2855">
        <v>300000000</v>
      </c>
      <c r="E403" s="2855">
        <v>300000000</v>
      </c>
      <c r="F403" s="3617"/>
      <c r="G403" s="2804">
        <f t="shared" si="22"/>
        <v>100</v>
      </c>
      <c r="H403" s="2855">
        <v>100</v>
      </c>
      <c r="I403" s="1463"/>
      <c r="K403" s="536"/>
      <c r="L403" s="536"/>
    </row>
    <row r="404" spans="1:12" ht="19.5" hidden="1" customHeight="1" x14ac:dyDescent="0.25">
      <c r="A404" s="2"/>
      <c r="B404" s="441"/>
      <c r="C404" s="2473" t="s">
        <v>3544</v>
      </c>
      <c r="D404" s="2855">
        <v>200000000</v>
      </c>
      <c r="E404" s="2804">
        <v>200000000</v>
      </c>
      <c r="F404" s="2804"/>
      <c r="G404" s="2804">
        <f t="shared" si="22"/>
        <v>100</v>
      </c>
      <c r="H404" s="2855">
        <v>100</v>
      </c>
      <c r="I404" s="1463"/>
      <c r="K404" s="536"/>
      <c r="L404" s="536"/>
    </row>
    <row r="405" spans="1:12" ht="18.75" hidden="1" customHeight="1" x14ac:dyDescent="0.25">
      <c r="A405" s="2"/>
      <c r="B405" s="441"/>
      <c r="C405" s="2473" t="s">
        <v>3545</v>
      </c>
      <c r="D405" s="2855">
        <v>100000000</v>
      </c>
      <c r="E405" s="2804">
        <v>100000000</v>
      </c>
      <c r="F405" s="2804"/>
      <c r="G405" s="2804">
        <f t="shared" si="22"/>
        <v>100</v>
      </c>
      <c r="H405" s="2804">
        <v>100</v>
      </c>
      <c r="I405" s="1463"/>
      <c r="K405" s="536"/>
      <c r="L405" s="536"/>
    </row>
    <row r="406" spans="1:12" ht="15.75" hidden="1" customHeight="1" x14ac:dyDescent="0.25">
      <c r="A406" s="2"/>
      <c r="B406" s="441"/>
      <c r="C406" s="2473" t="s">
        <v>3546</v>
      </c>
      <c r="D406" s="2855">
        <v>600000000</v>
      </c>
      <c r="E406" s="2685">
        <v>0</v>
      </c>
      <c r="F406" s="2685"/>
      <c r="G406" s="2685">
        <v>0</v>
      </c>
      <c r="H406" s="2685">
        <v>0</v>
      </c>
      <c r="I406" s="1463"/>
      <c r="K406" s="536"/>
      <c r="L406" s="536"/>
    </row>
    <row r="407" spans="1:12" ht="10.5" hidden="1" customHeight="1" x14ac:dyDescent="0.25">
      <c r="A407" s="2"/>
      <c r="B407" s="441"/>
      <c r="C407" s="2478"/>
      <c r="D407" s="3035"/>
      <c r="E407" s="3035"/>
      <c r="F407" s="3035"/>
      <c r="G407" s="3035"/>
      <c r="H407" s="3035"/>
      <c r="I407" s="1463"/>
      <c r="K407" s="536"/>
      <c r="L407" s="536"/>
    </row>
    <row r="408" spans="1:12" ht="17.25" hidden="1" customHeight="1" x14ac:dyDescent="0.25">
      <c r="A408" s="2"/>
      <c r="B408" s="441"/>
      <c r="C408" s="2525" t="s">
        <v>3547</v>
      </c>
      <c r="D408" s="2695">
        <f>SUM(D409:D412)</f>
        <v>575000000</v>
      </c>
      <c r="E408" s="2695">
        <f>SUM(E409:E412)</f>
        <v>450000000</v>
      </c>
      <c r="F408" s="2734"/>
      <c r="G408" s="2725">
        <f>E408/D408*100</f>
        <v>78.260869565217391</v>
      </c>
      <c r="H408" s="2695">
        <f>SUM(H409:H412)/4</f>
        <v>75</v>
      </c>
      <c r="I408" s="1463"/>
      <c r="K408" s="536"/>
      <c r="L408" s="536"/>
    </row>
    <row r="409" spans="1:12" ht="15.75" hidden="1" customHeight="1" x14ac:dyDescent="0.25">
      <c r="A409" s="2"/>
      <c r="B409" s="441"/>
      <c r="C409" s="2473" t="s">
        <v>3548</v>
      </c>
      <c r="D409" s="2855">
        <v>200000000</v>
      </c>
      <c r="E409" s="2690">
        <v>200000000</v>
      </c>
      <c r="F409" s="2760"/>
      <c r="G409" s="2804">
        <f>E409/D409*100</f>
        <v>100</v>
      </c>
      <c r="H409" s="2690">
        <v>100</v>
      </c>
      <c r="I409" s="1463"/>
      <c r="K409" s="536"/>
      <c r="L409" s="536"/>
    </row>
    <row r="410" spans="1:12" ht="14.25" hidden="1" customHeight="1" x14ac:dyDescent="0.25">
      <c r="A410" s="2"/>
      <c r="B410" s="441"/>
      <c r="C410" s="2473" t="s">
        <v>3549</v>
      </c>
      <c r="D410" s="2855">
        <v>100000000</v>
      </c>
      <c r="E410" s="2804">
        <v>100000000</v>
      </c>
      <c r="F410" s="2804"/>
      <c r="G410" s="2804">
        <f t="shared" ref="G410:G411" si="23">E410/D410*100</f>
        <v>100</v>
      </c>
      <c r="H410" s="2804">
        <v>100</v>
      </c>
      <c r="I410" s="1463"/>
      <c r="K410" s="536"/>
      <c r="L410" s="536"/>
    </row>
    <row r="411" spans="1:12" ht="15.75" hidden="1" customHeight="1" x14ac:dyDescent="0.25">
      <c r="A411" s="2"/>
      <c r="B411" s="441"/>
      <c r="C411" s="2475" t="s">
        <v>3551</v>
      </c>
      <c r="D411" s="2924">
        <v>150000000</v>
      </c>
      <c r="E411" s="2710">
        <v>150000000</v>
      </c>
      <c r="F411" s="2752"/>
      <c r="G411" s="2804">
        <f t="shared" si="23"/>
        <v>100</v>
      </c>
      <c r="H411" s="2710">
        <v>100</v>
      </c>
      <c r="I411" s="1463"/>
      <c r="K411" s="536"/>
      <c r="L411" s="536"/>
    </row>
    <row r="412" spans="1:12" ht="14.25" hidden="1" customHeight="1" x14ac:dyDescent="0.25">
      <c r="A412" s="2"/>
      <c r="B412" s="441"/>
      <c r="C412" s="2473" t="s">
        <v>3550</v>
      </c>
      <c r="D412" s="3035">
        <v>125000000</v>
      </c>
      <c r="E412" s="2968">
        <v>0</v>
      </c>
      <c r="F412" s="2968"/>
      <c r="G412" s="2968">
        <v>0</v>
      </c>
      <c r="H412" s="2968">
        <v>0</v>
      </c>
      <c r="I412" s="1463"/>
      <c r="K412" s="536"/>
      <c r="L412" s="536"/>
    </row>
    <row r="413" spans="1:12" ht="12" hidden="1" customHeight="1" x14ac:dyDescent="0.25">
      <c r="A413" s="2"/>
      <c r="B413" s="441"/>
      <c r="C413" s="2474"/>
      <c r="D413" s="3035"/>
      <c r="E413" s="3035"/>
      <c r="F413" s="3035"/>
      <c r="G413" s="3035"/>
      <c r="H413" s="3035"/>
      <c r="I413" s="1463"/>
      <c r="K413" s="536"/>
      <c r="L413" s="536"/>
    </row>
    <row r="414" spans="1:12" ht="20.25" hidden="1" customHeight="1" x14ac:dyDescent="0.25">
      <c r="A414" s="2"/>
      <c r="B414" s="441"/>
      <c r="C414" s="2474" t="s">
        <v>3552</v>
      </c>
      <c r="D414" s="2695">
        <f>SUM(D415:D424)</f>
        <v>1030000000</v>
      </c>
      <c r="E414" s="2695">
        <f>SUM(E415:E424)</f>
        <v>710000000</v>
      </c>
      <c r="F414" s="2734"/>
      <c r="G414" s="2725">
        <f>E414/D414*100</f>
        <v>68.932038834951456</v>
      </c>
      <c r="H414" s="2695">
        <f>SUM(H415:H424)/10</f>
        <v>63</v>
      </c>
      <c r="I414" s="1463"/>
      <c r="K414" s="536"/>
      <c r="L414" s="536"/>
    </row>
    <row r="415" spans="1:12" ht="16.5" hidden="1" customHeight="1" x14ac:dyDescent="0.25">
      <c r="A415" s="2"/>
      <c r="B415" s="441"/>
      <c r="C415" s="2473" t="s">
        <v>3553</v>
      </c>
      <c r="D415" s="2690">
        <v>100000000</v>
      </c>
      <c r="E415" s="2690">
        <v>30000000</v>
      </c>
      <c r="F415" s="2760"/>
      <c r="G415" s="2804">
        <f>E415/D415*100</f>
        <v>30</v>
      </c>
      <c r="H415" s="2690">
        <v>30</v>
      </c>
      <c r="I415" s="1463"/>
      <c r="K415" s="536"/>
      <c r="L415" s="536"/>
    </row>
    <row r="416" spans="1:12" ht="17.25" hidden="1" customHeight="1" x14ac:dyDescent="0.25">
      <c r="A416" s="2"/>
      <c r="B416" s="441"/>
      <c r="C416" s="2473" t="s">
        <v>3554</v>
      </c>
      <c r="D416" s="2690">
        <v>100000000</v>
      </c>
      <c r="E416" s="2690">
        <v>100000000</v>
      </c>
      <c r="F416" s="2760"/>
      <c r="G416" s="2804">
        <f t="shared" ref="G416:G418" si="24">E416/D416*100</f>
        <v>100</v>
      </c>
      <c r="H416" s="2690">
        <v>100</v>
      </c>
      <c r="I416" s="1463"/>
      <c r="K416" s="536"/>
      <c r="L416" s="536"/>
    </row>
    <row r="417" spans="1:12" ht="15.75" hidden="1" customHeight="1" x14ac:dyDescent="0.25">
      <c r="A417" s="2"/>
      <c r="B417" s="441"/>
      <c r="C417" s="2473" t="s">
        <v>3555</v>
      </c>
      <c r="D417" s="2690">
        <v>150000000</v>
      </c>
      <c r="E417" s="2690">
        <v>150000000</v>
      </c>
      <c r="F417" s="2760"/>
      <c r="G417" s="2804">
        <f t="shared" si="24"/>
        <v>100</v>
      </c>
      <c r="H417" s="2690">
        <v>100</v>
      </c>
      <c r="I417" s="1463"/>
      <c r="K417" s="536"/>
      <c r="L417" s="536"/>
    </row>
    <row r="418" spans="1:12" ht="15.75" hidden="1" customHeight="1" x14ac:dyDescent="0.25">
      <c r="A418" s="2"/>
      <c r="B418" s="441"/>
      <c r="C418" s="2473" t="s">
        <v>3556</v>
      </c>
      <c r="D418" s="2690">
        <v>100000000</v>
      </c>
      <c r="E418" s="2690">
        <v>100000000</v>
      </c>
      <c r="F418" s="2760"/>
      <c r="G418" s="2804">
        <f t="shared" si="24"/>
        <v>100</v>
      </c>
      <c r="H418" s="2690">
        <v>100</v>
      </c>
      <c r="I418" s="1463"/>
      <c r="K418" s="536"/>
      <c r="L418" s="536"/>
    </row>
    <row r="419" spans="1:12" ht="20.25" hidden="1" customHeight="1" x14ac:dyDescent="0.25">
      <c r="A419" s="2"/>
      <c r="B419" s="441"/>
      <c r="C419" s="2473" t="s">
        <v>3557</v>
      </c>
      <c r="D419" s="2690">
        <v>50000000</v>
      </c>
      <c r="E419" s="2968">
        <v>0</v>
      </c>
      <c r="F419" s="2968"/>
      <c r="G419" s="2968">
        <v>0</v>
      </c>
      <c r="H419" s="2968">
        <v>0</v>
      </c>
      <c r="I419" s="1463"/>
      <c r="K419" s="536"/>
      <c r="L419" s="536"/>
    </row>
    <row r="420" spans="1:12" ht="15.75" hidden="1" customHeight="1" x14ac:dyDescent="0.25">
      <c r="A420" s="2"/>
      <c r="B420" s="441"/>
      <c r="C420" s="2473" t="s">
        <v>3558</v>
      </c>
      <c r="D420" s="2690">
        <v>100000000</v>
      </c>
      <c r="E420" s="2968">
        <v>0</v>
      </c>
      <c r="F420" s="2968"/>
      <c r="G420" s="2968">
        <v>0</v>
      </c>
      <c r="H420" s="2968">
        <v>0</v>
      </c>
      <c r="I420" s="1463"/>
      <c r="K420" s="536"/>
      <c r="L420" s="536"/>
    </row>
    <row r="421" spans="1:12" ht="33" hidden="1" customHeight="1" x14ac:dyDescent="0.25">
      <c r="A421" s="2"/>
      <c r="B421" s="441"/>
      <c r="C421" s="2473" t="s">
        <v>3559</v>
      </c>
      <c r="D421" s="2690">
        <v>150000000</v>
      </c>
      <c r="E421" s="2690">
        <v>150000000</v>
      </c>
      <c r="F421" s="2760"/>
      <c r="G421" s="2804">
        <f t="shared" ref="G421:G422" si="25">E421/D421*100</f>
        <v>100</v>
      </c>
      <c r="H421" s="2690">
        <v>100</v>
      </c>
      <c r="I421" s="1463"/>
      <c r="K421" s="536"/>
      <c r="L421" s="536"/>
    </row>
    <row r="422" spans="1:12" ht="18.75" hidden="1" customHeight="1" x14ac:dyDescent="0.25">
      <c r="A422" s="2"/>
      <c r="B422" s="441"/>
      <c r="C422" s="2473" t="s">
        <v>3560</v>
      </c>
      <c r="D422" s="2690">
        <v>100000000</v>
      </c>
      <c r="E422" s="2690">
        <v>100000000</v>
      </c>
      <c r="F422" s="2760"/>
      <c r="G422" s="2804">
        <f t="shared" si="25"/>
        <v>100</v>
      </c>
      <c r="H422" s="2690">
        <v>100</v>
      </c>
      <c r="I422" s="1463"/>
      <c r="K422" s="536"/>
      <c r="L422" s="536"/>
    </row>
    <row r="423" spans="1:12" ht="17.25" hidden="1" customHeight="1" x14ac:dyDescent="0.25">
      <c r="A423" s="2"/>
      <c r="B423" s="441"/>
      <c r="C423" s="2473" t="s">
        <v>6663</v>
      </c>
      <c r="D423" s="2690">
        <v>100000000</v>
      </c>
      <c r="E423" s="2968">
        <v>0</v>
      </c>
      <c r="F423" s="2968"/>
      <c r="G423" s="2968">
        <v>0</v>
      </c>
      <c r="H423" s="2968">
        <v>0</v>
      </c>
      <c r="I423" s="1463"/>
      <c r="K423" s="536"/>
      <c r="L423" s="536"/>
    </row>
    <row r="424" spans="1:12" ht="17.25" hidden="1" customHeight="1" x14ac:dyDescent="0.25">
      <c r="A424" s="2"/>
      <c r="B424" s="441"/>
      <c r="C424" s="2473" t="s">
        <v>3561</v>
      </c>
      <c r="D424" s="2690">
        <v>80000000</v>
      </c>
      <c r="E424" s="2690">
        <v>80000000</v>
      </c>
      <c r="F424" s="2760"/>
      <c r="G424" s="2804">
        <f t="shared" ref="G424" si="26">E424/D424*100</f>
        <v>100</v>
      </c>
      <c r="H424" s="2690">
        <v>100</v>
      </c>
      <c r="I424" s="1463"/>
      <c r="K424" s="536"/>
      <c r="L424" s="536"/>
    </row>
    <row r="425" spans="1:12" ht="12" hidden="1" customHeight="1" x14ac:dyDescent="0.25">
      <c r="A425" s="2"/>
      <c r="B425" s="441"/>
      <c r="C425" s="2478"/>
      <c r="D425" s="4053"/>
      <c r="E425" s="4053"/>
      <c r="F425" s="4058"/>
      <c r="G425" s="2804"/>
      <c r="H425" s="3496"/>
      <c r="I425" s="1463"/>
      <c r="K425" s="536"/>
      <c r="L425" s="536"/>
    </row>
    <row r="426" spans="1:12" ht="17.25" hidden="1" customHeight="1" x14ac:dyDescent="0.25">
      <c r="A426" s="2"/>
      <c r="B426" s="440"/>
      <c r="C426" s="2532" t="s">
        <v>1538</v>
      </c>
      <c r="D426" s="3985">
        <f>SUM(D427+D430+D433+D440)</f>
        <v>5001390000</v>
      </c>
      <c r="E426" s="3985">
        <f>SUM(E427+E430+E433+E440)</f>
        <v>4989395500</v>
      </c>
      <c r="F426" s="3985"/>
      <c r="G426" s="2672">
        <f>E426/D426*100</f>
        <v>99.760176670885485</v>
      </c>
      <c r="H426" s="2672">
        <f>SUM(H427+H430+H433+H440)/4</f>
        <v>100</v>
      </c>
      <c r="I426" s="1463"/>
      <c r="K426" s="536"/>
      <c r="L426" s="536"/>
    </row>
    <row r="427" spans="1:12" ht="18" hidden="1" customHeight="1" x14ac:dyDescent="0.25">
      <c r="A427" s="2"/>
      <c r="B427" s="441"/>
      <c r="C427" s="2525" t="s">
        <v>1539</v>
      </c>
      <c r="D427" s="3784">
        <f>D428</f>
        <v>500000000</v>
      </c>
      <c r="E427" s="3784">
        <f>E428</f>
        <v>495005500</v>
      </c>
      <c r="F427" s="4055"/>
      <c r="G427" s="2942">
        <f>E427/D427*100</f>
        <v>99.001099999999994</v>
      </c>
      <c r="H427" s="2734">
        <f>H428</f>
        <v>100</v>
      </c>
      <c r="I427" s="1463"/>
      <c r="K427" s="536"/>
      <c r="L427" s="536"/>
    </row>
    <row r="428" spans="1:12" ht="14.25" hidden="1" customHeight="1" x14ac:dyDescent="0.25">
      <c r="A428" s="2"/>
      <c r="B428" s="441"/>
      <c r="C428" s="2473" t="s">
        <v>1540</v>
      </c>
      <c r="D428" s="2855">
        <v>500000000</v>
      </c>
      <c r="E428" s="2923">
        <v>495005500</v>
      </c>
      <c r="F428" s="2924"/>
      <c r="G428" s="2804">
        <f t="shared" ref="G428:G431" si="27">E428/D428*100</f>
        <v>99.001099999999994</v>
      </c>
      <c r="H428" s="2710">
        <v>100</v>
      </c>
      <c r="I428" s="1463"/>
      <c r="K428" s="536"/>
      <c r="L428" s="536"/>
    </row>
    <row r="429" spans="1:12" ht="9.75" hidden="1" customHeight="1" x14ac:dyDescent="0.25">
      <c r="A429" s="2"/>
      <c r="B429" s="441"/>
      <c r="C429" s="2474"/>
      <c r="D429" s="3785"/>
      <c r="E429" s="3035"/>
      <c r="F429" s="3185"/>
      <c r="G429" s="2804"/>
      <c r="H429" s="3035"/>
      <c r="I429" s="1463"/>
      <c r="K429" s="536"/>
      <c r="L429" s="536"/>
    </row>
    <row r="430" spans="1:12" ht="18" hidden="1" customHeight="1" x14ac:dyDescent="0.25">
      <c r="A430" s="2"/>
      <c r="B430" s="441"/>
      <c r="C430" s="2477" t="s">
        <v>1541</v>
      </c>
      <c r="D430" s="2813">
        <f>D431</f>
        <v>400000000</v>
      </c>
      <c r="E430" s="2813">
        <f>E431</f>
        <v>400000000</v>
      </c>
      <c r="F430" s="3214"/>
      <c r="G430" s="2725">
        <f t="shared" si="27"/>
        <v>100</v>
      </c>
      <c r="H430" s="2725">
        <f>H431</f>
        <v>100</v>
      </c>
      <c r="I430" s="1463"/>
      <c r="K430" s="536"/>
      <c r="L430" s="536"/>
    </row>
    <row r="431" spans="1:12" ht="15" hidden="1" customHeight="1" x14ac:dyDescent="0.25">
      <c r="A431" s="2"/>
      <c r="B431" s="441"/>
      <c r="C431" s="2473" t="s">
        <v>6664</v>
      </c>
      <c r="D431" s="2879">
        <v>400000000</v>
      </c>
      <c r="E431" s="2804">
        <v>400000000</v>
      </c>
      <c r="F431" s="2804"/>
      <c r="G431" s="2804">
        <f t="shared" si="27"/>
        <v>100</v>
      </c>
      <c r="H431" s="2804">
        <v>100</v>
      </c>
      <c r="I431" s="1463"/>
      <c r="K431" s="536"/>
      <c r="L431" s="536"/>
    </row>
    <row r="432" spans="1:12" ht="9" hidden="1" customHeight="1" x14ac:dyDescent="0.25">
      <c r="A432" s="2"/>
      <c r="B432" s="441"/>
      <c r="C432" s="2472"/>
      <c r="D432" s="3785"/>
      <c r="E432" s="3185"/>
      <c r="F432" s="3185"/>
      <c r="G432" s="3185"/>
      <c r="H432" s="3185"/>
      <c r="I432" s="1463"/>
      <c r="K432" s="536"/>
      <c r="L432" s="536"/>
    </row>
    <row r="433" spans="1:12" ht="17.25" hidden="1" customHeight="1" x14ac:dyDescent="0.25">
      <c r="A433" s="2"/>
      <c r="B433" s="441"/>
      <c r="C433" s="2525" t="s">
        <v>1542</v>
      </c>
      <c r="D433" s="2695">
        <f>SUM(D434:D438)</f>
        <v>4001390000</v>
      </c>
      <c r="E433" s="2695">
        <f>SUM(E434:E438)</f>
        <v>3994390000</v>
      </c>
      <c r="F433" s="2734"/>
      <c r="G433" s="2942">
        <f>E433/D433*100</f>
        <v>99.825060791374995</v>
      </c>
      <c r="H433" s="2679">
        <f>SUM(H434:H438)/5</f>
        <v>100</v>
      </c>
      <c r="I433" s="1463"/>
      <c r="K433" s="536"/>
      <c r="L433" s="536"/>
    </row>
    <row r="434" spans="1:12" ht="15" hidden="1" customHeight="1" x14ac:dyDescent="0.25">
      <c r="A434" s="2"/>
      <c r="B434" s="441"/>
      <c r="C434" s="2475" t="s">
        <v>1543</v>
      </c>
      <c r="D434" s="2924">
        <v>2881390000</v>
      </c>
      <c r="E434" s="2690">
        <v>2874390000</v>
      </c>
      <c r="F434" s="2760"/>
      <c r="G434" s="2804">
        <f t="shared" ref="G434:G438" si="28">E434/D434*100</f>
        <v>99.757061695917599</v>
      </c>
      <c r="H434" s="2690">
        <v>100</v>
      </c>
      <c r="I434" s="1463"/>
      <c r="K434" s="536"/>
      <c r="L434" s="536"/>
    </row>
    <row r="435" spans="1:12" ht="21" hidden="1" customHeight="1" x14ac:dyDescent="0.25">
      <c r="A435" s="2"/>
      <c r="B435" s="441"/>
      <c r="C435" s="2473" t="s">
        <v>1544</v>
      </c>
      <c r="D435" s="2855">
        <v>80000000</v>
      </c>
      <c r="E435" s="2710">
        <v>80000000</v>
      </c>
      <c r="F435" s="2752"/>
      <c r="G435" s="2804">
        <f t="shared" si="28"/>
        <v>100</v>
      </c>
      <c r="H435" s="2710">
        <v>100</v>
      </c>
      <c r="I435" s="1463"/>
      <c r="K435" s="536"/>
      <c r="L435" s="536"/>
    </row>
    <row r="436" spans="1:12" ht="16.5" hidden="1" customHeight="1" x14ac:dyDescent="0.25">
      <c r="A436" s="2"/>
      <c r="B436" s="441"/>
      <c r="C436" s="2473" t="s">
        <v>1545</v>
      </c>
      <c r="D436" s="2855">
        <v>200000000</v>
      </c>
      <c r="E436" s="2710">
        <v>200000000</v>
      </c>
      <c r="F436" s="2752"/>
      <c r="G436" s="2804">
        <f t="shared" si="28"/>
        <v>100</v>
      </c>
      <c r="H436" s="2710">
        <v>100</v>
      </c>
      <c r="I436" s="1463"/>
      <c r="K436" s="536"/>
      <c r="L436" s="536"/>
    </row>
    <row r="437" spans="1:12" ht="14.25" hidden="1" customHeight="1" x14ac:dyDescent="0.25">
      <c r="A437" s="2"/>
      <c r="B437" s="441"/>
      <c r="C437" s="2473" t="s">
        <v>1546</v>
      </c>
      <c r="D437" s="2855">
        <v>120000000</v>
      </c>
      <c r="E437" s="2710">
        <v>120000000</v>
      </c>
      <c r="F437" s="2752"/>
      <c r="G437" s="2804">
        <f t="shared" si="28"/>
        <v>100</v>
      </c>
      <c r="H437" s="2710">
        <v>100</v>
      </c>
      <c r="I437" s="1463"/>
      <c r="K437" s="536"/>
      <c r="L437" s="536"/>
    </row>
    <row r="438" spans="1:12" ht="20.25" hidden="1" customHeight="1" x14ac:dyDescent="0.25">
      <c r="A438" s="2"/>
      <c r="B438" s="441"/>
      <c r="C438" s="2473" t="s">
        <v>1547</v>
      </c>
      <c r="D438" s="2855">
        <v>720000000</v>
      </c>
      <c r="E438" s="2710">
        <v>720000000</v>
      </c>
      <c r="F438" s="2752"/>
      <c r="G438" s="2804">
        <f t="shared" si="28"/>
        <v>100</v>
      </c>
      <c r="H438" s="2710">
        <v>100</v>
      </c>
      <c r="I438" s="1463"/>
      <c r="K438" s="536"/>
      <c r="L438" s="536"/>
    </row>
    <row r="439" spans="1:12" ht="7.5" hidden="1" customHeight="1" x14ac:dyDescent="0.25">
      <c r="A439" s="2"/>
      <c r="B439" s="444"/>
      <c r="C439" s="2473"/>
      <c r="D439" s="2855"/>
      <c r="E439" s="2710"/>
      <c r="F439" s="2710"/>
      <c r="G439" s="2685"/>
      <c r="H439" s="2710"/>
      <c r="I439" s="1463"/>
      <c r="K439" s="536"/>
      <c r="L439" s="536"/>
    </row>
    <row r="440" spans="1:12" ht="15.75" hidden="1" customHeight="1" x14ac:dyDescent="0.25">
      <c r="A440" s="2"/>
      <c r="B440" s="441"/>
      <c r="C440" s="2474" t="s">
        <v>1548</v>
      </c>
      <c r="D440" s="2695">
        <f>D441</f>
        <v>100000000</v>
      </c>
      <c r="E440" s="2695">
        <f>E441</f>
        <v>100000000</v>
      </c>
      <c r="F440" s="2734"/>
      <c r="G440" s="2725">
        <f t="shared" ref="G440:G441" si="29">E440/D440*100</f>
        <v>100</v>
      </c>
      <c r="H440" s="2966">
        <f>H441</f>
        <v>100</v>
      </c>
      <c r="I440" s="1463"/>
      <c r="K440" s="536"/>
      <c r="L440" s="536"/>
    </row>
    <row r="441" spans="1:12" ht="18" hidden="1" customHeight="1" x14ac:dyDescent="0.25">
      <c r="A441" s="2"/>
      <c r="B441" s="441"/>
      <c r="C441" s="2473" t="s">
        <v>1549</v>
      </c>
      <c r="D441" s="2690">
        <v>100000000</v>
      </c>
      <c r="E441" s="2968">
        <v>100000000</v>
      </c>
      <c r="F441" s="3014"/>
      <c r="G441" s="2804">
        <f t="shared" si="29"/>
        <v>100</v>
      </c>
      <c r="H441" s="2968">
        <v>100</v>
      </c>
      <c r="I441" s="1463"/>
      <c r="K441" s="536"/>
      <c r="L441" s="536"/>
    </row>
    <row r="442" spans="1:12" s="121" customFormat="1" ht="16.5" hidden="1" customHeight="1" x14ac:dyDescent="0.25">
      <c r="B442" s="1069"/>
      <c r="C442" s="134"/>
      <c r="D442" s="110"/>
      <c r="E442" s="110"/>
      <c r="F442" s="110"/>
      <c r="G442" s="110"/>
      <c r="H442" s="1083"/>
      <c r="I442" s="1093"/>
      <c r="K442" s="122"/>
      <c r="L442" s="122"/>
    </row>
    <row r="443" spans="1:12" ht="17.25" hidden="1" customHeight="1" x14ac:dyDescent="0.25">
      <c r="A443" s="2"/>
      <c r="B443" s="440"/>
      <c r="C443" s="2532" t="s">
        <v>1550</v>
      </c>
      <c r="D443" s="2744">
        <f>D444</f>
        <v>150000000</v>
      </c>
      <c r="E443" s="2744">
        <f>E444</f>
        <v>150000000</v>
      </c>
      <c r="F443" s="2744"/>
      <c r="G443" s="2672">
        <f>E443/D443*100</f>
        <v>100</v>
      </c>
      <c r="H443" s="2744">
        <f>H444</f>
        <v>100</v>
      </c>
      <c r="I443" s="1463"/>
      <c r="K443" s="536"/>
      <c r="L443" s="536"/>
    </row>
    <row r="444" spans="1:12" ht="17.25" hidden="1" customHeight="1" x14ac:dyDescent="0.25">
      <c r="A444" s="2"/>
      <c r="B444" s="441"/>
      <c r="C444" s="2521" t="s">
        <v>1555</v>
      </c>
      <c r="D444" s="3653">
        <f>D448</f>
        <v>150000000</v>
      </c>
      <c r="E444" s="3653">
        <f>E448</f>
        <v>150000000</v>
      </c>
      <c r="F444" s="3653"/>
      <c r="G444" s="2725">
        <f>E444/D444*100</f>
        <v>100</v>
      </c>
      <c r="H444" s="2725">
        <f>H448</f>
        <v>100</v>
      </c>
      <c r="I444" s="1463"/>
      <c r="K444" s="536"/>
      <c r="L444" s="536"/>
    </row>
    <row r="445" spans="1:12" ht="18" hidden="1" customHeight="1" x14ac:dyDescent="0.25">
      <c r="A445" s="2"/>
      <c r="B445" s="441"/>
      <c r="C445" s="2473" t="s">
        <v>1556</v>
      </c>
      <c r="D445" s="896">
        <v>0</v>
      </c>
      <c r="E445" s="896">
        <v>0</v>
      </c>
      <c r="F445" s="896"/>
      <c r="G445" s="896">
        <v>0</v>
      </c>
      <c r="H445" s="896">
        <v>0</v>
      </c>
      <c r="I445" s="1463"/>
      <c r="K445" s="536"/>
      <c r="L445" s="536"/>
    </row>
    <row r="446" spans="1:12" ht="18" hidden="1" customHeight="1" x14ac:dyDescent="0.25">
      <c r="A446" s="2"/>
      <c r="B446" s="441"/>
      <c r="C446" s="2473" t="s">
        <v>1557</v>
      </c>
      <c r="D446" s="896">
        <v>0</v>
      </c>
      <c r="E446" s="896">
        <v>0</v>
      </c>
      <c r="F446" s="896"/>
      <c r="G446" s="896">
        <v>0</v>
      </c>
      <c r="H446" s="896">
        <v>0</v>
      </c>
      <c r="I446" s="1463"/>
      <c r="K446" s="536"/>
      <c r="L446" s="536"/>
    </row>
    <row r="447" spans="1:12" ht="18" hidden="1" customHeight="1" x14ac:dyDescent="0.25">
      <c r="A447" s="2"/>
      <c r="B447" s="441"/>
      <c r="C447" s="2473" t="s">
        <v>1558</v>
      </c>
      <c r="D447" s="896">
        <v>0</v>
      </c>
      <c r="E447" s="896">
        <v>0</v>
      </c>
      <c r="F447" s="896"/>
      <c r="G447" s="896">
        <v>0</v>
      </c>
      <c r="H447" s="896">
        <v>0</v>
      </c>
      <c r="I447" s="1463"/>
      <c r="K447" s="536"/>
      <c r="L447" s="536"/>
    </row>
    <row r="448" spans="1:12" ht="18" hidden="1" customHeight="1" x14ac:dyDescent="0.25">
      <c r="A448" s="2"/>
      <c r="B448" s="441"/>
      <c r="C448" s="3740" t="s">
        <v>4014</v>
      </c>
      <c r="D448" s="2852">
        <v>150000000</v>
      </c>
      <c r="E448" s="2726">
        <v>150000000</v>
      </c>
      <c r="F448" s="2762"/>
      <c r="G448" s="2804">
        <f>E448/D448*100</f>
        <v>100</v>
      </c>
      <c r="H448" s="2804">
        <v>100</v>
      </c>
      <c r="I448" s="1463"/>
      <c r="K448" s="536"/>
      <c r="L448" s="536"/>
    </row>
    <row r="449" spans="1:12" s="121" customFormat="1" ht="16.5" hidden="1" customHeight="1" x14ac:dyDescent="0.25">
      <c r="B449" s="1069"/>
      <c r="C449" s="53"/>
      <c r="D449" s="1048"/>
      <c r="E449" s="1048"/>
      <c r="F449" s="1048"/>
      <c r="G449" s="1048"/>
      <c r="H449" s="1514"/>
      <c r="I449" s="1093"/>
      <c r="K449" s="122"/>
      <c r="L449" s="122"/>
    </row>
    <row r="450" spans="1:12" s="121" customFormat="1" ht="19.5" hidden="1" customHeight="1" x14ac:dyDescent="0.25">
      <c r="B450" s="1075"/>
      <c r="C450" s="56" t="s">
        <v>1681</v>
      </c>
      <c r="D450" s="155">
        <f>D451</f>
        <v>6811331000</v>
      </c>
      <c r="E450" s="155">
        <f>E451</f>
        <v>0</v>
      </c>
      <c r="F450" s="155"/>
      <c r="G450" s="155">
        <f>G451</f>
        <v>0</v>
      </c>
      <c r="H450" s="155">
        <f>H451</f>
        <v>0</v>
      </c>
      <c r="I450" s="1093"/>
      <c r="K450" s="122"/>
      <c r="L450" s="122"/>
    </row>
    <row r="451" spans="1:12" s="121" customFormat="1" ht="19.5" hidden="1" customHeight="1" x14ac:dyDescent="0.25">
      <c r="A451" s="16"/>
      <c r="B451" s="1069"/>
      <c r="C451" s="115" t="s">
        <v>5808</v>
      </c>
      <c r="D451" s="2332">
        <f>D452</f>
        <v>6811331000</v>
      </c>
      <c r="E451" s="2283">
        <v>0</v>
      </c>
      <c r="F451" s="2283"/>
      <c r="G451" s="2283">
        <v>0</v>
      </c>
      <c r="H451" s="2283">
        <v>0</v>
      </c>
      <c r="I451" s="1093"/>
      <c r="K451" s="122"/>
      <c r="L451" s="122"/>
    </row>
    <row r="452" spans="1:12" s="121" customFormat="1" ht="19.5" hidden="1" customHeight="1" x14ac:dyDescent="0.25">
      <c r="A452" s="16"/>
      <c r="B452" s="1069"/>
      <c r="C452" s="145" t="s">
        <v>1692</v>
      </c>
      <c r="D452" s="2333">
        <v>6811331000</v>
      </c>
      <c r="E452" s="2284">
        <v>0</v>
      </c>
      <c r="F452" s="2284"/>
      <c r="G452" s="2284">
        <v>0</v>
      </c>
      <c r="H452" s="2284">
        <v>0</v>
      </c>
      <c r="I452" s="1093"/>
      <c r="K452" s="122"/>
      <c r="L452" s="122"/>
    </row>
    <row r="453" spans="1:12" s="121" customFormat="1" ht="12" hidden="1" customHeight="1" x14ac:dyDescent="0.25">
      <c r="B453" s="1069"/>
      <c r="C453" s="119"/>
      <c r="D453" s="1048"/>
      <c r="E453" s="1048"/>
      <c r="F453" s="1048"/>
      <c r="G453" s="85"/>
      <c r="H453" s="1514"/>
      <c r="I453" s="1093"/>
      <c r="K453" s="122"/>
      <c r="L453" s="122"/>
    </row>
    <row r="454" spans="1:12" s="121" customFormat="1" ht="18" customHeight="1" x14ac:dyDescent="0.25">
      <c r="B454" s="2294"/>
      <c r="C454" s="422" t="s">
        <v>1696</v>
      </c>
      <c r="D454" s="2334">
        <f>SUM(D456+D531+D523+D527)</f>
        <v>14731000000</v>
      </c>
      <c r="E454" s="2334">
        <f>SUM(E456+E531+E523+E527)</f>
        <v>13326806500</v>
      </c>
      <c r="F454" s="50">
        <f>D454-E454</f>
        <v>1404193500</v>
      </c>
      <c r="G454" s="424">
        <f>E454/D454*100</f>
        <v>90.467765256941149</v>
      </c>
      <c r="H454" s="2304">
        <f>SUM(H456+H523+H527+H531)/4</f>
        <v>84.047619047619037</v>
      </c>
      <c r="I454" s="1509"/>
      <c r="K454" s="122"/>
      <c r="L454" s="122"/>
    </row>
    <row r="455" spans="1:12" ht="9.75" hidden="1" customHeight="1" x14ac:dyDescent="0.25">
      <c r="B455" s="1033"/>
      <c r="C455" s="119"/>
      <c r="D455" s="2335"/>
      <c r="E455" s="239"/>
      <c r="F455" s="239"/>
      <c r="G455" s="81"/>
      <c r="H455" s="1494"/>
      <c r="I455" s="1106"/>
    </row>
    <row r="456" spans="1:12" ht="19.5" hidden="1" customHeight="1" x14ac:dyDescent="0.25">
      <c r="B456" s="1046"/>
      <c r="C456" s="89" t="s">
        <v>398</v>
      </c>
      <c r="D456" s="57">
        <f>SUM(D457+D474+D480+D485+D492+D499+D510)</f>
        <v>12281000000</v>
      </c>
      <c r="E456" s="57">
        <f>SUM(E457+E474+E480+E485+E492+E499+E510)</f>
        <v>11626806500</v>
      </c>
      <c r="F456" s="57"/>
      <c r="G456" s="78">
        <f>E456/D456*100</f>
        <v>94.673125152674871</v>
      </c>
      <c r="H456" s="179">
        <f>SUM(H457+H474+H480+H485+H492+H499+H510)/7</f>
        <v>96.190476190476176</v>
      </c>
      <c r="I456" s="1106"/>
    </row>
    <row r="457" spans="1:12" ht="21" hidden="1" customHeight="1" x14ac:dyDescent="0.25">
      <c r="A457" s="2"/>
      <c r="B457" s="1024"/>
      <c r="C457" s="129" t="s">
        <v>1730</v>
      </c>
      <c r="D457" s="234">
        <f>SUM(D458:D472)</f>
        <v>4145000000</v>
      </c>
      <c r="E457" s="234">
        <f>SUM(E458:E472)</f>
        <v>3545000000</v>
      </c>
      <c r="F457" s="234"/>
      <c r="G457" s="392">
        <f t="shared" ref="G457:G490" si="30">E457/D457*100</f>
        <v>85.524728588661034</v>
      </c>
      <c r="H457" s="233">
        <f>SUM(H458:H472)/15</f>
        <v>98.333333333333329</v>
      </c>
      <c r="I457" s="1991"/>
      <c r="K457"/>
      <c r="L457"/>
    </row>
    <row r="458" spans="1:12" ht="18.75" hidden="1" customHeight="1" x14ac:dyDescent="0.25">
      <c r="A458" s="2"/>
      <c r="B458" s="1024"/>
      <c r="C458" s="91" t="s">
        <v>1731</v>
      </c>
      <c r="D458" s="73">
        <v>200000000</v>
      </c>
      <c r="E458" s="924">
        <v>200000000</v>
      </c>
      <c r="F458" s="924"/>
      <c r="G458" s="327">
        <f t="shared" si="30"/>
        <v>100</v>
      </c>
      <c r="H458" s="201">
        <v>100</v>
      </c>
      <c r="I458" s="1991"/>
      <c r="K458"/>
      <c r="L458"/>
    </row>
    <row r="459" spans="1:12" ht="18" hidden="1" customHeight="1" x14ac:dyDescent="0.25">
      <c r="A459" s="2"/>
      <c r="B459" s="1024"/>
      <c r="C459" s="91" t="s">
        <v>1732</v>
      </c>
      <c r="D459" s="73">
        <v>2400000000</v>
      </c>
      <c r="E459" s="924">
        <v>1800000000</v>
      </c>
      <c r="F459" s="924"/>
      <c r="G459" s="327">
        <f t="shared" si="30"/>
        <v>75</v>
      </c>
      <c r="H459" s="201">
        <v>75</v>
      </c>
      <c r="I459" s="1991"/>
      <c r="K459"/>
      <c r="L459"/>
    </row>
    <row r="460" spans="1:12" ht="17.25" hidden="1" customHeight="1" x14ac:dyDescent="0.25">
      <c r="A460" s="2"/>
      <c r="B460" s="1024"/>
      <c r="C460" s="82" t="s">
        <v>1733</v>
      </c>
      <c r="D460" s="368">
        <v>70000000</v>
      </c>
      <c r="E460" s="368">
        <v>70000000</v>
      </c>
      <c r="F460" s="368"/>
      <c r="G460" s="327">
        <f t="shared" si="30"/>
        <v>100</v>
      </c>
      <c r="H460" s="73">
        <v>100</v>
      </c>
      <c r="I460" s="1991"/>
      <c r="K460"/>
      <c r="L460"/>
    </row>
    <row r="461" spans="1:12" s="196" customFormat="1" ht="16.5" hidden="1" customHeight="1" x14ac:dyDescent="0.25">
      <c r="A461" s="12"/>
      <c r="B461" s="1097"/>
      <c r="C461" s="82" t="s">
        <v>1734</v>
      </c>
      <c r="D461" s="368">
        <v>70000000</v>
      </c>
      <c r="E461" s="368">
        <v>70000000</v>
      </c>
      <c r="F461" s="368"/>
      <c r="G461" s="327">
        <f t="shared" si="30"/>
        <v>100</v>
      </c>
      <c r="H461" s="73">
        <v>100</v>
      </c>
      <c r="I461" s="2326"/>
    </row>
    <row r="462" spans="1:12" ht="19.5" hidden="1" customHeight="1" x14ac:dyDescent="0.25">
      <c r="A462" s="2"/>
      <c r="B462" s="1024"/>
      <c r="C462" s="91" t="s">
        <v>1735</v>
      </c>
      <c r="D462" s="73">
        <v>250000000</v>
      </c>
      <c r="E462" s="924">
        <v>250000000</v>
      </c>
      <c r="F462" s="924"/>
      <c r="G462" s="327">
        <f t="shared" si="30"/>
        <v>100</v>
      </c>
      <c r="H462" s="73">
        <v>100</v>
      </c>
      <c r="I462" s="1991"/>
      <c r="K462"/>
      <c r="L462"/>
    </row>
    <row r="463" spans="1:12" ht="20.25" hidden="1" customHeight="1" x14ac:dyDescent="0.25">
      <c r="A463" s="2"/>
      <c r="B463" s="1024"/>
      <c r="C463" s="91" t="s">
        <v>1736</v>
      </c>
      <c r="D463" s="73">
        <v>100000000</v>
      </c>
      <c r="E463" s="924">
        <v>100000000</v>
      </c>
      <c r="F463" s="924"/>
      <c r="G463" s="327">
        <f t="shared" si="30"/>
        <v>100</v>
      </c>
      <c r="H463" s="140">
        <v>100</v>
      </c>
      <c r="I463" s="1991"/>
      <c r="K463"/>
      <c r="L463"/>
    </row>
    <row r="464" spans="1:12" ht="18.75" hidden="1" customHeight="1" x14ac:dyDescent="0.25">
      <c r="A464" s="2"/>
      <c r="B464" s="1024"/>
      <c r="C464" s="91" t="s">
        <v>1737</v>
      </c>
      <c r="D464" s="73">
        <v>50000000</v>
      </c>
      <c r="E464" s="924">
        <v>50000000</v>
      </c>
      <c r="F464" s="924"/>
      <c r="G464" s="327">
        <f t="shared" si="30"/>
        <v>100</v>
      </c>
      <c r="H464" s="140">
        <v>100</v>
      </c>
      <c r="I464" s="1991"/>
      <c r="K464"/>
      <c r="L464"/>
    </row>
    <row r="465" spans="1:12" ht="14.25" hidden="1" customHeight="1" x14ac:dyDescent="0.25">
      <c r="A465" s="2"/>
      <c r="B465" s="1024"/>
      <c r="C465" s="82" t="s">
        <v>1738</v>
      </c>
      <c r="D465" s="368">
        <v>70000000</v>
      </c>
      <c r="E465" s="368">
        <v>70000000</v>
      </c>
      <c r="F465" s="368"/>
      <c r="G465" s="327">
        <f t="shared" si="30"/>
        <v>100</v>
      </c>
      <c r="H465" s="73">
        <v>100</v>
      </c>
      <c r="I465" s="1991"/>
      <c r="K465"/>
      <c r="L465"/>
    </row>
    <row r="466" spans="1:12" s="196" customFormat="1" ht="16.5" hidden="1" customHeight="1" x14ac:dyDescent="0.25">
      <c r="A466" s="12"/>
      <c r="B466" s="1097"/>
      <c r="C466" s="82" t="s">
        <v>1739</v>
      </c>
      <c r="D466" s="368">
        <v>200000000</v>
      </c>
      <c r="E466" s="368">
        <v>200000000</v>
      </c>
      <c r="F466" s="368"/>
      <c r="G466" s="327">
        <f t="shared" si="30"/>
        <v>100</v>
      </c>
      <c r="H466" s="140">
        <v>100</v>
      </c>
      <c r="I466" s="2326"/>
    </row>
    <row r="467" spans="1:12" ht="16.5" hidden="1" customHeight="1" x14ac:dyDescent="0.25">
      <c r="A467" s="2"/>
      <c r="B467" s="1024"/>
      <c r="C467" s="91" t="s">
        <v>1740</v>
      </c>
      <c r="D467" s="73">
        <v>70000000</v>
      </c>
      <c r="E467" s="73">
        <v>70000000</v>
      </c>
      <c r="F467" s="73"/>
      <c r="G467" s="327">
        <f t="shared" si="30"/>
        <v>100</v>
      </c>
      <c r="H467" s="140">
        <v>100</v>
      </c>
      <c r="I467" s="1991"/>
      <c r="K467"/>
      <c r="L467"/>
    </row>
    <row r="468" spans="1:12" ht="15.75" hidden="1" customHeight="1" x14ac:dyDescent="0.25">
      <c r="A468" s="2"/>
      <c r="B468" s="1024"/>
      <c r="C468" s="82" t="s">
        <v>1741</v>
      </c>
      <c r="D468" s="368">
        <v>100000000</v>
      </c>
      <c r="E468" s="368">
        <v>100000000</v>
      </c>
      <c r="F468" s="368"/>
      <c r="G468" s="327">
        <f t="shared" si="30"/>
        <v>100</v>
      </c>
      <c r="H468" s="73">
        <v>100</v>
      </c>
      <c r="I468" s="1991"/>
      <c r="K468"/>
      <c r="L468"/>
    </row>
    <row r="469" spans="1:12" s="196" customFormat="1" ht="19.5" hidden="1" customHeight="1" x14ac:dyDescent="0.25">
      <c r="A469" s="12"/>
      <c r="B469" s="1097"/>
      <c r="C469" s="82" t="s">
        <v>1742</v>
      </c>
      <c r="D469" s="368">
        <v>355000000</v>
      </c>
      <c r="E469" s="368">
        <v>355000000</v>
      </c>
      <c r="F469" s="368"/>
      <c r="G469" s="327">
        <f t="shared" si="30"/>
        <v>100</v>
      </c>
      <c r="H469" s="140">
        <v>100</v>
      </c>
      <c r="I469" s="2326"/>
    </row>
    <row r="470" spans="1:12" ht="17.25" hidden="1" customHeight="1" x14ac:dyDescent="0.25">
      <c r="A470" s="2"/>
      <c r="B470" s="1024"/>
      <c r="C470" s="91" t="s">
        <v>1743</v>
      </c>
      <c r="D470" s="73">
        <v>70000000</v>
      </c>
      <c r="E470" s="73">
        <v>70000000</v>
      </c>
      <c r="F470" s="73"/>
      <c r="G470" s="327">
        <f t="shared" si="30"/>
        <v>100</v>
      </c>
      <c r="H470" s="140">
        <v>100</v>
      </c>
      <c r="I470" s="1991"/>
      <c r="K470"/>
      <c r="L470"/>
    </row>
    <row r="471" spans="1:12" ht="16.5" hidden="1" customHeight="1" x14ac:dyDescent="0.25">
      <c r="A471" s="2"/>
      <c r="B471" s="1024"/>
      <c r="C471" s="91" t="s">
        <v>1744</v>
      </c>
      <c r="D471" s="73">
        <v>70000000</v>
      </c>
      <c r="E471" s="73">
        <v>70000000</v>
      </c>
      <c r="F471" s="73"/>
      <c r="G471" s="327">
        <f t="shared" si="30"/>
        <v>100</v>
      </c>
      <c r="H471" s="140">
        <v>100</v>
      </c>
      <c r="I471" s="1991"/>
      <c r="K471"/>
      <c r="L471"/>
    </row>
    <row r="472" spans="1:12" ht="20.25" hidden="1" customHeight="1" x14ac:dyDescent="0.25">
      <c r="A472" s="2"/>
      <c r="B472" s="1024"/>
      <c r="C472" s="82" t="s">
        <v>1745</v>
      </c>
      <c r="D472" s="368">
        <v>70000000</v>
      </c>
      <c r="E472" s="368">
        <v>70000000</v>
      </c>
      <c r="F472" s="368"/>
      <c r="G472" s="327">
        <f t="shared" si="30"/>
        <v>100</v>
      </c>
      <c r="H472" s="73">
        <v>100</v>
      </c>
      <c r="I472" s="1991"/>
      <c r="K472"/>
      <c r="L472"/>
    </row>
    <row r="473" spans="1:12" ht="10.5" hidden="1" customHeight="1" x14ac:dyDescent="0.25">
      <c r="A473" s="2"/>
      <c r="B473" s="1024"/>
      <c r="C473" s="134"/>
      <c r="D473" s="680"/>
      <c r="E473" s="680"/>
      <c r="F473" s="680"/>
      <c r="G473" s="327"/>
      <c r="H473" s="244"/>
      <c r="I473" s="1991"/>
      <c r="K473"/>
      <c r="L473"/>
    </row>
    <row r="474" spans="1:12" s="32" customFormat="1" ht="15.75" hidden="1" customHeight="1" x14ac:dyDescent="0.25">
      <c r="A474" s="1"/>
      <c r="B474" s="1024"/>
      <c r="C474" s="332" t="s">
        <v>1746</v>
      </c>
      <c r="D474" s="157">
        <f>SUM(D475:D478)</f>
        <v>650000000</v>
      </c>
      <c r="E474" s="157">
        <f>SUM(E475:E478)</f>
        <v>599700000</v>
      </c>
      <c r="F474" s="157"/>
      <c r="G474" s="392">
        <f t="shared" si="30"/>
        <v>92.261538461538464</v>
      </c>
      <c r="H474" s="142">
        <f>SUM(H475:H478)/4</f>
        <v>75</v>
      </c>
      <c r="I474" s="2216"/>
    </row>
    <row r="475" spans="1:12" ht="18.75" hidden="1" customHeight="1" x14ac:dyDescent="0.25">
      <c r="A475" s="2"/>
      <c r="B475" s="1024"/>
      <c r="C475" s="91" t="s">
        <v>1747</v>
      </c>
      <c r="D475" s="73">
        <v>500000000</v>
      </c>
      <c r="E475" s="924">
        <v>499700000</v>
      </c>
      <c r="F475" s="924"/>
      <c r="G475" s="327">
        <f t="shared" si="30"/>
        <v>99.94</v>
      </c>
      <c r="H475" s="140">
        <v>100</v>
      </c>
      <c r="I475" s="1991"/>
      <c r="K475"/>
      <c r="L475"/>
    </row>
    <row r="476" spans="1:12" ht="15.75" hidden="1" customHeight="1" x14ac:dyDescent="0.25">
      <c r="A476" s="2"/>
      <c r="B476" s="1993"/>
      <c r="C476" s="82" t="s">
        <v>1748</v>
      </c>
      <c r="D476" s="368">
        <v>50000000</v>
      </c>
      <c r="E476" s="368">
        <v>0</v>
      </c>
      <c r="F476" s="368"/>
      <c r="G476" s="368">
        <v>0</v>
      </c>
      <c r="H476" s="368">
        <v>0</v>
      </c>
      <c r="I476" s="1991"/>
      <c r="K476"/>
      <c r="L476"/>
    </row>
    <row r="477" spans="1:12" s="196" customFormat="1" ht="18" hidden="1" customHeight="1" x14ac:dyDescent="0.25">
      <c r="A477" s="12"/>
      <c r="B477" s="1097"/>
      <c r="C477" s="82" t="s">
        <v>1749</v>
      </c>
      <c r="D477" s="368">
        <v>50000000</v>
      </c>
      <c r="E477" s="368">
        <v>50000000</v>
      </c>
      <c r="F477" s="368"/>
      <c r="G477" s="327">
        <f t="shared" si="30"/>
        <v>100</v>
      </c>
      <c r="H477" s="73">
        <v>100</v>
      </c>
      <c r="I477" s="2326"/>
    </row>
    <row r="478" spans="1:12" ht="19.5" hidden="1" customHeight="1" x14ac:dyDescent="0.25">
      <c r="A478" s="2"/>
      <c r="B478" s="1024"/>
      <c r="C478" s="91" t="s">
        <v>1750</v>
      </c>
      <c r="D478" s="73">
        <v>50000000</v>
      </c>
      <c r="E478" s="924">
        <v>50000000</v>
      </c>
      <c r="F478" s="924"/>
      <c r="G478" s="327">
        <f t="shared" si="30"/>
        <v>100</v>
      </c>
      <c r="H478" s="73">
        <v>100</v>
      </c>
      <c r="I478" s="1991"/>
      <c r="K478"/>
      <c r="L478"/>
    </row>
    <row r="479" spans="1:12" ht="10.5" hidden="1" customHeight="1" x14ac:dyDescent="0.25">
      <c r="A479" s="2"/>
      <c r="B479" s="1024"/>
      <c r="C479" s="91"/>
      <c r="D479" s="73"/>
      <c r="E479" s="924"/>
      <c r="F479" s="924"/>
      <c r="G479" s="327"/>
      <c r="H479" s="73"/>
      <c r="I479" s="1991"/>
      <c r="K479"/>
      <c r="L479"/>
    </row>
    <row r="480" spans="1:12" s="32" customFormat="1" ht="18" hidden="1" customHeight="1" x14ac:dyDescent="0.25">
      <c r="A480" s="1"/>
      <c r="B480" s="1024"/>
      <c r="C480" s="332" t="s">
        <v>1751</v>
      </c>
      <c r="D480" s="157">
        <f>SUM(D481:D483)</f>
        <v>370000000</v>
      </c>
      <c r="E480" s="157">
        <f>SUM(E481:E483)</f>
        <v>370000000</v>
      </c>
      <c r="F480" s="157"/>
      <c r="G480" s="392">
        <f t="shared" si="30"/>
        <v>100</v>
      </c>
      <c r="H480" s="157">
        <f>SUM(H481:H483)/3</f>
        <v>100</v>
      </c>
      <c r="I480" s="2216"/>
    </row>
    <row r="481" spans="1:12" ht="17.25" hidden="1" customHeight="1" x14ac:dyDescent="0.25">
      <c r="A481" s="2"/>
      <c r="B481" s="1024"/>
      <c r="C481" s="91" t="s">
        <v>1752</v>
      </c>
      <c r="D481" s="925">
        <v>250000000</v>
      </c>
      <c r="E481" s="368">
        <v>250000000</v>
      </c>
      <c r="F481" s="368"/>
      <c r="G481" s="327">
        <f t="shared" si="30"/>
        <v>100</v>
      </c>
      <c r="H481" s="73">
        <v>100</v>
      </c>
      <c r="I481" s="1991"/>
      <c r="K481"/>
      <c r="L481"/>
    </row>
    <row r="482" spans="1:12" s="196" customFormat="1" ht="16.5" hidden="1" customHeight="1" x14ac:dyDescent="0.25">
      <c r="A482" s="12"/>
      <c r="B482" s="1097"/>
      <c r="C482" s="82" t="s">
        <v>1753</v>
      </c>
      <c r="D482" s="368">
        <v>50000000</v>
      </c>
      <c r="E482" s="368">
        <v>50000000</v>
      </c>
      <c r="F482" s="368"/>
      <c r="G482" s="327">
        <f t="shared" si="30"/>
        <v>100</v>
      </c>
      <c r="H482" s="73">
        <v>100</v>
      </c>
      <c r="I482" s="2326"/>
    </row>
    <row r="483" spans="1:12" ht="17.25" hidden="1" customHeight="1" x14ac:dyDescent="0.25">
      <c r="A483" s="2"/>
      <c r="B483" s="1024"/>
      <c r="C483" s="91" t="s">
        <v>1754</v>
      </c>
      <c r="D483" s="73">
        <v>70000000</v>
      </c>
      <c r="E483" s="924">
        <v>70000000</v>
      </c>
      <c r="F483" s="924"/>
      <c r="G483" s="327">
        <f t="shared" si="30"/>
        <v>100</v>
      </c>
      <c r="H483" s="140">
        <v>100</v>
      </c>
      <c r="I483" s="1991"/>
      <c r="K483"/>
      <c r="L483"/>
    </row>
    <row r="484" spans="1:12" ht="9.75" hidden="1" customHeight="1" x14ac:dyDescent="0.25">
      <c r="A484" s="2"/>
      <c r="B484" s="1024"/>
      <c r="C484" s="1470"/>
      <c r="D484" s="191"/>
      <c r="E484" s="897"/>
      <c r="F484" s="897"/>
      <c r="G484" s="327"/>
      <c r="H484" s="133"/>
      <c r="I484" s="1991"/>
      <c r="K484"/>
      <c r="L484"/>
    </row>
    <row r="485" spans="1:12" ht="17.25" hidden="1" customHeight="1" x14ac:dyDescent="0.25">
      <c r="A485" s="2"/>
      <c r="B485" s="1024"/>
      <c r="C485" s="1471" t="s">
        <v>1755</v>
      </c>
      <c r="D485" s="157">
        <f>SUM(D486:D490)</f>
        <v>1080000000</v>
      </c>
      <c r="E485" s="157">
        <f>SUM(E486:E490)</f>
        <v>1080000000</v>
      </c>
      <c r="F485" s="157"/>
      <c r="G485" s="392">
        <f t="shared" si="30"/>
        <v>100</v>
      </c>
      <c r="H485" s="242">
        <f>SUM(H486:H490)/5</f>
        <v>100</v>
      </c>
      <c r="I485" s="1991"/>
      <c r="K485"/>
      <c r="L485"/>
    </row>
    <row r="486" spans="1:12" ht="17.25" hidden="1" customHeight="1" x14ac:dyDescent="0.25">
      <c r="A486" s="2"/>
      <c r="B486" s="1024"/>
      <c r="C486" s="91" t="s">
        <v>1756</v>
      </c>
      <c r="D486" s="158">
        <v>140000000</v>
      </c>
      <c r="E486" s="158">
        <v>140000000</v>
      </c>
      <c r="F486" s="158"/>
      <c r="G486" s="327">
        <f t="shared" si="30"/>
        <v>100</v>
      </c>
      <c r="H486" s="133">
        <v>100</v>
      </c>
      <c r="I486" s="1991"/>
      <c r="K486"/>
      <c r="L486"/>
    </row>
    <row r="487" spans="1:12" ht="19.5" hidden="1" customHeight="1" x14ac:dyDescent="0.25">
      <c r="A487" s="2"/>
      <c r="B487" s="1024"/>
      <c r="C487" s="1470" t="s">
        <v>1757</v>
      </c>
      <c r="D487" s="73">
        <v>120000000</v>
      </c>
      <c r="E487" s="73">
        <v>120000000</v>
      </c>
      <c r="F487" s="73"/>
      <c r="G487" s="327">
        <f t="shared" si="30"/>
        <v>100</v>
      </c>
      <c r="H487" s="133">
        <v>100</v>
      </c>
      <c r="I487" s="1991"/>
      <c r="K487"/>
      <c r="L487"/>
    </row>
    <row r="488" spans="1:12" ht="17.25" hidden="1" customHeight="1" x14ac:dyDescent="0.25">
      <c r="A488" s="2"/>
      <c r="B488" s="1024"/>
      <c r="C488" s="1470" t="s">
        <v>1758</v>
      </c>
      <c r="D488" s="73">
        <v>500000000</v>
      </c>
      <c r="E488" s="73">
        <v>500000000</v>
      </c>
      <c r="F488" s="73"/>
      <c r="G488" s="327">
        <f t="shared" si="30"/>
        <v>100</v>
      </c>
      <c r="H488" s="140">
        <v>100</v>
      </c>
      <c r="I488" s="1991"/>
      <c r="K488"/>
      <c r="L488"/>
    </row>
    <row r="489" spans="1:12" ht="17.25" hidden="1" customHeight="1" x14ac:dyDescent="0.25">
      <c r="A489" s="2"/>
      <c r="B489" s="1024"/>
      <c r="C489" s="1470" t="s">
        <v>1759</v>
      </c>
      <c r="D489" s="73">
        <v>120000000</v>
      </c>
      <c r="E489" s="73">
        <v>120000000</v>
      </c>
      <c r="F489" s="73"/>
      <c r="G489" s="327">
        <f t="shared" si="30"/>
        <v>100</v>
      </c>
      <c r="H489" s="140">
        <v>100</v>
      </c>
      <c r="I489" s="1991"/>
      <c r="K489"/>
      <c r="L489"/>
    </row>
    <row r="490" spans="1:12" ht="17.25" hidden="1" customHeight="1" x14ac:dyDescent="0.25">
      <c r="A490" s="2"/>
      <c r="B490" s="1024"/>
      <c r="C490" s="1470" t="s">
        <v>1760</v>
      </c>
      <c r="D490" s="73">
        <v>200000000</v>
      </c>
      <c r="E490" s="73">
        <v>200000000</v>
      </c>
      <c r="F490" s="73"/>
      <c r="G490" s="327">
        <f t="shared" si="30"/>
        <v>100</v>
      </c>
      <c r="H490" s="140">
        <v>100</v>
      </c>
      <c r="I490" s="1991"/>
      <c r="K490"/>
      <c r="L490"/>
    </row>
    <row r="491" spans="1:12" ht="12" hidden="1" customHeight="1" x14ac:dyDescent="0.25">
      <c r="A491" s="2"/>
      <c r="B491" s="1024"/>
      <c r="C491" s="1470"/>
      <c r="D491" s="73"/>
      <c r="E491" s="73"/>
      <c r="F491" s="73"/>
      <c r="G491" s="201"/>
      <c r="H491" s="140"/>
      <c r="I491" s="1991"/>
      <c r="K491"/>
      <c r="L491"/>
    </row>
    <row r="492" spans="1:12" s="32" customFormat="1" ht="20.25" hidden="1" customHeight="1" x14ac:dyDescent="0.25">
      <c r="A492" s="1"/>
      <c r="B492" s="1024"/>
      <c r="C492" s="1471" t="s">
        <v>1761</v>
      </c>
      <c r="D492" s="157">
        <v>790000000</v>
      </c>
      <c r="E492" s="157">
        <f>SUM(E493:E497)</f>
        <v>790000000</v>
      </c>
      <c r="F492" s="157"/>
      <c r="G492" s="392">
        <f t="shared" ref="G492:G521" si="31">E492/D492*100</f>
        <v>100</v>
      </c>
      <c r="H492" s="142">
        <v>100</v>
      </c>
      <c r="I492" s="2216"/>
    </row>
    <row r="493" spans="1:12" ht="17.25" hidden="1" customHeight="1" x14ac:dyDescent="0.25">
      <c r="A493" s="2"/>
      <c r="B493" s="1024"/>
      <c r="C493" s="1470" t="s">
        <v>1762</v>
      </c>
      <c r="D493" s="73">
        <v>100000000</v>
      </c>
      <c r="E493" s="73">
        <v>100000000</v>
      </c>
      <c r="F493" s="73"/>
      <c r="G493" s="327">
        <f t="shared" si="31"/>
        <v>100</v>
      </c>
      <c r="H493" s="140">
        <v>100</v>
      </c>
      <c r="I493" s="1991"/>
      <c r="K493"/>
      <c r="L493"/>
    </row>
    <row r="494" spans="1:12" ht="18.75" hidden="1" customHeight="1" x14ac:dyDescent="0.25">
      <c r="A494" s="2"/>
      <c r="B494" s="1024"/>
      <c r="C494" s="1470" t="s">
        <v>1763</v>
      </c>
      <c r="D494" s="73">
        <v>198000000</v>
      </c>
      <c r="E494" s="73">
        <v>198000000</v>
      </c>
      <c r="F494" s="73"/>
      <c r="G494" s="327">
        <f t="shared" si="31"/>
        <v>100</v>
      </c>
      <c r="H494" s="140">
        <v>100</v>
      </c>
      <c r="I494" s="1991"/>
      <c r="K494"/>
      <c r="L494"/>
    </row>
    <row r="495" spans="1:12" ht="17.25" hidden="1" customHeight="1" x14ac:dyDescent="0.25">
      <c r="A495" s="2"/>
      <c r="B495" s="1024"/>
      <c r="C495" s="1470" t="s">
        <v>1764</v>
      </c>
      <c r="D495" s="73">
        <v>150000000</v>
      </c>
      <c r="E495" s="73">
        <v>150000000</v>
      </c>
      <c r="F495" s="73"/>
      <c r="G495" s="327">
        <f t="shared" si="31"/>
        <v>100</v>
      </c>
      <c r="H495" s="140">
        <v>100</v>
      </c>
      <c r="I495" s="1991"/>
      <c r="K495"/>
      <c r="L495"/>
    </row>
    <row r="496" spans="1:12" ht="17.25" hidden="1" customHeight="1" x14ac:dyDescent="0.25">
      <c r="A496" s="2"/>
      <c r="B496" s="1024"/>
      <c r="C496" s="1470" t="s">
        <v>1765</v>
      </c>
      <c r="D496" s="73">
        <v>152000000</v>
      </c>
      <c r="E496" s="73">
        <v>152000000</v>
      </c>
      <c r="F496" s="73"/>
      <c r="G496" s="327">
        <f t="shared" si="31"/>
        <v>100</v>
      </c>
      <c r="H496" s="140">
        <v>100</v>
      </c>
      <c r="I496" s="1991"/>
      <c r="K496"/>
      <c r="L496"/>
    </row>
    <row r="497" spans="1:12" ht="17.25" hidden="1" customHeight="1" x14ac:dyDescent="0.25">
      <c r="A497" s="2"/>
      <c r="B497" s="1024"/>
      <c r="C497" s="1470" t="s">
        <v>1766</v>
      </c>
      <c r="D497" s="73">
        <v>190000000</v>
      </c>
      <c r="E497" s="73">
        <v>190000000</v>
      </c>
      <c r="F497" s="73"/>
      <c r="G497" s="327">
        <f t="shared" si="31"/>
        <v>100</v>
      </c>
      <c r="H497" s="140">
        <v>100</v>
      </c>
      <c r="I497" s="1991"/>
      <c r="K497"/>
      <c r="L497"/>
    </row>
    <row r="498" spans="1:12" ht="12.75" hidden="1" customHeight="1" x14ac:dyDescent="0.25">
      <c r="A498" s="2"/>
      <c r="B498" s="1024"/>
      <c r="C498" s="1470"/>
      <c r="D498" s="73"/>
      <c r="E498" s="73"/>
      <c r="F498" s="73"/>
      <c r="G498" s="327"/>
      <c r="H498" s="140"/>
      <c r="I498" s="1991"/>
      <c r="K498"/>
      <c r="L498"/>
    </row>
    <row r="499" spans="1:12" s="32" customFormat="1" ht="30.75" hidden="1" customHeight="1" x14ac:dyDescent="0.25">
      <c r="A499" s="1"/>
      <c r="B499" s="1024"/>
      <c r="C499" s="1471" t="s">
        <v>1767</v>
      </c>
      <c r="D499" s="157">
        <f>SUM(D500:D508)</f>
        <v>3496000000</v>
      </c>
      <c r="E499" s="157">
        <f>SUM(E500:E508)</f>
        <v>3492186500</v>
      </c>
      <c r="F499" s="157"/>
      <c r="G499" s="392">
        <f t="shared" si="31"/>
        <v>99.890918192219686</v>
      </c>
      <c r="H499" s="142">
        <f>SUM(H500:H508)/9</f>
        <v>100</v>
      </c>
      <c r="I499" s="2216"/>
    </row>
    <row r="500" spans="1:12" ht="17.25" hidden="1" customHeight="1" x14ac:dyDescent="0.25">
      <c r="A500" s="2"/>
      <c r="B500" s="1024"/>
      <c r="C500" s="1470" t="s">
        <v>1768</v>
      </c>
      <c r="D500" s="73">
        <v>100000000</v>
      </c>
      <c r="E500" s="73">
        <v>99900000</v>
      </c>
      <c r="F500" s="73"/>
      <c r="G500" s="327">
        <f t="shared" si="31"/>
        <v>99.9</v>
      </c>
      <c r="H500" s="140">
        <v>100</v>
      </c>
      <c r="I500" s="1991"/>
      <c r="K500"/>
      <c r="L500"/>
    </row>
    <row r="501" spans="1:12" ht="17.25" hidden="1" customHeight="1" x14ac:dyDescent="0.25">
      <c r="A501" s="2"/>
      <c r="B501" s="1024"/>
      <c r="C501" s="1470" t="s">
        <v>1769</v>
      </c>
      <c r="D501" s="73">
        <v>1271566000</v>
      </c>
      <c r="E501" s="73">
        <v>1270000000</v>
      </c>
      <c r="F501" s="73"/>
      <c r="G501" s="327">
        <f t="shared" si="31"/>
        <v>99.876844772508861</v>
      </c>
      <c r="H501" s="140">
        <v>100</v>
      </c>
      <c r="I501" s="1991"/>
      <c r="K501"/>
      <c r="L501"/>
    </row>
    <row r="502" spans="1:12" ht="17.25" hidden="1" customHeight="1" x14ac:dyDescent="0.25">
      <c r="A502" s="2"/>
      <c r="B502" s="1024"/>
      <c r="C502" s="1470" t="s">
        <v>1770</v>
      </c>
      <c r="D502" s="73">
        <v>950000000</v>
      </c>
      <c r="E502" s="73">
        <v>949670000</v>
      </c>
      <c r="F502" s="73"/>
      <c r="G502" s="327">
        <f t="shared" si="31"/>
        <v>99.965263157894739</v>
      </c>
      <c r="H502" s="140">
        <v>100</v>
      </c>
      <c r="I502" s="1991"/>
      <c r="K502"/>
      <c r="L502"/>
    </row>
    <row r="503" spans="1:12" ht="17.25" hidden="1" customHeight="1" x14ac:dyDescent="0.25">
      <c r="A503" s="2"/>
      <c r="B503" s="1024"/>
      <c r="C503" s="1470" t="s">
        <v>1771</v>
      </c>
      <c r="D503" s="73">
        <v>350000000</v>
      </c>
      <c r="E503" s="73">
        <v>349500000</v>
      </c>
      <c r="F503" s="73"/>
      <c r="G503" s="327">
        <f t="shared" si="31"/>
        <v>99.857142857142861</v>
      </c>
      <c r="H503" s="140">
        <v>100</v>
      </c>
      <c r="I503" s="1991"/>
      <c r="K503"/>
      <c r="L503"/>
    </row>
    <row r="504" spans="1:12" ht="20.25" hidden="1" customHeight="1" x14ac:dyDescent="0.25">
      <c r="A504" s="2"/>
      <c r="B504" s="1024"/>
      <c r="C504" s="1470" t="s">
        <v>1772</v>
      </c>
      <c r="D504" s="73">
        <v>475000000</v>
      </c>
      <c r="E504" s="73">
        <v>474378500</v>
      </c>
      <c r="F504" s="73"/>
      <c r="G504" s="327">
        <f t="shared" si="31"/>
        <v>99.869157894736844</v>
      </c>
      <c r="H504" s="140">
        <v>100</v>
      </c>
      <c r="I504" s="1991"/>
      <c r="K504"/>
      <c r="L504"/>
    </row>
    <row r="505" spans="1:12" ht="15.75" hidden="1" customHeight="1" x14ac:dyDescent="0.25">
      <c r="A505" s="2"/>
      <c r="B505" s="1024"/>
      <c r="C505" s="1470" t="s">
        <v>1773</v>
      </c>
      <c r="D505" s="73">
        <v>200000000</v>
      </c>
      <c r="E505" s="73">
        <v>199500000</v>
      </c>
      <c r="F505" s="73"/>
      <c r="G505" s="327">
        <f t="shared" si="31"/>
        <v>99.75</v>
      </c>
      <c r="H505" s="140">
        <v>100</v>
      </c>
      <c r="I505" s="1991"/>
      <c r="K505"/>
      <c r="L505"/>
    </row>
    <row r="506" spans="1:12" ht="17.25" hidden="1" customHeight="1" x14ac:dyDescent="0.25">
      <c r="A506" s="2"/>
      <c r="B506" s="1024"/>
      <c r="C506" s="1470" t="s">
        <v>1774</v>
      </c>
      <c r="D506" s="73">
        <v>37365250</v>
      </c>
      <c r="E506" s="140">
        <v>37262000</v>
      </c>
      <c r="F506" s="140"/>
      <c r="G506" s="327">
        <f t="shared" si="31"/>
        <v>99.7236737342852</v>
      </c>
      <c r="H506" s="140">
        <v>100</v>
      </c>
      <c r="I506" s="1991"/>
      <c r="K506"/>
      <c r="L506"/>
    </row>
    <row r="507" spans="1:12" ht="19.5" hidden="1" customHeight="1" x14ac:dyDescent="0.25">
      <c r="A507" s="2"/>
      <c r="B507" s="1024"/>
      <c r="C507" s="1470" t="s">
        <v>1775</v>
      </c>
      <c r="D507" s="73">
        <v>52298750</v>
      </c>
      <c r="E507" s="140">
        <v>52206000</v>
      </c>
      <c r="F507" s="140"/>
      <c r="G507" s="327">
        <f t="shared" si="31"/>
        <v>99.822653505102892</v>
      </c>
      <c r="H507" s="140">
        <v>100</v>
      </c>
      <c r="I507" s="1991"/>
      <c r="K507"/>
      <c r="L507"/>
    </row>
    <row r="508" spans="1:12" ht="19.5" hidden="1" customHeight="1" x14ac:dyDescent="0.25">
      <c r="A508" s="2"/>
      <c r="B508" s="1024"/>
      <c r="C508" s="1470" t="s">
        <v>1776</v>
      </c>
      <c r="D508" s="73">
        <v>59770000</v>
      </c>
      <c r="E508" s="73">
        <v>59770000</v>
      </c>
      <c r="F508" s="73"/>
      <c r="G508" s="327">
        <f t="shared" si="31"/>
        <v>100</v>
      </c>
      <c r="H508" s="140">
        <v>100</v>
      </c>
      <c r="I508" s="1991"/>
      <c r="K508"/>
      <c r="L508"/>
    </row>
    <row r="509" spans="1:12" ht="11.25" hidden="1" customHeight="1" x14ac:dyDescent="0.25">
      <c r="A509" s="2"/>
      <c r="B509" s="1024"/>
      <c r="C509" s="1470"/>
      <c r="D509" s="73"/>
      <c r="E509" s="73"/>
      <c r="F509" s="73"/>
      <c r="G509" s="327"/>
      <c r="H509" s="140"/>
      <c r="I509" s="1991"/>
      <c r="K509"/>
      <c r="L509"/>
    </row>
    <row r="510" spans="1:12" s="32" customFormat="1" ht="17.25" hidden="1" customHeight="1" x14ac:dyDescent="0.25">
      <c r="A510" s="1"/>
      <c r="B510" s="1024"/>
      <c r="C510" s="1471" t="s">
        <v>1777</v>
      </c>
      <c r="D510" s="157">
        <f>SUM(D511:D521)</f>
        <v>1750000000</v>
      </c>
      <c r="E510" s="157">
        <f>SUM(E511:E521)</f>
        <v>1749920000</v>
      </c>
      <c r="F510" s="157"/>
      <c r="G510" s="392">
        <f t="shared" si="31"/>
        <v>99.995428571428562</v>
      </c>
      <c r="H510" s="142">
        <f>SUM(H511:H521)/11</f>
        <v>100</v>
      </c>
      <c r="I510" s="2216"/>
    </row>
    <row r="511" spans="1:12" ht="16.5" hidden="1" customHeight="1" x14ac:dyDescent="0.25">
      <c r="A511" s="2"/>
      <c r="B511" s="1024"/>
      <c r="C511" s="103" t="s">
        <v>1778</v>
      </c>
      <c r="D511" s="161">
        <v>200000000</v>
      </c>
      <c r="E511" s="71">
        <v>200000000</v>
      </c>
      <c r="F511" s="71"/>
      <c r="G511" s="327">
        <f t="shared" si="31"/>
        <v>100</v>
      </c>
      <c r="H511" s="73">
        <v>100</v>
      </c>
      <c r="I511" s="1991"/>
      <c r="K511"/>
      <c r="L511"/>
    </row>
    <row r="512" spans="1:12" ht="16.5" hidden="1" customHeight="1" x14ac:dyDescent="0.25">
      <c r="A512" s="2"/>
      <c r="B512" s="1024"/>
      <c r="C512" s="82" t="s">
        <v>1779</v>
      </c>
      <c r="D512" s="161">
        <v>200000000</v>
      </c>
      <c r="E512" s="71">
        <v>200000000</v>
      </c>
      <c r="F512" s="71"/>
      <c r="G512" s="327">
        <f t="shared" si="31"/>
        <v>100</v>
      </c>
      <c r="H512" s="73">
        <v>100</v>
      </c>
      <c r="I512" s="1991"/>
      <c r="K512"/>
      <c r="L512"/>
    </row>
    <row r="513" spans="1:12" ht="18" hidden="1" customHeight="1" x14ac:dyDescent="0.25">
      <c r="A513" s="2"/>
      <c r="B513" s="1024"/>
      <c r="C513" s="82" t="s">
        <v>1780</v>
      </c>
      <c r="D513" s="161">
        <v>200000000</v>
      </c>
      <c r="E513" s="71">
        <v>200000000</v>
      </c>
      <c r="F513" s="71"/>
      <c r="G513" s="327">
        <f t="shared" si="31"/>
        <v>100</v>
      </c>
      <c r="H513" s="73">
        <v>100</v>
      </c>
      <c r="I513" s="1991"/>
      <c r="K513"/>
      <c r="L513"/>
    </row>
    <row r="514" spans="1:12" ht="16.5" hidden="1" customHeight="1" x14ac:dyDescent="0.25">
      <c r="A514" s="2"/>
      <c r="B514" s="1024"/>
      <c r="C514" s="82" t="s">
        <v>1781</v>
      </c>
      <c r="D514" s="161">
        <v>200000000</v>
      </c>
      <c r="E514" s="71">
        <v>200000000</v>
      </c>
      <c r="F514" s="71"/>
      <c r="G514" s="327">
        <f t="shared" si="31"/>
        <v>100</v>
      </c>
      <c r="H514" s="73">
        <v>100</v>
      </c>
      <c r="I514" s="1991"/>
      <c r="K514"/>
      <c r="L514"/>
    </row>
    <row r="515" spans="1:12" ht="18" hidden="1" customHeight="1" x14ac:dyDescent="0.25">
      <c r="A515" s="2"/>
      <c r="B515" s="1024"/>
      <c r="C515" s="82" t="s">
        <v>1782</v>
      </c>
      <c r="D515" s="161">
        <v>250000000</v>
      </c>
      <c r="E515" s="71">
        <v>250000000</v>
      </c>
      <c r="F515" s="71"/>
      <c r="G515" s="327">
        <f t="shared" si="31"/>
        <v>100</v>
      </c>
      <c r="H515" s="73">
        <v>100</v>
      </c>
      <c r="I515" s="1991"/>
      <c r="K515"/>
      <c r="L515"/>
    </row>
    <row r="516" spans="1:12" ht="15" hidden="1" customHeight="1" x14ac:dyDescent="0.25">
      <c r="A516" s="2"/>
      <c r="B516" s="1024"/>
      <c r="C516" s="82" t="s">
        <v>1783</v>
      </c>
      <c r="D516" s="161">
        <v>100000000</v>
      </c>
      <c r="E516" s="71">
        <v>100000000</v>
      </c>
      <c r="F516" s="71"/>
      <c r="G516" s="327">
        <f t="shared" si="31"/>
        <v>100</v>
      </c>
      <c r="H516" s="73">
        <v>100</v>
      </c>
      <c r="I516" s="1991"/>
      <c r="K516"/>
      <c r="L516"/>
    </row>
    <row r="517" spans="1:12" ht="16.5" hidden="1" customHeight="1" x14ac:dyDescent="0.25">
      <c r="A517" s="2"/>
      <c r="B517" s="1024"/>
      <c r="C517" s="82" t="s">
        <v>1784</v>
      </c>
      <c r="D517" s="161">
        <v>100000000</v>
      </c>
      <c r="E517" s="71">
        <v>100000000</v>
      </c>
      <c r="F517" s="71"/>
      <c r="G517" s="327">
        <f t="shared" si="31"/>
        <v>100</v>
      </c>
      <c r="H517" s="73">
        <v>100</v>
      </c>
      <c r="I517" s="1991"/>
      <c r="K517"/>
      <c r="L517"/>
    </row>
    <row r="518" spans="1:12" ht="15" hidden="1" customHeight="1" x14ac:dyDescent="0.25">
      <c r="A518" s="2"/>
      <c r="B518" s="1024"/>
      <c r="C518" s="82" t="s">
        <v>1785</v>
      </c>
      <c r="D518" s="161">
        <v>100000000</v>
      </c>
      <c r="E518" s="71">
        <v>100000000</v>
      </c>
      <c r="F518" s="71"/>
      <c r="G518" s="327">
        <f t="shared" si="31"/>
        <v>100</v>
      </c>
      <c r="H518" s="73">
        <v>100</v>
      </c>
      <c r="I518" s="1991"/>
      <c r="K518"/>
      <c r="L518"/>
    </row>
    <row r="519" spans="1:12" ht="15" hidden="1" customHeight="1" x14ac:dyDescent="0.25">
      <c r="A519" s="2"/>
      <c r="B519" s="1024"/>
      <c r="C519" s="82" t="s">
        <v>1786</v>
      </c>
      <c r="D519" s="161">
        <v>200000000</v>
      </c>
      <c r="E519" s="71">
        <v>200000000</v>
      </c>
      <c r="F519" s="71"/>
      <c r="G519" s="327">
        <f t="shared" si="31"/>
        <v>100</v>
      </c>
      <c r="H519" s="73">
        <v>100</v>
      </c>
      <c r="I519" s="1991"/>
      <c r="K519"/>
      <c r="L519"/>
    </row>
    <row r="520" spans="1:12" ht="16.5" hidden="1" customHeight="1" x14ac:dyDescent="0.25">
      <c r="A520" s="2"/>
      <c r="B520" s="1993"/>
      <c r="C520" s="82" t="s">
        <v>1787</v>
      </c>
      <c r="D520" s="161">
        <v>100000000</v>
      </c>
      <c r="E520" s="71">
        <v>100000000</v>
      </c>
      <c r="F520" s="71"/>
      <c r="G520" s="327">
        <f t="shared" si="31"/>
        <v>100</v>
      </c>
      <c r="H520" s="73">
        <v>100</v>
      </c>
      <c r="I520" s="1991"/>
      <c r="K520"/>
      <c r="L520"/>
    </row>
    <row r="521" spans="1:12" ht="18" hidden="1" customHeight="1" x14ac:dyDescent="0.25">
      <c r="A521" s="2"/>
      <c r="B521" s="1024"/>
      <c r="C521" s="82" t="s">
        <v>1788</v>
      </c>
      <c r="D521" s="161">
        <v>100000000</v>
      </c>
      <c r="E521" s="71">
        <v>99920000</v>
      </c>
      <c r="F521" s="71"/>
      <c r="G521" s="327">
        <f t="shared" si="31"/>
        <v>99.92</v>
      </c>
      <c r="H521" s="73">
        <v>100</v>
      </c>
      <c r="I521" s="1991"/>
      <c r="K521"/>
      <c r="L521"/>
    </row>
    <row r="522" spans="1:12" ht="12" hidden="1" customHeight="1" x14ac:dyDescent="0.25">
      <c r="B522" s="1037"/>
      <c r="C522" s="119"/>
      <c r="D522" s="2335"/>
      <c r="E522" s="81"/>
      <c r="F522" s="81"/>
      <c r="G522" s="81"/>
      <c r="H522" s="1494"/>
      <c r="I522" s="1106"/>
    </row>
    <row r="523" spans="1:12" ht="20.25" hidden="1" customHeight="1" x14ac:dyDescent="0.25">
      <c r="B523" s="1046"/>
      <c r="C523" s="89" t="s">
        <v>1789</v>
      </c>
      <c r="D523" s="159">
        <f>D524</f>
        <v>1250000000</v>
      </c>
      <c r="E523" s="159">
        <f>E524</f>
        <v>500000000</v>
      </c>
      <c r="F523" s="159"/>
      <c r="G523" s="78">
        <f>E523/D523*100</f>
        <v>40</v>
      </c>
      <c r="H523" s="1521">
        <f>H524</f>
        <v>40</v>
      </c>
      <c r="I523" s="1106"/>
      <c r="J523" s="225"/>
      <c r="K523" s="530"/>
    </row>
    <row r="524" spans="1:12" ht="18.75" hidden="1" customHeight="1" x14ac:dyDescent="0.25">
      <c r="B524" s="1037"/>
      <c r="C524" s="134" t="s">
        <v>1796</v>
      </c>
      <c r="D524" s="2336">
        <f>D525</f>
        <v>1250000000</v>
      </c>
      <c r="E524" s="2337">
        <f>E525</f>
        <v>500000000</v>
      </c>
      <c r="F524" s="2337"/>
      <c r="G524" s="392">
        <f t="shared" ref="G524:G525" si="32">E524/D524*100</f>
        <v>40</v>
      </c>
      <c r="H524" s="157">
        <f>H525</f>
        <v>40</v>
      </c>
      <c r="I524" s="1106"/>
      <c r="J524" s="225"/>
      <c r="K524" s="530"/>
    </row>
    <row r="525" spans="1:12" ht="18" hidden="1" customHeight="1" x14ac:dyDescent="0.25">
      <c r="B525" s="1037"/>
      <c r="C525" s="91" t="s">
        <v>1797</v>
      </c>
      <c r="D525" s="2338">
        <v>1250000000</v>
      </c>
      <c r="E525" s="71">
        <v>500000000</v>
      </c>
      <c r="F525" s="71"/>
      <c r="G525" s="327">
        <f t="shared" si="32"/>
        <v>40</v>
      </c>
      <c r="H525" s="73">
        <v>40</v>
      </c>
      <c r="I525" s="1106"/>
      <c r="J525" s="225"/>
      <c r="K525" s="530"/>
    </row>
    <row r="526" spans="1:12" ht="12" hidden="1" customHeight="1" x14ac:dyDescent="0.25">
      <c r="B526" s="1037"/>
      <c r="C526" s="119"/>
      <c r="D526" s="2335"/>
      <c r="E526" s="81"/>
      <c r="F526" s="81"/>
      <c r="G526" s="81"/>
      <c r="H526" s="1494"/>
      <c r="I526" s="1106"/>
      <c r="J526" s="225"/>
      <c r="K526" s="530"/>
    </row>
    <row r="527" spans="1:12" ht="17.25" hidden="1" customHeight="1" x14ac:dyDescent="0.25">
      <c r="B527" s="1046"/>
      <c r="C527" s="89" t="s">
        <v>2400</v>
      </c>
      <c r="D527" s="2339">
        <f>D528</f>
        <v>200000000</v>
      </c>
      <c r="E527" s="1142">
        <f>E528</f>
        <v>200000000</v>
      </c>
      <c r="F527" s="1142"/>
      <c r="G527" s="78">
        <f>E527/D527*100</f>
        <v>100</v>
      </c>
      <c r="H527" s="1521">
        <f>H528</f>
        <v>100</v>
      </c>
      <c r="I527" s="1106"/>
      <c r="J527" s="225"/>
      <c r="K527" s="531"/>
    </row>
    <row r="528" spans="1:12" ht="21" hidden="1" customHeight="1" x14ac:dyDescent="0.25">
      <c r="B528" s="1037"/>
      <c r="C528" s="53" t="s">
        <v>3273</v>
      </c>
      <c r="D528" s="2340">
        <f>D529</f>
        <v>200000000</v>
      </c>
      <c r="E528" s="2340">
        <f>E529</f>
        <v>200000000</v>
      </c>
      <c r="F528" s="2340"/>
      <c r="G528" s="392">
        <f t="shared" ref="G528" si="33">E528/D528*100</f>
        <v>100</v>
      </c>
      <c r="H528" s="1493">
        <f>H529</f>
        <v>100</v>
      </c>
      <c r="I528" s="1106"/>
    </row>
    <row r="529" spans="1:12" ht="21" hidden="1" customHeight="1" x14ac:dyDescent="0.25">
      <c r="B529" s="1037"/>
      <c r="C529" s="82" t="s">
        <v>1800</v>
      </c>
      <c r="D529" s="161">
        <v>200000000</v>
      </c>
      <c r="E529" s="65">
        <v>200000000</v>
      </c>
      <c r="F529" s="65"/>
      <c r="G529" s="65">
        <v>100</v>
      </c>
      <c r="H529" s="1110">
        <v>100</v>
      </c>
      <c r="I529" s="1106"/>
    </row>
    <row r="530" spans="1:12" ht="12" hidden="1" customHeight="1" x14ac:dyDescent="0.25">
      <c r="B530" s="1037"/>
      <c r="C530" s="119"/>
      <c r="D530" s="2335"/>
      <c r="E530" s="81"/>
      <c r="F530" s="81"/>
      <c r="G530" s="81"/>
      <c r="H530" s="1494"/>
      <c r="I530" s="1106"/>
    </row>
    <row r="531" spans="1:12" ht="18" hidden="1" customHeight="1" x14ac:dyDescent="0.25">
      <c r="B531" s="1046"/>
      <c r="C531" s="89" t="s">
        <v>3276</v>
      </c>
      <c r="D531" s="131">
        <f>D532</f>
        <v>1000000000</v>
      </c>
      <c r="E531" s="131">
        <f>E532</f>
        <v>1000000000</v>
      </c>
      <c r="F531" s="131"/>
      <c r="G531" s="78">
        <f>E531/D531*100</f>
        <v>100</v>
      </c>
      <c r="H531" s="1122">
        <f>H532</f>
        <v>100</v>
      </c>
      <c r="I531" s="1106"/>
    </row>
    <row r="532" spans="1:12" ht="19.5" hidden="1" customHeight="1" x14ac:dyDescent="0.25">
      <c r="B532" s="1101"/>
      <c r="C532" s="129" t="s">
        <v>5544</v>
      </c>
      <c r="D532" s="234">
        <f>D533</f>
        <v>1000000000</v>
      </c>
      <c r="E532" s="234">
        <f>E533</f>
        <v>1000000000</v>
      </c>
      <c r="F532" s="234"/>
      <c r="G532" s="392">
        <f t="shared" ref="G532:G533" si="34">E532/D532*100</f>
        <v>100</v>
      </c>
      <c r="H532" s="1523">
        <f>H533</f>
        <v>100</v>
      </c>
      <c r="I532" s="1106"/>
    </row>
    <row r="533" spans="1:12" ht="22.5" hidden="1" customHeight="1" x14ac:dyDescent="0.25">
      <c r="B533" s="1037"/>
      <c r="C533" s="1470" t="s">
        <v>3279</v>
      </c>
      <c r="D533" s="2331">
        <v>1000000000</v>
      </c>
      <c r="E533" s="2341">
        <v>1000000000</v>
      </c>
      <c r="F533" s="2341"/>
      <c r="G533" s="327">
        <f t="shared" si="34"/>
        <v>100</v>
      </c>
      <c r="H533" s="133">
        <v>100</v>
      </c>
      <c r="I533" s="1106"/>
    </row>
    <row r="534" spans="1:12" ht="12" hidden="1" customHeight="1" x14ac:dyDescent="0.25">
      <c r="B534" s="1037"/>
      <c r="C534" s="126"/>
      <c r="D534" s="364"/>
      <c r="E534" s="364"/>
      <c r="F534" s="364"/>
      <c r="G534" s="338"/>
      <c r="H534" s="1524"/>
      <c r="I534" s="1106"/>
    </row>
    <row r="535" spans="1:12" s="1" customFormat="1" ht="18" customHeight="1" x14ac:dyDescent="0.25">
      <c r="B535" s="2294"/>
      <c r="C535" s="422" t="s">
        <v>3084</v>
      </c>
      <c r="D535" s="2334">
        <f>SUM(D537+D603+D607+D613+D617)</f>
        <v>19223300000</v>
      </c>
      <c r="E535" s="2334">
        <f>SUM(E537+E603+E607+E613+E617)</f>
        <v>18673546649</v>
      </c>
      <c r="F535" s="50">
        <f>D535-E535</f>
        <v>549753351</v>
      </c>
      <c r="G535" s="424">
        <f>E535/D535*100</f>
        <v>97.140171817533925</v>
      </c>
      <c r="H535" s="2304">
        <f>SUM(H537+H603+H607+H613+H617)/5</f>
        <v>100</v>
      </c>
      <c r="I535" s="1483"/>
      <c r="K535" s="51"/>
      <c r="L535" s="51"/>
    </row>
    <row r="536" spans="1:12" ht="12" hidden="1" customHeight="1" x14ac:dyDescent="0.25">
      <c r="B536" s="1033"/>
      <c r="C536" s="64"/>
      <c r="D536" s="199"/>
      <c r="E536" s="199"/>
      <c r="F536" s="215"/>
      <c r="G536" s="215"/>
      <c r="H536" s="1494"/>
      <c r="I536" s="1106"/>
    </row>
    <row r="537" spans="1:12" ht="18.75" hidden="1" customHeight="1" x14ac:dyDescent="0.25">
      <c r="B537" s="1046"/>
      <c r="C537" s="163" t="s">
        <v>1889</v>
      </c>
      <c r="D537" s="164">
        <f>SUM(D538+D544+D547+D550+D553+D557+D566+D569+D583+D587+D590+D596+D600)</f>
        <v>12573300000</v>
      </c>
      <c r="E537" s="164">
        <f>SUM(E538+E544+E547+E550+E553+E557+E566+E569+E583+E587+E590+E596+E600)</f>
        <v>12109988163</v>
      </c>
      <c r="F537" s="520"/>
      <c r="G537" s="490">
        <f>E537/D537*100</f>
        <v>96.315113478561713</v>
      </c>
      <c r="H537" s="157">
        <f>SUM(H538:H541)/4</f>
        <v>100</v>
      </c>
      <c r="I537" s="1106"/>
    </row>
    <row r="538" spans="1:12" ht="16.5" hidden="1" customHeight="1" x14ac:dyDescent="0.25">
      <c r="A538" s="2"/>
      <c r="B538" s="1024"/>
      <c r="C538" s="166" t="s">
        <v>1890</v>
      </c>
      <c r="D538" s="357">
        <f>SUM(D539:D542)</f>
        <v>6850000000</v>
      </c>
      <c r="E538" s="357">
        <f>SUM(E539:E542)</f>
        <v>6649645000</v>
      </c>
      <c r="F538" s="4948"/>
      <c r="G538" s="490">
        <f>E538/D538*100</f>
        <v>97.075109489051087</v>
      </c>
      <c r="H538" s="157">
        <f>SUM(H539:H542)/4</f>
        <v>100</v>
      </c>
      <c r="I538" s="1991"/>
      <c r="K538" s="536"/>
      <c r="L538" s="536"/>
    </row>
    <row r="539" spans="1:12" ht="17.25" hidden="1" customHeight="1" x14ac:dyDescent="0.25">
      <c r="A539" s="2"/>
      <c r="B539" s="1024"/>
      <c r="C539" s="168" t="s">
        <v>1891</v>
      </c>
      <c r="D539" s="189">
        <v>1000000000</v>
      </c>
      <c r="E539" s="73">
        <v>1000000000</v>
      </c>
      <c r="F539" s="194"/>
      <c r="G539" s="372">
        <f t="shared" ref="G539:G581" si="35">E539/D539*100</f>
        <v>100</v>
      </c>
      <c r="H539" s="73">
        <v>100</v>
      </c>
      <c r="I539" s="1991"/>
      <c r="K539" s="536"/>
      <c r="L539" s="536"/>
    </row>
    <row r="540" spans="1:12" ht="21" hidden="1" customHeight="1" x14ac:dyDescent="0.25">
      <c r="A540" s="2"/>
      <c r="B540" s="1024"/>
      <c r="C540" s="170" t="s">
        <v>3458</v>
      </c>
      <c r="D540" s="73">
        <v>5000000000</v>
      </c>
      <c r="E540" s="73">
        <v>4800000000</v>
      </c>
      <c r="F540" s="194"/>
      <c r="G540" s="372">
        <f t="shared" si="35"/>
        <v>96</v>
      </c>
      <c r="H540" s="73">
        <v>100</v>
      </c>
      <c r="I540" s="1991"/>
      <c r="K540" s="536"/>
      <c r="L540" s="536"/>
    </row>
    <row r="541" spans="1:12" ht="15.75" hidden="1" customHeight="1" x14ac:dyDescent="0.25">
      <c r="A541" s="2"/>
      <c r="B541" s="1024"/>
      <c r="C541" s="170" t="s">
        <v>1892</v>
      </c>
      <c r="D541" s="73">
        <v>500000000</v>
      </c>
      <c r="E541" s="73">
        <v>499645000</v>
      </c>
      <c r="F541" s="194"/>
      <c r="G541" s="372">
        <f t="shared" si="35"/>
        <v>99.929000000000002</v>
      </c>
      <c r="H541" s="73">
        <v>100</v>
      </c>
      <c r="I541" s="1991"/>
      <c r="K541" s="536"/>
      <c r="L541" s="536"/>
    </row>
    <row r="542" spans="1:12" ht="16.5" hidden="1" customHeight="1" x14ac:dyDescent="0.25">
      <c r="A542" s="2"/>
      <c r="B542" s="1024"/>
      <c r="C542" s="170" t="s">
        <v>1893</v>
      </c>
      <c r="D542" s="73">
        <v>350000000</v>
      </c>
      <c r="E542" s="73">
        <v>350000000</v>
      </c>
      <c r="F542" s="194"/>
      <c r="G542" s="372">
        <f t="shared" si="35"/>
        <v>100</v>
      </c>
      <c r="H542" s="73">
        <v>100</v>
      </c>
      <c r="I542" s="1991"/>
      <c r="K542" s="536"/>
      <c r="L542" s="536"/>
    </row>
    <row r="543" spans="1:12" ht="12.75" hidden="1" customHeight="1" x14ac:dyDescent="0.25">
      <c r="A543" s="2"/>
      <c r="B543" s="1024"/>
      <c r="C543" s="170"/>
      <c r="D543" s="197"/>
      <c r="E543" s="197"/>
      <c r="F543" s="365"/>
      <c r="G543" s="372"/>
      <c r="H543" s="197"/>
      <c r="I543" s="1991"/>
      <c r="K543" s="536"/>
      <c r="L543" s="536"/>
    </row>
    <row r="544" spans="1:12" ht="16.5" hidden="1" customHeight="1" x14ac:dyDescent="0.25">
      <c r="A544" s="2"/>
      <c r="B544" s="1024"/>
      <c r="C544" s="171" t="s">
        <v>1894</v>
      </c>
      <c r="D544" s="249">
        <f>D545</f>
        <v>100000000</v>
      </c>
      <c r="E544" s="249">
        <f>E545</f>
        <v>89100000</v>
      </c>
      <c r="F544" s="4949"/>
      <c r="G544" s="490">
        <f t="shared" si="35"/>
        <v>89.1</v>
      </c>
      <c r="H544" s="157">
        <f>H545</f>
        <v>100</v>
      </c>
      <c r="I544" s="1991"/>
      <c r="K544" s="536"/>
      <c r="L544" s="536"/>
    </row>
    <row r="545" spans="1:12" ht="15.75" hidden="1" customHeight="1" x14ac:dyDescent="0.25">
      <c r="A545" s="2"/>
      <c r="B545" s="1024"/>
      <c r="C545" s="168" t="s">
        <v>1895</v>
      </c>
      <c r="D545" s="189">
        <v>100000000</v>
      </c>
      <c r="E545" s="73">
        <v>89100000</v>
      </c>
      <c r="F545" s="194"/>
      <c r="G545" s="372">
        <f t="shared" si="35"/>
        <v>89.1</v>
      </c>
      <c r="H545" s="73">
        <v>100</v>
      </c>
      <c r="I545" s="1991"/>
      <c r="K545" s="536"/>
      <c r="L545" s="536"/>
    </row>
    <row r="546" spans="1:12" ht="6.75" hidden="1" customHeight="1" x14ac:dyDescent="0.25">
      <c r="A546" s="2"/>
      <c r="B546" s="1993"/>
      <c r="C546" s="170"/>
      <c r="D546" s="197"/>
      <c r="E546" s="197"/>
      <c r="F546" s="365"/>
      <c r="G546" s="372"/>
      <c r="H546" s="197"/>
      <c r="I546" s="1991"/>
      <c r="K546" s="536"/>
      <c r="L546" s="536"/>
    </row>
    <row r="547" spans="1:12" ht="18" hidden="1" customHeight="1" x14ac:dyDescent="0.25">
      <c r="A547" s="2"/>
      <c r="B547" s="1024"/>
      <c r="C547" s="171" t="s">
        <v>1896</v>
      </c>
      <c r="D547" s="249">
        <f>D548</f>
        <v>100000000</v>
      </c>
      <c r="E547" s="249">
        <f>E548</f>
        <v>99900386</v>
      </c>
      <c r="F547" s="4949"/>
      <c r="G547" s="490">
        <f t="shared" si="35"/>
        <v>99.900385999999997</v>
      </c>
      <c r="H547" s="157">
        <f>H548</f>
        <v>100</v>
      </c>
      <c r="I547" s="1991"/>
      <c r="K547" s="536"/>
      <c r="L547" s="536"/>
    </row>
    <row r="548" spans="1:12" ht="15" hidden="1" customHeight="1" x14ac:dyDescent="0.25">
      <c r="A548" s="2"/>
      <c r="B548" s="1024"/>
      <c r="C548" s="168" t="s">
        <v>1897</v>
      </c>
      <c r="D548" s="73">
        <v>100000000</v>
      </c>
      <c r="E548" s="73">
        <v>99900386</v>
      </c>
      <c r="F548" s="194"/>
      <c r="G548" s="372">
        <f t="shared" si="35"/>
        <v>99.900385999999997</v>
      </c>
      <c r="H548" s="73">
        <v>100</v>
      </c>
      <c r="I548" s="1991"/>
      <c r="K548" s="536"/>
      <c r="L548" s="536"/>
    </row>
    <row r="549" spans="1:12" ht="9.75" hidden="1" customHeight="1" x14ac:dyDescent="0.25">
      <c r="A549" s="2"/>
      <c r="B549" s="1024"/>
      <c r="C549" s="170"/>
      <c r="D549" s="197"/>
      <c r="E549" s="197"/>
      <c r="F549" s="365"/>
      <c r="G549" s="372"/>
      <c r="H549" s="197"/>
      <c r="I549" s="1991"/>
      <c r="K549" s="536"/>
      <c r="L549" s="536"/>
    </row>
    <row r="550" spans="1:12" ht="17.25" hidden="1" customHeight="1" x14ac:dyDescent="0.25">
      <c r="A550" s="2"/>
      <c r="B550" s="1024"/>
      <c r="C550" s="171" t="s">
        <v>1296</v>
      </c>
      <c r="D550" s="249">
        <f>D551</f>
        <v>200000000</v>
      </c>
      <c r="E550" s="249">
        <f>E551</f>
        <v>150000000</v>
      </c>
      <c r="F550" s="4949"/>
      <c r="G550" s="490">
        <f t="shared" si="35"/>
        <v>75</v>
      </c>
      <c r="H550" s="157">
        <f>H551</f>
        <v>100</v>
      </c>
      <c r="I550" s="1991"/>
      <c r="K550" s="536"/>
      <c r="L550" s="536"/>
    </row>
    <row r="551" spans="1:12" ht="16.5" hidden="1" customHeight="1" x14ac:dyDescent="0.25">
      <c r="A551" s="2"/>
      <c r="B551" s="1024"/>
      <c r="C551" s="168" t="s">
        <v>1297</v>
      </c>
      <c r="D551" s="189">
        <v>200000000</v>
      </c>
      <c r="E551" s="206">
        <v>150000000</v>
      </c>
      <c r="F551" s="4593"/>
      <c r="G551" s="372">
        <f t="shared" si="35"/>
        <v>75</v>
      </c>
      <c r="H551" s="149">
        <v>100</v>
      </c>
      <c r="I551" s="1991"/>
      <c r="K551" s="536"/>
      <c r="L551" s="536"/>
    </row>
    <row r="552" spans="1:12" ht="12" hidden="1" customHeight="1" x14ac:dyDescent="0.25">
      <c r="A552" s="2"/>
      <c r="B552" s="1024"/>
      <c r="C552" s="170"/>
      <c r="D552" s="197"/>
      <c r="E552" s="197"/>
      <c r="F552" s="365"/>
      <c r="G552" s="372"/>
      <c r="H552" s="197"/>
      <c r="I552" s="1991"/>
      <c r="K552" s="536"/>
      <c r="L552" s="536"/>
    </row>
    <row r="553" spans="1:12" ht="17.25" hidden="1" customHeight="1" x14ac:dyDescent="0.25">
      <c r="A553" s="2"/>
      <c r="B553" s="1024"/>
      <c r="C553" s="171" t="s">
        <v>1898</v>
      </c>
      <c r="D553" s="357">
        <f>SUM(D554:D555)</f>
        <v>200000000</v>
      </c>
      <c r="E553" s="357">
        <f>SUM(E554:E555)</f>
        <v>197397979</v>
      </c>
      <c r="F553" s="4948"/>
      <c r="G553" s="490">
        <f t="shared" si="35"/>
        <v>98.698989499999996</v>
      </c>
      <c r="H553" s="157">
        <f>SUM(H554:H555)/2</f>
        <v>100</v>
      </c>
      <c r="I553" s="1991"/>
      <c r="K553" s="536"/>
      <c r="L553" s="536"/>
    </row>
    <row r="554" spans="1:12" ht="14.25" hidden="1" customHeight="1" x14ac:dyDescent="0.25">
      <c r="A554" s="2"/>
      <c r="B554" s="1024"/>
      <c r="C554" s="168" t="s">
        <v>1899</v>
      </c>
      <c r="D554" s="189">
        <v>100000000</v>
      </c>
      <c r="E554" s="73">
        <v>97526000</v>
      </c>
      <c r="F554" s="194"/>
      <c r="G554" s="372">
        <f t="shared" si="35"/>
        <v>97.525999999999996</v>
      </c>
      <c r="H554" s="73">
        <v>100</v>
      </c>
      <c r="I554" s="1991"/>
      <c r="K554" s="536"/>
      <c r="L554" s="536"/>
    </row>
    <row r="555" spans="1:12" ht="18" hidden="1" customHeight="1" x14ac:dyDescent="0.25">
      <c r="A555" s="2"/>
      <c r="B555" s="1024"/>
      <c r="C555" s="170" t="s">
        <v>1900</v>
      </c>
      <c r="D555" s="189">
        <v>100000000</v>
      </c>
      <c r="E555" s="206">
        <v>99871979</v>
      </c>
      <c r="F555" s="4593"/>
      <c r="G555" s="372">
        <f t="shared" si="35"/>
        <v>99.871978999999996</v>
      </c>
      <c r="H555" s="149">
        <v>100</v>
      </c>
      <c r="I555" s="1991"/>
      <c r="K555" s="536"/>
      <c r="L555" s="536"/>
    </row>
    <row r="556" spans="1:12" ht="9" hidden="1" customHeight="1" x14ac:dyDescent="0.25">
      <c r="A556" s="2"/>
      <c r="B556" s="1024"/>
      <c r="C556" s="170"/>
      <c r="D556" s="197"/>
      <c r="E556" s="197"/>
      <c r="F556" s="365"/>
      <c r="G556" s="372"/>
      <c r="H556" s="197"/>
      <c r="I556" s="1991"/>
      <c r="K556" s="536"/>
      <c r="L556" s="536"/>
    </row>
    <row r="557" spans="1:12" ht="19.5" hidden="1" customHeight="1" x14ac:dyDescent="0.25">
      <c r="A557" s="2"/>
      <c r="B557" s="1024"/>
      <c r="C557" s="171" t="s">
        <v>1901</v>
      </c>
      <c r="D557" s="357">
        <f>SUM(D558:D564)</f>
        <v>700000000</v>
      </c>
      <c r="E557" s="357">
        <f>SUM(E558:E564)</f>
        <v>645678100</v>
      </c>
      <c r="F557" s="4948"/>
      <c r="G557" s="490">
        <f t="shared" si="35"/>
        <v>92.239728571428572</v>
      </c>
      <c r="H557" s="150">
        <f>SUM(H558:H564)/7</f>
        <v>100</v>
      </c>
      <c r="I557" s="1991"/>
      <c r="K557" s="536"/>
      <c r="L557" s="536"/>
    </row>
    <row r="558" spans="1:12" ht="16.5" hidden="1" customHeight="1" x14ac:dyDescent="0.25">
      <c r="A558" s="2"/>
      <c r="B558" s="1024"/>
      <c r="C558" s="168" t="s">
        <v>1902</v>
      </c>
      <c r="D558" s="189">
        <v>100000000</v>
      </c>
      <c r="E558" s="206">
        <v>99924500</v>
      </c>
      <c r="F558" s="4593"/>
      <c r="G558" s="372">
        <f t="shared" si="35"/>
        <v>99.924500000000009</v>
      </c>
      <c r="H558" s="149">
        <v>100</v>
      </c>
      <c r="I558" s="1991"/>
      <c r="K558" s="536"/>
      <c r="L558" s="536"/>
    </row>
    <row r="559" spans="1:12" ht="15.75" hidden="1" customHeight="1" x14ac:dyDescent="0.25">
      <c r="A559" s="2"/>
      <c r="B559" s="1024"/>
      <c r="C559" s="170" t="s">
        <v>1903</v>
      </c>
      <c r="D559" s="73">
        <v>100000000</v>
      </c>
      <c r="E559" s="73">
        <v>98918500</v>
      </c>
      <c r="F559" s="194"/>
      <c r="G559" s="372">
        <f t="shared" si="35"/>
        <v>98.918499999999995</v>
      </c>
      <c r="H559" s="149">
        <v>100</v>
      </c>
      <c r="I559" s="1991"/>
      <c r="K559" s="536"/>
      <c r="L559" s="536"/>
    </row>
    <row r="560" spans="1:12" ht="18.75" hidden="1" customHeight="1" x14ac:dyDescent="0.25">
      <c r="A560" s="2"/>
      <c r="B560" s="1024"/>
      <c r="C560" s="170" t="s">
        <v>1904</v>
      </c>
      <c r="D560" s="73">
        <v>100000000</v>
      </c>
      <c r="E560" s="73">
        <v>99930200</v>
      </c>
      <c r="F560" s="194"/>
      <c r="G560" s="372">
        <f t="shared" si="35"/>
        <v>99.930199999999999</v>
      </c>
      <c r="H560" s="149">
        <v>100</v>
      </c>
      <c r="I560" s="1991"/>
      <c r="K560" s="536"/>
      <c r="L560" s="536"/>
    </row>
    <row r="561" spans="1:12" ht="18.75" hidden="1" customHeight="1" x14ac:dyDescent="0.25">
      <c r="A561" s="2"/>
      <c r="B561" s="1024"/>
      <c r="C561" s="170" t="s">
        <v>1905</v>
      </c>
      <c r="D561" s="73">
        <v>100000000</v>
      </c>
      <c r="E561" s="73">
        <v>99919200</v>
      </c>
      <c r="F561" s="194"/>
      <c r="G561" s="372">
        <f t="shared" si="35"/>
        <v>99.919200000000004</v>
      </c>
      <c r="H561" s="149">
        <v>100</v>
      </c>
      <c r="I561" s="1991"/>
      <c r="K561" s="536"/>
      <c r="L561" s="536"/>
    </row>
    <row r="562" spans="1:12" ht="19.5" hidden="1" customHeight="1" x14ac:dyDescent="0.25">
      <c r="A562" s="2"/>
      <c r="B562" s="1024"/>
      <c r="C562" s="170" t="s">
        <v>1906</v>
      </c>
      <c r="D562" s="73">
        <v>100000000</v>
      </c>
      <c r="E562" s="73">
        <v>99993000</v>
      </c>
      <c r="F562" s="194"/>
      <c r="G562" s="372">
        <f t="shared" si="35"/>
        <v>99.992999999999995</v>
      </c>
      <c r="H562" s="149">
        <v>100</v>
      </c>
      <c r="I562" s="1991"/>
      <c r="K562" s="536"/>
      <c r="L562" s="536"/>
    </row>
    <row r="563" spans="1:12" ht="21" hidden="1" customHeight="1" x14ac:dyDescent="0.25">
      <c r="A563" s="2"/>
      <c r="B563" s="1024"/>
      <c r="C563" s="170" t="s">
        <v>1907</v>
      </c>
      <c r="D563" s="73">
        <v>100000000</v>
      </c>
      <c r="E563" s="73">
        <v>99492700</v>
      </c>
      <c r="F563" s="194"/>
      <c r="G563" s="372">
        <f t="shared" si="35"/>
        <v>99.492699999999999</v>
      </c>
      <c r="H563" s="149">
        <v>100</v>
      </c>
      <c r="I563" s="1991"/>
      <c r="K563" s="536"/>
      <c r="L563" s="536"/>
    </row>
    <row r="564" spans="1:12" ht="15.75" hidden="1" customHeight="1" x14ac:dyDescent="0.25">
      <c r="A564" s="2"/>
      <c r="B564" s="1024"/>
      <c r="C564" s="170" t="s">
        <v>1908</v>
      </c>
      <c r="D564" s="73">
        <v>100000000</v>
      </c>
      <c r="E564" s="73">
        <v>47500000</v>
      </c>
      <c r="F564" s="194"/>
      <c r="G564" s="372">
        <f t="shared" si="35"/>
        <v>47.5</v>
      </c>
      <c r="H564" s="149">
        <v>100</v>
      </c>
      <c r="I564" s="1991"/>
      <c r="K564" s="536"/>
      <c r="L564" s="536"/>
    </row>
    <row r="565" spans="1:12" ht="12" hidden="1" customHeight="1" x14ac:dyDescent="0.25">
      <c r="A565" s="2"/>
      <c r="B565" s="1024"/>
      <c r="C565" s="170"/>
      <c r="D565" s="197"/>
      <c r="E565" s="197"/>
      <c r="F565" s="365"/>
      <c r="G565" s="372"/>
      <c r="H565" s="197"/>
      <c r="I565" s="1991"/>
      <c r="K565" s="536"/>
      <c r="L565" s="536"/>
    </row>
    <row r="566" spans="1:12" ht="16.5" hidden="1" customHeight="1" x14ac:dyDescent="0.25">
      <c r="A566" s="2"/>
      <c r="B566" s="1024"/>
      <c r="C566" s="171" t="s">
        <v>1909</v>
      </c>
      <c r="D566" s="249">
        <f>D567</f>
        <v>100000000</v>
      </c>
      <c r="E566" s="249">
        <f>E567</f>
        <v>95553000</v>
      </c>
      <c r="F566" s="4949"/>
      <c r="G566" s="490">
        <f t="shared" si="35"/>
        <v>95.552999999999997</v>
      </c>
      <c r="H566" s="157">
        <f>H567</f>
        <v>100</v>
      </c>
      <c r="I566" s="1991"/>
      <c r="K566" s="536"/>
      <c r="L566" s="536"/>
    </row>
    <row r="567" spans="1:12" ht="13.5" hidden="1" customHeight="1" x14ac:dyDescent="0.25">
      <c r="A567" s="2"/>
      <c r="B567" s="1024"/>
      <c r="C567" s="168" t="s">
        <v>1910</v>
      </c>
      <c r="D567" s="189">
        <v>100000000</v>
      </c>
      <c r="E567" s="73">
        <v>95553000</v>
      </c>
      <c r="F567" s="194"/>
      <c r="G567" s="372">
        <f t="shared" si="35"/>
        <v>95.552999999999997</v>
      </c>
      <c r="H567" s="372">
        <v>100</v>
      </c>
      <c r="I567" s="1991"/>
      <c r="K567" s="536"/>
      <c r="L567" s="536"/>
    </row>
    <row r="568" spans="1:12" ht="12" hidden="1" customHeight="1" x14ac:dyDescent="0.25">
      <c r="A568" s="2"/>
      <c r="B568" s="1024"/>
      <c r="C568" s="170"/>
      <c r="D568" s="197"/>
      <c r="E568" s="197"/>
      <c r="F568" s="365"/>
      <c r="G568" s="372"/>
      <c r="H568" s="197"/>
      <c r="I568" s="1991"/>
      <c r="K568" s="536"/>
      <c r="L568" s="536"/>
    </row>
    <row r="569" spans="1:12" ht="27.75" hidden="1" customHeight="1" x14ac:dyDescent="0.25">
      <c r="A569" s="2"/>
      <c r="B569" s="1024"/>
      <c r="C569" s="171" t="s">
        <v>1911</v>
      </c>
      <c r="D569" s="357">
        <f>SUM(D570:D581)</f>
        <v>1978000000</v>
      </c>
      <c r="E569" s="357">
        <f>SUM(E570:E581)</f>
        <v>1856242000</v>
      </c>
      <c r="F569" s="4948"/>
      <c r="G569" s="490">
        <f t="shared" si="35"/>
        <v>93.844388270980801</v>
      </c>
      <c r="H569" s="157">
        <f>SUM(H570:H581)/12</f>
        <v>100</v>
      </c>
      <c r="I569" s="1991"/>
      <c r="K569" s="536"/>
      <c r="L569" s="536"/>
    </row>
    <row r="570" spans="1:12" ht="17.25" hidden="1" customHeight="1" x14ac:dyDescent="0.25">
      <c r="A570" s="2"/>
      <c r="B570" s="1024"/>
      <c r="C570" s="168" t="s">
        <v>1912</v>
      </c>
      <c r="D570" s="73">
        <v>200000000</v>
      </c>
      <c r="E570" s="73">
        <v>192625000</v>
      </c>
      <c r="F570" s="194"/>
      <c r="G570" s="372">
        <f t="shared" si="35"/>
        <v>96.3125</v>
      </c>
      <c r="H570" s="73">
        <v>100</v>
      </c>
      <c r="I570" s="1991"/>
      <c r="K570" s="536"/>
      <c r="L570" s="536"/>
    </row>
    <row r="571" spans="1:12" ht="15.75" hidden="1" customHeight="1" x14ac:dyDescent="0.25">
      <c r="A571" s="2"/>
      <c r="B571" s="1024"/>
      <c r="C571" s="168" t="s">
        <v>3085</v>
      </c>
      <c r="D571" s="73">
        <v>350000000</v>
      </c>
      <c r="E571" s="73">
        <v>348300000</v>
      </c>
      <c r="F571" s="194"/>
      <c r="G571" s="372">
        <f t="shared" si="35"/>
        <v>99.514285714285705</v>
      </c>
      <c r="H571" s="73">
        <v>100</v>
      </c>
      <c r="I571" s="1991"/>
      <c r="K571" s="536"/>
      <c r="L571" s="536"/>
    </row>
    <row r="572" spans="1:12" ht="14.25" hidden="1" customHeight="1" x14ac:dyDescent="0.25">
      <c r="A572" s="2"/>
      <c r="B572" s="1024"/>
      <c r="C572" s="168" t="s">
        <v>1913</v>
      </c>
      <c r="D572" s="73">
        <v>550000000</v>
      </c>
      <c r="E572" s="73">
        <v>467404000</v>
      </c>
      <c r="F572" s="194"/>
      <c r="G572" s="372">
        <f t="shared" si="35"/>
        <v>84.982545454545459</v>
      </c>
      <c r="H572" s="73">
        <v>100</v>
      </c>
      <c r="I572" s="1991"/>
      <c r="K572" s="536"/>
      <c r="L572" s="536"/>
    </row>
    <row r="573" spans="1:12" ht="15.75" hidden="1" customHeight="1" x14ac:dyDescent="0.25">
      <c r="A573" s="2"/>
      <c r="B573" s="1024"/>
      <c r="C573" s="168" t="s">
        <v>1914</v>
      </c>
      <c r="D573" s="73">
        <v>150000000</v>
      </c>
      <c r="E573" s="73">
        <v>149000000</v>
      </c>
      <c r="F573" s="194"/>
      <c r="G573" s="372">
        <f t="shared" si="35"/>
        <v>99.333333333333329</v>
      </c>
      <c r="H573" s="73">
        <v>100</v>
      </c>
      <c r="I573" s="1991"/>
      <c r="K573" s="536"/>
      <c r="L573" s="536"/>
    </row>
    <row r="574" spans="1:12" ht="15.75" hidden="1" customHeight="1" x14ac:dyDescent="0.25">
      <c r="A574" s="2"/>
      <c r="B574" s="1024"/>
      <c r="C574" s="170" t="s">
        <v>1915</v>
      </c>
      <c r="D574" s="73">
        <v>300000000</v>
      </c>
      <c r="E574" s="73">
        <v>291925000</v>
      </c>
      <c r="F574" s="194"/>
      <c r="G574" s="372">
        <f t="shared" si="35"/>
        <v>97.308333333333337</v>
      </c>
      <c r="H574" s="73">
        <v>100</v>
      </c>
      <c r="I574" s="1991"/>
      <c r="K574" s="536"/>
      <c r="L574" s="536"/>
    </row>
    <row r="575" spans="1:12" ht="16.5" hidden="1" customHeight="1" x14ac:dyDescent="0.25">
      <c r="A575" s="2"/>
      <c r="B575" s="1024"/>
      <c r="C575" s="170" t="s">
        <v>1916</v>
      </c>
      <c r="D575" s="73">
        <v>100000000</v>
      </c>
      <c r="E575" s="73">
        <v>98975000</v>
      </c>
      <c r="F575" s="194"/>
      <c r="G575" s="372">
        <f t="shared" si="35"/>
        <v>98.975000000000009</v>
      </c>
      <c r="H575" s="73">
        <v>100</v>
      </c>
      <c r="I575" s="1991"/>
      <c r="K575" s="536"/>
      <c r="L575" s="536"/>
    </row>
    <row r="576" spans="1:12" ht="15" hidden="1" customHeight="1" x14ac:dyDescent="0.25">
      <c r="A576" s="2"/>
      <c r="B576" s="1024"/>
      <c r="C576" s="170" t="s">
        <v>1917</v>
      </c>
      <c r="D576" s="73">
        <v>150000000</v>
      </c>
      <c r="E576" s="73">
        <v>143225000</v>
      </c>
      <c r="F576" s="194"/>
      <c r="G576" s="372">
        <f t="shared" si="35"/>
        <v>95.483333333333334</v>
      </c>
      <c r="H576" s="73">
        <v>100</v>
      </c>
      <c r="I576" s="1991"/>
      <c r="K576" s="536"/>
      <c r="L576" s="536"/>
    </row>
    <row r="577" spans="1:12" ht="12.75" hidden="1" customHeight="1" x14ac:dyDescent="0.25">
      <c r="A577" s="2"/>
      <c r="B577" s="1024"/>
      <c r="C577" s="170" t="s">
        <v>1918</v>
      </c>
      <c r="D577" s="73">
        <v>25422000</v>
      </c>
      <c r="E577" s="149">
        <v>23245000</v>
      </c>
      <c r="F577" s="374"/>
      <c r="G577" s="372">
        <f t="shared" si="35"/>
        <v>91.436551018802618</v>
      </c>
      <c r="H577" s="73">
        <v>100</v>
      </c>
      <c r="I577" s="1991"/>
      <c r="K577" s="536"/>
      <c r="L577" s="536"/>
    </row>
    <row r="578" spans="1:12" ht="16.5" hidden="1" customHeight="1" x14ac:dyDescent="0.25">
      <c r="A578" s="2"/>
      <c r="B578" s="1024"/>
      <c r="C578" s="170" t="s">
        <v>1919</v>
      </c>
      <c r="D578" s="73">
        <v>35655000</v>
      </c>
      <c r="E578" s="149">
        <v>34490000</v>
      </c>
      <c r="F578" s="374"/>
      <c r="G578" s="372">
        <f t="shared" si="35"/>
        <v>96.732576076286634</v>
      </c>
      <c r="H578" s="73">
        <v>100</v>
      </c>
      <c r="I578" s="1991"/>
      <c r="K578" s="536"/>
      <c r="L578" s="536"/>
    </row>
    <row r="579" spans="1:12" ht="14.25" hidden="1" customHeight="1" x14ac:dyDescent="0.25">
      <c r="A579" s="2"/>
      <c r="B579" s="1024"/>
      <c r="C579" s="170" t="s">
        <v>1920</v>
      </c>
      <c r="D579" s="73">
        <v>56410000</v>
      </c>
      <c r="E579" s="149">
        <v>48320000</v>
      </c>
      <c r="F579" s="374"/>
      <c r="G579" s="372">
        <f t="shared" si="35"/>
        <v>85.65857117532353</v>
      </c>
      <c r="H579" s="73">
        <v>100</v>
      </c>
      <c r="I579" s="1991"/>
      <c r="K579" s="536"/>
      <c r="L579" s="536"/>
    </row>
    <row r="580" spans="1:12" ht="17.25" hidden="1" customHeight="1" x14ac:dyDescent="0.25">
      <c r="A580" s="2"/>
      <c r="B580" s="1024"/>
      <c r="C580" s="172" t="s">
        <v>1921</v>
      </c>
      <c r="D580" s="250">
        <v>21325000</v>
      </c>
      <c r="E580" s="149">
        <v>19650000</v>
      </c>
      <c r="F580" s="374"/>
      <c r="G580" s="372">
        <f t="shared" si="35"/>
        <v>92.145369284876907</v>
      </c>
      <c r="H580" s="73">
        <v>100</v>
      </c>
      <c r="I580" s="1991"/>
      <c r="K580" s="536"/>
      <c r="L580" s="536"/>
    </row>
    <row r="581" spans="1:12" ht="15" hidden="1" customHeight="1" x14ac:dyDescent="0.25">
      <c r="A581" s="2"/>
      <c r="B581" s="1024"/>
      <c r="C581" s="168" t="s">
        <v>1922</v>
      </c>
      <c r="D581" s="189">
        <v>39188000</v>
      </c>
      <c r="E581" s="149">
        <v>39083000</v>
      </c>
      <c r="F581" s="374"/>
      <c r="G581" s="372">
        <f t="shared" si="35"/>
        <v>99.732060834949479</v>
      </c>
      <c r="H581" s="73">
        <v>100</v>
      </c>
      <c r="I581" s="1991"/>
      <c r="K581" s="536"/>
      <c r="L581" s="536"/>
    </row>
    <row r="582" spans="1:12" ht="11.25" hidden="1" customHeight="1" x14ac:dyDescent="0.25">
      <c r="A582" s="2"/>
      <c r="B582" s="1024"/>
      <c r="C582" s="170"/>
      <c r="D582" s="197"/>
      <c r="E582" s="197"/>
      <c r="F582" s="197"/>
      <c r="G582" s="189"/>
      <c r="H582" s="197"/>
      <c r="I582" s="1991"/>
      <c r="K582" s="536"/>
      <c r="L582" s="536"/>
    </row>
    <row r="583" spans="1:12" ht="17.25" hidden="1" customHeight="1" x14ac:dyDescent="0.25">
      <c r="A583" s="2"/>
      <c r="B583" s="1024"/>
      <c r="C583" s="171" t="s">
        <v>1923</v>
      </c>
      <c r="D583" s="357">
        <f>SUM(D584:D585)</f>
        <v>300000000</v>
      </c>
      <c r="E583" s="357">
        <f>SUM(E584:E585)</f>
        <v>298906300</v>
      </c>
      <c r="F583" s="4948"/>
      <c r="G583" s="490">
        <f t="shared" ref="G583:G601" si="36">E583/D583*100</f>
        <v>99.635433333333339</v>
      </c>
      <c r="H583" s="150">
        <f>SUM(H584:H585)/2</f>
        <v>100</v>
      </c>
      <c r="I583" s="1991"/>
      <c r="K583" s="536"/>
      <c r="L583" s="536"/>
    </row>
    <row r="584" spans="1:12" ht="16.5" hidden="1" customHeight="1" x14ac:dyDescent="0.25">
      <c r="A584" s="2"/>
      <c r="B584" s="1024"/>
      <c r="C584" s="168" t="s">
        <v>1924</v>
      </c>
      <c r="D584" s="189">
        <v>100000000</v>
      </c>
      <c r="E584" s="206">
        <v>100000000</v>
      </c>
      <c r="F584" s="4593"/>
      <c r="G584" s="372">
        <f t="shared" si="36"/>
        <v>100</v>
      </c>
      <c r="H584" s="149">
        <v>100</v>
      </c>
      <c r="I584" s="1991"/>
      <c r="K584" s="536"/>
      <c r="L584" s="536"/>
    </row>
    <row r="585" spans="1:12" ht="16.5" hidden="1" customHeight="1" x14ac:dyDescent="0.25">
      <c r="A585" s="2"/>
      <c r="B585" s="1024"/>
      <c r="C585" s="168" t="s">
        <v>1925</v>
      </c>
      <c r="D585" s="189">
        <v>200000000</v>
      </c>
      <c r="E585" s="206">
        <v>198906300</v>
      </c>
      <c r="F585" s="4593"/>
      <c r="G585" s="372">
        <f t="shared" si="36"/>
        <v>99.453150000000008</v>
      </c>
      <c r="H585" s="149">
        <v>100</v>
      </c>
      <c r="I585" s="1991"/>
      <c r="K585" s="536"/>
      <c r="L585" s="536"/>
    </row>
    <row r="586" spans="1:12" ht="9" hidden="1" customHeight="1" x14ac:dyDescent="0.25">
      <c r="A586" s="2"/>
      <c r="B586" s="1024"/>
      <c r="C586" s="174"/>
      <c r="D586" s="215"/>
      <c r="E586" s="215"/>
      <c r="F586" s="215"/>
      <c r="G586" s="372"/>
      <c r="H586" s="215"/>
      <c r="I586" s="1991"/>
      <c r="K586" s="536"/>
      <c r="L586" s="536"/>
    </row>
    <row r="587" spans="1:12" ht="17.25" hidden="1" customHeight="1" x14ac:dyDescent="0.25">
      <c r="A587" s="2"/>
      <c r="B587" s="1024"/>
      <c r="C587" s="175" t="s">
        <v>1926</v>
      </c>
      <c r="D587" s="157">
        <f>D588</f>
        <v>990000000</v>
      </c>
      <c r="E587" s="157">
        <f>E588</f>
        <v>990000000</v>
      </c>
      <c r="F587" s="72"/>
      <c r="G587" s="490">
        <f t="shared" si="36"/>
        <v>100</v>
      </c>
      <c r="H587" s="157">
        <f>H588</f>
        <v>100</v>
      </c>
      <c r="I587" s="1991"/>
      <c r="K587" s="536"/>
      <c r="L587" s="536"/>
    </row>
    <row r="588" spans="1:12" ht="14.25" hidden="1" customHeight="1" x14ac:dyDescent="0.25">
      <c r="A588" s="2"/>
      <c r="B588" s="1024"/>
      <c r="C588" s="168" t="s">
        <v>1927</v>
      </c>
      <c r="D588" s="73">
        <v>990000000</v>
      </c>
      <c r="E588" s="73">
        <v>990000000</v>
      </c>
      <c r="F588" s="194"/>
      <c r="G588" s="372">
        <f t="shared" si="36"/>
        <v>100</v>
      </c>
      <c r="H588" s="73">
        <v>100</v>
      </c>
      <c r="I588" s="1991"/>
      <c r="K588" s="536"/>
      <c r="L588" s="536"/>
    </row>
    <row r="589" spans="1:12" ht="8.25" hidden="1" customHeight="1" x14ac:dyDescent="0.25">
      <c r="A589" s="2"/>
      <c r="B589" s="1993"/>
      <c r="C589" s="168"/>
      <c r="D589" s="197"/>
      <c r="E589" s="197"/>
      <c r="F589" s="365"/>
      <c r="G589" s="372"/>
      <c r="H589" s="197"/>
      <c r="I589" s="1991"/>
      <c r="K589" s="536"/>
      <c r="L589" s="536"/>
    </row>
    <row r="590" spans="1:12" ht="16.5" hidden="1" customHeight="1" x14ac:dyDescent="0.25">
      <c r="A590" s="2"/>
      <c r="B590" s="1024"/>
      <c r="C590" s="175" t="s">
        <v>1928</v>
      </c>
      <c r="D590" s="157">
        <f>SUM(D591:D594)</f>
        <v>455300000</v>
      </c>
      <c r="E590" s="157">
        <f>SUM(E591:E594)</f>
        <v>445217490</v>
      </c>
      <c r="F590" s="72"/>
      <c r="G590" s="490">
        <f t="shared" si="36"/>
        <v>97.785523830441463</v>
      </c>
      <c r="H590" s="157">
        <f>SUM(H591:H594)/4</f>
        <v>100</v>
      </c>
      <c r="I590" s="1991"/>
      <c r="K590" s="536"/>
      <c r="L590" s="536"/>
    </row>
    <row r="591" spans="1:12" ht="15.75" hidden="1" customHeight="1" x14ac:dyDescent="0.25">
      <c r="A591" s="2"/>
      <c r="B591" s="1024"/>
      <c r="C591" s="168" t="s">
        <v>1929</v>
      </c>
      <c r="D591" s="73">
        <v>100000000</v>
      </c>
      <c r="E591" s="73">
        <v>99951890</v>
      </c>
      <c r="F591" s="194"/>
      <c r="G591" s="372">
        <f t="shared" si="36"/>
        <v>99.951889999999992</v>
      </c>
      <c r="H591" s="73">
        <v>100</v>
      </c>
      <c r="I591" s="1991"/>
      <c r="K591" s="536"/>
      <c r="L591" s="536"/>
    </row>
    <row r="592" spans="1:12" ht="16.5" hidden="1" customHeight="1" x14ac:dyDescent="0.25">
      <c r="A592" s="2"/>
      <c r="B592" s="1024"/>
      <c r="C592" s="168" t="s">
        <v>1930</v>
      </c>
      <c r="D592" s="73">
        <v>100000000</v>
      </c>
      <c r="E592" s="73">
        <v>96831400</v>
      </c>
      <c r="F592" s="194"/>
      <c r="G592" s="372">
        <f t="shared" si="36"/>
        <v>96.831400000000002</v>
      </c>
      <c r="H592" s="73">
        <v>100</v>
      </c>
      <c r="I592" s="1991"/>
      <c r="K592" s="536"/>
      <c r="L592" s="536"/>
    </row>
    <row r="593" spans="1:12" ht="15.75" hidden="1" customHeight="1" x14ac:dyDescent="0.25">
      <c r="A593" s="2"/>
      <c r="B593" s="1024"/>
      <c r="C593" s="168" t="s">
        <v>1931</v>
      </c>
      <c r="D593" s="73">
        <v>100000000</v>
      </c>
      <c r="E593" s="73">
        <v>93184200</v>
      </c>
      <c r="F593" s="194"/>
      <c r="G593" s="372">
        <f t="shared" si="36"/>
        <v>93.18419999999999</v>
      </c>
      <c r="H593" s="73">
        <v>100</v>
      </c>
      <c r="I593" s="1991"/>
      <c r="K593" s="536"/>
      <c r="L593" s="536"/>
    </row>
    <row r="594" spans="1:12" ht="15.75" hidden="1" customHeight="1" x14ac:dyDescent="0.25">
      <c r="A594" s="2"/>
      <c r="B594" s="1024"/>
      <c r="C594" s="168" t="s">
        <v>1932</v>
      </c>
      <c r="D594" s="73">
        <v>155300000</v>
      </c>
      <c r="E594" s="73">
        <v>155250000</v>
      </c>
      <c r="F594" s="194"/>
      <c r="G594" s="372">
        <f t="shared" si="36"/>
        <v>99.96780424983902</v>
      </c>
      <c r="H594" s="73">
        <v>100</v>
      </c>
      <c r="I594" s="1991"/>
      <c r="K594" s="536"/>
      <c r="L594" s="536"/>
    </row>
    <row r="595" spans="1:12" ht="11.25" hidden="1" customHeight="1" x14ac:dyDescent="0.25">
      <c r="A595" s="2"/>
      <c r="B595" s="1024"/>
      <c r="C595" s="168"/>
      <c r="D595" s="197"/>
      <c r="E595" s="197"/>
      <c r="F595" s="365"/>
      <c r="G595" s="372"/>
      <c r="H595" s="197"/>
      <c r="I595" s="1991"/>
      <c r="K595" s="536"/>
      <c r="L595" s="536"/>
    </row>
    <row r="596" spans="1:12" ht="18.75" hidden="1" customHeight="1" x14ac:dyDescent="0.25">
      <c r="A596" s="2"/>
      <c r="B596" s="1024"/>
      <c r="C596" s="175" t="s">
        <v>1933</v>
      </c>
      <c r="D596" s="157">
        <f>SUM(D597:D598)</f>
        <v>500000000</v>
      </c>
      <c r="E596" s="157">
        <f>SUM(E597:E598)</f>
        <v>492397908</v>
      </c>
      <c r="F596" s="72"/>
      <c r="G596" s="490">
        <f t="shared" si="36"/>
        <v>98.479581600000003</v>
      </c>
      <c r="H596" s="157">
        <f>SUM(H597:H598)/2</f>
        <v>100</v>
      </c>
      <c r="I596" s="1991"/>
      <c r="K596" s="536"/>
      <c r="L596" s="536"/>
    </row>
    <row r="597" spans="1:12" ht="20.25" hidden="1" customHeight="1" x14ac:dyDescent="0.25">
      <c r="A597" s="2"/>
      <c r="B597" s="1024"/>
      <c r="C597" s="168" t="s">
        <v>1934</v>
      </c>
      <c r="D597" s="73">
        <v>200000000</v>
      </c>
      <c r="E597" s="73">
        <v>199894700</v>
      </c>
      <c r="F597" s="194"/>
      <c r="G597" s="372">
        <f t="shared" si="36"/>
        <v>99.94735</v>
      </c>
      <c r="H597" s="73">
        <v>100</v>
      </c>
      <c r="I597" s="1991"/>
      <c r="K597" s="536"/>
      <c r="L597" s="536"/>
    </row>
    <row r="598" spans="1:12" ht="19.5" hidden="1" customHeight="1" x14ac:dyDescent="0.25">
      <c r="A598" s="2"/>
      <c r="B598" s="1024"/>
      <c r="C598" s="168" t="s">
        <v>1935</v>
      </c>
      <c r="D598" s="73">
        <v>300000000</v>
      </c>
      <c r="E598" s="73">
        <v>292503208</v>
      </c>
      <c r="F598" s="194"/>
      <c r="G598" s="372">
        <f t="shared" si="36"/>
        <v>97.501069333333334</v>
      </c>
      <c r="H598" s="73">
        <v>100</v>
      </c>
      <c r="I598" s="1991"/>
      <c r="K598" s="536"/>
      <c r="L598" s="536"/>
    </row>
    <row r="599" spans="1:12" ht="10.5" hidden="1" customHeight="1" x14ac:dyDescent="0.25">
      <c r="A599" s="2"/>
      <c r="B599" s="1024"/>
      <c r="C599" s="168"/>
      <c r="D599" s="197"/>
      <c r="E599" s="197"/>
      <c r="F599" s="365"/>
      <c r="G599" s="372"/>
      <c r="H599" s="197"/>
      <c r="I599" s="1991"/>
      <c r="K599" s="536"/>
      <c r="L599" s="536"/>
    </row>
    <row r="600" spans="1:12" ht="18" hidden="1" customHeight="1" x14ac:dyDescent="0.25">
      <c r="A600" s="2"/>
      <c r="B600" s="1024"/>
      <c r="C600" s="175" t="s">
        <v>1936</v>
      </c>
      <c r="D600" s="157">
        <f>D601</f>
        <v>100000000</v>
      </c>
      <c r="E600" s="157">
        <f>E601</f>
        <v>99950000</v>
      </c>
      <c r="F600" s="72"/>
      <c r="G600" s="490">
        <f t="shared" si="36"/>
        <v>99.95</v>
      </c>
      <c r="H600" s="157">
        <f>H601</f>
        <v>100</v>
      </c>
      <c r="I600" s="1991"/>
      <c r="K600" s="536"/>
      <c r="L600" s="536"/>
    </row>
    <row r="601" spans="1:12" ht="15.75" hidden="1" customHeight="1" x14ac:dyDescent="0.25">
      <c r="A601" s="2"/>
      <c r="B601" s="1024"/>
      <c r="C601" s="168" t="s">
        <v>1937</v>
      </c>
      <c r="D601" s="73">
        <v>100000000</v>
      </c>
      <c r="E601" s="73">
        <v>99950000</v>
      </c>
      <c r="F601" s="194"/>
      <c r="G601" s="372">
        <f t="shared" si="36"/>
        <v>99.95</v>
      </c>
      <c r="H601" s="73">
        <v>100</v>
      </c>
      <c r="I601" s="1991"/>
      <c r="K601" s="536"/>
      <c r="L601" s="536"/>
    </row>
    <row r="602" spans="1:12" ht="16.5" hidden="1" customHeight="1" x14ac:dyDescent="0.25">
      <c r="B602" s="1037"/>
      <c r="C602" s="177"/>
      <c r="D602" s="215"/>
      <c r="E602" s="215"/>
      <c r="F602" s="215"/>
      <c r="G602" s="191"/>
      <c r="H602" s="1494"/>
      <c r="I602" s="1106"/>
    </row>
    <row r="603" spans="1:12" ht="19.5" hidden="1" customHeight="1" x14ac:dyDescent="0.25">
      <c r="B603" s="1046"/>
      <c r="C603" s="178" t="s">
        <v>286</v>
      </c>
      <c r="D603" s="2342">
        <f>D604</f>
        <v>5000000000</v>
      </c>
      <c r="E603" s="2342">
        <f>E604</f>
        <v>4938105486</v>
      </c>
      <c r="F603" s="2342"/>
      <c r="G603" s="68">
        <f t="shared" ref="G603:G605" si="37">E603/D603*100</f>
        <v>98.762109719999998</v>
      </c>
      <c r="H603" s="179">
        <f>H604</f>
        <v>100</v>
      </c>
      <c r="I603" s="1106"/>
    </row>
    <row r="604" spans="1:12" ht="21.75" hidden="1" customHeight="1" x14ac:dyDescent="0.25">
      <c r="B604" s="1037"/>
      <c r="C604" s="175" t="s">
        <v>1938</v>
      </c>
      <c r="D604" s="2343">
        <f>D605</f>
        <v>5000000000</v>
      </c>
      <c r="E604" s="2343">
        <f>E605</f>
        <v>4938105486</v>
      </c>
      <c r="F604" s="4950"/>
      <c r="G604" s="490">
        <f t="shared" si="37"/>
        <v>98.762109719999998</v>
      </c>
      <c r="H604" s="150">
        <f>H605</f>
        <v>100</v>
      </c>
      <c r="I604" s="1106"/>
    </row>
    <row r="605" spans="1:12" ht="19.5" hidden="1" customHeight="1" x14ac:dyDescent="0.25">
      <c r="A605" s="2"/>
      <c r="B605" s="1024"/>
      <c r="C605" s="168" t="s">
        <v>1939</v>
      </c>
      <c r="D605" s="189">
        <v>5000000000</v>
      </c>
      <c r="E605" s="206">
        <v>4938105486</v>
      </c>
      <c r="F605" s="4593"/>
      <c r="G605" s="372">
        <f t="shared" si="37"/>
        <v>98.762109719999998</v>
      </c>
      <c r="H605" s="149">
        <v>100</v>
      </c>
      <c r="I605" s="1991"/>
      <c r="K605" s="536"/>
      <c r="L605" s="536"/>
    </row>
    <row r="606" spans="1:12" ht="16.5" hidden="1" customHeight="1" x14ac:dyDescent="0.25">
      <c r="B606" s="1037"/>
      <c r="C606" s="177"/>
      <c r="D606" s="215"/>
      <c r="E606" s="215"/>
      <c r="F606" s="215"/>
      <c r="G606" s="191"/>
      <c r="H606" s="1494"/>
      <c r="I606" s="1106"/>
    </row>
    <row r="607" spans="1:12" ht="16.5" hidden="1" customHeight="1" x14ac:dyDescent="0.25">
      <c r="B607" s="2344"/>
      <c r="C607" s="2345" t="s">
        <v>1940</v>
      </c>
      <c r="D607" s="2346">
        <f>D608</f>
        <v>500000000</v>
      </c>
      <c r="E607" s="2346">
        <f>E608</f>
        <v>495453000</v>
      </c>
      <c r="F607" s="2346"/>
      <c r="G607" s="2346">
        <f>E607/D607*100</f>
        <v>99.090599999999995</v>
      </c>
      <c r="H607" s="2346">
        <f>H608</f>
        <v>100</v>
      </c>
      <c r="I607" s="2347"/>
      <c r="J607" s="262"/>
      <c r="K607" s="263"/>
      <c r="L607" s="263"/>
    </row>
    <row r="608" spans="1:12" ht="16.5" hidden="1" customHeight="1" x14ac:dyDescent="0.25">
      <c r="B608" s="1037"/>
      <c r="C608" s="175" t="s">
        <v>1965</v>
      </c>
      <c r="D608" s="157">
        <f>SUM(D609:D611)</f>
        <v>500000000</v>
      </c>
      <c r="E608" s="157">
        <f>SUM(E609:E611)</f>
        <v>495453000</v>
      </c>
      <c r="F608" s="72"/>
      <c r="G608" s="490">
        <f t="shared" ref="G608:G611" si="38">E608/D608*100</f>
        <v>99.090599999999995</v>
      </c>
      <c r="H608" s="157">
        <f>SUM(H609:H611)/3</f>
        <v>100</v>
      </c>
      <c r="I608" s="1106"/>
    </row>
    <row r="609" spans="1:12" ht="19.5" hidden="1" customHeight="1" x14ac:dyDescent="0.25">
      <c r="B609" s="1037"/>
      <c r="C609" s="168" t="s">
        <v>1966</v>
      </c>
      <c r="D609" s="2288">
        <v>150000000</v>
      </c>
      <c r="E609" s="73">
        <v>149920000</v>
      </c>
      <c r="F609" s="194"/>
      <c r="G609" s="372">
        <f t="shared" si="38"/>
        <v>99.946666666666658</v>
      </c>
      <c r="H609" s="73">
        <v>100</v>
      </c>
      <c r="I609" s="1106"/>
    </row>
    <row r="610" spans="1:12" ht="16.5" hidden="1" customHeight="1" x14ac:dyDescent="0.25">
      <c r="B610" s="1037"/>
      <c r="C610" s="168" t="s">
        <v>1967</v>
      </c>
      <c r="D610" s="2288">
        <v>100000000</v>
      </c>
      <c r="E610" s="73">
        <v>99915000</v>
      </c>
      <c r="F610" s="194"/>
      <c r="G610" s="372">
        <f t="shared" si="38"/>
        <v>99.914999999999992</v>
      </c>
      <c r="H610" s="73">
        <v>100</v>
      </c>
      <c r="I610" s="1106"/>
    </row>
    <row r="611" spans="1:12" ht="16.5" hidden="1" customHeight="1" x14ac:dyDescent="0.25">
      <c r="B611" s="1037"/>
      <c r="C611" s="168" t="s">
        <v>1968</v>
      </c>
      <c r="D611" s="2288">
        <v>250000000</v>
      </c>
      <c r="E611" s="73">
        <v>245618000</v>
      </c>
      <c r="F611" s="194"/>
      <c r="G611" s="372">
        <f t="shared" si="38"/>
        <v>98.247200000000007</v>
      </c>
      <c r="H611" s="73">
        <v>100</v>
      </c>
      <c r="I611" s="1106"/>
    </row>
    <row r="612" spans="1:12" ht="15.75" hidden="1" customHeight="1" x14ac:dyDescent="0.25">
      <c r="B612" s="1037"/>
      <c r="C612" s="174"/>
      <c r="D612" s="180"/>
      <c r="E612" s="158"/>
      <c r="F612" s="158"/>
      <c r="G612" s="204"/>
      <c r="H612" s="1107"/>
      <c r="I612" s="1106"/>
    </row>
    <row r="613" spans="1:12" s="264" customFormat="1" ht="18.75" hidden="1" customHeight="1" x14ac:dyDescent="0.25">
      <c r="B613" s="2348"/>
      <c r="C613" s="2349" t="s">
        <v>2007</v>
      </c>
      <c r="D613" s="2350">
        <f t="shared" ref="D613:H614" si="39">D614</f>
        <v>150000000</v>
      </c>
      <c r="E613" s="2350">
        <f t="shared" si="39"/>
        <v>130000000</v>
      </c>
      <c r="F613" s="2350"/>
      <c r="G613" s="2351">
        <f t="shared" si="39"/>
        <v>86.666666666666671</v>
      </c>
      <c r="H613" s="2352">
        <f t="shared" si="39"/>
        <v>100</v>
      </c>
      <c r="I613" s="2353"/>
      <c r="K613" s="265"/>
      <c r="L613" s="265"/>
    </row>
    <row r="614" spans="1:12" ht="19.5" hidden="1" customHeight="1" x14ac:dyDescent="0.25">
      <c r="B614" s="1037"/>
      <c r="C614" s="175" t="s">
        <v>2008</v>
      </c>
      <c r="D614" s="181">
        <f t="shared" si="39"/>
        <v>150000000</v>
      </c>
      <c r="E614" s="181">
        <f t="shared" si="39"/>
        <v>130000000</v>
      </c>
      <c r="F614" s="181"/>
      <c r="G614" s="101">
        <f t="shared" si="39"/>
        <v>86.666666666666671</v>
      </c>
      <c r="H614" s="1493">
        <f t="shared" si="39"/>
        <v>100</v>
      </c>
      <c r="I614" s="1106"/>
    </row>
    <row r="615" spans="1:12" ht="15.75" hidden="1" customHeight="1" x14ac:dyDescent="0.25">
      <c r="B615" s="1037"/>
      <c r="C615" s="182" t="s">
        <v>2013</v>
      </c>
      <c r="D615" s="1120">
        <v>150000000</v>
      </c>
      <c r="E615" s="73">
        <v>130000000</v>
      </c>
      <c r="F615" s="73"/>
      <c r="G615" s="189">
        <f t="shared" ref="G615" si="40">E615/D615*100</f>
        <v>86.666666666666671</v>
      </c>
      <c r="H615" s="73">
        <v>100</v>
      </c>
      <c r="I615" s="1106"/>
    </row>
    <row r="616" spans="1:12" ht="15.75" hidden="1" customHeight="1" x14ac:dyDescent="0.25">
      <c r="B616" s="1037"/>
      <c r="C616" s="177"/>
      <c r="D616" s="162"/>
      <c r="E616" s="191"/>
      <c r="F616" s="191"/>
      <c r="G616" s="207"/>
      <c r="H616" s="1108"/>
      <c r="I616" s="1106"/>
    </row>
    <row r="617" spans="1:12" ht="19.5" hidden="1" customHeight="1" x14ac:dyDescent="0.25">
      <c r="B617" s="1046"/>
      <c r="C617" s="178" t="s">
        <v>2101</v>
      </c>
      <c r="D617" s="165">
        <f>D618</f>
        <v>1000000000</v>
      </c>
      <c r="E617" s="165">
        <f>E618</f>
        <v>1000000000</v>
      </c>
      <c r="F617" s="165"/>
      <c r="G617" s="200">
        <f>E617/D617*100</f>
        <v>100</v>
      </c>
      <c r="H617" s="1521">
        <f>H618</f>
        <v>100</v>
      </c>
      <c r="I617" s="1106"/>
    </row>
    <row r="618" spans="1:12" ht="22.5" hidden="1" customHeight="1" x14ac:dyDescent="0.25">
      <c r="B618" s="1037"/>
      <c r="C618" s="183" t="s">
        <v>2102</v>
      </c>
      <c r="D618" s="2354">
        <f>D619</f>
        <v>1000000000</v>
      </c>
      <c r="E618" s="2354">
        <f>E619</f>
        <v>1000000000</v>
      </c>
      <c r="F618" s="2354"/>
      <c r="G618" s="371">
        <f t="shared" ref="G618:G619" si="41">E618/D618*100</f>
        <v>100</v>
      </c>
      <c r="H618" s="249">
        <f>H619</f>
        <v>100</v>
      </c>
      <c r="I618" s="1106"/>
    </row>
    <row r="619" spans="1:12" ht="18.75" hidden="1" customHeight="1" x14ac:dyDescent="0.25">
      <c r="B619" s="1037"/>
      <c r="C619" s="168" t="s">
        <v>2103</v>
      </c>
      <c r="D619" s="2355">
        <v>1000000000</v>
      </c>
      <c r="E619" s="927">
        <v>1000000000</v>
      </c>
      <c r="F619" s="927"/>
      <c r="G619" s="189">
        <f t="shared" si="41"/>
        <v>100</v>
      </c>
      <c r="H619" s="250">
        <v>100</v>
      </c>
      <c r="I619" s="1106"/>
    </row>
    <row r="620" spans="1:12" ht="12" hidden="1" customHeight="1" x14ac:dyDescent="0.25">
      <c r="B620" s="1037"/>
      <c r="C620" s="2356"/>
      <c r="D620" s="215"/>
      <c r="E620" s="215"/>
      <c r="F620" s="215"/>
      <c r="G620" s="191"/>
      <c r="H620" s="1494"/>
      <c r="I620" s="1106"/>
    </row>
    <row r="621" spans="1:12" s="121" customFormat="1" ht="18" customHeight="1" x14ac:dyDescent="0.25">
      <c r="A621" s="425"/>
      <c r="B621" s="2294"/>
      <c r="C621" s="422" t="s">
        <v>2106</v>
      </c>
      <c r="D621" s="2357">
        <f>D623+D664</f>
        <v>40727357320</v>
      </c>
      <c r="E621" s="2357">
        <f>E623+E664</f>
        <v>40299932300</v>
      </c>
      <c r="F621" s="50">
        <f>D621-E621</f>
        <v>427425020</v>
      </c>
      <c r="G621" s="2358">
        <f>E621/D621*100</f>
        <v>98.950521103931038</v>
      </c>
      <c r="H621" s="2359">
        <f>SUM(H623+H664)/2</f>
        <v>98.98575757575756</v>
      </c>
      <c r="I621" s="1093"/>
      <c r="K621" s="122"/>
      <c r="L621" s="122"/>
    </row>
    <row r="622" spans="1:12" ht="8.25" hidden="1" customHeight="1" x14ac:dyDescent="0.25">
      <c r="B622" s="1033"/>
      <c r="C622" s="66"/>
      <c r="D622" s="935"/>
      <c r="E622" s="158"/>
      <c r="F622" s="158"/>
      <c r="G622" s="1526"/>
      <c r="H622" s="1527"/>
      <c r="I622" s="1106"/>
    </row>
    <row r="623" spans="1:12" ht="19.5" hidden="1" customHeight="1" x14ac:dyDescent="0.25">
      <c r="B623" s="1046"/>
      <c r="C623" s="56" t="s">
        <v>398</v>
      </c>
      <c r="D623" s="179">
        <f>D624+D627+D632+D636+D639+D642+D645+D661+D654+D649+D658</f>
        <v>7172357320</v>
      </c>
      <c r="E623" s="179">
        <f>E624+E627+E632+E636+E639+E642+E645+E661+E654+E649+E658</f>
        <v>6952460000</v>
      </c>
      <c r="F623" s="179"/>
      <c r="G623" s="179">
        <f>E623/D623*100</f>
        <v>96.934099764008977</v>
      </c>
      <c r="H623" s="1113">
        <f>SUM(H624+H627+H632+H636+H639+H642+H645+H649+H654+H658+H661)/11</f>
        <v>97.971515151515135</v>
      </c>
      <c r="I623" s="1106"/>
    </row>
    <row r="624" spans="1:12" ht="18.75" hidden="1" customHeight="1" x14ac:dyDescent="0.25">
      <c r="A624" s="2"/>
      <c r="B624" s="441"/>
      <c r="C624" s="2599" t="s">
        <v>2126</v>
      </c>
      <c r="D624" s="4065">
        <f>D625</f>
        <v>4049400000</v>
      </c>
      <c r="E624" s="4094">
        <f>E625</f>
        <v>3930150000</v>
      </c>
      <c r="F624" s="4042"/>
      <c r="G624" s="2695">
        <f>E624/D624*100</f>
        <v>97.055119276929915</v>
      </c>
      <c r="H624" s="3992">
        <f>H625</f>
        <v>100</v>
      </c>
      <c r="I624" s="1463"/>
      <c r="K624" s="536"/>
      <c r="L624" s="536"/>
    </row>
    <row r="625" spans="1:12" ht="15.75" hidden="1" customHeight="1" x14ac:dyDescent="0.25">
      <c r="A625" s="2"/>
      <c r="B625" s="441"/>
      <c r="C625" s="2600" t="s">
        <v>2127</v>
      </c>
      <c r="D625" s="4357">
        <v>4049400000</v>
      </c>
      <c r="E625" s="4092">
        <v>3930150000</v>
      </c>
      <c r="F625" s="4092"/>
      <c r="G625" s="2690">
        <f>E625/D625*100</f>
        <v>97.055119276929915</v>
      </c>
      <c r="H625" s="2967">
        <v>100</v>
      </c>
      <c r="I625" s="1463"/>
      <c r="K625" s="536"/>
      <c r="L625" s="536"/>
    </row>
    <row r="626" spans="1:12" ht="8.25" hidden="1" customHeight="1" x14ac:dyDescent="0.25">
      <c r="A626" s="2"/>
      <c r="B626" s="441"/>
      <c r="C626" s="2473"/>
      <c r="D626" s="4071"/>
      <c r="E626" s="2690"/>
      <c r="F626" s="2690"/>
      <c r="G626" s="2690"/>
      <c r="H626" s="3027"/>
      <c r="I626" s="1463"/>
      <c r="K626" s="536"/>
      <c r="L626" s="536"/>
    </row>
    <row r="627" spans="1:12" ht="17.25" hidden="1" customHeight="1" x14ac:dyDescent="0.25">
      <c r="A627" s="2"/>
      <c r="B627" s="441"/>
      <c r="C627" s="2599" t="s">
        <v>678</v>
      </c>
      <c r="D627" s="4358">
        <f>SUM(D628:D630)</f>
        <v>375000000</v>
      </c>
      <c r="E627" s="4095">
        <f>SUM(E628:E630)</f>
        <v>375000000</v>
      </c>
      <c r="F627" s="4095"/>
      <c r="G627" s="2695">
        <f t="shared" ref="G627:G633" si="42">E627/D627*100</f>
        <v>100</v>
      </c>
      <c r="H627" s="2969">
        <f>SUM(H629:H630)/2</f>
        <v>100</v>
      </c>
      <c r="I627" s="1463"/>
      <c r="K627" s="536"/>
      <c r="L627" s="536"/>
    </row>
    <row r="628" spans="1:12" ht="15.75" hidden="1" customHeight="1" x14ac:dyDescent="0.25">
      <c r="A628" s="2"/>
      <c r="B628" s="441"/>
      <c r="C628" s="2600" t="s">
        <v>2128</v>
      </c>
      <c r="D628" s="4357">
        <v>0</v>
      </c>
      <c r="E628" s="4092">
        <v>0</v>
      </c>
      <c r="F628" s="4092"/>
      <c r="G628" s="4092">
        <v>0</v>
      </c>
      <c r="H628" s="2855"/>
      <c r="I628" s="1463"/>
      <c r="K628" s="536"/>
      <c r="L628" s="536"/>
    </row>
    <row r="629" spans="1:12" ht="15.75" hidden="1" customHeight="1" x14ac:dyDescent="0.25">
      <c r="A629" s="2"/>
      <c r="B629" s="444"/>
      <c r="C629" s="2600" t="s">
        <v>2129</v>
      </c>
      <c r="D629" s="4357">
        <v>187500000</v>
      </c>
      <c r="E629" s="3336">
        <v>187500000</v>
      </c>
      <c r="F629" s="3336"/>
      <c r="G629" s="2690">
        <f t="shared" si="42"/>
        <v>100</v>
      </c>
      <c r="H629" s="2967">
        <v>100</v>
      </c>
      <c r="I629" s="1463"/>
      <c r="K629" s="536"/>
      <c r="L629" s="536"/>
    </row>
    <row r="630" spans="1:12" ht="17.25" hidden="1" customHeight="1" x14ac:dyDescent="0.25">
      <c r="A630" s="2"/>
      <c r="B630" s="441"/>
      <c r="C630" s="2600" t="s">
        <v>2130</v>
      </c>
      <c r="D630" s="4357">
        <v>187500000</v>
      </c>
      <c r="E630" s="3336">
        <v>187500000</v>
      </c>
      <c r="F630" s="3336"/>
      <c r="G630" s="2690">
        <f t="shared" si="42"/>
        <v>100</v>
      </c>
      <c r="H630" s="2967">
        <v>100</v>
      </c>
      <c r="I630" s="1463"/>
      <c r="K630" s="536"/>
      <c r="L630" s="536"/>
    </row>
    <row r="631" spans="1:12" ht="12" hidden="1" customHeight="1" x14ac:dyDescent="0.25">
      <c r="A631" s="2"/>
      <c r="B631" s="441"/>
      <c r="C631" s="2600"/>
      <c r="D631" s="4066"/>
      <c r="E631" s="2690"/>
      <c r="F631" s="2690"/>
      <c r="G631" s="2702"/>
      <c r="H631" s="3037"/>
      <c r="I631" s="1463"/>
      <c r="K631" s="536"/>
      <c r="L631" s="536"/>
    </row>
    <row r="632" spans="1:12" ht="20.25" hidden="1" customHeight="1" x14ac:dyDescent="0.25">
      <c r="A632" s="2"/>
      <c r="B632" s="441"/>
      <c r="C632" s="2599" t="s">
        <v>2131</v>
      </c>
      <c r="D632" s="4358">
        <f>SUM(D633:D634)</f>
        <v>450000000</v>
      </c>
      <c r="E632" s="4095">
        <f>SUM(E633:E634)</f>
        <v>450000000</v>
      </c>
      <c r="F632" s="4095"/>
      <c r="G632" s="2695">
        <f t="shared" si="42"/>
        <v>100</v>
      </c>
      <c r="H632" s="2969">
        <f>SUM(H633:H634)/2</f>
        <v>100</v>
      </c>
      <c r="I632" s="1463"/>
      <c r="K632" s="536"/>
      <c r="L632" s="536"/>
    </row>
    <row r="633" spans="1:12" ht="14.25" hidden="1" customHeight="1" x14ac:dyDescent="0.25">
      <c r="A633" s="2"/>
      <c r="B633" s="441"/>
      <c r="C633" s="2600" t="s">
        <v>2132</v>
      </c>
      <c r="D633" s="4357">
        <v>222137500</v>
      </c>
      <c r="E633" s="2855">
        <v>222137500</v>
      </c>
      <c r="F633" s="2855"/>
      <c r="G633" s="2690">
        <f t="shared" si="42"/>
        <v>100</v>
      </c>
      <c r="H633" s="2855">
        <v>100</v>
      </c>
      <c r="I633" s="1463"/>
      <c r="K633" s="536"/>
      <c r="L633" s="536"/>
    </row>
    <row r="634" spans="1:12" s="196" customFormat="1" ht="17.25" hidden="1" customHeight="1" x14ac:dyDescent="0.25">
      <c r="A634" s="12"/>
      <c r="B634" s="448"/>
      <c r="C634" s="2600" t="s">
        <v>2133</v>
      </c>
      <c r="D634" s="4357">
        <v>227862500</v>
      </c>
      <c r="E634" s="2690">
        <v>227862500</v>
      </c>
      <c r="F634" s="2690"/>
      <c r="G634" s="2855">
        <f>SUM(E634/D634)*100</f>
        <v>100</v>
      </c>
      <c r="H634" s="2690">
        <v>100</v>
      </c>
      <c r="I634" s="3715"/>
      <c r="K634" s="1212"/>
      <c r="L634" s="1212"/>
    </row>
    <row r="635" spans="1:12" ht="8.25" hidden="1" customHeight="1" x14ac:dyDescent="0.25">
      <c r="A635" s="2"/>
      <c r="B635" s="441"/>
      <c r="C635" s="2601"/>
      <c r="D635" s="4066"/>
      <c r="E635" s="2690"/>
      <c r="F635" s="2690"/>
      <c r="G635" s="2702"/>
      <c r="H635" s="3037"/>
      <c r="I635" s="1463"/>
      <c r="K635" s="536"/>
      <c r="L635" s="536"/>
    </row>
    <row r="636" spans="1:12" ht="16.5" hidden="1" customHeight="1" x14ac:dyDescent="0.25">
      <c r="A636" s="2"/>
      <c r="B636" s="441"/>
      <c r="C636" s="2599" t="s">
        <v>2134</v>
      </c>
      <c r="D636" s="4358">
        <f>D637</f>
        <v>187500000</v>
      </c>
      <c r="E636" s="4095">
        <f>E637</f>
        <v>187500000</v>
      </c>
      <c r="F636" s="4951"/>
      <c r="G636" s="2734">
        <f>SUM(E636/D636)*100</f>
        <v>100</v>
      </c>
      <c r="H636" s="3250">
        <v>100</v>
      </c>
      <c r="I636" s="1463"/>
      <c r="K636" s="536"/>
      <c r="L636" s="536"/>
    </row>
    <row r="637" spans="1:12" ht="17.25" hidden="1" customHeight="1" x14ac:dyDescent="0.25">
      <c r="A637" s="2"/>
      <c r="B637" s="441"/>
      <c r="C637" s="2600" t="s">
        <v>2135</v>
      </c>
      <c r="D637" s="4357">
        <v>187500000</v>
      </c>
      <c r="E637" s="2855">
        <v>187500000</v>
      </c>
      <c r="F637" s="2855"/>
      <c r="G637" s="2855">
        <f>SUM(E637/D637)*100</f>
        <v>100</v>
      </c>
      <c r="H637" s="2855">
        <v>100</v>
      </c>
      <c r="I637" s="1463"/>
      <c r="K637" s="536"/>
      <c r="L637" s="536"/>
    </row>
    <row r="638" spans="1:12" ht="8.25" hidden="1" customHeight="1" x14ac:dyDescent="0.25">
      <c r="A638" s="2"/>
      <c r="B638" s="441"/>
      <c r="C638" s="2473"/>
      <c r="D638" s="4066"/>
      <c r="E638" s="2690"/>
      <c r="F638" s="2690"/>
      <c r="G638" s="2702"/>
      <c r="H638" s="3037"/>
      <c r="I638" s="1463"/>
      <c r="K638" s="536"/>
      <c r="L638" s="536"/>
    </row>
    <row r="639" spans="1:12" ht="16.5" hidden="1" customHeight="1" x14ac:dyDescent="0.25">
      <c r="A639" s="2"/>
      <c r="B639" s="441"/>
      <c r="C639" s="2599" t="s">
        <v>2136</v>
      </c>
      <c r="D639" s="4358">
        <f>D640</f>
        <v>187500000</v>
      </c>
      <c r="E639" s="4095">
        <f>E640</f>
        <v>187500000</v>
      </c>
      <c r="F639" s="4951"/>
      <c r="G639" s="2734">
        <f>SUM(E639/D639)*100</f>
        <v>100</v>
      </c>
      <c r="H639" s="3250">
        <v>100</v>
      </c>
      <c r="I639" s="1463"/>
      <c r="K639" s="536"/>
      <c r="L639" s="536"/>
    </row>
    <row r="640" spans="1:12" ht="16.5" hidden="1" customHeight="1" x14ac:dyDescent="0.25">
      <c r="A640" s="2"/>
      <c r="B640" s="441"/>
      <c r="C640" s="2600" t="s">
        <v>2137</v>
      </c>
      <c r="D640" s="4357">
        <v>187500000</v>
      </c>
      <c r="E640" s="2855">
        <v>187500000</v>
      </c>
      <c r="F640" s="2855"/>
      <c r="G640" s="2855">
        <f>SUM(E640/D640)*100</f>
        <v>100</v>
      </c>
      <c r="H640" s="2855">
        <v>100</v>
      </c>
      <c r="I640" s="1463"/>
      <c r="K640" s="536"/>
      <c r="L640" s="536"/>
    </row>
    <row r="641" spans="1:12" ht="9.75" hidden="1" customHeight="1" x14ac:dyDescent="0.25">
      <c r="A641" s="2"/>
      <c r="B641" s="441"/>
      <c r="C641" s="2473"/>
      <c r="D641" s="4066"/>
      <c r="E641" s="2690"/>
      <c r="F641" s="2690"/>
      <c r="G641" s="2702"/>
      <c r="H641" s="3037"/>
      <c r="I641" s="1463"/>
      <c r="K641" s="536"/>
      <c r="L641" s="536"/>
    </row>
    <row r="642" spans="1:12" ht="19.5" hidden="1" customHeight="1" x14ac:dyDescent="0.25">
      <c r="A642" s="2"/>
      <c r="B642" s="441"/>
      <c r="C642" s="2599" t="s">
        <v>2138</v>
      </c>
      <c r="D642" s="4358">
        <f>D643</f>
        <v>187500000</v>
      </c>
      <c r="E642" s="4358">
        <f>E643</f>
        <v>186775000</v>
      </c>
      <c r="F642" s="4952"/>
      <c r="G642" s="2734">
        <f>SUM(E642/D642)*100</f>
        <v>99.61333333333333</v>
      </c>
      <c r="H642" s="3250">
        <f>H643</f>
        <v>100</v>
      </c>
      <c r="I642" s="1463"/>
      <c r="K642" s="536"/>
      <c r="L642" s="536"/>
    </row>
    <row r="643" spans="1:12" ht="21" hidden="1" customHeight="1" x14ac:dyDescent="0.25">
      <c r="A643" s="2"/>
      <c r="B643" s="441"/>
      <c r="C643" s="2600" t="s">
        <v>2139</v>
      </c>
      <c r="D643" s="4357">
        <v>187500000</v>
      </c>
      <c r="E643" s="2855">
        <v>186775000</v>
      </c>
      <c r="F643" s="2855"/>
      <c r="G643" s="2855">
        <f>SUM(E643/D643)*100</f>
        <v>99.61333333333333</v>
      </c>
      <c r="H643" s="2855">
        <v>100</v>
      </c>
      <c r="I643" s="1463"/>
      <c r="K643" s="536"/>
      <c r="L643" s="536"/>
    </row>
    <row r="644" spans="1:12" ht="9" hidden="1" customHeight="1" x14ac:dyDescent="0.25">
      <c r="A644" s="2"/>
      <c r="B644" s="441"/>
      <c r="C644" s="2473"/>
      <c r="D644" s="4066"/>
      <c r="E644" s="2690"/>
      <c r="F644" s="2690"/>
      <c r="G644" s="2702"/>
      <c r="H644" s="3037"/>
      <c r="I644" s="1463"/>
      <c r="K644" s="536"/>
      <c r="L644" s="536"/>
    </row>
    <row r="645" spans="1:12" ht="18" hidden="1" customHeight="1" x14ac:dyDescent="0.25">
      <c r="A645" s="2"/>
      <c r="B645" s="441"/>
      <c r="C645" s="2491" t="s">
        <v>2140</v>
      </c>
      <c r="D645" s="4065">
        <f>SUM(D646:D647)</f>
        <v>440567320</v>
      </c>
      <c r="E645" s="2695">
        <f>SUM(E646:E647)</f>
        <v>435825000</v>
      </c>
      <c r="F645" s="2734"/>
      <c r="G645" s="2734">
        <f>SUM(E645/D645)*100</f>
        <v>98.92358788663671</v>
      </c>
      <c r="H645" s="2969">
        <f>SUM(H646:H647)/2</f>
        <v>100</v>
      </c>
      <c r="I645" s="1463"/>
      <c r="K645" s="536"/>
      <c r="L645" s="536"/>
    </row>
    <row r="646" spans="1:12" ht="21.75" hidden="1" customHeight="1" x14ac:dyDescent="0.25">
      <c r="A646" s="2"/>
      <c r="B646" s="441"/>
      <c r="C646" s="2494" t="s">
        <v>2141</v>
      </c>
      <c r="D646" s="4357">
        <v>253067320</v>
      </c>
      <c r="E646" s="4096">
        <v>248325000</v>
      </c>
      <c r="F646" s="4096"/>
      <c r="G646" s="2855">
        <f>SUM(E646/D646)*100</f>
        <v>98.126063847358878</v>
      </c>
      <c r="H646" s="2967">
        <v>100</v>
      </c>
      <c r="I646" s="1463"/>
      <c r="K646" s="536"/>
      <c r="L646" s="536"/>
    </row>
    <row r="647" spans="1:12" ht="16.5" hidden="1" customHeight="1" x14ac:dyDescent="0.25">
      <c r="A647" s="2"/>
      <c r="B647" s="441"/>
      <c r="C647" s="2494" t="s">
        <v>2142</v>
      </c>
      <c r="D647" s="4357">
        <v>187500000</v>
      </c>
      <c r="E647" s="2855">
        <v>187500000</v>
      </c>
      <c r="F647" s="2855"/>
      <c r="G647" s="2855">
        <f>SUM(E647/D647)*100</f>
        <v>100</v>
      </c>
      <c r="H647" s="2855">
        <v>100</v>
      </c>
      <c r="I647" s="1463"/>
      <c r="K647" s="536"/>
      <c r="L647" s="536"/>
    </row>
    <row r="648" spans="1:12" ht="9.75" hidden="1" customHeight="1" x14ac:dyDescent="0.25">
      <c r="A648" s="2"/>
      <c r="B648" s="441"/>
      <c r="C648" s="2473"/>
      <c r="D648" s="4066"/>
      <c r="E648" s="2690"/>
      <c r="F648" s="2690"/>
      <c r="G648" s="2702"/>
      <c r="H648" s="3037"/>
      <c r="I648" s="1463"/>
      <c r="K648" s="536"/>
      <c r="L648" s="536"/>
    </row>
    <row r="649" spans="1:12" ht="17.25" hidden="1" customHeight="1" x14ac:dyDescent="0.25">
      <c r="A649" s="2"/>
      <c r="B649" s="441"/>
      <c r="C649" s="2491" t="s">
        <v>2143</v>
      </c>
      <c r="D649" s="4065">
        <f>SUM(D650:D652)</f>
        <v>682400000</v>
      </c>
      <c r="E649" s="2695">
        <f>SUM(E650:E652)</f>
        <v>630075000</v>
      </c>
      <c r="F649" s="2734"/>
      <c r="G649" s="2734">
        <f>SUM(E649/D649)*100</f>
        <v>92.332209847596715</v>
      </c>
      <c r="H649" s="2695">
        <f>SUM(H650:H652)/3</f>
        <v>94.666666666666671</v>
      </c>
      <c r="I649" s="1463"/>
      <c r="K649" s="536"/>
      <c r="L649" s="536"/>
    </row>
    <row r="650" spans="1:12" ht="15" hidden="1" customHeight="1" x14ac:dyDescent="0.25">
      <c r="A650" s="2"/>
      <c r="B650" s="441"/>
      <c r="C650" s="2494" t="s">
        <v>2144</v>
      </c>
      <c r="D650" s="4357">
        <v>205400000</v>
      </c>
      <c r="E650" s="4096">
        <v>199400000</v>
      </c>
      <c r="F650" s="4096"/>
      <c r="G650" s="2855">
        <f>SUM(E650/D650)*100</f>
        <v>97.078870496592018</v>
      </c>
      <c r="H650" s="2690">
        <v>100</v>
      </c>
      <c r="I650" s="1463"/>
      <c r="K650" s="536"/>
      <c r="L650" s="536"/>
    </row>
    <row r="651" spans="1:12" ht="15.75" hidden="1" customHeight="1" x14ac:dyDescent="0.25">
      <c r="A651" s="2"/>
      <c r="B651" s="441"/>
      <c r="C651" s="2494" t="s">
        <v>2145</v>
      </c>
      <c r="D651" s="3704">
        <v>227000000</v>
      </c>
      <c r="E651" s="4096">
        <v>190675000</v>
      </c>
      <c r="F651" s="4096"/>
      <c r="G651" s="2855">
        <f t="shared" ref="G651:G662" si="43">SUM(E651/D651)*100</f>
        <v>83.997797356828201</v>
      </c>
      <c r="H651" s="2690">
        <v>84</v>
      </c>
      <c r="I651" s="1463"/>
      <c r="K651" s="536"/>
      <c r="L651" s="536"/>
    </row>
    <row r="652" spans="1:12" ht="14.25" hidden="1" customHeight="1" x14ac:dyDescent="0.25">
      <c r="A652" s="2"/>
      <c r="B652" s="441"/>
      <c r="C652" s="2494" t="s">
        <v>2146</v>
      </c>
      <c r="D652" s="4357">
        <v>250000000</v>
      </c>
      <c r="E652" s="4096">
        <v>240000000</v>
      </c>
      <c r="F652" s="4096"/>
      <c r="G652" s="2855">
        <f t="shared" si="43"/>
        <v>96</v>
      </c>
      <c r="H652" s="2690">
        <v>100</v>
      </c>
      <c r="I652" s="1463"/>
      <c r="K652" s="536"/>
      <c r="L652" s="536"/>
    </row>
    <row r="653" spans="1:12" ht="12" hidden="1" customHeight="1" x14ac:dyDescent="0.25">
      <c r="A653" s="2"/>
      <c r="B653" s="441"/>
      <c r="C653" s="2494"/>
      <c r="D653" s="3704"/>
      <c r="E653" s="4096"/>
      <c r="F653" s="4096"/>
      <c r="G653" s="2855"/>
      <c r="H653" s="2690"/>
      <c r="I653" s="1463"/>
      <c r="K653" s="536"/>
      <c r="L653" s="536"/>
    </row>
    <row r="654" spans="1:12" s="32" customFormat="1" ht="18" hidden="1" customHeight="1" x14ac:dyDescent="0.25">
      <c r="A654" s="1"/>
      <c r="B654" s="441"/>
      <c r="C654" s="2474" t="s">
        <v>2147</v>
      </c>
      <c r="D654" s="4065">
        <f>SUM(D655:D656)</f>
        <v>487500000</v>
      </c>
      <c r="E654" s="2695">
        <f>SUM(E655:E656)</f>
        <v>460790000</v>
      </c>
      <c r="F654" s="2695"/>
      <c r="G654" s="3685">
        <f t="shared" si="43"/>
        <v>94.521025641025631</v>
      </c>
      <c r="H654" s="2969">
        <f>SUM(H655:H656)/2</f>
        <v>100</v>
      </c>
      <c r="I654" s="1462"/>
      <c r="K654" s="1208"/>
      <c r="L654" s="1208"/>
    </row>
    <row r="655" spans="1:12" ht="16.5" hidden="1" customHeight="1" x14ac:dyDescent="0.25">
      <c r="A655" s="2"/>
      <c r="B655" s="441"/>
      <c r="C655" s="2473" t="s">
        <v>2148</v>
      </c>
      <c r="D655" s="4066">
        <v>300000000</v>
      </c>
      <c r="E655" s="2690">
        <v>273290000</v>
      </c>
      <c r="F655" s="2690"/>
      <c r="G655" s="2855">
        <f t="shared" si="43"/>
        <v>91.096666666666664</v>
      </c>
      <c r="H655" s="2967">
        <v>100</v>
      </c>
      <c r="I655" s="1463"/>
      <c r="K655" s="536"/>
      <c r="L655" s="536"/>
    </row>
    <row r="656" spans="1:12" ht="18.75" hidden="1" customHeight="1" x14ac:dyDescent="0.25">
      <c r="A656" s="2"/>
      <c r="B656" s="441"/>
      <c r="C656" s="2473" t="s">
        <v>2149</v>
      </c>
      <c r="D656" s="4066">
        <v>187500000</v>
      </c>
      <c r="E656" s="2690">
        <v>187500000</v>
      </c>
      <c r="F656" s="2690"/>
      <c r="G656" s="2855">
        <f t="shared" si="43"/>
        <v>100</v>
      </c>
      <c r="H656" s="2967">
        <v>100</v>
      </c>
      <c r="I656" s="1463"/>
      <c r="K656" s="536"/>
      <c r="L656" s="536"/>
    </row>
    <row r="657" spans="1:12" ht="12" hidden="1" customHeight="1" x14ac:dyDescent="0.25">
      <c r="A657" s="2"/>
      <c r="B657" s="441"/>
      <c r="C657" s="2473"/>
      <c r="D657" s="4066"/>
      <c r="E657" s="2690"/>
      <c r="F657" s="2690"/>
      <c r="G657" s="2855"/>
      <c r="H657" s="3037"/>
      <c r="I657" s="1463"/>
      <c r="K657" s="536"/>
      <c r="L657" s="536"/>
    </row>
    <row r="658" spans="1:12" s="32" customFormat="1" ht="15.75" hidden="1" customHeight="1" x14ac:dyDescent="0.25">
      <c r="A658" s="1"/>
      <c r="B658" s="441"/>
      <c r="C658" s="2474" t="s">
        <v>2150</v>
      </c>
      <c r="D658" s="4065">
        <f>D659</f>
        <v>62490000</v>
      </c>
      <c r="E658" s="2695">
        <f>E659</f>
        <v>51880000</v>
      </c>
      <c r="F658" s="2695"/>
      <c r="G658" s="3250">
        <f t="shared" si="43"/>
        <v>83.02128340534486</v>
      </c>
      <c r="H658" s="2969">
        <f>H659</f>
        <v>83.02</v>
      </c>
      <c r="I658" s="1462"/>
      <c r="K658" s="1208"/>
      <c r="L658" s="1208"/>
    </row>
    <row r="659" spans="1:12" ht="17.25" hidden="1" customHeight="1" x14ac:dyDescent="0.25">
      <c r="A659" s="2"/>
      <c r="B659" s="441"/>
      <c r="C659" s="2473" t="s">
        <v>2151</v>
      </c>
      <c r="D659" s="4066">
        <v>62490000</v>
      </c>
      <c r="E659" s="2690">
        <v>51880000</v>
      </c>
      <c r="F659" s="2690"/>
      <c r="G659" s="2855">
        <f t="shared" si="43"/>
        <v>83.02128340534486</v>
      </c>
      <c r="H659" s="2967">
        <v>83.02</v>
      </c>
      <c r="I659" s="1463"/>
      <c r="K659" s="536"/>
      <c r="L659" s="536"/>
    </row>
    <row r="660" spans="1:12" ht="12" hidden="1" customHeight="1" x14ac:dyDescent="0.25">
      <c r="A660" s="2"/>
      <c r="B660" s="441"/>
      <c r="C660" s="2473"/>
      <c r="D660" s="4066"/>
      <c r="E660" s="2690"/>
      <c r="F660" s="2690"/>
      <c r="G660" s="2855"/>
      <c r="H660" s="3037"/>
      <c r="I660" s="1463"/>
      <c r="K660" s="536"/>
      <c r="L660" s="536"/>
    </row>
    <row r="661" spans="1:12" ht="18.75" hidden="1" customHeight="1" x14ac:dyDescent="0.25">
      <c r="A661" s="2"/>
      <c r="B661" s="441"/>
      <c r="C661" s="2491" t="s">
        <v>2152</v>
      </c>
      <c r="D661" s="4065">
        <f>D662</f>
        <v>62500000</v>
      </c>
      <c r="E661" s="3991">
        <f>E662</f>
        <v>56965000</v>
      </c>
      <c r="F661" s="3991"/>
      <c r="G661" s="3250">
        <f t="shared" si="43"/>
        <v>91.144000000000005</v>
      </c>
      <c r="H661" s="2969">
        <f>H662</f>
        <v>100</v>
      </c>
      <c r="I661" s="1463"/>
      <c r="K661" s="536"/>
      <c r="L661" s="536"/>
    </row>
    <row r="662" spans="1:12" ht="17.25" hidden="1" customHeight="1" x14ac:dyDescent="0.25">
      <c r="A662" s="2"/>
      <c r="B662" s="441"/>
      <c r="C662" s="2494" t="s">
        <v>2153</v>
      </c>
      <c r="D662" s="4357">
        <v>62500000</v>
      </c>
      <c r="E662" s="4092">
        <v>56965000</v>
      </c>
      <c r="F662" s="4092"/>
      <c r="G662" s="2855">
        <f t="shared" si="43"/>
        <v>91.144000000000005</v>
      </c>
      <c r="H662" s="2967">
        <v>100</v>
      </c>
      <c r="I662" s="1463"/>
      <c r="K662" s="536"/>
      <c r="L662" s="536"/>
    </row>
    <row r="663" spans="1:12" ht="12" hidden="1" customHeight="1" x14ac:dyDescent="0.25">
      <c r="B663" s="1037"/>
      <c r="C663" s="119"/>
      <c r="D663" s="215"/>
      <c r="E663" s="215"/>
      <c r="F663" s="215"/>
      <c r="G663" s="191"/>
      <c r="H663" s="1494"/>
      <c r="I663" s="1106"/>
    </row>
    <row r="664" spans="1:12" ht="18.75" hidden="1" customHeight="1" x14ac:dyDescent="0.25">
      <c r="A664" s="1465"/>
      <c r="B664" s="1046"/>
      <c r="C664" s="56" t="s">
        <v>7675</v>
      </c>
      <c r="D664" s="179">
        <f>SUM(D665+D668)</f>
        <v>33555000000</v>
      </c>
      <c r="E664" s="179">
        <f>SUM(E665+E668)</f>
        <v>33347472300</v>
      </c>
      <c r="F664" s="179"/>
      <c r="G664" s="179">
        <f>E664/D664*100</f>
        <v>99.381529727313364</v>
      </c>
      <c r="H664" s="1521">
        <f>SUM(H665+H668)/2</f>
        <v>100</v>
      </c>
      <c r="I664" s="1106"/>
    </row>
    <row r="665" spans="1:12" ht="18" hidden="1" customHeight="1" x14ac:dyDescent="0.25">
      <c r="B665" s="1037"/>
      <c r="C665" s="138" t="s">
        <v>290</v>
      </c>
      <c r="D665" s="193">
        <f>D666</f>
        <v>33055000000</v>
      </c>
      <c r="E665" s="193">
        <f>E666</f>
        <v>32847472300</v>
      </c>
      <c r="F665" s="193"/>
      <c r="G665" s="193">
        <f>E665/D665*100</f>
        <v>99.372174557555596</v>
      </c>
      <c r="H665" s="2360">
        <f>H666</f>
        <v>100</v>
      </c>
      <c r="I665" s="1106"/>
    </row>
    <row r="666" spans="1:12" ht="18" hidden="1" customHeight="1" x14ac:dyDescent="0.25">
      <c r="B666" s="1037"/>
      <c r="C666" s="2361" t="s">
        <v>2170</v>
      </c>
      <c r="D666" s="186">
        <v>33055000000</v>
      </c>
      <c r="E666" s="2710">
        <v>32847472300</v>
      </c>
      <c r="F666" s="2710"/>
      <c r="G666" s="2923">
        <f t="shared" ref="G666" si="44">SUM(E666/D666)*100</f>
        <v>99.372174557555596</v>
      </c>
      <c r="H666" s="3988">
        <v>100</v>
      </c>
      <c r="I666" s="1106"/>
    </row>
    <row r="667" spans="1:12" ht="12" hidden="1" customHeight="1" x14ac:dyDescent="0.25">
      <c r="B667" s="1037"/>
      <c r="C667" s="2362"/>
      <c r="D667" s="215"/>
      <c r="E667" s="197"/>
      <c r="F667" s="197"/>
      <c r="G667" s="73"/>
      <c r="H667" s="1105"/>
      <c r="I667" s="1106"/>
    </row>
    <row r="668" spans="1:12" ht="20.25" hidden="1" customHeight="1" x14ac:dyDescent="0.25">
      <c r="B668" s="1037"/>
      <c r="C668" s="63" t="s">
        <v>4074</v>
      </c>
      <c r="D668" s="2307">
        <f>D669</f>
        <v>500000000</v>
      </c>
      <c r="E668" s="2307">
        <f>E669</f>
        <v>500000000</v>
      </c>
      <c r="F668" s="2307"/>
      <c r="G668" s="3250">
        <f t="shared" ref="G668" si="45">SUM(E668/D668)*100</f>
        <v>100</v>
      </c>
      <c r="H668" s="205">
        <f>H669</f>
        <v>100</v>
      </c>
      <c r="I668" s="1106"/>
    </row>
    <row r="669" spans="1:12" ht="18" hidden="1" customHeight="1" x14ac:dyDescent="0.25">
      <c r="B669" s="1037"/>
      <c r="C669" s="61" t="s">
        <v>4075</v>
      </c>
      <c r="D669" s="2305">
        <v>500000000</v>
      </c>
      <c r="E669" s="206">
        <v>500000000</v>
      </c>
      <c r="F669" s="206"/>
      <c r="G669" s="206">
        <v>100</v>
      </c>
      <c r="H669" s="206">
        <v>100</v>
      </c>
      <c r="I669" s="1106"/>
    </row>
    <row r="670" spans="1:12" ht="14.25" hidden="1" customHeight="1" x14ac:dyDescent="0.25">
      <c r="B670" s="1037"/>
      <c r="C670" s="2356"/>
      <c r="D670" s="215"/>
      <c r="E670" s="215"/>
      <c r="F670" s="215"/>
      <c r="G670" s="191"/>
      <c r="H670" s="1494"/>
      <c r="I670" s="1106"/>
    </row>
    <row r="671" spans="1:12" s="121" customFormat="1" ht="19.5" customHeight="1" x14ac:dyDescent="0.25">
      <c r="A671" s="425"/>
      <c r="B671" s="2294"/>
      <c r="C671" s="2363" t="s">
        <v>2231</v>
      </c>
      <c r="D671" s="423">
        <f>D673+D758+D770+D774+D779+D800</f>
        <v>34192298000</v>
      </c>
      <c r="E671" s="423">
        <f>E673+E758+E770+E774+E779+E800</f>
        <v>28149873717</v>
      </c>
      <c r="F671" s="50">
        <f>D671-E671</f>
        <v>6042424283</v>
      </c>
      <c r="G671" s="423">
        <f>E671/D671*100</f>
        <v>82.328112948126503</v>
      </c>
      <c r="H671" s="2304">
        <f>SUM(H673+H758+H770+H774+H779+H800)/6</f>
        <v>74.803030303030297</v>
      </c>
      <c r="I671" s="1509"/>
      <c r="K671" s="122"/>
      <c r="L671" s="122"/>
    </row>
    <row r="672" spans="1:12" ht="8.25" hidden="1" customHeight="1" x14ac:dyDescent="0.25">
      <c r="B672" s="1037"/>
      <c r="C672" s="216"/>
      <c r="D672" s="980"/>
      <c r="E672" s="248"/>
      <c r="F672" s="248"/>
      <c r="G672" s="248"/>
      <c r="H672" s="1493"/>
      <c r="I672" s="1106"/>
    </row>
    <row r="673" spans="1:12" s="1" customFormat="1" ht="19.5" hidden="1" customHeight="1" x14ac:dyDescent="0.25">
      <c r="B673" s="1046"/>
      <c r="C673" s="56" t="s">
        <v>2125</v>
      </c>
      <c r="D673" s="188">
        <f>D674+D679+D694+D699+D710+D718+D738+D745+D748+D751+D754</f>
        <v>13172298000</v>
      </c>
      <c r="E673" s="188">
        <f>E674+E679+E694+E699+E710+E718+E738+E745+E748+E751+E754</f>
        <v>10460906109</v>
      </c>
      <c r="F673" s="188"/>
      <c r="G673" s="164">
        <f>E673/D673*100</f>
        <v>79.415953913280731</v>
      </c>
      <c r="H673" s="1535">
        <f>SUM(H674+H679+H694+H699+H710+H718+H738+H745+H748+H751+H754)/11</f>
        <v>81.818181818181813</v>
      </c>
      <c r="I673" s="1483"/>
      <c r="J673" s="535">
        <v>13172298000</v>
      </c>
      <c r="K673" s="535">
        <v>4458813224</v>
      </c>
      <c r="L673" s="535">
        <v>33.849926747785389</v>
      </c>
    </row>
    <row r="674" spans="1:12" ht="16.5" hidden="1" customHeight="1" x14ac:dyDescent="0.25">
      <c r="A674" s="2"/>
      <c r="B674" s="1024"/>
      <c r="C674" s="115" t="s">
        <v>2278</v>
      </c>
      <c r="D674" s="92">
        <f>SUM(D675:D677)</f>
        <v>1586048000</v>
      </c>
      <c r="E674" s="92">
        <f>SUM(E675:E677)</f>
        <v>1541133435</v>
      </c>
      <c r="F674" s="92"/>
      <c r="G674" s="249">
        <f>E674/D674*100</f>
        <v>97.168145919921727</v>
      </c>
      <c r="H674" s="267">
        <f>SUM(H675:H677)/3</f>
        <v>100</v>
      </c>
      <c r="I674" s="2364"/>
      <c r="K674" s="536"/>
      <c r="L674" s="536"/>
    </row>
    <row r="675" spans="1:12" ht="15.75" hidden="1" customHeight="1" x14ac:dyDescent="0.25">
      <c r="A675" s="2"/>
      <c r="B675" s="1024"/>
      <c r="C675" s="1472" t="s">
        <v>2279</v>
      </c>
      <c r="D675" s="900">
        <v>490000000</v>
      </c>
      <c r="E675" s="519">
        <v>489443650</v>
      </c>
      <c r="F675" s="519"/>
      <c r="G675" s="250">
        <f t="shared" ref="G675:G677" si="46">E675/D675*100</f>
        <v>99.886459183673466</v>
      </c>
      <c r="H675" s="519">
        <v>100</v>
      </c>
      <c r="I675" s="2364"/>
      <c r="K675" s="536"/>
      <c r="L675" s="536"/>
    </row>
    <row r="676" spans="1:12" ht="18.75" hidden="1" customHeight="1" x14ac:dyDescent="0.25">
      <c r="A676" s="2"/>
      <c r="B676" s="1024"/>
      <c r="C676" s="416" t="s">
        <v>2280</v>
      </c>
      <c r="D676" s="900">
        <v>400000000</v>
      </c>
      <c r="E676" s="173">
        <v>356539785</v>
      </c>
      <c r="F676" s="173"/>
      <c r="G676" s="250">
        <f t="shared" si="46"/>
        <v>89.134946249999999</v>
      </c>
      <c r="H676" s="519">
        <v>100</v>
      </c>
      <c r="I676" s="2364"/>
      <c r="K676" s="536"/>
      <c r="L676" s="536"/>
    </row>
    <row r="677" spans="1:12" ht="15.75" hidden="1" customHeight="1" x14ac:dyDescent="0.25">
      <c r="A677" s="2"/>
      <c r="B677" s="1024"/>
      <c r="C677" s="416" t="s">
        <v>3957</v>
      </c>
      <c r="D677" s="900">
        <v>696048000</v>
      </c>
      <c r="E677" s="173">
        <v>695150000</v>
      </c>
      <c r="F677" s="173"/>
      <c r="G677" s="250">
        <f t="shared" si="46"/>
        <v>99.870985909017776</v>
      </c>
      <c r="H677" s="519">
        <v>100</v>
      </c>
      <c r="I677" s="2364"/>
      <c r="K677" s="536"/>
      <c r="L677" s="536"/>
    </row>
    <row r="678" spans="1:12" ht="12" hidden="1" customHeight="1" x14ac:dyDescent="0.25">
      <c r="A678" s="2"/>
      <c r="B678" s="1024"/>
      <c r="C678" s="61"/>
      <c r="D678" s="900"/>
      <c r="E678" s="913"/>
      <c r="F678" s="913"/>
      <c r="G678" s="250"/>
      <c r="H678" s="252"/>
      <c r="I678" s="2364"/>
      <c r="K678" s="536"/>
      <c r="L678" s="536"/>
    </row>
    <row r="679" spans="1:12" ht="21" hidden="1" customHeight="1" x14ac:dyDescent="0.25">
      <c r="A679" s="2"/>
      <c r="B679" s="1024"/>
      <c r="C679" s="1473" t="s">
        <v>2281</v>
      </c>
      <c r="D679" s="92">
        <f>SUM(D680:D692)</f>
        <v>1399630000</v>
      </c>
      <c r="E679" s="92">
        <f>SUM(E680:E692)</f>
        <v>1391426000</v>
      </c>
      <c r="F679" s="92"/>
      <c r="G679" s="249">
        <f>E679/D679*100</f>
        <v>99.413845087630307</v>
      </c>
      <c r="H679" s="267">
        <f>SUM(H684:H692)/5</f>
        <v>100</v>
      </c>
      <c r="I679" s="2364"/>
      <c r="K679" s="536"/>
      <c r="L679" s="536"/>
    </row>
    <row r="680" spans="1:12" ht="17.25" hidden="1" customHeight="1" x14ac:dyDescent="0.25">
      <c r="A680" s="2"/>
      <c r="B680" s="1024"/>
      <c r="C680" s="416" t="s">
        <v>2282</v>
      </c>
      <c r="D680" s="169" t="s">
        <v>3317</v>
      </c>
      <c r="E680" s="201" t="s">
        <v>3317</v>
      </c>
      <c r="F680" s="201"/>
      <c r="G680" s="169" t="s">
        <v>3317</v>
      </c>
      <c r="H680" s="169" t="s">
        <v>3317</v>
      </c>
      <c r="I680" s="2364"/>
      <c r="K680" s="536"/>
      <c r="L680" s="536"/>
    </row>
    <row r="681" spans="1:12" ht="15.75" hidden="1" customHeight="1" x14ac:dyDescent="0.25">
      <c r="A681" s="2"/>
      <c r="B681" s="1024"/>
      <c r="C681" s="416" t="s">
        <v>2283</v>
      </c>
      <c r="D681" s="169" t="s">
        <v>3317</v>
      </c>
      <c r="E681" s="201" t="s">
        <v>3317</v>
      </c>
      <c r="F681" s="201"/>
      <c r="G681" s="169" t="s">
        <v>3317</v>
      </c>
      <c r="H681" s="169" t="s">
        <v>3317</v>
      </c>
      <c r="I681" s="2364"/>
      <c r="K681" s="536"/>
      <c r="L681" s="536"/>
    </row>
    <row r="682" spans="1:12" ht="17.25" hidden="1" customHeight="1" x14ac:dyDescent="0.25">
      <c r="A682" s="2"/>
      <c r="B682" s="1024"/>
      <c r="C682" s="416" t="s">
        <v>2284</v>
      </c>
      <c r="D682" s="169" t="s">
        <v>3317</v>
      </c>
      <c r="E682" s="201" t="s">
        <v>3317</v>
      </c>
      <c r="F682" s="201"/>
      <c r="G682" s="169" t="s">
        <v>3317</v>
      </c>
      <c r="H682" s="169" t="s">
        <v>3317</v>
      </c>
      <c r="I682" s="2364"/>
      <c r="K682" s="536"/>
      <c r="L682" s="536"/>
    </row>
    <row r="683" spans="1:12" ht="17.25" hidden="1" customHeight="1" x14ac:dyDescent="0.25">
      <c r="A683" s="2"/>
      <c r="B683" s="1024"/>
      <c r="C683" s="416" t="s">
        <v>2285</v>
      </c>
      <c r="D683" s="169" t="s">
        <v>3317</v>
      </c>
      <c r="E683" s="201" t="s">
        <v>3317</v>
      </c>
      <c r="F683" s="201"/>
      <c r="G683" s="169" t="s">
        <v>3317</v>
      </c>
      <c r="H683" s="169" t="s">
        <v>3317</v>
      </c>
      <c r="I683" s="2364"/>
      <c r="K683" s="536"/>
      <c r="L683" s="536"/>
    </row>
    <row r="684" spans="1:12" ht="15.75" hidden="1" customHeight="1" x14ac:dyDescent="0.25">
      <c r="A684" s="2"/>
      <c r="B684" s="1024"/>
      <c r="C684" s="416" t="s">
        <v>2286</v>
      </c>
      <c r="D684" s="900">
        <v>80750000</v>
      </c>
      <c r="E684" s="900">
        <v>80750000</v>
      </c>
      <c r="F684" s="900"/>
      <c r="G684" s="250">
        <f>E684/D684*100</f>
        <v>100</v>
      </c>
      <c r="H684" s="250">
        <v>100</v>
      </c>
      <c r="I684" s="2364"/>
      <c r="K684" s="536"/>
      <c r="L684" s="536"/>
    </row>
    <row r="685" spans="1:12" ht="15" hidden="1" customHeight="1" x14ac:dyDescent="0.25">
      <c r="A685" s="2"/>
      <c r="B685" s="1024"/>
      <c r="C685" s="416" t="s">
        <v>2287</v>
      </c>
      <c r="D685" s="169" t="s">
        <v>3317</v>
      </c>
      <c r="E685" s="201" t="s">
        <v>3317</v>
      </c>
      <c r="F685" s="201"/>
      <c r="G685" s="169" t="s">
        <v>3317</v>
      </c>
      <c r="H685" s="169" t="s">
        <v>3317</v>
      </c>
      <c r="I685" s="2364"/>
      <c r="K685" s="536"/>
      <c r="L685" s="536"/>
    </row>
    <row r="686" spans="1:12" ht="17.25" hidden="1" customHeight="1" x14ac:dyDescent="0.25">
      <c r="A686" s="2"/>
      <c r="B686" s="1024"/>
      <c r="C686" s="416" t="s">
        <v>2288</v>
      </c>
      <c r="D686" s="169" t="s">
        <v>3317</v>
      </c>
      <c r="E686" s="201" t="s">
        <v>3317</v>
      </c>
      <c r="F686" s="201"/>
      <c r="G686" s="169" t="s">
        <v>3317</v>
      </c>
      <c r="H686" s="169" t="s">
        <v>3317</v>
      </c>
      <c r="I686" s="2364"/>
      <c r="K686" s="536"/>
      <c r="L686" s="536"/>
    </row>
    <row r="687" spans="1:12" ht="19.5" hidden="1" customHeight="1" x14ac:dyDescent="0.25">
      <c r="A687" s="2"/>
      <c r="B687" s="1024"/>
      <c r="C687" s="416" t="s">
        <v>2289</v>
      </c>
      <c r="D687" s="169" t="s">
        <v>3317</v>
      </c>
      <c r="E687" s="201" t="s">
        <v>3317</v>
      </c>
      <c r="F687" s="201"/>
      <c r="G687" s="169" t="s">
        <v>3317</v>
      </c>
      <c r="H687" s="169" t="s">
        <v>3317</v>
      </c>
      <c r="I687" s="2364"/>
      <c r="K687" s="536"/>
      <c r="L687" s="536"/>
    </row>
    <row r="688" spans="1:12" ht="18" hidden="1" customHeight="1" x14ac:dyDescent="0.25">
      <c r="A688" s="2"/>
      <c r="B688" s="1024"/>
      <c r="C688" s="416" t="s">
        <v>2290</v>
      </c>
      <c r="D688" s="169" t="s">
        <v>3317</v>
      </c>
      <c r="E688" s="201" t="s">
        <v>3317</v>
      </c>
      <c r="F688" s="201"/>
      <c r="G688" s="169" t="s">
        <v>3317</v>
      </c>
      <c r="H688" s="169" t="s">
        <v>3317</v>
      </c>
      <c r="I688" s="2364"/>
      <c r="K688" s="536"/>
      <c r="L688" s="536"/>
    </row>
    <row r="689" spans="1:12" ht="16.5" hidden="1" customHeight="1" x14ac:dyDescent="0.25">
      <c r="A689" s="2"/>
      <c r="B689" s="1024"/>
      <c r="C689" s="416" t="s">
        <v>2291</v>
      </c>
      <c r="D689" s="900">
        <v>102200000</v>
      </c>
      <c r="E689" s="922">
        <v>102200000</v>
      </c>
      <c r="F689" s="922"/>
      <c r="G689" s="250">
        <f>E689/D689*100</f>
        <v>100</v>
      </c>
      <c r="H689" s="250">
        <v>100</v>
      </c>
      <c r="I689" s="2364"/>
      <c r="K689" s="536"/>
      <c r="L689" s="536"/>
    </row>
    <row r="690" spans="1:12" ht="16.5" hidden="1" customHeight="1" x14ac:dyDescent="0.25">
      <c r="A690" s="2"/>
      <c r="B690" s="1993"/>
      <c r="C690" s="416" t="s">
        <v>2292</v>
      </c>
      <c r="D690" s="900">
        <v>1000000000</v>
      </c>
      <c r="E690" s="206">
        <v>999996000</v>
      </c>
      <c r="F690" s="206"/>
      <c r="G690" s="250">
        <f t="shared" ref="G690:G692" si="47">E690/D690*100</f>
        <v>99.999600000000001</v>
      </c>
      <c r="H690" s="206">
        <v>100</v>
      </c>
      <c r="I690" s="2364"/>
      <c r="K690" s="536"/>
      <c r="L690" s="536"/>
    </row>
    <row r="691" spans="1:12" ht="17.25" hidden="1" customHeight="1" x14ac:dyDescent="0.25">
      <c r="A691" s="2"/>
      <c r="B691" s="1024"/>
      <c r="C691" s="416" t="s">
        <v>2293</v>
      </c>
      <c r="D691" s="900">
        <v>90080000</v>
      </c>
      <c r="E691" s="206">
        <v>90080000</v>
      </c>
      <c r="F691" s="206"/>
      <c r="G691" s="250">
        <f t="shared" si="47"/>
        <v>100</v>
      </c>
      <c r="H691" s="206">
        <v>100</v>
      </c>
      <c r="I691" s="2364"/>
      <c r="K691" s="536"/>
      <c r="L691" s="536"/>
    </row>
    <row r="692" spans="1:12" ht="15" hidden="1" customHeight="1" x14ac:dyDescent="0.25">
      <c r="A692" s="2"/>
      <c r="B692" s="1024"/>
      <c r="C692" s="416" t="s">
        <v>2294</v>
      </c>
      <c r="D692" s="900">
        <v>126600000</v>
      </c>
      <c r="E692" s="206">
        <v>118400000</v>
      </c>
      <c r="F692" s="206"/>
      <c r="G692" s="250">
        <f t="shared" si="47"/>
        <v>93.522906793048975</v>
      </c>
      <c r="H692" s="206">
        <v>100</v>
      </c>
      <c r="I692" s="2364"/>
      <c r="K692" s="536"/>
      <c r="L692" s="536"/>
    </row>
    <row r="693" spans="1:12" ht="12" hidden="1" customHeight="1" x14ac:dyDescent="0.25">
      <c r="A693" s="2"/>
      <c r="B693" s="1024"/>
      <c r="C693" s="418"/>
      <c r="D693" s="900"/>
      <c r="E693" s="913"/>
      <c r="F693" s="913"/>
      <c r="G693" s="250"/>
      <c r="H693" s="252"/>
      <c r="I693" s="2364"/>
      <c r="K693" s="536"/>
      <c r="L693" s="536"/>
    </row>
    <row r="694" spans="1:12" ht="15" hidden="1" customHeight="1" x14ac:dyDescent="0.25">
      <c r="A694" s="2"/>
      <c r="B694" s="1024"/>
      <c r="C694" s="417" t="s">
        <v>2295</v>
      </c>
      <c r="D694" s="92">
        <f>SUM(D695:D697)</f>
        <v>263700000</v>
      </c>
      <c r="E694" s="92">
        <f>SUM(E695:E697)</f>
        <v>241650800</v>
      </c>
      <c r="F694" s="92"/>
      <c r="G694" s="249">
        <f>E694/D694*100</f>
        <v>91.638528631020094</v>
      </c>
      <c r="H694" s="267">
        <f>SUM(H695:H697)/3</f>
        <v>100</v>
      </c>
      <c r="I694" s="2364"/>
      <c r="K694" s="536"/>
      <c r="L694" s="536"/>
    </row>
    <row r="695" spans="1:12" ht="15" hidden="1" customHeight="1" x14ac:dyDescent="0.25">
      <c r="A695" s="2"/>
      <c r="B695" s="1024"/>
      <c r="C695" s="416" t="s">
        <v>2296</v>
      </c>
      <c r="D695" s="900">
        <v>87640000</v>
      </c>
      <c r="E695" s="922">
        <v>74740000</v>
      </c>
      <c r="F695" s="922"/>
      <c r="G695" s="250">
        <f>E695/D695*100</f>
        <v>85.280693747147424</v>
      </c>
      <c r="H695" s="252">
        <v>100</v>
      </c>
      <c r="I695" s="2364"/>
      <c r="K695" s="536"/>
      <c r="L695" s="536"/>
    </row>
    <row r="696" spans="1:12" ht="15.75" hidden="1" customHeight="1" x14ac:dyDescent="0.25">
      <c r="A696" s="2"/>
      <c r="B696" s="1024"/>
      <c r="C696" s="416" t="s">
        <v>2297</v>
      </c>
      <c r="D696" s="900">
        <v>131360000</v>
      </c>
      <c r="E696" s="206">
        <v>122260000</v>
      </c>
      <c r="F696" s="206"/>
      <c r="G696" s="250">
        <f>E696/D696*100</f>
        <v>93.072472594397084</v>
      </c>
      <c r="H696" s="252">
        <v>100</v>
      </c>
      <c r="I696" s="2364"/>
      <c r="K696" s="536"/>
      <c r="L696" s="536"/>
    </row>
    <row r="697" spans="1:12" ht="17.25" hidden="1" customHeight="1" x14ac:dyDescent="0.25">
      <c r="A697" s="2"/>
      <c r="B697" s="1024"/>
      <c r="C697" s="416" t="s">
        <v>2298</v>
      </c>
      <c r="D697" s="900">
        <v>44700000</v>
      </c>
      <c r="E697" s="73">
        <v>44650800</v>
      </c>
      <c r="F697" s="73"/>
      <c r="G697" s="250">
        <f>E697/D697*100</f>
        <v>99.889932885906035</v>
      </c>
      <c r="H697" s="252">
        <v>100</v>
      </c>
      <c r="I697" s="2364"/>
      <c r="K697" s="536"/>
      <c r="L697" s="536"/>
    </row>
    <row r="698" spans="1:12" ht="13.5" hidden="1" customHeight="1" x14ac:dyDescent="0.25">
      <c r="A698" s="2"/>
      <c r="B698" s="1024"/>
      <c r="C698" s="61"/>
      <c r="D698" s="539"/>
      <c r="E698" s="539"/>
      <c r="F698" s="539"/>
      <c r="G698" s="249"/>
      <c r="H698" s="405"/>
      <c r="I698" s="2364"/>
      <c r="K698" s="536"/>
      <c r="L698" s="536"/>
    </row>
    <row r="699" spans="1:12" ht="19.5" hidden="1" customHeight="1" x14ac:dyDescent="0.25">
      <c r="A699" s="2"/>
      <c r="B699" s="1024"/>
      <c r="C699" s="1473" t="s">
        <v>409</v>
      </c>
      <c r="D699" s="92">
        <f>SUM(D700:D708)</f>
        <v>1442500000</v>
      </c>
      <c r="E699" s="92">
        <f>SUM(E700:E708)</f>
        <v>122400000</v>
      </c>
      <c r="F699" s="92"/>
      <c r="G699" s="249">
        <f>E699/D699*100</f>
        <v>8.4852686308492196</v>
      </c>
      <c r="H699" s="267">
        <f>SUM(H704:H708)/5</f>
        <v>20</v>
      </c>
      <c r="I699" s="2364"/>
      <c r="K699" s="536"/>
      <c r="L699" s="536"/>
    </row>
    <row r="700" spans="1:12" ht="16.5" hidden="1" customHeight="1" x14ac:dyDescent="0.25">
      <c r="A700" s="2"/>
      <c r="B700" s="1024"/>
      <c r="C700" s="416" t="s">
        <v>2299</v>
      </c>
      <c r="D700" s="169" t="s">
        <v>3317</v>
      </c>
      <c r="E700" s="201" t="s">
        <v>3317</v>
      </c>
      <c r="F700" s="201"/>
      <c r="G700" s="169" t="s">
        <v>3317</v>
      </c>
      <c r="H700" s="169" t="s">
        <v>3317</v>
      </c>
      <c r="I700" s="2364"/>
      <c r="K700" s="536"/>
      <c r="L700" s="536"/>
    </row>
    <row r="701" spans="1:12" ht="15" hidden="1" customHeight="1" x14ac:dyDescent="0.25">
      <c r="A701" s="2"/>
      <c r="B701" s="1024"/>
      <c r="C701" s="416" t="s">
        <v>2300</v>
      </c>
      <c r="D701" s="169" t="s">
        <v>3317</v>
      </c>
      <c r="E701" s="201" t="s">
        <v>3317</v>
      </c>
      <c r="F701" s="201"/>
      <c r="G701" s="169" t="s">
        <v>3317</v>
      </c>
      <c r="H701" s="169" t="s">
        <v>3317</v>
      </c>
      <c r="I701" s="2364"/>
      <c r="K701" s="536"/>
      <c r="L701" s="536"/>
    </row>
    <row r="702" spans="1:12" ht="14.25" hidden="1" customHeight="1" x14ac:dyDescent="0.25">
      <c r="A702" s="2"/>
      <c r="B702" s="1024"/>
      <c r="C702" s="416" t="s">
        <v>2301</v>
      </c>
      <c r="D702" s="169" t="s">
        <v>3317</v>
      </c>
      <c r="E702" s="201" t="s">
        <v>3317</v>
      </c>
      <c r="F702" s="201"/>
      <c r="G702" s="169" t="s">
        <v>3317</v>
      </c>
      <c r="H702" s="169" t="s">
        <v>3317</v>
      </c>
      <c r="I702" s="2364"/>
      <c r="K702" s="536"/>
      <c r="L702" s="536"/>
    </row>
    <row r="703" spans="1:12" ht="15" hidden="1" customHeight="1" x14ac:dyDescent="0.25">
      <c r="A703" s="2"/>
      <c r="B703" s="1024"/>
      <c r="C703" s="416" t="s">
        <v>2302</v>
      </c>
      <c r="D703" s="169" t="s">
        <v>3317</v>
      </c>
      <c r="E703" s="201" t="s">
        <v>3317</v>
      </c>
      <c r="F703" s="201"/>
      <c r="G703" s="169" t="s">
        <v>3317</v>
      </c>
      <c r="H703" s="169" t="s">
        <v>3317</v>
      </c>
      <c r="I703" s="2364"/>
      <c r="K703" s="536"/>
      <c r="L703" s="536"/>
    </row>
    <row r="704" spans="1:12" ht="17.25" hidden="1" customHeight="1" x14ac:dyDescent="0.25">
      <c r="A704" s="2"/>
      <c r="B704" s="1024"/>
      <c r="C704" s="416" t="s">
        <v>2303</v>
      </c>
      <c r="D704" s="900">
        <v>350000000</v>
      </c>
      <c r="E704" s="206">
        <v>0</v>
      </c>
      <c r="F704" s="206"/>
      <c r="G704" s="250">
        <f>E704/D704*100</f>
        <v>0</v>
      </c>
      <c r="H704" s="206">
        <v>0</v>
      </c>
      <c r="I704" s="2364"/>
      <c r="K704" s="536"/>
      <c r="L704" s="536"/>
    </row>
    <row r="705" spans="1:12" ht="15" hidden="1" customHeight="1" x14ac:dyDescent="0.25">
      <c r="A705" s="2"/>
      <c r="B705" s="1024"/>
      <c r="C705" s="416" t="s">
        <v>2304</v>
      </c>
      <c r="D705" s="900">
        <v>350000000</v>
      </c>
      <c r="E705" s="206">
        <v>0</v>
      </c>
      <c r="F705" s="206"/>
      <c r="G705" s="206">
        <v>0</v>
      </c>
      <c r="H705" s="206">
        <v>0</v>
      </c>
      <c r="I705" s="2364"/>
      <c r="K705" s="536"/>
      <c r="L705" s="536"/>
    </row>
    <row r="706" spans="1:12" ht="13.5" hidden="1" customHeight="1" x14ac:dyDescent="0.25">
      <c r="A706" s="2"/>
      <c r="B706" s="1024"/>
      <c r="C706" s="416" t="s">
        <v>2305</v>
      </c>
      <c r="D706" s="900">
        <v>300000000</v>
      </c>
      <c r="E706" s="206">
        <v>0</v>
      </c>
      <c r="F706" s="206"/>
      <c r="G706" s="206">
        <v>0</v>
      </c>
      <c r="H706" s="206">
        <v>0</v>
      </c>
      <c r="I706" s="2364"/>
      <c r="K706" s="536"/>
      <c r="L706" s="536"/>
    </row>
    <row r="707" spans="1:12" ht="16.5" hidden="1" customHeight="1" x14ac:dyDescent="0.25">
      <c r="A707" s="2"/>
      <c r="B707" s="1024"/>
      <c r="C707" s="416" t="s">
        <v>2306</v>
      </c>
      <c r="D707" s="900">
        <v>292500000</v>
      </c>
      <c r="E707" s="206">
        <v>0</v>
      </c>
      <c r="F707" s="206"/>
      <c r="G707" s="206">
        <v>0</v>
      </c>
      <c r="H707" s="206">
        <v>0</v>
      </c>
      <c r="I707" s="2364"/>
      <c r="K707" s="536"/>
      <c r="L707" s="536"/>
    </row>
    <row r="708" spans="1:12" ht="13.5" hidden="1" customHeight="1" x14ac:dyDescent="0.25">
      <c r="A708" s="2"/>
      <c r="B708" s="1024"/>
      <c r="C708" s="416" t="s">
        <v>2307</v>
      </c>
      <c r="D708" s="900">
        <v>150000000</v>
      </c>
      <c r="E708" s="913">
        <v>122400000</v>
      </c>
      <c r="F708" s="913"/>
      <c r="G708" s="250">
        <f>E708/D708*100</f>
        <v>81.599999999999994</v>
      </c>
      <c r="H708" s="252">
        <v>100</v>
      </c>
      <c r="I708" s="2364"/>
      <c r="K708" s="536"/>
      <c r="L708" s="536"/>
    </row>
    <row r="709" spans="1:12" ht="12" hidden="1" customHeight="1" x14ac:dyDescent="0.25">
      <c r="A709" s="2"/>
      <c r="B709" s="1024"/>
      <c r="C709" s="61"/>
      <c r="D709" s="900"/>
      <c r="E709" s="913"/>
      <c r="F709" s="913"/>
      <c r="G709" s="250"/>
      <c r="H709" s="252"/>
      <c r="I709" s="2364"/>
      <c r="K709" s="536"/>
      <c r="L709" s="536"/>
    </row>
    <row r="710" spans="1:12" ht="16.5" hidden="1" customHeight="1" x14ac:dyDescent="0.25">
      <c r="A710" s="2"/>
      <c r="B710" s="1024"/>
      <c r="C710" s="1473" t="s">
        <v>2308</v>
      </c>
      <c r="D710" s="92">
        <f>SUM(D711:D716)</f>
        <v>3714600000</v>
      </c>
      <c r="E710" s="92">
        <f>SUM(E711:E716)</f>
        <v>3593497400</v>
      </c>
      <c r="F710" s="92"/>
      <c r="G710" s="249">
        <f t="shared" ref="G710:G716" si="48">E710/D710*100</f>
        <v>96.739821245894575</v>
      </c>
      <c r="H710" s="405">
        <f>SUM(H711:H716)/6</f>
        <v>100</v>
      </c>
      <c r="I710" s="2364"/>
      <c r="K710" s="536"/>
      <c r="L710" s="536"/>
    </row>
    <row r="711" spans="1:12" ht="16.5" hidden="1" customHeight="1" x14ac:dyDescent="0.25">
      <c r="A711" s="2"/>
      <c r="B711" s="1024"/>
      <c r="C711" s="416" t="s">
        <v>2309</v>
      </c>
      <c r="D711" s="900">
        <v>500000000</v>
      </c>
      <c r="E711" s="206">
        <v>466832800</v>
      </c>
      <c r="F711" s="206"/>
      <c r="G711" s="250">
        <f t="shared" si="48"/>
        <v>93.366559999999993</v>
      </c>
      <c r="H711" s="206">
        <v>100</v>
      </c>
      <c r="I711" s="2364"/>
      <c r="K711" s="536"/>
      <c r="L711" s="536"/>
    </row>
    <row r="712" spans="1:12" ht="18" hidden="1" customHeight="1" x14ac:dyDescent="0.25">
      <c r="A712" s="2"/>
      <c r="B712" s="1024"/>
      <c r="C712" s="416" t="s">
        <v>2310</v>
      </c>
      <c r="D712" s="900">
        <v>1100000000</v>
      </c>
      <c r="E712" s="913">
        <v>1086100000</v>
      </c>
      <c r="F712" s="913"/>
      <c r="G712" s="250">
        <f t="shared" si="48"/>
        <v>98.736363636363635</v>
      </c>
      <c r="H712" s="252">
        <v>100</v>
      </c>
      <c r="I712" s="2364"/>
      <c r="K712" s="536"/>
      <c r="L712" s="536"/>
    </row>
    <row r="713" spans="1:12" ht="18" hidden="1" customHeight="1" x14ac:dyDescent="0.25">
      <c r="A713" s="2"/>
      <c r="B713" s="1024"/>
      <c r="C713" s="416" t="s">
        <v>2311</v>
      </c>
      <c r="D713" s="900">
        <v>700000000</v>
      </c>
      <c r="E713" s="73">
        <v>696515000</v>
      </c>
      <c r="F713" s="73"/>
      <c r="G713" s="250">
        <f t="shared" si="48"/>
        <v>99.502142857142857</v>
      </c>
      <c r="H713" s="252">
        <v>100</v>
      </c>
      <c r="I713" s="2364"/>
      <c r="K713" s="536"/>
      <c r="L713" s="536"/>
    </row>
    <row r="714" spans="1:12" ht="17.25" hidden="1" customHeight="1" x14ac:dyDescent="0.25">
      <c r="A714" s="2"/>
      <c r="B714" s="1024"/>
      <c r="C714" s="416" t="s">
        <v>2312</v>
      </c>
      <c r="D714" s="900">
        <v>500000000</v>
      </c>
      <c r="E714" s="206">
        <v>433149600</v>
      </c>
      <c r="F714" s="206"/>
      <c r="G714" s="250">
        <f t="shared" si="48"/>
        <v>86.629919999999998</v>
      </c>
      <c r="H714" s="206">
        <v>100</v>
      </c>
      <c r="I714" s="2364"/>
      <c r="K714" s="536"/>
      <c r="L714" s="536"/>
    </row>
    <row r="715" spans="1:12" ht="18" hidden="1" customHeight="1" x14ac:dyDescent="0.25">
      <c r="A715" s="2"/>
      <c r="B715" s="1024"/>
      <c r="C715" s="416" t="s">
        <v>2313</v>
      </c>
      <c r="D715" s="900">
        <v>700000000</v>
      </c>
      <c r="E715" s="922">
        <v>696300000</v>
      </c>
      <c r="F715" s="922"/>
      <c r="G715" s="250">
        <f t="shared" si="48"/>
        <v>99.471428571428561</v>
      </c>
      <c r="H715" s="252">
        <v>100</v>
      </c>
      <c r="I715" s="2364"/>
      <c r="K715" s="536"/>
      <c r="L715" s="536"/>
    </row>
    <row r="716" spans="1:12" ht="18" hidden="1" customHeight="1" x14ac:dyDescent="0.25">
      <c r="A716" s="2"/>
      <c r="B716" s="1024"/>
      <c r="C716" s="416" t="s">
        <v>2314</v>
      </c>
      <c r="D716" s="900">
        <v>214600000</v>
      </c>
      <c r="E716" s="73">
        <v>214600000</v>
      </c>
      <c r="F716" s="73"/>
      <c r="G716" s="250">
        <f t="shared" si="48"/>
        <v>100</v>
      </c>
      <c r="H716" s="250">
        <v>100</v>
      </c>
      <c r="I716" s="2364"/>
      <c r="K716" s="536"/>
      <c r="L716" s="536"/>
    </row>
    <row r="717" spans="1:12" ht="6.75" hidden="1" customHeight="1" x14ac:dyDescent="0.25">
      <c r="A717" s="2"/>
      <c r="B717" s="1024"/>
      <c r="C717" s="61"/>
      <c r="D717" s="539"/>
      <c r="E717" s="539"/>
      <c r="F717" s="539"/>
      <c r="G717" s="249"/>
      <c r="H717" s="405"/>
      <c r="I717" s="2364"/>
      <c r="K717" s="536"/>
      <c r="L717" s="536"/>
    </row>
    <row r="718" spans="1:12" ht="17.25" hidden="1" customHeight="1" x14ac:dyDescent="0.25">
      <c r="A718" s="2"/>
      <c r="B718" s="1024"/>
      <c r="C718" s="1473" t="s">
        <v>2315</v>
      </c>
      <c r="D718" s="92">
        <f>SUM(D719:D736)</f>
        <v>239200000</v>
      </c>
      <c r="E718" s="92">
        <f>SUM(E719:E736)</f>
        <v>233400000</v>
      </c>
      <c r="F718" s="92"/>
      <c r="G718" s="249">
        <f>E718/D718*100</f>
        <v>97.575250836120404</v>
      </c>
      <c r="H718" s="267">
        <f>SUM(H719:H736)/3</f>
        <v>100</v>
      </c>
      <c r="I718" s="2364"/>
      <c r="K718" s="536"/>
      <c r="L718" s="536"/>
    </row>
    <row r="719" spans="1:12" ht="16.5" hidden="1" customHeight="1" x14ac:dyDescent="0.25">
      <c r="A719" s="2"/>
      <c r="B719" s="1024"/>
      <c r="C719" s="416" t="s">
        <v>2316</v>
      </c>
      <c r="D719" s="900">
        <v>66200000</v>
      </c>
      <c r="E719" s="73">
        <v>66200000</v>
      </c>
      <c r="F719" s="73"/>
      <c r="G719" s="250">
        <f>E719/D719*100</f>
        <v>100</v>
      </c>
      <c r="H719" s="252">
        <v>100</v>
      </c>
      <c r="I719" s="2364"/>
      <c r="K719" s="536"/>
      <c r="L719" s="536"/>
    </row>
    <row r="720" spans="1:12" ht="15" hidden="1" customHeight="1" x14ac:dyDescent="0.25">
      <c r="A720" s="2"/>
      <c r="B720" s="1024"/>
      <c r="C720" s="416" t="s">
        <v>2317</v>
      </c>
      <c r="D720" s="169" t="s">
        <v>3317</v>
      </c>
      <c r="E720" s="201" t="s">
        <v>3317</v>
      </c>
      <c r="F720" s="201"/>
      <c r="G720" s="169" t="s">
        <v>3317</v>
      </c>
      <c r="H720" s="169" t="s">
        <v>3317</v>
      </c>
      <c r="I720" s="2364"/>
      <c r="K720" s="536"/>
      <c r="L720" s="536"/>
    </row>
    <row r="721" spans="1:12" ht="16.5" hidden="1" customHeight="1" x14ac:dyDescent="0.25">
      <c r="A721" s="2"/>
      <c r="B721" s="1024"/>
      <c r="C721" s="416" t="s">
        <v>2318</v>
      </c>
      <c r="D721" s="900">
        <v>88850000</v>
      </c>
      <c r="E721" s="206">
        <v>83050000</v>
      </c>
      <c r="F721" s="206"/>
      <c r="G721" s="250">
        <f>E721/D721*100</f>
        <v>93.472144063027571</v>
      </c>
      <c r="H721" s="252">
        <v>100</v>
      </c>
      <c r="I721" s="2364"/>
      <c r="K721" s="536"/>
      <c r="L721" s="536"/>
    </row>
    <row r="722" spans="1:12" ht="15.75" hidden="1" customHeight="1" x14ac:dyDescent="0.25">
      <c r="A722" s="2"/>
      <c r="B722" s="1024"/>
      <c r="C722" s="416" t="s">
        <v>2319</v>
      </c>
      <c r="D722" s="169" t="s">
        <v>3317</v>
      </c>
      <c r="E722" s="201" t="s">
        <v>3317</v>
      </c>
      <c r="F722" s="201"/>
      <c r="G722" s="169" t="s">
        <v>3317</v>
      </c>
      <c r="H722" s="169" t="s">
        <v>3317</v>
      </c>
      <c r="I722" s="2364"/>
      <c r="K722" s="536"/>
      <c r="L722" s="536"/>
    </row>
    <row r="723" spans="1:12" ht="14.25" hidden="1" customHeight="1" x14ac:dyDescent="0.25">
      <c r="A723" s="2"/>
      <c r="B723" s="1024"/>
      <c r="C723" s="416" t="s">
        <v>2320</v>
      </c>
      <c r="D723" s="169" t="s">
        <v>3317</v>
      </c>
      <c r="E723" s="201" t="s">
        <v>3317</v>
      </c>
      <c r="F723" s="201"/>
      <c r="G723" s="169" t="s">
        <v>3317</v>
      </c>
      <c r="H723" s="169" t="s">
        <v>3317</v>
      </c>
      <c r="I723" s="2364"/>
      <c r="K723" s="536"/>
      <c r="L723" s="536"/>
    </row>
    <row r="724" spans="1:12" ht="15.75" hidden="1" customHeight="1" x14ac:dyDescent="0.25">
      <c r="A724" s="2"/>
      <c r="B724" s="1024"/>
      <c r="C724" s="416" t="s">
        <v>2321</v>
      </c>
      <c r="D724" s="169" t="s">
        <v>3317</v>
      </c>
      <c r="E724" s="201" t="s">
        <v>3317</v>
      </c>
      <c r="F724" s="201"/>
      <c r="G724" s="169" t="s">
        <v>3317</v>
      </c>
      <c r="H724" s="169" t="s">
        <v>3317</v>
      </c>
      <c r="I724" s="2364"/>
      <c r="K724" s="536"/>
      <c r="L724" s="536"/>
    </row>
    <row r="725" spans="1:12" ht="17.25" hidden="1" customHeight="1" x14ac:dyDescent="0.25">
      <c r="A725" s="2"/>
      <c r="B725" s="1024"/>
      <c r="C725" s="416" t="s">
        <v>2322</v>
      </c>
      <c r="D725" s="169" t="s">
        <v>3317</v>
      </c>
      <c r="E725" s="201" t="s">
        <v>3317</v>
      </c>
      <c r="F725" s="201"/>
      <c r="G725" s="169" t="s">
        <v>3317</v>
      </c>
      <c r="H725" s="169" t="s">
        <v>3317</v>
      </c>
      <c r="I725" s="2364"/>
      <c r="K725" s="536"/>
      <c r="L725" s="536"/>
    </row>
    <row r="726" spans="1:12" ht="30" hidden="1" customHeight="1" x14ac:dyDescent="0.25">
      <c r="A726" s="2"/>
      <c r="B726" s="1024"/>
      <c r="C726" s="1474" t="s">
        <v>2323</v>
      </c>
      <c r="D726" s="169" t="s">
        <v>3317</v>
      </c>
      <c r="E726" s="201" t="s">
        <v>3317</v>
      </c>
      <c r="F726" s="201"/>
      <c r="G726" s="169" t="s">
        <v>3317</v>
      </c>
      <c r="H726" s="169" t="s">
        <v>3317</v>
      </c>
      <c r="I726" s="2364"/>
      <c r="K726" s="536"/>
      <c r="L726" s="536"/>
    </row>
    <row r="727" spans="1:12" ht="16.5" hidden="1" customHeight="1" x14ac:dyDescent="0.25">
      <c r="A727" s="2"/>
      <c r="B727" s="1024"/>
      <c r="C727" s="1474" t="s">
        <v>2324</v>
      </c>
      <c r="D727" s="169" t="s">
        <v>3317</v>
      </c>
      <c r="E727" s="201" t="s">
        <v>3317</v>
      </c>
      <c r="F727" s="201"/>
      <c r="G727" s="169" t="s">
        <v>3317</v>
      </c>
      <c r="H727" s="169" t="s">
        <v>3317</v>
      </c>
      <c r="I727" s="2364"/>
      <c r="K727" s="536"/>
      <c r="L727" s="536"/>
    </row>
    <row r="728" spans="1:12" ht="16.5" hidden="1" customHeight="1" x14ac:dyDescent="0.25">
      <c r="A728" s="2"/>
      <c r="B728" s="1024"/>
      <c r="C728" s="1474" t="s">
        <v>2325</v>
      </c>
      <c r="D728" s="169" t="s">
        <v>3317</v>
      </c>
      <c r="E728" s="201" t="s">
        <v>3317</v>
      </c>
      <c r="F728" s="201"/>
      <c r="G728" s="169" t="s">
        <v>3317</v>
      </c>
      <c r="H728" s="169" t="s">
        <v>3317</v>
      </c>
      <c r="I728" s="2364"/>
      <c r="K728" s="536"/>
      <c r="L728" s="536"/>
    </row>
    <row r="729" spans="1:12" ht="15.75" hidden="1" customHeight="1" x14ac:dyDescent="0.25">
      <c r="A729" s="2"/>
      <c r="B729" s="1024"/>
      <c r="C729" s="1474" t="s">
        <v>2326</v>
      </c>
      <c r="D729" s="169" t="s">
        <v>3317</v>
      </c>
      <c r="E729" s="201" t="s">
        <v>3317</v>
      </c>
      <c r="F729" s="201"/>
      <c r="G729" s="169" t="s">
        <v>3317</v>
      </c>
      <c r="H729" s="169" t="s">
        <v>3317</v>
      </c>
      <c r="I729" s="2364"/>
      <c r="K729" s="536"/>
      <c r="L729" s="536"/>
    </row>
    <row r="730" spans="1:12" ht="15.75" hidden="1" customHeight="1" x14ac:dyDescent="0.25">
      <c r="A730" s="2"/>
      <c r="B730" s="1024"/>
      <c r="C730" s="1474" t="s">
        <v>2327</v>
      </c>
      <c r="D730" s="169" t="s">
        <v>3317</v>
      </c>
      <c r="E730" s="201" t="s">
        <v>3317</v>
      </c>
      <c r="F730" s="201"/>
      <c r="G730" s="169" t="s">
        <v>3317</v>
      </c>
      <c r="H730" s="169" t="s">
        <v>3317</v>
      </c>
      <c r="I730" s="2364"/>
      <c r="K730" s="536"/>
      <c r="L730" s="536"/>
    </row>
    <row r="731" spans="1:12" ht="17.25" hidden="1" customHeight="1" x14ac:dyDescent="0.25">
      <c r="A731" s="2"/>
      <c r="B731" s="1024"/>
      <c r="C731" s="1474" t="s">
        <v>2328</v>
      </c>
      <c r="D731" s="169" t="s">
        <v>3317</v>
      </c>
      <c r="E731" s="201" t="s">
        <v>3317</v>
      </c>
      <c r="F731" s="201"/>
      <c r="G731" s="169" t="s">
        <v>3317</v>
      </c>
      <c r="H731" s="169" t="s">
        <v>3317</v>
      </c>
      <c r="I731" s="2364"/>
      <c r="K731" s="536"/>
      <c r="L731" s="536"/>
    </row>
    <row r="732" spans="1:12" ht="15.75" hidden="1" customHeight="1" x14ac:dyDescent="0.25">
      <c r="A732" s="2"/>
      <c r="B732" s="1024"/>
      <c r="C732" s="1474" t="s">
        <v>2329</v>
      </c>
      <c r="D732" s="169" t="s">
        <v>3317</v>
      </c>
      <c r="E732" s="201" t="s">
        <v>3317</v>
      </c>
      <c r="F732" s="201"/>
      <c r="G732" s="169" t="s">
        <v>3317</v>
      </c>
      <c r="H732" s="169" t="s">
        <v>3317</v>
      </c>
      <c r="I732" s="2364"/>
      <c r="K732" s="536"/>
      <c r="L732" s="536"/>
    </row>
    <row r="733" spans="1:12" ht="15.75" hidden="1" customHeight="1" x14ac:dyDescent="0.25">
      <c r="A733" s="2"/>
      <c r="B733" s="1024"/>
      <c r="C733" s="1474" t="s">
        <v>2330</v>
      </c>
      <c r="D733" s="169" t="s">
        <v>3317</v>
      </c>
      <c r="E733" s="201" t="s">
        <v>3317</v>
      </c>
      <c r="F733" s="201"/>
      <c r="G733" s="169" t="s">
        <v>3317</v>
      </c>
      <c r="H733" s="169" t="s">
        <v>3317</v>
      </c>
      <c r="I733" s="2364"/>
      <c r="K733" s="536"/>
      <c r="L733" s="536"/>
    </row>
    <row r="734" spans="1:12" ht="17.25" hidden="1" customHeight="1" x14ac:dyDescent="0.25">
      <c r="A734" s="2"/>
      <c r="B734" s="1993"/>
      <c r="C734" s="1474" t="s">
        <v>2331</v>
      </c>
      <c r="D734" s="900">
        <v>84150000</v>
      </c>
      <c r="E734" s="922">
        <v>84150000</v>
      </c>
      <c r="F734" s="922"/>
      <c r="G734" s="250">
        <f>E734/D734*100</f>
        <v>100</v>
      </c>
      <c r="H734" s="252">
        <v>100</v>
      </c>
      <c r="I734" s="2364"/>
      <c r="K734" s="536"/>
      <c r="L734" s="536"/>
    </row>
    <row r="735" spans="1:12" ht="15.75" hidden="1" customHeight="1" x14ac:dyDescent="0.25">
      <c r="A735" s="2"/>
      <c r="B735" s="1024"/>
      <c r="C735" s="1474" t="s">
        <v>2332</v>
      </c>
      <c r="D735" s="169" t="s">
        <v>3317</v>
      </c>
      <c r="E735" s="201" t="s">
        <v>3317</v>
      </c>
      <c r="F735" s="201"/>
      <c r="G735" s="169" t="s">
        <v>3317</v>
      </c>
      <c r="H735" s="169" t="s">
        <v>3317</v>
      </c>
      <c r="I735" s="2364"/>
      <c r="K735" s="536"/>
      <c r="L735" s="536"/>
    </row>
    <row r="736" spans="1:12" ht="19.5" hidden="1" customHeight="1" x14ac:dyDescent="0.25">
      <c r="A736" s="2"/>
      <c r="B736" s="1024"/>
      <c r="C736" s="1474" t="s">
        <v>2333</v>
      </c>
      <c r="D736" s="169" t="s">
        <v>3317</v>
      </c>
      <c r="E736" s="201" t="s">
        <v>3317</v>
      </c>
      <c r="F736" s="201"/>
      <c r="G736" s="169" t="s">
        <v>3317</v>
      </c>
      <c r="H736" s="169" t="s">
        <v>3317</v>
      </c>
      <c r="I736" s="2364"/>
      <c r="K736" s="536"/>
      <c r="L736" s="536"/>
    </row>
    <row r="737" spans="1:12" ht="10.5" hidden="1" customHeight="1" x14ac:dyDescent="0.25">
      <c r="A737" s="2"/>
      <c r="B737" s="1024"/>
      <c r="C737" s="66"/>
      <c r="D737" s="935"/>
      <c r="E737" s="158"/>
      <c r="F737" s="158"/>
      <c r="G737" s="158"/>
      <c r="H737" s="251"/>
      <c r="I737" s="2364"/>
      <c r="K737" s="536"/>
      <c r="L737" s="536"/>
    </row>
    <row r="738" spans="1:12" ht="16.5" hidden="1" customHeight="1" x14ac:dyDescent="0.25">
      <c r="A738" s="2"/>
      <c r="B738" s="1024"/>
      <c r="C738" s="75" t="s">
        <v>3958</v>
      </c>
      <c r="D738" s="983">
        <f>SUM(D739:D743)</f>
        <v>562150000</v>
      </c>
      <c r="E738" s="983">
        <f>SUM(E739:E743)</f>
        <v>476290000</v>
      </c>
      <c r="F738" s="983"/>
      <c r="G738" s="249">
        <f>E738/D738*100</f>
        <v>84.726496486702843</v>
      </c>
      <c r="H738" s="205">
        <f>SUM(H739:H743)/5</f>
        <v>80</v>
      </c>
      <c r="I738" s="2364"/>
      <c r="K738" s="536"/>
      <c r="L738" s="536"/>
    </row>
    <row r="739" spans="1:12" ht="17.25" hidden="1" customHeight="1" x14ac:dyDescent="0.25">
      <c r="A739" s="2"/>
      <c r="B739" s="1024"/>
      <c r="C739" s="66" t="s">
        <v>3959</v>
      </c>
      <c r="D739" s="935">
        <v>84150000</v>
      </c>
      <c r="E739" s="206">
        <v>0</v>
      </c>
      <c r="F739" s="206"/>
      <c r="G739" s="250">
        <f>E739/D739*100</f>
        <v>0</v>
      </c>
      <c r="H739" s="206">
        <v>0</v>
      </c>
      <c r="I739" s="2364"/>
      <c r="K739" s="536"/>
      <c r="L739" s="536"/>
    </row>
    <row r="740" spans="1:12" ht="18" hidden="1" customHeight="1" x14ac:dyDescent="0.25">
      <c r="A740" s="2"/>
      <c r="B740" s="1024"/>
      <c r="C740" s="66" t="s">
        <v>3960</v>
      </c>
      <c r="D740" s="935">
        <v>94250000</v>
      </c>
      <c r="E740" s="206">
        <v>94250000</v>
      </c>
      <c r="F740" s="206"/>
      <c r="G740" s="250">
        <f t="shared" ref="G740:G743" si="49">E740/D740*100</f>
        <v>100</v>
      </c>
      <c r="H740" s="206">
        <v>100</v>
      </c>
      <c r="I740" s="2364"/>
      <c r="K740" s="536"/>
      <c r="L740" s="536"/>
    </row>
    <row r="741" spans="1:12" ht="17.25" hidden="1" customHeight="1" x14ac:dyDescent="0.25">
      <c r="A741" s="2"/>
      <c r="B741" s="1024"/>
      <c r="C741" s="66" t="s">
        <v>3961</v>
      </c>
      <c r="D741" s="935">
        <v>84750000</v>
      </c>
      <c r="E741" s="206">
        <v>83040000</v>
      </c>
      <c r="F741" s="206"/>
      <c r="G741" s="250">
        <f t="shared" si="49"/>
        <v>97.982300884955748</v>
      </c>
      <c r="H741" s="206">
        <v>100</v>
      </c>
      <c r="I741" s="2364"/>
      <c r="K741" s="536"/>
      <c r="L741" s="536"/>
    </row>
    <row r="742" spans="1:12" ht="17.25" hidden="1" customHeight="1" x14ac:dyDescent="0.25">
      <c r="A742" s="2"/>
      <c r="B742" s="1024"/>
      <c r="C742" s="66" t="s">
        <v>3962</v>
      </c>
      <c r="D742" s="935">
        <v>143600000</v>
      </c>
      <c r="E742" s="206">
        <v>143600000</v>
      </c>
      <c r="F742" s="206"/>
      <c r="G742" s="250">
        <f t="shared" si="49"/>
        <v>100</v>
      </c>
      <c r="H742" s="206">
        <v>100</v>
      </c>
      <c r="I742" s="2364"/>
      <c r="K742" s="536"/>
      <c r="L742" s="536"/>
    </row>
    <row r="743" spans="1:12" ht="27.75" hidden="1" customHeight="1" x14ac:dyDescent="0.25">
      <c r="A743" s="2"/>
      <c r="B743" s="1024"/>
      <c r="C743" s="66" t="s">
        <v>3963</v>
      </c>
      <c r="D743" s="935">
        <v>155400000</v>
      </c>
      <c r="E743" s="206">
        <v>155400000</v>
      </c>
      <c r="F743" s="206"/>
      <c r="G743" s="250">
        <f t="shared" si="49"/>
        <v>100</v>
      </c>
      <c r="H743" s="206">
        <v>100</v>
      </c>
      <c r="I743" s="2364"/>
      <c r="K743" s="536"/>
      <c r="L743" s="536"/>
    </row>
    <row r="744" spans="1:12" ht="10.5" hidden="1" customHeight="1" x14ac:dyDescent="0.25">
      <c r="A744" s="2"/>
      <c r="B744" s="1024"/>
      <c r="C744" s="61"/>
      <c r="D744" s="900"/>
      <c r="E744" s="73"/>
      <c r="F744" s="73"/>
      <c r="G744" s="73"/>
      <c r="H744" s="252"/>
      <c r="I744" s="2364"/>
      <c r="K744" s="536"/>
      <c r="L744" s="536"/>
    </row>
    <row r="745" spans="1:12" ht="18" hidden="1" customHeight="1" x14ac:dyDescent="0.25">
      <c r="A745" s="2"/>
      <c r="B745" s="1024"/>
      <c r="C745" s="63" t="s">
        <v>3964</v>
      </c>
      <c r="D745" s="539">
        <f>D746</f>
        <v>679945000</v>
      </c>
      <c r="E745" s="205">
        <v>0</v>
      </c>
      <c r="F745" s="205"/>
      <c r="G745" s="205">
        <v>0</v>
      </c>
      <c r="H745" s="205">
        <v>0</v>
      </c>
      <c r="I745" s="2364"/>
      <c r="K745" s="536"/>
      <c r="L745" s="536"/>
    </row>
    <row r="746" spans="1:12" ht="18" hidden="1" customHeight="1" x14ac:dyDescent="0.25">
      <c r="A746" s="2"/>
      <c r="B746" s="1024"/>
      <c r="C746" s="61" t="s">
        <v>3965</v>
      </c>
      <c r="D746" s="900">
        <v>679945000</v>
      </c>
      <c r="E746" s="206">
        <v>0</v>
      </c>
      <c r="F746" s="206"/>
      <c r="G746" s="206">
        <v>0</v>
      </c>
      <c r="H746" s="206">
        <v>0</v>
      </c>
      <c r="I746" s="2364"/>
      <c r="K746" s="536"/>
      <c r="L746" s="536"/>
    </row>
    <row r="747" spans="1:12" ht="11.25" hidden="1" customHeight="1" x14ac:dyDescent="0.25">
      <c r="A747" s="2"/>
      <c r="B747" s="1024"/>
      <c r="C747" s="61"/>
      <c r="D747" s="900"/>
      <c r="E747" s="73"/>
      <c r="F747" s="73"/>
      <c r="G747" s="73"/>
      <c r="H747" s="252"/>
      <c r="I747" s="2364"/>
      <c r="K747" s="536"/>
      <c r="L747" s="536"/>
    </row>
    <row r="748" spans="1:12" ht="18.75" hidden="1" customHeight="1" x14ac:dyDescent="0.25">
      <c r="A748" s="2"/>
      <c r="B748" s="1024"/>
      <c r="C748" s="63" t="s">
        <v>3966</v>
      </c>
      <c r="D748" s="539">
        <f>D749</f>
        <v>3062575000</v>
      </c>
      <c r="E748" s="539">
        <f>E749</f>
        <v>2650358474</v>
      </c>
      <c r="F748" s="539"/>
      <c r="G748" s="157">
        <f>E748/D748*100</f>
        <v>86.540198166575507</v>
      </c>
      <c r="H748" s="267">
        <f>H749</f>
        <v>100</v>
      </c>
      <c r="I748" s="2364"/>
      <c r="K748" s="536"/>
      <c r="L748" s="536"/>
    </row>
    <row r="749" spans="1:12" ht="16.5" hidden="1" customHeight="1" x14ac:dyDescent="0.25">
      <c r="A749" s="2"/>
      <c r="B749" s="1024"/>
      <c r="C749" s="61" t="s">
        <v>3967</v>
      </c>
      <c r="D749" s="900">
        <v>3062575000</v>
      </c>
      <c r="E749" s="73">
        <v>2650358474</v>
      </c>
      <c r="F749" s="73"/>
      <c r="G749" s="73">
        <f>E749/D749*100</f>
        <v>86.540198166575507</v>
      </c>
      <c r="H749" s="252">
        <v>100</v>
      </c>
      <c r="I749" s="2364"/>
      <c r="K749" s="536"/>
      <c r="L749" s="536"/>
    </row>
    <row r="750" spans="1:12" ht="10.5" hidden="1" customHeight="1" x14ac:dyDescent="0.25">
      <c r="A750" s="2"/>
      <c r="B750" s="1024"/>
      <c r="C750" s="61"/>
      <c r="D750" s="900"/>
      <c r="E750" s="73"/>
      <c r="F750" s="73"/>
      <c r="G750" s="73"/>
      <c r="H750" s="252"/>
      <c r="I750" s="2364"/>
      <c r="K750" s="536"/>
      <c r="L750" s="536"/>
    </row>
    <row r="751" spans="1:12" ht="18" hidden="1" customHeight="1" x14ac:dyDescent="0.25">
      <c r="A751" s="2"/>
      <c r="B751" s="1024"/>
      <c r="C751" s="63" t="s">
        <v>3968</v>
      </c>
      <c r="D751" s="539">
        <f>D752</f>
        <v>88850000</v>
      </c>
      <c r="E751" s="539">
        <f>E752</f>
        <v>77650000</v>
      </c>
      <c r="F751" s="539"/>
      <c r="G751" s="157">
        <f>E751/D751*100</f>
        <v>87.394485087225661</v>
      </c>
      <c r="H751" s="205">
        <f>H752</f>
        <v>100</v>
      </c>
      <c r="I751" s="2364"/>
      <c r="K751" s="536"/>
      <c r="L751" s="536"/>
    </row>
    <row r="752" spans="1:12" ht="19.5" hidden="1" customHeight="1" x14ac:dyDescent="0.25">
      <c r="A752" s="2"/>
      <c r="B752" s="1024"/>
      <c r="C752" s="61" t="s">
        <v>3969</v>
      </c>
      <c r="D752" s="900">
        <v>88850000</v>
      </c>
      <c r="E752" s="206">
        <v>77650000</v>
      </c>
      <c r="F752" s="206"/>
      <c r="G752" s="73">
        <f>E752/D752*100</f>
        <v>87.394485087225661</v>
      </c>
      <c r="H752" s="206">
        <v>100</v>
      </c>
      <c r="I752" s="2364"/>
      <c r="K752" s="536"/>
      <c r="L752" s="536"/>
    </row>
    <row r="753" spans="1:12" ht="10.5" hidden="1" customHeight="1" x14ac:dyDescent="0.25">
      <c r="A753" s="2"/>
      <c r="B753" s="1024"/>
      <c r="C753" s="61"/>
      <c r="D753" s="900"/>
      <c r="E753" s="73"/>
      <c r="F753" s="73"/>
      <c r="G753" s="73"/>
      <c r="H753" s="73"/>
      <c r="I753" s="2364"/>
      <c r="K753" s="536"/>
      <c r="L753" s="536"/>
    </row>
    <row r="754" spans="1:12" ht="18.75" hidden="1" customHeight="1" x14ac:dyDescent="0.25">
      <c r="A754" s="2"/>
      <c r="B754" s="1024"/>
      <c r="C754" s="63" t="s">
        <v>3970</v>
      </c>
      <c r="D754" s="539">
        <f>SUM(D755:D756)</f>
        <v>133100000</v>
      </c>
      <c r="E754" s="539">
        <f>SUM(E755:E756)</f>
        <v>133100000</v>
      </c>
      <c r="F754" s="539"/>
      <c r="G754" s="157">
        <f>E754/D754*100</f>
        <v>100</v>
      </c>
      <c r="H754" s="205">
        <f>SUM(H755:H756)/2</f>
        <v>100</v>
      </c>
      <c r="I754" s="2364"/>
      <c r="K754" s="536"/>
      <c r="L754" s="536"/>
    </row>
    <row r="755" spans="1:12" ht="14.25" hidden="1" customHeight="1" x14ac:dyDescent="0.25">
      <c r="A755" s="2"/>
      <c r="B755" s="1024"/>
      <c r="C755" s="61" t="s">
        <v>3971</v>
      </c>
      <c r="D755" s="900">
        <v>69050000</v>
      </c>
      <c r="E755" s="206">
        <v>69050000</v>
      </c>
      <c r="F755" s="206"/>
      <c r="G755" s="73">
        <f>E755/D755*100</f>
        <v>100</v>
      </c>
      <c r="H755" s="206">
        <v>100</v>
      </c>
      <c r="I755" s="2364"/>
      <c r="K755" s="536"/>
      <c r="L755" s="536"/>
    </row>
    <row r="756" spans="1:12" ht="18.75" hidden="1" customHeight="1" x14ac:dyDescent="0.25">
      <c r="A756" s="2"/>
      <c r="B756" s="1024"/>
      <c r="C756" s="61" t="s">
        <v>3972</v>
      </c>
      <c r="D756" s="900">
        <v>64050000</v>
      </c>
      <c r="E756" s="206">
        <v>64050000</v>
      </c>
      <c r="F756" s="206"/>
      <c r="G756" s="73">
        <f>E756/D756*100</f>
        <v>100</v>
      </c>
      <c r="H756" s="206">
        <v>100</v>
      </c>
      <c r="I756" s="2364"/>
      <c r="K756" s="536"/>
      <c r="L756" s="536"/>
    </row>
    <row r="757" spans="1:12" ht="12" hidden="1" customHeight="1" x14ac:dyDescent="0.25">
      <c r="B757" s="1037"/>
      <c r="C757" s="64"/>
      <c r="D757" s="191"/>
      <c r="E757" s="191"/>
      <c r="F757" s="191"/>
      <c r="G757" s="191"/>
      <c r="H757" s="1537"/>
      <c r="I757" s="1106"/>
    </row>
    <row r="758" spans="1:12" ht="18.75" hidden="1" customHeight="1" x14ac:dyDescent="0.25">
      <c r="B758" s="1046"/>
      <c r="C758" s="89" t="s">
        <v>2334</v>
      </c>
      <c r="D758" s="2365">
        <f>D759+D762+D766</f>
        <v>4280000000</v>
      </c>
      <c r="E758" s="2365">
        <f>E759+E762+E766</f>
        <v>4232768852</v>
      </c>
      <c r="F758" s="2365"/>
      <c r="G758" s="179">
        <f>E758/D758*100</f>
        <v>98.896468504672896</v>
      </c>
      <c r="H758" s="254">
        <f>SUM(H759+H762+H766)/3</f>
        <v>100</v>
      </c>
      <c r="I758" s="1106"/>
      <c r="J758" s="536">
        <v>4280000000</v>
      </c>
      <c r="K758" s="536">
        <v>2051562472</v>
      </c>
      <c r="L758" s="536">
        <v>47.93370261682243</v>
      </c>
    </row>
    <row r="759" spans="1:12" ht="18.75" hidden="1" customHeight="1" x14ac:dyDescent="0.25">
      <c r="A759" s="2"/>
      <c r="B759" s="1024"/>
      <c r="C759" s="1473" t="s">
        <v>2335</v>
      </c>
      <c r="D759" s="934">
        <f>D760</f>
        <v>150000000</v>
      </c>
      <c r="E759" s="934">
        <f>E760</f>
        <v>150000000</v>
      </c>
      <c r="F759" s="934"/>
      <c r="G759" s="209">
        <f>E759/D759*100</f>
        <v>100</v>
      </c>
      <c r="H759" s="384">
        <f>H760</f>
        <v>100</v>
      </c>
      <c r="I759" s="2364"/>
      <c r="K759" s="536"/>
      <c r="L759" s="536"/>
    </row>
    <row r="760" spans="1:12" ht="18" hidden="1" customHeight="1" x14ac:dyDescent="0.25">
      <c r="A760" s="2"/>
      <c r="B760" s="1024"/>
      <c r="C760" s="61" t="s">
        <v>2336</v>
      </c>
      <c r="D760" s="900">
        <v>150000000</v>
      </c>
      <c r="E760" s="73">
        <v>150000000</v>
      </c>
      <c r="F760" s="73"/>
      <c r="G760" s="73">
        <f>E760/D760*100</f>
        <v>100</v>
      </c>
      <c r="H760" s="252">
        <v>100</v>
      </c>
      <c r="I760" s="2364"/>
      <c r="K760" s="536"/>
      <c r="L760" s="536"/>
    </row>
    <row r="761" spans="1:12" ht="9.75" hidden="1" customHeight="1" x14ac:dyDescent="0.25">
      <c r="A761" s="2"/>
      <c r="B761" s="1024"/>
      <c r="C761" s="61"/>
      <c r="D761" s="900"/>
      <c r="E761" s="73"/>
      <c r="F761" s="73"/>
      <c r="G761" s="73"/>
      <c r="H761" s="252"/>
      <c r="I761" s="2364"/>
      <c r="K761" s="536"/>
      <c r="L761" s="536"/>
    </row>
    <row r="762" spans="1:12" ht="18" hidden="1" customHeight="1" x14ac:dyDescent="0.25">
      <c r="A762" s="2"/>
      <c r="B762" s="1024"/>
      <c r="C762" s="134" t="s">
        <v>2337</v>
      </c>
      <c r="D762" s="92">
        <f>SUM(D763:D764)</f>
        <v>3145000000</v>
      </c>
      <c r="E762" s="92">
        <f>SUM(E763:E764)</f>
        <v>3102215852</v>
      </c>
      <c r="F762" s="54"/>
      <c r="G762" s="209">
        <f>E762/D762*100</f>
        <v>98.639613736089032</v>
      </c>
      <c r="H762" s="267">
        <f>SUM(H763:H764)/2</f>
        <v>100</v>
      </c>
      <c r="I762" s="2364"/>
      <c r="K762" s="536"/>
      <c r="L762" s="536"/>
    </row>
    <row r="763" spans="1:12" ht="18" hidden="1" customHeight="1" x14ac:dyDescent="0.25">
      <c r="A763" s="2"/>
      <c r="B763" s="1024"/>
      <c r="C763" s="1475" t="s">
        <v>2338</v>
      </c>
      <c r="D763" s="900">
        <v>1145000000</v>
      </c>
      <c r="E763" s="73">
        <v>1142417489</v>
      </c>
      <c r="F763" s="73"/>
      <c r="G763" s="73">
        <f>E763/D763*100</f>
        <v>99.77445318777292</v>
      </c>
      <c r="H763" s="252">
        <v>100</v>
      </c>
      <c r="I763" s="2364"/>
      <c r="K763" s="536"/>
      <c r="L763" s="536"/>
    </row>
    <row r="764" spans="1:12" ht="19.5" hidden="1" customHeight="1" x14ac:dyDescent="0.25">
      <c r="A764" s="2"/>
      <c r="B764" s="1024"/>
      <c r="C764" s="61" t="s">
        <v>2339</v>
      </c>
      <c r="D764" s="900">
        <v>2000000000</v>
      </c>
      <c r="E764" s="73">
        <v>1959798363</v>
      </c>
      <c r="F764" s="73"/>
      <c r="G764" s="73">
        <f>E764/D764*100</f>
        <v>97.989918149999994</v>
      </c>
      <c r="H764" s="252">
        <v>100</v>
      </c>
      <c r="I764" s="2364"/>
      <c r="K764" s="536"/>
      <c r="L764" s="536"/>
    </row>
    <row r="765" spans="1:12" ht="10.5" hidden="1" customHeight="1" x14ac:dyDescent="0.25">
      <c r="A765" s="2"/>
      <c r="B765" s="1024"/>
      <c r="C765" s="64"/>
      <c r="D765" s="935"/>
      <c r="E765" s="158"/>
      <c r="F765" s="191"/>
      <c r="G765" s="191"/>
      <c r="H765" s="251"/>
      <c r="I765" s="2364"/>
      <c r="K765" s="536"/>
      <c r="L765" s="536"/>
    </row>
    <row r="766" spans="1:12" ht="16.5" hidden="1" customHeight="1" x14ac:dyDescent="0.25">
      <c r="A766" s="2"/>
      <c r="B766" s="1024"/>
      <c r="C766" s="63" t="s">
        <v>3973</v>
      </c>
      <c r="D766" s="983">
        <f>SUM(D767:D768)</f>
        <v>985000000</v>
      </c>
      <c r="E766" s="983">
        <f>SUM(E767:E768)</f>
        <v>980553000</v>
      </c>
      <c r="F766" s="983"/>
      <c r="G766" s="157">
        <f>E766/D766*100</f>
        <v>99.54852791878173</v>
      </c>
      <c r="H766" s="205">
        <f>SUM(H767:H768)/2</f>
        <v>100</v>
      </c>
      <c r="I766" s="2364"/>
      <c r="K766" s="536"/>
      <c r="L766" s="536"/>
    </row>
    <row r="767" spans="1:12" ht="17.25" hidden="1" customHeight="1" x14ac:dyDescent="0.25">
      <c r="A767" s="2"/>
      <c r="B767" s="1024"/>
      <c r="C767" s="61" t="s">
        <v>3974</v>
      </c>
      <c r="D767" s="935">
        <v>420000000</v>
      </c>
      <c r="E767" s="206">
        <v>419353000</v>
      </c>
      <c r="F767" s="206"/>
      <c r="G767" s="73">
        <f>E767/D767*100</f>
        <v>99.845952380952383</v>
      </c>
      <c r="H767" s="206">
        <v>100</v>
      </c>
      <c r="I767" s="2364"/>
      <c r="K767" s="536"/>
      <c r="L767" s="536"/>
    </row>
    <row r="768" spans="1:12" ht="15.75" hidden="1" customHeight="1" x14ac:dyDescent="0.25">
      <c r="A768" s="2"/>
      <c r="B768" s="1024"/>
      <c r="C768" s="61" t="s">
        <v>3975</v>
      </c>
      <c r="D768" s="935">
        <v>565000000</v>
      </c>
      <c r="E768" s="206">
        <v>561200000</v>
      </c>
      <c r="F768" s="206"/>
      <c r="G768" s="73">
        <f>E768/D768*100</f>
        <v>99.327433628318587</v>
      </c>
      <c r="H768" s="206">
        <v>100</v>
      </c>
      <c r="I768" s="2364"/>
      <c r="K768" s="536"/>
      <c r="L768" s="536"/>
    </row>
    <row r="769" spans="2:9" ht="12" hidden="1" customHeight="1" x14ac:dyDescent="0.25">
      <c r="B769" s="1037"/>
      <c r="C769" s="64"/>
      <c r="D769" s="215"/>
      <c r="E769" s="215"/>
      <c r="F769" s="215"/>
      <c r="G769" s="245"/>
      <c r="H769" s="1494"/>
      <c r="I769" s="1106"/>
    </row>
    <row r="770" spans="2:9" ht="20.25" hidden="1" customHeight="1" x14ac:dyDescent="0.25">
      <c r="B770" s="1046"/>
      <c r="C770" s="124" t="s">
        <v>2344</v>
      </c>
      <c r="D770" s="179">
        <f>D771</f>
        <v>260000000</v>
      </c>
      <c r="E770" s="179">
        <f>E771</f>
        <v>260000000</v>
      </c>
      <c r="F770" s="179"/>
      <c r="G770" s="68">
        <f>E770/D770*100</f>
        <v>100</v>
      </c>
      <c r="H770" s="1521">
        <v>100</v>
      </c>
      <c r="I770" s="1106"/>
    </row>
    <row r="771" spans="2:9" ht="19.5" hidden="1" customHeight="1" x14ac:dyDescent="0.25">
      <c r="B771" s="1037"/>
      <c r="C771" s="115" t="s">
        <v>2345</v>
      </c>
      <c r="D771" s="209">
        <f>D772</f>
        <v>260000000</v>
      </c>
      <c r="E771" s="209">
        <f>E772</f>
        <v>260000000</v>
      </c>
      <c r="F771" s="209"/>
      <c r="G771" s="2210">
        <f>E771/D771*100</f>
        <v>100</v>
      </c>
      <c r="H771" s="1493">
        <v>100</v>
      </c>
      <c r="I771" s="1106"/>
    </row>
    <row r="772" spans="2:9" ht="18.75" hidden="1" customHeight="1" x14ac:dyDescent="0.25">
      <c r="B772" s="1037"/>
      <c r="C772" s="82" t="s">
        <v>2347</v>
      </c>
      <c r="D772" s="73">
        <v>260000000</v>
      </c>
      <c r="E772" s="73">
        <v>260000000</v>
      </c>
      <c r="F772" s="73"/>
      <c r="G772" s="189">
        <f>E772/D772*100</f>
        <v>100</v>
      </c>
      <c r="H772" s="1110">
        <v>100</v>
      </c>
      <c r="I772" s="1106"/>
    </row>
    <row r="773" spans="2:9" ht="12" hidden="1" customHeight="1" x14ac:dyDescent="0.25">
      <c r="B773" s="1037"/>
      <c r="C773" s="64"/>
      <c r="D773" s="215"/>
      <c r="E773" s="215"/>
      <c r="F773" s="215"/>
      <c r="G773" s="245"/>
      <c r="H773" s="1494"/>
      <c r="I773" s="1106"/>
    </row>
    <row r="774" spans="2:9" ht="21" hidden="1" customHeight="1" x14ac:dyDescent="0.25">
      <c r="B774" s="1046"/>
      <c r="C774" s="208" t="s">
        <v>2400</v>
      </c>
      <c r="D774" s="987">
        <f>D775</f>
        <v>700000000</v>
      </c>
      <c r="E774" s="987">
        <f>E775</f>
        <v>297605200</v>
      </c>
      <c r="F774" s="987"/>
      <c r="G774" s="68">
        <f>E774/D774*100</f>
        <v>42.515028571428573</v>
      </c>
      <c r="H774" s="1521">
        <f>H775</f>
        <v>50</v>
      </c>
      <c r="I774" s="1106"/>
    </row>
    <row r="775" spans="2:9" ht="20.25" hidden="1" customHeight="1" x14ac:dyDescent="0.25">
      <c r="B775" s="1037"/>
      <c r="C775" s="195" t="s">
        <v>2401</v>
      </c>
      <c r="D775" s="190">
        <f>SUM(D776:D777)</f>
        <v>700000000</v>
      </c>
      <c r="E775" s="190">
        <f>SUM(E776:E777)</f>
        <v>297605200</v>
      </c>
      <c r="F775" s="190"/>
      <c r="G775" s="2210">
        <f>E775/D775*100</f>
        <v>42.515028571428573</v>
      </c>
      <c r="H775" s="1493">
        <f>SUM(H776:H777)/2</f>
        <v>50</v>
      </c>
      <c r="I775" s="1106"/>
    </row>
    <row r="776" spans="2:9" ht="18" hidden="1" customHeight="1" x14ac:dyDescent="0.25">
      <c r="B776" s="1037"/>
      <c r="C776" s="64" t="s">
        <v>2403</v>
      </c>
      <c r="D776" s="73">
        <v>400000000</v>
      </c>
      <c r="E776" s="252">
        <v>0</v>
      </c>
      <c r="F776" s="252"/>
      <c r="G776" s="189">
        <f>E776/D776*100</f>
        <v>0</v>
      </c>
      <c r="H776" s="252">
        <v>0</v>
      </c>
      <c r="I776" s="1106"/>
    </row>
    <row r="777" spans="2:9" ht="20.25" hidden="1" customHeight="1" x14ac:dyDescent="0.25">
      <c r="B777" s="1037"/>
      <c r="C777" s="61" t="s">
        <v>2406</v>
      </c>
      <c r="D777" s="73">
        <v>300000000</v>
      </c>
      <c r="E777" s="73">
        <v>297605200</v>
      </c>
      <c r="F777" s="73"/>
      <c r="G777" s="250">
        <f t="shared" ref="G777" si="50">E777/D777*100</f>
        <v>99.201733333333337</v>
      </c>
      <c r="H777" s="252">
        <v>100</v>
      </c>
      <c r="I777" s="1106"/>
    </row>
    <row r="778" spans="2:9" ht="12" hidden="1" customHeight="1" x14ac:dyDescent="0.25">
      <c r="B778" s="1037"/>
      <c r="C778" s="64"/>
      <c r="D778" s="199"/>
      <c r="E778" s="199"/>
      <c r="F778" s="199"/>
      <c r="G778" s="978"/>
      <c r="H778" s="1121"/>
      <c r="I778" s="1106"/>
    </row>
    <row r="779" spans="2:9" ht="20.25" hidden="1" customHeight="1" x14ac:dyDescent="0.25">
      <c r="B779" s="1046"/>
      <c r="C779" s="208" t="s">
        <v>2430</v>
      </c>
      <c r="D779" s="179">
        <f>D780+D791+D797</f>
        <v>12780000000</v>
      </c>
      <c r="E779" s="179">
        <f>E780+E791+E797</f>
        <v>12398593556</v>
      </c>
      <c r="F779" s="179"/>
      <c r="G779" s="68">
        <f>E779/D779*100</f>
        <v>97.015599029733963</v>
      </c>
      <c r="H779" s="1521">
        <f>SUM(H780+H791+H797)/3</f>
        <v>100</v>
      </c>
      <c r="I779" s="1106"/>
    </row>
    <row r="780" spans="2:9" ht="22.5" hidden="1" customHeight="1" x14ac:dyDescent="0.25">
      <c r="B780" s="1037"/>
      <c r="C780" s="63" t="s">
        <v>2438</v>
      </c>
      <c r="D780" s="157">
        <f>SUM(D781:D789)</f>
        <v>9780000000</v>
      </c>
      <c r="E780" s="157">
        <f>SUM(E781:E789)</f>
        <v>9407650305</v>
      </c>
      <c r="F780" s="209"/>
      <c r="G780" s="2210">
        <f>E780/D780*100</f>
        <v>96.192743404907972</v>
      </c>
      <c r="H780" s="267">
        <f>SUM(H781:H789)/9</f>
        <v>100</v>
      </c>
      <c r="I780" s="1106"/>
    </row>
    <row r="781" spans="2:9" ht="18" hidden="1" customHeight="1" x14ac:dyDescent="0.25">
      <c r="B781" s="1037"/>
      <c r="C781" s="61" t="s">
        <v>2439</v>
      </c>
      <c r="D781" s="73">
        <v>1100000000</v>
      </c>
      <c r="E781" s="252">
        <v>1070000000</v>
      </c>
      <c r="F781" s="252"/>
      <c r="G781" s="250">
        <f t="shared" ref="G781:G789" si="51">E781/D781*100</f>
        <v>97.27272727272728</v>
      </c>
      <c r="H781" s="252">
        <v>100</v>
      </c>
      <c r="I781" s="1106"/>
    </row>
    <row r="782" spans="2:9" ht="17.25" hidden="1" customHeight="1" x14ac:dyDescent="0.25">
      <c r="B782" s="1037"/>
      <c r="C782" s="61" t="s">
        <v>2440</v>
      </c>
      <c r="D782" s="73">
        <v>1200000000</v>
      </c>
      <c r="E782" s="73">
        <v>1170135200</v>
      </c>
      <c r="F782" s="73"/>
      <c r="G782" s="250">
        <f t="shared" si="51"/>
        <v>97.511266666666657</v>
      </c>
      <c r="H782" s="252">
        <v>100</v>
      </c>
      <c r="I782" s="1106"/>
    </row>
    <row r="783" spans="2:9" ht="17.25" hidden="1" customHeight="1" x14ac:dyDescent="0.25">
      <c r="B783" s="1037"/>
      <c r="C783" s="61" t="s">
        <v>2441</v>
      </c>
      <c r="D783" s="73">
        <v>1000000000</v>
      </c>
      <c r="E783" s="73">
        <v>992000000</v>
      </c>
      <c r="F783" s="73"/>
      <c r="G783" s="250">
        <f t="shared" si="51"/>
        <v>99.2</v>
      </c>
      <c r="H783" s="252">
        <v>100</v>
      </c>
      <c r="I783" s="1106"/>
    </row>
    <row r="784" spans="2:9" ht="17.25" hidden="1" customHeight="1" x14ac:dyDescent="0.25">
      <c r="B784" s="1037"/>
      <c r="C784" s="61" t="s">
        <v>2442</v>
      </c>
      <c r="D784" s="73">
        <v>1200000000</v>
      </c>
      <c r="E784" s="73">
        <v>1115020000</v>
      </c>
      <c r="F784" s="73"/>
      <c r="G784" s="250">
        <f t="shared" si="51"/>
        <v>92.918333333333337</v>
      </c>
      <c r="H784" s="252">
        <v>100</v>
      </c>
      <c r="I784" s="1106"/>
    </row>
    <row r="785" spans="2:9" ht="17.25" hidden="1" customHeight="1" x14ac:dyDescent="0.25">
      <c r="B785" s="1037"/>
      <c r="C785" s="61" t="s">
        <v>2443</v>
      </c>
      <c r="D785" s="73">
        <v>1400000000</v>
      </c>
      <c r="E785" s="73">
        <v>1301679000</v>
      </c>
      <c r="F785" s="73"/>
      <c r="G785" s="250">
        <f t="shared" si="51"/>
        <v>92.977071428571435</v>
      </c>
      <c r="H785" s="252">
        <v>100</v>
      </c>
      <c r="I785" s="1106"/>
    </row>
    <row r="786" spans="2:9" ht="17.25" hidden="1" customHeight="1" x14ac:dyDescent="0.25">
      <c r="B786" s="1037"/>
      <c r="C786" s="61" t="s">
        <v>2444</v>
      </c>
      <c r="D786" s="73">
        <v>1200000000</v>
      </c>
      <c r="E786" s="73">
        <v>1119976105</v>
      </c>
      <c r="F786" s="73"/>
      <c r="G786" s="250">
        <f t="shared" si="51"/>
        <v>93.33134208333334</v>
      </c>
      <c r="H786" s="252">
        <v>100</v>
      </c>
      <c r="I786" s="1106"/>
    </row>
    <row r="787" spans="2:9" ht="17.25" hidden="1" customHeight="1" x14ac:dyDescent="0.25">
      <c r="B787" s="1037"/>
      <c r="C787" s="61" t="s">
        <v>2445</v>
      </c>
      <c r="D787" s="73">
        <v>880000000</v>
      </c>
      <c r="E787" s="73">
        <v>875000000</v>
      </c>
      <c r="F787" s="73"/>
      <c r="G787" s="250">
        <f t="shared" si="51"/>
        <v>99.431818181818173</v>
      </c>
      <c r="H787" s="252">
        <v>100</v>
      </c>
      <c r="I787" s="1106"/>
    </row>
    <row r="788" spans="2:9" ht="20.25" hidden="1" customHeight="1" x14ac:dyDescent="0.25">
      <c r="B788" s="1037"/>
      <c r="C788" s="61" t="s">
        <v>2446</v>
      </c>
      <c r="D788" s="73">
        <v>600000000</v>
      </c>
      <c r="E788" s="252">
        <v>599940000</v>
      </c>
      <c r="F788" s="252"/>
      <c r="G788" s="250">
        <f t="shared" si="51"/>
        <v>99.99</v>
      </c>
      <c r="H788" s="252">
        <v>100</v>
      </c>
      <c r="I788" s="1106"/>
    </row>
    <row r="789" spans="2:9" ht="20.25" hidden="1" customHeight="1" x14ac:dyDescent="0.25">
      <c r="B789" s="1037"/>
      <c r="C789" s="61" t="s">
        <v>2447</v>
      </c>
      <c r="D789" s="73">
        <v>1200000000</v>
      </c>
      <c r="E789" s="73">
        <v>1163900000</v>
      </c>
      <c r="F789" s="73"/>
      <c r="G789" s="250">
        <f t="shared" si="51"/>
        <v>96.99166666666666</v>
      </c>
      <c r="H789" s="252">
        <v>100</v>
      </c>
      <c r="I789" s="1106"/>
    </row>
    <row r="790" spans="2:9" ht="9" hidden="1" customHeight="1" x14ac:dyDescent="0.25">
      <c r="B790" s="1037"/>
      <c r="C790" s="64"/>
      <c r="D790" s="197"/>
      <c r="E790" s="197"/>
      <c r="F790" s="197"/>
      <c r="G790" s="189"/>
      <c r="H790" s="1105"/>
      <c r="I790" s="1106"/>
    </row>
    <row r="791" spans="2:9" ht="21.75" hidden="1" customHeight="1" x14ac:dyDescent="0.25">
      <c r="B791" s="1037"/>
      <c r="C791" s="63" t="s">
        <v>2448</v>
      </c>
      <c r="D791" s="157">
        <f>SUM(D792:D795)</f>
        <v>2500000000</v>
      </c>
      <c r="E791" s="157">
        <f>SUM(E792:E795)</f>
        <v>2495943251</v>
      </c>
      <c r="F791" s="157"/>
      <c r="G791" s="371">
        <f>E791/D791*100</f>
        <v>99.837730039999997</v>
      </c>
      <c r="H791" s="267">
        <f>SUM(H792:H795)/4</f>
        <v>100</v>
      </c>
      <c r="I791" s="1106"/>
    </row>
    <row r="792" spans="2:9" ht="17.25" hidden="1" customHeight="1" x14ac:dyDescent="0.25">
      <c r="B792" s="1037"/>
      <c r="C792" s="61" t="s">
        <v>2449</v>
      </c>
      <c r="D792" s="73">
        <v>500000000</v>
      </c>
      <c r="E792" s="73">
        <v>500000000</v>
      </c>
      <c r="F792" s="73"/>
      <c r="G792" s="250">
        <f t="shared" ref="G792:G795" si="52">E792/D792*100</f>
        <v>100</v>
      </c>
      <c r="H792" s="252">
        <v>100</v>
      </c>
      <c r="I792" s="1106"/>
    </row>
    <row r="793" spans="2:9" ht="18" hidden="1" customHeight="1" x14ac:dyDescent="0.25">
      <c r="B793" s="1037"/>
      <c r="C793" s="61" t="s">
        <v>2450</v>
      </c>
      <c r="D793" s="73">
        <v>500000000</v>
      </c>
      <c r="E793" s="73">
        <v>496154000</v>
      </c>
      <c r="F793" s="73"/>
      <c r="G793" s="250">
        <f t="shared" si="52"/>
        <v>99.230800000000002</v>
      </c>
      <c r="H793" s="252">
        <v>100</v>
      </c>
      <c r="I793" s="1106"/>
    </row>
    <row r="794" spans="2:9" ht="18.75" hidden="1" customHeight="1" x14ac:dyDescent="0.25">
      <c r="B794" s="1037"/>
      <c r="C794" s="61" t="s">
        <v>2451</v>
      </c>
      <c r="D794" s="73">
        <v>1000000000</v>
      </c>
      <c r="E794" s="73">
        <v>999789251</v>
      </c>
      <c r="F794" s="73"/>
      <c r="G794" s="250">
        <f t="shared" si="52"/>
        <v>99.978925099999998</v>
      </c>
      <c r="H794" s="252">
        <v>100</v>
      </c>
      <c r="I794" s="1106"/>
    </row>
    <row r="795" spans="2:9" ht="17.25" hidden="1" customHeight="1" x14ac:dyDescent="0.25">
      <c r="B795" s="1037"/>
      <c r="C795" s="61" t="s">
        <v>2452</v>
      </c>
      <c r="D795" s="73">
        <v>500000000</v>
      </c>
      <c r="E795" s="73">
        <v>500000000</v>
      </c>
      <c r="F795" s="73"/>
      <c r="G795" s="250">
        <f t="shared" si="52"/>
        <v>100</v>
      </c>
      <c r="H795" s="252">
        <v>100</v>
      </c>
      <c r="I795" s="1106"/>
    </row>
    <row r="796" spans="2:9" ht="9.75" hidden="1" customHeight="1" x14ac:dyDescent="0.25">
      <c r="B796" s="1037"/>
      <c r="C796" s="61"/>
      <c r="D796" s="197"/>
      <c r="E796" s="197"/>
      <c r="F796" s="197"/>
      <c r="G796" s="189"/>
      <c r="H796" s="1105"/>
      <c r="I796" s="1106"/>
    </row>
    <row r="797" spans="2:9" ht="19.5" hidden="1" customHeight="1" x14ac:dyDescent="0.25">
      <c r="B797" s="1037"/>
      <c r="C797" s="138" t="s">
        <v>2453</v>
      </c>
      <c r="D797" s="157">
        <f>D798</f>
        <v>500000000</v>
      </c>
      <c r="E797" s="157">
        <f>E798</f>
        <v>495000000</v>
      </c>
      <c r="F797" s="157"/>
      <c r="G797" s="371">
        <f>E797/D797*100</f>
        <v>99</v>
      </c>
      <c r="H797" s="267">
        <f>H798</f>
        <v>100</v>
      </c>
      <c r="I797" s="1106"/>
    </row>
    <row r="798" spans="2:9" ht="18.75" hidden="1" customHeight="1" x14ac:dyDescent="0.25">
      <c r="B798" s="1037"/>
      <c r="C798" s="61" t="s">
        <v>2454</v>
      </c>
      <c r="D798" s="73">
        <v>500000000</v>
      </c>
      <c r="E798" s="252">
        <v>495000000</v>
      </c>
      <c r="F798" s="252"/>
      <c r="G798" s="173">
        <f>SUM(E798/D798)*100</f>
        <v>99</v>
      </c>
      <c r="H798" s="252">
        <v>100</v>
      </c>
      <c r="I798" s="1106"/>
    </row>
    <row r="799" spans="2:9" ht="12" hidden="1" customHeight="1" x14ac:dyDescent="0.25">
      <c r="B799" s="1037"/>
      <c r="C799" s="64"/>
      <c r="D799" s="215"/>
      <c r="E799" s="215"/>
      <c r="F799" s="215"/>
      <c r="G799" s="245"/>
      <c r="H799" s="1494"/>
      <c r="I799" s="1106"/>
    </row>
    <row r="800" spans="2:9" ht="21" hidden="1" customHeight="1" x14ac:dyDescent="0.25">
      <c r="B800" s="1046"/>
      <c r="C800" s="56" t="s">
        <v>2472</v>
      </c>
      <c r="D800" s="179">
        <f>D801</f>
        <v>3000000000</v>
      </c>
      <c r="E800" s="179">
        <f>E801</f>
        <v>500000000</v>
      </c>
      <c r="F800" s="179"/>
      <c r="G800" s="68">
        <f>E800/D800*100</f>
        <v>16.666666666666664</v>
      </c>
      <c r="H800" s="1521">
        <f>H801</f>
        <v>17</v>
      </c>
      <c r="I800" s="1106"/>
    </row>
    <row r="801" spans="1:12" ht="21.75" hidden="1" customHeight="1" x14ac:dyDescent="0.25">
      <c r="B801" s="1037"/>
      <c r="C801" s="59" t="s">
        <v>2475</v>
      </c>
      <c r="D801" s="193">
        <f>D802</f>
        <v>3000000000</v>
      </c>
      <c r="E801" s="209">
        <f>E802</f>
        <v>500000000</v>
      </c>
      <c r="F801" s="209"/>
      <c r="G801" s="2210">
        <f>E801/D801*100</f>
        <v>16.666666666666664</v>
      </c>
      <c r="H801" s="1493">
        <f>H802</f>
        <v>17</v>
      </c>
      <c r="I801" s="1106"/>
    </row>
    <row r="802" spans="1:12" ht="17.25" hidden="1" customHeight="1" x14ac:dyDescent="0.25">
      <c r="B802" s="1037"/>
      <c r="C802" s="61" t="s">
        <v>2476</v>
      </c>
      <c r="D802" s="73">
        <v>3000000000</v>
      </c>
      <c r="E802" s="252">
        <v>500000000</v>
      </c>
      <c r="F802" s="252"/>
      <c r="G802" s="344">
        <f>E802/D802*100</f>
        <v>16.666666666666664</v>
      </c>
      <c r="H802" s="252">
        <v>17</v>
      </c>
      <c r="I802" s="1106"/>
    </row>
    <row r="803" spans="1:12" ht="19.5" hidden="1" customHeight="1" x14ac:dyDescent="0.25">
      <c r="B803" s="1037"/>
      <c r="C803" s="2356"/>
      <c r="D803" s="215"/>
      <c r="E803" s="215"/>
      <c r="F803" s="215"/>
      <c r="G803" s="191"/>
      <c r="H803" s="1494"/>
      <c r="I803" s="1106"/>
    </row>
    <row r="804" spans="1:12" s="76" customFormat="1" ht="18.75" customHeight="1" x14ac:dyDescent="0.25">
      <c r="A804" s="425"/>
      <c r="B804" s="2294"/>
      <c r="C804" s="422" t="s">
        <v>2481</v>
      </c>
      <c r="D804" s="2329">
        <f>SUM(D806+D901+D897)</f>
        <v>23020754250</v>
      </c>
      <c r="E804" s="2329">
        <f>SUM(E806+E901+E897)</f>
        <v>21485557280</v>
      </c>
      <c r="F804" s="50">
        <f>D804-E804</f>
        <v>1535196970</v>
      </c>
      <c r="G804" s="2329">
        <f>E804/D804*100</f>
        <v>93.331248171419062</v>
      </c>
      <c r="H804" s="2366">
        <f>SUM(H806+H897+H901)/2</f>
        <v>96.862535612535609</v>
      </c>
      <c r="I804" s="1509"/>
      <c r="J804" s="121"/>
      <c r="K804" s="122"/>
      <c r="L804" s="77"/>
    </row>
    <row r="805" spans="1:12" ht="8.25" hidden="1" customHeight="1" x14ac:dyDescent="0.25">
      <c r="B805" s="1033"/>
      <c r="C805" s="174"/>
      <c r="D805" s="239"/>
      <c r="E805" s="133"/>
      <c r="F805" s="239"/>
      <c r="G805" s="239"/>
      <c r="H805" s="1131"/>
      <c r="I805" s="1106"/>
    </row>
    <row r="806" spans="1:12" ht="18.75" hidden="1" customHeight="1" x14ac:dyDescent="0.25">
      <c r="B806" s="1046"/>
      <c r="C806" s="192" t="s">
        <v>398</v>
      </c>
      <c r="D806" s="57">
        <f>SUM(D808+D814+D830+D849+D857+D877+D885+D889+D893)</f>
        <v>22693954250</v>
      </c>
      <c r="E806" s="57">
        <f>SUM(E808+E814+E830+E849+E857+E877+E885+E889+E893)</f>
        <v>21158757280</v>
      </c>
      <c r="F806" s="57"/>
      <c r="G806" s="131">
        <f>E806/D806*100</f>
        <v>93.235216070817629</v>
      </c>
      <c r="H806" s="131">
        <f>SUM(H808+H814+H830+H849+H857+H877+H886+H890+H894)/9</f>
        <v>93.725071225071218</v>
      </c>
      <c r="I806" s="1106"/>
    </row>
    <row r="807" spans="1:12" ht="18.75" hidden="1" customHeight="1" x14ac:dyDescent="0.25">
      <c r="B807" s="1037"/>
      <c r="C807" s="4919"/>
      <c r="D807" s="2099"/>
      <c r="E807" s="2099"/>
      <c r="F807" s="54"/>
      <c r="G807" s="233"/>
      <c r="H807" s="4920"/>
      <c r="I807" s="1106"/>
    </row>
    <row r="808" spans="1:12" ht="19.5" hidden="1" customHeight="1" x14ac:dyDescent="0.25">
      <c r="A808" s="2"/>
      <c r="B808" s="1024"/>
      <c r="C808" s="195" t="s">
        <v>91</v>
      </c>
      <c r="D808" s="193">
        <f>SUM(D809:D812)</f>
        <v>315892150</v>
      </c>
      <c r="E808" s="193">
        <f>SUM(E809:E812)</f>
        <v>315892150</v>
      </c>
      <c r="F808" s="72"/>
      <c r="G808" s="255">
        <f>E808/D808*100</f>
        <v>100</v>
      </c>
      <c r="H808" s="185">
        <f>SUM(H809:H812)/3</f>
        <v>100</v>
      </c>
      <c r="I808" s="1991"/>
      <c r="K808" s="536"/>
      <c r="L808" s="536"/>
    </row>
    <row r="809" spans="1:12" ht="19.5" hidden="1" customHeight="1" x14ac:dyDescent="0.25">
      <c r="A809" s="2"/>
      <c r="B809" s="1024"/>
      <c r="C809" s="132" t="s">
        <v>2547</v>
      </c>
      <c r="D809" s="206">
        <v>109038700</v>
      </c>
      <c r="E809" s="936">
        <v>109038700</v>
      </c>
      <c r="F809" s="936"/>
      <c r="G809" s="256">
        <f>E809/D809*100</f>
        <v>100</v>
      </c>
      <c r="H809" s="140">
        <v>100</v>
      </c>
      <c r="I809" s="1991"/>
      <c r="K809" s="536"/>
      <c r="L809" s="536"/>
    </row>
    <row r="810" spans="1:12" ht="19.5" hidden="1" customHeight="1" x14ac:dyDescent="0.25">
      <c r="A810" s="2"/>
      <c r="B810" s="1024"/>
      <c r="C810" s="177" t="s">
        <v>2548</v>
      </c>
      <c r="D810" s="245">
        <v>100814750</v>
      </c>
      <c r="E810" s="154">
        <v>100814750</v>
      </c>
      <c r="F810" s="154"/>
      <c r="G810" s="256">
        <f t="shared" ref="G810:G812" si="53">E810/D810*100</f>
        <v>100</v>
      </c>
      <c r="H810" s="154">
        <v>100</v>
      </c>
      <c r="I810" s="1991"/>
      <c r="K810" s="536"/>
      <c r="L810" s="536"/>
    </row>
    <row r="811" spans="1:12" ht="19.5" hidden="1" customHeight="1" x14ac:dyDescent="0.25">
      <c r="A811" s="2"/>
      <c r="B811" s="1024"/>
      <c r="C811" s="168" t="s">
        <v>2549</v>
      </c>
      <c r="D811" s="169" t="s">
        <v>3317</v>
      </c>
      <c r="E811" s="169" t="s">
        <v>3317</v>
      </c>
      <c r="F811" s="169"/>
      <c r="G811" s="169" t="s">
        <v>3317</v>
      </c>
      <c r="H811" s="169" t="s">
        <v>3317</v>
      </c>
      <c r="I811" s="1991"/>
      <c r="K811" s="536"/>
      <c r="L811" s="536"/>
    </row>
    <row r="812" spans="1:12" ht="19.5" hidden="1" customHeight="1" x14ac:dyDescent="0.25">
      <c r="A812" s="2"/>
      <c r="B812" s="1024"/>
      <c r="C812" s="168" t="s">
        <v>2550</v>
      </c>
      <c r="D812" s="189">
        <v>106038700</v>
      </c>
      <c r="E812" s="169">
        <v>106038700</v>
      </c>
      <c r="F812" s="169"/>
      <c r="G812" s="256">
        <f t="shared" si="53"/>
        <v>100</v>
      </c>
      <c r="H812" s="140">
        <v>100</v>
      </c>
      <c r="I812" s="1991"/>
      <c r="K812" s="536"/>
      <c r="L812" s="536"/>
    </row>
    <row r="813" spans="1:12" ht="15" hidden="1" customHeight="1" x14ac:dyDescent="0.25">
      <c r="A813" s="2"/>
      <c r="B813" s="1024"/>
      <c r="C813" s="177"/>
      <c r="D813" s="245"/>
      <c r="E813" s="986"/>
      <c r="F813" s="4953"/>
      <c r="G813" s="239"/>
      <c r="H813" s="239"/>
      <c r="I813" s="1991"/>
      <c r="K813" s="536"/>
      <c r="L813" s="536"/>
    </row>
    <row r="814" spans="1:12" ht="19.5" hidden="1" customHeight="1" x14ac:dyDescent="0.25">
      <c r="A814" s="2"/>
      <c r="B814" s="1024"/>
      <c r="C814" s="138" t="s">
        <v>93</v>
      </c>
      <c r="D814" s="157">
        <f>SUM(D815:D828)</f>
        <v>6136792100</v>
      </c>
      <c r="E814" s="157">
        <f>SUM(E815:E828)</f>
        <v>5358892050</v>
      </c>
      <c r="F814" s="157"/>
      <c r="G814" s="255">
        <f>E814/D814*100</f>
        <v>87.323995381886903</v>
      </c>
      <c r="H814" s="142">
        <f>SUM(H815:H828)/13</f>
        <v>77.692307692307693</v>
      </c>
      <c r="I814" s="1991"/>
      <c r="K814" s="536"/>
      <c r="L814" s="536"/>
    </row>
    <row r="815" spans="1:12" ht="19.5" hidden="1" customHeight="1" x14ac:dyDescent="0.25">
      <c r="A815" s="2"/>
      <c r="B815" s="1024"/>
      <c r="C815" s="132" t="s">
        <v>2551</v>
      </c>
      <c r="D815" s="206">
        <v>225000000</v>
      </c>
      <c r="E815" s="893">
        <v>225000000</v>
      </c>
      <c r="F815" s="893"/>
      <c r="G815" s="256">
        <f>E815/D815*100</f>
        <v>100</v>
      </c>
      <c r="H815" s="893">
        <v>100</v>
      </c>
      <c r="I815" s="1991"/>
      <c r="K815" s="536"/>
      <c r="L815" s="536"/>
    </row>
    <row r="816" spans="1:12" ht="19.5" hidden="1" customHeight="1" x14ac:dyDescent="0.25">
      <c r="A816" s="2"/>
      <c r="B816" s="1024"/>
      <c r="C816" s="132" t="s">
        <v>2552</v>
      </c>
      <c r="D816" s="936">
        <v>0</v>
      </c>
      <c r="E816" s="936">
        <v>0</v>
      </c>
      <c r="F816" s="936"/>
      <c r="G816" s="936">
        <v>0</v>
      </c>
      <c r="H816" s="936">
        <v>0</v>
      </c>
      <c r="I816" s="1991"/>
      <c r="K816" s="536"/>
      <c r="L816" s="536"/>
    </row>
    <row r="817" spans="1:12" ht="19.5" hidden="1" customHeight="1" x14ac:dyDescent="0.25">
      <c r="A817" s="2"/>
      <c r="B817" s="1024"/>
      <c r="C817" s="132" t="s">
        <v>2553</v>
      </c>
      <c r="D817" s="206">
        <v>125000000</v>
      </c>
      <c r="E817" s="893">
        <v>125000000</v>
      </c>
      <c r="F817" s="893"/>
      <c r="G817" s="256">
        <f>E817/D817*100</f>
        <v>100</v>
      </c>
      <c r="H817" s="893">
        <v>100</v>
      </c>
      <c r="I817" s="1991"/>
      <c r="K817" s="536"/>
      <c r="L817" s="536"/>
    </row>
    <row r="818" spans="1:12" ht="19.5" hidden="1" customHeight="1" x14ac:dyDescent="0.25">
      <c r="A818" s="2"/>
      <c r="B818" s="1024"/>
      <c r="C818" s="132" t="s">
        <v>2554</v>
      </c>
      <c r="D818" s="206">
        <v>100000000</v>
      </c>
      <c r="E818" s="256">
        <v>99999950</v>
      </c>
      <c r="F818" s="256"/>
      <c r="G818" s="256">
        <f>E818/D818*100</f>
        <v>99.999949999999998</v>
      </c>
      <c r="H818" s="140">
        <v>100</v>
      </c>
      <c r="I818" s="1991"/>
      <c r="K818" s="536"/>
      <c r="L818" s="536"/>
    </row>
    <row r="819" spans="1:12" ht="19.5" hidden="1" customHeight="1" x14ac:dyDescent="0.25">
      <c r="A819" s="2"/>
      <c r="B819" s="1024"/>
      <c r="C819" s="132" t="s">
        <v>2555</v>
      </c>
      <c r="D819" s="206">
        <v>1150000000</v>
      </c>
      <c r="E819" s="256">
        <v>1150000000</v>
      </c>
      <c r="F819" s="256"/>
      <c r="G819" s="256">
        <f t="shared" ref="G819:G826" si="54">E819/D819*100</f>
        <v>100</v>
      </c>
      <c r="H819" s="140">
        <v>100</v>
      </c>
      <c r="I819" s="1991"/>
      <c r="K819" s="536"/>
      <c r="L819" s="536"/>
    </row>
    <row r="820" spans="1:12" ht="19.5" hidden="1" customHeight="1" x14ac:dyDescent="0.25">
      <c r="A820" s="2"/>
      <c r="B820" s="1024"/>
      <c r="C820" s="132" t="s">
        <v>2556</v>
      </c>
      <c r="D820" s="206">
        <v>300000000</v>
      </c>
      <c r="E820" s="256">
        <v>97650000</v>
      </c>
      <c r="F820" s="256"/>
      <c r="G820" s="256">
        <f>E820/D820*100</f>
        <v>32.550000000000004</v>
      </c>
      <c r="H820" s="140">
        <v>25</v>
      </c>
      <c r="I820" s="1991"/>
      <c r="K820" s="536"/>
      <c r="L820" s="536"/>
    </row>
    <row r="821" spans="1:12" ht="19.5" hidden="1" customHeight="1" x14ac:dyDescent="0.25">
      <c r="A821" s="2"/>
      <c r="B821" s="1024"/>
      <c r="C821" s="132" t="s">
        <v>2557</v>
      </c>
      <c r="D821" s="206">
        <v>1302230000</v>
      </c>
      <c r="E821" s="256">
        <v>1302230000</v>
      </c>
      <c r="F821" s="256"/>
      <c r="G821" s="256">
        <f t="shared" si="54"/>
        <v>100</v>
      </c>
      <c r="H821" s="140">
        <v>25</v>
      </c>
      <c r="I821" s="1991"/>
      <c r="K821" s="536"/>
      <c r="L821" s="536"/>
    </row>
    <row r="822" spans="1:12" ht="19.5" hidden="1" customHeight="1" x14ac:dyDescent="0.25">
      <c r="A822" s="2"/>
      <c r="B822" s="1024"/>
      <c r="C822" s="132" t="s">
        <v>2558</v>
      </c>
      <c r="D822" s="206">
        <v>200000000</v>
      </c>
      <c r="E822" s="256">
        <v>200000000</v>
      </c>
      <c r="F822" s="256"/>
      <c r="G822" s="256">
        <f t="shared" si="54"/>
        <v>100</v>
      </c>
      <c r="H822" s="140">
        <v>100</v>
      </c>
      <c r="I822" s="1991"/>
      <c r="K822" s="536"/>
      <c r="L822" s="536"/>
    </row>
    <row r="823" spans="1:12" ht="19.5" hidden="1" customHeight="1" x14ac:dyDescent="0.25">
      <c r="A823" s="2"/>
      <c r="B823" s="1024"/>
      <c r="C823" s="132" t="s">
        <v>2559</v>
      </c>
      <c r="D823" s="206">
        <v>180300000</v>
      </c>
      <c r="E823" s="206">
        <v>180300000</v>
      </c>
      <c r="F823" s="206"/>
      <c r="G823" s="256">
        <f t="shared" si="54"/>
        <v>100</v>
      </c>
      <c r="H823" s="206">
        <v>100</v>
      </c>
      <c r="I823" s="1991"/>
      <c r="K823" s="536"/>
      <c r="L823" s="536"/>
    </row>
    <row r="824" spans="1:12" ht="19.5" hidden="1" customHeight="1" x14ac:dyDescent="0.25">
      <c r="A824" s="2"/>
      <c r="B824" s="1024"/>
      <c r="C824" s="132" t="s">
        <v>2560</v>
      </c>
      <c r="D824" s="206">
        <v>140820000</v>
      </c>
      <c r="E824" s="206">
        <v>140820000</v>
      </c>
      <c r="F824" s="206"/>
      <c r="G824" s="256">
        <f t="shared" si="54"/>
        <v>100</v>
      </c>
      <c r="H824" s="206">
        <v>100</v>
      </c>
      <c r="I824" s="1991"/>
      <c r="K824" s="536"/>
      <c r="L824" s="536"/>
    </row>
    <row r="825" spans="1:12" ht="19.5" hidden="1" customHeight="1" x14ac:dyDescent="0.25">
      <c r="A825" s="2"/>
      <c r="B825" s="1024"/>
      <c r="C825" s="132" t="s">
        <v>2561</v>
      </c>
      <c r="D825" s="206">
        <v>355742100</v>
      </c>
      <c r="E825" s="206">
        <v>123742100</v>
      </c>
      <c r="F825" s="206"/>
      <c r="G825" s="256">
        <f t="shared" si="54"/>
        <v>34.784215868743111</v>
      </c>
      <c r="H825" s="206">
        <v>30</v>
      </c>
      <c r="I825" s="1991"/>
      <c r="K825" s="536"/>
      <c r="L825" s="536"/>
    </row>
    <row r="826" spans="1:12" ht="19.5" hidden="1" customHeight="1" x14ac:dyDescent="0.25">
      <c r="A826" s="2"/>
      <c r="B826" s="1024"/>
      <c r="C826" s="132" t="s">
        <v>2562</v>
      </c>
      <c r="D826" s="206">
        <v>500000000</v>
      </c>
      <c r="E826" s="206">
        <v>156450000</v>
      </c>
      <c r="F826" s="206"/>
      <c r="G826" s="256">
        <f t="shared" si="54"/>
        <v>31.290000000000003</v>
      </c>
      <c r="H826" s="206">
        <v>30</v>
      </c>
      <c r="I826" s="1991"/>
      <c r="K826" s="536"/>
      <c r="L826" s="536"/>
    </row>
    <row r="827" spans="1:12" ht="19.5" hidden="1" customHeight="1" x14ac:dyDescent="0.25">
      <c r="A827" s="2"/>
      <c r="B827" s="1024"/>
      <c r="C827" s="168" t="s">
        <v>2563</v>
      </c>
      <c r="D827" s="245">
        <v>143600000</v>
      </c>
      <c r="E827" s="984">
        <v>143600000</v>
      </c>
      <c r="F827" s="984"/>
      <c r="G827" s="256">
        <f>E827/D827*100</f>
        <v>100</v>
      </c>
      <c r="H827" s="140">
        <v>100</v>
      </c>
      <c r="I827" s="1991"/>
      <c r="K827" s="536"/>
      <c r="L827" s="536"/>
    </row>
    <row r="828" spans="1:12" ht="19.5" hidden="1" customHeight="1" x14ac:dyDescent="0.25">
      <c r="A828" s="2"/>
      <c r="B828" s="1024"/>
      <c r="C828" s="168" t="s">
        <v>2564</v>
      </c>
      <c r="D828" s="245">
        <v>1414100000</v>
      </c>
      <c r="E828" s="206">
        <v>1414100000</v>
      </c>
      <c r="F828" s="206"/>
      <c r="G828" s="256">
        <f>E828/D828*100</f>
        <v>100</v>
      </c>
      <c r="H828" s="206">
        <v>100</v>
      </c>
      <c r="I828" s="1991"/>
      <c r="K828" s="536"/>
      <c r="L828" s="536"/>
    </row>
    <row r="829" spans="1:12" ht="13.5" hidden="1" customHeight="1" x14ac:dyDescent="0.25">
      <c r="A829" s="2"/>
      <c r="B829" s="1993"/>
      <c r="C829" s="177"/>
      <c r="D829" s="245"/>
      <c r="E829" s="1477"/>
      <c r="F829" s="1477"/>
      <c r="G829" s="140"/>
      <c r="H829" s="140"/>
      <c r="I829" s="1991"/>
      <c r="K829" s="536"/>
      <c r="L829" s="536"/>
    </row>
    <row r="830" spans="1:12" ht="19.5" hidden="1" customHeight="1" x14ac:dyDescent="0.25">
      <c r="A830" s="2"/>
      <c r="B830" s="1024"/>
      <c r="C830" s="138" t="s">
        <v>2565</v>
      </c>
      <c r="D830" s="157">
        <f>SUM(D831:D847)</f>
        <v>3079120000</v>
      </c>
      <c r="E830" s="157">
        <f>SUM(E831:E847)</f>
        <v>3079086700</v>
      </c>
      <c r="F830" s="157"/>
      <c r="G830" s="255">
        <f>E830/D830*100</f>
        <v>99.99891852217516</v>
      </c>
      <c r="H830" s="142">
        <f>SUM(H831:H847)/14</f>
        <v>100</v>
      </c>
      <c r="I830" s="1991"/>
      <c r="K830" s="536"/>
      <c r="L830" s="536"/>
    </row>
    <row r="831" spans="1:12" ht="19.5" hidden="1" customHeight="1" x14ac:dyDescent="0.25">
      <c r="A831" s="2"/>
      <c r="B831" s="1024"/>
      <c r="C831" s="132" t="s">
        <v>2566</v>
      </c>
      <c r="D831" s="206">
        <v>550000000</v>
      </c>
      <c r="E831" s="368">
        <v>549966700</v>
      </c>
      <c r="F831" s="368"/>
      <c r="G831" s="256">
        <f>E831/D831*100</f>
        <v>99.993945454545454</v>
      </c>
      <c r="H831" s="140">
        <v>100</v>
      </c>
      <c r="I831" s="1991"/>
      <c r="K831" s="536"/>
      <c r="L831" s="536"/>
    </row>
    <row r="832" spans="1:12" ht="19.5" hidden="1" customHeight="1" x14ac:dyDescent="0.25">
      <c r="A832" s="2"/>
      <c r="B832" s="1024"/>
      <c r="C832" s="132" t="s">
        <v>2567</v>
      </c>
      <c r="D832" s="206">
        <v>50000000</v>
      </c>
      <c r="E832" s="368">
        <v>50000000</v>
      </c>
      <c r="F832" s="368"/>
      <c r="G832" s="256">
        <f t="shared" ref="G832:G833" si="55">E832/D832*100</f>
        <v>100</v>
      </c>
      <c r="H832" s="140">
        <v>100</v>
      </c>
      <c r="I832" s="1991"/>
      <c r="K832" s="536"/>
      <c r="L832" s="536"/>
    </row>
    <row r="833" spans="1:12" ht="19.5" hidden="1" customHeight="1" x14ac:dyDescent="0.25">
      <c r="A833" s="2"/>
      <c r="B833" s="1024"/>
      <c r="C833" s="132" t="s">
        <v>2568</v>
      </c>
      <c r="D833" s="206">
        <v>100000000</v>
      </c>
      <c r="E833" s="368">
        <v>100000000</v>
      </c>
      <c r="F833" s="368"/>
      <c r="G833" s="256">
        <f t="shared" si="55"/>
        <v>100</v>
      </c>
      <c r="H833" s="140">
        <v>100</v>
      </c>
      <c r="I833" s="1991"/>
      <c r="K833" s="536"/>
      <c r="L833" s="536"/>
    </row>
    <row r="834" spans="1:12" ht="19.5" hidden="1" customHeight="1" x14ac:dyDescent="0.25">
      <c r="A834" s="2"/>
      <c r="B834" s="1024"/>
      <c r="C834" s="132" t="s">
        <v>2569</v>
      </c>
      <c r="D834" s="73">
        <v>0</v>
      </c>
      <c r="E834" s="73">
        <v>0</v>
      </c>
      <c r="F834" s="73"/>
      <c r="G834" s="73">
        <v>0</v>
      </c>
      <c r="H834" s="73">
        <v>0</v>
      </c>
      <c r="I834" s="1991"/>
      <c r="K834" s="536"/>
      <c r="L834" s="536"/>
    </row>
    <row r="835" spans="1:12" ht="19.5" hidden="1" customHeight="1" x14ac:dyDescent="0.25">
      <c r="A835" s="2"/>
      <c r="B835" s="1024"/>
      <c r="C835" s="132" t="s">
        <v>3410</v>
      </c>
      <c r="D835" s="73">
        <v>0</v>
      </c>
      <c r="E835" s="73">
        <v>0</v>
      </c>
      <c r="F835" s="73"/>
      <c r="G835" s="73">
        <v>0</v>
      </c>
      <c r="H835" s="73">
        <v>0</v>
      </c>
      <c r="I835" s="1991"/>
      <c r="K835" s="536"/>
      <c r="L835" s="536"/>
    </row>
    <row r="836" spans="1:12" ht="19.5" hidden="1" customHeight="1" x14ac:dyDescent="0.25">
      <c r="A836" s="2"/>
      <c r="B836" s="1024"/>
      <c r="C836" s="132" t="s">
        <v>2570</v>
      </c>
      <c r="D836" s="206">
        <v>100000000</v>
      </c>
      <c r="E836" s="368">
        <v>100000000</v>
      </c>
      <c r="F836" s="368"/>
      <c r="G836" s="256">
        <f t="shared" ref="G836:G847" si="56">E836/D836*100</f>
        <v>100</v>
      </c>
      <c r="H836" s="368">
        <v>100</v>
      </c>
      <c r="I836" s="1991"/>
      <c r="K836" s="536"/>
      <c r="L836" s="536"/>
    </row>
    <row r="837" spans="1:12" ht="19.5" hidden="1" customHeight="1" x14ac:dyDescent="0.25">
      <c r="A837" s="2"/>
      <c r="B837" s="1024"/>
      <c r="C837" s="132" t="s">
        <v>2571</v>
      </c>
      <c r="D837" s="206">
        <v>100000000</v>
      </c>
      <c r="E837" s="368">
        <v>100000000</v>
      </c>
      <c r="F837" s="368"/>
      <c r="G837" s="256">
        <f t="shared" si="56"/>
        <v>100</v>
      </c>
      <c r="H837" s="368">
        <v>100</v>
      </c>
      <c r="I837" s="1991"/>
      <c r="K837" s="536"/>
      <c r="L837" s="536"/>
    </row>
    <row r="838" spans="1:12" ht="19.5" hidden="1" customHeight="1" x14ac:dyDescent="0.25">
      <c r="A838" s="2"/>
      <c r="B838" s="1024"/>
      <c r="C838" s="132" t="s">
        <v>2572</v>
      </c>
      <c r="D838" s="206">
        <v>100000000</v>
      </c>
      <c r="E838" s="368">
        <v>100000000</v>
      </c>
      <c r="F838" s="368"/>
      <c r="G838" s="256">
        <f t="shared" si="56"/>
        <v>100</v>
      </c>
      <c r="H838" s="368">
        <v>100</v>
      </c>
      <c r="I838" s="1991"/>
      <c r="K838" s="536"/>
      <c r="L838" s="536"/>
    </row>
    <row r="839" spans="1:12" ht="19.5" hidden="1" customHeight="1" x14ac:dyDescent="0.25">
      <c r="A839" s="2"/>
      <c r="B839" s="1024"/>
      <c r="C839" s="132" t="s">
        <v>2573</v>
      </c>
      <c r="D839" s="206">
        <v>250000000</v>
      </c>
      <c r="E839" s="368">
        <v>250000000</v>
      </c>
      <c r="F839" s="368"/>
      <c r="G839" s="256">
        <f t="shared" si="56"/>
        <v>100</v>
      </c>
      <c r="H839" s="368">
        <v>100</v>
      </c>
      <c r="I839" s="1991"/>
      <c r="K839" s="536"/>
      <c r="L839" s="536"/>
    </row>
    <row r="840" spans="1:12" ht="19.5" hidden="1" customHeight="1" x14ac:dyDescent="0.25">
      <c r="A840" s="2"/>
      <c r="B840" s="1024"/>
      <c r="C840" s="132" t="s">
        <v>2574</v>
      </c>
      <c r="D840" s="206">
        <v>959120000</v>
      </c>
      <c r="E840" s="368">
        <v>959120000</v>
      </c>
      <c r="F840" s="368"/>
      <c r="G840" s="256">
        <f t="shared" si="56"/>
        <v>100</v>
      </c>
      <c r="H840" s="368">
        <v>100</v>
      </c>
      <c r="I840" s="1991"/>
      <c r="K840" s="536"/>
      <c r="L840" s="536"/>
    </row>
    <row r="841" spans="1:12" ht="19.5" hidden="1" customHeight="1" x14ac:dyDescent="0.25">
      <c r="A841" s="2"/>
      <c r="B841" s="1024"/>
      <c r="C841" s="132" t="s">
        <v>2575</v>
      </c>
      <c r="D841" s="206">
        <v>150000000</v>
      </c>
      <c r="E841" s="368">
        <v>150000000</v>
      </c>
      <c r="F841" s="368"/>
      <c r="G841" s="256">
        <f t="shared" si="56"/>
        <v>100</v>
      </c>
      <c r="H841" s="368">
        <v>100</v>
      </c>
      <c r="I841" s="1991"/>
      <c r="K841" s="536"/>
      <c r="L841" s="536"/>
    </row>
    <row r="842" spans="1:12" ht="19.5" hidden="1" customHeight="1" x14ac:dyDescent="0.25">
      <c r="A842" s="2"/>
      <c r="B842" s="1024"/>
      <c r="C842" s="132" t="s">
        <v>2576</v>
      </c>
      <c r="D842" s="206">
        <v>250000000</v>
      </c>
      <c r="E842" s="368">
        <v>250000000</v>
      </c>
      <c r="F842" s="368"/>
      <c r="G842" s="256">
        <f t="shared" si="56"/>
        <v>100</v>
      </c>
      <c r="H842" s="368">
        <v>100</v>
      </c>
      <c r="I842" s="1991"/>
      <c r="K842" s="536"/>
      <c r="L842" s="536"/>
    </row>
    <row r="843" spans="1:12" ht="19.5" hidden="1" customHeight="1" x14ac:dyDescent="0.25">
      <c r="A843" s="2"/>
      <c r="B843" s="1024"/>
      <c r="C843" s="132" t="s">
        <v>3993</v>
      </c>
      <c r="D843" s="73">
        <v>0</v>
      </c>
      <c r="E843" s="73">
        <v>0</v>
      </c>
      <c r="F843" s="73"/>
      <c r="G843" s="73">
        <v>0</v>
      </c>
      <c r="H843" s="73">
        <v>0</v>
      </c>
      <c r="I843" s="1991"/>
      <c r="K843" s="536"/>
      <c r="L843" s="536"/>
    </row>
    <row r="844" spans="1:12" ht="19.5" hidden="1" customHeight="1" x14ac:dyDescent="0.25">
      <c r="A844" s="2"/>
      <c r="B844" s="1024"/>
      <c r="C844" s="132" t="s">
        <v>3994</v>
      </c>
      <c r="D844" s="206">
        <v>55500000</v>
      </c>
      <c r="E844" s="368">
        <v>55500000</v>
      </c>
      <c r="F844" s="368"/>
      <c r="G844" s="256">
        <f t="shared" si="56"/>
        <v>100</v>
      </c>
      <c r="H844" s="368">
        <v>100</v>
      </c>
      <c r="I844" s="1991"/>
      <c r="K844" s="536"/>
      <c r="L844" s="536"/>
    </row>
    <row r="845" spans="1:12" ht="19.5" hidden="1" customHeight="1" x14ac:dyDescent="0.25">
      <c r="A845" s="2"/>
      <c r="B845" s="1024"/>
      <c r="C845" s="132" t="s">
        <v>3995</v>
      </c>
      <c r="D845" s="206">
        <v>150000000</v>
      </c>
      <c r="E845" s="368">
        <v>150000000</v>
      </c>
      <c r="F845" s="368"/>
      <c r="G845" s="256">
        <f t="shared" si="56"/>
        <v>100</v>
      </c>
      <c r="H845" s="368">
        <v>100</v>
      </c>
      <c r="I845" s="1991"/>
      <c r="K845" s="536"/>
      <c r="L845" s="536"/>
    </row>
    <row r="846" spans="1:12" ht="19.5" hidden="1" customHeight="1" x14ac:dyDescent="0.25">
      <c r="A846" s="2"/>
      <c r="B846" s="1024"/>
      <c r="C846" s="132" t="s">
        <v>3996</v>
      </c>
      <c r="D846" s="206">
        <v>150000000</v>
      </c>
      <c r="E846" s="368">
        <v>150000000</v>
      </c>
      <c r="F846" s="368"/>
      <c r="G846" s="256">
        <f t="shared" si="56"/>
        <v>100</v>
      </c>
      <c r="H846" s="368">
        <v>100</v>
      </c>
      <c r="I846" s="1991"/>
      <c r="K846" s="536"/>
      <c r="L846" s="536"/>
    </row>
    <row r="847" spans="1:12" ht="19.5" hidden="1" customHeight="1" x14ac:dyDescent="0.25">
      <c r="A847" s="2"/>
      <c r="B847" s="1024"/>
      <c r="C847" s="132" t="s">
        <v>3997</v>
      </c>
      <c r="D847" s="206">
        <v>114500000</v>
      </c>
      <c r="E847" s="368">
        <v>114500000</v>
      </c>
      <c r="F847" s="368"/>
      <c r="G847" s="256">
        <f t="shared" si="56"/>
        <v>100</v>
      </c>
      <c r="H847" s="368">
        <v>100</v>
      </c>
      <c r="I847" s="1991"/>
      <c r="K847" s="536"/>
      <c r="L847" s="536"/>
    </row>
    <row r="848" spans="1:12" ht="12" hidden="1" customHeight="1" x14ac:dyDescent="0.25">
      <c r="A848" s="2"/>
      <c r="B848" s="1024"/>
      <c r="C848" s="132"/>
      <c r="D848" s="206"/>
      <c r="E848" s="368"/>
      <c r="F848" s="368"/>
      <c r="G848" s="140"/>
      <c r="H848" s="140"/>
      <c r="I848" s="1991"/>
      <c r="K848" s="536"/>
      <c r="L848" s="536"/>
    </row>
    <row r="849" spans="1:12" ht="19.5" hidden="1" customHeight="1" x14ac:dyDescent="0.25">
      <c r="A849" s="2"/>
      <c r="B849" s="1024"/>
      <c r="C849" s="138" t="s">
        <v>1296</v>
      </c>
      <c r="D849" s="157">
        <f>SUM(D850:D855)</f>
        <v>830000000</v>
      </c>
      <c r="E849" s="157">
        <f>SUM(E850:E855)</f>
        <v>830000000</v>
      </c>
      <c r="F849" s="157"/>
      <c r="G849" s="142">
        <f>E849/D849*100</f>
        <v>100</v>
      </c>
      <c r="H849" s="142">
        <f>SUM(H850:H855)/6</f>
        <v>100</v>
      </c>
      <c r="I849" s="1991"/>
      <c r="K849" s="536"/>
      <c r="L849" s="536"/>
    </row>
    <row r="850" spans="1:12" ht="19.5" hidden="1" customHeight="1" x14ac:dyDescent="0.25">
      <c r="A850" s="2"/>
      <c r="B850" s="1024"/>
      <c r="C850" s="132" t="s">
        <v>2577</v>
      </c>
      <c r="D850" s="161">
        <v>80000000</v>
      </c>
      <c r="E850" s="149">
        <v>80000000</v>
      </c>
      <c r="F850" s="149"/>
      <c r="G850" s="256">
        <f t="shared" ref="G850:G851" si="57">E850/D850*100</f>
        <v>100</v>
      </c>
      <c r="H850" s="154">
        <v>100</v>
      </c>
      <c r="I850" s="1991"/>
      <c r="K850" s="536"/>
      <c r="L850" s="536"/>
    </row>
    <row r="851" spans="1:12" ht="19.5" hidden="1" customHeight="1" x14ac:dyDescent="0.25">
      <c r="A851" s="2"/>
      <c r="B851" s="1024"/>
      <c r="C851" s="132" t="s">
        <v>2578</v>
      </c>
      <c r="D851" s="161">
        <v>70000000</v>
      </c>
      <c r="E851" s="149">
        <v>70000000</v>
      </c>
      <c r="F851" s="149"/>
      <c r="G851" s="256">
        <f t="shared" si="57"/>
        <v>100</v>
      </c>
      <c r="H851" s="154">
        <v>100</v>
      </c>
      <c r="I851" s="1991"/>
      <c r="K851" s="536"/>
      <c r="L851" s="536"/>
    </row>
    <row r="852" spans="1:12" ht="19.5" hidden="1" customHeight="1" x14ac:dyDescent="0.25">
      <c r="A852" s="2"/>
      <c r="B852" s="1024"/>
      <c r="C852" s="132" t="s">
        <v>2579</v>
      </c>
      <c r="D852" s="161">
        <v>300000000</v>
      </c>
      <c r="E852" s="161">
        <v>300000000</v>
      </c>
      <c r="F852" s="161"/>
      <c r="G852" s="140">
        <f>E852/D852*100</f>
        <v>100</v>
      </c>
      <c r="H852" s="140">
        <v>100</v>
      </c>
      <c r="I852" s="1991"/>
      <c r="K852" s="536"/>
      <c r="L852" s="536"/>
    </row>
    <row r="853" spans="1:12" ht="19.5" hidden="1" customHeight="1" x14ac:dyDescent="0.25">
      <c r="A853" s="2"/>
      <c r="B853" s="1024"/>
      <c r="C853" s="132" t="s">
        <v>2580</v>
      </c>
      <c r="D853" s="161">
        <v>150000000</v>
      </c>
      <c r="E853" s="149">
        <v>150000000</v>
      </c>
      <c r="F853" s="149"/>
      <c r="G853" s="140">
        <f t="shared" ref="G853:G855" si="58">E853/D853*100</f>
        <v>100</v>
      </c>
      <c r="H853" s="140">
        <v>100</v>
      </c>
      <c r="I853" s="1991"/>
      <c r="K853" s="536"/>
      <c r="L853" s="536"/>
    </row>
    <row r="854" spans="1:12" ht="19.5" hidden="1" customHeight="1" x14ac:dyDescent="0.25">
      <c r="A854" s="2"/>
      <c r="B854" s="1097"/>
      <c r="C854" s="170" t="s">
        <v>2581</v>
      </c>
      <c r="D854" s="161">
        <v>130000000</v>
      </c>
      <c r="E854" s="161">
        <v>130000000</v>
      </c>
      <c r="F854" s="161"/>
      <c r="G854" s="140">
        <f t="shared" si="58"/>
        <v>100</v>
      </c>
      <c r="H854" s="140">
        <v>100</v>
      </c>
      <c r="I854" s="2326"/>
      <c r="K854" s="536"/>
      <c r="L854" s="536"/>
    </row>
    <row r="855" spans="1:12" ht="19.5" hidden="1" customHeight="1" x14ac:dyDescent="0.25">
      <c r="A855" s="2"/>
      <c r="B855" s="1097"/>
      <c r="C855" s="170" t="s">
        <v>2582</v>
      </c>
      <c r="D855" s="161">
        <v>100000000</v>
      </c>
      <c r="E855" s="149">
        <v>100000000</v>
      </c>
      <c r="F855" s="149"/>
      <c r="G855" s="140">
        <f t="shared" si="58"/>
        <v>100</v>
      </c>
      <c r="H855" s="140">
        <v>100</v>
      </c>
      <c r="I855" s="2326"/>
      <c r="K855" s="536"/>
      <c r="L855" s="536"/>
    </row>
    <row r="856" spans="1:12" ht="12.75" hidden="1" customHeight="1" x14ac:dyDescent="0.25">
      <c r="A856" s="2"/>
      <c r="B856" s="1024"/>
      <c r="C856" s="183"/>
      <c r="D856" s="490"/>
      <c r="E856" s="894"/>
      <c r="F856" s="894"/>
      <c r="G856" s="233"/>
      <c r="H856" s="233"/>
      <c r="I856" s="1991"/>
      <c r="K856" s="536"/>
      <c r="L856" s="536"/>
    </row>
    <row r="857" spans="1:12" ht="19.5" hidden="1" customHeight="1" x14ac:dyDescent="0.25">
      <c r="A857" s="2"/>
      <c r="B857" s="1024"/>
      <c r="C857" s="138" t="s">
        <v>2583</v>
      </c>
      <c r="D857" s="157">
        <f>SUM(D858:D875)</f>
        <v>2350000000</v>
      </c>
      <c r="E857" s="157">
        <f>SUM(E858:E875)</f>
        <v>2349898900</v>
      </c>
      <c r="F857" s="157"/>
      <c r="G857" s="142">
        <f>E857/D857*100</f>
        <v>99.995697872340429</v>
      </c>
      <c r="H857" s="142">
        <f>SUM(H858:H875)/18</f>
        <v>100</v>
      </c>
      <c r="I857" s="1991"/>
      <c r="K857" s="536"/>
      <c r="L857" s="536"/>
    </row>
    <row r="858" spans="1:12" ht="19.5" hidden="1" customHeight="1" x14ac:dyDescent="0.25">
      <c r="A858" s="2"/>
      <c r="B858" s="1024"/>
      <c r="C858" s="132" t="s">
        <v>2584</v>
      </c>
      <c r="D858" s="206">
        <v>50000000</v>
      </c>
      <c r="E858" s="140">
        <v>50000000</v>
      </c>
      <c r="F858" s="140"/>
      <c r="G858" s="140">
        <f>E858/D858*100</f>
        <v>100</v>
      </c>
      <c r="H858" s="140">
        <v>100</v>
      </c>
      <c r="I858" s="1991"/>
      <c r="K858" s="536"/>
      <c r="L858" s="536"/>
    </row>
    <row r="859" spans="1:12" ht="19.5" hidden="1" customHeight="1" x14ac:dyDescent="0.25">
      <c r="A859" s="2"/>
      <c r="B859" s="1024"/>
      <c r="C859" s="132" t="s">
        <v>2585</v>
      </c>
      <c r="D859" s="206">
        <v>150000000</v>
      </c>
      <c r="E859" s="368">
        <v>150000000</v>
      </c>
      <c r="F859" s="368"/>
      <c r="G859" s="140">
        <f>E859/D859*100</f>
        <v>100</v>
      </c>
      <c r="H859" s="140">
        <v>100</v>
      </c>
      <c r="I859" s="1991"/>
      <c r="K859" s="536"/>
      <c r="L859" s="536"/>
    </row>
    <row r="860" spans="1:12" ht="19.5" hidden="1" customHeight="1" x14ac:dyDescent="0.25">
      <c r="A860" s="2"/>
      <c r="B860" s="1024"/>
      <c r="C860" s="132" t="s">
        <v>2586</v>
      </c>
      <c r="D860" s="206">
        <v>50000000</v>
      </c>
      <c r="E860" s="140">
        <v>50000000</v>
      </c>
      <c r="F860" s="140"/>
      <c r="G860" s="140">
        <f>E860/D860*100</f>
        <v>100</v>
      </c>
      <c r="H860" s="140">
        <v>100</v>
      </c>
      <c r="I860" s="1991"/>
      <c r="K860" s="536"/>
      <c r="L860" s="536"/>
    </row>
    <row r="861" spans="1:12" ht="17.25" hidden="1" customHeight="1" x14ac:dyDescent="0.25">
      <c r="A861" s="2"/>
      <c r="B861" s="1024"/>
      <c r="C861" s="132" t="s">
        <v>2587</v>
      </c>
      <c r="D861" s="206">
        <v>150000000</v>
      </c>
      <c r="E861" s="368">
        <v>150000000</v>
      </c>
      <c r="F861" s="368"/>
      <c r="G861" s="140">
        <f>E861/D861*100</f>
        <v>100</v>
      </c>
      <c r="H861" s="140">
        <v>100</v>
      </c>
      <c r="I861" s="1991"/>
      <c r="K861" s="536"/>
      <c r="L861" s="536"/>
    </row>
    <row r="862" spans="1:12" ht="19.5" hidden="1" customHeight="1" x14ac:dyDescent="0.25">
      <c r="A862" s="2"/>
      <c r="B862" s="1024"/>
      <c r="C862" s="132" t="s">
        <v>2588</v>
      </c>
      <c r="D862" s="206">
        <v>150000000</v>
      </c>
      <c r="E862" s="368">
        <v>150000000</v>
      </c>
      <c r="F862" s="368"/>
      <c r="G862" s="140">
        <f t="shared" ref="G862:G864" si="59">E862/D862*100</f>
        <v>100</v>
      </c>
      <c r="H862" s="140">
        <v>100</v>
      </c>
      <c r="I862" s="1991"/>
      <c r="K862" s="536"/>
      <c r="L862" s="536"/>
    </row>
    <row r="863" spans="1:12" ht="19.5" hidden="1" customHeight="1" x14ac:dyDescent="0.25">
      <c r="A863" s="2"/>
      <c r="B863" s="1024"/>
      <c r="C863" s="132" t="s">
        <v>2589</v>
      </c>
      <c r="D863" s="206">
        <v>120000000</v>
      </c>
      <c r="E863" s="368">
        <v>120000000</v>
      </c>
      <c r="F863" s="368"/>
      <c r="G863" s="140">
        <f t="shared" si="59"/>
        <v>100</v>
      </c>
      <c r="H863" s="140">
        <v>100</v>
      </c>
      <c r="I863" s="1991"/>
      <c r="K863" s="536"/>
      <c r="L863" s="536"/>
    </row>
    <row r="864" spans="1:12" ht="19.5" hidden="1" customHeight="1" x14ac:dyDescent="0.25">
      <c r="A864" s="2"/>
      <c r="B864" s="1024"/>
      <c r="C864" s="132" t="s">
        <v>2590</v>
      </c>
      <c r="D864" s="206">
        <v>80000000</v>
      </c>
      <c r="E864" s="140">
        <v>80000000</v>
      </c>
      <c r="F864" s="140"/>
      <c r="G864" s="140">
        <f t="shared" si="59"/>
        <v>100</v>
      </c>
      <c r="H864" s="140">
        <v>100</v>
      </c>
      <c r="I864" s="1991"/>
      <c r="K864" s="536"/>
      <c r="L864" s="536"/>
    </row>
    <row r="865" spans="1:12" ht="19.5" hidden="1" customHeight="1" x14ac:dyDescent="0.25">
      <c r="A865" s="2"/>
      <c r="B865" s="1024"/>
      <c r="C865" s="132" t="s">
        <v>2591</v>
      </c>
      <c r="D865" s="206">
        <v>100000000</v>
      </c>
      <c r="E865" s="368">
        <v>100000000</v>
      </c>
      <c r="F865" s="368"/>
      <c r="G865" s="140">
        <f>E865/D865*100</f>
        <v>100</v>
      </c>
      <c r="H865" s="140">
        <v>100</v>
      </c>
      <c r="I865" s="1991"/>
      <c r="K865" s="536"/>
      <c r="L865" s="536"/>
    </row>
    <row r="866" spans="1:12" ht="18" hidden="1" customHeight="1" x14ac:dyDescent="0.25">
      <c r="A866" s="2"/>
      <c r="B866" s="1024"/>
      <c r="C866" s="177" t="s">
        <v>2592</v>
      </c>
      <c r="D866" s="245">
        <v>80000000</v>
      </c>
      <c r="E866" s="984">
        <v>80000000</v>
      </c>
      <c r="F866" s="984"/>
      <c r="G866" s="140">
        <f>E866/D866*100</f>
        <v>100</v>
      </c>
      <c r="H866" s="140">
        <v>100</v>
      </c>
      <c r="I866" s="1991"/>
      <c r="K866" s="536"/>
      <c r="L866" s="536"/>
    </row>
    <row r="867" spans="1:12" ht="17.25" hidden="1" customHeight="1" x14ac:dyDescent="0.25">
      <c r="A867" s="2"/>
      <c r="B867" s="1024"/>
      <c r="C867" s="168" t="s">
        <v>2593</v>
      </c>
      <c r="D867" s="189">
        <v>80000000</v>
      </c>
      <c r="E867" s="140">
        <v>80000000</v>
      </c>
      <c r="F867" s="140"/>
      <c r="G867" s="140">
        <f t="shared" ref="G867:G875" si="60">E867/D867*100</f>
        <v>100</v>
      </c>
      <c r="H867" s="140">
        <v>100</v>
      </c>
      <c r="I867" s="1991"/>
      <c r="K867" s="536"/>
      <c r="L867" s="536"/>
    </row>
    <row r="868" spans="1:12" ht="19.5" hidden="1" customHeight="1" x14ac:dyDescent="0.25">
      <c r="A868" s="2"/>
      <c r="B868" s="1024"/>
      <c r="C868" s="168" t="s">
        <v>2594</v>
      </c>
      <c r="D868" s="189">
        <v>100000000</v>
      </c>
      <c r="E868" s="140">
        <v>100000000</v>
      </c>
      <c r="F868" s="140"/>
      <c r="G868" s="140">
        <f t="shared" si="60"/>
        <v>100</v>
      </c>
      <c r="H868" s="140">
        <v>100</v>
      </c>
      <c r="I868" s="1991"/>
      <c r="K868" s="536"/>
      <c r="L868" s="536"/>
    </row>
    <row r="869" spans="1:12" ht="19.5" hidden="1" customHeight="1" x14ac:dyDescent="0.25">
      <c r="A869" s="2"/>
      <c r="B869" s="1024"/>
      <c r="C869" s="168" t="s">
        <v>2595</v>
      </c>
      <c r="D869" s="189">
        <v>160000000</v>
      </c>
      <c r="E869" s="140">
        <v>160000000</v>
      </c>
      <c r="F869" s="140"/>
      <c r="G869" s="140">
        <f t="shared" si="60"/>
        <v>100</v>
      </c>
      <c r="H869" s="140">
        <v>100</v>
      </c>
      <c r="I869" s="1991"/>
      <c r="K869" s="536"/>
      <c r="L869" s="536"/>
    </row>
    <row r="870" spans="1:12" ht="19.5" hidden="1" customHeight="1" x14ac:dyDescent="0.25">
      <c r="A870" s="2"/>
      <c r="B870" s="1024"/>
      <c r="C870" s="168" t="s">
        <v>2596</v>
      </c>
      <c r="D870" s="189">
        <v>100000000</v>
      </c>
      <c r="E870" s="140">
        <v>99898900</v>
      </c>
      <c r="F870" s="140"/>
      <c r="G870" s="140">
        <f t="shared" si="60"/>
        <v>99.898899999999998</v>
      </c>
      <c r="H870" s="140">
        <v>100</v>
      </c>
      <c r="I870" s="1991"/>
      <c r="K870" s="536"/>
      <c r="L870" s="536"/>
    </row>
    <row r="871" spans="1:12" ht="19.5" hidden="1" customHeight="1" x14ac:dyDescent="0.25">
      <c r="A871" s="2"/>
      <c r="B871" s="1024"/>
      <c r="C871" s="168" t="s">
        <v>2597</v>
      </c>
      <c r="D871" s="189">
        <v>250000000</v>
      </c>
      <c r="E871" s="140">
        <v>250000000</v>
      </c>
      <c r="F871" s="140"/>
      <c r="G871" s="140">
        <f t="shared" si="60"/>
        <v>100</v>
      </c>
      <c r="H871" s="140">
        <v>100</v>
      </c>
      <c r="I871" s="1991"/>
      <c r="K871" s="536"/>
      <c r="L871" s="536"/>
    </row>
    <row r="872" spans="1:12" ht="19.5" hidden="1" customHeight="1" x14ac:dyDescent="0.25">
      <c r="A872" s="2"/>
      <c r="B872" s="1024"/>
      <c r="C872" s="168" t="s">
        <v>2598</v>
      </c>
      <c r="D872" s="189">
        <v>150000000</v>
      </c>
      <c r="E872" s="140">
        <v>150000000</v>
      </c>
      <c r="F872" s="140"/>
      <c r="G872" s="140">
        <f t="shared" si="60"/>
        <v>100</v>
      </c>
      <c r="H872" s="140">
        <v>100</v>
      </c>
      <c r="I872" s="1991"/>
      <c r="K872" s="536"/>
      <c r="L872" s="536"/>
    </row>
    <row r="873" spans="1:12" ht="19.5" hidden="1" customHeight="1" x14ac:dyDescent="0.25">
      <c r="A873" s="2"/>
      <c r="B873" s="1024"/>
      <c r="C873" s="168" t="s">
        <v>2599</v>
      </c>
      <c r="D873" s="189">
        <v>80000000</v>
      </c>
      <c r="E873" s="140">
        <v>80000000</v>
      </c>
      <c r="F873" s="140"/>
      <c r="G873" s="140">
        <f t="shared" si="60"/>
        <v>100</v>
      </c>
      <c r="H873" s="140">
        <v>100</v>
      </c>
      <c r="I873" s="1991"/>
      <c r="K873" s="536"/>
      <c r="L873" s="536"/>
    </row>
    <row r="874" spans="1:12" ht="19.5" hidden="1" customHeight="1" x14ac:dyDescent="0.25">
      <c r="A874" s="2"/>
      <c r="B874" s="1024"/>
      <c r="C874" s="168" t="s">
        <v>2600</v>
      </c>
      <c r="D874" s="189">
        <v>250000000</v>
      </c>
      <c r="E874" s="140">
        <v>250000000</v>
      </c>
      <c r="F874" s="140"/>
      <c r="G874" s="140">
        <f t="shared" si="60"/>
        <v>100</v>
      </c>
      <c r="H874" s="140">
        <v>100</v>
      </c>
      <c r="I874" s="1991"/>
      <c r="K874" s="536"/>
      <c r="L874" s="536"/>
    </row>
    <row r="875" spans="1:12" ht="19.5" hidden="1" customHeight="1" x14ac:dyDescent="0.25">
      <c r="A875" s="2"/>
      <c r="B875" s="1024"/>
      <c r="C875" s="168" t="s">
        <v>2601</v>
      </c>
      <c r="D875" s="189">
        <v>250000000</v>
      </c>
      <c r="E875" s="140">
        <v>250000000</v>
      </c>
      <c r="F875" s="140"/>
      <c r="G875" s="140">
        <f t="shared" si="60"/>
        <v>100</v>
      </c>
      <c r="H875" s="140">
        <v>100</v>
      </c>
      <c r="I875" s="1991"/>
      <c r="K875" s="536"/>
      <c r="L875" s="536"/>
    </row>
    <row r="876" spans="1:12" ht="12" hidden="1" customHeight="1" x14ac:dyDescent="0.25">
      <c r="A876" s="2"/>
      <c r="B876" s="1024"/>
      <c r="C876" s="168"/>
      <c r="D876" s="245"/>
      <c r="E876" s="984"/>
      <c r="F876" s="984"/>
      <c r="G876" s="140"/>
      <c r="H876" s="140"/>
      <c r="I876" s="1991"/>
      <c r="K876" s="536"/>
      <c r="L876" s="536"/>
    </row>
    <row r="877" spans="1:12" ht="28.5" hidden="1" customHeight="1" x14ac:dyDescent="0.25">
      <c r="A877" s="2"/>
      <c r="B877" s="1024"/>
      <c r="C877" s="195" t="s">
        <v>2602</v>
      </c>
      <c r="D877" s="157">
        <f>SUM(D878:D883)</f>
        <v>3566550000</v>
      </c>
      <c r="E877" s="157">
        <f>SUM(E878:E883)</f>
        <v>2809387480</v>
      </c>
      <c r="F877" s="157"/>
      <c r="G877" s="142">
        <f>E877/D877*100</f>
        <v>78.770449874528609</v>
      </c>
      <c r="H877" s="142">
        <f>SUM(H878:H883)/6</f>
        <v>65.833333333333329</v>
      </c>
      <c r="I877" s="1991"/>
      <c r="K877" s="536">
        <v>3566550000</v>
      </c>
      <c r="L877" s="536">
        <v>2809387480</v>
      </c>
    </row>
    <row r="878" spans="1:12" ht="19.5" hidden="1" customHeight="1" x14ac:dyDescent="0.25">
      <c r="A878" s="2"/>
      <c r="B878" s="1024"/>
      <c r="C878" s="132" t="s">
        <v>2603</v>
      </c>
      <c r="D878" s="206">
        <v>500000000</v>
      </c>
      <c r="E878" s="368">
        <v>469168500</v>
      </c>
      <c r="F878" s="368"/>
      <c r="G878" s="140">
        <f>E878/D878*100</f>
        <v>93.833699999999993</v>
      </c>
      <c r="H878" s="140">
        <v>100</v>
      </c>
      <c r="I878" s="1991"/>
      <c r="K878" s="536"/>
      <c r="L878" s="536"/>
    </row>
    <row r="879" spans="1:12" ht="19.5" hidden="1" customHeight="1" x14ac:dyDescent="0.25">
      <c r="A879" s="2"/>
      <c r="B879" s="1993"/>
      <c r="C879" s="132" t="s">
        <v>2604</v>
      </c>
      <c r="D879" s="206">
        <v>167950000</v>
      </c>
      <c r="E879" s="140">
        <v>0</v>
      </c>
      <c r="F879" s="140"/>
      <c r="G879" s="140">
        <v>0</v>
      </c>
      <c r="H879" s="140">
        <v>0</v>
      </c>
      <c r="I879" s="1991"/>
      <c r="K879" s="536"/>
      <c r="L879" s="536"/>
    </row>
    <row r="880" spans="1:12" ht="19.5" hidden="1" customHeight="1" x14ac:dyDescent="0.25">
      <c r="A880" s="2"/>
      <c r="B880" s="1024"/>
      <c r="C880" s="132" t="s">
        <v>2605</v>
      </c>
      <c r="D880" s="376">
        <v>167950000</v>
      </c>
      <c r="E880" s="376">
        <v>44513700</v>
      </c>
      <c r="F880" s="376"/>
      <c r="G880" s="140">
        <f>E880/D880*100</f>
        <v>26.504138136350104</v>
      </c>
      <c r="H880" s="376">
        <v>25</v>
      </c>
      <c r="I880" s="1991"/>
      <c r="K880" s="536"/>
      <c r="L880" s="536"/>
    </row>
    <row r="881" spans="1:12" ht="19.5" hidden="1" customHeight="1" x14ac:dyDescent="0.25">
      <c r="A881" s="2"/>
      <c r="B881" s="1024"/>
      <c r="C881" s="132" t="s">
        <v>2606</v>
      </c>
      <c r="D881" s="206">
        <v>337950000</v>
      </c>
      <c r="E881" s="368">
        <v>299990000</v>
      </c>
      <c r="F881" s="368"/>
      <c r="G881" s="140">
        <f>E881/D881*100</f>
        <v>88.767569167036541</v>
      </c>
      <c r="H881" s="140">
        <v>90</v>
      </c>
      <c r="I881" s="1991"/>
      <c r="K881" s="536"/>
      <c r="L881" s="536"/>
    </row>
    <row r="882" spans="1:12" ht="19.5" hidden="1" customHeight="1" x14ac:dyDescent="0.25">
      <c r="A882" s="2"/>
      <c r="B882" s="1024"/>
      <c r="C882" s="132" t="s">
        <v>2607</v>
      </c>
      <c r="D882" s="206">
        <v>1272700000</v>
      </c>
      <c r="E882" s="368">
        <v>900656880</v>
      </c>
      <c r="F882" s="368"/>
      <c r="G882" s="140">
        <f t="shared" ref="G882:G883" si="61">E882/D882*100</f>
        <v>70.767414158874828</v>
      </c>
      <c r="H882" s="140">
        <v>80</v>
      </c>
      <c r="I882" s="1991"/>
      <c r="K882" s="536"/>
      <c r="L882" s="536"/>
    </row>
    <row r="883" spans="1:12" ht="19.5" hidden="1" customHeight="1" x14ac:dyDescent="0.25">
      <c r="A883" s="2"/>
      <c r="B883" s="1024"/>
      <c r="C883" s="132" t="s">
        <v>2608</v>
      </c>
      <c r="D883" s="206">
        <v>1120000000</v>
      </c>
      <c r="E883" s="984">
        <v>1095058400</v>
      </c>
      <c r="F883" s="984"/>
      <c r="G883" s="140">
        <f t="shared" si="61"/>
        <v>97.773071428571427</v>
      </c>
      <c r="H883" s="140">
        <v>100</v>
      </c>
      <c r="I883" s="1991"/>
      <c r="K883" s="536"/>
      <c r="L883" s="536"/>
    </row>
    <row r="884" spans="1:12" ht="12.75" hidden="1" customHeight="1" x14ac:dyDescent="0.25">
      <c r="A884" s="2"/>
      <c r="B884" s="1024"/>
      <c r="C884" s="177"/>
      <c r="D884" s="189"/>
      <c r="E884" s="984"/>
      <c r="F884" s="984"/>
      <c r="G884" s="140"/>
      <c r="H884" s="140"/>
      <c r="I884" s="1991"/>
      <c r="K884" s="536"/>
      <c r="L884" s="536"/>
    </row>
    <row r="885" spans="1:12" ht="19.5" hidden="1" customHeight="1" x14ac:dyDescent="0.25">
      <c r="A885" s="2"/>
      <c r="B885" s="1024"/>
      <c r="C885" s="138" t="s">
        <v>2609</v>
      </c>
      <c r="D885" s="157">
        <f>SUM(D886:D887)</f>
        <v>5660600000</v>
      </c>
      <c r="E885" s="157">
        <f>SUM(E886:E887)</f>
        <v>5660600000</v>
      </c>
      <c r="F885" s="157"/>
      <c r="G885" s="142">
        <f>E885/D885*100</f>
        <v>100</v>
      </c>
      <c r="H885" s="142">
        <f>SUM(H886:H887)/2</f>
        <v>100</v>
      </c>
      <c r="I885" s="1991"/>
      <c r="K885" s="536"/>
      <c r="L885" s="536"/>
    </row>
    <row r="886" spans="1:12" ht="19.5" hidden="1" customHeight="1" x14ac:dyDescent="0.25">
      <c r="A886" s="2"/>
      <c r="B886" s="1024"/>
      <c r="C886" s="132" t="s">
        <v>2610</v>
      </c>
      <c r="D886" s="206">
        <v>4575250000</v>
      </c>
      <c r="E886" s="368">
        <v>4575250000</v>
      </c>
      <c r="F886" s="368"/>
      <c r="G886" s="140">
        <f>E886/D886*100</f>
        <v>100</v>
      </c>
      <c r="H886" s="140">
        <v>100</v>
      </c>
      <c r="I886" s="1991"/>
      <c r="K886" s="536"/>
      <c r="L886" s="536"/>
    </row>
    <row r="887" spans="1:12" ht="19.5" hidden="1" customHeight="1" x14ac:dyDescent="0.25">
      <c r="A887" s="2"/>
      <c r="B887" s="1024"/>
      <c r="C887" s="132" t="s">
        <v>2611</v>
      </c>
      <c r="D887" s="206">
        <v>1085350000</v>
      </c>
      <c r="E887" s="368">
        <v>1085350000</v>
      </c>
      <c r="F887" s="368"/>
      <c r="G887" s="140">
        <f>E887/D887*100</f>
        <v>100</v>
      </c>
      <c r="H887" s="140">
        <v>100</v>
      </c>
      <c r="I887" s="1991"/>
      <c r="K887" s="536"/>
      <c r="L887" s="536"/>
    </row>
    <row r="888" spans="1:12" ht="10.5" hidden="1" customHeight="1" x14ac:dyDescent="0.25">
      <c r="A888" s="2"/>
      <c r="B888" s="1024"/>
      <c r="C888" s="132"/>
      <c r="D888" s="406"/>
      <c r="E888" s="985"/>
      <c r="F888" s="985"/>
      <c r="G888" s="362"/>
      <c r="H888" s="362"/>
      <c r="I888" s="1991"/>
      <c r="K888" s="536"/>
      <c r="L888" s="536"/>
    </row>
    <row r="889" spans="1:12" ht="19.5" hidden="1" customHeight="1" x14ac:dyDescent="0.25">
      <c r="A889" s="2"/>
      <c r="B889" s="1024"/>
      <c r="C889" s="138" t="s">
        <v>2612</v>
      </c>
      <c r="D889" s="157">
        <f>SUM(D890:D891)</f>
        <v>405000000</v>
      </c>
      <c r="E889" s="157">
        <f>SUM(E890:E891)</f>
        <v>405000000</v>
      </c>
      <c r="F889" s="157"/>
      <c r="G889" s="142">
        <f>E889/D889*100</f>
        <v>100</v>
      </c>
      <c r="H889" s="142">
        <v>100</v>
      </c>
      <c r="I889" s="1991"/>
      <c r="K889" s="536"/>
      <c r="L889" s="536"/>
    </row>
    <row r="890" spans="1:12" ht="19.5" hidden="1" customHeight="1" x14ac:dyDescent="0.25">
      <c r="A890" s="2"/>
      <c r="B890" s="1024"/>
      <c r="C890" s="132" t="s">
        <v>2613</v>
      </c>
      <c r="D890" s="73">
        <v>180000000</v>
      </c>
      <c r="E890" s="140">
        <v>180000000</v>
      </c>
      <c r="F890" s="140"/>
      <c r="G890" s="140">
        <f>E890/D890*100</f>
        <v>100</v>
      </c>
      <c r="H890" s="140">
        <v>100</v>
      </c>
      <c r="I890" s="1991"/>
      <c r="K890" s="536"/>
      <c r="L890" s="536"/>
    </row>
    <row r="891" spans="1:12" ht="19.5" hidden="1" customHeight="1" x14ac:dyDescent="0.25">
      <c r="A891" s="2"/>
      <c r="B891" s="1024"/>
      <c r="C891" s="132" t="s">
        <v>2614</v>
      </c>
      <c r="D891" s="73">
        <v>225000000</v>
      </c>
      <c r="E891" s="140">
        <v>225000000</v>
      </c>
      <c r="F891" s="140"/>
      <c r="G891" s="140">
        <f>E891/D891*100</f>
        <v>100</v>
      </c>
      <c r="H891" s="140">
        <v>100</v>
      </c>
      <c r="I891" s="1991"/>
      <c r="K891" s="536"/>
      <c r="L891" s="536"/>
    </row>
    <row r="892" spans="1:12" ht="11.25" hidden="1" customHeight="1" x14ac:dyDescent="0.25">
      <c r="A892" s="2"/>
      <c r="B892" s="1024"/>
      <c r="C892" s="214"/>
      <c r="D892" s="897"/>
      <c r="E892" s="897"/>
      <c r="F892" s="923"/>
      <c r="G892" s="239"/>
      <c r="H892" s="239"/>
      <c r="I892" s="1991"/>
      <c r="K892" s="536"/>
      <c r="L892" s="536"/>
    </row>
    <row r="893" spans="1:12" ht="19.5" hidden="1" customHeight="1" x14ac:dyDescent="0.25">
      <c r="A893" s="2"/>
      <c r="B893" s="1024"/>
      <c r="C893" s="138" t="s">
        <v>2615</v>
      </c>
      <c r="D893" s="157">
        <f>SUM(D894:D895)</f>
        <v>350000000</v>
      </c>
      <c r="E893" s="157">
        <f>SUM(E894:E895)</f>
        <v>350000000</v>
      </c>
      <c r="F893" s="157"/>
      <c r="G893" s="142">
        <f>E893/D893*100</f>
        <v>100</v>
      </c>
      <c r="H893" s="142">
        <f>SUM(H894:H895)/2</f>
        <v>100</v>
      </c>
      <c r="I893" s="2216"/>
      <c r="K893" s="536"/>
      <c r="L893" s="536"/>
    </row>
    <row r="894" spans="1:12" ht="19.5" hidden="1" customHeight="1" x14ac:dyDescent="0.25">
      <c r="A894" s="2"/>
      <c r="B894" s="1139"/>
      <c r="C894" s="132" t="s">
        <v>2616</v>
      </c>
      <c r="D894" s="368">
        <v>150000000</v>
      </c>
      <c r="E894" s="368">
        <v>150000000</v>
      </c>
      <c r="F894" s="368"/>
      <c r="G894" s="140">
        <f>E894/D894*100</f>
        <v>100</v>
      </c>
      <c r="H894" s="140">
        <v>100</v>
      </c>
      <c r="I894" s="2326"/>
      <c r="K894" s="536"/>
      <c r="L894" s="536"/>
    </row>
    <row r="895" spans="1:12" ht="19.5" hidden="1" customHeight="1" x14ac:dyDescent="0.25">
      <c r="A895" s="2"/>
      <c r="B895" s="1139"/>
      <c r="C895" s="132" t="s">
        <v>2617</v>
      </c>
      <c r="D895" s="368">
        <v>200000000</v>
      </c>
      <c r="E895" s="368">
        <v>200000000</v>
      </c>
      <c r="F895" s="368"/>
      <c r="G895" s="140">
        <f>E895/D895*100</f>
        <v>100</v>
      </c>
      <c r="H895" s="140">
        <v>100</v>
      </c>
      <c r="I895" s="2326"/>
      <c r="K895" s="536"/>
      <c r="L895" s="536"/>
    </row>
    <row r="896" spans="1:12" ht="12" hidden="1" customHeight="1" x14ac:dyDescent="0.25">
      <c r="B896" s="1037"/>
      <c r="C896" s="64"/>
      <c r="D896" s="364"/>
      <c r="E896" s="215"/>
      <c r="F896" s="215"/>
      <c r="G896" s="245"/>
      <c r="H896" s="1494"/>
      <c r="I896" s="1106"/>
    </row>
    <row r="897" spans="1:12" ht="19.5" hidden="1" customHeight="1" x14ac:dyDescent="0.25">
      <c r="B897" s="1046"/>
      <c r="C897" s="56" t="s">
        <v>3088</v>
      </c>
      <c r="D897" s="179">
        <f>D898</f>
        <v>326800000</v>
      </c>
      <c r="E897" s="179">
        <f>E898</f>
        <v>326800000</v>
      </c>
      <c r="F897" s="179"/>
      <c r="G897" s="131">
        <f>E897/D897*100</f>
        <v>100</v>
      </c>
      <c r="H897" s="254">
        <f>H898</f>
        <v>100</v>
      </c>
      <c r="I897" s="1106"/>
    </row>
    <row r="898" spans="1:12" ht="20.25" hidden="1" customHeight="1" x14ac:dyDescent="0.25">
      <c r="B898" s="1037"/>
      <c r="C898" s="360" t="s">
        <v>3329</v>
      </c>
      <c r="D898" s="193">
        <f>D899</f>
        <v>326800000</v>
      </c>
      <c r="E898" s="193">
        <f>E899</f>
        <v>326800000</v>
      </c>
      <c r="F898" s="72"/>
      <c r="G898" s="142">
        <f>E898/D898*100</f>
        <v>100</v>
      </c>
      <c r="H898" s="380">
        <f>H899</f>
        <v>100</v>
      </c>
      <c r="I898" s="1106"/>
    </row>
    <row r="899" spans="1:12" s="210" customFormat="1" ht="16.5" hidden="1" customHeight="1" x14ac:dyDescent="0.25">
      <c r="A899" s="1466"/>
      <c r="B899" s="1904"/>
      <c r="C899" s="132" t="s">
        <v>3331</v>
      </c>
      <c r="D899" s="161">
        <v>326800000</v>
      </c>
      <c r="E899" s="140">
        <v>326800000</v>
      </c>
      <c r="F899" s="140"/>
      <c r="G899" s="140">
        <f t="shared" ref="G899" si="62">E899/D899*100</f>
        <v>100</v>
      </c>
      <c r="H899" s="140">
        <v>100</v>
      </c>
      <c r="I899" s="1991"/>
      <c r="J899" s="421"/>
      <c r="K899" s="1216"/>
      <c r="L899" s="1216"/>
    </row>
    <row r="900" spans="1:12" ht="12" hidden="1" customHeight="1" x14ac:dyDescent="0.25">
      <c r="B900" s="1037"/>
      <c r="C900" s="66"/>
      <c r="D900" s="199"/>
      <c r="E900" s="199"/>
      <c r="F900" s="199"/>
      <c r="G900" s="978"/>
      <c r="H900" s="1494"/>
      <c r="I900" s="1106"/>
    </row>
    <row r="901" spans="1:12" ht="17.25" hidden="1" customHeight="1" x14ac:dyDescent="0.25">
      <c r="B901" s="1046"/>
      <c r="C901" s="56" t="s">
        <v>3404</v>
      </c>
      <c r="D901" s="987">
        <v>0</v>
      </c>
      <c r="E901" s="987">
        <v>0</v>
      </c>
      <c r="F901" s="987"/>
      <c r="G901" s="987">
        <v>0</v>
      </c>
      <c r="H901" s="987">
        <v>0</v>
      </c>
      <c r="I901" s="1106"/>
    </row>
    <row r="902" spans="1:12" ht="21.75" hidden="1" customHeight="1" x14ac:dyDescent="0.25">
      <c r="B902" s="1037"/>
      <c r="C902" s="329" t="s">
        <v>3408</v>
      </c>
      <c r="D902" s="365">
        <v>0</v>
      </c>
      <c r="E902" s="365">
        <v>0</v>
      </c>
      <c r="F902" s="365"/>
      <c r="G902" s="365">
        <v>0</v>
      </c>
      <c r="H902" s="365">
        <v>0</v>
      </c>
      <c r="I902" s="1106"/>
    </row>
    <row r="903" spans="1:12" ht="12" hidden="1" customHeight="1" x14ac:dyDescent="0.25">
      <c r="B903" s="1037"/>
      <c r="C903" s="335"/>
      <c r="D903" s="364"/>
      <c r="E903" s="364"/>
      <c r="F903" s="364"/>
      <c r="G903" s="1222"/>
      <c r="H903" s="1494"/>
      <c r="I903" s="1106"/>
    </row>
    <row r="904" spans="1:12" s="231" customFormat="1" ht="19.5" customHeight="1" x14ac:dyDescent="0.25">
      <c r="A904" s="121"/>
      <c r="B904" s="2294"/>
      <c r="C904" s="422" t="s">
        <v>2639</v>
      </c>
      <c r="D904" s="2295">
        <f>SUM(D906+D938+D948)</f>
        <v>28696898849</v>
      </c>
      <c r="E904" s="2295">
        <f>SUM(E906+E938+E948)</f>
        <v>28642563139</v>
      </c>
      <c r="F904" s="50">
        <f>D904-E904</f>
        <v>54335710</v>
      </c>
      <c r="G904" s="423">
        <f>E904/D904*100</f>
        <v>99.810656509311656</v>
      </c>
      <c r="H904" s="2367">
        <f>SUM(H906+H938+H948)/3</f>
        <v>100</v>
      </c>
      <c r="I904" s="1509"/>
      <c r="J904" s="121"/>
      <c r="K904" s="122"/>
      <c r="L904" s="122"/>
    </row>
    <row r="905" spans="1:12" ht="8.25" hidden="1" customHeight="1" x14ac:dyDescent="0.25">
      <c r="B905" s="1037"/>
      <c r="C905" s="59"/>
      <c r="D905" s="2312"/>
      <c r="E905" s="2312"/>
      <c r="F905" s="2312"/>
      <c r="G905" s="209"/>
      <c r="H905" s="1493"/>
      <c r="I905" s="1106"/>
    </row>
    <row r="906" spans="1:12" ht="18" hidden="1" customHeight="1" x14ac:dyDescent="0.25">
      <c r="B906" s="1046"/>
      <c r="C906" s="56" t="s">
        <v>398</v>
      </c>
      <c r="D906" s="179">
        <f>SUM(D907+D910+D913+D918+D921+D925+D928+D932+D935)</f>
        <v>14356438139</v>
      </c>
      <c r="E906" s="179">
        <f>SUM(E907+E910+E913+E918+E921+E925+E928+E932+E935)</f>
        <v>14356438139</v>
      </c>
      <c r="F906" s="179"/>
      <c r="G906" s="131">
        <f>E906/D906*100</f>
        <v>100</v>
      </c>
      <c r="H906" s="179">
        <f>SUM(H907+H910+H913+H918+H921+H925+H928+H932+H935)/9</f>
        <v>100</v>
      </c>
      <c r="I906" s="1106"/>
    </row>
    <row r="907" spans="1:12" ht="18" hidden="1" customHeight="1" x14ac:dyDescent="0.25">
      <c r="A907" s="2"/>
      <c r="B907" s="1024"/>
      <c r="C907" s="216" t="s">
        <v>2665</v>
      </c>
      <c r="D907" s="945">
        <f>D908</f>
        <v>10795950000</v>
      </c>
      <c r="E907" s="945">
        <f>E908</f>
        <v>10795950000</v>
      </c>
      <c r="F907" s="894"/>
      <c r="G907" s="234">
        <f>E907/D907*100</f>
        <v>100</v>
      </c>
      <c r="H907" s="72">
        <f>H908</f>
        <v>100</v>
      </c>
      <c r="I907" s="1991"/>
      <c r="K907"/>
      <c r="L907"/>
    </row>
    <row r="908" spans="1:12" ht="15.75" hidden="1" customHeight="1" x14ac:dyDescent="0.25">
      <c r="A908" s="2"/>
      <c r="B908" s="1024"/>
      <c r="C908" s="61" t="s">
        <v>2666</v>
      </c>
      <c r="D908" s="946">
        <v>10795950000</v>
      </c>
      <c r="E908" s="946">
        <v>10795950000</v>
      </c>
      <c r="F908" s="946"/>
      <c r="G908" s="140">
        <f>E908/D908*100</f>
        <v>100</v>
      </c>
      <c r="H908" s="73">
        <v>100</v>
      </c>
      <c r="I908" s="1991"/>
      <c r="K908"/>
      <c r="L908"/>
    </row>
    <row r="909" spans="1:12" ht="12" hidden="1" customHeight="1" x14ac:dyDescent="0.25">
      <c r="A909" s="2"/>
      <c r="B909" s="1024"/>
      <c r="C909" s="61"/>
      <c r="D909" s="917"/>
      <c r="E909" s="365"/>
      <c r="F909" s="365"/>
      <c r="G909" s="197"/>
      <c r="H909" s="197"/>
      <c r="I909" s="1991"/>
      <c r="K909"/>
      <c r="L909"/>
    </row>
    <row r="910" spans="1:12" ht="16.5" hidden="1" customHeight="1" x14ac:dyDescent="0.25">
      <c r="A910" s="2"/>
      <c r="B910" s="1024"/>
      <c r="C910" s="63" t="s">
        <v>2667</v>
      </c>
      <c r="D910" s="907">
        <f>D911</f>
        <v>899992139</v>
      </c>
      <c r="E910" s="907">
        <f>E911</f>
        <v>899992139</v>
      </c>
      <c r="F910" s="4954"/>
      <c r="G910" s="234">
        <f>E910/D910*100</f>
        <v>100</v>
      </c>
      <c r="H910" s="157">
        <f>H911</f>
        <v>100</v>
      </c>
      <c r="I910" s="1991"/>
      <c r="K910"/>
      <c r="L910"/>
    </row>
    <row r="911" spans="1:12" ht="15" hidden="1" customHeight="1" x14ac:dyDescent="0.25">
      <c r="A911" s="2"/>
      <c r="B911" s="1024"/>
      <c r="C911" s="61" t="s">
        <v>2668</v>
      </c>
      <c r="D911" s="947">
        <v>899992139</v>
      </c>
      <c r="E911" s="947">
        <v>899992139</v>
      </c>
      <c r="F911" s="947"/>
      <c r="G911" s="140">
        <f>E911/D911*100</f>
        <v>100</v>
      </c>
      <c r="H911" s="239">
        <v>100</v>
      </c>
      <c r="I911" s="1991"/>
      <c r="K911"/>
      <c r="L911"/>
    </row>
    <row r="912" spans="1:12" ht="10.5" hidden="1" customHeight="1" x14ac:dyDescent="0.25">
      <c r="A912" s="2"/>
      <c r="B912" s="1024"/>
      <c r="C912" s="61"/>
      <c r="D912" s="917"/>
      <c r="E912" s="365"/>
      <c r="F912" s="365"/>
      <c r="G912" s="197"/>
      <c r="H912" s="197"/>
      <c r="I912" s="1991"/>
      <c r="K912"/>
      <c r="L912"/>
    </row>
    <row r="913" spans="1:12" ht="21" hidden="1" customHeight="1" x14ac:dyDescent="0.25">
      <c r="A913" s="2"/>
      <c r="B913" s="1024"/>
      <c r="C913" s="134" t="s">
        <v>2669</v>
      </c>
      <c r="D913" s="92">
        <f>SUM(D914:D916)</f>
        <v>576550000</v>
      </c>
      <c r="E913" s="92">
        <f>SUM(E914:E916)</f>
        <v>576550000</v>
      </c>
      <c r="F913" s="120"/>
      <c r="G913" s="234">
        <f>E913/D913*100</f>
        <v>100</v>
      </c>
      <c r="H913" s="157">
        <f>SUM(H914:H916)/3</f>
        <v>100</v>
      </c>
      <c r="I913" s="1991"/>
      <c r="K913"/>
      <c r="L913"/>
    </row>
    <row r="914" spans="1:12" ht="15.75" hidden="1" customHeight="1" x14ac:dyDescent="0.25">
      <c r="A914" s="2"/>
      <c r="B914" s="1024"/>
      <c r="C914" s="61" t="s">
        <v>2670</v>
      </c>
      <c r="D914" s="948">
        <v>166000000</v>
      </c>
      <c r="E914" s="948">
        <v>166000000</v>
      </c>
      <c r="F914" s="948"/>
      <c r="G914" s="140">
        <f>E914/D914*100</f>
        <v>100</v>
      </c>
      <c r="H914" s="73">
        <v>100</v>
      </c>
      <c r="I914" s="1991"/>
      <c r="K914"/>
      <c r="L914"/>
    </row>
    <row r="915" spans="1:12" ht="15.75" hidden="1" customHeight="1" x14ac:dyDescent="0.25">
      <c r="A915" s="2"/>
      <c r="B915" s="1024"/>
      <c r="C915" s="211" t="s">
        <v>2671</v>
      </c>
      <c r="D915" s="948">
        <v>73050000</v>
      </c>
      <c r="E915" s="948">
        <v>73050000</v>
      </c>
      <c r="F915" s="948"/>
      <c r="G915" s="140">
        <f t="shared" ref="G915:G916" si="63">E915/D915*100</f>
        <v>100</v>
      </c>
      <c r="H915" s="73">
        <v>100</v>
      </c>
      <c r="I915" s="1991"/>
      <c r="K915"/>
      <c r="L915"/>
    </row>
    <row r="916" spans="1:12" ht="17.25" hidden="1" customHeight="1" x14ac:dyDescent="0.25">
      <c r="A916" s="2"/>
      <c r="B916" s="1024"/>
      <c r="C916" s="61" t="s">
        <v>2672</v>
      </c>
      <c r="D916" s="917">
        <v>337500000</v>
      </c>
      <c r="E916" s="365">
        <v>337500000</v>
      </c>
      <c r="F916" s="365"/>
      <c r="G916" s="140">
        <f t="shared" si="63"/>
        <v>100</v>
      </c>
      <c r="H916" s="73">
        <v>100</v>
      </c>
      <c r="I916" s="1991"/>
      <c r="K916"/>
      <c r="L916"/>
    </row>
    <row r="917" spans="1:12" ht="12" hidden="1" customHeight="1" x14ac:dyDescent="0.25">
      <c r="A917" s="2"/>
      <c r="B917" s="1024"/>
      <c r="C917" s="61"/>
      <c r="D917" s="917"/>
      <c r="E917" s="365"/>
      <c r="F917" s="365"/>
      <c r="G917" s="197"/>
      <c r="H917" s="197"/>
      <c r="I917" s="1991"/>
      <c r="K917"/>
      <c r="L917"/>
    </row>
    <row r="918" spans="1:12" ht="15.75" hidden="1" customHeight="1" x14ac:dyDescent="0.25">
      <c r="A918" s="2"/>
      <c r="B918" s="1024"/>
      <c r="C918" s="63" t="s">
        <v>2673</v>
      </c>
      <c r="D918" s="909">
        <f>D919</f>
        <v>366400000</v>
      </c>
      <c r="E918" s="909">
        <f>E919</f>
        <v>366400000</v>
      </c>
      <c r="F918" s="910"/>
      <c r="G918" s="234">
        <f>E918/D918*100</f>
        <v>100</v>
      </c>
      <c r="H918" s="202">
        <f>H919</f>
        <v>100</v>
      </c>
      <c r="I918" s="1991"/>
      <c r="K918"/>
      <c r="L918"/>
    </row>
    <row r="919" spans="1:12" ht="16.5" hidden="1" customHeight="1" x14ac:dyDescent="0.25">
      <c r="A919" s="2"/>
      <c r="B919" s="1024"/>
      <c r="C919" s="61" t="s">
        <v>2674</v>
      </c>
      <c r="D919" s="949">
        <v>366400000</v>
      </c>
      <c r="E919" s="949">
        <v>366400000</v>
      </c>
      <c r="F919" s="949"/>
      <c r="G919" s="140">
        <f>E919/D919*100</f>
        <v>100</v>
      </c>
      <c r="H919" s="140">
        <v>100</v>
      </c>
      <c r="I919" s="1991"/>
      <c r="K919"/>
      <c r="L919"/>
    </row>
    <row r="920" spans="1:12" ht="8.25" hidden="1" customHeight="1" x14ac:dyDescent="0.25">
      <c r="A920" s="2"/>
      <c r="B920" s="1024"/>
      <c r="C920" s="63"/>
      <c r="D920" s="365"/>
      <c r="E920" s="365"/>
      <c r="F920" s="365"/>
      <c r="G920" s="73"/>
      <c r="H920" s="73"/>
      <c r="I920" s="1991"/>
      <c r="K920"/>
      <c r="L920"/>
    </row>
    <row r="921" spans="1:12" ht="17.25" hidden="1" customHeight="1" x14ac:dyDescent="0.25">
      <c r="A921" s="2"/>
      <c r="B921" s="1024"/>
      <c r="C921" s="134" t="s">
        <v>2675</v>
      </c>
      <c r="D921" s="92">
        <f>SUM(D922:D923)</f>
        <v>465215000</v>
      </c>
      <c r="E921" s="92">
        <f>SUM(E922:E923)</f>
        <v>465215000</v>
      </c>
      <c r="F921" s="120"/>
      <c r="G921" s="234">
        <f>E921/D921*100</f>
        <v>100</v>
      </c>
      <c r="H921" s="202">
        <f>SUM(H922:H923)/2</f>
        <v>100</v>
      </c>
      <c r="I921" s="1991"/>
      <c r="K921"/>
      <c r="L921"/>
    </row>
    <row r="922" spans="1:12" ht="18" hidden="1" customHeight="1" x14ac:dyDescent="0.25">
      <c r="A922" s="2"/>
      <c r="B922" s="1024"/>
      <c r="C922" s="61" t="s">
        <v>2676</v>
      </c>
      <c r="D922" s="950">
        <v>92550000</v>
      </c>
      <c r="E922" s="950">
        <v>92550000</v>
      </c>
      <c r="F922" s="950"/>
      <c r="G922" s="140">
        <f>E922/D922*100</f>
        <v>100</v>
      </c>
      <c r="H922" s="140">
        <v>100</v>
      </c>
      <c r="I922" s="1991"/>
      <c r="K922"/>
      <c r="L922"/>
    </row>
    <row r="923" spans="1:12" ht="18" hidden="1" customHeight="1" x14ac:dyDescent="0.25">
      <c r="A923" s="2"/>
      <c r="B923" s="1024"/>
      <c r="C923" s="61" t="s">
        <v>2677</v>
      </c>
      <c r="D923" s="950">
        <v>372665000</v>
      </c>
      <c r="E923" s="950">
        <v>372665000</v>
      </c>
      <c r="F923" s="950"/>
      <c r="G923" s="140">
        <f>E923/D923*100</f>
        <v>100</v>
      </c>
      <c r="H923" s="140">
        <v>100</v>
      </c>
      <c r="I923" s="1991"/>
      <c r="K923"/>
      <c r="L923"/>
    </row>
    <row r="924" spans="1:12" ht="12" hidden="1" customHeight="1" x14ac:dyDescent="0.25">
      <c r="A924" s="2"/>
      <c r="B924" s="1024"/>
      <c r="C924" s="61"/>
      <c r="D924" s="917"/>
      <c r="E924" s="194"/>
      <c r="F924" s="194"/>
      <c r="G924" s="73"/>
      <c r="H924" s="73"/>
      <c r="I924" s="1991"/>
      <c r="K924"/>
      <c r="L924"/>
    </row>
    <row r="925" spans="1:12" ht="18" hidden="1" customHeight="1" x14ac:dyDescent="0.25">
      <c r="A925" s="2"/>
      <c r="B925" s="1024"/>
      <c r="C925" s="134" t="s">
        <v>2678</v>
      </c>
      <c r="D925" s="267">
        <f>D926</f>
        <v>238200000</v>
      </c>
      <c r="E925" s="267">
        <f>E926</f>
        <v>238200000</v>
      </c>
      <c r="F925" s="352"/>
      <c r="G925" s="234">
        <f>E925/D925*100</f>
        <v>100</v>
      </c>
      <c r="H925" s="267">
        <f>H926</f>
        <v>100</v>
      </c>
      <c r="I925" s="1991"/>
      <c r="K925"/>
      <c r="L925"/>
    </row>
    <row r="926" spans="1:12" ht="13.5" hidden="1" customHeight="1" x14ac:dyDescent="0.25">
      <c r="A926" s="2"/>
      <c r="B926" s="1024"/>
      <c r="C926" s="82" t="s">
        <v>2679</v>
      </c>
      <c r="D926" s="252">
        <v>238200000</v>
      </c>
      <c r="E926" s="252">
        <v>238200000</v>
      </c>
      <c r="F926" s="252"/>
      <c r="G926" s="140">
        <f>E926/D926*100</f>
        <v>100</v>
      </c>
      <c r="H926" s="252">
        <v>100</v>
      </c>
      <c r="I926" s="1991"/>
      <c r="K926"/>
      <c r="L926"/>
    </row>
    <row r="927" spans="1:12" ht="10.5" hidden="1" customHeight="1" x14ac:dyDescent="0.25">
      <c r="A927" s="2"/>
      <c r="B927" s="1024"/>
      <c r="C927" s="61"/>
      <c r="D927" s="909"/>
      <c r="E927" s="393"/>
      <c r="F927" s="393"/>
      <c r="G927" s="140"/>
      <c r="H927" s="233"/>
      <c r="I927" s="1991"/>
      <c r="K927"/>
      <c r="L927"/>
    </row>
    <row r="928" spans="1:12" ht="16.5" hidden="1" customHeight="1" x14ac:dyDescent="0.25">
      <c r="A928" s="2"/>
      <c r="B928" s="1024"/>
      <c r="C928" s="134" t="s">
        <v>2680</v>
      </c>
      <c r="D928" s="92">
        <f>SUM(D929:D930)</f>
        <v>642756000</v>
      </c>
      <c r="E928" s="92">
        <f>SUM(E929:E930)</f>
        <v>642756000</v>
      </c>
      <c r="F928" s="120"/>
      <c r="G928" s="234">
        <f>E928/D928*100</f>
        <v>100</v>
      </c>
      <c r="H928" s="142">
        <f>SUM(H929:H930)/2</f>
        <v>100</v>
      </c>
      <c r="I928" s="1991"/>
      <c r="K928"/>
      <c r="L928"/>
    </row>
    <row r="929" spans="1:12" ht="14.25" hidden="1" customHeight="1" x14ac:dyDescent="0.25">
      <c r="A929" s="2"/>
      <c r="B929" s="1024"/>
      <c r="C929" s="61" t="s">
        <v>2681</v>
      </c>
      <c r="D929" s="951">
        <v>241385000</v>
      </c>
      <c r="E929" s="951">
        <v>241385000</v>
      </c>
      <c r="F929" s="951"/>
      <c r="G929" s="140">
        <f>E929/D929*100</f>
        <v>100</v>
      </c>
      <c r="H929" s="239">
        <v>100</v>
      </c>
      <c r="I929" s="1991"/>
      <c r="K929"/>
      <c r="L929"/>
    </row>
    <row r="930" spans="1:12" ht="15.75" hidden="1" customHeight="1" x14ac:dyDescent="0.25">
      <c r="A930" s="2"/>
      <c r="B930" s="1024"/>
      <c r="C930" s="61" t="s">
        <v>2682</v>
      </c>
      <c r="D930" s="252">
        <v>401371000</v>
      </c>
      <c r="E930" s="252">
        <v>401371000</v>
      </c>
      <c r="F930" s="252"/>
      <c r="G930" s="140">
        <f>E930/D930*100</f>
        <v>100</v>
      </c>
      <c r="H930" s="252">
        <v>100</v>
      </c>
      <c r="I930" s="1991"/>
      <c r="K930"/>
      <c r="L930"/>
    </row>
    <row r="931" spans="1:12" ht="14.25" hidden="1" customHeight="1" x14ac:dyDescent="0.25">
      <c r="A931" s="2"/>
      <c r="B931" s="1993"/>
      <c r="C931" s="59"/>
      <c r="D931" s="199"/>
      <c r="E931" s="199"/>
      <c r="F931" s="199"/>
      <c r="G931" s="199"/>
      <c r="H931" s="199"/>
      <c r="I931" s="1991"/>
      <c r="K931"/>
      <c r="L931"/>
    </row>
    <row r="932" spans="1:12" ht="19.5" hidden="1" customHeight="1" x14ac:dyDescent="0.25">
      <c r="A932" s="2"/>
      <c r="B932" s="1024"/>
      <c r="C932" s="63" t="s">
        <v>2683</v>
      </c>
      <c r="D932" s="157">
        <f>D933</f>
        <v>239615000</v>
      </c>
      <c r="E932" s="157">
        <f>E933</f>
        <v>239615000</v>
      </c>
      <c r="F932" s="72"/>
      <c r="G932" s="234">
        <f>E932/D932*100</f>
        <v>100</v>
      </c>
      <c r="H932" s="157">
        <f>H933</f>
        <v>100</v>
      </c>
      <c r="I932" s="1991"/>
      <c r="K932"/>
      <c r="L932"/>
    </row>
    <row r="933" spans="1:12" ht="18.75" hidden="1" customHeight="1" x14ac:dyDescent="0.25">
      <c r="A933" s="2"/>
      <c r="B933" s="1024"/>
      <c r="C933" s="61" t="s">
        <v>2684</v>
      </c>
      <c r="D933" s="73">
        <v>239615000</v>
      </c>
      <c r="E933" s="73">
        <v>239615000</v>
      </c>
      <c r="F933" s="73"/>
      <c r="G933" s="140">
        <f>E933/D933*100</f>
        <v>100</v>
      </c>
      <c r="H933" s="73">
        <v>100</v>
      </c>
      <c r="I933" s="1991"/>
      <c r="K933"/>
      <c r="L933"/>
    </row>
    <row r="934" spans="1:12" ht="13.5" hidden="1" customHeight="1" x14ac:dyDescent="0.25">
      <c r="A934" s="2"/>
      <c r="B934" s="1024"/>
      <c r="C934" s="63"/>
      <c r="D934" s="197"/>
      <c r="E934" s="197"/>
      <c r="F934" s="197"/>
      <c r="G934" s="197"/>
      <c r="H934" s="197"/>
      <c r="I934" s="1991"/>
      <c r="K934"/>
      <c r="L934"/>
    </row>
    <row r="935" spans="1:12" ht="21" hidden="1" customHeight="1" x14ac:dyDescent="0.25">
      <c r="A935" s="2"/>
      <c r="B935" s="1024"/>
      <c r="C935" s="63" t="s">
        <v>2685</v>
      </c>
      <c r="D935" s="157">
        <f>D936</f>
        <v>131760000</v>
      </c>
      <c r="E935" s="157">
        <f>E936</f>
        <v>131760000</v>
      </c>
      <c r="F935" s="72"/>
      <c r="G935" s="234">
        <f>E935/D935*100</f>
        <v>100</v>
      </c>
      <c r="H935" s="157">
        <f>H936</f>
        <v>100</v>
      </c>
      <c r="I935" s="1991"/>
      <c r="K935"/>
      <c r="L935"/>
    </row>
    <row r="936" spans="1:12" ht="28.5" hidden="1" customHeight="1" x14ac:dyDescent="0.25">
      <c r="A936" s="2"/>
      <c r="B936" s="1024"/>
      <c r="C936" s="61" t="s">
        <v>2686</v>
      </c>
      <c r="D936" s="73">
        <v>131760000</v>
      </c>
      <c r="E936" s="73">
        <v>131760000</v>
      </c>
      <c r="F936" s="73"/>
      <c r="G936" s="140">
        <f>E936/D936*100</f>
        <v>100</v>
      </c>
      <c r="H936" s="73">
        <v>100</v>
      </c>
      <c r="I936" s="1991"/>
      <c r="K936"/>
      <c r="L936"/>
    </row>
    <row r="937" spans="1:12" ht="17.25" hidden="1" customHeight="1" x14ac:dyDescent="0.25">
      <c r="B937" s="1037"/>
      <c r="C937" s="64"/>
      <c r="D937" s="215"/>
      <c r="E937" s="215"/>
      <c r="F937" s="215"/>
      <c r="G937" s="245"/>
      <c r="H937" s="1494"/>
      <c r="I937" s="1106"/>
    </row>
    <row r="938" spans="1:12" ht="18.75" hidden="1" customHeight="1" x14ac:dyDescent="0.25">
      <c r="B938" s="1046"/>
      <c r="C938" s="208" t="s">
        <v>2618</v>
      </c>
      <c r="D938" s="179">
        <f>SUM(D939+D942+D945)</f>
        <v>1855660710</v>
      </c>
      <c r="E938" s="179">
        <f>SUM(E939+E942+E945)</f>
        <v>1809225000</v>
      </c>
      <c r="F938" s="179"/>
      <c r="G938" s="68">
        <f>E938/D938*100</f>
        <v>97.497618516695326</v>
      </c>
      <c r="H938" s="1521">
        <f>SUM(H942+H945)/2</f>
        <v>100</v>
      </c>
      <c r="I938" s="1106"/>
    </row>
    <row r="939" spans="1:12" ht="19.5" hidden="1" customHeight="1" x14ac:dyDescent="0.25">
      <c r="B939" s="1037"/>
      <c r="C939" s="216" t="s">
        <v>2687</v>
      </c>
      <c r="D939" s="193">
        <v>0</v>
      </c>
      <c r="E939" s="209">
        <v>0</v>
      </c>
      <c r="F939" s="209"/>
      <c r="G939" s="209">
        <v>0</v>
      </c>
      <c r="H939" s="209">
        <v>0</v>
      </c>
      <c r="I939" s="1106"/>
    </row>
    <row r="940" spans="1:12" ht="19.5" hidden="1" customHeight="1" x14ac:dyDescent="0.25">
      <c r="B940" s="1037"/>
      <c r="C940" s="132" t="s">
        <v>2688</v>
      </c>
      <c r="D940" s="197">
        <v>0</v>
      </c>
      <c r="E940" s="197">
        <v>0</v>
      </c>
      <c r="F940" s="197"/>
      <c r="G940" s="197">
        <v>0</v>
      </c>
      <c r="H940" s="197">
        <v>0</v>
      </c>
      <c r="I940" s="1106"/>
    </row>
    <row r="941" spans="1:12" ht="13.5" hidden="1" customHeight="1" x14ac:dyDescent="0.25">
      <c r="B941" s="1037"/>
      <c r="C941" s="143"/>
      <c r="D941" s="197"/>
      <c r="E941" s="197"/>
      <c r="F941" s="197"/>
      <c r="G941" s="189"/>
      <c r="H941" s="1105"/>
      <c r="I941" s="1106"/>
    </row>
    <row r="942" spans="1:12" ht="19.5" hidden="1" customHeight="1" x14ac:dyDescent="0.25">
      <c r="B942" s="1037"/>
      <c r="C942" s="216" t="s">
        <v>2689</v>
      </c>
      <c r="D942" s="2283">
        <f>D943</f>
        <v>1030660710</v>
      </c>
      <c r="E942" s="2283">
        <f>E943</f>
        <v>985675000</v>
      </c>
      <c r="F942" s="4955"/>
      <c r="G942" s="234">
        <f>E942/D942*100</f>
        <v>95.635255175294304</v>
      </c>
      <c r="H942" s="202">
        <f>H943</f>
        <v>100</v>
      </c>
      <c r="I942" s="1106"/>
    </row>
    <row r="943" spans="1:12" ht="21" hidden="1" customHeight="1" x14ac:dyDescent="0.25">
      <c r="B943" s="1037"/>
      <c r="C943" s="132" t="s">
        <v>2690</v>
      </c>
      <c r="D943" s="952">
        <v>1030660710</v>
      </c>
      <c r="E943" s="952">
        <v>985675000</v>
      </c>
      <c r="F943" s="952"/>
      <c r="G943" s="140">
        <f>E943/D943*100</f>
        <v>95.635255175294304</v>
      </c>
      <c r="H943" s="239">
        <v>100</v>
      </c>
      <c r="I943" s="1106"/>
    </row>
    <row r="944" spans="1:12" ht="12.75" hidden="1" customHeight="1" x14ac:dyDescent="0.25">
      <c r="B944" s="1037"/>
      <c r="C944" s="64"/>
      <c r="D944" s="197"/>
      <c r="E944" s="197"/>
      <c r="F944" s="197"/>
      <c r="G944" s="189"/>
      <c r="H944" s="1105"/>
      <c r="I944" s="1106"/>
    </row>
    <row r="945" spans="1:12" ht="17.25" hidden="1" customHeight="1" x14ac:dyDescent="0.25">
      <c r="B945" s="1037"/>
      <c r="C945" s="134" t="s">
        <v>2696</v>
      </c>
      <c r="D945" s="2368">
        <f>D946</f>
        <v>825000000</v>
      </c>
      <c r="E945" s="2368">
        <f>E946</f>
        <v>823550000</v>
      </c>
      <c r="F945" s="2369"/>
      <c r="G945" s="234">
        <f>E945/D945*100</f>
        <v>99.824242424242428</v>
      </c>
      <c r="H945" s="267">
        <f>H946</f>
        <v>100</v>
      </c>
      <c r="I945" s="1106"/>
    </row>
    <row r="946" spans="1:12" ht="21.75" hidden="1" customHeight="1" x14ac:dyDescent="0.25">
      <c r="B946" s="1037"/>
      <c r="C946" s="61" t="s">
        <v>2697</v>
      </c>
      <c r="D946" s="953">
        <v>825000000</v>
      </c>
      <c r="E946" s="252">
        <v>823550000</v>
      </c>
      <c r="F946" s="252"/>
      <c r="G946" s="140">
        <f>E946/D946*100</f>
        <v>99.824242424242428</v>
      </c>
      <c r="H946" s="252">
        <v>100</v>
      </c>
      <c r="I946" s="1106"/>
    </row>
    <row r="947" spans="1:12" ht="17.25" hidden="1" customHeight="1" x14ac:dyDescent="0.25">
      <c r="B947" s="1037"/>
      <c r="C947" s="64"/>
      <c r="D947" s="215"/>
      <c r="E947" s="215"/>
      <c r="F947" s="215"/>
      <c r="G947" s="245"/>
      <c r="H947" s="1494"/>
      <c r="I947" s="1106"/>
    </row>
    <row r="948" spans="1:12" s="121" customFormat="1" ht="18" hidden="1" customHeight="1" x14ac:dyDescent="0.25">
      <c r="B948" s="1075"/>
      <c r="C948" s="124" t="s">
        <v>2698</v>
      </c>
      <c r="D948" s="57">
        <f>D949</f>
        <v>12484800000</v>
      </c>
      <c r="E948" s="57">
        <f>E949</f>
        <v>12476900000</v>
      </c>
      <c r="F948" s="57"/>
      <c r="G948" s="516">
        <f>E948/D948*100</f>
        <v>99.936723055235163</v>
      </c>
      <c r="H948" s="1511">
        <f>H949</f>
        <v>100</v>
      </c>
      <c r="I948" s="1519"/>
      <c r="K948" s="122"/>
      <c r="L948" s="122"/>
    </row>
    <row r="949" spans="1:12" s="121" customFormat="1" ht="33.75" hidden="1" customHeight="1" x14ac:dyDescent="0.25">
      <c r="B949" s="1069"/>
      <c r="C949" s="1473" t="s">
        <v>2699</v>
      </c>
      <c r="D949" s="2369">
        <f>D950</f>
        <v>12484800000</v>
      </c>
      <c r="E949" s="2369">
        <f>E950</f>
        <v>12476900000</v>
      </c>
      <c r="F949" s="2369"/>
      <c r="G949" s="234">
        <f>E949/D949*100</f>
        <v>99.936723055235163</v>
      </c>
      <c r="H949" s="267">
        <f>H950</f>
        <v>100</v>
      </c>
      <c r="I949" s="1093"/>
      <c r="K949" s="122"/>
      <c r="L949" s="122"/>
    </row>
    <row r="950" spans="1:12" s="121" customFormat="1" ht="20.25" hidden="1" customHeight="1" x14ac:dyDescent="0.25">
      <c r="B950" s="1069"/>
      <c r="C950" s="2154" t="s">
        <v>2700</v>
      </c>
      <c r="D950" s="954">
        <v>12484800000</v>
      </c>
      <c r="E950" s="252">
        <v>12476900000</v>
      </c>
      <c r="F950" s="252"/>
      <c r="G950" s="140">
        <f>E950/D950*100</f>
        <v>99.936723055235163</v>
      </c>
      <c r="H950" s="252">
        <v>100</v>
      </c>
      <c r="I950" s="1093"/>
      <c r="K950" s="122"/>
      <c r="L950" s="122"/>
    </row>
    <row r="951" spans="1:12" ht="12" hidden="1" customHeight="1" x14ac:dyDescent="0.25">
      <c r="B951" s="1037"/>
      <c r="C951" s="64"/>
      <c r="D951" s="215"/>
      <c r="E951" s="215"/>
      <c r="F951" s="215"/>
      <c r="G951" s="245"/>
      <c r="H951" s="1494"/>
      <c r="I951" s="1106"/>
    </row>
    <row r="952" spans="1:12" s="1" customFormat="1" ht="19.5" customHeight="1" thickBot="1" x14ac:dyDescent="0.3">
      <c r="B952" s="2294"/>
      <c r="C952" s="422" t="s">
        <v>2804</v>
      </c>
      <c r="D952" s="2334">
        <f>SUM(+D954+D1018+D1022+D1026+D1030+D1034+D1038+D1042+D1046+D1050+D1054+D1058+D1062+D1066+D1070)</f>
        <v>21814040500</v>
      </c>
      <c r="E952" s="2334">
        <f>SUM(+E954+E1018+E1022+E1026+E1030+E1034+E1038+E1042+E1046+E1050+E1054+E1058+E1062+E1066+E1070)</f>
        <v>21454620509</v>
      </c>
      <c r="F952" s="50">
        <f>D952-E952</f>
        <v>359419991</v>
      </c>
      <c r="G952" s="423">
        <f>E952/D952*100</f>
        <v>98.352345632621336</v>
      </c>
      <c r="H952" s="423">
        <f>SUM(H954+H1018+H1022+H1026+H1030+H1034+H1038+H1042+H1046+H1050+H1054+H1058+H1062+H1066+H1070)/15</f>
        <v>98.769393939393936</v>
      </c>
      <c r="I952" s="1934"/>
      <c r="K952" s="51"/>
      <c r="L952" s="51"/>
    </row>
    <row r="953" spans="1:12" ht="8.25" hidden="1" customHeight="1" x14ac:dyDescent="0.25">
      <c r="B953" s="1037"/>
      <c r="C953" s="53"/>
      <c r="D953" s="365"/>
      <c r="E953" s="365"/>
      <c r="F953" s="215"/>
      <c r="G953" s="215"/>
      <c r="H953" s="1494"/>
      <c r="I953" s="1106"/>
    </row>
    <row r="954" spans="1:12" ht="19.5" hidden="1" customHeight="1" x14ac:dyDescent="0.25">
      <c r="B954" s="1046"/>
      <c r="C954" s="89" t="s">
        <v>252</v>
      </c>
      <c r="D954" s="4080">
        <f>SUM(D958+D969+D972+D977+D983+D989+D992+D1002+D1005+D1008+D1011)</f>
        <v>7770040500</v>
      </c>
      <c r="E954" s="2786">
        <f>SUM(E958+E969+E972+E977+E983+E989+E992+E1002+E1005+E1008+E1011)</f>
        <v>7436197000</v>
      </c>
      <c r="F954" s="2786"/>
      <c r="G954" s="2786">
        <f>SUM(E954/D954*100)</f>
        <v>95.703452253562901</v>
      </c>
      <c r="H954" s="179">
        <f>SUM(H958+H969+H972+H977+H983+H989+H992+H1002+H1005+H1007+H1010)/11</f>
        <v>81.590909090909093</v>
      </c>
      <c r="I954" s="1106"/>
    </row>
    <row r="955" spans="1:12" ht="16.5" hidden="1" customHeight="1" x14ac:dyDescent="0.25">
      <c r="A955" s="2"/>
      <c r="B955" s="441"/>
      <c r="C955" s="2491" t="s">
        <v>2665</v>
      </c>
      <c r="D955" s="4159">
        <v>0</v>
      </c>
      <c r="E955" s="4159">
        <v>0</v>
      </c>
      <c r="F955" s="4159"/>
      <c r="G955" s="4159">
        <v>0</v>
      </c>
      <c r="H955" s="4159">
        <v>0</v>
      </c>
      <c r="I955" s="1463"/>
      <c r="K955" s="536"/>
      <c r="L955" s="536"/>
    </row>
    <row r="956" spans="1:12" ht="21.75" hidden="1" customHeight="1" x14ac:dyDescent="0.25">
      <c r="A956" s="2"/>
      <c r="B956" s="441"/>
      <c r="C956" s="2506" t="s">
        <v>2844</v>
      </c>
      <c r="D956" s="4283" t="s">
        <v>3317</v>
      </c>
      <c r="E956" s="3660" t="s">
        <v>3317</v>
      </c>
      <c r="F956" s="3660"/>
      <c r="G956" s="3660" t="s">
        <v>3317</v>
      </c>
      <c r="H956" s="3660" t="s">
        <v>3317</v>
      </c>
      <c r="I956" s="1463"/>
      <c r="K956" s="536"/>
      <c r="L956" s="536"/>
    </row>
    <row r="957" spans="1:12" ht="8.25" hidden="1" customHeight="1" x14ac:dyDescent="0.25">
      <c r="A957" s="2"/>
      <c r="B957" s="441"/>
      <c r="C957" s="2494"/>
      <c r="D957" s="3704"/>
      <c r="E957" s="3035"/>
      <c r="F957" s="3035"/>
      <c r="G957" s="2690"/>
      <c r="H957" s="3035"/>
      <c r="I957" s="1463"/>
      <c r="K957" s="536"/>
      <c r="L957" s="536"/>
    </row>
    <row r="958" spans="1:12" ht="19.5" hidden="1" customHeight="1" x14ac:dyDescent="0.25">
      <c r="A958" s="2"/>
      <c r="B958" s="441"/>
      <c r="C958" s="2491" t="s">
        <v>2845</v>
      </c>
      <c r="D958" s="4159">
        <f>SUM(D959:D967)</f>
        <v>1182352000</v>
      </c>
      <c r="E958" s="2813">
        <f>SUM(E959:E967)</f>
        <v>1182352000</v>
      </c>
      <c r="F958" s="2813"/>
      <c r="G958" s="2695">
        <f t="shared" ref="G958" si="64">SUM(E958/D958*100)</f>
        <v>100</v>
      </c>
      <c r="H958" s="2695">
        <f>SUM(H959:H967)/8</f>
        <v>100</v>
      </c>
      <c r="I958" s="1463"/>
      <c r="K958" s="536"/>
      <c r="L958" s="536"/>
    </row>
    <row r="959" spans="1:12" ht="18" hidden="1" customHeight="1" x14ac:dyDescent="0.25">
      <c r="A959" s="2"/>
      <c r="B959" s="441"/>
      <c r="C959" s="2494" t="s">
        <v>4100</v>
      </c>
      <c r="D959" s="4066">
        <v>95882000</v>
      </c>
      <c r="E959" s="4066">
        <v>95882000</v>
      </c>
      <c r="F959" s="4066"/>
      <c r="G959" s="4066">
        <f t="shared" ref="G959:G967" si="65">E959/D959*100</f>
        <v>100</v>
      </c>
      <c r="H959" s="4066">
        <v>100</v>
      </c>
      <c r="I959" s="1463"/>
      <c r="K959" s="536"/>
      <c r="L959" s="536"/>
    </row>
    <row r="960" spans="1:12" ht="17.25" hidden="1" customHeight="1" x14ac:dyDescent="0.25">
      <c r="A960" s="2"/>
      <c r="B960" s="441"/>
      <c r="C960" s="2494" t="s">
        <v>3135</v>
      </c>
      <c r="D960" s="4066">
        <v>70180000</v>
      </c>
      <c r="E960" s="4066">
        <v>70180000</v>
      </c>
      <c r="F960" s="4066"/>
      <c r="G960" s="4066">
        <f t="shared" si="65"/>
        <v>100</v>
      </c>
      <c r="H960" s="4066">
        <v>100</v>
      </c>
      <c r="I960" s="1463"/>
      <c r="K960" s="536"/>
      <c r="L960" s="536"/>
    </row>
    <row r="961" spans="1:12" ht="16.5" hidden="1" customHeight="1" x14ac:dyDescent="0.25">
      <c r="A961" s="2"/>
      <c r="B961" s="441"/>
      <c r="C961" s="2494" t="s">
        <v>3136</v>
      </c>
      <c r="D961" s="4066">
        <v>52470000</v>
      </c>
      <c r="E961" s="2685">
        <v>52470000</v>
      </c>
      <c r="F961" s="2685"/>
      <c r="G961" s="4066">
        <f t="shared" si="65"/>
        <v>100</v>
      </c>
      <c r="H961" s="4066">
        <v>100</v>
      </c>
      <c r="I961" s="1463"/>
      <c r="K961" s="536"/>
      <c r="L961" s="536"/>
    </row>
    <row r="962" spans="1:12" ht="14.25" hidden="1" customHeight="1" x14ac:dyDescent="0.25">
      <c r="A962" s="2"/>
      <c r="B962" s="441"/>
      <c r="C962" s="2494" t="s">
        <v>3137</v>
      </c>
      <c r="D962" s="4283" t="s">
        <v>3317</v>
      </c>
      <c r="E962" s="3660" t="s">
        <v>3317</v>
      </c>
      <c r="F962" s="3660"/>
      <c r="G962" s="3660" t="s">
        <v>3317</v>
      </c>
      <c r="H962" s="3660" t="s">
        <v>3317</v>
      </c>
      <c r="I962" s="1463"/>
      <c r="K962" s="536"/>
      <c r="L962" s="536"/>
    </row>
    <row r="963" spans="1:12" ht="15.75" hidden="1" customHeight="1" x14ac:dyDescent="0.25">
      <c r="A963" s="2"/>
      <c r="B963" s="441"/>
      <c r="C963" s="2494" t="s">
        <v>3138</v>
      </c>
      <c r="D963" s="4066">
        <v>100000000</v>
      </c>
      <c r="E963" s="2685">
        <v>100000000</v>
      </c>
      <c r="F963" s="2685"/>
      <c r="G963" s="4066">
        <f t="shared" si="65"/>
        <v>100</v>
      </c>
      <c r="H963" s="2685">
        <v>100</v>
      </c>
      <c r="I963" s="1463"/>
      <c r="K963" s="536"/>
      <c r="L963" s="536"/>
    </row>
    <row r="964" spans="1:12" ht="15" hidden="1" customHeight="1" x14ac:dyDescent="0.25">
      <c r="A964" s="2"/>
      <c r="B964" s="441"/>
      <c r="C964" s="2494" t="s">
        <v>3139</v>
      </c>
      <c r="D964" s="4066">
        <v>331750000</v>
      </c>
      <c r="E964" s="2685">
        <v>331750000</v>
      </c>
      <c r="F964" s="2685"/>
      <c r="G964" s="4066">
        <f t="shared" si="65"/>
        <v>100</v>
      </c>
      <c r="H964" s="2685">
        <v>100</v>
      </c>
      <c r="I964" s="1463"/>
      <c r="K964" s="536"/>
      <c r="L964" s="536"/>
    </row>
    <row r="965" spans="1:12" ht="13.5" hidden="1" customHeight="1" x14ac:dyDescent="0.25">
      <c r="A965" s="2"/>
      <c r="B965" s="441"/>
      <c r="C965" s="2494" t="s">
        <v>3140</v>
      </c>
      <c r="D965" s="4066">
        <v>202070000</v>
      </c>
      <c r="E965" s="2685">
        <v>202070000</v>
      </c>
      <c r="F965" s="2685"/>
      <c r="G965" s="4066">
        <f t="shared" si="65"/>
        <v>100</v>
      </c>
      <c r="H965" s="2685">
        <v>100</v>
      </c>
      <c r="I965" s="1463"/>
      <c r="K965" s="536"/>
      <c r="L965" s="536"/>
    </row>
    <row r="966" spans="1:12" ht="15.75" hidden="1" customHeight="1" x14ac:dyDescent="0.25">
      <c r="A966" s="2"/>
      <c r="B966" s="441"/>
      <c r="C966" s="2494" t="s">
        <v>3141</v>
      </c>
      <c r="D966" s="4066">
        <v>250000000</v>
      </c>
      <c r="E966" s="4066">
        <v>250000000</v>
      </c>
      <c r="F966" s="4066"/>
      <c r="G966" s="4066">
        <f t="shared" si="65"/>
        <v>100</v>
      </c>
      <c r="H966" s="2685">
        <v>100</v>
      </c>
      <c r="I966" s="1463"/>
      <c r="K966" s="536"/>
      <c r="L966" s="536"/>
    </row>
    <row r="967" spans="1:12" ht="14.25" hidden="1" customHeight="1" x14ac:dyDescent="0.25">
      <c r="A967" s="2"/>
      <c r="B967" s="444"/>
      <c r="C967" s="2494" t="s">
        <v>3142</v>
      </c>
      <c r="D967" s="4066">
        <v>80000000</v>
      </c>
      <c r="E967" s="4066">
        <v>80000000</v>
      </c>
      <c r="F967" s="4066"/>
      <c r="G967" s="4066">
        <f t="shared" si="65"/>
        <v>100</v>
      </c>
      <c r="H967" s="4066">
        <v>100</v>
      </c>
      <c r="I967" s="1463"/>
      <c r="K967" s="536"/>
      <c r="L967" s="536"/>
    </row>
    <row r="968" spans="1:12" ht="12" hidden="1" customHeight="1" x14ac:dyDescent="0.25">
      <c r="A968" s="2"/>
      <c r="B968" s="441"/>
      <c r="C968" s="2494"/>
      <c r="D968" s="3704"/>
      <c r="E968" s="2690"/>
      <c r="F968" s="2690"/>
      <c r="G968" s="2690"/>
      <c r="H968" s="2690"/>
      <c r="I968" s="1463"/>
      <c r="K968" s="536"/>
      <c r="L968" s="536"/>
    </row>
    <row r="969" spans="1:12" ht="18" hidden="1" customHeight="1" x14ac:dyDescent="0.25">
      <c r="A969" s="2"/>
      <c r="B969" s="441"/>
      <c r="C969" s="2491" t="s">
        <v>2846</v>
      </c>
      <c r="D969" s="4159">
        <f>SUM(D970)</f>
        <v>61400000</v>
      </c>
      <c r="E969" s="2813">
        <f>SUM(E970)</f>
        <v>61400000</v>
      </c>
      <c r="F969" s="2813"/>
      <c r="G969" s="2695">
        <f t="shared" ref="G969" si="66">SUM(E969/D969*100)</f>
        <v>100</v>
      </c>
      <c r="H969" s="2679">
        <f>H970</f>
        <v>100</v>
      </c>
      <c r="I969" s="1463"/>
      <c r="K969" s="536"/>
      <c r="L969" s="536"/>
    </row>
    <row r="970" spans="1:12" ht="17.25" hidden="1" customHeight="1" x14ac:dyDescent="0.25">
      <c r="A970" s="2"/>
      <c r="B970" s="441"/>
      <c r="C970" s="2494" t="s">
        <v>2847</v>
      </c>
      <c r="D970" s="3704">
        <v>61400000</v>
      </c>
      <c r="E970" s="2685">
        <v>61400000</v>
      </c>
      <c r="F970" s="2685"/>
      <c r="G970" s="4066">
        <f t="shared" ref="G970" si="67">E970/D970*100</f>
        <v>100</v>
      </c>
      <c r="H970" s="2685">
        <v>100</v>
      </c>
      <c r="I970" s="1463"/>
      <c r="K970" s="536"/>
      <c r="L970" s="536"/>
    </row>
    <row r="971" spans="1:12" ht="12.75" hidden="1" customHeight="1" x14ac:dyDescent="0.25">
      <c r="A971" s="2"/>
      <c r="B971" s="441"/>
      <c r="C971" s="2494"/>
      <c r="D971" s="3704"/>
      <c r="E971" s="2679"/>
      <c r="F971" s="2679"/>
      <c r="G971" s="2695"/>
      <c r="H971" s="2695"/>
      <c r="I971" s="1463"/>
      <c r="K971" s="536"/>
      <c r="L971" s="536"/>
    </row>
    <row r="972" spans="1:12" ht="17.25" hidden="1" customHeight="1" x14ac:dyDescent="0.25">
      <c r="A972" s="2"/>
      <c r="B972" s="441"/>
      <c r="C972" s="2491" t="s">
        <v>2848</v>
      </c>
      <c r="D972" s="4159">
        <f>SUM(D973:D975)</f>
        <v>450500000</v>
      </c>
      <c r="E972" s="2813">
        <f>SUM(E973:E975)</f>
        <v>450500000</v>
      </c>
      <c r="F972" s="2813"/>
      <c r="G972" s="2695">
        <f t="shared" ref="G972" si="68">SUM(E972/D972*100)</f>
        <v>100</v>
      </c>
      <c r="H972" s="2695">
        <f>SUM(H973:H975)/3</f>
        <v>100</v>
      </c>
      <c r="I972" s="1463"/>
      <c r="K972" s="536"/>
      <c r="L972" s="536"/>
    </row>
    <row r="973" spans="1:12" ht="15" hidden="1" customHeight="1" x14ac:dyDescent="0.25">
      <c r="A973" s="2"/>
      <c r="B973" s="441"/>
      <c r="C973" s="2494" t="s">
        <v>2849</v>
      </c>
      <c r="D973" s="4066">
        <v>190000000</v>
      </c>
      <c r="E973" s="2685">
        <v>190000000</v>
      </c>
      <c r="F973" s="2685"/>
      <c r="G973" s="4066">
        <f t="shared" ref="G973:G975" si="69">E973/D973*100</f>
        <v>100</v>
      </c>
      <c r="H973" s="2685">
        <v>100</v>
      </c>
      <c r="I973" s="1463"/>
      <c r="K973" s="536"/>
      <c r="L973" s="536"/>
    </row>
    <row r="974" spans="1:12" ht="15" hidden="1" customHeight="1" x14ac:dyDescent="0.25">
      <c r="A974" s="2"/>
      <c r="B974" s="441"/>
      <c r="C974" s="2494" t="s">
        <v>2850</v>
      </c>
      <c r="D974" s="4066">
        <v>71000000</v>
      </c>
      <c r="E974" s="4066">
        <v>71000000</v>
      </c>
      <c r="F974" s="4066"/>
      <c r="G974" s="4066">
        <f t="shared" si="69"/>
        <v>100</v>
      </c>
      <c r="H974" s="4066">
        <v>100</v>
      </c>
      <c r="I974" s="1463"/>
      <c r="K974" s="536"/>
      <c r="L974" s="536"/>
    </row>
    <row r="975" spans="1:12" ht="15" hidden="1" customHeight="1" x14ac:dyDescent="0.25">
      <c r="A975" s="2"/>
      <c r="B975" s="441"/>
      <c r="C975" s="2494" t="s">
        <v>2851</v>
      </c>
      <c r="D975" s="4066">
        <v>189500000</v>
      </c>
      <c r="E975" s="4066">
        <v>189500000</v>
      </c>
      <c r="F975" s="4066"/>
      <c r="G975" s="4066">
        <f t="shared" si="69"/>
        <v>100</v>
      </c>
      <c r="H975" s="4066">
        <v>100</v>
      </c>
      <c r="I975" s="1463"/>
      <c r="K975" s="536"/>
      <c r="L975" s="536"/>
    </row>
    <row r="976" spans="1:12" ht="13.5" hidden="1" customHeight="1" x14ac:dyDescent="0.25">
      <c r="A976" s="2"/>
      <c r="B976" s="441"/>
      <c r="C976" s="2494"/>
      <c r="D976" s="3704"/>
      <c r="E976" s="2679"/>
      <c r="F976" s="2679"/>
      <c r="G976" s="2695"/>
      <c r="H976" s="2695"/>
      <c r="I976" s="1463"/>
      <c r="K976" s="536"/>
      <c r="L976" s="536"/>
    </row>
    <row r="977" spans="1:12" ht="18" hidden="1" customHeight="1" x14ac:dyDescent="0.25">
      <c r="A977" s="2"/>
      <c r="B977" s="441"/>
      <c r="C977" s="2491" t="s">
        <v>2852</v>
      </c>
      <c r="D977" s="4159">
        <f>SUM(D978:D981)</f>
        <v>1136455000</v>
      </c>
      <c r="E977" s="2813">
        <f>SUM(E978:E981)</f>
        <v>1136455000</v>
      </c>
      <c r="F977" s="2813"/>
      <c r="G977" s="2695">
        <f t="shared" ref="G977" si="70">SUM(E977/D977*100)</f>
        <v>100</v>
      </c>
      <c r="H977" s="2695">
        <f>SUM(H978:H981)/4</f>
        <v>100</v>
      </c>
      <c r="I977" s="1463"/>
      <c r="K977" s="536"/>
      <c r="L977" s="536"/>
    </row>
    <row r="978" spans="1:12" ht="14.25" hidden="1" customHeight="1" x14ac:dyDescent="0.25">
      <c r="A978" s="2"/>
      <c r="B978" s="441"/>
      <c r="C978" s="2494" t="s">
        <v>2853</v>
      </c>
      <c r="D978" s="4066">
        <v>174000000</v>
      </c>
      <c r="E978" s="4066">
        <v>174000000</v>
      </c>
      <c r="F978" s="4066"/>
      <c r="G978" s="4066">
        <f t="shared" ref="G978:G981" si="71">E978/D978*100</f>
        <v>100</v>
      </c>
      <c r="H978" s="4066">
        <v>100</v>
      </c>
      <c r="I978" s="1463"/>
      <c r="K978" s="536"/>
      <c r="L978" s="536"/>
    </row>
    <row r="979" spans="1:12" ht="15" hidden="1" customHeight="1" x14ac:dyDescent="0.25">
      <c r="A979" s="2"/>
      <c r="B979" s="441"/>
      <c r="C979" s="2494" t="s">
        <v>2854</v>
      </c>
      <c r="D979" s="4066">
        <v>516800000</v>
      </c>
      <c r="E979" s="4066">
        <v>516800000</v>
      </c>
      <c r="F979" s="4066"/>
      <c r="G979" s="4066">
        <f t="shared" si="71"/>
        <v>100</v>
      </c>
      <c r="H979" s="4066">
        <v>100</v>
      </c>
      <c r="I979" s="1463"/>
      <c r="K979" s="536"/>
      <c r="L979" s="536"/>
    </row>
    <row r="980" spans="1:12" ht="30" hidden="1" customHeight="1" x14ac:dyDescent="0.25">
      <c r="A980" s="2"/>
      <c r="B980" s="441"/>
      <c r="C980" s="2494" t="s">
        <v>2855</v>
      </c>
      <c r="D980" s="4066">
        <v>208150000</v>
      </c>
      <c r="E980" s="4066">
        <v>208150000</v>
      </c>
      <c r="F980" s="4066"/>
      <c r="G980" s="4066">
        <f t="shared" si="71"/>
        <v>100</v>
      </c>
      <c r="H980" s="4066">
        <v>100</v>
      </c>
      <c r="I980" s="1463"/>
      <c r="K980" s="536"/>
      <c r="L980" s="536"/>
    </row>
    <row r="981" spans="1:12" ht="19.5" hidden="1" customHeight="1" x14ac:dyDescent="0.25">
      <c r="A981" s="2"/>
      <c r="B981" s="441"/>
      <c r="C981" s="2494" t="s">
        <v>2856</v>
      </c>
      <c r="D981" s="4066">
        <v>237505000</v>
      </c>
      <c r="E981" s="4066">
        <v>237505000</v>
      </c>
      <c r="F981" s="4066"/>
      <c r="G981" s="4066">
        <f t="shared" si="71"/>
        <v>100</v>
      </c>
      <c r="H981" s="4066">
        <v>100</v>
      </c>
      <c r="I981" s="1463"/>
      <c r="K981" s="536"/>
      <c r="L981" s="536"/>
    </row>
    <row r="982" spans="1:12" ht="9.75" hidden="1" customHeight="1" x14ac:dyDescent="0.25">
      <c r="A982" s="2"/>
      <c r="B982" s="441"/>
      <c r="C982" s="2494"/>
      <c r="D982" s="3704"/>
      <c r="E982" s="2679"/>
      <c r="F982" s="2679"/>
      <c r="G982" s="2695"/>
      <c r="H982" s="2695"/>
      <c r="I982" s="1463"/>
      <c r="K982" s="536"/>
      <c r="L982" s="536"/>
    </row>
    <row r="983" spans="1:12" ht="21.75" hidden="1" customHeight="1" x14ac:dyDescent="0.25">
      <c r="A983" s="2"/>
      <c r="B983" s="441"/>
      <c r="C983" s="2491" t="s">
        <v>2857</v>
      </c>
      <c r="D983" s="4159">
        <f>SUM(D984:D987)</f>
        <v>738423500</v>
      </c>
      <c r="E983" s="2813">
        <f>SUM(E984:E987)</f>
        <v>738280000</v>
      </c>
      <c r="F983" s="2813"/>
      <c r="G983" s="2695">
        <f t="shared" ref="G983" si="72">SUM(E983/D983*100)</f>
        <v>99.980566707316328</v>
      </c>
      <c r="H983" s="2679">
        <f>SUM(H984:H987)/4</f>
        <v>100</v>
      </c>
      <c r="I983" s="1463"/>
      <c r="K983" s="536"/>
      <c r="L983" s="536"/>
    </row>
    <row r="984" spans="1:12" ht="16.5" hidden="1" customHeight="1" x14ac:dyDescent="0.25">
      <c r="A984" s="2"/>
      <c r="B984" s="441"/>
      <c r="C984" s="2494" t="s">
        <v>2858</v>
      </c>
      <c r="D984" s="4066">
        <v>174900000</v>
      </c>
      <c r="E984" s="4066">
        <v>174900000</v>
      </c>
      <c r="F984" s="4066"/>
      <c r="G984" s="4066">
        <f t="shared" ref="G984:G987" si="73">E984/D984*100</f>
        <v>100</v>
      </c>
      <c r="H984" s="4066">
        <v>100</v>
      </c>
      <c r="I984" s="1463"/>
      <c r="K984" s="536"/>
      <c r="L984" s="536"/>
    </row>
    <row r="985" spans="1:12" ht="16.5" hidden="1" customHeight="1" x14ac:dyDescent="0.25">
      <c r="A985" s="2"/>
      <c r="B985" s="441"/>
      <c r="C985" s="2494" t="s">
        <v>2859</v>
      </c>
      <c r="D985" s="4066">
        <v>265063500</v>
      </c>
      <c r="E985" s="2685">
        <v>264920000</v>
      </c>
      <c r="F985" s="2685"/>
      <c r="G985" s="4066">
        <f t="shared" si="73"/>
        <v>99.945862029287326</v>
      </c>
      <c r="H985" s="4066">
        <v>100</v>
      </c>
      <c r="I985" s="1463"/>
      <c r="K985" s="536"/>
      <c r="L985" s="536"/>
    </row>
    <row r="986" spans="1:12" ht="15.75" hidden="1" customHeight="1" x14ac:dyDescent="0.25">
      <c r="A986" s="2"/>
      <c r="B986" s="441"/>
      <c r="C986" s="2494" t="s">
        <v>2860</v>
      </c>
      <c r="D986" s="4066">
        <v>179400000</v>
      </c>
      <c r="E986" s="4066">
        <v>179400000</v>
      </c>
      <c r="F986" s="4066"/>
      <c r="G986" s="4066">
        <f t="shared" si="73"/>
        <v>100</v>
      </c>
      <c r="H986" s="4066">
        <v>100</v>
      </c>
      <c r="I986" s="1463"/>
      <c r="K986" s="536"/>
      <c r="L986" s="536"/>
    </row>
    <row r="987" spans="1:12" ht="15" hidden="1" customHeight="1" x14ac:dyDescent="0.25">
      <c r="A987" s="2"/>
      <c r="B987" s="441"/>
      <c r="C987" s="2494" t="s">
        <v>2861</v>
      </c>
      <c r="D987" s="4066">
        <v>119060000</v>
      </c>
      <c r="E987" s="2685">
        <v>119060000</v>
      </c>
      <c r="F987" s="2685"/>
      <c r="G987" s="4066">
        <f t="shared" si="73"/>
        <v>100</v>
      </c>
      <c r="H987" s="4066">
        <v>100</v>
      </c>
      <c r="I987" s="1463"/>
      <c r="K987" s="536"/>
      <c r="L987" s="536"/>
    </row>
    <row r="988" spans="1:12" ht="18" hidden="1" customHeight="1" x14ac:dyDescent="0.25">
      <c r="A988" s="2"/>
      <c r="B988" s="441"/>
      <c r="C988" s="2494"/>
      <c r="D988" s="3704"/>
      <c r="E988" s="2685"/>
      <c r="F988" s="2685"/>
      <c r="G988" s="2685"/>
      <c r="H988" s="2685"/>
      <c r="I988" s="1463"/>
      <c r="K988" s="536"/>
      <c r="L988" s="536"/>
    </row>
    <row r="989" spans="1:12" ht="30.75" hidden="1" customHeight="1" x14ac:dyDescent="0.25">
      <c r="A989" s="2"/>
      <c r="B989" s="441"/>
      <c r="C989" s="2491" t="s">
        <v>2862</v>
      </c>
      <c r="D989" s="4159">
        <f>D990</f>
        <v>770000000</v>
      </c>
      <c r="E989" s="2679">
        <f>E990</f>
        <v>767100000</v>
      </c>
      <c r="F989" s="2679"/>
      <c r="G989" s="2695">
        <f t="shared" ref="G989" si="74">SUM(E989/D989*100)</f>
        <v>99.623376623376629</v>
      </c>
      <c r="H989" s="2695">
        <f>SUM(H990)/1</f>
        <v>100</v>
      </c>
      <c r="I989" s="1463"/>
      <c r="K989" s="536"/>
      <c r="L989" s="536"/>
    </row>
    <row r="990" spans="1:12" ht="19.5" hidden="1" customHeight="1" x14ac:dyDescent="0.25">
      <c r="A990" s="2"/>
      <c r="B990" s="441"/>
      <c r="C990" s="2494" t="s">
        <v>2863</v>
      </c>
      <c r="D990" s="4066">
        <v>770000000</v>
      </c>
      <c r="E990" s="4066">
        <v>767100000</v>
      </c>
      <c r="F990" s="4066"/>
      <c r="G990" s="4066">
        <f t="shared" ref="G990" si="75">E990/D990*100</f>
        <v>99.623376623376629</v>
      </c>
      <c r="H990" s="4066">
        <v>100</v>
      </c>
      <c r="I990" s="1463"/>
      <c r="K990" s="536"/>
      <c r="L990" s="536"/>
    </row>
    <row r="991" spans="1:12" ht="13.5" hidden="1" customHeight="1" x14ac:dyDescent="0.25">
      <c r="A991" s="2"/>
      <c r="B991" s="441"/>
      <c r="C991" s="2528"/>
      <c r="D991" s="4276"/>
      <c r="E991" s="2685"/>
      <c r="F991" s="2685"/>
      <c r="G991" s="2685"/>
      <c r="H991" s="2685"/>
      <c r="I991" s="1463"/>
      <c r="K991" s="536"/>
      <c r="L991" s="536"/>
    </row>
    <row r="992" spans="1:12" ht="20.25" hidden="1" customHeight="1" x14ac:dyDescent="0.25">
      <c r="A992" s="2"/>
      <c r="B992" s="441"/>
      <c r="C992" s="2491" t="s">
        <v>2864</v>
      </c>
      <c r="D992" s="4159">
        <f>SUM(D993:D1000)</f>
        <v>1223510000</v>
      </c>
      <c r="E992" s="2813">
        <f>SUM(E993:E1000)</f>
        <v>1159710000</v>
      </c>
      <c r="F992" s="2813"/>
      <c r="G992" s="2695">
        <f t="shared" ref="G992" si="76">SUM(E992/D992*100)</f>
        <v>94.78549419293671</v>
      </c>
      <c r="H992" s="2695">
        <f>SUM(H993:H1000)/8</f>
        <v>97.5</v>
      </c>
      <c r="I992" s="1463"/>
      <c r="K992" s="536"/>
      <c r="L992" s="536"/>
    </row>
    <row r="993" spans="1:12" ht="13.5" hidden="1" customHeight="1" x14ac:dyDescent="0.25">
      <c r="A993" s="2"/>
      <c r="B993" s="441"/>
      <c r="C993" s="2494" t="s">
        <v>2865</v>
      </c>
      <c r="D993" s="4066">
        <v>230530000</v>
      </c>
      <c r="E993" s="4066">
        <v>230530000</v>
      </c>
      <c r="F993" s="4066"/>
      <c r="G993" s="4066">
        <f t="shared" ref="G993:G1000" si="77">E993/D993*100</f>
        <v>100</v>
      </c>
      <c r="H993" s="4066">
        <v>100</v>
      </c>
      <c r="I993" s="1463"/>
      <c r="K993" s="536"/>
      <c r="L993" s="536"/>
    </row>
    <row r="994" spans="1:12" ht="15.75" hidden="1" customHeight="1" x14ac:dyDescent="0.25">
      <c r="A994" s="2"/>
      <c r="B994" s="441"/>
      <c r="C994" s="2494" t="s">
        <v>2866</v>
      </c>
      <c r="D994" s="4066">
        <v>264430000</v>
      </c>
      <c r="E994" s="4066">
        <v>200630000</v>
      </c>
      <c r="F994" s="4066"/>
      <c r="G994" s="4066">
        <f t="shared" si="77"/>
        <v>75.872631698370071</v>
      </c>
      <c r="H994" s="4066">
        <v>80</v>
      </c>
      <c r="I994" s="1463"/>
      <c r="K994" s="536"/>
      <c r="L994" s="536"/>
    </row>
    <row r="995" spans="1:12" ht="15" hidden="1" customHeight="1" x14ac:dyDescent="0.25">
      <c r="A995" s="2"/>
      <c r="B995" s="441"/>
      <c r="C995" s="2494" t="s">
        <v>2867</v>
      </c>
      <c r="D995" s="4066">
        <v>62120000</v>
      </c>
      <c r="E995" s="4066">
        <v>62120000</v>
      </c>
      <c r="F995" s="4066"/>
      <c r="G995" s="4066">
        <f t="shared" si="77"/>
        <v>100</v>
      </c>
      <c r="H995" s="4066">
        <v>100</v>
      </c>
      <c r="I995" s="1463"/>
      <c r="K995" s="536"/>
      <c r="L995" s="536"/>
    </row>
    <row r="996" spans="1:12" ht="14.25" hidden="1" customHeight="1" x14ac:dyDescent="0.25">
      <c r="A996" s="2"/>
      <c r="B996" s="441"/>
      <c r="C996" s="2494" t="s">
        <v>2868</v>
      </c>
      <c r="D996" s="4066">
        <v>283180000</v>
      </c>
      <c r="E996" s="2685">
        <v>283180000</v>
      </c>
      <c r="F996" s="2685"/>
      <c r="G996" s="4066">
        <f t="shared" si="77"/>
        <v>100</v>
      </c>
      <c r="H996" s="4066">
        <v>100</v>
      </c>
      <c r="I996" s="1463"/>
      <c r="K996" s="536"/>
      <c r="L996" s="536"/>
    </row>
    <row r="997" spans="1:12" ht="15" hidden="1" customHeight="1" x14ac:dyDescent="0.25">
      <c r="A997" s="2"/>
      <c r="B997" s="441"/>
      <c r="C997" s="2494" t="s">
        <v>2869</v>
      </c>
      <c r="D997" s="4066">
        <v>98750000</v>
      </c>
      <c r="E997" s="2685">
        <v>98750000</v>
      </c>
      <c r="F997" s="2685"/>
      <c r="G997" s="4066">
        <f t="shared" si="77"/>
        <v>100</v>
      </c>
      <c r="H997" s="4066">
        <v>100</v>
      </c>
      <c r="I997" s="1463"/>
      <c r="K997" s="536"/>
      <c r="L997" s="536"/>
    </row>
    <row r="998" spans="1:12" ht="15" hidden="1" customHeight="1" x14ac:dyDescent="0.25">
      <c r="A998" s="2"/>
      <c r="B998" s="441"/>
      <c r="C998" s="2494" t="s">
        <v>2870</v>
      </c>
      <c r="D998" s="4066">
        <v>35450000</v>
      </c>
      <c r="E998" s="2685">
        <v>35450000</v>
      </c>
      <c r="F998" s="2685"/>
      <c r="G998" s="4066">
        <f t="shared" si="77"/>
        <v>100</v>
      </c>
      <c r="H998" s="4066">
        <v>100</v>
      </c>
      <c r="I998" s="1463"/>
      <c r="K998" s="536"/>
      <c r="L998" s="536"/>
    </row>
    <row r="999" spans="1:12" ht="15" hidden="1" customHeight="1" x14ac:dyDescent="0.25">
      <c r="A999" s="2"/>
      <c r="B999" s="441"/>
      <c r="C999" s="2494" t="s">
        <v>2871</v>
      </c>
      <c r="D999" s="4066">
        <v>182560000</v>
      </c>
      <c r="E999" s="4066">
        <v>182560000</v>
      </c>
      <c r="F999" s="4066"/>
      <c r="G999" s="4066">
        <f t="shared" si="77"/>
        <v>100</v>
      </c>
      <c r="H999" s="4066">
        <v>100</v>
      </c>
      <c r="I999" s="1463"/>
      <c r="K999" s="536"/>
      <c r="L999" s="536"/>
    </row>
    <row r="1000" spans="1:12" ht="17.25" hidden="1" customHeight="1" x14ac:dyDescent="0.25">
      <c r="A1000" s="2"/>
      <c r="B1000" s="441"/>
      <c r="C1000" s="2494" t="s">
        <v>2872</v>
      </c>
      <c r="D1000" s="4066">
        <v>66490000</v>
      </c>
      <c r="E1000" s="2685">
        <v>66490000</v>
      </c>
      <c r="F1000" s="2685"/>
      <c r="G1000" s="4066">
        <f t="shared" si="77"/>
        <v>100</v>
      </c>
      <c r="H1000" s="4066">
        <v>100</v>
      </c>
      <c r="I1000" s="1463"/>
      <c r="K1000" s="536"/>
      <c r="L1000" s="536"/>
    </row>
    <row r="1001" spans="1:12" ht="14.25" hidden="1" customHeight="1" x14ac:dyDescent="0.25">
      <c r="A1001" s="2"/>
      <c r="B1001" s="441"/>
      <c r="C1001" s="2528"/>
      <c r="D1001" s="4299"/>
      <c r="E1001" s="4277"/>
      <c r="F1001" s="4277"/>
      <c r="G1001" s="2710"/>
      <c r="H1001" s="2778"/>
      <c r="I1001" s="1463"/>
      <c r="K1001" s="536"/>
      <c r="L1001" s="536"/>
    </row>
    <row r="1002" spans="1:12" ht="28.5" hidden="1" customHeight="1" x14ac:dyDescent="0.25">
      <c r="A1002" s="2"/>
      <c r="B1002" s="441"/>
      <c r="C1002" s="2525" t="s">
        <v>2873</v>
      </c>
      <c r="D1002" s="4065">
        <f>D1003</f>
        <v>49500000</v>
      </c>
      <c r="E1002" s="2695">
        <f>E1003</f>
        <v>49500000</v>
      </c>
      <c r="F1002" s="2695"/>
      <c r="G1002" s="2695">
        <f t="shared" ref="G1002" si="78">SUM(E1002/D1002*100)</f>
        <v>100</v>
      </c>
      <c r="H1002" s="2695">
        <f>H1003/1</f>
        <v>100</v>
      </c>
      <c r="I1002" s="1463"/>
      <c r="K1002" s="536"/>
      <c r="L1002" s="536"/>
    </row>
    <row r="1003" spans="1:12" ht="22.5" hidden="1" customHeight="1" x14ac:dyDescent="0.25">
      <c r="A1003" s="2"/>
      <c r="B1003" s="441"/>
      <c r="C1003" s="2524" t="s">
        <v>2874</v>
      </c>
      <c r="D1003" s="4066">
        <v>49500000</v>
      </c>
      <c r="E1003" s="4066">
        <v>49500000</v>
      </c>
      <c r="F1003" s="4066"/>
      <c r="G1003" s="4066">
        <f t="shared" ref="G1003" si="79">E1003/D1003*100</f>
        <v>100</v>
      </c>
      <c r="H1003" s="4066">
        <v>100</v>
      </c>
      <c r="I1003" s="1463"/>
      <c r="K1003" s="536"/>
      <c r="L1003" s="536"/>
    </row>
    <row r="1004" spans="1:12" ht="12.75" hidden="1" customHeight="1" x14ac:dyDescent="0.25">
      <c r="A1004" s="2"/>
      <c r="B1004" s="441"/>
      <c r="C1004" s="2527"/>
      <c r="D1004" s="4276"/>
      <c r="E1004" s="3874"/>
      <c r="F1004" s="3874"/>
      <c r="G1004" s="2690"/>
      <c r="H1004" s="3035"/>
      <c r="I1004" s="1463"/>
      <c r="K1004" s="536"/>
      <c r="L1004" s="536"/>
    </row>
    <row r="1005" spans="1:12" ht="18" hidden="1" customHeight="1" x14ac:dyDescent="0.25">
      <c r="A1005" s="2"/>
      <c r="B1005" s="441"/>
      <c r="C1005" s="2525" t="s">
        <v>2875</v>
      </c>
      <c r="D1005" s="4065">
        <f>D1006</f>
        <v>380000000</v>
      </c>
      <c r="E1005" s="3116">
        <f>E1006</f>
        <v>380000000</v>
      </c>
      <c r="F1005" s="3116"/>
      <c r="G1005" s="2695">
        <f t="shared" ref="G1005" si="80">SUM(E1005/D1005*100)</f>
        <v>100</v>
      </c>
      <c r="H1005" s="3217">
        <f>H1006</f>
        <v>100</v>
      </c>
      <c r="I1005" s="1463"/>
      <c r="K1005" s="536"/>
      <c r="L1005" s="536"/>
    </row>
    <row r="1006" spans="1:12" ht="18.75" hidden="1" customHeight="1" x14ac:dyDescent="0.25">
      <c r="A1006" s="2"/>
      <c r="B1006" s="441"/>
      <c r="C1006" s="2524" t="s">
        <v>2876</v>
      </c>
      <c r="D1006" s="4066">
        <v>380000000</v>
      </c>
      <c r="E1006" s="3216">
        <v>380000000</v>
      </c>
      <c r="F1006" s="3216"/>
      <c r="G1006" s="4066">
        <f t="shared" ref="G1006" si="81">E1006/D1006*100</f>
        <v>100</v>
      </c>
      <c r="H1006" s="3216">
        <v>100</v>
      </c>
      <c r="I1006" s="1463"/>
      <c r="K1006" s="536"/>
      <c r="L1006" s="536"/>
    </row>
    <row r="1007" spans="1:12" ht="12" hidden="1" customHeight="1" x14ac:dyDescent="0.25">
      <c r="A1007" s="2"/>
      <c r="B1007" s="441"/>
      <c r="C1007" s="2524"/>
      <c r="D1007" s="4276"/>
      <c r="E1007" s="3874"/>
      <c r="F1007" s="3874"/>
      <c r="G1007" s="2690"/>
      <c r="H1007" s="3035"/>
      <c r="I1007" s="1463"/>
      <c r="K1007" s="536"/>
      <c r="L1007" s="536"/>
    </row>
    <row r="1008" spans="1:12" ht="19.5" hidden="1" customHeight="1" x14ac:dyDescent="0.25">
      <c r="A1008" s="2"/>
      <c r="B1008" s="441"/>
      <c r="C1008" s="3674" t="s">
        <v>3143</v>
      </c>
      <c r="D1008" s="4065">
        <f>D1009</f>
        <v>348500000</v>
      </c>
      <c r="E1008" s="3116">
        <f>E1009</f>
        <v>348500000</v>
      </c>
      <c r="F1008" s="3116"/>
      <c r="G1008" s="2695">
        <f t="shared" ref="G1008" si="82">SUM(E1008/D1008*100)</f>
        <v>100</v>
      </c>
      <c r="H1008" s="2695">
        <f>H1009</f>
        <v>100</v>
      </c>
      <c r="I1008" s="1463"/>
      <c r="K1008" s="536"/>
      <c r="L1008" s="536"/>
    </row>
    <row r="1009" spans="1:12" ht="15" hidden="1" customHeight="1" x14ac:dyDescent="0.25">
      <c r="A1009" s="2"/>
      <c r="B1009" s="441"/>
      <c r="C1009" s="3672" t="s">
        <v>3134</v>
      </c>
      <c r="D1009" s="4066">
        <v>348500000</v>
      </c>
      <c r="E1009" s="4066">
        <v>348500000</v>
      </c>
      <c r="F1009" s="4066"/>
      <c r="G1009" s="4066">
        <f t="shared" ref="G1009" si="83">E1009/D1009*100</f>
        <v>100</v>
      </c>
      <c r="H1009" s="4066">
        <v>100</v>
      </c>
      <c r="I1009" s="1463"/>
      <c r="K1009" s="536"/>
      <c r="L1009" s="536"/>
    </row>
    <row r="1010" spans="1:12" ht="13.5" hidden="1" customHeight="1" x14ac:dyDescent="0.25">
      <c r="A1010" s="2"/>
      <c r="B1010" s="444"/>
      <c r="C1010" s="2527"/>
      <c r="D1010" s="4276"/>
      <c r="E1010" s="3035"/>
      <c r="F1010" s="3035"/>
      <c r="G1010" s="2690"/>
      <c r="H1010" s="3035"/>
      <c r="I1010" s="1463"/>
      <c r="K1010" s="536"/>
      <c r="L1010" s="536"/>
    </row>
    <row r="1011" spans="1:12" ht="15.75" hidden="1" customHeight="1" x14ac:dyDescent="0.25">
      <c r="A1011" s="2"/>
      <c r="B1011" s="441"/>
      <c r="C1011" s="2525" t="s">
        <v>3144</v>
      </c>
      <c r="D1011" s="4065">
        <f>SUM(D1012:D1016)</f>
        <v>1429400000</v>
      </c>
      <c r="E1011" s="2695">
        <f>SUM(E1012:E1016)</f>
        <v>1162400000</v>
      </c>
      <c r="F1011" s="2695"/>
      <c r="G1011" s="2695">
        <f t="shared" ref="G1011" si="84">SUM(E1011/D1011*100)</f>
        <v>81.320833916328525</v>
      </c>
      <c r="H1011" s="2695">
        <f>SUM(H1012:H1016)/5</f>
        <v>80</v>
      </c>
      <c r="I1011" s="1463"/>
      <c r="K1011" s="536"/>
      <c r="L1011" s="536"/>
    </row>
    <row r="1012" spans="1:12" ht="15.75" hidden="1" customHeight="1" x14ac:dyDescent="0.25">
      <c r="A1012" s="2"/>
      <c r="B1012" s="441"/>
      <c r="C1012" s="2524" t="s">
        <v>3145</v>
      </c>
      <c r="D1012" s="4066">
        <v>267000000</v>
      </c>
      <c r="E1012" s="3216">
        <v>0</v>
      </c>
      <c r="F1012" s="3216"/>
      <c r="G1012" s="3216">
        <v>0</v>
      </c>
      <c r="H1012" s="3216">
        <v>0</v>
      </c>
      <c r="I1012" s="1463"/>
      <c r="K1012" s="536"/>
      <c r="L1012" s="536"/>
    </row>
    <row r="1013" spans="1:12" ht="15" hidden="1" customHeight="1" x14ac:dyDescent="0.25">
      <c r="A1013" s="2"/>
      <c r="B1013" s="441"/>
      <c r="C1013" s="2524" t="s">
        <v>3146</v>
      </c>
      <c r="D1013" s="4066">
        <v>397500000</v>
      </c>
      <c r="E1013" s="4066">
        <v>397500000</v>
      </c>
      <c r="F1013" s="4066"/>
      <c r="G1013" s="4066">
        <f t="shared" ref="G1013:G1016" si="85">E1013/D1013*100</f>
        <v>100</v>
      </c>
      <c r="H1013" s="4066">
        <v>100</v>
      </c>
      <c r="I1013" s="1463"/>
      <c r="K1013" s="536"/>
      <c r="L1013" s="536"/>
    </row>
    <row r="1014" spans="1:12" ht="15" hidden="1" customHeight="1" x14ac:dyDescent="0.25">
      <c r="A1014" s="2"/>
      <c r="B1014" s="441"/>
      <c r="C1014" s="2524" t="s">
        <v>3147</v>
      </c>
      <c r="D1014" s="4066">
        <v>250000000</v>
      </c>
      <c r="E1014" s="3216">
        <v>250000000</v>
      </c>
      <c r="F1014" s="3216"/>
      <c r="G1014" s="4066">
        <f t="shared" si="85"/>
        <v>100</v>
      </c>
      <c r="H1014" s="4066">
        <v>100</v>
      </c>
      <c r="I1014" s="1463"/>
      <c r="K1014" s="536"/>
      <c r="L1014" s="536"/>
    </row>
    <row r="1015" spans="1:12" ht="15" hidden="1" customHeight="1" x14ac:dyDescent="0.25">
      <c r="A1015" s="2"/>
      <c r="B1015" s="441"/>
      <c r="C1015" s="2524" t="s">
        <v>3148</v>
      </c>
      <c r="D1015" s="4066">
        <v>480000000</v>
      </c>
      <c r="E1015" s="4066">
        <v>480000000</v>
      </c>
      <c r="F1015" s="4066"/>
      <c r="G1015" s="4066">
        <f t="shared" si="85"/>
        <v>100</v>
      </c>
      <c r="H1015" s="4066">
        <v>100</v>
      </c>
      <c r="I1015" s="1463"/>
      <c r="K1015" s="536"/>
      <c r="L1015" s="536"/>
    </row>
    <row r="1016" spans="1:12" ht="15.75" hidden="1" customHeight="1" x14ac:dyDescent="0.25">
      <c r="A1016" s="2"/>
      <c r="B1016" s="441"/>
      <c r="C1016" s="2524" t="s">
        <v>3149</v>
      </c>
      <c r="D1016" s="4066">
        <v>34900000</v>
      </c>
      <c r="E1016" s="4066">
        <v>34900000</v>
      </c>
      <c r="F1016" s="4066"/>
      <c r="G1016" s="4066">
        <f t="shared" si="85"/>
        <v>100</v>
      </c>
      <c r="H1016" s="4066">
        <v>100</v>
      </c>
      <c r="I1016" s="1463"/>
      <c r="K1016" s="536"/>
      <c r="L1016" s="536"/>
    </row>
    <row r="1017" spans="1:12" ht="13.5" hidden="1" customHeight="1" x14ac:dyDescent="0.25">
      <c r="A1017" s="2"/>
      <c r="B1017" s="441"/>
      <c r="C1017" s="2533"/>
      <c r="D1017" s="4285"/>
      <c r="E1017" s="2778"/>
      <c r="F1017" s="2778"/>
      <c r="G1017" s="2710"/>
      <c r="H1017" s="2778"/>
      <c r="I1017" s="1463"/>
      <c r="K1017" s="536"/>
      <c r="L1017" s="536"/>
    </row>
    <row r="1018" spans="1:12" ht="15.75" hidden="1" customHeight="1" x14ac:dyDescent="0.25">
      <c r="A1018" s="2"/>
      <c r="B1018" s="440"/>
      <c r="C1018" s="2532" t="s">
        <v>2877</v>
      </c>
      <c r="D1018" s="4106">
        <f>D1019</f>
        <v>600000000</v>
      </c>
      <c r="E1018" s="4041">
        <f>E1019</f>
        <v>600000000</v>
      </c>
      <c r="F1018" s="4041"/>
      <c r="G1018" s="2672">
        <f>E1018/D1018*100</f>
        <v>100</v>
      </c>
      <c r="H1018" s="2672">
        <f>H1019/1</f>
        <v>100</v>
      </c>
      <c r="I1018" s="1462"/>
      <c r="K1018" s="536"/>
      <c r="L1018" s="536"/>
    </row>
    <row r="1019" spans="1:12" ht="16.5" hidden="1" customHeight="1" x14ac:dyDescent="0.25">
      <c r="A1019" s="2"/>
      <c r="B1019" s="441"/>
      <c r="C1019" s="2538" t="s">
        <v>2878</v>
      </c>
      <c r="D1019" s="4072">
        <f>D1020</f>
        <v>600000000</v>
      </c>
      <c r="E1019" s="2734">
        <f>E1020</f>
        <v>600000000</v>
      </c>
      <c r="F1019" s="2734"/>
      <c r="G1019" s="4065">
        <f t="shared" ref="G1019:G1020" si="86">E1019/D1019*100</f>
        <v>100</v>
      </c>
      <c r="H1019" s="2734">
        <f>H1020</f>
        <v>100</v>
      </c>
      <c r="I1019" s="1463"/>
      <c r="K1019" s="536"/>
      <c r="L1019" s="536"/>
    </row>
    <row r="1020" spans="1:12" ht="13.5" hidden="1" customHeight="1" x14ac:dyDescent="0.25">
      <c r="A1020" s="2"/>
      <c r="B1020" s="441"/>
      <c r="C1020" s="2524" t="s">
        <v>2879</v>
      </c>
      <c r="D1020" s="4066">
        <v>600000000</v>
      </c>
      <c r="E1020" s="4066">
        <v>600000000</v>
      </c>
      <c r="F1020" s="4066"/>
      <c r="G1020" s="4066">
        <f t="shared" si="86"/>
        <v>100</v>
      </c>
      <c r="H1020" s="4066">
        <v>100</v>
      </c>
      <c r="I1020" s="1463"/>
      <c r="K1020" s="536"/>
      <c r="L1020" s="536"/>
    </row>
    <row r="1021" spans="1:12" ht="15.75" hidden="1" customHeight="1" x14ac:dyDescent="0.25">
      <c r="A1021" s="2"/>
      <c r="B1021" s="441"/>
      <c r="C1021" s="2533"/>
      <c r="D1021" s="4285"/>
      <c r="E1021" s="2778"/>
      <c r="F1021" s="2778"/>
      <c r="G1021" s="2710"/>
      <c r="H1021" s="2778"/>
      <c r="I1021" s="1463"/>
      <c r="K1021" s="536"/>
      <c r="L1021" s="536"/>
    </row>
    <row r="1022" spans="1:12" ht="18" hidden="1" customHeight="1" x14ac:dyDescent="0.25">
      <c r="A1022" s="2"/>
      <c r="B1022" s="440"/>
      <c r="C1022" s="2532" t="s">
        <v>2880</v>
      </c>
      <c r="D1022" s="4106">
        <f>D1023</f>
        <v>400000000</v>
      </c>
      <c r="E1022" s="4041">
        <f>E1023</f>
        <v>400000000</v>
      </c>
      <c r="F1022" s="4041"/>
      <c r="G1022" s="2672">
        <f>G1023</f>
        <v>100</v>
      </c>
      <c r="H1022" s="2672">
        <f>H1023/1</f>
        <v>100</v>
      </c>
      <c r="I1022" s="1463"/>
      <c r="K1022" s="536"/>
      <c r="L1022" s="536"/>
    </row>
    <row r="1023" spans="1:12" ht="16.5" hidden="1" customHeight="1" x14ac:dyDescent="0.25">
      <c r="A1023" s="2"/>
      <c r="B1023" s="441"/>
      <c r="C1023" s="2538" t="s">
        <v>2881</v>
      </c>
      <c r="D1023" s="4072">
        <f>D1024</f>
        <v>400000000</v>
      </c>
      <c r="E1023" s="4042">
        <f>E1024</f>
        <v>400000000</v>
      </c>
      <c r="F1023" s="4042"/>
      <c r="G1023" s="4065">
        <f t="shared" ref="G1023:G1024" si="87">E1023/D1023*100</f>
        <v>100</v>
      </c>
      <c r="H1023" s="2734">
        <f>H1024</f>
        <v>100</v>
      </c>
      <c r="I1023" s="1463"/>
      <c r="K1023" s="536"/>
      <c r="L1023" s="536"/>
    </row>
    <row r="1024" spans="1:12" ht="13.5" hidden="1" customHeight="1" x14ac:dyDescent="0.25">
      <c r="A1024" s="2"/>
      <c r="B1024" s="441"/>
      <c r="C1024" s="2524" t="s">
        <v>2882</v>
      </c>
      <c r="D1024" s="4066">
        <v>400000000</v>
      </c>
      <c r="E1024" s="4066">
        <v>400000000</v>
      </c>
      <c r="F1024" s="4066"/>
      <c r="G1024" s="4066">
        <f t="shared" si="87"/>
        <v>100</v>
      </c>
      <c r="H1024" s="4066">
        <v>100</v>
      </c>
      <c r="I1024" s="1463"/>
      <c r="K1024" s="536"/>
      <c r="L1024" s="536"/>
    </row>
    <row r="1025" spans="1:12" ht="19.5" hidden="1" customHeight="1" x14ac:dyDescent="0.25">
      <c r="A1025" s="2"/>
      <c r="B1025" s="441"/>
      <c r="C1025" s="2533"/>
      <c r="D1025" s="4285"/>
      <c r="E1025" s="2778"/>
      <c r="F1025" s="2778"/>
      <c r="G1025" s="2710"/>
      <c r="H1025" s="2778"/>
      <c r="I1025" s="1463"/>
      <c r="K1025" s="536"/>
      <c r="L1025" s="536"/>
    </row>
    <row r="1026" spans="1:12" ht="15.75" hidden="1" customHeight="1" x14ac:dyDescent="0.25">
      <c r="A1026" s="2"/>
      <c r="B1026" s="440"/>
      <c r="C1026" s="2532" t="s">
        <v>2883</v>
      </c>
      <c r="D1026" s="4106">
        <f>D1027</f>
        <v>800000000</v>
      </c>
      <c r="E1026" s="4041">
        <f>E1027</f>
        <v>800000000</v>
      </c>
      <c r="F1026" s="4041"/>
      <c r="G1026" s="2672">
        <f>G1027</f>
        <v>100</v>
      </c>
      <c r="H1026" s="2672">
        <f>H1027</f>
        <v>100</v>
      </c>
      <c r="I1026" s="1463"/>
      <c r="K1026" s="536"/>
      <c r="L1026" s="536"/>
    </row>
    <row r="1027" spans="1:12" ht="18.75" hidden="1" customHeight="1" x14ac:dyDescent="0.25">
      <c r="A1027" s="2"/>
      <c r="B1027" s="441"/>
      <c r="C1027" s="2538" t="s">
        <v>2884</v>
      </c>
      <c r="D1027" s="4072">
        <f>D1028</f>
        <v>800000000</v>
      </c>
      <c r="E1027" s="4042">
        <f>E1028</f>
        <v>800000000</v>
      </c>
      <c r="F1027" s="4042"/>
      <c r="G1027" s="4065">
        <f t="shared" ref="G1027:G1028" si="88">E1027/D1027*100</f>
        <v>100</v>
      </c>
      <c r="H1027" s="2734">
        <f>H1028</f>
        <v>100</v>
      </c>
      <c r="I1027" s="1463"/>
      <c r="K1027" s="536"/>
      <c r="L1027" s="536"/>
    </row>
    <row r="1028" spans="1:12" ht="19.5" hidden="1" customHeight="1" x14ac:dyDescent="0.25">
      <c r="A1028" s="2"/>
      <c r="B1028" s="441"/>
      <c r="C1028" s="2524" t="s">
        <v>3086</v>
      </c>
      <c r="D1028" s="4066">
        <v>800000000</v>
      </c>
      <c r="E1028" s="4066">
        <v>800000000</v>
      </c>
      <c r="F1028" s="4066"/>
      <c r="G1028" s="4066">
        <f t="shared" si="88"/>
        <v>100</v>
      </c>
      <c r="H1028" s="4066">
        <v>100</v>
      </c>
      <c r="I1028" s="1463"/>
      <c r="K1028" s="536"/>
      <c r="L1028" s="536"/>
    </row>
    <row r="1029" spans="1:12" ht="17.25" hidden="1" customHeight="1" x14ac:dyDescent="0.25">
      <c r="A1029" s="2"/>
      <c r="B1029" s="441"/>
      <c r="C1029" s="2533"/>
      <c r="D1029" s="4285"/>
      <c r="E1029" s="2778"/>
      <c r="F1029" s="2778"/>
      <c r="G1029" s="2710"/>
      <c r="H1029" s="2778"/>
      <c r="I1029" s="1463"/>
      <c r="K1029" s="536"/>
      <c r="L1029" s="536"/>
    </row>
    <row r="1030" spans="1:12" s="32" customFormat="1" ht="15.75" hidden="1" customHeight="1" x14ac:dyDescent="0.25">
      <c r="A1030" s="1"/>
      <c r="B1030" s="440"/>
      <c r="C1030" s="2532" t="s">
        <v>2885</v>
      </c>
      <c r="D1030" s="4106">
        <f>D1031</f>
        <v>550000000</v>
      </c>
      <c r="E1030" s="4041">
        <f>E1031</f>
        <v>550000000</v>
      </c>
      <c r="F1030" s="4041"/>
      <c r="G1030" s="2672">
        <f>G1031</f>
        <v>100</v>
      </c>
      <c r="H1030" s="2672">
        <f>H1031</f>
        <v>100</v>
      </c>
      <c r="I1030" s="1462"/>
      <c r="K1030" s="1208"/>
      <c r="L1030" s="1208"/>
    </row>
    <row r="1031" spans="1:12" s="32" customFormat="1" ht="16.5" hidden="1" customHeight="1" x14ac:dyDescent="0.25">
      <c r="A1031" s="1"/>
      <c r="B1031" s="441"/>
      <c r="C1031" s="2538" t="s">
        <v>2886</v>
      </c>
      <c r="D1031" s="4072">
        <f>D1032</f>
        <v>550000000</v>
      </c>
      <c r="E1031" s="4042">
        <f>E1032</f>
        <v>550000000</v>
      </c>
      <c r="F1031" s="4042"/>
      <c r="G1031" s="4065">
        <f t="shared" ref="G1031:G1032" si="89">E1031/D1031*100</f>
        <v>100</v>
      </c>
      <c r="H1031" s="2734">
        <f>H1032</f>
        <v>100</v>
      </c>
      <c r="I1031" s="1462"/>
      <c r="K1031" s="1208"/>
      <c r="L1031" s="1208"/>
    </row>
    <row r="1032" spans="1:12" ht="17.25" hidden="1" customHeight="1" x14ac:dyDescent="0.25">
      <c r="A1032" s="2"/>
      <c r="B1032" s="441"/>
      <c r="C1032" s="2524" t="s">
        <v>2887</v>
      </c>
      <c r="D1032" s="4066">
        <v>550000000</v>
      </c>
      <c r="E1032" s="4066">
        <v>550000000</v>
      </c>
      <c r="F1032" s="4066"/>
      <c r="G1032" s="4066">
        <f t="shared" si="89"/>
        <v>100</v>
      </c>
      <c r="H1032" s="4066">
        <v>100</v>
      </c>
      <c r="I1032" s="1463"/>
      <c r="K1032" s="536"/>
      <c r="L1032" s="536"/>
    </row>
    <row r="1033" spans="1:12" ht="16.5" hidden="1" customHeight="1" x14ac:dyDescent="0.25">
      <c r="A1033" s="2"/>
      <c r="B1033" s="441"/>
      <c r="C1033" s="2533"/>
      <c r="D1033" s="4285"/>
      <c r="E1033" s="2778"/>
      <c r="F1033" s="2778"/>
      <c r="G1033" s="2710"/>
      <c r="H1033" s="2778"/>
      <c r="I1033" s="1463"/>
      <c r="K1033" s="536"/>
      <c r="L1033" s="536"/>
    </row>
    <row r="1034" spans="1:12" s="32" customFormat="1" ht="16.5" hidden="1" customHeight="1" x14ac:dyDescent="0.25">
      <c r="A1034" s="1"/>
      <c r="B1034" s="440"/>
      <c r="C1034" s="2532" t="s">
        <v>2888</v>
      </c>
      <c r="D1034" s="4106">
        <f>D1035</f>
        <v>500000000</v>
      </c>
      <c r="E1034" s="4041">
        <f>E1035</f>
        <v>500000000</v>
      </c>
      <c r="F1034" s="4041"/>
      <c r="G1034" s="2672">
        <f>G1035</f>
        <v>100</v>
      </c>
      <c r="H1034" s="2672">
        <f>H1035</f>
        <v>100</v>
      </c>
      <c r="I1034" s="1462"/>
      <c r="K1034" s="1208"/>
      <c r="L1034" s="1208"/>
    </row>
    <row r="1035" spans="1:12" s="32" customFormat="1" ht="15.75" hidden="1" customHeight="1" x14ac:dyDescent="0.25">
      <c r="A1035" s="1"/>
      <c r="B1035" s="441"/>
      <c r="C1035" s="2538" t="s">
        <v>2889</v>
      </c>
      <c r="D1035" s="4072">
        <f>D1036</f>
        <v>500000000</v>
      </c>
      <c r="E1035" s="4042">
        <f>E1036</f>
        <v>500000000</v>
      </c>
      <c r="F1035" s="4042"/>
      <c r="G1035" s="4065">
        <f t="shared" ref="G1035:G1036" si="90">E1035/D1035*100</f>
        <v>100</v>
      </c>
      <c r="H1035" s="2734">
        <f>H1036</f>
        <v>100</v>
      </c>
      <c r="I1035" s="1462"/>
      <c r="K1035" s="1208"/>
      <c r="L1035" s="1208"/>
    </row>
    <row r="1036" spans="1:12" ht="24" hidden="1" customHeight="1" x14ac:dyDescent="0.25">
      <c r="A1036" s="2"/>
      <c r="B1036" s="441"/>
      <c r="C1036" s="2524" t="s">
        <v>2890</v>
      </c>
      <c r="D1036" s="4066">
        <v>500000000</v>
      </c>
      <c r="E1036" s="4066">
        <v>500000000</v>
      </c>
      <c r="F1036" s="4066"/>
      <c r="G1036" s="4066">
        <f t="shared" si="90"/>
        <v>100</v>
      </c>
      <c r="H1036" s="4066">
        <v>100</v>
      </c>
      <c r="I1036" s="1463"/>
      <c r="K1036" s="536"/>
      <c r="L1036" s="536"/>
    </row>
    <row r="1037" spans="1:12" ht="12.75" hidden="1" customHeight="1" x14ac:dyDescent="0.25">
      <c r="A1037" s="2"/>
      <c r="B1037" s="441"/>
      <c r="C1037" s="2533"/>
      <c r="D1037" s="4285"/>
      <c r="E1037" s="2778"/>
      <c r="F1037" s="2778"/>
      <c r="G1037" s="2710"/>
      <c r="H1037" s="2778"/>
      <c r="I1037" s="1463"/>
      <c r="K1037" s="536"/>
      <c r="L1037" s="536"/>
    </row>
    <row r="1038" spans="1:12" s="32" customFormat="1" ht="15.75" hidden="1" customHeight="1" x14ac:dyDescent="0.25">
      <c r="A1038" s="1"/>
      <c r="B1038" s="440"/>
      <c r="C1038" s="2532" t="s">
        <v>2891</v>
      </c>
      <c r="D1038" s="4106">
        <f>D1039</f>
        <v>700000000</v>
      </c>
      <c r="E1038" s="4041">
        <f>E1039</f>
        <v>699920625</v>
      </c>
      <c r="F1038" s="4041"/>
      <c r="G1038" s="2672">
        <f>G1039</f>
        <v>99.988660714285714</v>
      </c>
      <c r="H1038" s="2672">
        <f>H1039</f>
        <v>100</v>
      </c>
      <c r="I1038" s="1462"/>
      <c r="K1038" s="1208"/>
      <c r="L1038" s="1208"/>
    </row>
    <row r="1039" spans="1:12" s="32" customFormat="1" ht="16.5" hidden="1" customHeight="1" x14ac:dyDescent="0.25">
      <c r="A1039" s="1"/>
      <c r="B1039" s="441"/>
      <c r="C1039" s="2538" t="s">
        <v>2892</v>
      </c>
      <c r="D1039" s="4072">
        <f>D1040</f>
        <v>700000000</v>
      </c>
      <c r="E1039" s="4042">
        <f>E1040</f>
        <v>699920625</v>
      </c>
      <c r="F1039" s="4042"/>
      <c r="G1039" s="4065">
        <f t="shared" ref="G1039:G1040" si="91">E1039/D1039*100</f>
        <v>99.988660714285714</v>
      </c>
      <c r="H1039" s="2734">
        <f>H1040</f>
        <v>100</v>
      </c>
      <c r="I1039" s="1462"/>
      <c r="K1039" s="1208"/>
      <c r="L1039" s="1208"/>
    </row>
    <row r="1040" spans="1:12" ht="18.75" hidden="1" customHeight="1" x14ac:dyDescent="0.25">
      <c r="A1040" s="2"/>
      <c r="B1040" s="441"/>
      <c r="C1040" s="2524" t="s">
        <v>2893</v>
      </c>
      <c r="D1040" s="4066">
        <v>700000000</v>
      </c>
      <c r="E1040" s="4066">
        <v>699920625</v>
      </c>
      <c r="F1040" s="4066"/>
      <c r="G1040" s="4066">
        <f t="shared" si="91"/>
        <v>99.988660714285714</v>
      </c>
      <c r="H1040" s="4066">
        <v>100</v>
      </c>
      <c r="I1040" s="1463"/>
      <c r="K1040" s="536"/>
      <c r="L1040" s="536"/>
    </row>
    <row r="1041" spans="1:12" ht="12.75" hidden="1" customHeight="1" x14ac:dyDescent="0.25">
      <c r="A1041" s="2"/>
      <c r="B1041" s="441"/>
      <c r="C1041" s="2533"/>
      <c r="D1041" s="4285"/>
      <c r="E1041" s="2778"/>
      <c r="F1041" s="2778"/>
      <c r="G1041" s="2710"/>
      <c r="H1041" s="2778"/>
      <c r="I1041" s="1463"/>
      <c r="K1041" s="536"/>
      <c r="L1041" s="536"/>
    </row>
    <row r="1042" spans="1:12" s="32" customFormat="1" ht="18" hidden="1" customHeight="1" x14ac:dyDescent="0.25">
      <c r="A1042" s="1"/>
      <c r="B1042" s="440"/>
      <c r="C1042" s="2532" t="s">
        <v>2894</v>
      </c>
      <c r="D1042" s="4106">
        <f>D1043</f>
        <v>300000000</v>
      </c>
      <c r="E1042" s="4041">
        <f>E1043</f>
        <v>300000000</v>
      </c>
      <c r="F1042" s="4041"/>
      <c r="G1042" s="2672">
        <f>G1043</f>
        <v>100</v>
      </c>
      <c r="H1042" s="2672">
        <f>H1043</f>
        <v>100</v>
      </c>
      <c r="I1042" s="1462"/>
      <c r="K1042" s="1208"/>
      <c r="L1042" s="1208"/>
    </row>
    <row r="1043" spans="1:12" s="32" customFormat="1" ht="16.5" hidden="1" customHeight="1" x14ac:dyDescent="0.25">
      <c r="A1043" s="1"/>
      <c r="B1043" s="441"/>
      <c r="C1043" s="2538" t="s">
        <v>2895</v>
      </c>
      <c r="D1043" s="4072">
        <f>D1044</f>
        <v>300000000</v>
      </c>
      <c r="E1043" s="4042">
        <f>E1044</f>
        <v>300000000</v>
      </c>
      <c r="F1043" s="4042"/>
      <c r="G1043" s="4065">
        <f t="shared" ref="G1043:G1044" si="92">E1043/D1043*100</f>
        <v>100</v>
      </c>
      <c r="H1043" s="2734">
        <f>H1044</f>
        <v>100</v>
      </c>
      <c r="I1043" s="1462"/>
      <c r="K1043" s="1208"/>
      <c r="L1043" s="1208"/>
    </row>
    <row r="1044" spans="1:12" ht="13.5" hidden="1" customHeight="1" x14ac:dyDescent="0.25">
      <c r="A1044" s="2"/>
      <c r="B1044" s="441"/>
      <c r="C1044" s="2524" t="s">
        <v>2896</v>
      </c>
      <c r="D1044" s="4066">
        <v>300000000</v>
      </c>
      <c r="E1044" s="4066">
        <v>300000000</v>
      </c>
      <c r="F1044" s="4066"/>
      <c r="G1044" s="4066">
        <f t="shared" si="92"/>
        <v>100</v>
      </c>
      <c r="H1044" s="4066">
        <v>100</v>
      </c>
      <c r="I1044" s="1463"/>
      <c r="K1044" s="536"/>
      <c r="L1044" s="536"/>
    </row>
    <row r="1045" spans="1:12" ht="13.5" hidden="1" customHeight="1" x14ac:dyDescent="0.25">
      <c r="A1045" s="2"/>
      <c r="B1045" s="441"/>
      <c r="C1045" s="2533"/>
      <c r="D1045" s="4285"/>
      <c r="E1045" s="2778"/>
      <c r="F1045" s="2778"/>
      <c r="G1045" s="2710"/>
      <c r="H1045" s="2778"/>
      <c r="I1045" s="1463"/>
      <c r="K1045" s="536"/>
      <c r="L1045" s="536"/>
    </row>
    <row r="1046" spans="1:12" s="32" customFormat="1" ht="17.25" hidden="1" customHeight="1" x14ac:dyDescent="0.25">
      <c r="A1046" s="1"/>
      <c r="B1046" s="440"/>
      <c r="C1046" s="2532" t="s">
        <v>2897</v>
      </c>
      <c r="D1046" s="4106">
        <f>D1047</f>
        <v>400000000</v>
      </c>
      <c r="E1046" s="4041">
        <f>E1047</f>
        <v>400000000</v>
      </c>
      <c r="F1046" s="4041"/>
      <c r="G1046" s="2672">
        <f>G1047</f>
        <v>100</v>
      </c>
      <c r="H1046" s="2672">
        <f>H1047</f>
        <v>100</v>
      </c>
      <c r="I1046" s="1462"/>
      <c r="K1046" s="1208"/>
      <c r="L1046" s="1208"/>
    </row>
    <row r="1047" spans="1:12" s="32" customFormat="1" ht="18.75" hidden="1" customHeight="1" x14ac:dyDescent="0.25">
      <c r="A1047" s="1"/>
      <c r="B1047" s="441"/>
      <c r="C1047" s="2538" t="s">
        <v>2898</v>
      </c>
      <c r="D1047" s="4072">
        <f>D1048</f>
        <v>400000000</v>
      </c>
      <c r="E1047" s="4042">
        <f>E1048</f>
        <v>400000000</v>
      </c>
      <c r="F1047" s="4042"/>
      <c r="G1047" s="4065">
        <f t="shared" ref="G1047:G1048" si="93">E1047/D1047*100</f>
        <v>100</v>
      </c>
      <c r="H1047" s="2734">
        <f>H1048</f>
        <v>100</v>
      </c>
      <c r="I1047" s="1462"/>
      <c r="K1047" s="1208"/>
      <c r="L1047" s="1208"/>
    </row>
    <row r="1048" spans="1:12" ht="13.5" hidden="1" customHeight="1" x14ac:dyDescent="0.25">
      <c r="A1048" s="2"/>
      <c r="B1048" s="441"/>
      <c r="C1048" s="2524" t="s">
        <v>2899</v>
      </c>
      <c r="D1048" s="4066">
        <v>400000000</v>
      </c>
      <c r="E1048" s="4066">
        <v>400000000</v>
      </c>
      <c r="F1048" s="4066"/>
      <c r="G1048" s="4066">
        <f t="shared" si="93"/>
        <v>100</v>
      </c>
      <c r="H1048" s="4066">
        <v>100</v>
      </c>
      <c r="I1048" s="1463"/>
      <c r="K1048" s="536"/>
      <c r="L1048" s="536"/>
    </row>
    <row r="1049" spans="1:12" ht="13.5" hidden="1" customHeight="1" x14ac:dyDescent="0.25">
      <c r="A1049" s="2"/>
      <c r="B1049" s="441"/>
      <c r="C1049" s="2533"/>
      <c r="D1049" s="4285"/>
      <c r="E1049" s="2778"/>
      <c r="F1049" s="2778"/>
      <c r="G1049" s="2710"/>
      <c r="H1049" s="2778"/>
      <c r="I1049" s="1463"/>
      <c r="K1049" s="536"/>
      <c r="L1049" s="536"/>
    </row>
    <row r="1050" spans="1:12" s="32" customFormat="1" ht="16.5" hidden="1" customHeight="1" x14ac:dyDescent="0.25">
      <c r="A1050" s="1"/>
      <c r="B1050" s="440"/>
      <c r="C1050" s="2532" t="s">
        <v>2900</v>
      </c>
      <c r="D1050" s="4106">
        <f>D1051</f>
        <v>380000000</v>
      </c>
      <c r="E1050" s="4041">
        <f>E1051</f>
        <v>380000000</v>
      </c>
      <c r="F1050" s="4041"/>
      <c r="G1050" s="2672">
        <f>E1050/D1050*100</f>
        <v>100</v>
      </c>
      <c r="H1050" s="2672">
        <f>H1051</f>
        <v>100</v>
      </c>
      <c r="I1050" s="1462"/>
      <c r="K1050" s="1208"/>
      <c r="L1050" s="1208"/>
    </row>
    <row r="1051" spans="1:12" s="32" customFormat="1" ht="18" hidden="1" customHeight="1" x14ac:dyDescent="0.25">
      <c r="A1051" s="1"/>
      <c r="B1051" s="441"/>
      <c r="C1051" s="2538" t="s">
        <v>2901</v>
      </c>
      <c r="D1051" s="4072">
        <f>D1052</f>
        <v>380000000</v>
      </c>
      <c r="E1051" s="4042">
        <f>E1052</f>
        <v>380000000</v>
      </c>
      <c r="F1051" s="4042"/>
      <c r="G1051" s="4065">
        <f t="shared" ref="G1051:G1052" si="94">E1051/D1051*100</f>
        <v>100</v>
      </c>
      <c r="H1051" s="2734">
        <f>H1052</f>
        <v>100</v>
      </c>
      <c r="I1051" s="1462"/>
      <c r="K1051" s="1208"/>
      <c r="L1051" s="1208"/>
    </row>
    <row r="1052" spans="1:12" ht="21" hidden="1" customHeight="1" x14ac:dyDescent="0.25">
      <c r="A1052" s="2"/>
      <c r="B1052" s="441"/>
      <c r="C1052" s="2524" t="s">
        <v>2902</v>
      </c>
      <c r="D1052" s="4066">
        <v>380000000</v>
      </c>
      <c r="E1052" s="4066">
        <v>380000000</v>
      </c>
      <c r="F1052" s="4066"/>
      <c r="G1052" s="4066">
        <f t="shared" si="94"/>
        <v>100</v>
      </c>
      <c r="H1052" s="4066">
        <v>100</v>
      </c>
      <c r="I1052" s="1463"/>
      <c r="K1052" s="536"/>
      <c r="L1052" s="536"/>
    </row>
    <row r="1053" spans="1:12" ht="12.75" hidden="1" customHeight="1" x14ac:dyDescent="0.25">
      <c r="A1053" s="2"/>
      <c r="B1053" s="441"/>
      <c r="C1053" s="2533"/>
      <c r="D1053" s="4285"/>
      <c r="E1053" s="2778"/>
      <c r="F1053" s="2778"/>
      <c r="G1053" s="2710"/>
      <c r="H1053" s="2778"/>
      <c r="I1053" s="1463"/>
      <c r="K1053" s="536"/>
      <c r="L1053" s="536"/>
    </row>
    <row r="1054" spans="1:12" s="32" customFormat="1" ht="20.25" hidden="1" customHeight="1" x14ac:dyDescent="0.25">
      <c r="A1054" s="1"/>
      <c r="B1054" s="440"/>
      <c r="C1054" s="2532" t="s">
        <v>2903</v>
      </c>
      <c r="D1054" s="4106">
        <f>D1055</f>
        <v>400000000</v>
      </c>
      <c r="E1054" s="4041">
        <f>E1055</f>
        <v>400000000</v>
      </c>
      <c r="F1054" s="4041"/>
      <c r="G1054" s="2672">
        <f>E1054/D1054*100</f>
        <v>100</v>
      </c>
      <c r="H1054" s="2672">
        <f>H1055</f>
        <v>100</v>
      </c>
      <c r="I1054" s="1462"/>
      <c r="K1054" s="1208"/>
      <c r="L1054" s="1208"/>
    </row>
    <row r="1055" spans="1:12" s="32" customFormat="1" ht="15.75" hidden="1" customHeight="1" x14ac:dyDescent="0.25">
      <c r="A1055" s="1"/>
      <c r="B1055" s="441"/>
      <c r="C1055" s="2538" t="s">
        <v>2904</v>
      </c>
      <c r="D1055" s="4072">
        <f>D1056</f>
        <v>400000000</v>
      </c>
      <c r="E1055" s="4042">
        <f>E1056</f>
        <v>400000000</v>
      </c>
      <c r="F1055" s="4042"/>
      <c r="G1055" s="4065">
        <f t="shared" ref="G1055:G1056" si="95">E1055/D1055*100</f>
        <v>100</v>
      </c>
      <c r="H1055" s="2734">
        <f>H1056</f>
        <v>100</v>
      </c>
      <c r="I1055" s="1462"/>
      <c r="K1055" s="1208"/>
      <c r="L1055" s="1208"/>
    </row>
    <row r="1056" spans="1:12" s="196" customFormat="1" ht="16.5" hidden="1" customHeight="1" x14ac:dyDescent="0.25">
      <c r="A1056" s="12"/>
      <c r="B1056" s="448"/>
      <c r="C1056" s="2524" t="s">
        <v>2905</v>
      </c>
      <c r="D1056" s="4066">
        <v>400000000</v>
      </c>
      <c r="E1056" s="4066">
        <v>400000000</v>
      </c>
      <c r="F1056" s="4066"/>
      <c r="G1056" s="4066">
        <f t="shared" si="95"/>
        <v>100</v>
      </c>
      <c r="H1056" s="4066">
        <v>100</v>
      </c>
      <c r="I1056" s="3715"/>
      <c r="K1056" s="1212"/>
      <c r="L1056" s="1212"/>
    </row>
    <row r="1057" spans="1:12" s="196" customFormat="1" ht="15" hidden="1" customHeight="1" x14ac:dyDescent="0.25">
      <c r="A1057" s="12"/>
      <c r="B1057" s="448"/>
      <c r="C1057" s="2533"/>
      <c r="D1057" s="4071"/>
      <c r="E1057" s="2710"/>
      <c r="F1057" s="2710"/>
      <c r="G1057" s="2710"/>
      <c r="H1057" s="2710"/>
      <c r="I1057" s="3715"/>
      <c r="K1057" s="1212"/>
      <c r="L1057" s="1212"/>
    </row>
    <row r="1058" spans="1:12" s="32" customFormat="1" ht="18" hidden="1" customHeight="1" x14ac:dyDescent="0.25">
      <c r="A1058" s="1"/>
      <c r="B1058" s="440"/>
      <c r="C1058" s="2532" t="s">
        <v>2906</v>
      </c>
      <c r="D1058" s="4106">
        <f>D1059</f>
        <v>335000000</v>
      </c>
      <c r="E1058" s="4041">
        <f>E1059</f>
        <v>335000000</v>
      </c>
      <c r="F1058" s="4041"/>
      <c r="G1058" s="2672">
        <f>E1058/D1058*100</f>
        <v>100</v>
      </c>
      <c r="H1058" s="2672">
        <f>H1059</f>
        <v>100</v>
      </c>
      <c r="I1058" s="1462"/>
      <c r="K1058" s="1208"/>
      <c r="L1058" s="1208"/>
    </row>
    <row r="1059" spans="1:12" s="32" customFormat="1" ht="16.5" hidden="1" customHeight="1" x14ac:dyDescent="0.25">
      <c r="A1059" s="1"/>
      <c r="B1059" s="441"/>
      <c r="C1059" s="2538" t="s">
        <v>2907</v>
      </c>
      <c r="D1059" s="4072">
        <f>D1060</f>
        <v>335000000</v>
      </c>
      <c r="E1059" s="4042">
        <f>E1060</f>
        <v>335000000</v>
      </c>
      <c r="F1059" s="4042"/>
      <c r="G1059" s="4065">
        <f t="shared" ref="G1059:G1060" si="96">E1059/D1059*100</f>
        <v>100</v>
      </c>
      <c r="H1059" s="2734">
        <f>H1060</f>
        <v>100</v>
      </c>
      <c r="I1059" s="1462"/>
      <c r="K1059" s="1208"/>
      <c r="L1059" s="1208"/>
    </row>
    <row r="1060" spans="1:12" s="196" customFormat="1" ht="15.75" hidden="1" customHeight="1" x14ac:dyDescent="0.25">
      <c r="A1060" s="12"/>
      <c r="B1060" s="448"/>
      <c r="C1060" s="2524" t="s">
        <v>2908</v>
      </c>
      <c r="D1060" s="4066">
        <v>335000000</v>
      </c>
      <c r="E1060" s="4066">
        <v>335000000</v>
      </c>
      <c r="F1060" s="4066"/>
      <c r="G1060" s="4066">
        <f t="shared" si="96"/>
        <v>100</v>
      </c>
      <c r="H1060" s="4066">
        <v>100</v>
      </c>
      <c r="I1060" s="3715"/>
      <c r="K1060" s="1212"/>
      <c r="L1060" s="1212"/>
    </row>
    <row r="1061" spans="1:12" ht="16.5" hidden="1" customHeight="1" x14ac:dyDescent="0.25">
      <c r="A1061" s="2"/>
      <c r="B1061" s="441"/>
      <c r="C1061" s="2528"/>
      <c r="D1061" s="4299"/>
      <c r="E1061" s="2784"/>
      <c r="F1061" s="2784"/>
      <c r="G1061" s="2752"/>
      <c r="H1061" s="2784"/>
      <c r="I1061" s="1463"/>
      <c r="K1061" s="536"/>
      <c r="L1061" s="536"/>
    </row>
    <row r="1062" spans="1:12" s="32" customFormat="1" ht="15.75" hidden="1" customHeight="1" x14ac:dyDescent="0.25">
      <c r="A1062" s="1"/>
      <c r="B1062" s="440"/>
      <c r="C1062" s="2532" t="s">
        <v>2909</v>
      </c>
      <c r="D1062" s="4106">
        <f>D1063</f>
        <v>335000000</v>
      </c>
      <c r="E1062" s="2672">
        <f>E1063</f>
        <v>335000000</v>
      </c>
      <c r="F1062" s="2672"/>
      <c r="G1062" s="2672">
        <f>E1062/D1062*100</f>
        <v>100</v>
      </c>
      <c r="H1062" s="2672">
        <f>H1063</f>
        <v>100</v>
      </c>
      <c r="I1062" s="1462"/>
      <c r="K1062" s="1208"/>
      <c r="L1062" s="1208"/>
    </row>
    <row r="1063" spans="1:12" s="32" customFormat="1" ht="19.5" hidden="1" customHeight="1" x14ac:dyDescent="0.25">
      <c r="A1063" s="1"/>
      <c r="B1063" s="441"/>
      <c r="C1063" s="2521" t="s">
        <v>2910</v>
      </c>
      <c r="D1063" s="4305">
        <f>D1064</f>
        <v>335000000</v>
      </c>
      <c r="E1063" s="2785">
        <f>E1064</f>
        <v>335000000</v>
      </c>
      <c r="F1063" s="2785"/>
      <c r="G1063" s="4065">
        <f t="shared" ref="G1063:G1064" si="97">E1063/D1063*100</f>
        <v>100</v>
      </c>
      <c r="H1063" s="2785">
        <f>H1064</f>
        <v>100</v>
      </c>
      <c r="I1063" s="1462"/>
      <c r="K1063" s="1208"/>
      <c r="L1063" s="1208"/>
    </row>
    <row r="1064" spans="1:12" s="196" customFormat="1" ht="18" hidden="1" customHeight="1" x14ac:dyDescent="0.25">
      <c r="A1064" s="12"/>
      <c r="B1064" s="448"/>
      <c r="C1064" s="2524" t="s">
        <v>2911</v>
      </c>
      <c r="D1064" s="4066">
        <v>335000000</v>
      </c>
      <c r="E1064" s="4066">
        <v>335000000</v>
      </c>
      <c r="F1064" s="4066"/>
      <c r="G1064" s="4066">
        <f t="shared" si="97"/>
        <v>100</v>
      </c>
      <c r="H1064" s="4066">
        <v>100</v>
      </c>
      <c r="I1064" s="3715"/>
      <c r="K1064" s="1212"/>
      <c r="L1064" s="1212"/>
    </row>
    <row r="1065" spans="1:12" ht="16.5" hidden="1" customHeight="1" x14ac:dyDescent="0.25">
      <c r="A1065" s="2"/>
      <c r="B1065" s="441"/>
      <c r="C1065" s="2528"/>
      <c r="D1065" s="4299"/>
      <c r="E1065" s="2784"/>
      <c r="F1065" s="2784"/>
      <c r="G1065" s="2752"/>
      <c r="H1065" s="2784"/>
      <c r="I1065" s="1463"/>
      <c r="K1065" s="536"/>
      <c r="L1065" s="536"/>
    </row>
    <row r="1066" spans="1:12" s="32" customFormat="1" ht="18.75" hidden="1" customHeight="1" x14ac:dyDescent="0.25">
      <c r="A1066" s="1"/>
      <c r="B1066" s="440"/>
      <c r="C1066" s="2532" t="s">
        <v>2912</v>
      </c>
      <c r="D1066" s="4106">
        <f>D1067</f>
        <v>300000000</v>
      </c>
      <c r="E1066" s="4041">
        <f>E1067</f>
        <v>300000000</v>
      </c>
      <c r="F1066" s="4041"/>
      <c r="G1066" s="2672">
        <f>E1066/D1066*100</f>
        <v>100</v>
      </c>
      <c r="H1066" s="2672">
        <f>H1067</f>
        <v>100</v>
      </c>
      <c r="I1066" s="1462"/>
      <c r="K1066" s="1208"/>
      <c r="L1066" s="1208"/>
    </row>
    <row r="1067" spans="1:12" s="32" customFormat="1" ht="19.5" hidden="1" customHeight="1" x14ac:dyDescent="0.25">
      <c r="A1067" s="1"/>
      <c r="B1067" s="441"/>
      <c r="C1067" s="2521" t="s">
        <v>2913</v>
      </c>
      <c r="D1067" s="4305">
        <f>D1068</f>
        <v>300000000</v>
      </c>
      <c r="E1067" s="4120">
        <f>E1068</f>
        <v>300000000</v>
      </c>
      <c r="F1067" s="4120"/>
      <c r="G1067" s="4065">
        <f t="shared" ref="G1067:G1068" si="98">E1067/D1067*100</f>
        <v>100</v>
      </c>
      <c r="H1067" s="2785">
        <f>H1068</f>
        <v>100</v>
      </c>
      <c r="I1067" s="1462"/>
      <c r="K1067" s="1208"/>
      <c r="L1067" s="1208"/>
    </row>
    <row r="1068" spans="1:12" ht="21.75" hidden="1" customHeight="1" x14ac:dyDescent="0.25">
      <c r="A1068" s="2"/>
      <c r="B1068" s="441"/>
      <c r="C1068" s="2524" t="s">
        <v>2914</v>
      </c>
      <c r="D1068" s="4066">
        <v>300000000</v>
      </c>
      <c r="E1068" s="4066">
        <v>300000000</v>
      </c>
      <c r="F1068" s="4066"/>
      <c r="G1068" s="4066">
        <f t="shared" si="98"/>
        <v>100</v>
      </c>
      <c r="H1068" s="4066">
        <v>100</v>
      </c>
      <c r="I1068" s="1463"/>
      <c r="K1068" s="536"/>
      <c r="L1068" s="536"/>
    </row>
    <row r="1069" spans="1:12" ht="13.5" hidden="1" customHeight="1" x14ac:dyDescent="0.25">
      <c r="A1069" s="2"/>
      <c r="B1069" s="441"/>
      <c r="C1069" s="2528"/>
      <c r="D1069" s="4299"/>
      <c r="E1069" s="2784"/>
      <c r="F1069" s="2784"/>
      <c r="G1069" s="2752"/>
      <c r="H1069" s="2784"/>
      <c r="I1069" s="1463"/>
      <c r="K1069" s="536"/>
      <c r="L1069" s="536"/>
    </row>
    <row r="1070" spans="1:12" ht="15.75" hidden="1" customHeight="1" x14ac:dyDescent="0.25">
      <c r="A1070" s="2"/>
      <c r="B1070" s="440"/>
      <c r="C1070" s="2497" t="s">
        <v>2915</v>
      </c>
      <c r="D1070" s="4080">
        <f>SUM(D1071+D1074)</f>
        <v>8044000000</v>
      </c>
      <c r="E1070" s="2786">
        <f>SUM(E1071+E1074)</f>
        <v>8018502884</v>
      </c>
      <c r="F1070" s="2786"/>
      <c r="G1070" s="2672">
        <f>SUM(E1070/D1070)*100</f>
        <v>99.683029388363991</v>
      </c>
      <c r="H1070" s="2672">
        <f>SUM(H1071+H1074)/2</f>
        <v>99.95</v>
      </c>
      <c r="I1070" s="1463"/>
      <c r="K1070" s="536"/>
      <c r="L1070" s="536"/>
    </row>
    <row r="1071" spans="1:12" ht="20.25" hidden="1" customHeight="1" x14ac:dyDescent="0.25">
      <c r="A1071" s="2"/>
      <c r="B1071" s="463"/>
      <c r="C1071" s="2482" t="s">
        <v>2916</v>
      </c>
      <c r="D1071" s="4280">
        <f>D1072</f>
        <v>4376000000</v>
      </c>
      <c r="E1071" s="2722">
        <f>E1072</f>
        <v>4351840933</v>
      </c>
      <c r="F1071" s="2722"/>
      <c r="G1071" s="4065">
        <f t="shared" ref="G1071:G1072" si="99">E1071/D1071*100</f>
        <v>99.447918944241323</v>
      </c>
      <c r="H1071" s="2785">
        <f>H1072</f>
        <v>99.9</v>
      </c>
      <c r="I1071" s="1463"/>
      <c r="K1071" s="536"/>
      <c r="L1071" s="536"/>
    </row>
    <row r="1072" spans="1:12" ht="15" hidden="1" customHeight="1" x14ac:dyDescent="0.25">
      <c r="A1072" s="2"/>
      <c r="B1072" s="441"/>
      <c r="C1072" s="2494" t="s">
        <v>2917</v>
      </c>
      <c r="D1072" s="4066">
        <v>4376000000</v>
      </c>
      <c r="E1072" s="4066">
        <v>4351840933</v>
      </c>
      <c r="F1072" s="4066"/>
      <c r="G1072" s="4066">
        <f t="shared" si="99"/>
        <v>99.447918944241323</v>
      </c>
      <c r="H1072" s="4066">
        <v>99.9</v>
      </c>
      <c r="I1072" s="1463"/>
      <c r="K1072" s="536"/>
      <c r="L1072" s="536"/>
    </row>
    <row r="1073" spans="1:12" ht="11.25" hidden="1" customHeight="1" x14ac:dyDescent="0.25">
      <c r="A1073" s="2"/>
      <c r="B1073" s="441"/>
      <c r="C1073" s="2494"/>
      <c r="D1073" s="3704"/>
      <c r="E1073" s="3035"/>
      <c r="F1073" s="3035"/>
      <c r="G1073" s="2690"/>
      <c r="H1073" s="3035"/>
      <c r="I1073" s="1463"/>
      <c r="K1073" s="536"/>
      <c r="L1073" s="536"/>
    </row>
    <row r="1074" spans="1:12" ht="30.75" hidden="1" customHeight="1" x14ac:dyDescent="0.25">
      <c r="A1074" s="2"/>
      <c r="B1074" s="441"/>
      <c r="C1074" s="2491" t="s">
        <v>2918</v>
      </c>
      <c r="D1074" s="4159">
        <f>SUM(D1075:D1077)</f>
        <v>3668000000</v>
      </c>
      <c r="E1074" s="3217">
        <f>SUM(E1075:E1077)</f>
        <v>3666661951</v>
      </c>
      <c r="F1074" s="3217"/>
      <c r="G1074" s="2695">
        <f>E1074/D1074*100</f>
        <v>99.963521019629226</v>
      </c>
      <c r="H1074" s="2695">
        <f>SUM(H1075:H1077)/3</f>
        <v>100</v>
      </c>
      <c r="I1074" s="1463"/>
      <c r="K1074" s="536"/>
      <c r="L1074" s="536"/>
    </row>
    <row r="1075" spans="1:12" ht="15.75" hidden="1" customHeight="1" x14ac:dyDescent="0.25">
      <c r="A1075" s="2"/>
      <c r="B1075" s="441"/>
      <c r="C1075" s="2494" t="s">
        <v>2919</v>
      </c>
      <c r="D1075" s="4066">
        <v>2700000000</v>
      </c>
      <c r="E1075" s="4066">
        <v>2699299751</v>
      </c>
      <c r="F1075" s="4066"/>
      <c r="G1075" s="4066">
        <f t="shared" ref="G1075:G1077" si="100">E1075/D1075*100</f>
        <v>99.97406485185185</v>
      </c>
      <c r="H1075" s="4066">
        <v>100</v>
      </c>
      <c r="I1075" s="1463"/>
      <c r="K1075" s="536"/>
      <c r="L1075" s="536"/>
    </row>
    <row r="1076" spans="1:12" ht="15.75" hidden="1" customHeight="1" x14ac:dyDescent="0.25">
      <c r="A1076" s="2"/>
      <c r="B1076" s="441"/>
      <c r="C1076" s="3672" t="s">
        <v>3796</v>
      </c>
      <c r="D1076" s="4066">
        <v>568000000</v>
      </c>
      <c r="E1076" s="4066">
        <v>567369200</v>
      </c>
      <c r="F1076" s="4066"/>
      <c r="G1076" s="4066">
        <f t="shared" si="100"/>
        <v>99.888943661971837</v>
      </c>
      <c r="H1076" s="4066">
        <v>100</v>
      </c>
      <c r="I1076" s="1463"/>
      <c r="K1076" s="536"/>
      <c r="L1076" s="536"/>
    </row>
    <row r="1077" spans="1:12" ht="15.75" hidden="1" customHeight="1" thickBot="1" x14ac:dyDescent="0.3">
      <c r="A1077" s="2"/>
      <c r="B1077" s="441"/>
      <c r="C1077" s="2495" t="s">
        <v>3795</v>
      </c>
      <c r="D1077" s="4071">
        <v>400000000</v>
      </c>
      <c r="E1077" s="3542">
        <v>399993000</v>
      </c>
      <c r="F1077" s="3542"/>
      <c r="G1077" s="4071">
        <f t="shared" si="100"/>
        <v>99.998249999999999</v>
      </c>
      <c r="H1077" s="4071">
        <v>100</v>
      </c>
      <c r="I1077" s="3711"/>
      <c r="K1077" s="536"/>
      <c r="L1077" s="536"/>
    </row>
    <row r="1078" spans="1:12" s="37" customFormat="1" ht="21" customHeight="1" thickTop="1" thickBot="1" x14ac:dyDescent="0.3">
      <c r="B1078" s="2258"/>
      <c r="C1078" s="2259" t="s">
        <v>3061</v>
      </c>
      <c r="D1078" s="2263">
        <f>SUM(D15+D49)</f>
        <v>379618103731</v>
      </c>
      <c r="E1078" s="2263">
        <f>SUM(E15+E49)</f>
        <v>341683367102</v>
      </c>
      <c r="F1078" s="50">
        <f>D1078-E1078</f>
        <v>37934736629</v>
      </c>
      <c r="G1078" s="4679">
        <f>E1078/D1078*100</f>
        <v>90.007131836926092</v>
      </c>
      <c r="H1078" s="2263">
        <f>SUM(H15+H49)/2</f>
        <v>74.141594175945144</v>
      </c>
      <c r="I1078" s="4680"/>
      <c r="K1078" s="38"/>
      <c r="L1078" s="38"/>
    </row>
    <row r="1079" spans="1:12" ht="14.1" customHeight="1" x14ac:dyDescent="0.25">
      <c r="B1079" s="4675"/>
      <c r="C1079" s="2370"/>
      <c r="D1079" s="230"/>
      <c r="E1079" s="230"/>
      <c r="F1079" s="230"/>
      <c r="G1079" s="1145"/>
      <c r="H1079" s="1146"/>
      <c r="I1079" s="2451"/>
    </row>
    <row r="1080" spans="1:12" ht="20.100000000000001" customHeight="1" x14ac:dyDescent="0.25">
      <c r="B1080" s="4676"/>
      <c r="C1080" s="2272"/>
      <c r="D1080" s="230"/>
      <c r="E1080" s="230"/>
      <c r="F1080" s="230"/>
      <c r="G1080" s="1145"/>
      <c r="H1080" s="4677"/>
      <c r="I1080" s="2451"/>
    </row>
    <row r="1081" spans="1:12" s="229" customFormat="1" x14ac:dyDescent="0.25">
      <c r="A1081"/>
      <c r="B1081" s="5015"/>
      <c r="C1081" s="5016"/>
      <c r="D1081" s="5030" t="s">
        <v>7955</v>
      </c>
      <c r="E1081" s="5030"/>
      <c r="F1081" s="5030"/>
      <c r="G1081" s="5030"/>
      <c r="H1081" s="5030"/>
      <c r="I1081" s="5031"/>
      <c r="J1081"/>
      <c r="K1081" s="35"/>
      <c r="L1081" s="218"/>
    </row>
    <row r="1082" spans="1:12" s="229" customFormat="1" x14ac:dyDescent="0.25">
      <c r="A1082"/>
      <c r="B1082" s="2465"/>
      <c r="C1082" s="219"/>
      <c r="D1082" s="5030" t="s">
        <v>3078</v>
      </c>
      <c r="E1082" s="5030"/>
      <c r="F1082" s="5030"/>
      <c r="G1082" s="5030"/>
      <c r="H1082" s="5030"/>
      <c r="I1082" s="5031"/>
      <c r="J1082"/>
      <c r="K1082" s="35"/>
      <c r="L1082" s="218"/>
    </row>
    <row r="1083" spans="1:12" s="229" customFormat="1" x14ac:dyDescent="0.25">
      <c r="A1083"/>
      <c r="B1083" s="2465"/>
      <c r="C1083" s="219"/>
      <c r="D1083" s="5030" t="s">
        <v>3063</v>
      </c>
      <c r="E1083" s="5030"/>
      <c r="F1083" s="5030"/>
      <c r="G1083" s="5030"/>
      <c r="H1083" s="5030"/>
      <c r="I1083" s="5031"/>
      <c r="J1083"/>
      <c r="K1083" s="35"/>
      <c r="L1083" s="218"/>
    </row>
    <row r="1084" spans="1:12" s="229" customFormat="1" x14ac:dyDescent="0.25">
      <c r="A1084"/>
      <c r="B1084" s="2465"/>
      <c r="C1084" s="219"/>
      <c r="D1084" s="230"/>
      <c r="E1084" s="230"/>
      <c r="F1084" s="230"/>
      <c r="G1084" s="1133"/>
      <c r="H1084" s="1133"/>
      <c r="I1084" s="2451"/>
      <c r="J1084"/>
      <c r="K1084" s="35"/>
      <c r="L1084" s="218"/>
    </row>
    <row r="1085" spans="1:12" s="229" customFormat="1" x14ac:dyDescent="0.25">
      <c r="A1085"/>
      <c r="B1085" s="2465"/>
      <c r="C1085" s="219"/>
      <c r="D1085" s="230"/>
      <c r="E1085" s="230"/>
      <c r="F1085" s="230"/>
      <c r="G1085" s="1133"/>
      <c r="H1085" s="1133"/>
      <c r="I1085" s="2451"/>
      <c r="J1085"/>
      <c r="K1085" s="35"/>
      <c r="L1085" s="218"/>
    </row>
    <row r="1086" spans="1:12" s="229" customFormat="1" x14ac:dyDescent="0.25">
      <c r="A1086"/>
      <c r="B1086" s="2465"/>
      <c r="C1086" s="219"/>
      <c r="D1086" s="230"/>
      <c r="E1086" s="230"/>
      <c r="F1086" s="230"/>
      <c r="G1086" s="1133"/>
      <c r="H1086" s="1133"/>
      <c r="I1086" s="2451"/>
      <c r="J1086"/>
      <c r="K1086" s="35"/>
      <c r="L1086" s="218"/>
    </row>
    <row r="1087" spans="1:12" s="229" customFormat="1" x14ac:dyDescent="0.25">
      <c r="A1087"/>
      <c r="B1087" s="2465"/>
      <c r="C1087" s="2272"/>
      <c r="D1087" s="230"/>
      <c r="E1087" s="230"/>
      <c r="F1087" s="230"/>
      <c r="G1087" s="1133"/>
      <c r="H1087" s="1133"/>
      <c r="I1087" s="2451"/>
      <c r="J1087"/>
      <c r="K1087" s="35"/>
      <c r="L1087" s="218"/>
    </row>
    <row r="1088" spans="1:12" s="229" customFormat="1" x14ac:dyDescent="0.25">
      <c r="A1088"/>
      <c r="B1088" s="2465"/>
      <c r="C1088" s="2272"/>
      <c r="D1088" s="5032" t="s">
        <v>3064</v>
      </c>
      <c r="E1088" s="5032"/>
      <c r="F1088" s="5032"/>
      <c r="G1088" s="5032"/>
      <c r="H1088" s="5032"/>
      <c r="I1088" s="5033"/>
      <c r="J1088"/>
      <c r="K1088" s="35"/>
      <c r="L1088" s="218"/>
    </row>
    <row r="1089" spans="1:12" s="229" customFormat="1" x14ac:dyDescent="0.25">
      <c r="A1089"/>
      <c r="B1089" s="2465"/>
      <c r="C1089" s="219"/>
      <c r="D1089" s="5034" t="s">
        <v>3778</v>
      </c>
      <c r="E1089" s="5034"/>
      <c r="F1089" s="5034"/>
      <c r="G1089" s="5034"/>
      <c r="H1089" s="5034"/>
      <c r="I1089" s="5035"/>
      <c r="J1089"/>
      <c r="K1089" s="35"/>
      <c r="L1089" s="218"/>
    </row>
    <row r="1090" spans="1:12" s="229" customFormat="1" ht="16.5" thickBot="1" x14ac:dyDescent="0.3">
      <c r="A1090"/>
      <c r="B1090" s="2466"/>
      <c r="C1090" s="4678"/>
      <c r="D1090" s="5036" t="s">
        <v>3065</v>
      </c>
      <c r="E1090" s="5036"/>
      <c r="F1090" s="5036"/>
      <c r="G1090" s="5036"/>
      <c r="H1090" s="5036"/>
      <c r="I1090" s="5037"/>
      <c r="J1090"/>
      <c r="K1090" s="35"/>
      <c r="L1090" s="218"/>
    </row>
    <row r="1091" spans="1:12" s="229" customFormat="1" x14ac:dyDescent="0.25">
      <c r="A1091"/>
      <c r="B1091" s="1151"/>
      <c r="C1091" s="219"/>
      <c r="D1091" s="43"/>
      <c r="E1091" s="43"/>
      <c r="F1091" s="43"/>
      <c r="G1091" s="1007"/>
      <c r="H1091" s="1454"/>
      <c r="I1091" s="1002"/>
      <c r="J1091"/>
      <c r="K1091" s="35"/>
      <c r="L1091" s="218"/>
    </row>
    <row r="1092" spans="1:12" s="229" customFormat="1" x14ac:dyDescent="0.25">
      <c r="A1092"/>
      <c r="B1092" s="1151"/>
      <c r="C1092" s="2371"/>
      <c r="D1092" s="43"/>
      <c r="E1092" s="43"/>
      <c r="F1092" s="43"/>
      <c r="G1092" s="1007"/>
      <c r="H1092" s="1152"/>
      <c r="I1092" s="1002"/>
      <c r="J1092"/>
      <c r="K1092" s="35"/>
      <c r="L1092" s="218"/>
    </row>
    <row r="1093" spans="1:12" s="229" customFormat="1" x14ac:dyDescent="0.25">
      <c r="A1093"/>
      <c r="B1093" s="1151"/>
      <c r="C1093" s="219"/>
      <c r="D1093" s="43"/>
      <c r="E1093" s="43"/>
      <c r="F1093" s="43"/>
      <c r="G1093" s="1007"/>
      <c r="H1093" s="1148"/>
      <c r="I1093" s="1002"/>
      <c r="J1093"/>
      <c r="K1093" s="35"/>
      <c r="L1093" s="218"/>
    </row>
    <row r="1094" spans="1:12" s="229" customFormat="1" x14ac:dyDescent="0.25">
      <c r="A1094"/>
      <c r="B1094" s="1151"/>
      <c r="C1094" s="219"/>
      <c r="D1094" s="43"/>
      <c r="E1094" s="43"/>
      <c r="F1094" s="43"/>
      <c r="G1094" s="1007"/>
      <c r="H1094" s="1455"/>
      <c r="I1094" s="1002"/>
      <c r="J1094"/>
      <c r="K1094" s="35"/>
      <c r="L1094" s="218"/>
    </row>
  </sheetData>
  <mergeCells count="16">
    <mergeCell ref="D1082:I1082"/>
    <mergeCell ref="D1083:I1083"/>
    <mergeCell ref="D1088:I1088"/>
    <mergeCell ref="D1089:I1089"/>
    <mergeCell ref="D1090:I1090"/>
    <mergeCell ref="B1081:C1081"/>
    <mergeCell ref="B1:I1"/>
    <mergeCell ref="B2:I2"/>
    <mergeCell ref="B3:I3"/>
    <mergeCell ref="A4:I4"/>
    <mergeCell ref="B7:I7"/>
    <mergeCell ref="B8:D8"/>
    <mergeCell ref="D11:H11"/>
    <mergeCell ref="I11:I13"/>
    <mergeCell ref="D12:H12"/>
    <mergeCell ref="D1081:I1081"/>
  </mergeCells>
  <printOptions horizontalCentered="1"/>
  <pageMargins left="0" right="0.23622047244094491" top="0.74803149606299213" bottom="0.51181102362204722" header="0.31496062992125984" footer="0.31496062992125984"/>
  <pageSetup paperSize="258" scale="55" orientation="landscape" r:id="rId1"/>
  <headerFooter differentFirst="1" alignWithMargins="0">
    <oddFooter xml:space="preserve">&amp;RHal &amp;P dari &amp;N   </oddFooter>
    <evenFooter>&amp;R1 dari 25</evenFooter>
    <firstFooter xml:space="preserve">&amp;RHal &amp;P dari &amp;N   </firstFooter>
  </headerFooter>
  <rowBreaks count="2" manualBreakCount="2">
    <brk id="967" max="13" man="1"/>
    <brk id="1078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58"/>
  <sheetViews>
    <sheetView tabSelected="1" view="pageBreakPreview" topLeftCell="A151" zoomScale="80" zoomScaleNormal="80" zoomScaleSheetLayoutView="80" workbookViewId="0">
      <selection activeCell="C240" sqref="C240:H240"/>
    </sheetView>
  </sheetViews>
  <sheetFormatPr defaultColWidth="8.85546875" defaultRowHeight="15.75" x14ac:dyDescent="0.25"/>
  <cols>
    <col min="1" max="1" width="4.5703125" style="40" customWidth="1"/>
    <col min="2" max="2" width="44.28515625" style="345" customWidth="1"/>
    <col min="3" max="3" width="25.28515625" style="408" customWidth="1"/>
    <col min="4" max="4" width="24.85546875" style="408" customWidth="1"/>
    <col min="5" max="5" width="24.85546875" style="408" hidden="1" customWidth="1"/>
    <col min="6" max="6" width="15.140625" style="408" customWidth="1"/>
    <col min="7" max="7" width="11.7109375" style="408" customWidth="1"/>
    <col min="8" max="8" width="11.7109375" style="470" customWidth="1"/>
    <col min="9" max="9" width="28.85546875" style="963" customWidth="1"/>
    <col min="10" max="10" width="27.5703125" style="963" customWidth="1"/>
    <col min="11" max="251" width="8.85546875" style="963"/>
    <col min="252" max="252" width="4.5703125" style="963" customWidth="1"/>
    <col min="253" max="253" width="81.28515625" style="963" customWidth="1"/>
    <col min="254" max="254" width="38.42578125" style="963" customWidth="1"/>
    <col min="255" max="255" width="24.5703125" style="963" customWidth="1"/>
    <col min="256" max="256" width="26.42578125" style="963" customWidth="1"/>
    <col min="257" max="257" width="22.7109375" style="963" customWidth="1"/>
    <col min="258" max="258" width="15.85546875" style="963" customWidth="1"/>
    <col min="259" max="259" width="14.85546875" style="963" customWidth="1"/>
    <col min="260" max="261" width="22.7109375" style="963" customWidth="1"/>
    <col min="262" max="262" width="17.7109375" style="963" customWidth="1"/>
    <col min="263" max="263" width="10.85546875" style="963" customWidth="1"/>
    <col min="264" max="264" width="11.140625" style="963" customWidth="1"/>
    <col min="265" max="265" width="8.85546875" style="963"/>
    <col min="266" max="266" width="27.5703125" style="963" customWidth="1"/>
    <col min="267" max="507" width="8.85546875" style="963"/>
    <col min="508" max="508" width="4.5703125" style="963" customWidth="1"/>
    <col min="509" max="509" width="81.28515625" style="963" customWidth="1"/>
    <col min="510" max="510" width="38.42578125" style="963" customWidth="1"/>
    <col min="511" max="511" width="24.5703125" style="963" customWidth="1"/>
    <col min="512" max="512" width="26.42578125" style="963" customWidth="1"/>
    <col min="513" max="513" width="22.7109375" style="963" customWidth="1"/>
    <col min="514" max="514" width="15.85546875" style="963" customWidth="1"/>
    <col min="515" max="515" width="14.85546875" style="963" customWidth="1"/>
    <col min="516" max="517" width="22.7109375" style="963" customWidth="1"/>
    <col min="518" max="518" width="17.7109375" style="963" customWidth="1"/>
    <col min="519" max="519" width="10.85546875" style="963" customWidth="1"/>
    <col min="520" max="520" width="11.140625" style="963" customWidth="1"/>
    <col min="521" max="521" width="8.85546875" style="963"/>
    <col min="522" max="522" width="27.5703125" style="963" customWidth="1"/>
    <col min="523" max="763" width="8.85546875" style="963"/>
    <col min="764" max="764" width="4.5703125" style="963" customWidth="1"/>
    <col min="765" max="765" width="81.28515625" style="963" customWidth="1"/>
    <col min="766" max="766" width="38.42578125" style="963" customWidth="1"/>
    <col min="767" max="767" width="24.5703125" style="963" customWidth="1"/>
    <col min="768" max="768" width="26.42578125" style="963" customWidth="1"/>
    <col min="769" max="769" width="22.7109375" style="963" customWidth="1"/>
    <col min="770" max="770" width="15.85546875" style="963" customWidth="1"/>
    <col min="771" max="771" width="14.85546875" style="963" customWidth="1"/>
    <col min="772" max="773" width="22.7109375" style="963" customWidth="1"/>
    <col min="774" max="774" width="17.7109375" style="963" customWidth="1"/>
    <col min="775" max="775" width="10.85546875" style="963" customWidth="1"/>
    <col min="776" max="776" width="11.140625" style="963" customWidth="1"/>
    <col min="777" max="777" width="8.85546875" style="963"/>
    <col min="778" max="778" width="27.5703125" style="963" customWidth="1"/>
    <col min="779" max="1019" width="8.85546875" style="963"/>
    <col min="1020" max="1020" width="4.5703125" style="963" customWidth="1"/>
    <col min="1021" max="1021" width="81.28515625" style="963" customWidth="1"/>
    <col min="1022" max="1022" width="38.42578125" style="963" customWidth="1"/>
    <col min="1023" max="1023" width="24.5703125" style="963" customWidth="1"/>
    <col min="1024" max="1024" width="26.42578125" style="963" customWidth="1"/>
    <col min="1025" max="1025" width="22.7109375" style="963" customWidth="1"/>
    <col min="1026" max="1026" width="15.85546875" style="963" customWidth="1"/>
    <col min="1027" max="1027" width="14.85546875" style="963" customWidth="1"/>
    <col min="1028" max="1029" width="22.7109375" style="963" customWidth="1"/>
    <col min="1030" max="1030" width="17.7109375" style="963" customWidth="1"/>
    <col min="1031" max="1031" width="10.85546875" style="963" customWidth="1"/>
    <col min="1032" max="1032" width="11.140625" style="963" customWidth="1"/>
    <col min="1033" max="1033" width="8.85546875" style="963"/>
    <col min="1034" max="1034" width="27.5703125" style="963" customWidth="1"/>
    <col min="1035" max="1275" width="8.85546875" style="963"/>
    <col min="1276" max="1276" width="4.5703125" style="963" customWidth="1"/>
    <col min="1277" max="1277" width="81.28515625" style="963" customWidth="1"/>
    <col min="1278" max="1278" width="38.42578125" style="963" customWidth="1"/>
    <col min="1279" max="1279" width="24.5703125" style="963" customWidth="1"/>
    <col min="1280" max="1280" width="26.42578125" style="963" customWidth="1"/>
    <col min="1281" max="1281" width="22.7109375" style="963" customWidth="1"/>
    <col min="1282" max="1282" width="15.85546875" style="963" customWidth="1"/>
    <col min="1283" max="1283" width="14.85546875" style="963" customWidth="1"/>
    <col min="1284" max="1285" width="22.7109375" style="963" customWidth="1"/>
    <col min="1286" max="1286" width="17.7109375" style="963" customWidth="1"/>
    <col min="1287" max="1287" width="10.85546875" style="963" customWidth="1"/>
    <col min="1288" max="1288" width="11.140625" style="963" customWidth="1"/>
    <col min="1289" max="1289" width="8.85546875" style="963"/>
    <col min="1290" max="1290" width="27.5703125" style="963" customWidth="1"/>
    <col min="1291" max="1531" width="8.85546875" style="963"/>
    <col min="1532" max="1532" width="4.5703125" style="963" customWidth="1"/>
    <col min="1533" max="1533" width="81.28515625" style="963" customWidth="1"/>
    <col min="1534" max="1534" width="38.42578125" style="963" customWidth="1"/>
    <col min="1535" max="1535" width="24.5703125" style="963" customWidth="1"/>
    <col min="1536" max="1536" width="26.42578125" style="963" customWidth="1"/>
    <col min="1537" max="1537" width="22.7109375" style="963" customWidth="1"/>
    <col min="1538" max="1538" width="15.85546875" style="963" customWidth="1"/>
    <col min="1539" max="1539" width="14.85546875" style="963" customWidth="1"/>
    <col min="1540" max="1541" width="22.7109375" style="963" customWidth="1"/>
    <col min="1542" max="1542" width="17.7109375" style="963" customWidth="1"/>
    <col min="1543" max="1543" width="10.85546875" style="963" customWidth="1"/>
    <col min="1544" max="1544" width="11.140625" style="963" customWidth="1"/>
    <col min="1545" max="1545" width="8.85546875" style="963"/>
    <col min="1546" max="1546" width="27.5703125" style="963" customWidth="1"/>
    <col min="1547" max="1787" width="8.85546875" style="963"/>
    <col min="1788" max="1788" width="4.5703125" style="963" customWidth="1"/>
    <col min="1789" max="1789" width="81.28515625" style="963" customWidth="1"/>
    <col min="1790" max="1790" width="38.42578125" style="963" customWidth="1"/>
    <col min="1791" max="1791" width="24.5703125" style="963" customWidth="1"/>
    <col min="1792" max="1792" width="26.42578125" style="963" customWidth="1"/>
    <col min="1793" max="1793" width="22.7109375" style="963" customWidth="1"/>
    <col min="1794" max="1794" width="15.85546875" style="963" customWidth="1"/>
    <col min="1795" max="1795" width="14.85546875" style="963" customWidth="1"/>
    <col min="1796" max="1797" width="22.7109375" style="963" customWidth="1"/>
    <col min="1798" max="1798" width="17.7109375" style="963" customWidth="1"/>
    <col min="1799" max="1799" width="10.85546875" style="963" customWidth="1"/>
    <col min="1800" max="1800" width="11.140625" style="963" customWidth="1"/>
    <col min="1801" max="1801" width="8.85546875" style="963"/>
    <col min="1802" max="1802" width="27.5703125" style="963" customWidth="1"/>
    <col min="1803" max="2043" width="8.85546875" style="963"/>
    <col min="2044" max="2044" width="4.5703125" style="963" customWidth="1"/>
    <col min="2045" max="2045" width="81.28515625" style="963" customWidth="1"/>
    <col min="2046" max="2046" width="38.42578125" style="963" customWidth="1"/>
    <col min="2047" max="2047" width="24.5703125" style="963" customWidth="1"/>
    <col min="2048" max="2048" width="26.42578125" style="963" customWidth="1"/>
    <col min="2049" max="2049" width="22.7109375" style="963" customWidth="1"/>
    <col min="2050" max="2050" width="15.85546875" style="963" customWidth="1"/>
    <col min="2051" max="2051" width="14.85546875" style="963" customWidth="1"/>
    <col min="2052" max="2053" width="22.7109375" style="963" customWidth="1"/>
    <col min="2054" max="2054" width="17.7109375" style="963" customWidth="1"/>
    <col min="2055" max="2055" width="10.85546875" style="963" customWidth="1"/>
    <col min="2056" max="2056" width="11.140625" style="963" customWidth="1"/>
    <col min="2057" max="2057" width="8.85546875" style="963"/>
    <col min="2058" max="2058" width="27.5703125" style="963" customWidth="1"/>
    <col min="2059" max="2299" width="8.85546875" style="963"/>
    <col min="2300" max="2300" width="4.5703125" style="963" customWidth="1"/>
    <col min="2301" max="2301" width="81.28515625" style="963" customWidth="1"/>
    <col min="2302" max="2302" width="38.42578125" style="963" customWidth="1"/>
    <col min="2303" max="2303" width="24.5703125" style="963" customWidth="1"/>
    <col min="2304" max="2304" width="26.42578125" style="963" customWidth="1"/>
    <col min="2305" max="2305" width="22.7109375" style="963" customWidth="1"/>
    <col min="2306" max="2306" width="15.85546875" style="963" customWidth="1"/>
    <col min="2307" max="2307" width="14.85546875" style="963" customWidth="1"/>
    <col min="2308" max="2309" width="22.7109375" style="963" customWidth="1"/>
    <col min="2310" max="2310" width="17.7109375" style="963" customWidth="1"/>
    <col min="2311" max="2311" width="10.85546875" style="963" customWidth="1"/>
    <col min="2312" max="2312" width="11.140625" style="963" customWidth="1"/>
    <col min="2313" max="2313" width="8.85546875" style="963"/>
    <col min="2314" max="2314" width="27.5703125" style="963" customWidth="1"/>
    <col min="2315" max="2555" width="8.85546875" style="963"/>
    <col min="2556" max="2556" width="4.5703125" style="963" customWidth="1"/>
    <col min="2557" max="2557" width="81.28515625" style="963" customWidth="1"/>
    <col min="2558" max="2558" width="38.42578125" style="963" customWidth="1"/>
    <col min="2559" max="2559" width="24.5703125" style="963" customWidth="1"/>
    <col min="2560" max="2560" width="26.42578125" style="963" customWidth="1"/>
    <col min="2561" max="2561" width="22.7109375" style="963" customWidth="1"/>
    <col min="2562" max="2562" width="15.85546875" style="963" customWidth="1"/>
    <col min="2563" max="2563" width="14.85546875" style="963" customWidth="1"/>
    <col min="2564" max="2565" width="22.7109375" style="963" customWidth="1"/>
    <col min="2566" max="2566" width="17.7109375" style="963" customWidth="1"/>
    <col min="2567" max="2567" width="10.85546875" style="963" customWidth="1"/>
    <col min="2568" max="2568" width="11.140625" style="963" customWidth="1"/>
    <col min="2569" max="2569" width="8.85546875" style="963"/>
    <col min="2570" max="2570" width="27.5703125" style="963" customWidth="1"/>
    <col min="2571" max="2811" width="8.85546875" style="963"/>
    <col min="2812" max="2812" width="4.5703125" style="963" customWidth="1"/>
    <col min="2813" max="2813" width="81.28515625" style="963" customWidth="1"/>
    <col min="2814" max="2814" width="38.42578125" style="963" customWidth="1"/>
    <col min="2815" max="2815" width="24.5703125" style="963" customWidth="1"/>
    <col min="2816" max="2816" width="26.42578125" style="963" customWidth="1"/>
    <col min="2817" max="2817" width="22.7109375" style="963" customWidth="1"/>
    <col min="2818" max="2818" width="15.85546875" style="963" customWidth="1"/>
    <col min="2819" max="2819" width="14.85546875" style="963" customWidth="1"/>
    <col min="2820" max="2821" width="22.7109375" style="963" customWidth="1"/>
    <col min="2822" max="2822" width="17.7109375" style="963" customWidth="1"/>
    <col min="2823" max="2823" width="10.85546875" style="963" customWidth="1"/>
    <col min="2824" max="2824" width="11.140625" style="963" customWidth="1"/>
    <col min="2825" max="2825" width="8.85546875" style="963"/>
    <col min="2826" max="2826" width="27.5703125" style="963" customWidth="1"/>
    <col min="2827" max="3067" width="8.85546875" style="963"/>
    <col min="3068" max="3068" width="4.5703125" style="963" customWidth="1"/>
    <col min="3069" max="3069" width="81.28515625" style="963" customWidth="1"/>
    <col min="3070" max="3070" width="38.42578125" style="963" customWidth="1"/>
    <col min="3071" max="3071" width="24.5703125" style="963" customWidth="1"/>
    <col min="3072" max="3072" width="26.42578125" style="963" customWidth="1"/>
    <col min="3073" max="3073" width="22.7109375" style="963" customWidth="1"/>
    <col min="3074" max="3074" width="15.85546875" style="963" customWidth="1"/>
    <col min="3075" max="3075" width="14.85546875" style="963" customWidth="1"/>
    <col min="3076" max="3077" width="22.7109375" style="963" customWidth="1"/>
    <col min="3078" max="3078" width="17.7109375" style="963" customWidth="1"/>
    <col min="3079" max="3079" width="10.85546875" style="963" customWidth="1"/>
    <col min="3080" max="3080" width="11.140625" style="963" customWidth="1"/>
    <col min="3081" max="3081" width="8.85546875" style="963"/>
    <col min="3082" max="3082" width="27.5703125" style="963" customWidth="1"/>
    <col min="3083" max="3323" width="8.85546875" style="963"/>
    <col min="3324" max="3324" width="4.5703125" style="963" customWidth="1"/>
    <col min="3325" max="3325" width="81.28515625" style="963" customWidth="1"/>
    <col min="3326" max="3326" width="38.42578125" style="963" customWidth="1"/>
    <col min="3327" max="3327" width="24.5703125" style="963" customWidth="1"/>
    <col min="3328" max="3328" width="26.42578125" style="963" customWidth="1"/>
    <col min="3329" max="3329" width="22.7109375" style="963" customWidth="1"/>
    <col min="3330" max="3330" width="15.85546875" style="963" customWidth="1"/>
    <col min="3331" max="3331" width="14.85546875" style="963" customWidth="1"/>
    <col min="3332" max="3333" width="22.7109375" style="963" customWidth="1"/>
    <col min="3334" max="3334" width="17.7109375" style="963" customWidth="1"/>
    <col min="3335" max="3335" width="10.85546875" style="963" customWidth="1"/>
    <col min="3336" max="3336" width="11.140625" style="963" customWidth="1"/>
    <col min="3337" max="3337" width="8.85546875" style="963"/>
    <col min="3338" max="3338" width="27.5703125" style="963" customWidth="1"/>
    <col min="3339" max="3579" width="8.85546875" style="963"/>
    <col min="3580" max="3580" width="4.5703125" style="963" customWidth="1"/>
    <col min="3581" max="3581" width="81.28515625" style="963" customWidth="1"/>
    <col min="3582" max="3582" width="38.42578125" style="963" customWidth="1"/>
    <col min="3583" max="3583" width="24.5703125" style="963" customWidth="1"/>
    <col min="3584" max="3584" width="26.42578125" style="963" customWidth="1"/>
    <col min="3585" max="3585" width="22.7109375" style="963" customWidth="1"/>
    <col min="3586" max="3586" width="15.85546875" style="963" customWidth="1"/>
    <col min="3587" max="3587" width="14.85546875" style="963" customWidth="1"/>
    <col min="3588" max="3589" width="22.7109375" style="963" customWidth="1"/>
    <col min="3590" max="3590" width="17.7109375" style="963" customWidth="1"/>
    <col min="3591" max="3591" width="10.85546875" style="963" customWidth="1"/>
    <col min="3592" max="3592" width="11.140625" style="963" customWidth="1"/>
    <col min="3593" max="3593" width="8.85546875" style="963"/>
    <col min="3594" max="3594" width="27.5703125" style="963" customWidth="1"/>
    <col min="3595" max="3835" width="8.85546875" style="963"/>
    <col min="3836" max="3836" width="4.5703125" style="963" customWidth="1"/>
    <col min="3837" max="3837" width="81.28515625" style="963" customWidth="1"/>
    <col min="3838" max="3838" width="38.42578125" style="963" customWidth="1"/>
    <col min="3839" max="3839" width="24.5703125" style="963" customWidth="1"/>
    <col min="3840" max="3840" width="26.42578125" style="963" customWidth="1"/>
    <col min="3841" max="3841" width="22.7109375" style="963" customWidth="1"/>
    <col min="3842" max="3842" width="15.85546875" style="963" customWidth="1"/>
    <col min="3843" max="3843" width="14.85546875" style="963" customWidth="1"/>
    <col min="3844" max="3845" width="22.7109375" style="963" customWidth="1"/>
    <col min="3846" max="3846" width="17.7109375" style="963" customWidth="1"/>
    <col min="3847" max="3847" width="10.85546875" style="963" customWidth="1"/>
    <col min="3848" max="3848" width="11.140625" style="963" customWidth="1"/>
    <col min="3849" max="3849" width="8.85546875" style="963"/>
    <col min="3850" max="3850" width="27.5703125" style="963" customWidth="1"/>
    <col min="3851" max="4091" width="8.85546875" style="963"/>
    <col min="4092" max="4092" width="4.5703125" style="963" customWidth="1"/>
    <col min="4093" max="4093" width="81.28515625" style="963" customWidth="1"/>
    <col min="4094" max="4094" width="38.42578125" style="963" customWidth="1"/>
    <col min="4095" max="4095" width="24.5703125" style="963" customWidth="1"/>
    <col min="4096" max="4096" width="26.42578125" style="963" customWidth="1"/>
    <col min="4097" max="4097" width="22.7109375" style="963" customWidth="1"/>
    <col min="4098" max="4098" width="15.85546875" style="963" customWidth="1"/>
    <col min="4099" max="4099" width="14.85546875" style="963" customWidth="1"/>
    <col min="4100" max="4101" width="22.7109375" style="963" customWidth="1"/>
    <col min="4102" max="4102" width="17.7109375" style="963" customWidth="1"/>
    <col min="4103" max="4103" width="10.85546875" style="963" customWidth="1"/>
    <col min="4104" max="4104" width="11.140625" style="963" customWidth="1"/>
    <col min="4105" max="4105" width="8.85546875" style="963"/>
    <col min="4106" max="4106" width="27.5703125" style="963" customWidth="1"/>
    <col min="4107" max="4347" width="8.85546875" style="963"/>
    <col min="4348" max="4348" width="4.5703125" style="963" customWidth="1"/>
    <col min="4349" max="4349" width="81.28515625" style="963" customWidth="1"/>
    <col min="4350" max="4350" width="38.42578125" style="963" customWidth="1"/>
    <col min="4351" max="4351" width="24.5703125" style="963" customWidth="1"/>
    <col min="4352" max="4352" width="26.42578125" style="963" customWidth="1"/>
    <col min="4353" max="4353" width="22.7109375" style="963" customWidth="1"/>
    <col min="4354" max="4354" width="15.85546875" style="963" customWidth="1"/>
    <col min="4355" max="4355" width="14.85546875" style="963" customWidth="1"/>
    <col min="4356" max="4357" width="22.7109375" style="963" customWidth="1"/>
    <col min="4358" max="4358" width="17.7109375" style="963" customWidth="1"/>
    <col min="4359" max="4359" width="10.85546875" style="963" customWidth="1"/>
    <col min="4360" max="4360" width="11.140625" style="963" customWidth="1"/>
    <col min="4361" max="4361" width="8.85546875" style="963"/>
    <col min="4362" max="4362" width="27.5703125" style="963" customWidth="1"/>
    <col min="4363" max="4603" width="8.85546875" style="963"/>
    <col min="4604" max="4604" width="4.5703125" style="963" customWidth="1"/>
    <col min="4605" max="4605" width="81.28515625" style="963" customWidth="1"/>
    <col min="4606" max="4606" width="38.42578125" style="963" customWidth="1"/>
    <col min="4607" max="4607" width="24.5703125" style="963" customWidth="1"/>
    <col min="4608" max="4608" width="26.42578125" style="963" customWidth="1"/>
    <col min="4609" max="4609" width="22.7109375" style="963" customWidth="1"/>
    <col min="4610" max="4610" width="15.85546875" style="963" customWidth="1"/>
    <col min="4611" max="4611" width="14.85546875" style="963" customWidth="1"/>
    <col min="4612" max="4613" width="22.7109375" style="963" customWidth="1"/>
    <col min="4614" max="4614" width="17.7109375" style="963" customWidth="1"/>
    <col min="4615" max="4615" width="10.85546875" style="963" customWidth="1"/>
    <col min="4616" max="4616" width="11.140625" style="963" customWidth="1"/>
    <col min="4617" max="4617" width="8.85546875" style="963"/>
    <col min="4618" max="4618" width="27.5703125" style="963" customWidth="1"/>
    <col min="4619" max="4859" width="8.85546875" style="963"/>
    <col min="4860" max="4860" width="4.5703125" style="963" customWidth="1"/>
    <col min="4861" max="4861" width="81.28515625" style="963" customWidth="1"/>
    <col min="4862" max="4862" width="38.42578125" style="963" customWidth="1"/>
    <col min="4863" max="4863" width="24.5703125" style="963" customWidth="1"/>
    <col min="4864" max="4864" width="26.42578125" style="963" customWidth="1"/>
    <col min="4865" max="4865" width="22.7109375" style="963" customWidth="1"/>
    <col min="4866" max="4866" width="15.85546875" style="963" customWidth="1"/>
    <col min="4867" max="4867" width="14.85546875" style="963" customWidth="1"/>
    <col min="4868" max="4869" width="22.7109375" style="963" customWidth="1"/>
    <col min="4870" max="4870" width="17.7109375" style="963" customWidth="1"/>
    <col min="4871" max="4871" width="10.85546875" style="963" customWidth="1"/>
    <col min="4872" max="4872" width="11.140625" style="963" customWidth="1"/>
    <col min="4873" max="4873" width="8.85546875" style="963"/>
    <col min="4874" max="4874" width="27.5703125" style="963" customWidth="1"/>
    <col min="4875" max="5115" width="8.85546875" style="963"/>
    <col min="5116" max="5116" width="4.5703125" style="963" customWidth="1"/>
    <col min="5117" max="5117" width="81.28515625" style="963" customWidth="1"/>
    <col min="5118" max="5118" width="38.42578125" style="963" customWidth="1"/>
    <col min="5119" max="5119" width="24.5703125" style="963" customWidth="1"/>
    <col min="5120" max="5120" width="26.42578125" style="963" customWidth="1"/>
    <col min="5121" max="5121" width="22.7109375" style="963" customWidth="1"/>
    <col min="5122" max="5122" width="15.85546875" style="963" customWidth="1"/>
    <col min="5123" max="5123" width="14.85546875" style="963" customWidth="1"/>
    <col min="5124" max="5125" width="22.7109375" style="963" customWidth="1"/>
    <col min="5126" max="5126" width="17.7109375" style="963" customWidth="1"/>
    <col min="5127" max="5127" width="10.85546875" style="963" customWidth="1"/>
    <col min="5128" max="5128" width="11.140625" style="963" customWidth="1"/>
    <col min="5129" max="5129" width="8.85546875" style="963"/>
    <col min="5130" max="5130" width="27.5703125" style="963" customWidth="1"/>
    <col min="5131" max="5371" width="8.85546875" style="963"/>
    <col min="5372" max="5372" width="4.5703125" style="963" customWidth="1"/>
    <col min="5373" max="5373" width="81.28515625" style="963" customWidth="1"/>
    <col min="5374" max="5374" width="38.42578125" style="963" customWidth="1"/>
    <col min="5375" max="5375" width="24.5703125" style="963" customWidth="1"/>
    <col min="5376" max="5376" width="26.42578125" style="963" customWidth="1"/>
    <col min="5377" max="5377" width="22.7109375" style="963" customWidth="1"/>
    <col min="5378" max="5378" width="15.85546875" style="963" customWidth="1"/>
    <col min="5379" max="5379" width="14.85546875" style="963" customWidth="1"/>
    <col min="5380" max="5381" width="22.7109375" style="963" customWidth="1"/>
    <col min="5382" max="5382" width="17.7109375" style="963" customWidth="1"/>
    <col min="5383" max="5383" width="10.85546875" style="963" customWidth="1"/>
    <col min="5384" max="5384" width="11.140625" style="963" customWidth="1"/>
    <col min="5385" max="5385" width="8.85546875" style="963"/>
    <col min="5386" max="5386" width="27.5703125" style="963" customWidth="1"/>
    <col min="5387" max="5627" width="8.85546875" style="963"/>
    <col min="5628" max="5628" width="4.5703125" style="963" customWidth="1"/>
    <col min="5629" max="5629" width="81.28515625" style="963" customWidth="1"/>
    <col min="5630" max="5630" width="38.42578125" style="963" customWidth="1"/>
    <col min="5631" max="5631" width="24.5703125" style="963" customWidth="1"/>
    <col min="5632" max="5632" width="26.42578125" style="963" customWidth="1"/>
    <col min="5633" max="5633" width="22.7109375" style="963" customWidth="1"/>
    <col min="5634" max="5634" width="15.85546875" style="963" customWidth="1"/>
    <col min="5635" max="5635" width="14.85546875" style="963" customWidth="1"/>
    <col min="5636" max="5637" width="22.7109375" style="963" customWidth="1"/>
    <col min="5638" max="5638" width="17.7109375" style="963" customWidth="1"/>
    <col min="5639" max="5639" width="10.85546875" style="963" customWidth="1"/>
    <col min="5640" max="5640" width="11.140625" style="963" customWidth="1"/>
    <col min="5641" max="5641" width="8.85546875" style="963"/>
    <col min="5642" max="5642" width="27.5703125" style="963" customWidth="1"/>
    <col min="5643" max="5883" width="8.85546875" style="963"/>
    <col min="5884" max="5884" width="4.5703125" style="963" customWidth="1"/>
    <col min="5885" max="5885" width="81.28515625" style="963" customWidth="1"/>
    <col min="5886" max="5886" width="38.42578125" style="963" customWidth="1"/>
    <col min="5887" max="5887" width="24.5703125" style="963" customWidth="1"/>
    <col min="5888" max="5888" width="26.42578125" style="963" customWidth="1"/>
    <col min="5889" max="5889" width="22.7109375" style="963" customWidth="1"/>
    <col min="5890" max="5890" width="15.85546875" style="963" customWidth="1"/>
    <col min="5891" max="5891" width="14.85546875" style="963" customWidth="1"/>
    <col min="5892" max="5893" width="22.7109375" style="963" customWidth="1"/>
    <col min="5894" max="5894" width="17.7109375" style="963" customWidth="1"/>
    <col min="5895" max="5895" width="10.85546875" style="963" customWidth="1"/>
    <col min="5896" max="5896" width="11.140625" style="963" customWidth="1"/>
    <col min="5897" max="5897" width="8.85546875" style="963"/>
    <col min="5898" max="5898" width="27.5703125" style="963" customWidth="1"/>
    <col min="5899" max="6139" width="8.85546875" style="963"/>
    <col min="6140" max="6140" width="4.5703125" style="963" customWidth="1"/>
    <col min="6141" max="6141" width="81.28515625" style="963" customWidth="1"/>
    <col min="6142" max="6142" width="38.42578125" style="963" customWidth="1"/>
    <col min="6143" max="6143" width="24.5703125" style="963" customWidth="1"/>
    <col min="6144" max="6144" width="26.42578125" style="963" customWidth="1"/>
    <col min="6145" max="6145" width="22.7109375" style="963" customWidth="1"/>
    <col min="6146" max="6146" width="15.85546875" style="963" customWidth="1"/>
    <col min="6147" max="6147" width="14.85546875" style="963" customWidth="1"/>
    <col min="6148" max="6149" width="22.7109375" style="963" customWidth="1"/>
    <col min="6150" max="6150" width="17.7109375" style="963" customWidth="1"/>
    <col min="6151" max="6151" width="10.85546875" style="963" customWidth="1"/>
    <col min="6152" max="6152" width="11.140625" style="963" customWidth="1"/>
    <col min="6153" max="6153" width="8.85546875" style="963"/>
    <col min="6154" max="6154" width="27.5703125" style="963" customWidth="1"/>
    <col min="6155" max="6395" width="8.85546875" style="963"/>
    <col min="6396" max="6396" width="4.5703125" style="963" customWidth="1"/>
    <col min="6397" max="6397" width="81.28515625" style="963" customWidth="1"/>
    <col min="6398" max="6398" width="38.42578125" style="963" customWidth="1"/>
    <col min="6399" max="6399" width="24.5703125" style="963" customWidth="1"/>
    <col min="6400" max="6400" width="26.42578125" style="963" customWidth="1"/>
    <col min="6401" max="6401" width="22.7109375" style="963" customWidth="1"/>
    <col min="6402" max="6402" width="15.85546875" style="963" customWidth="1"/>
    <col min="6403" max="6403" width="14.85546875" style="963" customWidth="1"/>
    <col min="6404" max="6405" width="22.7109375" style="963" customWidth="1"/>
    <col min="6406" max="6406" width="17.7109375" style="963" customWidth="1"/>
    <col min="6407" max="6407" width="10.85546875" style="963" customWidth="1"/>
    <col min="6408" max="6408" width="11.140625" style="963" customWidth="1"/>
    <col min="6409" max="6409" width="8.85546875" style="963"/>
    <col min="6410" max="6410" width="27.5703125" style="963" customWidth="1"/>
    <col min="6411" max="6651" width="8.85546875" style="963"/>
    <col min="6652" max="6652" width="4.5703125" style="963" customWidth="1"/>
    <col min="6653" max="6653" width="81.28515625" style="963" customWidth="1"/>
    <col min="6654" max="6654" width="38.42578125" style="963" customWidth="1"/>
    <col min="6655" max="6655" width="24.5703125" style="963" customWidth="1"/>
    <col min="6656" max="6656" width="26.42578125" style="963" customWidth="1"/>
    <col min="6657" max="6657" width="22.7109375" style="963" customWidth="1"/>
    <col min="6658" max="6658" width="15.85546875" style="963" customWidth="1"/>
    <col min="6659" max="6659" width="14.85546875" style="963" customWidth="1"/>
    <col min="6660" max="6661" width="22.7109375" style="963" customWidth="1"/>
    <col min="6662" max="6662" width="17.7109375" style="963" customWidth="1"/>
    <col min="6663" max="6663" width="10.85546875" style="963" customWidth="1"/>
    <col min="6664" max="6664" width="11.140625" style="963" customWidth="1"/>
    <col min="6665" max="6665" width="8.85546875" style="963"/>
    <col min="6666" max="6666" width="27.5703125" style="963" customWidth="1"/>
    <col min="6667" max="6907" width="8.85546875" style="963"/>
    <col min="6908" max="6908" width="4.5703125" style="963" customWidth="1"/>
    <col min="6909" max="6909" width="81.28515625" style="963" customWidth="1"/>
    <col min="6910" max="6910" width="38.42578125" style="963" customWidth="1"/>
    <col min="6911" max="6911" width="24.5703125" style="963" customWidth="1"/>
    <col min="6912" max="6912" width="26.42578125" style="963" customWidth="1"/>
    <col min="6913" max="6913" width="22.7109375" style="963" customWidth="1"/>
    <col min="6914" max="6914" width="15.85546875" style="963" customWidth="1"/>
    <col min="6915" max="6915" width="14.85546875" style="963" customWidth="1"/>
    <col min="6916" max="6917" width="22.7109375" style="963" customWidth="1"/>
    <col min="6918" max="6918" width="17.7109375" style="963" customWidth="1"/>
    <col min="6919" max="6919" width="10.85546875" style="963" customWidth="1"/>
    <col min="6920" max="6920" width="11.140625" style="963" customWidth="1"/>
    <col min="6921" max="6921" width="8.85546875" style="963"/>
    <col min="6922" max="6922" width="27.5703125" style="963" customWidth="1"/>
    <col min="6923" max="7163" width="8.85546875" style="963"/>
    <col min="7164" max="7164" width="4.5703125" style="963" customWidth="1"/>
    <col min="7165" max="7165" width="81.28515625" style="963" customWidth="1"/>
    <col min="7166" max="7166" width="38.42578125" style="963" customWidth="1"/>
    <col min="7167" max="7167" width="24.5703125" style="963" customWidth="1"/>
    <col min="7168" max="7168" width="26.42578125" style="963" customWidth="1"/>
    <col min="7169" max="7169" width="22.7109375" style="963" customWidth="1"/>
    <col min="7170" max="7170" width="15.85546875" style="963" customWidth="1"/>
    <col min="7171" max="7171" width="14.85546875" style="963" customWidth="1"/>
    <col min="7172" max="7173" width="22.7109375" style="963" customWidth="1"/>
    <col min="7174" max="7174" width="17.7109375" style="963" customWidth="1"/>
    <col min="7175" max="7175" width="10.85546875" style="963" customWidth="1"/>
    <col min="7176" max="7176" width="11.140625" style="963" customWidth="1"/>
    <col min="7177" max="7177" width="8.85546875" style="963"/>
    <col min="7178" max="7178" width="27.5703125" style="963" customWidth="1"/>
    <col min="7179" max="7419" width="8.85546875" style="963"/>
    <col min="7420" max="7420" width="4.5703125" style="963" customWidth="1"/>
    <col min="7421" max="7421" width="81.28515625" style="963" customWidth="1"/>
    <col min="7422" max="7422" width="38.42578125" style="963" customWidth="1"/>
    <col min="7423" max="7423" width="24.5703125" style="963" customWidth="1"/>
    <col min="7424" max="7424" width="26.42578125" style="963" customWidth="1"/>
    <col min="7425" max="7425" width="22.7109375" style="963" customWidth="1"/>
    <col min="7426" max="7426" width="15.85546875" style="963" customWidth="1"/>
    <col min="7427" max="7427" width="14.85546875" style="963" customWidth="1"/>
    <col min="7428" max="7429" width="22.7109375" style="963" customWidth="1"/>
    <col min="7430" max="7430" width="17.7109375" style="963" customWidth="1"/>
    <col min="7431" max="7431" width="10.85546875" style="963" customWidth="1"/>
    <col min="7432" max="7432" width="11.140625" style="963" customWidth="1"/>
    <col min="7433" max="7433" width="8.85546875" style="963"/>
    <col min="7434" max="7434" width="27.5703125" style="963" customWidth="1"/>
    <col min="7435" max="7675" width="8.85546875" style="963"/>
    <col min="7676" max="7676" width="4.5703125" style="963" customWidth="1"/>
    <col min="7677" max="7677" width="81.28515625" style="963" customWidth="1"/>
    <col min="7678" max="7678" width="38.42578125" style="963" customWidth="1"/>
    <col min="7679" max="7679" width="24.5703125" style="963" customWidth="1"/>
    <col min="7680" max="7680" width="26.42578125" style="963" customWidth="1"/>
    <col min="7681" max="7681" width="22.7109375" style="963" customWidth="1"/>
    <col min="7682" max="7682" width="15.85546875" style="963" customWidth="1"/>
    <col min="7683" max="7683" width="14.85546875" style="963" customWidth="1"/>
    <col min="7684" max="7685" width="22.7109375" style="963" customWidth="1"/>
    <col min="7686" max="7686" width="17.7109375" style="963" customWidth="1"/>
    <col min="7687" max="7687" width="10.85546875" style="963" customWidth="1"/>
    <col min="7688" max="7688" width="11.140625" style="963" customWidth="1"/>
    <col min="7689" max="7689" width="8.85546875" style="963"/>
    <col min="7690" max="7690" width="27.5703125" style="963" customWidth="1"/>
    <col min="7691" max="7931" width="8.85546875" style="963"/>
    <col min="7932" max="7932" width="4.5703125" style="963" customWidth="1"/>
    <col min="7933" max="7933" width="81.28515625" style="963" customWidth="1"/>
    <col min="7934" max="7934" width="38.42578125" style="963" customWidth="1"/>
    <col min="7935" max="7935" width="24.5703125" style="963" customWidth="1"/>
    <col min="7936" max="7936" width="26.42578125" style="963" customWidth="1"/>
    <col min="7937" max="7937" width="22.7109375" style="963" customWidth="1"/>
    <col min="7938" max="7938" width="15.85546875" style="963" customWidth="1"/>
    <col min="7939" max="7939" width="14.85546875" style="963" customWidth="1"/>
    <col min="7940" max="7941" width="22.7109375" style="963" customWidth="1"/>
    <col min="7942" max="7942" width="17.7109375" style="963" customWidth="1"/>
    <col min="7943" max="7943" width="10.85546875" style="963" customWidth="1"/>
    <col min="7944" max="7944" width="11.140625" style="963" customWidth="1"/>
    <col min="7945" max="7945" width="8.85546875" style="963"/>
    <col min="7946" max="7946" width="27.5703125" style="963" customWidth="1"/>
    <col min="7947" max="8187" width="8.85546875" style="963"/>
    <col min="8188" max="8188" width="4.5703125" style="963" customWidth="1"/>
    <col min="8189" max="8189" width="81.28515625" style="963" customWidth="1"/>
    <col min="8190" max="8190" width="38.42578125" style="963" customWidth="1"/>
    <col min="8191" max="8191" width="24.5703125" style="963" customWidth="1"/>
    <col min="8192" max="8192" width="26.42578125" style="963" customWidth="1"/>
    <col min="8193" max="8193" width="22.7109375" style="963" customWidth="1"/>
    <col min="8194" max="8194" width="15.85546875" style="963" customWidth="1"/>
    <col min="8195" max="8195" width="14.85546875" style="963" customWidth="1"/>
    <col min="8196" max="8197" width="22.7109375" style="963" customWidth="1"/>
    <col min="8198" max="8198" width="17.7109375" style="963" customWidth="1"/>
    <col min="8199" max="8199" width="10.85546875" style="963" customWidth="1"/>
    <col min="8200" max="8200" width="11.140625" style="963" customWidth="1"/>
    <col min="8201" max="8201" width="8.85546875" style="963"/>
    <col min="8202" max="8202" width="27.5703125" style="963" customWidth="1"/>
    <col min="8203" max="8443" width="8.85546875" style="963"/>
    <col min="8444" max="8444" width="4.5703125" style="963" customWidth="1"/>
    <col min="8445" max="8445" width="81.28515625" style="963" customWidth="1"/>
    <col min="8446" max="8446" width="38.42578125" style="963" customWidth="1"/>
    <col min="8447" max="8447" width="24.5703125" style="963" customWidth="1"/>
    <col min="8448" max="8448" width="26.42578125" style="963" customWidth="1"/>
    <col min="8449" max="8449" width="22.7109375" style="963" customWidth="1"/>
    <col min="8450" max="8450" width="15.85546875" style="963" customWidth="1"/>
    <col min="8451" max="8451" width="14.85546875" style="963" customWidth="1"/>
    <col min="8452" max="8453" width="22.7109375" style="963" customWidth="1"/>
    <col min="8454" max="8454" width="17.7109375" style="963" customWidth="1"/>
    <col min="8455" max="8455" width="10.85546875" style="963" customWidth="1"/>
    <col min="8456" max="8456" width="11.140625" style="963" customWidth="1"/>
    <col min="8457" max="8457" width="8.85546875" style="963"/>
    <col min="8458" max="8458" width="27.5703125" style="963" customWidth="1"/>
    <col min="8459" max="8699" width="8.85546875" style="963"/>
    <col min="8700" max="8700" width="4.5703125" style="963" customWidth="1"/>
    <col min="8701" max="8701" width="81.28515625" style="963" customWidth="1"/>
    <col min="8702" max="8702" width="38.42578125" style="963" customWidth="1"/>
    <col min="8703" max="8703" width="24.5703125" style="963" customWidth="1"/>
    <col min="8704" max="8704" width="26.42578125" style="963" customWidth="1"/>
    <col min="8705" max="8705" width="22.7109375" style="963" customWidth="1"/>
    <col min="8706" max="8706" width="15.85546875" style="963" customWidth="1"/>
    <col min="8707" max="8707" width="14.85546875" style="963" customWidth="1"/>
    <col min="8708" max="8709" width="22.7109375" style="963" customWidth="1"/>
    <col min="8710" max="8710" width="17.7109375" style="963" customWidth="1"/>
    <col min="8711" max="8711" width="10.85546875" style="963" customWidth="1"/>
    <col min="8712" max="8712" width="11.140625" style="963" customWidth="1"/>
    <col min="8713" max="8713" width="8.85546875" style="963"/>
    <col min="8714" max="8714" width="27.5703125" style="963" customWidth="1"/>
    <col min="8715" max="8955" width="8.85546875" style="963"/>
    <col min="8956" max="8956" width="4.5703125" style="963" customWidth="1"/>
    <col min="8957" max="8957" width="81.28515625" style="963" customWidth="1"/>
    <col min="8958" max="8958" width="38.42578125" style="963" customWidth="1"/>
    <col min="8959" max="8959" width="24.5703125" style="963" customWidth="1"/>
    <col min="8960" max="8960" width="26.42578125" style="963" customWidth="1"/>
    <col min="8961" max="8961" width="22.7109375" style="963" customWidth="1"/>
    <col min="8962" max="8962" width="15.85546875" style="963" customWidth="1"/>
    <col min="8963" max="8963" width="14.85546875" style="963" customWidth="1"/>
    <col min="8964" max="8965" width="22.7109375" style="963" customWidth="1"/>
    <col min="8966" max="8966" width="17.7109375" style="963" customWidth="1"/>
    <col min="8967" max="8967" width="10.85546875" style="963" customWidth="1"/>
    <col min="8968" max="8968" width="11.140625" style="963" customWidth="1"/>
    <col min="8969" max="8969" width="8.85546875" style="963"/>
    <col min="8970" max="8970" width="27.5703125" style="963" customWidth="1"/>
    <col min="8971" max="9211" width="8.85546875" style="963"/>
    <col min="9212" max="9212" width="4.5703125" style="963" customWidth="1"/>
    <col min="9213" max="9213" width="81.28515625" style="963" customWidth="1"/>
    <col min="9214" max="9214" width="38.42578125" style="963" customWidth="1"/>
    <col min="9215" max="9215" width="24.5703125" style="963" customWidth="1"/>
    <col min="9216" max="9216" width="26.42578125" style="963" customWidth="1"/>
    <col min="9217" max="9217" width="22.7109375" style="963" customWidth="1"/>
    <col min="9218" max="9218" width="15.85546875" style="963" customWidth="1"/>
    <col min="9219" max="9219" width="14.85546875" style="963" customWidth="1"/>
    <col min="9220" max="9221" width="22.7109375" style="963" customWidth="1"/>
    <col min="9222" max="9222" width="17.7109375" style="963" customWidth="1"/>
    <col min="9223" max="9223" width="10.85546875" style="963" customWidth="1"/>
    <col min="9224" max="9224" width="11.140625" style="963" customWidth="1"/>
    <col min="9225" max="9225" width="8.85546875" style="963"/>
    <col min="9226" max="9226" width="27.5703125" style="963" customWidth="1"/>
    <col min="9227" max="9467" width="8.85546875" style="963"/>
    <col min="9468" max="9468" width="4.5703125" style="963" customWidth="1"/>
    <col min="9469" max="9469" width="81.28515625" style="963" customWidth="1"/>
    <col min="9470" max="9470" width="38.42578125" style="963" customWidth="1"/>
    <col min="9471" max="9471" width="24.5703125" style="963" customWidth="1"/>
    <col min="9472" max="9472" width="26.42578125" style="963" customWidth="1"/>
    <col min="9473" max="9473" width="22.7109375" style="963" customWidth="1"/>
    <col min="9474" max="9474" width="15.85546875" style="963" customWidth="1"/>
    <col min="9475" max="9475" width="14.85546875" style="963" customWidth="1"/>
    <col min="9476" max="9477" width="22.7109375" style="963" customWidth="1"/>
    <col min="9478" max="9478" width="17.7109375" style="963" customWidth="1"/>
    <col min="9479" max="9479" width="10.85546875" style="963" customWidth="1"/>
    <col min="9480" max="9480" width="11.140625" style="963" customWidth="1"/>
    <col min="9481" max="9481" width="8.85546875" style="963"/>
    <col min="9482" max="9482" width="27.5703125" style="963" customWidth="1"/>
    <col min="9483" max="9723" width="8.85546875" style="963"/>
    <col min="9724" max="9724" width="4.5703125" style="963" customWidth="1"/>
    <col min="9725" max="9725" width="81.28515625" style="963" customWidth="1"/>
    <col min="9726" max="9726" width="38.42578125" style="963" customWidth="1"/>
    <col min="9727" max="9727" width="24.5703125" style="963" customWidth="1"/>
    <col min="9728" max="9728" width="26.42578125" style="963" customWidth="1"/>
    <col min="9729" max="9729" width="22.7109375" style="963" customWidth="1"/>
    <col min="9730" max="9730" width="15.85546875" style="963" customWidth="1"/>
    <col min="9731" max="9731" width="14.85546875" style="963" customWidth="1"/>
    <col min="9732" max="9733" width="22.7109375" style="963" customWidth="1"/>
    <col min="9734" max="9734" width="17.7109375" style="963" customWidth="1"/>
    <col min="9735" max="9735" width="10.85546875" style="963" customWidth="1"/>
    <col min="9736" max="9736" width="11.140625" style="963" customWidth="1"/>
    <col min="9737" max="9737" width="8.85546875" style="963"/>
    <col min="9738" max="9738" width="27.5703125" style="963" customWidth="1"/>
    <col min="9739" max="9979" width="8.85546875" style="963"/>
    <col min="9980" max="9980" width="4.5703125" style="963" customWidth="1"/>
    <col min="9981" max="9981" width="81.28515625" style="963" customWidth="1"/>
    <col min="9982" max="9982" width="38.42578125" style="963" customWidth="1"/>
    <col min="9983" max="9983" width="24.5703125" style="963" customWidth="1"/>
    <col min="9984" max="9984" width="26.42578125" style="963" customWidth="1"/>
    <col min="9985" max="9985" width="22.7109375" style="963" customWidth="1"/>
    <col min="9986" max="9986" width="15.85546875" style="963" customWidth="1"/>
    <col min="9987" max="9987" width="14.85546875" style="963" customWidth="1"/>
    <col min="9988" max="9989" width="22.7109375" style="963" customWidth="1"/>
    <col min="9990" max="9990" width="17.7109375" style="963" customWidth="1"/>
    <col min="9991" max="9991" width="10.85546875" style="963" customWidth="1"/>
    <col min="9992" max="9992" width="11.140625" style="963" customWidth="1"/>
    <col min="9993" max="9993" width="8.85546875" style="963"/>
    <col min="9994" max="9994" width="27.5703125" style="963" customWidth="1"/>
    <col min="9995" max="10235" width="8.85546875" style="963"/>
    <col min="10236" max="10236" width="4.5703125" style="963" customWidth="1"/>
    <col min="10237" max="10237" width="81.28515625" style="963" customWidth="1"/>
    <col min="10238" max="10238" width="38.42578125" style="963" customWidth="1"/>
    <col min="10239" max="10239" width="24.5703125" style="963" customWidth="1"/>
    <col min="10240" max="10240" width="26.42578125" style="963" customWidth="1"/>
    <col min="10241" max="10241" width="22.7109375" style="963" customWidth="1"/>
    <col min="10242" max="10242" width="15.85546875" style="963" customWidth="1"/>
    <col min="10243" max="10243" width="14.85546875" style="963" customWidth="1"/>
    <col min="10244" max="10245" width="22.7109375" style="963" customWidth="1"/>
    <col min="10246" max="10246" width="17.7109375" style="963" customWidth="1"/>
    <col min="10247" max="10247" width="10.85546875" style="963" customWidth="1"/>
    <col min="10248" max="10248" width="11.140625" style="963" customWidth="1"/>
    <col min="10249" max="10249" width="8.85546875" style="963"/>
    <col min="10250" max="10250" width="27.5703125" style="963" customWidth="1"/>
    <col min="10251" max="10491" width="8.85546875" style="963"/>
    <col min="10492" max="10492" width="4.5703125" style="963" customWidth="1"/>
    <col min="10493" max="10493" width="81.28515625" style="963" customWidth="1"/>
    <col min="10494" max="10494" width="38.42578125" style="963" customWidth="1"/>
    <col min="10495" max="10495" width="24.5703125" style="963" customWidth="1"/>
    <col min="10496" max="10496" width="26.42578125" style="963" customWidth="1"/>
    <col min="10497" max="10497" width="22.7109375" style="963" customWidth="1"/>
    <col min="10498" max="10498" width="15.85546875" style="963" customWidth="1"/>
    <col min="10499" max="10499" width="14.85546875" style="963" customWidth="1"/>
    <col min="10500" max="10501" width="22.7109375" style="963" customWidth="1"/>
    <col min="10502" max="10502" width="17.7109375" style="963" customWidth="1"/>
    <col min="10503" max="10503" width="10.85546875" style="963" customWidth="1"/>
    <col min="10504" max="10504" width="11.140625" style="963" customWidth="1"/>
    <col min="10505" max="10505" width="8.85546875" style="963"/>
    <col min="10506" max="10506" width="27.5703125" style="963" customWidth="1"/>
    <col min="10507" max="10747" width="8.85546875" style="963"/>
    <col min="10748" max="10748" width="4.5703125" style="963" customWidth="1"/>
    <col min="10749" max="10749" width="81.28515625" style="963" customWidth="1"/>
    <col min="10750" max="10750" width="38.42578125" style="963" customWidth="1"/>
    <col min="10751" max="10751" width="24.5703125" style="963" customWidth="1"/>
    <col min="10752" max="10752" width="26.42578125" style="963" customWidth="1"/>
    <col min="10753" max="10753" width="22.7109375" style="963" customWidth="1"/>
    <col min="10754" max="10754" width="15.85546875" style="963" customWidth="1"/>
    <col min="10755" max="10755" width="14.85546875" style="963" customWidth="1"/>
    <col min="10756" max="10757" width="22.7109375" style="963" customWidth="1"/>
    <col min="10758" max="10758" width="17.7109375" style="963" customWidth="1"/>
    <col min="10759" max="10759" width="10.85546875" style="963" customWidth="1"/>
    <col min="10760" max="10760" width="11.140625" style="963" customWidth="1"/>
    <col min="10761" max="10761" width="8.85546875" style="963"/>
    <col min="10762" max="10762" width="27.5703125" style="963" customWidth="1"/>
    <col min="10763" max="11003" width="8.85546875" style="963"/>
    <col min="11004" max="11004" width="4.5703125" style="963" customWidth="1"/>
    <col min="11005" max="11005" width="81.28515625" style="963" customWidth="1"/>
    <col min="11006" max="11006" width="38.42578125" style="963" customWidth="1"/>
    <col min="11007" max="11007" width="24.5703125" style="963" customWidth="1"/>
    <col min="11008" max="11008" width="26.42578125" style="963" customWidth="1"/>
    <col min="11009" max="11009" width="22.7109375" style="963" customWidth="1"/>
    <col min="11010" max="11010" width="15.85546875" style="963" customWidth="1"/>
    <col min="11011" max="11011" width="14.85546875" style="963" customWidth="1"/>
    <col min="11012" max="11013" width="22.7109375" style="963" customWidth="1"/>
    <col min="11014" max="11014" width="17.7109375" style="963" customWidth="1"/>
    <col min="11015" max="11015" width="10.85546875" style="963" customWidth="1"/>
    <col min="11016" max="11016" width="11.140625" style="963" customWidth="1"/>
    <col min="11017" max="11017" width="8.85546875" style="963"/>
    <col min="11018" max="11018" width="27.5703125" style="963" customWidth="1"/>
    <col min="11019" max="11259" width="8.85546875" style="963"/>
    <col min="11260" max="11260" width="4.5703125" style="963" customWidth="1"/>
    <col min="11261" max="11261" width="81.28515625" style="963" customWidth="1"/>
    <col min="11262" max="11262" width="38.42578125" style="963" customWidth="1"/>
    <col min="11263" max="11263" width="24.5703125" style="963" customWidth="1"/>
    <col min="11264" max="11264" width="26.42578125" style="963" customWidth="1"/>
    <col min="11265" max="11265" width="22.7109375" style="963" customWidth="1"/>
    <col min="11266" max="11266" width="15.85546875" style="963" customWidth="1"/>
    <col min="11267" max="11267" width="14.85546875" style="963" customWidth="1"/>
    <col min="11268" max="11269" width="22.7109375" style="963" customWidth="1"/>
    <col min="11270" max="11270" width="17.7109375" style="963" customWidth="1"/>
    <col min="11271" max="11271" width="10.85546875" style="963" customWidth="1"/>
    <col min="11272" max="11272" width="11.140625" style="963" customWidth="1"/>
    <col min="11273" max="11273" width="8.85546875" style="963"/>
    <col min="11274" max="11274" width="27.5703125" style="963" customWidth="1"/>
    <col min="11275" max="11515" width="8.85546875" style="963"/>
    <col min="11516" max="11516" width="4.5703125" style="963" customWidth="1"/>
    <col min="11517" max="11517" width="81.28515625" style="963" customWidth="1"/>
    <col min="11518" max="11518" width="38.42578125" style="963" customWidth="1"/>
    <col min="11519" max="11519" width="24.5703125" style="963" customWidth="1"/>
    <col min="11520" max="11520" width="26.42578125" style="963" customWidth="1"/>
    <col min="11521" max="11521" width="22.7109375" style="963" customWidth="1"/>
    <col min="11522" max="11522" width="15.85546875" style="963" customWidth="1"/>
    <col min="11523" max="11523" width="14.85546875" style="963" customWidth="1"/>
    <col min="11524" max="11525" width="22.7109375" style="963" customWidth="1"/>
    <col min="11526" max="11526" width="17.7109375" style="963" customWidth="1"/>
    <col min="11527" max="11527" width="10.85546875" style="963" customWidth="1"/>
    <col min="11528" max="11528" width="11.140625" style="963" customWidth="1"/>
    <col min="11529" max="11529" width="8.85546875" style="963"/>
    <col min="11530" max="11530" width="27.5703125" style="963" customWidth="1"/>
    <col min="11531" max="11771" width="8.85546875" style="963"/>
    <col min="11772" max="11772" width="4.5703125" style="963" customWidth="1"/>
    <col min="11773" max="11773" width="81.28515625" style="963" customWidth="1"/>
    <col min="11774" max="11774" width="38.42578125" style="963" customWidth="1"/>
    <col min="11775" max="11775" width="24.5703125" style="963" customWidth="1"/>
    <col min="11776" max="11776" width="26.42578125" style="963" customWidth="1"/>
    <col min="11777" max="11777" width="22.7109375" style="963" customWidth="1"/>
    <col min="11778" max="11778" width="15.85546875" style="963" customWidth="1"/>
    <col min="11779" max="11779" width="14.85546875" style="963" customWidth="1"/>
    <col min="11780" max="11781" width="22.7109375" style="963" customWidth="1"/>
    <col min="11782" max="11782" width="17.7109375" style="963" customWidth="1"/>
    <col min="11783" max="11783" width="10.85546875" style="963" customWidth="1"/>
    <col min="11784" max="11784" width="11.140625" style="963" customWidth="1"/>
    <col min="11785" max="11785" width="8.85546875" style="963"/>
    <col min="11786" max="11786" width="27.5703125" style="963" customWidth="1"/>
    <col min="11787" max="12027" width="8.85546875" style="963"/>
    <col min="12028" max="12028" width="4.5703125" style="963" customWidth="1"/>
    <col min="12029" max="12029" width="81.28515625" style="963" customWidth="1"/>
    <col min="12030" max="12030" width="38.42578125" style="963" customWidth="1"/>
    <col min="12031" max="12031" width="24.5703125" style="963" customWidth="1"/>
    <col min="12032" max="12032" width="26.42578125" style="963" customWidth="1"/>
    <col min="12033" max="12033" width="22.7109375" style="963" customWidth="1"/>
    <col min="12034" max="12034" width="15.85546875" style="963" customWidth="1"/>
    <col min="12035" max="12035" width="14.85546875" style="963" customWidth="1"/>
    <col min="12036" max="12037" width="22.7109375" style="963" customWidth="1"/>
    <col min="12038" max="12038" width="17.7109375" style="963" customWidth="1"/>
    <col min="12039" max="12039" width="10.85546875" style="963" customWidth="1"/>
    <col min="12040" max="12040" width="11.140625" style="963" customWidth="1"/>
    <col min="12041" max="12041" width="8.85546875" style="963"/>
    <col min="12042" max="12042" width="27.5703125" style="963" customWidth="1"/>
    <col min="12043" max="12283" width="8.85546875" style="963"/>
    <col min="12284" max="12284" width="4.5703125" style="963" customWidth="1"/>
    <col min="12285" max="12285" width="81.28515625" style="963" customWidth="1"/>
    <col min="12286" max="12286" width="38.42578125" style="963" customWidth="1"/>
    <col min="12287" max="12287" width="24.5703125" style="963" customWidth="1"/>
    <col min="12288" max="12288" width="26.42578125" style="963" customWidth="1"/>
    <col min="12289" max="12289" width="22.7109375" style="963" customWidth="1"/>
    <col min="12290" max="12290" width="15.85546875" style="963" customWidth="1"/>
    <col min="12291" max="12291" width="14.85546875" style="963" customWidth="1"/>
    <col min="12292" max="12293" width="22.7109375" style="963" customWidth="1"/>
    <col min="12294" max="12294" width="17.7109375" style="963" customWidth="1"/>
    <col min="12295" max="12295" width="10.85546875" style="963" customWidth="1"/>
    <col min="12296" max="12296" width="11.140625" style="963" customWidth="1"/>
    <col min="12297" max="12297" width="8.85546875" style="963"/>
    <col min="12298" max="12298" width="27.5703125" style="963" customWidth="1"/>
    <col min="12299" max="12539" width="8.85546875" style="963"/>
    <col min="12540" max="12540" width="4.5703125" style="963" customWidth="1"/>
    <col min="12541" max="12541" width="81.28515625" style="963" customWidth="1"/>
    <col min="12542" max="12542" width="38.42578125" style="963" customWidth="1"/>
    <col min="12543" max="12543" width="24.5703125" style="963" customWidth="1"/>
    <col min="12544" max="12544" width="26.42578125" style="963" customWidth="1"/>
    <col min="12545" max="12545" width="22.7109375" style="963" customWidth="1"/>
    <col min="12546" max="12546" width="15.85546875" style="963" customWidth="1"/>
    <col min="12547" max="12547" width="14.85546875" style="963" customWidth="1"/>
    <col min="12548" max="12549" width="22.7109375" style="963" customWidth="1"/>
    <col min="12550" max="12550" width="17.7109375" style="963" customWidth="1"/>
    <col min="12551" max="12551" width="10.85546875" style="963" customWidth="1"/>
    <col min="12552" max="12552" width="11.140625" style="963" customWidth="1"/>
    <col min="12553" max="12553" width="8.85546875" style="963"/>
    <col min="12554" max="12554" width="27.5703125" style="963" customWidth="1"/>
    <col min="12555" max="12795" width="8.85546875" style="963"/>
    <col min="12796" max="12796" width="4.5703125" style="963" customWidth="1"/>
    <col min="12797" max="12797" width="81.28515625" style="963" customWidth="1"/>
    <col min="12798" max="12798" width="38.42578125" style="963" customWidth="1"/>
    <col min="12799" max="12799" width="24.5703125" style="963" customWidth="1"/>
    <col min="12800" max="12800" width="26.42578125" style="963" customWidth="1"/>
    <col min="12801" max="12801" width="22.7109375" style="963" customWidth="1"/>
    <col min="12802" max="12802" width="15.85546875" style="963" customWidth="1"/>
    <col min="12803" max="12803" width="14.85546875" style="963" customWidth="1"/>
    <col min="12804" max="12805" width="22.7109375" style="963" customWidth="1"/>
    <col min="12806" max="12806" width="17.7109375" style="963" customWidth="1"/>
    <col min="12807" max="12807" width="10.85546875" style="963" customWidth="1"/>
    <col min="12808" max="12808" width="11.140625" style="963" customWidth="1"/>
    <col min="12809" max="12809" width="8.85546875" style="963"/>
    <col min="12810" max="12810" width="27.5703125" style="963" customWidth="1"/>
    <col min="12811" max="13051" width="8.85546875" style="963"/>
    <col min="13052" max="13052" width="4.5703125" style="963" customWidth="1"/>
    <col min="13053" max="13053" width="81.28515625" style="963" customWidth="1"/>
    <col min="13054" max="13054" width="38.42578125" style="963" customWidth="1"/>
    <col min="13055" max="13055" width="24.5703125" style="963" customWidth="1"/>
    <col min="13056" max="13056" width="26.42578125" style="963" customWidth="1"/>
    <col min="13057" max="13057" width="22.7109375" style="963" customWidth="1"/>
    <col min="13058" max="13058" width="15.85546875" style="963" customWidth="1"/>
    <col min="13059" max="13059" width="14.85546875" style="963" customWidth="1"/>
    <col min="13060" max="13061" width="22.7109375" style="963" customWidth="1"/>
    <col min="13062" max="13062" width="17.7109375" style="963" customWidth="1"/>
    <col min="13063" max="13063" width="10.85546875" style="963" customWidth="1"/>
    <col min="13064" max="13064" width="11.140625" style="963" customWidth="1"/>
    <col min="13065" max="13065" width="8.85546875" style="963"/>
    <col min="13066" max="13066" width="27.5703125" style="963" customWidth="1"/>
    <col min="13067" max="13307" width="8.85546875" style="963"/>
    <col min="13308" max="13308" width="4.5703125" style="963" customWidth="1"/>
    <col min="13309" max="13309" width="81.28515625" style="963" customWidth="1"/>
    <col min="13310" max="13310" width="38.42578125" style="963" customWidth="1"/>
    <col min="13311" max="13311" width="24.5703125" style="963" customWidth="1"/>
    <col min="13312" max="13312" width="26.42578125" style="963" customWidth="1"/>
    <col min="13313" max="13313" width="22.7109375" style="963" customWidth="1"/>
    <col min="13314" max="13314" width="15.85546875" style="963" customWidth="1"/>
    <col min="13315" max="13315" width="14.85546875" style="963" customWidth="1"/>
    <col min="13316" max="13317" width="22.7109375" style="963" customWidth="1"/>
    <col min="13318" max="13318" width="17.7109375" style="963" customWidth="1"/>
    <col min="13319" max="13319" width="10.85546875" style="963" customWidth="1"/>
    <col min="13320" max="13320" width="11.140625" style="963" customWidth="1"/>
    <col min="13321" max="13321" width="8.85546875" style="963"/>
    <col min="13322" max="13322" width="27.5703125" style="963" customWidth="1"/>
    <col min="13323" max="13563" width="8.85546875" style="963"/>
    <col min="13564" max="13564" width="4.5703125" style="963" customWidth="1"/>
    <col min="13565" max="13565" width="81.28515625" style="963" customWidth="1"/>
    <col min="13566" max="13566" width="38.42578125" style="963" customWidth="1"/>
    <col min="13567" max="13567" width="24.5703125" style="963" customWidth="1"/>
    <col min="13568" max="13568" width="26.42578125" style="963" customWidth="1"/>
    <col min="13569" max="13569" width="22.7109375" style="963" customWidth="1"/>
    <col min="13570" max="13570" width="15.85546875" style="963" customWidth="1"/>
    <col min="13571" max="13571" width="14.85546875" style="963" customWidth="1"/>
    <col min="13572" max="13573" width="22.7109375" style="963" customWidth="1"/>
    <col min="13574" max="13574" width="17.7109375" style="963" customWidth="1"/>
    <col min="13575" max="13575" width="10.85546875" style="963" customWidth="1"/>
    <col min="13576" max="13576" width="11.140625" style="963" customWidth="1"/>
    <col min="13577" max="13577" width="8.85546875" style="963"/>
    <col min="13578" max="13578" width="27.5703125" style="963" customWidth="1"/>
    <col min="13579" max="13819" width="8.85546875" style="963"/>
    <col min="13820" max="13820" width="4.5703125" style="963" customWidth="1"/>
    <col min="13821" max="13821" width="81.28515625" style="963" customWidth="1"/>
    <col min="13822" max="13822" width="38.42578125" style="963" customWidth="1"/>
    <col min="13823" max="13823" width="24.5703125" style="963" customWidth="1"/>
    <col min="13824" max="13824" width="26.42578125" style="963" customWidth="1"/>
    <col min="13825" max="13825" width="22.7109375" style="963" customWidth="1"/>
    <col min="13826" max="13826" width="15.85546875" style="963" customWidth="1"/>
    <col min="13827" max="13827" width="14.85546875" style="963" customWidth="1"/>
    <col min="13828" max="13829" width="22.7109375" style="963" customWidth="1"/>
    <col min="13830" max="13830" width="17.7109375" style="963" customWidth="1"/>
    <col min="13831" max="13831" width="10.85546875" style="963" customWidth="1"/>
    <col min="13832" max="13832" width="11.140625" style="963" customWidth="1"/>
    <col min="13833" max="13833" width="8.85546875" style="963"/>
    <col min="13834" max="13834" width="27.5703125" style="963" customWidth="1"/>
    <col min="13835" max="14075" width="8.85546875" style="963"/>
    <col min="14076" max="14076" width="4.5703125" style="963" customWidth="1"/>
    <col min="14077" max="14077" width="81.28515625" style="963" customWidth="1"/>
    <col min="14078" max="14078" width="38.42578125" style="963" customWidth="1"/>
    <col min="14079" max="14079" width="24.5703125" style="963" customWidth="1"/>
    <col min="14080" max="14080" width="26.42578125" style="963" customWidth="1"/>
    <col min="14081" max="14081" width="22.7109375" style="963" customWidth="1"/>
    <col min="14082" max="14082" width="15.85546875" style="963" customWidth="1"/>
    <col min="14083" max="14083" width="14.85546875" style="963" customWidth="1"/>
    <col min="14084" max="14085" width="22.7109375" style="963" customWidth="1"/>
    <col min="14086" max="14086" width="17.7109375" style="963" customWidth="1"/>
    <col min="14087" max="14087" width="10.85546875" style="963" customWidth="1"/>
    <col min="14088" max="14088" width="11.140625" style="963" customWidth="1"/>
    <col min="14089" max="14089" width="8.85546875" style="963"/>
    <col min="14090" max="14090" width="27.5703125" style="963" customWidth="1"/>
    <col min="14091" max="14331" width="8.85546875" style="963"/>
    <col min="14332" max="14332" width="4.5703125" style="963" customWidth="1"/>
    <col min="14333" max="14333" width="81.28515625" style="963" customWidth="1"/>
    <col min="14334" max="14334" width="38.42578125" style="963" customWidth="1"/>
    <col min="14335" max="14335" width="24.5703125" style="963" customWidth="1"/>
    <col min="14336" max="14336" width="26.42578125" style="963" customWidth="1"/>
    <col min="14337" max="14337" width="22.7109375" style="963" customWidth="1"/>
    <col min="14338" max="14338" width="15.85546875" style="963" customWidth="1"/>
    <col min="14339" max="14339" width="14.85546875" style="963" customWidth="1"/>
    <col min="14340" max="14341" width="22.7109375" style="963" customWidth="1"/>
    <col min="14342" max="14342" width="17.7109375" style="963" customWidth="1"/>
    <col min="14343" max="14343" width="10.85546875" style="963" customWidth="1"/>
    <col min="14344" max="14344" width="11.140625" style="963" customWidth="1"/>
    <col min="14345" max="14345" width="8.85546875" style="963"/>
    <col min="14346" max="14346" width="27.5703125" style="963" customWidth="1"/>
    <col min="14347" max="14587" width="8.85546875" style="963"/>
    <col min="14588" max="14588" width="4.5703125" style="963" customWidth="1"/>
    <col min="14589" max="14589" width="81.28515625" style="963" customWidth="1"/>
    <col min="14590" max="14590" width="38.42578125" style="963" customWidth="1"/>
    <col min="14591" max="14591" width="24.5703125" style="963" customWidth="1"/>
    <col min="14592" max="14592" width="26.42578125" style="963" customWidth="1"/>
    <col min="14593" max="14593" width="22.7109375" style="963" customWidth="1"/>
    <col min="14594" max="14594" width="15.85546875" style="963" customWidth="1"/>
    <col min="14595" max="14595" width="14.85546875" style="963" customWidth="1"/>
    <col min="14596" max="14597" width="22.7109375" style="963" customWidth="1"/>
    <col min="14598" max="14598" width="17.7109375" style="963" customWidth="1"/>
    <col min="14599" max="14599" width="10.85546875" style="963" customWidth="1"/>
    <col min="14600" max="14600" width="11.140625" style="963" customWidth="1"/>
    <col min="14601" max="14601" width="8.85546875" style="963"/>
    <col min="14602" max="14602" width="27.5703125" style="963" customWidth="1"/>
    <col min="14603" max="14843" width="8.85546875" style="963"/>
    <col min="14844" max="14844" width="4.5703125" style="963" customWidth="1"/>
    <col min="14845" max="14845" width="81.28515625" style="963" customWidth="1"/>
    <col min="14846" max="14846" width="38.42578125" style="963" customWidth="1"/>
    <col min="14847" max="14847" width="24.5703125" style="963" customWidth="1"/>
    <col min="14848" max="14848" width="26.42578125" style="963" customWidth="1"/>
    <col min="14849" max="14849" width="22.7109375" style="963" customWidth="1"/>
    <col min="14850" max="14850" width="15.85546875" style="963" customWidth="1"/>
    <col min="14851" max="14851" width="14.85546875" style="963" customWidth="1"/>
    <col min="14852" max="14853" width="22.7109375" style="963" customWidth="1"/>
    <col min="14854" max="14854" width="17.7109375" style="963" customWidth="1"/>
    <col min="14855" max="14855" width="10.85546875" style="963" customWidth="1"/>
    <col min="14856" max="14856" width="11.140625" style="963" customWidth="1"/>
    <col min="14857" max="14857" width="8.85546875" style="963"/>
    <col min="14858" max="14858" width="27.5703125" style="963" customWidth="1"/>
    <col min="14859" max="15099" width="8.85546875" style="963"/>
    <col min="15100" max="15100" width="4.5703125" style="963" customWidth="1"/>
    <col min="15101" max="15101" width="81.28515625" style="963" customWidth="1"/>
    <col min="15102" max="15102" width="38.42578125" style="963" customWidth="1"/>
    <col min="15103" max="15103" width="24.5703125" style="963" customWidth="1"/>
    <col min="15104" max="15104" width="26.42578125" style="963" customWidth="1"/>
    <col min="15105" max="15105" width="22.7109375" style="963" customWidth="1"/>
    <col min="15106" max="15106" width="15.85546875" style="963" customWidth="1"/>
    <col min="15107" max="15107" width="14.85546875" style="963" customWidth="1"/>
    <col min="15108" max="15109" width="22.7109375" style="963" customWidth="1"/>
    <col min="15110" max="15110" width="17.7109375" style="963" customWidth="1"/>
    <col min="15111" max="15111" width="10.85546875" style="963" customWidth="1"/>
    <col min="15112" max="15112" width="11.140625" style="963" customWidth="1"/>
    <col min="15113" max="15113" width="8.85546875" style="963"/>
    <col min="15114" max="15114" width="27.5703125" style="963" customWidth="1"/>
    <col min="15115" max="15355" width="8.85546875" style="963"/>
    <col min="15356" max="15356" width="4.5703125" style="963" customWidth="1"/>
    <col min="15357" max="15357" width="81.28515625" style="963" customWidth="1"/>
    <col min="15358" max="15358" width="38.42578125" style="963" customWidth="1"/>
    <col min="15359" max="15359" width="24.5703125" style="963" customWidth="1"/>
    <col min="15360" max="15360" width="26.42578125" style="963" customWidth="1"/>
    <col min="15361" max="15361" width="22.7109375" style="963" customWidth="1"/>
    <col min="15362" max="15362" width="15.85546875" style="963" customWidth="1"/>
    <col min="15363" max="15363" width="14.85546875" style="963" customWidth="1"/>
    <col min="15364" max="15365" width="22.7109375" style="963" customWidth="1"/>
    <col min="15366" max="15366" width="17.7109375" style="963" customWidth="1"/>
    <col min="15367" max="15367" width="10.85546875" style="963" customWidth="1"/>
    <col min="15368" max="15368" width="11.140625" style="963" customWidth="1"/>
    <col min="15369" max="15369" width="8.85546875" style="963"/>
    <col min="15370" max="15370" width="27.5703125" style="963" customWidth="1"/>
    <col min="15371" max="15611" width="8.85546875" style="963"/>
    <col min="15612" max="15612" width="4.5703125" style="963" customWidth="1"/>
    <col min="15613" max="15613" width="81.28515625" style="963" customWidth="1"/>
    <col min="15614" max="15614" width="38.42578125" style="963" customWidth="1"/>
    <col min="15615" max="15615" width="24.5703125" style="963" customWidth="1"/>
    <col min="15616" max="15616" width="26.42578125" style="963" customWidth="1"/>
    <col min="15617" max="15617" width="22.7109375" style="963" customWidth="1"/>
    <col min="15618" max="15618" width="15.85546875" style="963" customWidth="1"/>
    <col min="15619" max="15619" width="14.85546875" style="963" customWidth="1"/>
    <col min="15620" max="15621" width="22.7109375" style="963" customWidth="1"/>
    <col min="15622" max="15622" width="17.7109375" style="963" customWidth="1"/>
    <col min="15623" max="15623" width="10.85546875" style="963" customWidth="1"/>
    <col min="15624" max="15624" width="11.140625" style="963" customWidth="1"/>
    <col min="15625" max="15625" width="8.85546875" style="963"/>
    <col min="15626" max="15626" width="27.5703125" style="963" customWidth="1"/>
    <col min="15627" max="15867" width="8.85546875" style="963"/>
    <col min="15868" max="15868" width="4.5703125" style="963" customWidth="1"/>
    <col min="15869" max="15869" width="81.28515625" style="963" customWidth="1"/>
    <col min="15870" max="15870" width="38.42578125" style="963" customWidth="1"/>
    <col min="15871" max="15871" width="24.5703125" style="963" customWidth="1"/>
    <col min="15872" max="15872" width="26.42578125" style="963" customWidth="1"/>
    <col min="15873" max="15873" width="22.7109375" style="963" customWidth="1"/>
    <col min="15874" max="15874" width="15.85546875" style="963" customWidth="1"/>
    <col min="15875" max="15875" width="14.85546875" style="963" customWidth="1"/>
    <col min="15876" max="15877" width="22.7109375" style="963" customWidth="1"/>
    <col min="15878" max="15878" width="17.7109375" style="963" customWidth="1"/>
    <col min="15879" max="15879" width="10.85546875" style="963" customWidth="1"/>
    <col min="15880" max="15880" width="11.140625" style="963" customWidth="1"/>
    <col min="15881" max="15881" width="8.85546875" style="963"/>
    <col min="15882" max="15882" width="27.5703125" style="963" customWidth="1"/>
    <col min="15883" max="16123" width="8.85546875" style="963"/>
    <col min="16124" max="16124" width="4.5703125" style="963" customWidth="1"/>
    <col min="16125" max="16125" width="81.28515625" style="963" customWidth="1"/>
    <col min="16126" max="16126" width="38.42578125" style="963" customWidth="1"/>
    <col min="16127" max="16127" width="24.5703125" style="963" customWidth="1"/>
    <col min="16128" max="16128" width="26.42578125" style="963" customWidth="1"/>
    <col min="16129" max="16129" width="22.7109375" style="963" customWidth="1"/>
    <col min="16130" max="16130" width="15.85546875" style="963" customWidth="1"/>
    <col min="16131" max="16131" width="14.85546875" style="963" customWidth="1"/>
    <col min="16132" max="16133" width="22.7109375" style="963" customWidth="1"/>
    <col min="16134" max="16134" width="17.7109375" style="963" customWidth="1"/>
    <col min="16135" max="16135" width="10.85546875" style="963" customWidth="1"/>
    <col min="16136" max="16136" width="11.140625" style="963" customWidth="1"/>
    <col min="16137" max="16137" width="8.85546875" style="963"/>
    <col min="16138" max="16138" width="27.5703125" style="963" customWidth="1"/>
    <col min="16139" max="16384" width="8.85546875" style="963"/>
  </cols>
  <sheetData>
    <row r="1" spans="1:10" s="3" customFormat="1" ht="21.75" customHeight="1" x14ac:dyDescent="0.25">
      <c r="A1" s="5041" t="s">
        <v>3571</v>
      </c>
      <c r="B1" s="5041"/>
      <c r="C1" s="5041"/>
      <c r="D1" s="5041"/>
      <c r="E1" s="5041"/>
      <c r="F1" s="5041"/>
      <c r="G1" s="5041"/>
      <c r="H1" s="5041"/>
    </row>
    <row r="2" spans="1:10" s="3" customFormat="1" ht="21.75" customHeight="1" x14ac:dyDescent="0.25">
      <c r="A2" s="5042" t="s">
        <v>3572</v>
      </c>
      <c r="B2" s="5042"/>
      <c r="C2" s="5042"/>
      <c r="D2" s="5042"/>
      <c r="E2" s="5042"/>
      <c r="F2" s="5042"/>
      <c r="G2" s="5042"/>
      <c r="H2" s="5042"/>
    </row>
    <row r="3" spans="1:10" s="3" customFormat="1" ht="21.75" customHeight="1" x14ac:dyDescent="0.3">
      <c r="A3" s="5043" t="s">
        <v>3573</v>
      </c>
      <c r="B3" s="5043"/>
      <c r="C3" s="5043"/>
      <c r="D3" s="5043"/>
      <c r="E3" s="5043"/>
      <c r="F3" s="5043"/>
      <c r="G3" s="5043"/>
      <c r="H3" s="5043"/>
    </row>
    <row r="4" spans="1:10" s="3" customFormat="1" ht="21.75" customHeight="1" x14ac:dyDescent="0.3">
      <c r="A4" s="485"/>
      <c r="B4" s="1153"/>
      <c r="C4" s="548"/>
      <c r="D4" s="548"/>
      <c r="E4" s="548"/>
      <c r="F4" s="548"/>
      <c r="G4" s="548"/>
      <c r="H4" s="4758"/>
    </row>
    <row r="5" spans="1:10" ht="20.25" customHeight="1" x14ac:dyDescent="0.25">
      <c r="A5" s="5044" t="s">
        <v>3574</v>
      </c>
      <c r="B5" s="5044"/>
    </row>
    <row r="6" spans="1:10" ht="20.25" customHeight="1" x14ac:dyDescent="0.35">
      <c r="A6" s="5045" t="s">
        <v>3575</v>
      </c>
      <c r="B6" s="5045"/>
      <c r="H6" s="682" t="s">
        <v>4172</v>
      </c>
    </row>
    <row r="7" spans="1:10" ht="14.1" customHeight="1" thickBot="1" x14ac:dyDescent="0.3">
      <c r="A7" s="4759"/>
      <c r="B7" s="42"/>
    </row>
    <row r="8" spans="1:10" ht="26.25" customHeight="1" thickTop="1" thickBot="1" x14ac:dyDescent="0.3">
      <c r="A8" s="4957" t="s">
        <v>6</v>
      </c>
      <c r="B8" s="4956" t="s">
        <v>7</v>
      </c>
      <c r="C8" s="5038" t="s">
        <v>8</v>
      </c>
      <c r="D8" s="5038"/>
      <c r="E8" s="5038"/>
      <c r="F8" s="5038"/>
      <c r="G8" s="5038"/>
      <c r="H8" s="5039" t="s">
        <v>11</v>
      </c>
    </row>
    <row r="9" spans="1:10" s="4496" customFormat="1" ht="81.75" customHeight="1" thickTop="1" thickBot="1" x14ac:dyDescent="0.3">
      <c r="A9" s="4862" t="s">
        <v>6</v>
      </c>
      <c r="B9" s="4863" t="s">
        <v>7</v>
      </c>
      <c r="C9" s="486" t="s">
        <v>12</v>
      </c>
      <c r="D9" s="486" t="s">
        <v>17</v>
      </c>
      <c r="E9" s="486" t="s">
        <v>7961</v>
      </c>
      <c r="F9" s="486" t="s">
        <v>15</v>
      </c>
      <c r="G9" s="486" t="s">
        <v>7962</v>
      </c>
      <c r="H9" s="5040"/>
    </row>
    <row r="10" spans="1:10" ht="17.25" hidden="1" customHeight="1" thickTop="1" thickBot="1" x14ac:dyDescent="0.3">
      <c r="A10" s="683" t="s">
        <v>19</v>
      </c>
      <c r="B10" s="47" t="s">
        <v>20</v>
      </c>
      <c r="C10" s="487" t="s">
        <v>21</v>
      </c>
      <c r="D10" s="487" t="s">
        <v>22</v>
      </c>
      <c r="E10" s="487"/>
      <c r="F10" s="487" t="s">
        <v>23</v>
      </c>
      <c r="G10" s="487" t="s">
        <v>24</v>
      </c>
      <c r="H10" s="684" t="s">
        <v>25</v>
      </c>
    </row>
    <row r="11" spans="1:10" ht="12" customHeight="1" thickTop="1" x14ac:dyDescent="0.25">
      <c r="A11" s="495"/>
      <c r="B11" s="488"/>
      <c r="C11" s="410"/>
      <c r="D11" s="410"/>
      <c r="E11" s="410"/>
      <c r="F11" s="410"/>
      <c r="G11" s="410"/>
      <c r="H11" s="473"/>
    </row>
    <row r="12" spans="1:10" s="470" customFormat="1" ht="23.25" customHeight="1" x14ac:dyDescent="0.25">
      <c r="A12" s="685" t="s">
        <v>32</v>
      </c>
      <c r="B12" s="75" t="s">
        <v>33</v>
      </c>
      <c r="C12" s="549">
        <f>SUM(C13,C187)</f>
        <v>1440553463000</v>
      </c>
      <c r="D12" s="549">
        <f>SUM(D13,D187)</f>
        <v>1250670918001</v>
      </c>
      <c r="E12" s="549">
        <f>C12-D12</f>
        <v>189882544999</v>
      </c>
      <c r="F12" s="181">
        <f>D12/C12*100</f>
        <v>86.818778346236229</v>
      </c>
      <c r="G12" s="549">
        <f>SUM(G13+G187)/2</f>
        <v>88.535025017152918</v>
      </c>
      <c r="H12" s="686"/>
    </row>
    <row r="13" spans="1:10" s="470" customFormat="1" ht="26.25" customHeight="1" x14ac:dyDescent="0.25">
      <c r="A13" s="687">
        <v>1</v>
      </c>
      <c r="B13" s="89" t="s">
        <v>3579</v>
      </c>
      <c r="C13" s="1154">
        <f>SUM(C14,C54,C93,C102,C116,C121,C133,C148,C151,C157,C183)</f>
        <v>1305791269700</v>
      </c>
      <c r="D13" s="1154">
        <f>SUM(D14,D54,D93,D102,D116,D121,D133,D148,D151,D157,D183)</f>
        <v>1149837044988</v>
      </c>
      <c r="E13" s="549">
        <f>C13-D13</f>
        <v>155954224712</v>
      </c>
      <c r="F13" s="165">
        <f>D13/C13*100</f>
        <v>88.056726344339111</v>
      </c>
      <c r="G13" s="165">
        <f>SUM(G14+G54+G93+G102+G116+G121+G133+G151+G157+G183)/10</f>
        <v>84.929896639119789</v>
      </c>
      <c r="H13" s="471"/>
      <c r="J13" s="472"/>
    </row>
    <row r="14" spans="1:10" s="470" customFormat="1" ht="18.75" customHeight="1" x14ac:dyDescent="0.25">
      <c r="A14" s="688"/>
      <c r="B14" s="1155" t="s">
        <v>3580</v>
      </c>
      <c r="C14" s="152">
        <f>SUM(C15:C52)</f>
        <v>571000000000</v>
      </c>
      <c r="D14" s="152">
        <f>SUM(D15:D52)</f>
        <v>538263613168</v>
      </c>
      <c r="E14" s="247"/>
      <c r="F14" s="60">
        <f>D14/C14*100</f>
        <v>94.266832428721543</v>
      </c>
      <c r="G14" s="60">
        <f>SUM(G15:G52)/38</f>
        <v>95.851052631578952</v>
      </c>
      <c r="H14" s="473"/>
    </row>
    <row r="15" spans="1:10" s="475" customFormat="1" ht="17.25" hidden="1" customHeight="1" x14ac:dyDescent="0.2">
      <c r="A15" s="491"/>
      <c r="B15" s="580" t="s">
        <v>3581</v>
      </c>
      <c r="C15" s="151">
        <v>23000000000</v>
      </c>
      <c r="D15" s="394">
        <v>22072599000</v>
      </c>
      <c r="E15" s="403"/>
      <c r="F15" s="62">
        <f>D15/C15*100</f>
        <v>95.967821739130429</v>
      </c>
      <c r="G15" s="169">
        <v>100</v>
      </c>
      <c r="H15" s="689"/>
    </row>
    <row r="16" spans="1:10" s="475" customFormat="1" ht="15.75" hidden="1" customHeight="1" x14ac:dyDescent="0.2">
      <c r="A16" s="491"/>
      <c r="B16" s="580" t="s">
        <v>3582</v>
      </c>
      <c r="C16" s="149">
        <v>10000000000</v>
      </c>
      <c r="D16" s="149">
        <v>9800529000</v>
      </c>
      <c r="E16" s="374"/>
      <c r="F16" s="62">
        <f t="shared" ref="F16:F52" si="0">D16/C16*100</f>
        <v>98.005290000000002</v>
      </c>
      <c r="G16" s="62">
        <v>100</v>
      </c>
      <c r="H16" s="689"/>
    </row>
    <row r="17" spans="1:8" s="475" customFormat="1" ht="19.5" hidden="1" customHeight="1" x14ac:dyDescent="0.2">
      <c r="A17" s="491"/>
      <c r="B17" s="580" t="s">
        <v>3583</v>
      </c>
      <c r="C17" s="149">
        <v>40000000000</v>
      </c>
      <c r="D17" s="149">
        <v>38914247000</v>
      </c>
      <c r="E17" s="374"/>
      <c r="F17" s="62">
        <f t="shared" si="0"/>
        <v>97.285617500000001</v>
      </c>
      <c r="G17" s="62">
        <v>100</v>
      </c>
      <c r="H17" s="689"/>
    </row>
    <row r="18" spans="1:8" s="475" customFormat="1" ht="15.75" hidden="1" customHeight="1" x14ac:dyDescent="0.2">
      <c r="A18" s="491"/>
      <c r="B18" s="580" t="s">
        <v>3584</v>
      </c>
      <c r="C18" s="149">
        <v>17000000000</v>
      </c>
      <c r="D18" s="149">
        <v>16455847000</v>
      </c>
      <c r="E18" s="374"/>
      <c r="F18" s="62">
        <f t="shared" si="0"/>
        <v>96.79910000000001</v>
      </c>
      <c r="G18" s="62">
        <v>100</v>
      </c>
      <c r="H18" s="689"/>
    </row>
    <row r="19" spans="1:8" s="475" customFormat="1" ht="18" hidden="1" customHeight="1" x14ac:dyDescent="0.2">
      <c r="A19" s="491"/>
      <c r="B19" s="580" t="s">
        <v>3585</v>
      </c>
      <c r="C19" s="151">
        <v>7000000000</v>
      </c>
      <c r="D19" s="149">
        <v>6774266000</v>
      </c>
      <c r="E19" s="374"/>
      <c r="F19" s="62">
        <f t="shared" si="0"/>
        <v>96.77522857142857</v>
      </c>
      <c r="G19" s="62">
        <v>100</v>
      </c>
      <c r="H19" s="689"/>
    </row>
    <row r="20" spans="1:8" s="475" customFormat="1" ht="16.5" hidden="1" customHeight="1" x14ac:dyDescent="0.2">
      <c r="A20" s="491"/>
      <c r="B20" s="580" t="s">
        <v>3586</v>
      </c>
      <c r="C20" s="149">
        <v>15000000000</v>
      </c>
      <c r="D20" s="149">
        <v>8480097725</v>
      </c>
      <c r="E20" s="374"/>
      <c r="F20" s="62">
        <f t="shared" si="0"/>
        <v>56.533984833333328</v>
      </c>
      <c r="G20" s="62">
        <v>60</v>
      </c>
      <c r="H20" s="690"/>
    </row>
    <row r="21" spans="1:8" s="475" customFormat="1" ht="15.75" hidden="1" customHeight="1" x14ac:dyDescent="0.2">
      <c r="A21" s="491"/>
      <c r="B21" s="580" t="s">
        <v>3587</v>
      </c>
      <c r="C21" s="149">
        <v>25000000000</v>
      </c>
      <c r="D21" s="149">
        <v>24233369000</v>
      </c>
      <c r="E21" s="374"/>
      <c r="F21" s="62">
        <f t="shared" si="0"/>
        <v>96.933475999999999</v>
      </c>
      <c r="G21" s="62">
        <v>100</v>
      </c>
      <c r="H21" s="689"/>
    </row>
    <row r="22" spans="1:8" s="475" customFormat="1" ht="21" hidden="1" customHeight="1" x14ac:dyDescent="0.2">
      <c r="A22" s="491"/>
      <c r="B22" s="580" t="s">
        <v>3588</v>
      </c>
      <c r="C22" s="149">
        <v>5000000000</v>
      </c>
      <c r="D22" s="149">
        <v>4871090000</v>
      </c>
      <c r="E22" s="374"/>
      <c r="F22" s="62">
        <f t="shared" si="0"/>
        <v>97.421800000000005</v>
      </c>
      <c r="G22" s="62">
        <v>100</v>
      </c>
      <c r="H22" s="689"/>
    </row>
    <row r="23" spans="1:8" s="475" customFormat="1" ht="18" hidden="1" customHeight="1" x14ac:dyDescent="0.2">
      <c r="A23" s="491"/>
      <c r="B23" s="580" t="s">
        <v>3589</v>
      </c>
      <c r="C23" s="149">
        <v>45000000000</v>
      </c>
      <c r="D23" s="149">
        <v>43957607000</v>
      </c>
      <c r="E23" s="374"/>
      <c r="F23" s="62">
        <f t="shared" si="0"/>
        <v>97.683571111111107</v>
      </c>
      <c r="G23" s="62">
        <v>100</v>
      </c>
      <c r="H23" s="689"/>
    </row>
    <row r="24" spans="1:8" s="475" customFormat="1" ht="18.75" hidden="1" customHeight="1" x14ac:dyDescent="0.2">
      <c r="A24" s="491"/>
      <c r="B24" s="580" t="s">
        <v>3590</v>
      </c>
      <c r="C24" s="149">
        <v>10000000000</v>
      </c>
      <c r="D24" s="149">
        <v>9774540000</v>
      </c>
      <c r="E24" s="374"/>
      <c r="F24" s="62">
        <f t="shared" si="0"/>
        <v>97.745400000000004</v>
      </c>
      <c r="G24" s="62">
        <v>100</v>
      </c>
      <c r="H24" s="689"/>
    </row>
    <row r="25" spans="1:8" s="475" customFormat="1" ht="18" hidden="1" customHeight="1" x14ac:dyDescent="0.2">
      <c r="A25" s="491"/>
      <c r="B25" s="580" t="s">
        <v>3591</v>
      </c>
      <c r="C25" s="149">
        <v>25000000000</v>
      </c>
      <c r="D25" s="149">
        <v>24474278000</v>
      </c>
      <c r="E25" s="374"/>
      <c r="F25" s="62">
        <f t="shared" si="0"/>
        <v>97.897111999999993</v>
      </c>
      <c r="G25" s="62">
        <v>100</v>
      </c>
      <c r="H25" s="689"/>
    </row>
    <row r="26" spans="1:8" s="475" customFormat="1" ht="18.75" hidden="1" customHeight="1" x14ac:dyDescent="0.2">
      <c r="A26" s="491"/>
      <c r="B26" s="580" t="s">
        <v>3592</v>
      </c>
      <c r="C26" s="149">
        <v>10000000000</v>
      </c>
      <c r="D26" s="149">
        <v>5234361683</v>
      </c>
      <c r="E26" s="374"/>
      <c r="F26" s="62">
        <f t="shared" si="0"/>
        <v>52.343616829999995</v>
      </c>
      <c r="G26" s="62">
        <v>52.34</v>
      </c>
      <c r="H26" s="690"/>
    </row>
    <row r="27" spans="1:8" s="475" customFormat="1" ht="20.25" hidden="1" customHeight="1" x14ac:dyDescent="0.2">
      <c r="A27" s="491"/>
      <c r="B27" s="580" t="s">
        <v>3593</v>
      </c>
      <c r="C27" s="149">
        <v>10000000000</v>
      </c>
      <c r="D27" s="149">
        <v>9716514000</v>
      </c>
      <c r="E27" s="374"/>
      <c r="F27" s="62">
        <f t="shared" si="0"/>
        <v>97.165140000000008</v>
      </c>
      <c r="G27" s="62">
        <v>100</v>
      </c>
      <c r="H27" s="691"/>
    </row>
    <row r="28" spans="1:8" s="475" customFormat="1" ht="24.75" hidden="1" customHeight="1" x14ac:dyDescent="0.2">
      <c r="A28" s="491"/>
      <c r="B28" s="580" t="s">
        <v>3594</v>
      </c>
      <c r="C28" s="149">
        <v>10000000000</v>
      </c>
      <c r="D28" s="149">
        <v>9803010000</v>
      </c>
      <c r="E28" s="374"/>
      <c r="F28" s="62">
        <f t="shared" si="0"/>
        <v>98.030100000000004</v>
      </c>
      <c r="G28" s="62">
        <v>100</v>
      </c>
      <c r="H28" s="689"/>
    </row>
    <row r="29" spans="1:8" s="475" customFormat="1" ht="20.25" hidden="1" customHeight="1" x14ac:dyDescent="0.2">
      <c r="A29" s="491"/>
      <c r="B29" s="580" t="s">
        <v>3595</v>
      </c>
      <c r="C29" s="149">
        <v>45000000000</v>
      </c>
      <c r="D29" s="149">
        <v>44217000000</v>
      </c>
      <c r="E29" s="374"/>
      <c r="F29" s="62">
        <f t="shared" si="0"/>
        <v>98.26</v>
      </c>
      <c r="G29" s="62">
        <v>100</v>
      </c>
      <c r="H29" s="689"/>
    </row>
    <row r="30" spans="1:8" s="475" customFormat="1" ht="15.75" hidden="1" customHeight="1" x14ac:dyDescent="0.2">
      <c r="A30" s="491"/>
      <c r="B30" s="580" t="s">
        <v>3596</v>
      </c>
      <c r="C30" s="149">
        <v>15000000000</v>
      </c>
      <c r="D30" s="149">
        <v>14812620000</v>
      </c>
      <c r="E30" s="374"/>
      <c r="F30" s="62">
        <f t="shared" si="0"/>
        <v>98.750799999999998</v>
      </c>
      <c r="G30" s="62">
        <v>100</v>
      </c>
      <c r="H30" s="689"/>
    </row>
    <row r="31" spans="1:8" s="475" customFormat="1" ht="17.25" hidden="1" customHeight="1" x14ac:dyDescent="0.2">
      <c r="A31" s="491"/>
      <c r="B31" s="580" t="s">
        <v>3597</v>
      </c>
      <c r="C31" s="149">
        <v>5000000000</v>
      </c>
      <c r="D31" s="149">
        <v>4895923000</v>
      </c>
      <c r="E31" s="374"/>
      <c r="F31" s="62">
        <f t="shared" si="0"/>
        <v>97.918459999999996</v>
      </c>
      <c r="G31" s="62">
        <v>100</v>
      </c>
      <c r="H31" s="689"/>
    </row>
    <row r="32" spans="1:8" s="475" customFormat="1" ht="15.75" hidden="1" customHeight="1" x14ac:dyDescent="0.2">
      <c r="A32" s="491"/>
      <c r="B32" s="580" t="s">
        <v>3598</v>
      </c>
      <c r="C32" s="149">
        <v>10000000000</v>
      </c>
      <c r="D32" s="149">
        <v>9653820000</v>
      </c>
      <c r="E32" s="374"/>
      <c r="F32" s="62">
        <f t="shared" si="0"/>
        <v>96.538199999999989</v>
      </c>
      <c r="G32" s="62">
        <v>100</v>
      </c>
      <c r="H32" s="689"/>
    </row>
    <row r="33" spans="1:8" s="475" customFormat="1" ht="20.25" hidden="1" customHeight="1" x14ac:dyDescent="0.2">
      <c r="A33" s="491"/>
      <c r="B33" s="580" t="s">
        <v>3599</v>
      </c>
      <c r="C33" s="149">
        <v>10000000000</v>
      </c>
      <c r="D33" s="149">
        <v>9787225000</v>
      </c>
      <c r="E33" s="374"/>
      <c r="F33" s="62">
        <f t="shared" si="0"/>
        <v>97.872250000000008</v>
      </c>
      <c r="G33" s="62">
        <v>100</v>
      </c>
      <c r="H33" s="689"/>
    </row>
    <row r="34" spans="1:8" s="475" customFormat="1" ht="21" hidden="1" customHeight="1" x14ac:dyDescent="0.2">
      <c r="A34" s="491"/>
      <c r="B34" s="580" t="s">
        <v>3600</v>
      </c>
      <c r="C34" s="149">
        <v>13000000000</v>
      </c>
      <c r="D34" s="149">
        <v>12591450000</v>
      </c>
      <c r="E34" s="374"/>
      <c r="F34" s="62">
        <f t="shared" si="0"/>
        <v>96.8573076923077</v>
      </c>
      <c r="G34" s="62">
        <v>100</v>
      </c>
      <c r="H34" s="689"/>
    </row>
    <row r="35" spans="1:8" s="475" customFormat="1" ht="19.5" hidden="1" customHeight="1" x14ac:dyDescent="0.2">
      <c r="A35" s="491"/>
      <c r="B35" s="580" t="s">
        <v>3601</v>
      </c>
      <c r="C35" s="149">
        <v>15000000000</v>
      </c>
      <c r="D35" s="149">
        <v>14762745000</v>
      </c>
      <c r="E35" s="374"/>
      <c r="F35" s="62">
        <f t="shared" si="0"/>
        <v>98.418300000000002</v>
      </c>
      <c r="G35" s="62">
        <v>100</v>
      </c>
      <c r="H35" s="689"/>
    </row>
    <row r="36" spans="1:8" s="475" customFormat="1" ht="19.5" hidden="1" customHeight="1" x14ac:dyDescent="0.2">
      <c r="A36" s="491"/>
      <c r="B36" s="580" t="s">
        <v>3602</v>
      </c>
      <c r="C36" s="149">
        <v>30000000000</v>
      </c>
      <c r="D36" s="149">
        <v>29350620000</v>
      </c>
      <c r="E36" s="374"/>
      <c r="F36" s="62">
        <f t="shared" si="0"/>
        <v>97.835399999999993</v>
      </c>
      <c r="G36" s="62">
        <v>100</v>
      </c>
      <c r="H36" s="689"/>
    </row>
    <row r="37" spans="1:8" s="475" customFormat="1" ht="20.25" hidden="1" customHeight="1" x14ac:dyDescent="0.2">
      <c r="A37" s="491"/>
      <c r="B37" s="580" t="s">
        <v>3603</v>
      </c>
      <c r="C37" s="149">
        <v>7000000000</v>
      </c>
      <c r="D37" s="149">
        <v>6715345000</v>
      </c>
      <c r="E37" s="374"/>
      <c r="F37" s="62">
        <f t="shared" si="0"/>
        <v>95.933500000000009</v>
      </c>
      <c r="G37" s="62">
        <v>100</v>
      </c>
      <c r="H37" s="689"/>
    </row>
    <row r="38" spans="1:8" s="475" customFormat="1" ht="21" hidden="1" customHeight="1" x14ac:dyDescent="0.2">
      <c r="A38" s="491"/>
      <c r="B38" s="580" t="s">
        <v>4103</v>
      </c>
      <c r="C38" s="149">
        <v>5000000000</v>
      </c>
      <c r="D38" s="149">
        <v>4846750000</v>
      </c>
      <c r="E38" s="374"/>
      <c r="F38" s="62">
        <f>D38/C38*100</f>
        <v>96.935000000000002</v>
      </c>
      <c r="G38" s="62">
        <v>100</v>
      </c>
      <c r="H38" s="689"/>
    </row>
    <row r="39" spans="1:8" s="475" customFormat="1" ht="19.5" hidden="1" customHeight="1" x14ac:dyDescent="0.2">
      <c r="A39" s="492"/>
      <c r="B39" s="580" t="s">
        <v>3604</v>
      </c>
      <c r="C39" s="149">
        <v>10000000000</v>
      </c>
      <c r="D39" s="149">
        <v>2874776400</v>
      </c>
      <c r="E39" s="374"/>
      <c r="F39" s="62">
        <f t="shared" si="0"/>
        <v>28.747763999999997</v>
      </c>
      <c r="G39" s="62">
        <v>30</v>
      </c>
      <c r="H39" s="690"/>
    </row>
    <row r="40" spans="1:8" s="475" customFormat="1" ht="18.75" hidden="1" customHeight="1" x14ac:dyDescent="0.2">
      <c r="A40" s="491"/>
      <c r="B40" s="580" t="s">
        <v>3605</v>
      </c>
      <c r="C40" s="149">
        <v>15000000000</v>
      </c>
      <c r="D40" s="149">
        <v>14845900000</v>
      </c>
      <c r="E40" s="149"/>
      <c r="F40" s="169">
        <f t="shared" si="0"/>
        <v>98.972666666666669</v>
      </c>
      <c r="G40" s="169">
        <v>100</v>
      </c>
      <c r="H40" s="692"/>
    </row>
    <row r="41" spans="1:8" s="475" customFormat="1" ht="18.75" hidden="1" customHeight="1" x14ac:dyDescent="0.2">
      <c r="A41" s="491"/>
      <c r="B41" s="580" t="s">
        <v>3606</v>
      </c>
      <c r="C41" s="149">
        <v>15000000000</v>
      </c>
      <c r="D41" s="149">
        <v>14565890000</v>
      </c>
      <c r="E41" s="149"/>
      <c r="F41" s="169">
        <f t="shared" si="0"/>
        <v>97.10593333333334</v>
      </c>
      <c r="G41" s="169">
        <v>100</v>
      </c>
      <c r="H41" s="692"/>
    </row>
    <row r="42" spans="1:8" s="475" customFormat="1" ht="19.5" hidden="1" customHeight="1" x14ac:dyDescent="0.2">
      <c r="A42" s="491"/>
      <c r="B42" s="580" t="s">
        <v>3607</v>
      </c>
      <c r="C42" s="149">
        <v>20000000000</v>
      </c>
      <c r="D42" s="149">
        <v>19381984000</v>
      </c>
      <c r="E42" s="149"/>
      <c r="F42" s="169">
        <f t="shared" si="0"/>
        <v>96.90992</v>
      </c>
      <c r="G42" s="169">
        <v>100</v>
      </c>
      <c r="H42" s="692"/>
    </row>
    <row r="43" spans="1:8" s="475" customFormat="1" ht="24" hidden="1" customHeight="1" x14ac:dyDescent="0.2">
      <c r="A43" s="491"/>
      <c r="B43" s="580" t="s">
        <v>3608</v>
      </c>
      <c r="C43" s="149">
        <v>20000000000</v>
      </c>
      <c r="D43" s="149">
        <v>19267226760</v>
      </c>
      <c r="E43" s="149"/>
      <c r="F43" s="169">
        <f t="shared" si="0"/>
        <v>96.336133799999999</v>
      </c>
      <c r="G43" s="169">
        <v>100</v>
      </c>
      <c r="H43" s="692"/>
    </row>
    <row r="44" spans="1:8" s="475" customFormat="1" ht="15.75" hidden="1" customHeight="1" x14ac:dyDescent="0.2">
      <c r="A44" s="491"/>
      <c r="B44" s="580" t="s">
        <v>3609</v>
      </c>
      <c r="C44" s="149">
        <v>1000000000</v>
      </c>
      <c r="D44" s="149">
        <v>991950000</v>
      </c>
      <c r="E44" s="149"/>
      <c r="F44" s="169">
        <f t="shared" si="0"/>
        <v>99.194999999999993</v>
      </c>
      <c r="G44" s="169">
        <v>100</v>
      </c>
      <c r="H44" s="692"/>
    </row>
    <row r="45" spans="1:8" s="475" customFormat="1" ht="16.5" hidden="1" customHeight="1" x14ac:dyDescent="0.2">
      <c r="A45" s="491"/>
      <c r="B45" s="580" t="s">
        <v>3610</v>
      </c>
      <c r="C45" s="149">
        <v>5000000000</v>
      </c>
      <c r="D45" s="149">
        <v>4908000000</v>
      </c>
      <c r="E45" s="149"/>
      <c r="F45" s="169">
        <f t="shared" si="0"/>
        <v>98.16</v>
      </c>
      <c r="G45" s="169">
        <v>100</v>
      </c>
      <c r="H45" s="692"/>
    </row>
    <row r="46" spans="1:8" s="475" customFormat="1" ht="15.75" hidden="1" customHeight="1" x14ac:dyDescent="0.2">
      <c r="A46" s="491"/>
      <c r="B46" s="580" t="s">
        <v>3611</v>
      </c>
      <c r="C46" s="149">
        <v>20000000000</v>
      </c>
      <c r="D46" s="149">
        <v>18934000000</v>
      </c>
      <c r="E46" s="149"/>
      <c r="F46" s="169">
        <f t="shared" si="0"/>
        <v>94.67</v>
      </c>
      <c r="G46" s="169">
        <v>100</v>
      </c>
      <c r="H46" s="692"/>
    </row>
    <row r="47" spans="1:8" s="475" customFormat="1" ht="16.5" hidden="1" customHeight="1" x14ac:dyDescent="0.2">
      <c r="A47" s="491"/>
      <c r="B47" s="580" t="s">
        <v>4105</v>
      </c>
      <c r="C47" s="149">
        <v>10000000000</v>
      </c>
      <c r="D47" s="149">
        <v>9578550600</v>
      </c>
      <c r="E47" s="149"/>
      <c r="F47" s="169">
        <f t="shared" si="0"/>
        <v>95.785505999999998</v>
      </c>
      <c r="G47" s="169">
        <v>100</v>
      </c>
      <c r="H47" s="692"/>
    </row>
    <row r="48" spans="1:8" s="475" customFormat="1" ht="18.75" hidden="1" customHeight="1" x14ac:dyDescent="0.2">
      <c r="A48" s="491"/>
      <c r="B48" s="580" t="s">
        <v>3612</v>
      </c>
      <c r="C48" s="149">
        <v>5000000000</v>
      </c>
      <c r="D48" s="149">
        <v>4805000000</v>
      </c>
      <c r="E48" s="149"/>
      <c r="F48" s="169">
        <f t="shared" si="0"/>
        <v>96.1</v>
      </c>
      <c r="G48" s="169">
        <v>100</v>
      </c>
      <c r="H48" s="692"/>
    </row>
    <row r="49" spans="1:8" s="475" customFormat="1" ht="21" hidden="1" customHeight="1" x14ac:dyDescent="0.2">
      <c r="A49" s="492"/>
      <c r="B49" s="580" t="s">
        <v>3613</v>
      </c>
      <c r="C49" s="149">
        <v>10000000000</v>
      </c>
      <c r="D49" s="149">
        <v>9319638000</v>
      </c>
      <c r="E49" s="149"/>
      <c r="F49" s="169">
        <f t="shared" si="0"/>
        <v>93.196380000000005</v>
      </c>
      <c r="G49" s="169">
        <v>100</v>
      </c>
      <c r="H49" s="692"/>
    </row>
    <row r="50" spans="1:8" s="475" customFormat="1" ht="18.75" hidden="1" customHeight="1" x14ac:dyDescent="0.2">
      <c r="A50" s="491"/>
      <c r="B50" s="580" t="s">
        <v>3614</v>
      </c>
      <c r="C50" s="149">
        <v>15000000000</v>
      </c>
      <c r="D50" s="149">
        <v>14818041000</v>
      </c>
      <c r="E50" s="149"/>
      <c r="F50" s="169">
        <f t="shared" si="0"/>
        <v>98.786940000000001</v>
      </c>
      <c r="G50" s="169">
        <v>100</v>
      </c>
      <c r="H50" s="692"/>
    </row>
    <row r="51" spans="1:8" s="475" customFormat="1" ht="18.75" hidden="1" customHeight="1" x14ac:dyDescent="0.2">
      <c r="A51" s="491"/>
      <c r="B51" s="580" t="s">
        <v>3751</v>
      </c>
      <c r="C51" s="149">
        <v>10000000000</v>
      </c>
      <c r="D51" s="149">
        <v>9809200000</v>
      </c>
      <c r="E51" s="149"/>
      <c r="F51" s="169">
        <f t="shared" si="0"/>
        <v>98.091999999999999</v>
      </c>
      <c r="G51" s="169">
        <v>100</v>
      </c>
      <c r="H51" s="692"/>
    </row>
    <row r="52" spans="1:8" s="475" customFormat="1" ht="18.75" hidden="1" customHeight="1" x14ac:dyDescent="0.2">
      <c r="A52" s="491"/>
      <c r="B52" s="580" t="s">
        <v>3750</v>
      </c>
      <c r="C52" s="149">
        <v>8000000000</v>
      </c>
      <c r="D52" s="149">
        <v>7967603000</v>
      </c>
      <c r="E52" s="149"/>
      <c r="F52" s="169">
        <f t="shared" si="0"/>
        <v>99.595037500000004</v>
      </c>
      <c r="G52" s="169">
        <v>100</v>
      </c>
      <c r="H52" s="692"/>
    </row>
    <row r="53" spans="1:8" s="475" customFormat="1" ht="14.25" hidden="1" customHeight="1" x14ac:dyDescent="0.2">
      <c r="A53" s="492"/>
      <c r="B53" s="580"/>
      <c r="C53" s="149"/>
      <c r="D53" s="149"/>
      <c r="E53" s="149"/>
      <c r="F53" s="169"/>
      <c r="G53" s="169"/>
      <c r="H53" s="692"/>
    </row>
    <row r="54" spans="1:8" s="470" customFormat="1" ht="20.25" customHeight="1" x14ac:dyDescent="0.25">
      <c r="A54" s="493"/>
      <c r="B54" s="1156" t="s">
        <v>3615</v>
      </c>
      <c r="C54" s="150">
        <f>SUM(C55:C91)</f>
        <v>407125000000</v>
      </c>
      <c r="D54" s="150">
        <f>SUM(D55:D91)</f>
        <v>380225171600</v>
      </c>
      <c r="E54" s="150"/>
      <c r="F54" s="176">
        <f>D54/C54*100</f>
        <v>93.392734811175927</v>
      </c>
      <c r="G54" s="176">
        <f>SUM(G55:G91)/36</f>
        <v>95.057777777777773</v>
      </c>
      <c r="H54" s="471"/>
    </row>
    <row r="55" spans="1:8" s="477" customFormat="1" ht="18" hidden="1" customHeight="1" x14ac:dyDescent="0.25">
      <c r="A55" s="492"/>
      <c r="B55" s="580" t="s">
        <v>3616</v>
      </c>
      <c r="C55" s="149">
        <v>20000000000</v>
      </c>
      <c r="D55" s="149">
        <v>19522554500</v>
      </c>
      <c r="E55" s="149"/>
      <c r="F55" s="169">
        <f>D55/C55*100</f>
        <v>97.612772500000005</v>
      </c>
      <c r="G55" s="169">
        <v>100</v>
      </c>
      <c r="H55" s="692"/>
    </row>
    <row r="56" spans="1:8" s="477" customFormat="1" ht="16.5" hidden="1" customHeight="1" x14ac:dyDescent="0.25">
      <c r="A56" s="492"/>
      <c r="B56" s="580" t="s">
        <v>3617</v>
      </c>
      <c r="C56" s="149">
        <v>25000000000</v>
      </c>
      <c r="D56" s="394">
        <v>22971660000</v>
      </c>
      <c r="E56" s="394"/>
      <c r="F56" s="169">
        <f t="shared" ref="F56:F91" si="1">D56/C56*100</f>
        <v>91.88664</v>
      </c>
      <c r="G56" s="169">
        <v>100</v>
      </c>
      <c r="H56" s="692"/>
    </row>
    <row r="57" spans="1:8" s="477" customFormat="1" ht="21" hidden="1" customHeight="1" x14ac:dyDescent="0.25">
      <c r="A57" s="492"/>
      <c r="B57" s="580" t="s">
        <v>4106</v>
      </c>
      <c r="C57" s="149">
        <v>20000000000</v>
      </c>
      <c r="D57" s="394">
        <v>19484286000</v>
      </c>
      <c r="E57" s="394"/>
      <c r="F57" s="169">
        <f t="shared" si="1"/>
        <v>97.421430000000001</v>
      </c>
      <c r="G57" s="169">
        <v>100</v>
      </c>
      <c r="H57" s="692"/>
    </row>
    <row r="58" spans="1:8" s="477" customFormat="1" ht="18.75" hidden="1" customHeight="1" x14ac:dyDescent="0.25">
      <c r="A58" s="492"/>
      <c r="B58" s="580" t="s">
        <v>3618</v>
      </c>
      <c r="C58" s="149">
        <v>7000000000</v>
      </c>
      <c r="D58" s="394">
        <v>6568700000</v>
      </c>
      <c r="E58" s="394"/>
      <c r="F58" s="169">
        <f t="shared" si="1"/>
        <v>93.838571428571427</v>
      </c>
      <c r="G58" s="169">
        <v>100</v>
      </c>
      <c r="H58" s="692"/>
    </row>
    <row r="59" spans="1:8" s="477" customFormat="1" ht="22.5" hidden="1" customHeight="1" x14ac:dyDescent="0.25">
      <c r="A59" s="492"/>
      <c r="B59" s="580" t="s">
        <v>3619</v>
      </c>
      <c r="C59" s="149">
        <v>50000000000</v>
      </c>
      <c r="D59" s="394">
        <v>46891516000</v>
      </c>
      <c r="E59" s="394"/>
      <c r="F59" s="169">
        <f t="shared" si="1"/>
        <v>93.783032000000006</v>
      </c>
      <c r="G59" s="169">
        <v>100</v>
      </c>
      <c r="H59" s="692"/>
    </row>
    <row r="60" spans="1:8" s="477" customFormat="1" ht="18.75" hidden="1" customHeight="1" x14ac:dyDescent="0.25">
      <c r="A60" s="492"/>
      <c r="B60" s="580" t="s">
        <v>3620</v>
      </c>
      <c r="C60" s="149">
        <v>20000000000</v>
      </c>
      <c r="D60" s="394">
        <v>19802448000</v>
      </c>
      <c r="E60" s="394"/>
      <c r="F60" s="169">
        <f t="shared" si="1"/>
        <v>99.012239999999991</v>
      </c>
      <c r="G60" s="169">
        <v>100</v>
      </c>
      <c r="H60" s="692"/>
    </row>
    <row r="61" spans="1:8" s="477" customFormat="1" ht="32.25" hidden="1" customHeight="1" x14ac:dyDescent="0.25">
      <c r="A61" s="492"/>
      <c r="B61" s="580" t="s">
        <v>3621</v>
      </c>
      <c r="C61" s="149">
        <v>20000000000</v>
      </c>
      <c r="D61" s="394">
        <v>19324233000</v>
      </c>
      <c r="E61" s="394"/>
      <c r="F61" s="169">
        <f t="shared" si="1"/>
        <v>96.621164999999991</v>
      </c>
      <c r="G61" s="169">
        <v>100</v>
      </c>
      <c r="H61" s="692"/>
    </row>
    <row r="62" spans="1:8" s="477" customFormat="1" ht="33" hidden="1" customHeight="1" x14ac:dyDescent="0.25">
      <c r="A62" s="492"/>
      <c r="B62" s="580" t="s">
        <v>3622</v>
      </c>
      <c r="C62" s="149">
        <v>12000000000</v>
      </c>
      <c r="D62" s="567">
        <v>11394893000</v>
      </c>
      <c r="E62" s="567"/>
      <c r="F62" s="169">
        <f t="shared" si="1"/>
        <v>94.957441666666668</v>
      </c>
      <c r="G62" s="169">
        <v>100</v>
      </c>
      <c r="H62" s="692"/>
    </row>
    <row r="63" spans="1:8" s="477" customFormat="1" ht="23.25" hidden="1" customHeight="1" x14ac:dyDescent="0.25">
      <c r="A63" s="492"/>
      <c r="B63" s="580" t="s">
        <v>3623</v>
      </c>
      <c r="C63" s="149">
        <v>3000000000</v>
      </c>
      <c r="D63" s="567">
        <v>2901000000</v>
      </c>
      <c r="E63" s="567"/>
      <c r="F63" s="169">
        <f t="shared" si="1"/>
        <v>96.7</v>
      </c>
      <c r="G63" s="169">
        <v>100</v>
      </c>
      <c r="H63" s="692"/>
    </row>
    <row r="64" spans="1:8" s="477" customFormat="1" ht="36" hidden="1" customHeight="1" x14ac:dyDescent="0.25">
      <c r="A64" s="492"/>
      <c r="B64" s="580" t="s">
        <v>3753</v>
      </c>
      <c r="C64" s="149">
        <v>7000000000</v>
      </c>
      <c r="D64" s="394">
        <v>6894800000</v>
      </c>
      <c r="E64" s="394"/>
      <c r="F64" s="169">
        <f t="shared" si="1"/>
        <v>98.497142857142862</v>
      </c>
      <c r="G64" s="169">
        <v>100</v>
      </c>
      <c r="H64" s="692"/>
    </row>
    <row r="65" spans="1:8" s="477" customFormat="1" ht="21.75" hidden="1" customHeight="1" x14ac:dyDescent="0.25">
      <c r="A65" s="492"/>
      <c r="B65" s="580" t="s">
        <v>3754</v>
      </c>
      <c r="C65" s="149">
        <v>7000000000</v>
      </c>
      <c r="D65" s="394">
        <v>6884700000</v>
      </c>
      <c r="E65" s="394"/>
      <c r="F65" s="169">
        <f t="shared" si="1"/>
        <v>98.352857142857147</v>
      </c>
      <c r="G65" s="169">
        <v>100</v>
      </c>
      <c r="H65" s="692"/>
    </row>
    <row r="66" spans="1:8" s="477" customFormat="1" ht="19.5" hidden="1" customHeight="1" x14ac:dyDescent="0.25">
      <c r="A66" s="492"/>
      <c r="B66" s="580" t="s">
        <v>3755</v>
      </c>
      <c r="C66" s="149">
        <v>8000000000</v>
      </c>
      <c r="D66" s="149">
        <v>7715600000</v>
      </c>
      <c r="E66" s="149"/>
      <c r="F66" s="169">
        <f t="shared" si="1"/>
        <v>96.445000000000007</v>
      </c>
      <c r="G66" s="149">
        <v>100</v>
      </c>
      <c r="H66" s="692"/>
    </row>
    <row r="67" spans="1:8" s="477" customFormat="1" ht="32.25" hidden="1" customHeight="1" x14ac:dyDescent="0.25">
      <c r="A67" s="492"/>
      <c r="B67" s="580" t="s">
        <v>3756</v>
      </c>
      <c r="C67" s="149">
        <v>15000000000</v>
      </c>
      <c r="D67" s="394">
        <v>14370771000</v>
      </c>
      <c r="E67" s="394"/>
      <c r="F67" s="169">
        <f t="shared" si="1"/>
        <v>95.805139999999994</v>
      </c>
      <c r="G67" s="169">
        <v>100</v>
      </c>
      <c r="H67" s="692"/>
    </row>
    <row r="68" spans="1:8" s="477" customFormat="1" ht="32.25" hidden="1" customHeight="1" x14ac:dyDescent="0.25">
      <c r="A68" s="492"/>
      <c r="B68" s="580" t="s">
        <v>3757</v>
      </c>
      <c r="C68" s="149">
        <v>15000000000</v>
      </c>
      <c r="D68" s="394">
        <v>14556567000</v>
      </c>
      <c r="E68" s="394"/>
      <c r="F68" s="169">
        <f t="shared" si="1"/>
        <v>97.043779999999998</v>
      </c>
      <c r="G68" s="169">
        <v>100</v>
      </c>
      <c r="H68" s="692"/>
    </row>
    <row r="69" spans="1:8" s="477" customFormat="1" ht="18.75" hidden="1" customHeight="1" x14ac:dyDescent="0.25">
      <c r="A69" s="492"/>
      <c r="B69" s="580" t="s">
        <v>4102</v>
      </c>
      <c r="C69" s="149">
        <v>15000000000</v>
      </c>
      <c r="D69" s="394">
        <v>14600786500</v>
      </c>
      <c r="E69" s="394"/>
      <c r="F69" s="169">
        <f t="shared" si="1"/>
        <v>97.338576666666668</v>
      </c>
      <c r="G69" s="169">
        <v>100</v>
      </c>
      <c r="H69" s="692"/>
    </row>
    <row r="70" spans="1:8" s="477" customFormat="1" ht="18" hidden="1" customHeight="1" x14ac:dyDescent="0.25">
      <c r="A70" s="492"/>
      <c r="B70" s="580" t="s">
        <v>3758</v>
      </c>
      <c r="C70" s="149">
        <v>10000000000</v>
      </c>
      <c r="D70" s="394">
        <v>9183545000</v>
      </c>
      <c r="E70" s="394"/>
      <c r="F70" s="169">
        <f t="shared" si="1"/>
        <v>91.835449999999994</v>
      </c>
      <c r="G70" s="169">
        <v>100</v>
      </c>
      <c r="H70" s="692"/>
    </row>
    <row r="71" spans="1:8" s="477" customFormat="1" ht="18.75" hidden="1" customHeight="1" x14ac:dyDescent="0.25">
      <c r="A71" s="492"/>
      <c r="B71" s="580" t="s">
        <v>3759</v>
      </c>
      <c r="C71" s="149">
        <v>5000000000</v>
      </c>
      <c r="D71" s="394">
        <v>4832339000</v>
      </c>
      <c r="E71" s="394"/>
      <c r="F71" s="169">
        <f t="shared" si="1"/>
        <v>96.646779999999993</v>
      </c>
      <c r="G71" s="169">
        <v>100</v>
      </c>
      <c r="H71" s="692"/>
    </row>
    <row r="72" spans="1:8" s="477" customFormat="1" ht="17.25" hidden="1" customHeight="1" x14ac:dyDescent="0.25">
      <c r="A72" s="492"/>
      <c r="B72" s="580" t="s">
        <v>3760</v>
      </c>
      <c r="C72" s="149">
        <v>3000000000</v>
      </c>
      <c r="D72" s="394">
        <v>2851996000</v>
      </c>
      <c r="E72" s="394"/>
      <c r="F72" s="169">
        <f t="shared" si="1"/>
        <v>95.066533333333339</v>
      </c>
      <c r="G72" s="169">
        <v>100</v>
      </c>
      <c r="H72" s="692"/>
    </row>
    <row r="73" spans="1:8" s="477" customFormat="1" ht="20.25" hidden="1" customHeight="1" x14ac:dyDescent="0.25">
      <c r="A73" s="492"/>
      <c r="B73" s="580" t="s">
        <v>3761</v>
      </c>
      <c r="C73" s="149">
        <v>4000000000</v>
      </c>
      <c r="D73" s="394">
        <v>3811291000</v>
      </c>
      <c r="E73" s="394"/>
      <c r="F73" s="169">
        <f t="shared" si="1"/>
        <v>95.282274999999998</v>
      </c>
      <c r="G73" s="169">
        <v>100</v>
      </c>
      <c r="H73" s="692"/>
    </row>
    <row r="74" spans="1:8" s="477" customFormat="1" ht="20.25" hidden="1" customHeight="1" x14ac:dyDescent="0.25">
      <c r="A74" s="492"/>
      <c r="B74" s="580" t="s">
        <v>3762</v>
      </c>
      <c r="C74" s="149">
        <v>10000000000</v>
      </c>
      <c r="D74" s="394">
        <v>8885160000</v>
      </c>
      <c r="E74" s="394"/>
      <c r="F74" s="169">
        <f t="shared" si="1"/>
        <v>88.851599999999991</v>
      </c>
      <c r="G74" s="169">
        <v>88.85</v>
      </c>
      <c r="H74" s="693"/>
    </row>
    <row r="75" spans="1:8" s="477" customFormat="1" ht="19.5" hidden="1" customHeight="1" x14ac:dyDescent="0.25">
      <c r="A75" s="492"/>
      <c r="B75" s="580" t="s">
        <v>3763</v>
      </c>
      <c r="C75" s="149">
        <v>10000000000</v>
      </c>
      <c r="D75" s="149">
        <v>9748789000</v>
      </c>
      <c r="E75" s="149"/>
      <c r="F75" s="169">
        <f t="shared" si="1"/>
        <v>97.487889999999993</v>
      </c>
      <c r="G75" s="149">
        <v>100</v>
      </c>
      <c r="H75" s="692"/>
    </row>
    <row r="76" spans="1:8" s="477" customFormat="1" ht="20.25" hidden="1" customHeight="1" x14ac:dyDescent="0.25">
      <c r="A76" s="492"/>
      <c r="B76" s="580" t="s">
        <v>3764</v>
      </c>
      <c r="C76" s="149">
        <v>5000000000</v>
      </c>
      <c r="D76" s="394">
        <v>2782677500</v>
      </c>
      <c r="E76" s="394"/>
      <c r="F76" s="169">
        <f t="shared" si="1"/>
        <v>55.653549999999996</v>
      </c>
      <c r="G76" s="169">
        <v>55.65</v>
      </c>
      <c r="H76" s="693"/>
    </row>
    <row r="77" spans="1:8" s="477" customFormat="1" ht="16.5" hidden="1" customHeight="1" x14ac:dyDescent="0.25">
      <c r="A77" s="492"/>
      <c r="B77" s="580" t="s">
        <v>3765</v>
      </c>
      <c r="C77" s="376" t="s">
        <v>3317</v>
      </c>
      <c r="D77" s="376" t="s">
        <v>3317</v>
      </c>
      <c r="E77" s="376"/>
      <c r="F77" s="376" t="s">
        <v>3317</v>
      </c>
      <c r="G77" s="376" t="s">
        <v>3317</v>
      </c>
      <c r="H77" s="692"/>
    </row>
    <row r="78" spans="1:8" s="477" customFormat="1" ht="18.75" hidden="1" customHeight="1" x14ac:dyDescent="0.25">
      <c r="A78" s="492"/>
      <c r="B78" s="580" t="s">
        <v>3766</v>
      </c>
      <c r="C78" s="149">
        <v>5000000000</v>
      </c>
      <c r="D78" s="394">
        <v>4853500000</v>
      </c>
      <c r="E78" s="394"/>
      <c r="F78" s="169">
        <f t="shared" si="1"/>
        <v>97.070000000000007</v>
      </c>
      <c r="G78" s="169">
        <v>100</v>
      </c>
      <c r="H78" s="692"/>
    </row>
    <row r="79" spans="1:8" s="477" customFormat="1" ht="21.75" hidden="1" customHeight="1" x14ac:dyDescent="0.25">
      <c r="A79" s="492"/>
      <c r="B79" s="580" t="s">
        <v>3767</v>
      </c>
      <c r="C79" s="149">
        <v>5000000000</v>
      </c>
      <c r="D79" s="394">
        <v>4741867000</v>
      </c>
      <c r="E79" s="394"/>
      <c r="F79" s="169">
        <f t="shared" si="1"/>
        <v>94.837339999999998</v>
      </c>
      <c r="G79" s="169">
        <v>100</v>
      </c>
      <c r="H79" s="692"/>
    </row>
    <row r="80" spans="1:8" s="477" customFormat="1" ht="17.25" hidden="1" customHeight="1" x14ac:dyDescent="0.25">
      <c r="A80" s="492"/>
      <c r="B80" s="580" t="s">
        <v>3768</v>
      </c>
      <c r="C80" s="149">
        <v>3000000000</v>
      </c>
      <c r="D80" s="394">
        <v>2832280000</v>
      </c>
      <c r="E80" s="394"/>
      <c r="F80" s="169">
        <f t="shared" si="1"/>
        <v>94.409333333333336</v>
      </c>
      <c r="G80" s="169">
        <v>100</v>
      </c>
      <c r="H80" s="692"/>
    </row>
    <row r="81" spans="1:8" s="477" customFormat="1" ht="21" hidden="1" customHeight="1" x14ac:dyDescent="0.25">
      <c r="A81" s="492"/>
      <c r="B81" s="580" t="s">
        <v>3769</v>
      </c>
      <c r="C81" s="149">
        <v>10000000000</v>
      </c>
      <c r="D81" s="394">
        <v>9677522500</v>
      </c>
      <c r="E81" s="394"/>
      <c r="F81" s="169">
        <f t="shared" si="1"/>
        <v>96.775224999999992</v>
      </c>
      <c r="G81" s="169">
        <v>100</v>
      </c>
      <c r="H81" s="692"/>
    </row>
    <row r="82" spans="1:8" s="477" customFormat="1" ht="18" hidden="1" customHeight="1" x14ac:dyDescent="0.25">
      <c r="A82" s="492"/>
      <c r="B82" s="580" t="s">
        <v>3770</v>
      </c>
      <c r="C82" s="149">
        <v>7000000000</v>
      </c>
      <c r="D82" s="394">
        <v>6853746000</v>
      </c>
      <c r="E82" s="394"/>
      <c r="F82" s="169">
        <f t="shared" si="1"/>
        <v>97.910657142857133</v>
      </c>
      <c r="G82" s="169">
        <v>100</v>
      </c>
      <c r="H82" s="692"/>
    </row>
    <row r="83" spans="1:8" s="477" customFormat="1" ht="19.5" hidden="1" customHeight="1" x14ac:dyDescent="0.25">
      <c r="A83" s="492"/>
      <c r="B83" s="580" t="s">
        <v>3771</v>
      </c>
      <c r="C83" s="149">
        <v>6000000000</v>
      </c>
      <c r="D83" s="149">
        <v>1246400000</v>
      </c>
      <c r="E83" s="149"/>
      <c r="F83" s="169">
        <f t="shared" si="1"/>
        <v>20.773333333333333</v>
      </c>
      <c r="G83" s="149">
        <v>20.77</v>
      </c>
      <c r="H83" s="693"/>
    </row>
    <row r="84" spans="1:8" s="477" customFormat="1" ht="16.5" hidden="1" customHeight="1" x14ac:dyDescent="0.25">
      <c r="A84" s="492"/>
      <c r="B84" s="580" t="s">
        <v>3772</v>
      </c>
      <c r="C84" s="149">
        <v>3000000000</v>
      </c>
      <c r="D84" s="149">
        <v>2854780000</v>
      </c>
      <c r="E84" s="149"/>
      <c r="F84" s="169">
        <f t="shared" si="1"/>
        <v>95.159333333333336</v>
      </c>
      <c r="G84" s="149">
        <v>100</v>
      </c>
      <c r="H84" s="692"/>
    </row>
    <row r="85" spans="1:8" s="477" customFormat="1" ht="20.25" hidden="1" customHeight="1" x14ac:dyDescent="0.25">
      <c r="A85" s="492"/>
      <c r="B85" s="580" t="s">
        <v>3773</v>
      </c>
      <c r="C85" s="149">
        <v>10000000000</v>
      </c>
      <c r="D85" s="394">
        <v>5681254600</v>
      </c>
      <c r="E85" s="394"/>
      <c r="F85" s="169">
        <f t="shared" si="1"/>
        <v>56.812545999999998</v>
      </c>
      <c r="G85" s="169">
        <v>56.81</v>
      </c>
      <c r="H85" s="693"/>
    </row>
    <row r="86" spans="1:8" s="477" customFormat="1" ht="17.25" hidden="1" customHeight="1" x14ac:dyDescent="0.25">
      <c r="A86" s="492"/>
      <c r="B86" s="580" t="s">
        <v>3774</v>
      </c>
      <c r="C86" s="149">
        <v>20000000000</v>
      </c>
      <c r="D86" s="394">
        <v>19696000000</v>
      </c>
      <c r="E86" s="394"/>
      <c r="F86" s="169">
        <f t="shared" si="1"/>
        <v>98.48</v>
      </c>
      <c r="G86" s="169">
        <v>100</v>
      </c>
      <c r="H86" s="692"/>
    </row>
    <row r="87" spans="1:8" s="477" customFormat="1" ht="17.25" hidden="1" customHeight="1" x14ac:dyDescent="0.25">
      <c r="A87" s="492"/>
      <c r="B87" s="580" t="s">
        <v>4101</v>
      </c>
      <c r="C87" s="149">
        <v>5000000000</v>
      </c>
      <c r="D87" s="394">
        <v>4886655000</v>
      </c>
      <c r="E87" s="394"/>
      <c r="F87" s="169">
        <f t="shared" si="1"/>
        <v>97.733099999999993</v>
      </c>
      <c r="G87" s="169">
        <v>100</v>
      </c>
      <c r="H87" s="692"/>
    </row>
    <row r="88" spans="1:8" s="477" customFormat="1" ht="18.75" hidden="1" customHeight="1" x14ac:dyDescent="0.25">
      <c r="A88" s="492"/>
      <c r="B88" s="580" t="s">
        <v>3775</v>
      </c>
      <c r="C88" s="149">
        <v>2125000000</v>
      </c>
      <c r="D88" s="394">
        <v>2022300000</v>
      </c>
      <c r="E88" s="394"/>
      <c r="F88" s="169">
        <f t="shared" si="1"/>
        <v>95.167058823529416</v>
      </c>
      <c r="G88" s="169">
        <v>100</v>
      </c>
      <c r="H88" s="692"/>
    </row>
    <row r="89" spans="1:8" s="470" customFormat="1" ht="20.25" hidden="1" customHeight="1" x14ac:dyDescent="0.25">
      <c r="A89" s="493"/>
      <c r="B89" s="580" t="s">
        <v>3776</v>
      </c>
      <c r="C89" s="149">
        <v>10000000000</v>
      </c>
      <c r="D89" s="149">
        <v>9810245000</v>
      </c>
      <c r="E89" s="149"/>
      <c r="F89" s="169">
        <f t="shared" si="1"/>
        <v>98.10244999999999</v>
      </c>
      <c r="G89" s="169">
        <v>100</v>
      </c>
      <c r="H89" s="471"/>
    </row>
    <row r="90" spans="1:8" s="477" customFormat="1" ht="18" hidden="1" customHeight="1" x14ac:dyDescent="0.25">
      <c r="A90" s="492"/>
      <c r="B90" s="580" t="s">
        <v>3777</v>
      </c>
      <c r="C90" s="149">
        <v>20000000000</v>
      </c>
      <c r="D90" s="149">
        <v>19685509000</v>
      </c>
      <c r="E90" s="149"/>
      <c r="F90" s="169">
        <f t="shared" si="1"/>
        <v>98.427545000000009</v>
      </c>
      <c r="G90" s="169">
        <v>100</v>
      </c>
      <c r="H90" s="692"/>
    </row>
    <row r="91" spans="1:8" s="477" customFormat="1" ht="21.75" hidden="1" customHeight="1" x14ac:dyDescent="0.25">
      <c r="A91" s="492"/>
      <c r="B91" s="580" t="s">
        <v>3752</v>
      </c>
      <c r="C91" s="149">
        <v>10000000000</v>
      </c>
      <c r="D91" s="149">
        <v>9402800000</v>
      </c>
      <c r="E91" s="149"/>
      <c r="F91" s="169">
        <f t="shared" si="1"/>
        <v>94.028000000000006</v>
      </c>
      <c r="G91" s="169">
        <v>100</v>
      </c>
      <c r="H91" s="692"/>
    </row>
    <row r="92" spans="1:8" s="477" customFormat="1" ht="11.25" hidden="1" customHeight="1" x14ac:dyDescent="0.25">
      <c r="A92" s="572"/>
      <c r="B92" s="580"/>
      <c r="C92" s="149"/>
      <c r="D92" s="149"/>
      <c r="E92" s="149"/>
      <c r="F92" s="169"/>
      <c r="G92" s="169"/>
      <c r="H92" s="692"/>
    </row>
    <row r="93" spans="1:8" s="477" customFormat="1" ht="19.5" customHeight="1" x14ac:dyDescent="0.25">
      <c r="A93" s="492"/>
      <c r="B93" s="1156" t="s">
        <v>3624</v>
      </c>
      <c r="C93" s="150">
        <f>SUM(C94:C100)</f>
        <v>42000000000</v>
      </c>
      <c r="D93" s="150">
        <f>SUM(D94:D100)</f>
        <v>40616592000</v>
      </c>
      <c r="E93" s="150"/>
      <c r="F93" s="176">
        <f>D93/C93*100</f>
        <v>96.706171428571423</v>
      </c>
      <c r="G93" s="176">
        <f>SUM(G94:G100)/7</f>
        <v>100</v>
      </c>
      <c r="H93" s="692"/>
    </row>
    <row r="94" spans="1:8" s="477" customFormat="1" ht="16.5" hidden="1" customHeight="1" x14ac:dyDescent="0.25">
      <c r="A94" s="492"/>
      <c r="B94" s="580" t="s">
        <v>3625</v>
      </c>
      <c r="C94" s="149">
        <v>8000000000</v>
      </c>
      <c r="D94" s="149">
        <v>7830462000</v>
      </c>
      <c r="E94" s="149"/>
      <c r="F94" s="169">
        <f>D94/C94*100</f>
        <v>97.880775</v>
      </c>
      <c r="G94" s="169">
        <v>100</v>
      </c>
      <c r="H94" s="692"/>
    </row>
    <row r="95" spans="1:8" s="477" customFormat="1" ht="18" hidden="1" customHeight="1" x14ac:dyDescent="0.25">
      <c r="A95" s="492"/>
      <c r="B95" s="580" t="s">
        <v>3626</v>
      </c>
      <c r="C95" s="149">
        <v>10000000000</v>
      </c>
      <c r="D95" s="149">
        <v>9690066000</v>
      </c>
      <c r="E95" s="149"/>
      <c r="F95" s="169">
        <f t="shared" ref="F95:F100" si="2">D95/C95*100</f>
        <v>96.900660000000002</v>
      </c>
      <c r="G95" s="169">
        <v>100</v>
      </c>
      <c r="H95" s="692"/>
    </row>
    <row r="96" spans="1:8" s="477" customFormat="1" ht="18.75" hidden="1" customHeight="1" x14ac:dyDescent="0.25">
      <c r="A96" s="492"/>
      <c r="B96" s="580" t="s">
        <v>3627</v>
      </c>
      <c r="C96" s="149">
        <v>8000000000</v>
      </c>
      <c r="D96" s="149">
        <v>7694294000</v>
      </c>
      <c r="E96" s="149"/>
      <c r="F96" s="169">
        <f t="shared" si="2"/>
        <v>96.178674999999998</v>
      </c>
      <c r="G96" s="169">
        <v>100</v>
      </c>
      <c r="H96" s="692"/>
    </row>
    <row r="97" spans="1:8" s="477" customFormat="1" ht="18.75" hidden="1" customHeight="1" x14ac:dyDescent="0.25">
      <c r="A97" s="492"/>
      <c r="B97" s="580" t="s">
        <v>3628</v>
      </c>
      <c r="C97" s="149">
        <v>7000000000</v>
      </c>
      <c r="D97" s="149">
        <v>6735715000</v>
      </c>
      <c r="E97" s="149"/>
      <c r="F97" s="169">
        <f t="shared" si="2"/>
        <v>96.224500000000006</v>
      </c>
      <c r="G97" s="169">
        <v>100</v>
      </c>
      <c r="H97" s="692"/>
    </row>
    <row r="98" spans="1:8" s="477" customFormat="1" ht="15" hidden="1" customHeight="1" x14ac:dyDescent="0.25">
      <c r="A98" s="492"/>
      <c r="B98" s="580" t="s">
        <v>3629</v>
      </c>
      <c r="C98" s="149">
        <v>3000000000</v>
      </c>
      <c r="D98" s="149">
        <v>2969355000</v>
      </c>
      <c r="E98" s="149"/>
      <c r="F98" s="169">
        <f t="shared" si="2"/>
        <v>98.978499999999997</v>
      </c>
      <c r="G98" s="169">
        <v>100</v>
      </c>
      <c r="H98" s="692"/>
    </row>
    <row r="99" spans="1:8" s="477" customFormat="1" ht="16.5" hidden="1" customHeight="1" x14ac:dyDescent="0.25">
      <c r="A99" s="492"/>
      <c r="B99" s="580" t="s">
        <v>3630</v>
      </c>
      <c r="C99" s="149">
        <v>3000000000</v>
      </c>
      <c r="D99" s="149">
        <v>2925680000</v>
      </c>
      <c r="E99" s="149"/>
      <c r="F99" s="169">
        <f t="shared" si="2"/>
        <v>97.522666666666666</v>
      </c>
      <c r="G99" s="169">
        <v>100</v>
      </c>
      <c r="H99" s="692"/>
    </row>
    <row r="100" spans="1:8" s="477" customFormat="1" ht="21.75" hidden="1" customHeight="1" x14ac:dyDescent="0.25">
      <c r="A100" s="492"/>
      <c r="B100" s="580" t="s">
        <v>3631</v>
      </c>
      <c r="C100" s="149">
        <v>3000000000</v>
      </c>
      <c r="D100" s="149">
        <v>2771020000</v>
      </c>
      <c r="E100" s="149"/>
      <c r="F100" s="169">
        <f t="shared" si="2"/>
        <v>92.367333333333335</v>
      </c>
      <c r="G100" s="169">
        <v>100</v>
      </c>
      <c r="H100" s="692"/>
    </row>
    <row r="101" spans="1:8" s="477" customFormat="1" ht="12" hidden="1" customHeight="1" x14ac:dyDescent="0.25">
      <c r="A101" s="492"/>
      <c r="B101" s="580"/>
      <c r="C101" s="149"/>
      <c r="D101" s="149"/>
      <c r="E101" s="149"/>
      <c r="F101" s="169"/>
      <c r="G101" s="169"/>
      <c r="H101" s="692"/>
    </row>
    <row r="102" spans="1:8" s="477" customFormat="1" ht="18.75" customHeight="1" x14ac:dyDescent="0.25">
      <c r="A102" s="492"/>
      <c r="B102" s="1156" t="s">
        <v>3632</v>
      </c>
      <c r="C102" s="150">
        <f>SUM(C103:C114)</f>
        <v>60800000000</v>
      </c>
      <c r="D102" s="150">
        <f>SUM(D103:D114)</f>
        <v>48358730000</v>
      </c>
      <c r="E102" s="150"/>
      <c r="F102" s="176">
        <f>D102/C102*100</f>
        <v>79.537384868421057</v>
      </c>
      <c r="G102" s="150">
        <f>SUM(G103:G114)/12</f>
        <v>81.344999999999985</v>
      </c>
      <c r="H102" s="692"/>
    </row>
    <row r="103" spans="1:8" s="477" customFormat="1" ht="18" hidden="1" customHeight="1" x14ac:dyDescent="0.25">
      <c r="A103" s="492"/>
      <c r="B103" s="580" t="s">
        <v>3633</v>
      </c>
      <c r="C103" s="149">
        <v>5000000000</v>
      </c>
      <c r="D103" s="149">
        <v>4515000000</v>
      </c>
      <c r="E103" s="149"/>
      <c r="F103" s="169">
        <f>D103/C103*100</f>
        <v>90.3</v>
      </c>
      <c r="G103" s="149">
        <v>100</v>
      </c>
      <c r="H103" s="692"/>
    </row>
    <row r="104" spans="1:8" s="477" customFormat="1" ht="15.75" hidden="1" customHeight="1" x14ac:dyDescent="0.25">
      <c r="A104" s="492"/>
      <c r="B104" s="580" t="s">
        <v>3634</v>
      </c>
      <c r="C104" s="149">
        <v>5000000000</v>
      </c>
      <c r="D104" s="149">
        <v>4899800000</v>
      </c>
      <c r="E104" s="149"/>
      <c r="F104" s="169">
        <f t="shared" ref="F104:F114" si="3">D104/C104*100</f>
        <v>97.996000000000009</v>
      </c>
      <c r="G104" s="149">
        <v>100</v>
      </c>
      <c r="H104" s="692"/>
    </row>
    <row r="105" spans="1:8" s="477" customFormat="1" ht="18.75" hidden="1" customHeight="1" x14ac:dyDescent="0.25">
      <c r="A105" s="492"/>
      <c r="B105" s="580" t="s">
        <v>3635</v>
      </c>
      <c r="C105" s="149">
        <v>5000000000</v>
      </c>
      <c r="D105" s="149">
        <v>4894800000</v>
      </c>
      <c r="E105" s="149"/>
      <c r="F105" s="169">
        <f t="shared" si="3"/>
        <v>97.896000000000001</v>
      </c>
      <c r="G105" s="149">
        <v>100</v>
      </c>
      <c r="H105" s="692"/>
    </row>
    <row r="106" spans="1:8" s="477" customFormat="1" ht="15" hidden="1" customHeight="1" x14ac:dyDescent="0.25">
      <c r="A106" s="492"/>
      <c r="B106" s="580" t="s">
        <v>3636</v>
      </c>
      <c r="C106" s="149">
        <v>5000000000</v>
      </c>
      <c r="D106" s="149">
        <v>4999900000</v>
      </c>
      <c r="E106" s="149"/>
      <c r="F106" s="169">
        <f t="shared" si="3"/>
        <v>99.998000000000005</v>
      </c>
      <c r="G106" s="149">
        <v>100</v>
      </c>
      <c r="H106" s="692"/>
    </row>
    <row r="107" spans="1:8" s="477" customFormat="1" ht="16.5" hidden="1" customHeight="1" x14ac:dyDescent="0.25">
      <c r="A107" s="492"/>
      <c r="B107" s="580" t="s">
        <v>3637</v>
      </c>
      <c r="C107" s="149">
        <v>5000000000</v>
      </c>
      <c r="D107" s="149">
        <v>3134850000</v>
      </c>
      <c r="E107" s="149"/>
      <c r="F107" s="169">
        <f t="shared" si="3"/>
        <v>62.697000000000003</v>
      </c>
      <c r="G107" s="149">
        <v>62.7</v>
      </c>
      <c r="H107" s="693"/>
    </row>
    <row r="108" spans="1:8" s="477" customFormat="1" ht="18" hidden="1" customHeight="1" x14ac:dyDescent="0.25">
      <c r="A108" s="492"/>
      <c r="B108" s="580" t="s">
        <v>3638</v>
      </c>
      <c r="C108" s="149">
        <v>5800000000</v>
      </c>
      <c r="D108" s="149">
        <v>3934780000</v>
      </c>
      <c r="E108" s="149"/>
      <c r="F108" s="169">
        <f t="shared" si="3"/>
        <v>67.841034482758616</v>
      </c>
      <c r="G108" s="149">
        <v>67.84</v>
      </c>
      <c r="H108" s="693"/>
    </row>
    <row r="109" spans="1:8" s="477" customFormat="1" ht="16.5" hidden="1" customHeight="1" x14ac:dyDescent="0.25">
      <c r="A109" s="492"/>
      <c r="B109" s="580" t="s">
        <v>3639</v>
      </c>
      <c r="C109" s="149">
        <v>5000000000</v>
      </c>
      <c r="D109" s="149">
        <v>3964800000</v>
      </c>
      <c r="E109" s="149"/>
      <c r="F109" s="169">
        <f t="shared" si="3"/>
        <v>79.296000000000006</v>
      </c>
      <c r="G109" s="149">
        <v>79.3</v>
      </c>
      <c r="H109" s="693"/>
    </row>
    <row r="110" spans="1:8" s="477" customFormat="1" ht="15.75" hidden="1" customHeight="1" x14ac:dyDescent="0.25">
      <c r="A110" s="492"/>
      <c r="B110" s="580" t="s">
        <v>3640</v>
      </c>
      <c r="C110" s="149">
        <v>5000000000</v>
      </c>
      <c r="D110" s="149">
        <v>1900000000</v>
      </c>
      <c r="E110" s="149"/>
      <c r="F110" s="169">
        <f t="shared" si="3"/>
        <v>38</v>
      </c>
      <c r="G110" s="169">
        <v>38</v>
      </c>
      <c r="H110" s="693"/>
    </row>
    <row r="111" spans="1:8" s="477" customFormat="1" ht="15.75" hidden="1" customHeight="1" x14ac:dyDescent="0.25">
      <c r="A111" s="492"/>
      <c r="B111" s="580" t="s">
        <v>3641</v>
      </c>
      <c r="C111" s="149">
        <v>5000000000</v>
      </c>
      <c r="D111" s="149">
        <v>4699800000</v>
      </c>
      <c r="E111" s="149"/>
      <c r="F111" s="169">
        <f t="shared" si="3"/>
        <v>93.995999999999995</v>
      </c>
      <c r="G111" s="149">
        <v>100</v>
      </c>
      <c r="H111" s="692"/>
    </row>
    <row r="112" spans="1:8" s="477" customFormat="1" ht="18.75" hidden="1" customHeight="1" x14ac:dyDescent="0.25">
      <c r="A112" s="492"/>
      <c r="B112" s="580" t="s">
        <v>3642</v>
      </c>
      <c r="C112" s="149">
        <v>5000000000</v>
      </c>
      <c r="D112" s="149">
        <v>4000000000</v>
      </c>
      <c r="E112" s="149"/>
      <c r="F112" s="169">
        <f t="shared" si="3"/>
        <v>80</v>
      </c>
      <c r="G112" s="149">
        <v>80</v>
      </c>
      <c r="H112" s="693"/>
    </row>
    <row r="113" spans="1:8" s="477" customFormat="1" ht="18" hidden="1" customHeight="1" x14ac:dyDescent="0.25">
      <c r="A113" s="492"/>
      <c r="B113" s="580" t="s">
        <v>3643</v>
      </c>
      <c r="C113" s="149">
        <v>5000000000</v>
      </c>
      <c r="D113" s="149">
        <v>3665000000</v>
      </c>
      <c r="E113" s="149"/>
      <c r="F113" s="169">
        <f t="shared" si="3"/>
        <v>73.3</v>
      </c>
      <c r="G113" s="149">
        <v>73.3</v>
      </c>
      <c r="H113" s="693"/>
    </row>
    <row r="114" spans="1:8" s="477" customFormat="1" ht="17.25" hidden="1" customHeight="1" x14ac:dyDescent="0.25">
      <c r="A114" s="492"/>
      <c r="B114" s="580" t="s">
        <v>3644</v>
      </c>
      <c r="C114" s="149">
        <v>5000000000</v>
      </c>
      <c r="D114" s="149">
        <v>3750000000</v>
      </c>
      <c r="E114" s="149"/>
      <c r="F114" s="169">
        <f t="shared" si="3"/>
        <v>75</v>
      </c>
      <c r="G114" s="149">
        <v>75</v>
      </c>
      <c r="H114" s="693"/>
    </row>
    <row r="115" spans="1:8" s="477" customFormat="1" ht="12" hidden="1" customHeight="1" x14ac:dyDescent="0.25">
      <c r="A115" s="492"/>
      <c r="B115" s="580"/>
      <c r="C115" s="149"/>
      <c r="D115" s="149"/>
      <c r="E115" s="149"/>
      <c r="F115" s="169"/>
      <c r="G115" s="169"/>
      <c r="H115" s="692"/>
    </row>
    <row r="116" spans="1:8" s="477" customFormat="1" ht="33" customHeight="1" x14ac:dyDescent="0.25">
      <c r="A116" s="492"/>
      <c r="B116" s="1156" t="s">
        <v>3645</v>
      </c>
      <c r="C116" s="150">
        <f>SUM(C117:C119)</f>
        <v>9000000000</v>
      </c>
      <c r="D116" s="150">
        <f>SUM(D117:D119)</f>
        <v>7858567320</v>
      </c>
      <c r="E116" s="150"/>
      <c r="F116" s="150">
        <f>D116/C116*100</f>
        <v>87.317414666666664</v>
      </c>
      <c r="G116" s="150">
        <f>SUM(G117:G119)/3</f>
        <v>88.883333333333326</v>
      </c>
      <c r="H116" s="692"/>
    </row>
    <row r="117" spans="1:8" s="477" customFormat="1" ht="15.75" hidden="1" customHeight="1" x14ac:dyDescent="0.25">
      <c r="A117" s="492"/>
      <c r="B117" s="580" t="s">
        <v>3646</v>
      </c>
      <c r="C117" s="149">
        <v>3000000000</v>
      </c>
      <c r="D117" s="149">
        <v>1999549320</v>
      </c>
      <c r="E117" s="149"/>
      <c r="F117" s="149">
        <f>D117/C117*100</f>
        <v>66.651644000000005</v>
      </c>
      <c r="G117" s="149">
        <v>66.650000000000006</v>
      </c>
      <c r="H117" s="693"/>
    </row>
    <row r="118" spans="1:8" s="477" customFormat="1" ht="15.75" hidden="1" customHeight="1" x14ac:dyDescent="0.25">
      <c r="A118" s="492"/>
      <c r="B118" s="580" t="s">
        <v>3647</v>
      </c>
      <c r="C118" s="149">
        <v>3000000000</v>
      </c>
      <c r="D118" s="394">
        <v>2904562000</v>
      </c>
      <c r="E118" s="394"/>
      <c r="F118" s="149">
        <f t="shared" ref="F118:F119" si="4">D118/C118*100</f>
        <v>96.818733333333327</v>
      </c>
      <c r="G118" s="149">
        <v>100</v>
      </c>
      <c r="H118" s="692"/>
    </row>
    <row r="119" spans="1:8" s="477" customFormat="1" ht="14.25" hidden="1" customHeight="1" x14ac:dyDescent="0.25">
      <c r="A119" s="492"/>
      <c r="B119" s="580" t="s">
        <v>3648</v>
      </c>
      <c r="C119" s="149">
        <v>3000000000</v>
      </c>
      <c r="D119" s="394">
        <v>2954456000</v>
      </c>
      <c r="E119" s="394"/>
      <c r="F119" s="149">
        <f t="shared" si="4"/>
        <v>98.481866666666662</v>
      </c>
      <c r="G119" s="149">
        <v>100</v>
      </c>
      <c r="H119" s="692"/>
    </row>
    <row r="120" spans="1:8" s="477" customFormat="1" ht="12" hidden="1" customHeight="1" x14ac:dyDescent="0.25">
      <c r="A120" s="492"/>
      <c r="B120" s="580"/>
      <c r="C120" s="149"/>
      <c r="D120" s="394"/>
      <c r="E120" s="394"/>
      <c r="F120" s="169"/>
      <c r="G120" s="577"/>
      <c r="H120" s="692"/>
    </row>
    <row r="121" spans="1:8" s="470" customFormat="1" ht="19.5" customHeight="1" x14ac:dyDescent="0.25">
      <c r="A121" s="493"/>
      <c r="B121" s="1156" t="s">
        <v>3649</v>
      </c>
      <c r="C121" s="150">
        <f>SUM(C122:C131)</f>
        <v>8300000000</v>
      </c>
      <c r="D121" s="150">
        <f>SUM(D122:D131)</f>
        <v>6530516000</v>
      </c>
      <c r="E121" s="150"/>
      <c r="F121" s="176">
        <f>D121/C121*100</f>
        <v>78.680915662650605</v>
      </c>
      <c r="G121" s="176">
        <f>SUM(G122:G131)/9</f>
        <v>78.877777777777794</v>
      </c>
      <c r="H121" s="471"/>
    </row>
    <row r="122" spans="1:8" s="477" customFormat="1" ht="17.25" hidden="1" customHeight="1" x14ac:dyDescent="0.25">
      <c r="A122" s="492"/>
      <c r="B122" s="580" t="s">
        <v>3650</v>
      </c>
      <c r="C122" s="149">
        <v>1000000000</v>
      </c>
      <c r="D122" s="149">
        <v>29700000</v>
      </c>
      <c r="E122" s="149"/>
      <c r="F122" s="169">
        <f>D122/C122*100</f>
        <v>2.97</v>
      </c>
      <c r="G122" s="169">
        <v>2.97</v>
      </c>
      <c r="H122" s="693"/>
    </row>
    <row r="123" spans="1:8" s="477" customFormat="1" ht="16.5" hidden="1" customHeight="1" x14ac:dyDescent="0.25">
      <c r="A123" s="492"/>
      <c r="B123" s="580" t="s">
        <v>3651</v>
      </c>
      <c r="C123" s="149">
        <v>1000000000</v>
      </c>
      <c r="D123" s="149">
        <v>959400000</v>
      </c>
      <c r="E123" s="149"/>
      <c r="F123" s="169">
        <f>D123/C123*100</f>
        <v>95.94</v>
      </c>
      <c r="G123" s="169">
        <v>100</v>
      </c>
      <c r="H123" s="692"/>
    </row>
    <row r="124" spans="1:8" s="477" customFormat="1" ht="15.75" hidden="1" customHeight="1" x14ac:dyDescent="0.25">
      <c r="A124" s="492"/>
      <c r="B124" s="580" t="s">
        <v>3652</v>
      </c>
      <c r="C124" s="149">
        <v>1000000000</v>
      </c>
      <c r="D124" s="149">
        <v>959831000</v>
      </c>
      <c r="E124" s="149"/>
      <c r="F124" s="169">
        <f t="shared" ref="F124:F131" si="5">D124/C124*100</f>
        <v>95.983099999999993</v>
      </c>
      <c r="G124" s="169">
        <v>100</v>
      </c>
      <c r="H124" s="692"/>
    </row>
    <row r="125" spans="1:8" s="477" customFormat="1" ht="15" hidden="1" customHeight="1" x14ac:dyDescent="0.25">
      <c r="A125" s="492"/>
      <c r="B125" s="580" t="s">
        <v>3653</v>
      </c>
      <c r="C125" s="149">
        <v>1000000000</v>
      </c>
      <c r="D125" s="394">
        <v>957978000</v>
      </c>
      <c r="E125" s="394"/>
      <c r="F125" s="169">
        <f t="shared" si="5"/>
        <v>95.797799999999995</v>
      </c>
      <c r="G125" s="169">
        <v>100</v>
      </c>
      <c r="H125" s="692"/>
    </row>
    <row r="126" spans="1:8" s="477" customFormat="1" ht="16.5" hidden="1" customHeight="1" x14ac:dyDescent="0.25">
      <c r="A126" s="492"/>
      <c r="B126" s="580" t="s">
        <v>3654</v>
      </c>
      <c r="C126" s="149">
        <v>1000000000</v>
      </c>
      <c r="D126" s="394">
        <v>958255000</v>
      </c>
      <c r="E126" s="394"/>
      <c r="F126" s="169">
        <f t="shared" si="5"/>
        <v>95.825499999999991</v>
      </c>
      <c r="G126" s="169">
        <v>100</v>
      </c>
      <c r="H126" s="692"/>
    </row>
    <row r="127" spans="1:8" s="477" customFormat="1" ht="17.25" hidden="1" customHeight="1" x14ac:dyDescent="0.25">
      <c r="A127" s="492"/>
      <c r="B127" s="580" t="s">
        <v>3655</v>
      </c>
      <c r="C127" s="149">
        <v>1000000000</v>
      </c>
      <c r="D127" s="394">
        <v>959764000</v>
      </c>
      <c r="E127" s="394"/>
      <c r="F127" s="169">
        <f t="shared" si="5"/>
        <v>95.976399999999998</v>
      </c>
      <c r="G127" s="169">
        <v>100</v>
      </c>
      <c r="H127" s="692"/>
    </row>
    <row r="128" spans="1:8" s="477" customFormat="1" ht="18" hidden="1" customHeight="1" x14ac:dyDescent="0.25">
      <c r="A128" s="492"/>
      <c r="B128" s="580" t="s">
        <v>3656</v>
      </c>
      <c r="C128" s="149">
        <v>500000000</v>
      </c>
      <c r="D128" s="394">
        <v>34661000</v>
      </c>
      <c r="E128" s="394"/>
      <c r="F128" s="169">
        <f t="shared" si="5"/>
        <v>6.9321999999999999</v>
      </c>
      <c r="G128" s="149">
        <v>6.93</v>
      </c>
      <c r="H128" s="693"/>
    </row>
    <row r="129" spans="1:8" s="477" customFormat="1" ht="17.25" hidden="1" customHeight="1" x14ac:dyDescent="0.25">
      <c r="A129" s="492"/>
      <c r="B129" s="580" t="s">
        <v>3657</v>
      </c>
      <c r="C129" s="149">
        <v>1000000000</v>
      </c>
      <c r="D129" s="149">
        <v>928657000</v>
      </c>
      <c r="E129" s="149"/>
      <c r="F129" s="169">
        <f t="shared" si="5"/>
        <v>92.86569999999999</v>
      </c>
      <c r="G129" s="149">
        <v>100</v>
      </c>
      <c r="H129" s="692"/>
    </row>
    <row r="130" spans="1:8" s="477" customFormat="1" ht="33" hidden="1" customHeight="1" x14ac:dyDescent="0.25">
      <c r="A130" s="492"/>
      <c r="B130" s="580" t="s">
        <v>3658</v>
      </c>
      <c r="C130" s="376" t="s">
        <v>3317</v>
      </c>
      <c r="D130" s="376" t="s">
        <v>3317</v>
      </c>
      <c r="E130" s="376"/>
      <c r="F130" s="394">
        <v>0</v>
      </c>
      <c r="G130" s="394">
        <v>0</v>
      </c>
      <c r="H130" s="692"/>
    </row>
    <row r="131" spans="1:8" s="470" customFormat="1" ht="21" hidden="1" customHeight="1" x14ac:dyDescent="0.25">
      <c r="A131" s="493"/>
      <c r="B131" s="580" t="s">
        <v>3659</v>
      </c>
      <c r="C131" s="149">
        <v>800000000</v>
      </c>
      <c r="D131" s="394">
        <v>742270000</v>
      </c>
      <c r="E131" s="394"/>
      <c r="F131" s="169">
        <f t="shared" si="5"/>
        <v>92.783749999999998</v>
      </c>
      <c r="G131" s="149">
        <v>100</v>
      </c>
      <c r="H131" s="471"/>
    </row>
    <row r="132" spans="1:8" s="470" customFormat="1" ht="14.25" hidden="1" customHeight="1" x14ac:dyDescent="0.25">
      <c r="A132" s="493"/>
      <c r="B132" s="580"/>
      <c r="C132" s="150"/>
      <c r="D132" s="150"/>
      <c r="E132" s="150"/>
      <c r="F132" s="176"/>
      <c r="G132" s="176"/>
      <c r="H132" s="471"/>
    </row>
    <row r="133" spans="1:8" s="470" customFormat="1" ht="20.25" customHeight="1" x14ac:dyDescent="0.25">
      <c r="A133" s="493"/>
      <c r="B133" s="1156" t="s">
        <v>3660</v>
      </c>
      <c r="C133" s="150">
        <f>SUM(C134:C146)</f>
        <v>24150000000</v>
      </c>
      <c r="D133" s="150">
        <f>SUM(D134:D146)</f>
        <v>23117324200</v>
      </c>
      <c r="E133" s="150"/>
      <c r="F133" s="176">
        <f>D133/C133*100</f>
        <v>95.72390973084886</v>
      </c>
      <c r="G133" s="176">
        <f>SUM(G134:G146)/13</f>
        <v>84.615384615384613</v>
      </c>
      <c r="H133" s="471"/>
    </row>
    <row r="134" spans="1:8" s="477" customFormat="1" ht="18" hidden="1" customHeight="1" x14ac:dyDescent="0.25">
      <c r="A134" s="492"/>
      <c r="B134" s="580" t="s">
        <v>3661</v>
      </c>
      <c r="C134" s="149">
        <v>1000000000</v>
      </c>
      <c r="D134" s="394">
        <v>981700000</v>
      </c>
      <c r="E134" s="394"/>
      <c r="F134" s="169">
        <f>D134/C134*100</f>
        <v>98.17</v>
      </c>
      <c r="G134" s="694">
        <v>100</v>
      </c>
      <c r="H134" s="692"/>
    </row>
    <row r="135" spans="1:8" s="477" customFormat="1" ht="15.75" hidden="1" customHeight="1" x14ac:dyDescent="0.25">
      <c r="A135" s="492"/>
      <c r="B135" s="580" t="s">
        <v>3662</v>
      </c>
      <c r="C135" s="149">
        <v>500000000</v>
      </c>
      <c r="D135" s="149">
        <v>493130000</v>
      </c>
      <c r="E135" s="149"/>
      <c r="F135" s="149">
        <v>0</v>
      </c>
      <c r="G135" s="149">
        <v>0</v>
      </c>
      <c r="H135" s="692"/>
    </row>
    <row r="136" spans="1:8" s="477" customFormat="1" ht="16.5" hidden="1" customHeight="1" x14ac:dyDescent="0.25">
      <c r="A136" s="492"/>
      <c r="B136" s="580" t="s">
        <v>3663</v>
      </c>
      <c r="C136" s="149">
        <v>1000000000</v>
      </c>
      <c r="D136" s="149">
        <v>981216000</v>
      </c>
      <c r="E136" s="149"/>
      <c r="F136" s="149">
        <v>0</v>
      </c>
      <c r="G136" s="149">
        <v>0</v>
      </c>
      <c r="H136" s="692"/>
    </row>
    <row r="137" spans="1:8" s="477" customFormat="1" ht="17.25" hidden="1" customHeight="1" x14ac:dyDescent="0.25">
      <c r="A137" s="492"/>
      <c r="B137" s="580" t="s">
        <v>3664</v>
      </c>
      <c r="C137" s="149">
        <v>7000000000</v>
      </c>
      <c r="D137" s="394">
        <v>6883115000</v>
      </c>
      <c r="E137" s="394"/>
      <c r="F137" s="169">
        <f>D137/C137*100</f>
        <v>98.330214285714291</v>
      </c>
      <c r="G137" s="694">
        <v>100</v>
      </c>
      <c r="H137" s="692"/>
    </row>
    <row r="138" spans="1:8" s="477" customFormat="1" ht="21" hidden="1" customHeight="1" x14ac:dyDescent="0.25">
      <c r="A138" s="492"/>
      <c r="B138" s="580" t="s">
        <v>3665</v>
      </c>
      <c r="C138" s="149">
        <v>500000000</v>
      </c>
      <c r="D138" s="394">
        <v>497575000</v>
      </c>
      <c r="E138" s="394"/>
      <c r="F138" s="169">
        <f t="shared" ref="F138:F146" si="6">D138/C138*100</f>
        <v>99.515000000000001</v>
      </c>
      <c r="G138" s="694">
        <v>100</v>
      </c>
      <c r="H138" s="692"/>
    </row>
    <row r="139" spans="1:8" s="477" customFormat="1" ht="34.5" hidden="1" customHeight="1" x14ac:dyDescent="0.25">
      <c r="A139" s="492"/>
      <c r="B139" s="580" t="s">
        <v>3666</v>
      </c>
      <c r="C139" s="149">
        <v>700000000</v>
      </c>
      <c r="D139" s="394">
        <v>698667000</v>
      </c>
      <c r="E139" s="394"/>
      <c r="F139" s="169">
        <f t="shared" si="6"/>
        <v>99.809571428571431</v>
      </c>
      <c r="G139" s="694">
        <v>100</v>
      </c>
      <c r="H139" s="692"/>
    </row>
    <row r="140" spans="1:8" s="477" customFormat="1" ht="21.75" hidden="1" customHeight="1" x14ac:dyDescent="0.25">
      <c r="A140" s="492"/>
      <c r="B140" s="580" t="s">
        <v>3667</v>
      </c>
      <c r="C140" s="149">
        <v>1000000000</v>
      </c>
      <c r="D140" s="394">
        <v>979134350</v>
      </c>
      <c r="E140" s="394"/>
      <c r="F140" s="169">
        <f t="shared" si="6"/>
        <v>97.913435000000007</v>
      </c>
      <c r="G140" s="694">
        <v>100</v>
      </c>
      <c r="H140" s="692"/>
    </row>
    <row r="141" spans="1:8" s="477" customFormat="1" ht="18.75" hidden="1" customHeight="1" x14ac:dyDescent="0.25">
      <c r="A141" s="492"/>
      <c r="B141" s="580" t="s">
        <v>3668</v>
      </c>
      <c r="C141" s="149">
        <v>1500000000</v>
      </c>
      <c r="D141" s="394">
        <v>1432183000</v>
      </c>
      <c r="E141" s="394"/>
      <c r="F141" s="169">
        <f t="shared" si="6"/>
        <v>95.478866666666661</v>
      </c>
      <c r="G141" s="694">
        <v>100</v>
      </c>
      <c r="H141" s="692"/>
    </row>
    <row r="142" spans="1:8" s="477" customFormat="1" ht="17.25" hidden="1" customHeight="1" x14ac:dyDescent="0.25">
      <c r="A142" s="492"/>
      <c r="B142" s="580" t="s">
        <v>3669</v>
      </c>
      <c r="C142" s="149">
        <v>1000000000</v>
      </c>
      <c r="D142" s="394">
        <v>997627850</v>
      </c>
      <c r="E142" s="394"/>
      <c r="F142" s="169">
        <f t="shared" si="6"/>
        <v>99.762784999999994</v>
      </c>
      <c r="G142" s="694">
        <v>100</v>
      </c>
      <c r="H142" s="692"/>
    </row>
    <row r="143" spans="1:8" s="477" customFormat="1" ht="18" hidden="1" customHeight="1" x14ac:dyDescent="0.25">
      <c r="A143" s="492"/>
      <c r="B143" s="580" t="s">
        <v>3670</v>
      </c>
      <c r="C143" s="149">
        <v>1000000000</v>
      </c>
      <c r="D143" s="394">
        <v>996964000</v>
      </c>
      <c r="E143" s="394"/>
      <c r="F143" s="169">
        <f t="shared" si="6"/>
        <v>99.696399999999997</v>
      </c>
      <c r="G143" s="694">
        <v>100</v>
      </c>
      <c r="H143" s="692"/>
    </row>
    <row r="144" spans="1:8" s="477" customFormat="1" ht="20.25" hidden="1" customHeight="1" x14ac:dyDescent="0.25">
      <c r="A144" s="492"/>
      <c r="B144" s="580" t="s">
        <v>3671</v>
      </c>
      <c r="C144" s="149">
        <v>8000000000</v>
      </c>
      <c r="D144" s="394">
        <v>7249755000</v>
      </c>
      <c r="E144" s="394"/>
      <c r="F144" s="169">
        <f t="shared" si="6"/>
        <v>90.621937500000001</v>
      </c>
      <c r="G144" s="694">
        <v>100</v>
      </c>
      <c r="H144" s="692"/>
    </row>
    <row r="145" spans="1:8" s="477" customFormat="1" ht="18.75" hidden="1" customHeight="1" x14ac:dyDescent="0.25">
      <c r="A145" s="492"/>
      <c r="B145" s="580" t="s">
        <v>3672</v>
      </c>
      <c r="C145" s="149">
        <v>500000000</v>
      </c>
      <c r="D145" s="394">
        <v>479040000</v>
      </c>
      <c r="E145" s="394"/>
      <c r="F145" s="169">
        <f t="shared" si="6"/>
        <v>95.808000000000007</v>
      </c>
      <c r="G145" s="694">
        <v>100</v>
      </c>
      <c r="H145" s="692"/>
    </row>
    <row r="146" spans="1:8" s="470" customFormat="1" ht="22.5" hidden="1" customHeight="1" x14ac:dyDescent="0.25">
      <c r="A146" s="493"/>
      <c r="B146" s="580" t="s">
        <v>3673</v>
      </c>
      <c r="C146" s="149">
        <v>450000000</v>
      </c>
      <c r="D146" s="149">
        <v>447217000</v>
      </c>
      <c r="E146" s="149"/>
      <c r="F146" s="169">
        <f t="shared" si="6"/>
        <v>99.381555555555551</v>
      </c>
      <c r="G146" s="694">
        <v>100</v>
      </c>
      <c r="H146" s="471"/>
    </row>
    <row r="147" spans="1:8" s="470" customFormat="1" ht="13.5" hidden="1" customHeight="1" x14ac:dyDescent="0.25">
      <c r="A147" s="493"/>
      <c r="B147" s="1157"/>
      <c r="C147" s="150"/>
      <c r="D147" s="150"/>
      <c r="E147" s="150"/>
      <c r="F147" s="150"/>
      <c r="G147" s="176"/>
      <c r="H147" s="471"/>
    </row>
    <row r="148" spans="1:8" s="477" customFormat="1" ht="33.75" customHeight="1" x14ac:dyDescent="0.25">
      <c r="A148" s="492"/>
      <c r="B148" s="1156" t="s">
        <v>3674</v>
      </c>
      <c r="C148" s="149"/>
      <c r="D148" s="149"/>
      <c r="E148" s="149"/>
      <c r="F148" s="149"/>
      <c r="G148" s="169"/>
      <c r="H148" s="692"/>
    </row>
    <row r="149" spans="1:8" s="477" customFormat="1" ht="22.5" hidden="1" customHeight="1" x14ac:dyDescent="0.25">
      <c r="A149" s="492"/>
      <c r="B149" s="580" t="s">
        <v>4098</v>
      </c>
      <c r="C149" s="376" t="s">
        <v>3317</v>
      </c>
      <c r="D149" s="376" t="s">
        <v>3317</v>
      </c>
      <c r="E149" s="376"/>
      <c r="F149" s="376" t="s">
        <v>3317</v>
      </c>
      <c r="G149" s="376" t="s">
        <v>3317</v>
      </c>
      <c r="H149" s="692"/>
    </row>
    <row r="150" spans="1:8" s="477" customFormat="1" ht="12" hidden="1" customHeight="1" x14ac:dyDescent="0.25">
      <c r="A150" s="492"/>
      <c r="B150" s="580"/>
      <c r="C150" s="149"/>
      <c r="D150" s="394"/>
      <c r="E150" s="394"/>
      <c r="F150" s="176"/>
      <c r="G150" s="695"/>
      <c r="H150" s="692"/>
    </row>
    <row r="151" spans="1:8" s="470" customFormat="1" ht="22.5" customHeight="1" x14ac:dyDescent="0.25">
      <c r="A151" s="696"/>
      <c r="B151" s="1156" t="s">
        <v>3675</v>
      </c>
      <c r="C151" s="150">
        <f>SUM(C152:C155)</f>
        <v>14000000000</v>
      </c>
      <c r="D151" s="150">
        <f>SUM(D152:D155)</f>
        <v>13132235000</v>
      </c>
      <c r="E151" s="150"/>
      <c r="F151" s="176">
        <f>D151/C151*100</f>
        <v>93.801678571428567</v>
      </c>
      <c r="G151" s="697">
        <f>SUM(G152:G155)/4</f>
        <v>75.745000000000005</v>
      </c>
      <c r="H151" s="471"/>
    </row>
    <row r="152" spans="1:8" s="477" customFormat="1" ht="18" hidden="1" customHeight="1" x14ac:dyDescent="0.25">
      <c r="A152" s="572"/>
      <c r="B152" s="580" t="s">
        <v>3676</v>
      </c>
      <c r="C152" s="149">
        <v>7500000000</v>
      </c>
      <c r="D152" s="149">
        <v>7350790000</v>
      </c>
      <c r="E152" s="149"/>
      <c r="F152" s="169">
        <f>D152/C152*100</f>
        <v>98.010533333333342</v>
      </c>
      <c r="G152" s="149">
        <v>100</v>
      </c>
      <c r="H152" s="692"/>
    </row>
    <row r="153" spans="1:8" s="477" customFormat="1" ht="18" hidden="1" customHeight="1" x14ac:dyDescent="0.25">
      <c r="A153" s="572"/>
      <c r="B153" s="580" t="s">
        <v>3677</v>
      </c>
      <c r="C153" s="149">
        <v>2500000000</v>
      </c>
      <c r="D153" s="149">
        <v>2300815000</v>
      </c>
      <c r="E153" s="149"/>
      <c r="F153" s="169">
        <f t="shared" ref="F153:F155" si="7">D153/C153*100</f>
        <v>92.032600000000002</v>
      </c>
      <c r="G153" s="149">
        <v>100</v>
      </c>
      <c r="H153" s="692"/>
    </row>
    <row r="154" spans="1:8" s="477" customFormat="1" ht="20.25" hidden="1" customHeight="1" x14ac:dyDescent="0.25">
      <c r="A154" s="572"/>
      <c r="B154" s="580" t="s">
        <v>3678</v>
      </c>
      <c r="C154" s="149">
        <v>3500000000</v>
      </c>
      <c r="D154" s="149">
        <v>3465725000</v>
      </c>
      <c r="E154" s="149"/>
      <c r="F154" s="169">
        <f t="shared" si="7"/>
        <v>99.020714285714291</v>
      </c>
      <c r="G154" s="149">
        <v>100</v>
      </c>
      <c r="H154" s="692"/>
    </row>
    <row r="155" spans="1:8" s="477" customFormat="1" ht="18.75" hidden="1" customHeight="1" x14ac:dyDescent="0.25">
      <c r="A155" s="572"/>
      <c r="B155" s="580" t="s">
        <v>3679</v>
      </c>
      <c r="C155" s="149">
        <v>500000000</v>
      </c>
      <c r="D155" s="394">
        <v>14905000</v>
      </c>
      <c r="E155" s="394"/>
      <c r="F155" s="169">
        <f t="shared" si="7"/>
        <v>2.9809999999999999</v>
      </c>
      <c r="G155" s="169">
        <v>2.98</v>
      </c>
      <c r="H155" s="693"/>
    </row>
    <row r="156" spans="1:8" s="477" customFormat="1" ht="12.75" hidden="1" customHeight="1" x14ac:dyDescent="0.25">
      <c r="A156" s="572"/>
      <c r="B156" s="580"/>
      <c r="C156" s="149"/>
      <c r="D156" s="394"/>
      <c r="E156" s="394"/>
      <c r="F156" s="169"/>
      <c r="G156" s="577"/>
      <c r="H156" s="692"/>
    </row>
    <row r="157" spans="1:8" s="470" customFormat="1" ht="21" customHeight="1" x14ac:dyDescent="0.25">
      <c r="A157" s="696"/>
      <c r="B157" s="1156" t="s">
        <v>3680</v>
      </c>
      <c r="C157" s="150">
        <f>SUM(C158:C181)</f>
        <v>150201269683</v>
      </c>
      <c r="D157" s="150">
        <f>SUM(D158:D181)</f>
        <v>75394495500</v>
      </c>
      <c r="E157" s="150"/>
      <c r="F157" s="176">
        <f t="shared" ref="F157:F171" si="8">D157/C157*100</f>
        <v>50.195644590169039</v>
      </c>
      <c r="G157" s="176">
        <f>SUM(G158:G180)/23</f>
        <v>56.778640255345486</v>
      </c>
      <c r="H157" s="471"/>
    </row>
    <row r="158" spans="1:8" s="477" customFormat="1" ht="20.25" hidden="1" customHeight="1" x14ac:dyDescent="0.25">
      <c r="A158" s="572"/>
      <c r="B158" s="580" t="s">
        <v>3681</v>
      </c>
      <c r="C158" s="149">
        <v>10500000000</v>
      </c>
      <c r="D158" s="394">
        <v>7892000000</v>
      </c>
      <c r="E158" s="394"/>
      <c r="F158" s="169">
        <f t="shared" si="8"/>
        <v>75.161904761904765</v>
      </c>
      <c r="G158" s="394">
        <v>75.16</v>
      </c>
      <c r="H158" s="693"/>
    </row>
    <row r="159" spans="1:8" s="477" customFormat="1" ht="19.5" hidden="1" customHeight="1" x14ac:dyDescent="0.25">
      <c r="A159" s="572"/>
      <c r="B159" s="580" t="s">
        <v>3682</v>
      </c>
      <c r="C159" s="149">
        <v>10000000000</v>
      </c>
      <c r="D159" s="394">
        <v>7292320000</v>
      </c>
      <c r="E159" s="394"/>
      <c r="F159" s="169">
        <f t="shared" si="8"/>
        <v>72.923199999999994</v>
      </c>
      <c r="G159" s="694">
        <v>72.92</v>
      </c>
      <c r="H159" s="693"/>
    </row>
    <row r="160" spans="1:8" s="477" customFormat="1" ht="19.5" hidden="1" customHeight="1" x14ac:dyDescent="0.25">
      <c r="A160" s="572"/>
      <c r="B160" s="580" t="s">
        <v>3683</v>
      </c>
      <c r="C160" s="149">
        <v>10000000000</v>
      </c>
      <c r="D160" s="149">
        <v>8193320000</v>
      </c>
      <c r="E160" s="149"/>
      <c r="F160" s="169">
        <f t="shared" si="8"/>
        <v>81.933199999999999</v>
      </c>
      <c r="G160" s="169">
        <v>81.93</v>
      </c>
      <c r="H160" s="693"/>
    </row>
    <row r="161" spans="1:8" s="477" customFormat="1" ht="17.25" hidden="1" customHeight="1" x14ac:dyDescent="0.25">
      <c r="A161" s="572"/>
      <c r="B161" s="580" t="s">
        <v>3684</v>
      </c>
      <c r="C161" s="149">
        <v>3200000000</v>
      </c>
      <c r="D161" s="149">
        <v>1403400000</v>
      </c>
      <c r="E161" s="149"/>
      <c r="F161" s="169">
        <f t="shared" si="8"/>
        <v>43.856250000000003</v>
      </c>
      <c r="G161" s="149">
        <v>43.86</v>
      </c>
      <c r="H161" s="693"/>
    </row>
    <row r="162" spans="1:8" s="477" customFormat="1" ht="18.75" hidden="1" customHeight="1" x14ac:dyDescent="0.25">
      <c r="A162" s="572"/>
      <c r="B162" s="580" t="s">
        <v>3685</v>
      </c>
      <c r="C162" s="149">
        <v>3200000000</v>
      </c>
      <c r="D162" s="149">
        <v>549220000</v>
      </c>
      <c r="E162" s="149"/>
      <c r="F162" s="169">
        <f t="shared" si="8"/>
        <v>17.163125000000001</v>
      </c>
      <c r="G162" s="169">
        <v>17.16</v>
      </c>
      <c r="H162" s="693"/>
    </row>
    <row r="163" spans="1:8" s="477" customFormat="1" ht="21" hidden="1" customHeight="1" x14ac:dyDescent="0.25">
      <c r="A163" s="572"/>
      <c r="B163" s="580" t="s">
        <v>3686</v>
      </c>
      <c r="C163" s="149">
        <v>3200000000</v>
      </c>
      <c r="D163" s="149">
        <v>1796600000</v>
      </c>
      <c r="E163" s="149"/>
      <c r="F163" s="169">
        <f t="shared" si="8"/>
        <v>56.143750000000004</v>
      </c>
      <c r="G163" s="169">
        <v>56.14</v>
      </c>
      <c r="H163" s="693"/>
    </row>
    <row r="164" spans="1:8" s="477" customFormat="1" ht="21" hidden="1" customHeight="1" x14ac:dyDescent="0.25">
      <c r="A164" s="572"/>
      <c r="B164" s="580" t="s">
        <v>3687</v>
      </c>
      <c r="C164" s="149">
        <v>3200000000</v>
      </c>
      <c r="D164" s="149">
        <v>3049744000</v>
      </c>
      <c r="E164" s="149"/>
      <c r="F164" s="169">
        <f t="shared" si="8"/>
        <v>95.304500000000004</v>
      </c>
      <c r="G164" s="169">
        <v>100</v>
      </c>
      <c r="H164" s="692"/>
    </row>
    <row r="165" spans="1:8" s="477" customFormat="1" ht="22.5" hidden="1" customHeight="1" x14ac:dyDescent="0.25">
      <c r="A165" s="572"/>
      <c r="B165" s="580" t="s">
        <v>3688</v>
      </c>
      <c r="C165" s="149">
        <v>3200000000</v>
      </c>
      <c r="D165" s="149">
        <v>2053200000</v>
      </c>
      <c r="E165" s="149"/>
      <c r="F165" s="169">
        <f t="shared" si="8"/>
        <v>64.162499999999994</v>
      </c>
      <c r="G165" s="169">
        <v>64.162499999999994</v>
      </c>
      <c r="H165" s="693"/>
    </row>
    <row r="166" spans="1:8" s="477" customFormat="1" ht="17.25" hidden="1" customHeight="1" x14ac:dyDescent="0.25">
      <c r="A166" s="572"/>
      <c r="B166" s="580" t="s">
        <v>3689</v>
      </c>
      <c r="C166" s="149">
        <v>3200000000</v>
      </c>
      <c r="D166" s="149">
        <v>452645000</v>
      </c>
      <c r="E166" s="149"/>
      <c r="F166" s="169">
        <f t="shared" si="8"/>
        <v>14.145156249999999</v>
      </c>
      <c r="G166" s="169">
        <v>14.145156249999999</v>
      </c>
      <c r="H166" s="693"/>
    </row>
    <row r="167" spans="1:8" s="477" customFormat="1" ht="22.5" hidden="1" customHeight="1" x14ac:dyDescent="0.25">
      <c r="A167" s="572"/>
      <c r="B167" s="580" t="s">
        <v>3690</v>
      </c>
      <c r="C167" s="149">
        <v>3200000000</v>
      </c>
      <c r="D167" s="149">
        <v>1496484000</v>
      </c>
      <c r="E167" s="149"/>
      <c r="F167" s="169">
        <f t="shared" si="8"/>
        <v>46.765125000000005</v>
      </c>
      <c r="G167" s="169">
        <v>46.765125000000005</v>
      </c>
      <c r="H167" s="693"/>
    </row>
    <row r="168" spans="1:8" s="477" customFormat="1" ht="18.75" hidden="1" customHeight="1" x14ac:dyDescent="0.25">
      <c r="A168" s="572"/>
      <c r="B168" s="580" t="s">
        <v>3691</v>
      </c>
      <c r="C168" s="149">
        <v>3200000000</v>
      </c>
      <c r="D168" s="149">
        <v>1749547000</v>
      </c>
      <c r="E168" s="149"/>
      <c r="F168" s="169">
        <f t="shared" si="8"/>
        <v>54.673343750000001</v>
      </c>
      <c r="G168" s="169">
        <v>54.673343750000001</v>
      </c>
      <c r="H168" s="693"/>
    </row>
    <row r="169" spans="1:8" s="477" customFormat="1" ht="18.75" hidden="1" customHeight="1" x14ac:dyDescent="0.25">
      <c r="A169" s="572"/>
      <c r="B169" s="580" t="s">
        <v>3692</v>
      </c>
      <c r="C169" s="149">
        <v>3200000000</v>
      </c>
      <c r="D169" s="149">
        <v>1054200000</v>
      </c>
      <c r="E169" s="149"/>
      <c r="F169" s="169">
        <f t="shared" si="8"/>
        <v>32.943750000000001</v>
      </c>
      <c r="G169" s="169">
        <v>32.943750000000001</v>
      </c>
      <c r="H169" s="693"/>
    </row>
    <row r="170" spans="1:8" s="477" customFormat="1" ht="18" hidden="1" customHeight="1" x14ac:dyDescent="0.25">
      <c r="A170" s="572"/>
      <c r="B170" s="580" t="s">
        <v>3693</v>
      </c>
      <c r="C170" s="149">
        <v>3200000000</v>
      </c>
      <c r="D170" s="149">
        <v>2029130000</v>
      </c>
      <c r="E170" s="149"/>
      <c r="F170" s="169">
        <f t="shared" si="8"/>
        <v>63.410312499999996</v>
      </c>
      <c r="G170" s="169">
        <v>63.410312499999996</v>
      </c>
      <c r="H170" s="693"/>
    </row>
    <row r="171" spans="1:8" s="477" customFormat="1" ht="18.75" hidden="1" customHeight="1" x14ac:dyDescent="0.25">
      <c r="A171" s="572"/>
      <c r="B171" s="580" t="s">
        <v>3694</v>
      </c>
      <c r="C171" s="576">
        <v>1001269683</v>
      </c>
      <c r="D171" s="149">
        <v>874000000</v>
      </c>
      <c r="E171" s="149"/>
      <c r="F171" s="169">
        <f t="shared" si="8"/>
        <v>87.28917042422826</v>
      </c>
      <c r="G171" s="169">
        <v>87.28917042422826</v>
      </c>
      <c r="H171" s="693"/>
    </row>
    <row r="172" spans="1:8" s="477" customFormat="1" ht="18" hidden="1" customHeight="1" x14ac:dyDescent="0.25">
      <c r="A172" s="572"/>
      <c r="B172" s="580" t="s">
        <v>3695</v>
      </c>
      <c r="C172" s="149">
        <v>78000000000</v>
      </c>
      <c r="D172" s="149">
        <v>32283707000</v>
      </c>
      <c r="E172" s="149"/>
      <c r="F172" s="169">
        <f>D172/C172*100</f>
        <v>41.389367948717947</v>
      </c>
      <c r="G172" s="169">
        <v>41.389367948717947</v>
      </c>
      <c r="H172" s="693"/>
    </row>
    <row r="173" spans="1:8" s="477" customFormat="1" ht="21" hidden="1" customHeight="1" x14ac:dyDescent="0.25">
      <c r="A173" s="572"/>
      <c r="B173" s="580" t="s">
        <v>3696</v>
      </c>
      <c r="C173" s="149">
        <v>600000000</v>
      </c>
      <c r="D173" s="149">
        <v>0</v>
      </c>
      <c r="E173" s="149"/>
      <c r="F173" s="149">
        <v>0</v>
      </c>
      <c r="G173" s="169">
        <v>0</v>
      </c>
      <c r="H173" s="692"/>
    </row>
    <row r="174" spans="1:8" s="477" customFormat="1" ht="19.5" hidden="1" customHeight="1" x14ac:dyDescent="0.25">
      <c r="A174" s="572"/>
      <c r="B174" s="580" t="s">
        <v>3697</v>
      </c>
      <c r="C174" s="149">
        <v>500000000</v>
      </c>
      <c r="D174" s="149">
        <v>479805000</v>
      </c>
      <c r="E174" s="149"/>
      <c r="F174" s="169">
        <f>D174/C174*100</f>
        <v>95.960999999999999</v>
      </c>
      <c r="G174" s="169">
        <v>100</v>
      </c>
      <c r="H174" s="693"/>
    </row>
    <row r="175" spans="1:8" s="477" customFormat="1" ht="17.25" hidden="1" customHeight="1" x14ac:dyDescent="0.25">
      <c r="A175" s="572"/>
      <c r="B175" s="580" t="s">
        <v>3698</v>
      </c>
      <c r="C175" s="149">
        <v>1000000000</v>
      </c>
      <c r="D175" s="149">
        <v>959820000</v>
      </c>
      <c r="E175" s="149"/>
      <c r="F175" s="169">
        <f t="shared" ref="F175:F180" si="9">D175/C175*100</f>
        <v>95.981999999999999</v>
      </c>
      <c r="G175" s="169">
        <v>100</v>
      </c>
      <c r="H175" s="693"/>
    </row>
    <row r="176" spans="1:8" s="477" customFormat="1" ht="18.75" hidden="1" customHeight="1" x14ac:dyDescent="0.25">
      <c r="A176" s="572"/>
      <c r="B176" s="580" t="s">
        <v>3699</v>
      </c>
      <c r="C176" s="149">
        <v>4000000000</v>
      </c>
      <c r="D176" s="149">
        <v>119955000</v>
      </c>
      <c r="E176" s="149"/>
      <c r="F176" s="169">
        <f t="shared" si="9"/>
        <v>2.998875</v>
      </c>
      <c r="G176" s="169">
        <v>5</v>
      </c>
      <c r="H176" s="693"/>
    </row>
    <row r="177" spans="1:10" s="477" customFormat="1" ht="15.75" hidden="1" customHeight="1" x14ac:dyDescent="0.25">
      <c r="A177" s="572"/>
      <c r="B177" s="580" t="s">
        <v>3700</v>
      </c>
      <c r="C177" s="149">
        <v>1000000000</v>
      </c>
      <c r="D177" s="149">
        <v>308873500</v>
      </c>
      <c r="E177" s="149"/>
      <c r="F177" s="169">
        <f t="shared" si="9"/>
        <v>30.887350000000001</v>
      </c>
      <c r="G177" s="169" t="s">
        <v>4173</v>
      </c>
      <c r="H177" s="693"/>
    </row>
    <row r="178" spans="1:10" s="477" customFormat="1" ht="19.5" hidden="1" customHeight="1" x14ac:dyDescent="0.25">
      <c r="A178" s="572"/>
      <c r="B178" s="580" t="s">
        <v>3701</v>
      </c>
      <c r="C178" s="149">
        <v>300000000</v>
      </c>
      <c r="D178" s="149">
        <v>279760000</v>
      </c>
      <c r="E178" s="149"/>
      <c r="F178" s="169">
        <f t="shared" si="9"/>
        <v>93.25333333333333</v>
      </c>
      <c r="G178" s="169">
        <v>100</v>
      </c>
      <c r="H178" s="692"/>
    </row>
    <row r="179" spans="1:10" s="477" customFormat="1" ht="18" hidden="1" customHeight="1" x14ac:dyDescent="0.25">
      <c r="A179" s="572"/>
      <c r="B179" s="580" t="s">
        <v>3702</v>
      </c>
      <c r="C179" s="149">
        <v>300000000</v>
      </c>
      <c r="D179" s="149">
        <v>146865000</v>
      </c>
      <c r="E179" s="149"/>
      <c r="F179" s="169">
        <f t="shared" si="9"/>
        <v>48.954999999999998</v>
      </c>
      <c r="G179" s="169">
        <v>48.96</v>
      </c>
      <c r="H179" s="693"/>
    </row>
    <row r="180" spans="1:10" s="477" customFormat="1" ht="18.75" hidden="1" customHeight="1" x14ac:dyDescent="0.25">
      <c r="A180" s="572"/>
      <c r="B180" s="580" t="s">
        <v>3703</v>
      </c>
      <c r="C180" s="576">
        <v>1000000000</v>
      </c>
      <c r="D180" s="149">
        <v>929900000</v>
      </c>
      <c r="E180" s="149"/>
      <c r="F180" s="169">
        <f t="shared" si="9"/>
        <v>92.99</v>
      </c>
      <c r="G180" s="149">
        <v>100</v>
      </c>
      <c r="H180" s="692"/>
    </row>
    <row r="181" spans="1:10" s="477" customFormat="1" ht="33" hidden="1" customHeight="1" x14ac:dyDescent="0.25">
      <c r="A181" s="572"/>
      <c r="B181" s="580" t="s">
        <v>3704</v>
      </c>
      <c r="C181" s="1158" t="s">
        <v>3317</v>
      </c>
      <c r="D181" s="1158" t="s">
        <v>3317</v>
      </c>
      <c r="E181" s="1158"/>
      <c r="F181" s="1158" t="s">
        <v>3317</v>
      </c>
      <c r="G181" s="1158" t="s">
        <v>3317</v>
      </c>
      <c r="H181" s="692"/>
    </row>
    <row r="182" spans="1:10" s="477" customFormat="1" ht="13.5" hidden="1" customHeight="1" x14ac:dyDescent="0.25">
      <c r="A182" s="572"/>
      <c r="B182" s="580"/>
      <c r="C182" s="149"/>
      <c r="D182" s="149"/>
      <c r="E182" s="149"/>
      <c r="F182" s="169"/>
      <c r="G182" s="169"/>
      <c r="H182" s="692"/>
    </row>
    <row r="183" spans="1:10" s="477" customFormat="1" ht="17.25" customHeight="1" x14ac:dyDescent="0.25">
      <c r="A183" s="572"/>
      <c r="B183" s="1156" t="s">
        <v>3705</v>
      </c>
      <c r="C183" s="150">
        <f>SUM(C184:C185)</f>
        <v>19215000017</v>
      </c>
      <c r="D183" s="150">
        <f>SUM(D184:D185)</f>
        <v>16339800200</v>
      </c>
      <c r="E183" s="150"/>
      <c r="F183" s="176">
        <f>D183/C183*100</f>
        <v>85.036691051489782</v>
      </c>
      <c r="G183" s="176">
        <f>SUM(G184:G185)/2</f>
        <v>92.14500000000001</v>
      </c>
      <c r="H183" s="692"/>
    </row>
    <row r="184" spans="1:10" s="477" customFormat="1" ht="21" hidden="1" customHeight="1" x14ac:dyDescent="0.25">
      <c r="A184" s="572"/>
      <c r="B184" s="580" t="s">
        <v>3706</v>
      </c>
      <c r="C184" s="149">
        <v>1000000000</v>
      </c>
      <c r="D184" s="149">
        <v>985765000</v>
      </c>
      <c r="E184" s="149"/>
      <c r="F184" s="169">
        <f t="shared" ref="F184:F185" si="10">D184/C184*100</f>
        <v>98.576499999999996</v>
      </c>
      <c r="G184" s="169">
        <v>100</v>
      </c>
      <c r="H184" s="692"/>
    </row>
    <row r="185" spans="1:10" s="477" customFormat="1" ht="20.25" hidden="1" customHeight="1" x14ac:dyDescent="0.25">
      <c r="A185" s="572"/>
      <c r="B185" s="580" t="s">
        <v>3707</v>
      </c>
      <c r="C185" s="149">
        <v>18215000017</v>
      </c>
      <c r="D185" s="149">
        <v>15354035200</v>
      </c>
      <c r="E185" s="149"/>
      <c r="F185" s="169">
        <f t="shared" si="10"/>
        <v>84.293358142575514</v>
      </c>
      <c r="G185" s="169">
        <v>84.29</v>
      </c>
      <c r="H185" s="693"/>
    </row>
    <row r="186" spans="1:10" ht="12" hidden="1" customHeight="1" x14ac:dyDescent="0.25">
      <c r="A186" s="496"/>
      <c r="B186" s="1159"/>
      <c r="C186" s="1160"/>
      <c r="D186" s="4845"/>
      <c r="E186" s="4845"/>
      <c r="F186" s="180"/>
      <c r="G186" s="411"/>
      <c r="H186" s="471"/>
    </row>
    <row r="187" spans="1:10" s="470" customFormat="1" ht="20.25" customHeight="1" x14ac:dyDescent="0.25">
      <c r="A187" s="687">
        <v>2</v>
      </c>
      <c r="B187" s="4846" t="s">
        <v>3708</v>
      </c>
      <c r="C187" s="1154">
        <f>SUM(C188,C191,C196,C210,C224,C228)</f>
        <v>134762193300</v>
      </c>
      <c r="D187" s="1154">
        <f>SUM(D188,D191,D196,D210,D224,D228)</f>
        <v>100833873013</v>
      </c>
      <c r="E187" s="549">
        <f>C187-D187</f>
        <v>33928320287</v>
      </c>
      <c r="F187" s="165">
        <f>D187/C187*100</f>
        <v>74.823561819396417</v>
      </c>
      <c r="G187" s="165">
        <f>SUM(G191+G196+G210+G224+G228)/5</f>
        <v>92.140153395186033</v>
      </c>
      <c r="H187" s="471"/>
      <c r="J187" s="472"/>
    </row>
    <row r="188" spans="1:10" s="470" customFormat="1" ht="19.5" customHeight="1" x14ac:dyDescent="0.25">
      <c r="A188" s="493"/>
      <c r="B188" s="1155" t="s">
        <v>675</v>
      </c>
      <c r="C188" s="549"/>
      <c r="D188" s="549"/>
      <c r="E188" s="549"/>
      <c r="F188" s="60"/>
      <c r="G188" s="60"/>
      <c r="H188" s="473"/>
    </row>
    <row r="189" spans="1:10" s="477" customFormat="1" ht="18" hidden="1" customHeight="1" x14ac:dyDescent="0.25">
      <c r="A189" s="492"/>
      <c r="B189" s="580" t="s">
        <v>3709</v>
      </c>
      <c r="C189" s="376" t="s">
        <v>3317</v>
      </c>
      <c r="D189" s="376" t="s">
        <v>3317</v>
      </c>
      <c r="E189" s="4958"/>
      <c r="F189" s="62"/>
      <c r="G189" s="569"/>
      <c r="H189" s="689"/>
    </row>
    <row r="190" spans="1:10" s="477" customFormat="1" ht="12" hidden="1" customHeight="1" x14ac:dyDescent="0.25">
      <c r="A190" s="492"/>
      <c r="B190" s="580"/>
      <c r="C190" s="149"/>
      <c r="D190" s="394"/>
      <c r="E190" s="403"/>
      <c r="F190" s="62"/>
      <c r="G190" s="568"/>
      <c r="H190" s="689"/>
    </row>
    <row r="191" spans="1:10" s="470" customFormat="1" ht="20.25" customHeight="1" x14ac:dyDescent="0.25">
      <c r="A191" s="493"/>
      <c r="B191" s="1156" t="s">
        <v>3710</v>
      </c>
      <c r="C191" s="150">
        <f>SUM(C192:C194)</f>
        <v>9000000000</v>
      </c>
      <c r="D191" s="150">
        <f>SUM(D192:D194)</f>
        <v>8513042524</v>
      </c>
      <c r="E191" s="247"/>
      <c r="F191" s="60">
        <f>D191/C191*100</f>
        <v>94.589361377777777</v>
      </c>
      <c r="G191" s="549">
        <f>SUM(G192:G194)/3</f>
        <v>100</v>
      </c>
      <c r="H191" s="473"/>
    </row>
    <row r="192" spans="1:10" s="477" customFormat="1" ht="19.5" hidden="1" customHeight="1" x14ac:dyDescent="0.25">
      <c r="A192" s="492"/>
      <c r="B192" s="580" t="s">
        <v>3711</v>
      </c>
      <c r="C192" s="149">
        <v>5000000000</v>
      </c>
      <c r="D192" s="394">
        <v>4518259200</v>
      </c>
      <c r="E192" s="403"/>
      <c r="F192" s="62">
        <f>D192/C192*100</f>
        <v>90.365183999999999</v>
      </c>
      <c r="G192" s="149">
        <v>100</v>
      </c>
      <c r="H192" s="689"/>
    </row>
    <row r="193" spans="1:8" s="477" customFormat="1" ht="15" hidden="1" customHeight="1" x14ac:dyDescent="0.25">
      <c r="A193" s="492"/>
      <c r="B193" s="580" t="s">
        <v>3712</v>
      </c>
      <c r="C193" s="149">
        <v>1000000000</v>
      </c>
      <c r="D193" s="149">
        <v>996513840</v>
      </c>
      <c r="E193" s="374"/>
      <c r="F193" s="62">
        <f t="shared" ref="F193:F194" si="11">D193/C193*100</f>
        <v>99.651383999999993</v>
      </c>
      <c r="G193" s="149">
        <v>100</v>
      </c>
      <c r="H193" s="689"/>
    </row>
    <row r="194" spans="1:8" s="477" customFormat="1" ht="21" hidden="1" customHeight="1" x14ac:dyDescent="0.25">
      <c r="A194" s="492"/>
      <c r="B194" s="64" t="s">
        <v>3713</v>
      </c>
      <c r="C194" s="149">
        <v>3000000000</v>
      </c>
      <c r="D194" s="394">
        <v>2998269484</v>
      </c>
      <c r="E194" s="403"/>
      <c r="F194" s="62">
        <f t="shared" si="11"/>
        <v>99.942316133333335</v>
      </c>
      <c r="G194" s="149">
        <v>100</v>
      </c>
      <c r="H194" s="689"/>
    </row>
    <row r="195" spans="1:8" s="477" customFormat="1" ht="12" hidden="1" customHeight="1" x14ac:dyDescent="0.25">
      <c r="A195" s="492"/>
      <c r="B195" s="580"/>
      <c r="C195" s="149"/>
      <c r="D195" s="394"/>
      <c r="E195" s="403"/>
      <c r="F195" s="62"/>
      <c r="G195" s="577"/>
      <c r="H195" s="689"/>
    </row>
    <row r="196" spans="1:8" s="470" customFormat="1" ht="18.75" customHeight="1" x14ac:dyDescent="0.25">
      <c r="A196" s="493"/>
      <c r="B196" s="1156" t="s">
        <v>3714</v>
      </c>
      <c r="C196" s="150">
        <f>SUM(C197:C208)</f>
        <v>67980643300</v>
      </c>
      <c r="D196" s="150">
        <f>SUM(D197:D208)</f>
        <v>50585515480</v>
      </c>
      <c r="E196" s="247"/>
      <c r="F196" s="60">
        <f>D196/C196*100</f>
        <v>74.411645763287453</v>
      </c>
      <c r="G196" s="60">
        <f>SUM(G197:G208)/12</f>
        <v>87.581107885021083</v>
      </c>
      <c r="H196" s="473"/>
    </row>
    <row r="197" spans="1:8" s="477" customFormat="1" ht="18" hidden="1" customHeight="1" x14ac:dyDescent="0.25">
      <c r="A197" s="492"/>
      <c r="B197" s="580" t="s">
        <v>3715</v>
      </c>
      <c r="C197" s="149">
        <v>1611897600</v>
      </c>
      <c r="D197" s="394">
        <v>1528511050</v>
      </c>
      <c r="E197" s="403"/>
      <c r="F197" s="62">
        <f>D197/C197*100</f>
        <v>94.826808477163809</v>
      </c>
      <c r="G197" s="569">
        <v>100</v>
      </c>
      <c r="H197" s="689"/>
    </row>
    <row r="198" spans="1:8" s="477" customFormat="1" ht="18" hidden="1" customHeight="1" x14ac:dyDescent="0.25">
      <c r="A198" s="492"/>
      <c r="B198" s="580" t="s">
        <v>3716</v>
      </c>
      <c r="C198" s="149">
        <v>5949672700</v>
      </c>
      <c r="D198" s="394">
        <v>5646610958</v>
      </c>
      <c r="E198" s="403"/>
      <c r="F198" s="62">
        <f t="shared" ref="F198:F234" si="12">D198/C198*100</f>
        <v>94.906245145216133</v>
      </c>
      <c r="G198" s="569">
        <v>100</v>
      </c>
      <c r="H198" s="689"/>
    </row>
    <row r="199" spans="1:8" s="477" customFormat="1" ht="15" hidden="1" customHeight="1" x14ac:dyDescent="0.25">
      <c r="A199" s="492"/>
      <c r="B199" s="580" t="s">
        <v>3717</v>
      </c>
      <c r="C199" s="149">
        <v>1000000000</v>
      </c>
      <c r="D199" s="394">
        <v>969908500</v>
      </c>
      <c r="E199" s="403"/>
      <c r="F199" s="62">
        <f t="shared" si="12"/>
        <v>96.990849999999995</v>
      </c>
      <c r="G199" s="569">
        <v>100</v>
      </c>
      <c r="H199" s="689"/>
    </row>
    <row r="200" spans="1:8" s="477" customFormat="1" ht="15.75" hidden="1" customHeight="1" x14ac:dyDescent="0.25">
      <c r="A200" s="492"/>
      <c r="B200" s="580" t="s">
        <v>3718</v>
      </c>
      <c r="C200" s="149">
        <v>1600000000</v>
      </c>
      <c r="D200" s="394">
        <v>1510069000</v>
      </c>
      <c r="E200" s="403"/>
      <c r="F200" s="62">
        <f t="shared" si="12"/>
        <v>94.379312499999997</v>
      </c>
      <c r="G200" s="569">
        <v>100</v>
      </c>
      <c r="H200" s="689"/>
    </row>
    <row r="201" spans="1:8" s="477" customFormat="1" ht="18" hidden="1" customHeight="1" x14ac:dyDescent="0.25">
      <c r="A201" s="492"/>
      <c r="B201" s="580" t="s">
        <v>3719</v>
      </c>
      <c r="C201" s="149">
        <v>2000000000</v>
      </c>
      <c r="D201" s="394">
        <v>1946543500</v>
      </c>
      <c r="E201" s="403"/>
      <c r="F201" s="62">
        <f t="shared" si="12"/>
        <v>97.327174999999997</v>
      </c>
      <c r="G201" s="569">
        <v>100</v>
      </c>
      <c r="H201" s="689"/>
    </row>
    <row r="202" spans="1:8" s="477" customFormat="1" ht="16.5" hidden="1" customHeight="1" x14ac:dyDescent="0.25">
      <c r="A202" s="492"/>
      <c r="B202" s="580" t="s">
        <v>3720</v>
      </c>
      <c r="C202" s="149">
        <v>1500000000</v>
      </c>
      <c r="D202" s="394">
        <v>999411000</v>
      </c>
      <c r="E202" s="403"/>
      <c r="F202" s="62">
        <f t="shared" si="12"/>
        <v>66.627400000000009</v>
      </c>
      <c r="G202" s="569">
        <v>66.627400000000009</v>
      </c>
      <c r="H202" s="690"/>
    </row>
    <row r="203" spans="1:8" s="477" customFormat="1" ht="16.5" hidden="1" customHeight="1" x14ac:dyDescent="0.25">
      <c r="A203" s="492"/>
      <c r="B203" s="580" t="s">
        <v>3721</v>
      </c>
      <c r="C203" s="149">
        <v>1250000000</v>
      </c>
      <c r="D203" s="149">
        <v>396522500</v>
      </c>
      <c r="E203" s="374"/>
      <c r="F203" s="62">
        <f t="shared" si="12"/>
        <v>31.721800000000002</v>
      </c>
      <c r="G203" s="569">
        <v>31.721800000000002</v>
      </c>
      <c r="H203" s="690"/>
    </row>
    <row r="204" spans="1:8" s="477" customFormat="1" ht="21" hidden="1" customHeight="1" x14ac:dyDescent="0.25">
      <c r="A204" s="492"/>
      <c r="B204" s="580" t="s">
        <v>4104</v>
      </c>
      <c r="C204" s="149">
        <v>31600000000</v>
      </c>
      <c r="D204" s="394">
        <v>16629213900</v>
      </c>
      <c r="E204" s="403"/>
      <c r="F204" s="62">
        <f t="shared" si="12"/>
        <v>52.624094620253167</v>
      </c>
      <c r="G204" s="569">
        <v>52.624094620253167</v>
      </c>
      <c r="H204" s="690"/>
    </row>
    <row r="205" spans="1:8" s="477" customFormat="1" ht="15" hidden="1" customHeight="1" x14ac:dyDescent="0.25">
      <c r="A205" s="492"/>
      <c r="B205" s="580" t="s">
        <v>3722</v>
      </c>
      <c r="C205" s="149">
        <v>4619073000</v>
      </c>
      <c r="D205" s="394">
        <v>4297200000</v>
      </c>
      <c r="E205" s="403"/>
      <c r="F205" s="62">
        <f t="shared" si="12"/>
        <v>93.03165375390256</v>
      </c>
      <c r="G205" s="569">
        <v>100</v>
      </c>
      <c r="H205" s="689"/>
    </row>
    <row r="206" spans="1:8" s="477" customFormat="1" ht="16.5" hidden="1" customHeight="1" x14ac:dyDescent="0.25">
      <c r="A206" s="492"/>
      <c r="B206" s="580" t="s">
        <v>3723</v>
      </c>
      <c r="C206" s="149">
        <v>4350000000</v>
      </c>
      <c r="D206" s="394">
        <v>4349950672</v>
      </c>
      <c r="E206" s="403"/>
      <c r="F206" s="62">
        <f t="shared" si="12"/>
        <v>99.998866022988508</v>
      </c>
      <c r="G206" s="569">
        <v>100</v>
      </c>
      <c r="H206" s="689"/>
    </row>
    <row r="207" spans="1:8" s="477" customFormat="1" ht="18" hidden="1" customHeight="1" x14ac:dyDescent="0.25">
      <c r="A207" s="492"/>
      <c r="B207" s="580" t="s">
        <v>3724</v>
      </c>
      <c r="C207" s="149">
        <v>500000000</v>
      </c>
      <c r="D207" s="394">
        <v>492400000</v>
      </c>
      <c r="E207" s="403"/>
      <c r="F207" s="62">
        <f t="shared" si="12"/>
        <v>98.48</v>
      </c>
      <c r="G207" s="569">
        <v>100</v>
      </c>
      <c r="H207" s="689"/>
    </row>
    <row r="208" spans="1:8" s="477" customFormat="1" ht="18.75" hidden="1" customHeight="1" x14ac:dyDescent="0.25">
      <c r="A208" s="492"/>
      <c r="B208" s="580" t="s">
        <v>3725</v>
      </c>
      <c r="C208" s="149">
        <v>12000000000</v>
      </c>
      <c r="D208" s="394">
        <v>11819174400</v>
      </c>
      <c r="E208" s="403"/>
      <c r="F208" s="62">
        <f t="shared" si="12"/>
        <v>98.493120000000005</v>
      </c>
      <c r="G208" s="569">
        <v>100</v>
      </c>
      <c r="H208" s="689"/>
    </row>
    <row r="209" spans="1:10" s="477" customFormat="1" ht="12" hidden="1" customHeight="1" x14ac:dyDescent="0.25">
      <c r="A209" s="492"/>
      <c r="B209" s="580"/>
      <c r="C209" s="149"/>
      <c r="D209" s="394"/>
      <c r="E209" s="403"/>
      <c r="F209" s="62"/>
      <c r="G209" s="568"/>
      <c r="H209" s="689"/>
    </row>
    <row r="210" spans="1:10" s="470" customFormat="1" ht="20.25" customHeight="1" x14ac:dyDescent="0.25">
      <c r="A210" s="493"/>
      <c r="B210" s="1156" t="s">
        <v>3726</v>
      </c>
      <c r="C210" s="150">
        <f>SUM(C211:C222)</f>
        <v>20381550000</v>
      </c>
      <c r="D210" s="150">
        <f>SUM(D211:D222)</f>
        <v>16711011887</v>
      </c>
      <c r="E210" s="247"/>
      <c r="F210" s="60">
        <f t="shared" si="12"/>
        <v>81.990878451344472</v>
      </c>
      <c r="G210" s="60">
        <f>SUM(G211:G222)/11</f>
        <v>84.604659090909095</v>
      </c>
      <c r="H210" s="473"/>
    </row>
    <row r="211" spans="1:10" s="477" customFormat="1" ht="15" hidden="1" customHeight="1" x14ac:dyDescent="0.25">
      <c r="A211" s="492"/>
      <c r="B211" s="580" t="s">
        <v>3727</v>
      </c>
      <c r="C211" s="149">
        <v>5000000000</v>
      </c>
      <c r="D211" s="149">
        <v>4659730995</v>
      </c>
      <c r="E211" s="374"/>
      <c r="F211" s="62">
        <f t="shared" si="12"/>
        <v>93.194619899999992</v>
      </c>
      <c r="G211" s="62">
        <v>100</v>
      </c>
      <c r="H211" s="689"/>
    </row>
    <row r="212" spans="1:10" s="477" customFormat="1" ht="16.5" hidden="1" customHeight="1" x14ac:dyDescent="0.25">
      <c r="A212" s="492"/>
      <c r="B212" s="580" t="s">
        <v>3728</v>
      </c>
      <c r="C212" s="149">
        <v>481550000</v>
      </c>
      <c r="D212" s="149">
        <v>0</v>
      </c>
      <c r="E212" s="374"/>
      <c r="F212" s="62">
        <f t="shared" si="12"/>
        <v>0</v>
      </c>
      <c r="G212" s="62">
        <v>0</v>
      </c>
      <c r="H212" s="689"/>
    </row>
    <row r="213" spans="1:10" s="477" customFormat="1" ht="15.75" hidden="1" customHeight="1" x14ac:dyDescent="0.25">
      <c r="A213" s="492"/>
      <c r="B213" s="580" t="s">
        <v>3729</v>
      </c>
      <c r="C213" s="149">
        <v>1000000000</v>
      </c>
      <c r="D213" s="403">
        <v>997502000</v>
      </c>
      <c r="E213" s="403"/>
      <c r="F213" s="62">
        <f t="shared" si="12"/>
        <v>99.750200000000007</v>
      </c>
      <c r="G213" s="62">
        <v>100</v>
      </c>
      <c r="H213" s="689"/>
    </row>
    <row r="214" spans="1:10" s="477" customFormat="1" ht="17.25" hidden="1" customHeight="1" x14ac:dyDescent="0.25">
      <c r="A214" s="492"/>
      <c r="B214" s="580" t="s">
        <v>3730</v>
      </c>
      <c r="C214" s="149">
        <v>500000000</v>
      </c>
      <c r="D214" s="403">
        <v>498733400</v>
      </c>
      <c r="E214" s="403"/>
      <c r="F214" s="62">
        <f t="shared" si="12"/>
        <v>99.746679999999998</v>
      </c>
      <c r="G214" s="62">
        <v>100</v>
      </c>
      <c r="H214" s="689"/>
    </row>
    <row r="215" spans="1:10" s="477" customFormat="1" ht="15" hidden="1" customHeight="1" x14ac:dyDescent="0.25">
      <c r="A215" s="492"/>
      <c r="B215" s="580" t="s">
        <v>3731</v>
      </c>
      <c r="C215" s="149">
        <v>2000000000</v>
      </c>
      <c r="D215" s="149">
        <v>1997874566</v>
      </c>
      <c r="E215" s="374"/>
      <c r="F215" s="62">
        <f t="shared" si="12"/>
        <v>99.893728299999992</v>
      </c>
      <c r="G215" s="149">
        <v>100</v>
      </c>
      <c r="H215" s="689"/>
    </row>
    <row r="216" spans="1:10" s="477" customFormat="1" ht="15" hidden="1" customHeight="1" x14ac:dyDescent="0.25">
      <c r="A216" s="492"/>
      <c r="B216" s="580" t="s">
        <v>3732</v>
      </c>
      <c r="C216" s="149">
        <v>1050000000</v>
      </c>
      <c r="D216" s="403">
        <v>1043622134</v>
      </c>
      <c r="E216" s="403"/>
      <c r="F216" s="62">
        <f t="shared" si="12"/>
        <v>99.392584190476185</v>
      </c>
      <c r="G216" s="570">
        <v>100</v>
      </c>
      <c r="H216" s="689"/>
    </row>
    <row r="217" spans="1:10" s="477" customFormat="1" ht="30.75" hidden="1" customHeight="1" x14ac:dyDescent="0.25">
      <c r="A217" s="492"/>
      <c r="B217" s="580" t="s">
        <v>3733</v>
      </c>
      <c r="C217" s="376" t="s">
        <v>3317</v>
      </c>
      <c r="D217" s="376" t="s">
        <v>3317</v>
      </c>
      <c r="E217" s="376"/>
      <c r="F217" s="376" t="s">
        <v>3317</v>
      </c>
      <c r="G217" s="376" t="s">
        <v>3317</v>
      </c>
      <c r="H217" s="689"/>
    </row>
    <row r="218" spans="1:10" s="477" customFormat="1" ht="18" hidden="1" customHeight="1" x14ac:dyDescent="0.25">
      <c r="A218" s="492"/>
      <c r="B218" s="580" t="s">
        <v>3734</v>
      </c>
      <c r="C218" s="149">
        <v>4000000000</v>
      </c>
      <c r="D218" s="403">
        <v>3974341000</v>
      </c>
      <c r="E218" s="403"/>
      <c r="F218" s="62">
        <f t="shared" si="12"/>
        <v>99.358525</v>
      </c>
      <c r="G218" s="570">
        <v>100</v>
      </c>
      <c r="H218" s="689"/>
    </row>
    <row r="219" spans="1:10" s="477" customFormat="1" ht="18.75" hidden="1" customHeight="1" x14ac:dyDescent="0.25">
      <c r="A219" s="492"/>
      <c r="B219" s="580" t="s">
        <v>3735</v>
      </c>
      <c r="C219" s="149">
        <v>1000000000</v>
      </c>
      <c r="D219" s="403">
        <v>984500000</v>
      </c>
      <c r="E219" s="403"/>
      <c r="F219" s="62">
        <f t="shared" si="12"/>
        <v>98.45</v>
      </c>
      <c r="G219" s="570">
        <v>100</v>
      </c>
      <c r="H219" s="689"/>
    </row>
    <row r="220" spans="1:10" s="477" customFormat="1" ht="15.75" hidden="1" customHeight="1" x14ac:dyDescent="0.25">
      <c r="A220" s="492"/>
      <c r="B220" s="580" t="s">
        <v>3736</v>
      </c>
      <c r="C220" s="149">
        <v>350000000</v>
      </c>
      <c r="D220" s="403">
        <v>349520292</v>
      </c>
      <c r="E220" s="403"/>
      <c r="F220" s="62">
        <f t="shared" si="12"/>
        <v>99.862940571428567</v>
      </c>
      <c r="G220" s="570">
        <v>100</v>
      </c>
      <c r="H220" s="689"/>
    </row>
    <row r="221" spans="1:10" s="477" customFormat="1" ht="18" hidden="1" customHeight="1" x14ac:dyDescent="0.25">
      <c r="A221" s="492"/>
      <c r="B221" s="580" t="s">
        <v>3737</v>
      </c>
      <c r="C221" s="149">
        <v>1000000000</v>
      </c>
      <c r="D221" s="149">
        <v>979137500</v>
      </c>
      <c r="E221" s="374"/>
      <c r="F221" s="62">
        <f t="shared" si="12"/>
        <v>97.913749999999993</v>
      </c>
      <c r="G221" s="149">
        <v>100</v>
      </c>
      <c r="H221" s="689"/>
    </row>
    <row r="222" spans="1:10" s="477" customFormat="1" ht="19.5" hidden="1" customHeight="1" x14ac:dyDescent="0.25">
      <c r="A222" s="492"/>
      <c r="B222" s="580" t="s">
        <v>3738</v>
      </c>
      <c r="C222" s="149">
        <v>4000000000</v>
      </c>
      <c r="D222" s="394">
        <v>1226050000</v>
      </c>
      <c r="E222" s="394"/>
      <c r="F222" s="169">
        <f t="shared" si="12"/>
        <v>30.651250000000001</v>
      </c>
      <c r="G222" s="1109">
        <v>30.651250000000001</v>
      </c>
      <c r="H222" s="693"/>
    </row>
    <row r="223" spans="1:10" ht="12" hidden="1" customHeight="1" x14ac:dyDescent="0.25">
      <c r="A223" s="495"/>
      <c r="B223" s="1159"/>
      <c r="C223" s="1160"/>
      <c r="D223" s="550"/>
      <c r="E223" s="550"/>
      <c r="F223" s="62"/>
      <c r="G223" s="407"/>
      <c r="H223" s="469"/>
    </row>
    <row r="224" spans="1:10" s="470" customFormat="1" ht="18" customHeight="1" x14ac:dyDescent="0.25">
      <c r="A224" s="493"/>
      <c r="B224" s="1156" t="s">
        <v>3739</v>
      </c>
      <c r="C224" s="150">
        <f>SUM(C225,C226)</f>
        <v>3000000000</v>
      </c>
      <c r="D224" s="150">
        <f>SUM(D225,D226)</f>
        <v>2928656500</v>
      </c>
      <c r="E224" s="247"/>
      <c r="F224" s="60">
        <f t="shared" si="12"/>
        <v>97.621883333333344</v>
      </c>
      <c r="G224" s="176">
        <f>SUM(G225:G226)/2</f>
        <v>100</v>
      </c>
      <c r="H224" s="471"/>
      <c r="J224" s="472"/>
    </row>
    <row r="225" spans="1:8" s="477" customFormat="1" ht="18.75" hidden="1" customHeight="1" x14ac:dyDescent="0.25">
      <c r="A225" s="492"/>
      <c r="B225" s="1161" t="s">
        <v>3740</v>
      </c>
      <c r="C225" s="374">
        <v>1500000000</v>
      </c>
      <c r="D225" s="403">
        <v>1467719000</v>
      </c>
      <c r="E225" s="403"/>
      <c r="F225" s="62">
        <f t="shared" si="12"/>
        <v>97.84793333333333</v>
      </c>
      <c r="G225" s="62">
        <v>100</v>
      </c>
      <c r="H225" s="689"/>
    </row>
    <row r="226" spans="1:8" s="477" customFormat="1" ht="21.75" hidden="1" customHeight="1" x14ac:dyDescent="0.25">
      <c r="A226" s="492"/>
      <c r="B226" s="580" t="s">
        <v>3741</v>
      </c>
      <c r="C226" s="149">
        <v>1500000000</v>
      </c>
      <c r="D226" s="394">
        <v>1460937500</v>
      </c>
      <c r="E226" s="403"/>
      <c r="F226" s="62">
        <f t="shared" si="12"/>
        <v>97.395833333333343</v>
      </c>
      <c r="G226" s="62">
        <v>100</v>
      </c>
      <c r="H226" s="689"/>
    </row>
    <row r="227" spans="1:8" s="477" customFormat="1" ht="12" hidden="1" customHeight="1" x14ac:dyDescent="0.25">
      <c r="A227" s="492"/>
      <c r="B227" s="1161"/>
      <c r="C227" s="374"/>
      <c r="D227" s="394"/>
      <c r="E227" s="403"/>
      <c r="F227" s="62"/>
      <c r="G227" s="62"/>
      <c r="H227" s="689"/>
    </row>
    <row r="228" spans="1:8" s="477" customFormat="1" ht="18" customHeight="1" thickBot="1" x14ac:dyDescent="0.3">
      <c r="A228" s="492"/>
      <c r="B228" s="1162" t="s">
        <v>3742</v>
      </c>
      <c r="C228" s="247">
        <f>SUM(C229:C234)</f>
        <v>34400000000</v>
      </c>
      <c r="D228" s="247">
        <f>SUM(D229:D234)</f>
        <v>22095646622</v>
      </c>
      <c r="E228" s="247"/>
      <c r="F228" s="60">
        <f t="shared" si="12"/>
        <v>64.231530877906977</v>
      </c>
      <c r="G228" s="60">
        <f>SUM(G229:G234)/6</f>
        <v>88.515000000000001</v>
      </c>
      <c r="H228" s="689"/>
    </row>
    <row r="229" spans="1:8" s="477" customFormat="1" ht="18" hidden="1" customHeight="1" x14ac:dyDescent="0.25">
      <c r="A229" s="492"/>
      <c r="B229" s="1161" t="s">
        <v>3743</v>
      </c>
      <c r="C229" s="374">
        <v>13400000000</v>
      </c>
      <c r="D229" s="394">
        <v>12809917000</v>
      </c>
      <c r="E229" s="403"/>
      <c r="F229" s="62">
        <f t="shared" si="12"/>
        <v>95.59639552238805</v>
      </c>
      <c r="G229" s="62">
        <v>100</v>
      </c>
      <c r="H229" s="689"/>
    </row>
    <row r="230" spans="1:8" s="477" customFormat="1" ht="18" hidden="1" customHeight="1" x14ac:dyDescent="0.25">
      <c r="A230" s="492"/>
      <c r="B230" s="1161" t="s">
        <v>3744</v>
      </c>
      <c r="C230" s="374">
        <v>16500000000</v>
      </c>
      <c r="D230" s="394">
        <v>5130419822</v>
      </c>
      <c r="E230" s="403"/>
      <c r="F230" s="62">
        <f t="shared" si="12"/>
        <v>31.093453466666666</v>
      </c>
      <c r="G230" s="62">
        <v>31.09</v>
      </c>
      <c r="H230" s="690"/>
    </row>
    <row r="231" spans="1:8" s="477" customFormat="1" ht="18" hidden="1" customHeight="1" x14ac:dyDescent="0.25">
      <c r="A231" s="492"/>
      <c r="B231" s="1161" t="s">
        <v>3745</v>
      </c>
      <c r="C231" s="374">
        <v>3600000000</v>
      </c>
      <c r="D231" s="394">
        <v>3292087000</v>
      </c>
      <c r="E231" s="403"/>
      <c r="F231" s="62">
        <f t="shared" si="12"/>
        <v>91.446861111111104</v>
      </c>
      <c r="G231" s="62">
        <v>100</v>
      </c>
      <c r="H231" s="689"/>
    </row>
    <row r="232" spans="1:8" s="477" customFormat="1" ht="18.75" hidden="1" customHeight="1" x14ac:dyDescent="0.25">
      <c r="A232" s="492"/>
      <c r="B232" s="1161" t="s">
        <v>3746</v>
      </c>
      <c r="C232" s="374">
        <v>300000000</v>
      </c>
      <c r="D232" s="149">
        <v>297220000</v>
      </c>
      <c r="E232" s="374"/>
      <c r="F232" s="62">
        <f t="shared" si="12"/>
        <v>99.073333333333338</v>
      </c>
      <c r="G232" s="62">
        <v>100</v>
      </c>
      <c r="H232" s="689"/>
    </row>
    <row r="233" spans="1:8" s="477" customFormat="1" ht="18.75" hidden="1" customHeight="1" x14ac:dyDescent="0.25">
      <c r="A233" s="492"/>
      <c r="B233" s="1161" t="s">
        <v>3747</v>
      </c>
      <c r="C233" s="374">
        <v>300000000</v>
      </c>
      <c r="D233" s="394">
        <v>297437800</v>
      </c>
      <c r="E233" s="403"/>
      <c r="F233" s="62">
        <f t="shared" si="12"/>
        <v>99.145933333333332</v>
      </c>
      <c r="G233" s="62">
        <v>100</v>
      </c>
      <c r="H233" s="689"/>
    </row>
    <row r="234" spans="1:8" s="477" customFormat="1" ht="21" hidden="1" customHeight="1" x14ac:dyDescent="0.25">
      <c r="A234" s="492"/>
      <c r="B234" s="1161" t="s">
        <v>3748</v>
      </c>
      <c r="C234" s="374">
        <v>300000000</v>
      </c>
      <c r="D234" s="149">
        <v>268565000</v>
      </c>
      <c r="E234" s="374"/>
      <c r="F234" s="62">
        <f t="shared" si="12"/>
        <v>89.521666666666661</v>
      </c>
      <c r="G234" s="62">
        <v>100</v>
      </c>
      <c r="H234" s="690"/>
    </row>
    <row r="235" spans="1:8" ht="12" hidden="1" customHeight="1" thickBot="1" x14ac:dyDescent="0.3">
      <c r="A235" s="496"/>
      <c r="B235" s="363"/>
      <c r="C235" s="411"/>
      <c r="D235" s="411"/>
      <c r="E235" s="411"/>
      <c r="F235" s="411"/>
      <c r="G235" s="411"/>
      <c r="H235" s="698"/>
    </row>
    <row r="236" spans="1:8" ht="23.25" customHeight="1" thickTop="1" thickBot="1" x14ac:dyDescent="0.3">
      <c r="A236" s="497"/>
      <c r="B236" s="391" t="s">
        <v>3061</v>
      </c>
      <c r="C236" s="551">
        <f t="shared" ref="C236:G236" si="13">C12</f>
        <v>1440553463000</v>
      </c>
      <c r="D236" s="551">
        <f t="shared" si="13"/>
        <v>1250670918001</v>
      </c>
      <c r="E236" s="549">
        <f>C236-D236</f>
        <v>189882544999</v>
      </c>
      <c r="F236" s="552">
        <f>D236/C236*100</f>
        <v>86.818778346236229</v>
      </c>
      <c r="G236" s="551">
        <f t="shared" si="13"/>
        <v>88.535025017152918</v>
      </c>
      <c r="H236" s="699"/>
    </row>
    <row r="237" spans="1:8" ht="11.25" customHeight="1" thickTop="1" x14ac:dyDescent="0.25">
      <c r="A237" s="498"/>
      <c r="B237" s="499"/>
      <c r="C237" s="553"/>
      <c r="D237" s="553"/>
      <c r="E237" s="553"/>
      <c r="F237" s="553"/>
      <c r="G237" s="553"/>
      <c r="H237" s="700"/>
    </row>
    <row r="238" spans="1:8" x14ac:dyDescent="0.25">
      <c r="A238" s="500"/>
      <c r="B238" s="501"/>
      <c r="C238" s="413"/>
      <c r="D238" s="413"/>
      <c r="E238" s="413"/>
      <c r="F238" s="413"/>
      <c r="G238" s="413"/>
      <c r="H238" s="701"/>
    </row>
    <row r="239" spans="1:8" x14ac:dyDescent="0.25">
      <c r="A239" s="500"/>
      <c r="B239" s="4752"/>
      <c r="C239" s="5048">
        <f>C236-D236</f>
        <v>189882544999</v>
      </c>
      <c r="D239" s="5018"/>
      <c r="E239" s="5018"/>
      <c r="F239" s="5018"/>
      <c r="G239" s="5018"/>
      <c r="H239" s="701"/>
    </row>
    <row r="240" spans="1:8" ht="15" customHeight="1" x14ac:dyDescent="0.25">
      <c r="A240" s="500"/>
      <c r="B240" s="396"/>
      <c r="C240" s="5032" t="s">
        <v>7956</v>
      </c>
      <c r="D240" s="5032"/>
      <c r="E240" s="5032"/>
      <c r="F240" s="5032"/>
      <c r="G240" s="5032"/>
      <c r="H240" s="5047"/>
    </row>
    <row r="241" spans="1:8" ht="15" customHeight="1" x14ac:dyDescent="0.25">
      <c r="A241" s="500"/>
      <c r="B241" s="4752"/>
      <c r="C241" s="5032" t="s">
        <v>3062</v>
      </c>
      <c r="D241" s="5032"/>
      <c r="E241" s="5032"/>
      <c r="F241" s="5032"/>
      <c r="G241" s="5032"/>
      <c r="H241" s="5047"/>
    </row>
    <row r="242" spans="1:8" x14ac:dyDescent="0.25">
      <c r="A242" s="500"/>
      <c r="B242" s="4752"/>
      <c r="C242" s="5018" t="s">
        <v>3063</v>
      </c>
      <c r="D242" s="5018"/>
      <c r="E242" s="5018"/>
      <c r="F242" s="5018"/>
      <c r="G242" s="5018"/>
      <c r="H242" s="5049"/>
    </row>
    <row r="243" spans="1:8" x14ac:dyDescent="0.25">
      <c r="A243" s="500"/>
      <c r="B243" s="4752"/>
      <c r="C243" s="4753"/>
      <c r="D243" s="4753"/>
      <c r="E243" s="4859"/>
      <c r="F243" s="4753"/>
      <c r="G243" s="4753"/>
      <c r="H243" s="4755"/>
    </row>
    <row r="244" spans="1:8" x14ac:dyDescent="0.25">
      <c r="A244" s="500"/>
      <c r="B244" s="397"/>
      <c r="C244" s="413"/>
      <c r="D244" s="413"/>
      <c r="E244" s="413"/>
      <c r="F244" s="413"/>
      <c r="G244" s="413"/>
      <c r="H244" s="701"/>
    </row>
    <row r="245" spans="1:8" x14ac:dyDescent="0.25">
      <c r="A245" s="500"/>
      <c r="B245" s="397"/>
      <c r="C245" s="413"/>
      <c r="D245" s="413"/>
      <c r="E245" s="413"/>
      <c r="F245" s="413"/>
      <c r="G245" s="413"/>
      <c r="H245" s="701"/>
    </row>
    <row r="246" spans="1:8" x14ac:dyDescent="0.25">
      <c r="A246" s="500"/>
      <c r="B246" s="397"/>
      <c r="C246" s="5032" t="s">
        <v>3064</v>
      </c>
      <c r="D246" s="5032"/>
      <c r="E246" s="5032"/>
      <c r="F246" s="5032"/>
      <c r="G246" s="5032"/>
      <c r="H246" s="5047"/>
    </row>
    <row r="247" spans="1:8" x14ac:dyDescent="0.25">
      <c r="A247" s="500"/>
      <c r="B247" s="397"/>
      <c r="C247" s="5050" t="s">
        <v>3778</v>
      </c>
      <c r="D247" s="5050"/>
      <c r="E247" s="5050"/>
      <c r="F247" s="5050"/>
      <c r="G247" s="5050"/>
      <c r="H247" s="5051"/>
    </row>
    <row r="248" spans="1:8" ht="15" customHeight="1" x14ac:dyDescent="0.25">
      <c r="A248" s="500"/>
      <c r="B248" s="397"/>
      <c r="C248" s="5046" t="s">
        <v>4174</v>
      </c>
      <c r="D248" s="5046"/>
      <c r="E248" s="5046"/>
      <c r="F248" s="5046"/>
      <c r="G248" s="5046"/>
      <c r="H248" s="5047"/>
    </row>
    <row r="249" spans="1:8" ht="15" customHeight="1" x14ac:dyDescent="0.25">
      <c r="A249" s="500"/>
      <c r="B249" s="397"/>
      <c r="C249" s="4512"/>
      <c r="D249" s="4512"/>
      <c r="E249" s="4512"/>
      <c r="F249" s="4512"/>
      <c r="H249" s="701"/>
    </row>
    <row r="250" spans="1:8" x14ac:dyDescent="0.25">
      <c r="A250" s="500"/>
      <c r="B250" s="397"/>
      <c r="C250" s="413"/>
      <c r="D250" s="413"/>
      <c r="E250" s="413"/>
      <c r="F250" s="413"/>
      <c r="G250" s="578"/>
      <c r="H250" s="701"/>
    </row>
    <row r="251" spans="1:8" x14ac:dyDescent="0.25">
      <c r="A251" s="500"/>
      <c r="B251" s="397"/>
      <c r="C251" s="413"/>
      <c r="D251" s="413"/>
      <c r="E251" s="413"/>
      <c r="F251" s="413"/>
      <c r="G251" s="578"/>
      <c r="H251" s="701"/>
    </row>
    <row r="252" spans="1:8" x14ac:dyDescent="0.25">
      <c r="A252" s="500"/>
      <c r="B252" s="397"/>
      <c r="C252" s="413"/>
      <c r="D252" s="413"/>
      <c r="E252" s="413"/>
      <c r="F252" s="413"/>
      <c r="G252" s="578"/>
      <c r="H252" s="701"/>
    </row>
    <row r="253" spans="1:8" x14ac:dyDescent="0.25">
      <c r="A253" s="500"/>
      <c r="B253" s="397"/>
      <c r="C253" s="413"/>
      <c r="D253" s="413"/>
      <c r="E253" s="413"/>
      <c r="F253" s="413"/>
      <c r="G253" s="578"/>
      <c r="H253" s="701"/>
    </row>
    <row r="254" spans="1:8" x14ac:dyDescent="0.25">
      <c r="A254" s="500"/>
      <c r="B254" s="397"/>
      <c r="C254" s="413"/>
      <c r="D254" s="413"/>
      <c r="E254" s="413"/>
      <c r="F254" s="413"/>
      <c r="G254" s="548"/>
      <c r="H254" s="701"/>
    </row>
    <row r="255" spans="1:8" x14ac:dyDescent="0.25">
      <c r="A255" s="500"/>
      <c r="B255" s="397"/>
      <c r="C255" s="413"/>
      <c r="D255" s="413"/>
      <c r="E255" s="413"/>
      <c r="F255" s="413"/>
      <c r="G255" s="548"/>
      <c r="H255" s="701"/>
    </row>
    <row r="256" spans="1:8" x14ac:dyDescent="0.25">
      <c r="A256" s="500"/>
      <c r="B256" s="397"/>
      <c r="C256" s="413"/>
      <c r="D256" s="413"/>
      <c r="E256" s="413"/>
      <c r="F256" s="413"/>
      <c r="G256" s="548"/>
      <c r="H256" s="701"/>
    </row>
    <row r="257" spans="1:8" x14ac:dyDescent="0.25">
      <c r="A257" s="500"/>
      <c r="B257" s="501"/>
      <c r="C257" s="413"/>
      <c r="D257" s="413"/>
      <c r="E257" s="413"/>
      <c r="F257" s="413"/>
      <c r="G257" s="578"/>
      <c r="H257" s="701"/>
    </row>
    <row r="258" spans="1:8" x14ac:dyDescent="0.25">
      <c r="A258" s="502"/>
      <c r="B258" s="503"/>
      <c r="C258" s="412"/>
      <c r="D258" s="412"/>
      <c r="E258" s="412"/>
      <c r="F258" s="412"/>
      <c r="G258" s="579"/>
      <c r="H258" s="702"/>
    </row>
  </sheetData>
  <mergeCells count="14">
    <mergeCell ref="C248:H248"/>
    <mergeCell ref="C239:G239"/>
    <mergeCell ref="C240:H240"/>
    <mergeCell ref="C241:H241"/>
    <mergeCell ref="C242:H242"/>
    <mergeCell ref="C246:H246"/>
    <mergeCell ref="C247:H247"/>
    <mergeCell ref="C8:G8"/>
    <mergeCell ref="H8:H9"/>
    <mergeCell ref="A1:H1"/>
    <mergeCell ref="A2:H2"/>
    <mergeCell ref="A3:H3"/>
    <mergeCell ref="A5:B5"/>
    <mergeCell ref="A6:B6"/>
  </mergeCells>
  <printOptions horizontalCentered="1"/>
  <pageMargins left="0" right="0" top="0.51181102362204722" bottom="0.74803149606299213" header="0.31496062992125984" footer="0.31496062992125984"/>
  <pageSetup paperSize="258" scale="65" fitToHeight="0" orientation="landscape" r:id="rId1"/>
  <headerFooter alignWithMargins="0">
    <oddFooter>&amp;R7 dari 7</oddFooter>
    <firstFooter>&amp;R2 dari 6</firstFooter>
  </headerFooter>
  <rowBreaks count="6" manualBreakCount="6">
    <brk id="39" max="6" man="1"/>
    <brk id="73" max="6" man="1"/>
    <brk id="113" max="6" man="1"/>
    <brk id="150" max="16383" man="1"/>
    <brk id="186" max="16383" man="1"/>
    <brk id="222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topLeftCell="A4" workbookViewId="0">
      <selection activeCell="E22" sqref="E22:F22"/>
    </sheetView>
  </sheetViews>
  <sheetFormatPr defaultRowHeight="15.75" x14ac:dyDescent="0.25"/>
  <cols>
    <col min="1" max="1" width="7.5703125" style="1002" customWidth="1"/>
    <col min="2" max="2" width="33.85546875" style="1002" customWidth="1"/>
    <col min="3" max="3" width="24" style="1002" customWidth="1"/>
    <col min="4" max="4" width="25.5703125" style="1002" customWidth="1"/>
    <col min="5" max="5" width="11.7109375" style="1002" customWidth="1"/>
    <col min="6" max="6" width="14.7109375" style="1002" customWidth="1"/>
    <col min="7" max="7" width="22.28515625" customWidth="1"/>
  </cols>
  <sheetData>
    <row r="1" spans="1:7" ht="39.75" customHeight="1" thickBot="1" x14ac:dyDescent="0.3">
      <c r="A1" s="4814" t="s">
        <v>7930</v>
      </c>
      <c r="B1" s="4814" t="s">
        <v>7941</v>
      </c>
      <c r="C1" s="4814" t="s">
        <v>7942</v>
      </c>
      <c r="D1" s="4814" t="s">
        <v>7943</v>
      </c>
      <c r="E1" s="4825" t="s">
        <v>7947</v>
      </c>
      <c r="F1" s="4815" t="s">
        <v>7948</v>
      </c>
      <c r="G1" s="4841" t="s">
        <v>7949</v>
      </c>
    </row>
    <row r="2" spans="1:7" ht="18" customHeight="1" x14ac:dyDescent="0.25">
      <c r="A2" s="4816" t="s">
        <v>7944</v>
      </c>
      <c r="B2" s="4817" t="s">
        <v>7945</v>
      </c>
      <c r="C2" s="4818">
        <v>250724149600</v>
      </c>
      <c r="D2" s="4818">
        <v>206111643346</v>
      </c>
      <c r="E2" s="4831">
        <f>SUM(D2/C2*100)</f>
        <v>82.206538011925119</v>
      </c>
      <c r="F2" s="4829">
        <v>84.110598795840161</v>
      </c>
      <c r="G2" s="4842">
        <f>SUM(C2-D2)</f>
        <v>44612506254</v>
      </c>
    </row>
    <row r="3" spans="1:7" ht="12.75" customHeight="1" x14ac:dyDescent="0.25">
      <c r="A3" s="4816"/>
      <c r="B3" s="4817"/>
      <c r="C3" s="4818"/>
      <c r="D3" s="4818"/>
      <c r="E3" s="4831"/>
      <c r="F3" s="4830"/>
      <c r="G3" s="210"/>
    </row>
    <row r="4" spans="1:7" x14ac:dyDescent="0.25">
      <c r="A4" s="4816" t="s">
        <v>7946</v>
      </c>
      <c r="B4" s="4817" t="s">
        <v>240</v>
      </c>
      <c r="C4" s="4818">
        <f>SUM(C5:C17)</f>
        <v>1980975030140</v>
      </c>
      <c r="D4" s="4818">
        <f>SUM(D5:D17)</f>
        <v>1821828515621</v>
      </c>
      <c r="E4" s="4831">
        <f t="shared" ref="E4:E22" si="0">SUM(D4/C4*100)</f>
        <v>91.966253380399607</v>
      </c>
      <c r="F4" s="4834">
        <f>SUM(F5+F6+F7+F8+F9+F10+F11+F12+F13+F14+F15+F16+F17)/13</f>
        <v>95.487740830195989</v>
      </c>
      <c r="G4" s="4843">
        <f>SUM(G5:G17)</f>
        <v>159146514519</v>
      </c>
    </row>
    <row r="5" spans="1:7" x14ac:dyDescent="0.25">
      <c r="A5" s="1132"/>
      <c r="B5" s="1132" t="s">
        <v>3198</v>
      </c>
      <c r="C5" s="4820">
        <v>183431447000</v>
      </c>
      <c r="D5" s="4820">
        <v>179084525000</v>
      </c>
      <c r="E5" s="4832">
        <f t="shared" si="0"/>
        <v>97.630219860828987</v>
      </c>
      <c r="F5" s="4830">
        <v>95.896940993788803</v>
      </c>
      <c r="G5" s="4844">
        <f>SUM(C5-D5)</f>
        <v>4346922000</v>
      </c>
    </row>
    <row r="6" spans="1:7" x14ac:dyDescent="0.25">
      <c r="A6" s="1132"/>
      <c r="B6" s="1132" t="s">
        <v>3199</v>
      </c>
      <c r="C6" s="4820">
        <v>178986879000</v>
      </c>
      <c r="D6" s="4820">
        <v>166326729756</v>
      </c>
      <c r="E6" s="4832">
        <f t="shared" si="0"/>
        <v>92.926772445705367</v>
      </c>
      <c r="F6" s="4830">
        <v>97.265607012035588</v>
      </c>
      <c r="G6" s="4844">
        <f t="shared" ref="G6:G19" si="1">SUM(C6-D6)</f>
        <v>12660149244</v>
      </c>
    </row>
    <row r="7" spans="1:7" x14ac:dyDescent="0.25">
      <c r="A7" s="1132"/>
      <c r="B7" s="1132" t="s">
        <v>3200</v>
      </c>
      <c r="C7" s="4820">
        <v>165355445000</v>
      </c>
      <c r="D7" s="4820">
        <v>154618920721</v>
      </c>
      <c r="E7" s="4832">
        <f t="shared" si="0"/>
        <v>93.507002881580348</v>
      </c>
      <c r="F7" s="4830">
        <v>98.60116048720927</v>
      </c>
      <c r="G7" s="4844">
        <f t="shared" si="1"/>
        <v>10736524279</v>
      </c>
    </row>
    <row r="8" spans="1:7" x14ac:dyDescent="0.25">
      <c r="A8" s="1132"/>
      <c r="B8" s="1132" t="s">
        <v>3201</v>
      </c>
      <c r="C8" s="4820">
        <v>164852857000</v>
      </c>
      <c r="D8" s="4820">
        <v>162433392836</v>
      </c>
      <c r="E8" s="4832">
        <f t="shared" si="0"/>
        <v>98.532349267080036</v>
      </c>
      <c r="F8" s="4830">
        <v>97.97803370464662</v>
      </c>
      <c r="G8" s="4844">
        <f t="shared" si="1"/>
        <v>2419464164</v>
      </c>
    </row>
    <row r="9" spans="1:7" x14ac:dyDescent="0.25">
      <c r="A9" s="1132"/>
      <c r="B9" s="1132" t="s">
        <v>3202</v>
      </c>
      <c r="C9" s="4820">
        <v>164029053000</v>
      </c>
      <c r="D9" s="4820">
        <v>140407661423</v>
      </c>
      <c r="E9" s="4832">
        <f t="shared" si="0"/>
        <v>85.599263578629575</v>
      </c>
      <c r="F9" s="4830">
        <v>94.694748665344704</v>
      </c>
      <c r="G9" s="4844">
        <f t="shared" si="1"/>
        <v>23621391577</v>
      </c>
    </row>
    <row r="10" spans="1:7" x14ac:dyDescent="0.25">
      <c r="A10" s="1132"/>
      <c r="B10" s="1132" t="s">
        <v>3203</v>
      </c>
      <c r="C10" s="4820">
        <v>153448669000</v>
      </c>
      <c r="D10" s="4820">
        <v>110033619200</v>
      </c>
      <c r="E10" s="4832">
        <f t="shared" si="0"/>
        <v>71.70711868475054</v>
      </c>
      <c r="F10" s="4830">
        <v>84.41915133477633</v>
      </c>
      <c r="G10" s="4844">
        <f t="shared" si="1"/>
        <v>43415049800</v>
      </c>
    </row>
    <row r="11" spans="1:7" x14ac:dyDescent="0.25">
      <c r="A11" s="1132"/>
      <c r="B11" s="1132" t="s">
        <v>3204</v>
      </c>
      <c r="C11" s="4820">
        <v>147784925000</v>
      </c>
      <c r="D11" s="4820">
        <v>139760450040</v>
      </c>
      <c r="E11" s="4832">
        <f t="shared" si="0"/>
        <v>94.570166774452801</v>
      </c>
      <c r="F11" s="4830">
        <v>90.366111111111096</v>
      </c>
      <c r="G11" s="4844">
        <f t="shared" si="1"/>
        <v>8024474960</v>
      </c>
    </row>
    <row r="12" spans="1:7" x14ac:dyDescent="0.25">
      <c r="A12" s="1132"/>
      <c r="B12" s="1132" t="s">
        <v>3205</v>
      </c>
      <c r="C12" s="4820">
        <v>146478382000</v>
      </c>
      <c r="D12" s="4820">
        <v>142794922849</v>
      </c>
      <c r="E12" s="4832">
        <f t="shared" si="0"/>
        <v>97.485322338555051</v>
      </c>
      <c r="F12" s="4830">
        <v>96.938768660714302</v>
      </c>
      <c r="G12" s="4844">
        <f t="shared" si="1"/>
        <v>3683459151</v>
      </c>
    </row>
    <row r="13" spans="1:7" x14ac:dyDescent="0.25">
      <c r="A13" s="1132"/>
      <c r="B13" s="1132" t="s">
        <v>3206</v>
      </c>
      <c r="C13" s="4820">
        <v>144432461000</v>
      </c>
      <c r="D13" s="4820">
        <v>134368004714</v>
      </c>
      <c r="E13" s="4832">
        <f t="shared" si="0"/>
        <v>93.03172138983355</v>
      </c>
      <c r="F13" s="4830">
        <v>98.642370345596859</v>
      </c>
      <c r="G13" s="4844">
        <f t="shared" si="1"/>
        <v>10064456286</v>
      </c>
    </row>
    <row r="14" spans="1:7" x14ac:dyDescent="0.25">
      <c r="A14" s="1132"/>
      <c r="B14" s="1132" t="s">
        <v>3207</v>
      </c>
      <c r="C14" s="4820">
        <v>138203382000</v>
      </c>
      <c r="D14" s="4820">
        <v>121271139475</v>
      </c>
      <c r="E14" s="4832">
        <f t="shared" si="0"/>
        <v>87.748315359605314</v>
      </c>
      <c r="F14" s="4830">
        <v>90.154173312068039</v>
      </c>
      <c r="G14" s="4844">
        <f t="shared" si="1"/>
        <v>16932242525</v>
      </c>
    </row>
    <row r="15" spans="1:7" x14ac:dyDescent="0.25">
      <c r="A15" s="1132"/>
      <c r="B15" s="1132" t="s">
        <v>3208</v>
      </c>
      <c r="C15" s="4820">
        <v>137286690000</v>
      </c>
      <c r="D15" s="4820">
        <v>132240735178</v>
      </c>
      <c r="E15" s="4832">
        <f t="shared" si="0"/>
        <v>96.324512724430903</v>
      </c>
      <c r="F15" s="4830">
        <v>98.933523266856596</v>
      </c>
      <c r="G15" s="4844">
        <f t="shared" si="1"/>
        <v>5045954822</v>
      </c>
    </row>
    <row r="16" spans="1:7" x14ac:dyDescent="0.25">
      <c r="A16" s="1132"/>
      <c r="B16" s="1132" t="s">
        <v>3209</v>
      </c>
      <c r="C16" s="4820">
        <v>128915048140</v>
      </c>
      <c r="D16" s="4820">
        <v>125370983089</v>
      </c>
      <c r="E16" s="4832">
        <f t="shared" si="0"/>
        <v>97.250852323189463</v>
      </c>
      <c r="F16" s="4830">
        <v>99.816176470588232</v>
      </c>
      <c r="G16" s="4844">
        <f t="shared" si="1"/>
        <v>3544065051</v>
      </c>
    </row>
    <row r="17" spans="1:7" x14ac:dyDescent="0.25">
      <c r="A17" s="1136"/>
      <c r="B17" s="1136" t="s">
        <v>3210</v>
      </c>
      <c r="C17" s="4821">
        <v>127769792000</v>
      </c>
      <c r="D17" s="4821">
        <v>113117431340</v>
      </c>
      <c r="E17" s="4832">
        <f t="shared" si="0"/>
        <v>88.532218429219952</v>
      </c>
      <c r="F17" s="4830">
        <v>97.633865427811372</v>
      </c>
      <c r="G17" s="4844">
        <f t="shared" si="1"/>
        <v>14652360660</v>
      </c>
    </row>
    <row r="18" spans="1:7" x14ac:dyDescent="0.25">
      <c r="A18" s="1132"/>
      <c r="B18" s="1132"/>
      <c r="C18" s="1132"/>
      <c r="D18" s="1132"/>
      <c r="E18" s="4827"/>
      <c r="F18" s="4830"/>
      <c r="G18" s="4844"/>
    </row>
    <row r="19" spans="1:7" x14ac:dyDescent="0.25">
      <c r="A19" s="4822" t="s">
        <v>7936</v>
      </c>
      <c r="B19" s="4806" t="s">
        <v>3060</v>
      </c>
      <c r="C19" s="4807">
        <v>250724149600</v>
      </c>
      <c r="D19" s="4807">
        <v>188043112200</v>
      </c>
      <c r="E19" s="4831">
        <f t="shared" si="0"/>
        <v>75</v>
      </c>
      <c r="F19" s="4834">
        <v>75</v>
      </c>
      <c r="G19" s="434">
        <f t="shared" si="1"/>
        <v>62681037400</v>
      </c>
    </row>
    <row r="20" spans="1:7" x14ac:dyDescent="0.25">
      <c r="A20" s="4822"/>
      <c r="B20" s="4809"/>
      <c r="C20" s="4810"/>
      <c r="D20" s="4811"/>
      <c r="E20" s="4808"/>
      <c r="F20" s="1132"/>
      <c r="G20" s="4844"/>
    </row>
    <row r="21" spans="1:7" ht="16.5" thickBot="1" x14ac:dyDescent="0.3">
      <c r="A21" s="4835" t="s">
        <v>7937</v>
      </c>
      <c r="B21" s="4812" t="s">
        <v>3565</v>
      </c>
      <c r="C21" s="4810">
        <v>24818166660</v>
      </c>
      <c r="D21" s="4810">
        <v>24818166660</v>
      </c>
      <c r="E21" s="4839">
        <f t="shared" si="0"/>
        <v>100</v>
      </c>
      <c r="F21" s="4813">
        <v>100</v>
      </c>
      <c r="G21" s="547">
        <v>0</v>
      </c>
    </row>
    <row r="22" spans="1:7" ht="24.75" customHeight="1" thickTop="1" thickBot="1" x14ac:dyDescent="0.3">
      <c r="A22" s="4823"/>
      <c r="B22" s="4837" t="s">
        <v>3061</v>
      </c>
      <c r="C22" s="4836">
        <f>SUM(C2+C4+C19+C21)</f>
        <v>2507241496000</v>
      </c>
      <c r="D22" s="4836">
        <f>SUM(D2+D4+D19+D21)</f>
        <v>2240801437827</v>
      </c>
      <c r="E22" s="4838">
        <f t="shared" si="0"/>
        <v>89.373179304902507</v>
      </c>
      <c r="F22" s="4840">
        <f>SUM(F2+F4+F19+F21)/4</f>
        <v>88.649584906509034</v>
      </c>
      <c r="G22" s="4840">
        <f>SUM(G2+G4+G19+G21)</f>
        <v>266440058173</v>
      </c>
    </row>
    <row r="23" spans="1:7" ht="16.5" thickBot="1" x14ac:dyDescent="0.3">
      <c r="D23" s="4833"/>
    </row>
    <row r="24" spans="1:7" ht="24" customHeight="1" x14ac:dyDescent="0.25">
      <c r="A24" s="4819"/>
      <c r="B24" s="4850" t="s">
        <v>7950</v>
      </c>
      <c r="C24" s="4819"/>
      <c r="D24" s="4819"/>
      <c r="E24" s="4819"/>
      <c r="F24" s="4819"/>
      <c r="G24" s="4805"/>
    </row>
    <row r="25" spans="1:7" ht="31.5" x14ac:dyDescent="0.25">
      <c r="A25" s="4847">
        <v>1</v>
      </c>
      <c r="B25" s="4848" t="s">
        <v>3579</v>
      </c>
      <c r="C25" s="4820">
        <v>1305791269700</v>
      </c>
      <c r="D25" s="4820">
        <v>1149837044988</v>
      </c>
      <c r="E25" s="4828">
        <f t="shared" ref="E25:E27" si="2">SUM(D25/C25*100)</f>
        <v>88.056726344339111</v>
      </c>
      <c r="F25" s="4849">
        <v>84.929896639119789</v>
      </c>
      <c r="G25" s="431">
        <f>C25-D25</f>
        <v>155954224712</v>
      </c>
    </row>
    <row r="26" spans="1:7" x14ac:dyDescent="0.25">
      <c r="A26" s="1132"/>
      <c r="B26" s="1132"/>
      <c r="C26" s="4820"/>
      <c r="D26" s="4820"/>
      <c r="E26" s="4826"/>
      <c r="F26" s="4849"/>
      <c r="G26" s="210"/>
    </row>
    <row r="27" spans="1:7" ht="23.25" customHeight="1" thickBot="1" x14ac:dyDescent="0.3">
      <c r="A27" s="4851">
        <v>2</v>
      </c>
      <c r="B27" s="1136" t="s">
        <v>3708</v>
      </c>
      <c r="C27" s="1160">
        <v>134762193300</v>
      </c>
      <c r="D27" s="1160">
        <v>100833873013</v>
      </c>
      <c r="E27" s="4852">
        <f t="shared" si="2"/>
        <v>74.823561819396417</v>
      </c>
      <c r="F27" s="571">
        <v>92.140153395186033</v>
      </c>
      <c r="G27" s="431">
        <f>C27-D27</f>
        <v>33928320287</v>
      </c>
    </row>
    <row r="28" spans="1:7" ht="27" customHeight="1" thickTop="1" thickBot="1" x14ac:dyDescent="0.3">
      <c r="A28" s="4824"/>
      <c r="B28" s="4853"/>
      <c r="C28" s="4854">
        <f>SUM(C25+C27)</f>
        <v>1440553463000</v>
      </c>
      <c r="D28" s="4854">
        <f>SUM(D25+D27)</f>
        <v>1250670918001</v>
      </c>
      <c r="E28" s="4838">
        <f>SUM(D28/C28*100)</f>
        <v>86.818778346236229</v>
      </c>
      <c r="F28" s="4840">
        <f>SUM(F25+F27)/2</f>
        <v>88.535025017152918</v>
      </c>
      <c r="G28" s="4854">
        <f>SUM(G25+G27)</f>
        <v>189882544999</v>
      </c>
    </row>
    <row r="31" spans="1:7" x14ac:dyDescent="0.25">
      <c r="C31" s="1221"/>
      <c r="D31" s="1221"/>
      <c r="E31" s="1221"/>
      <c r="F31" s="122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"/>
  <sheetViews>
    <sheetView workbookViewId="0">
      <selection activeCell="C7" sqref="C7"/>
    </sheetView>
  </sheetViews>
  <sheetFormatPr defaultRowHeight="15" x14ac:dyDescent="0.25"/>
  <cols>
    <col min="2" max="2" width="19.7109375" customWidth="1"/>
    <col min="3" max="3" width="20.85546875" customWidth="1"/>
    <col min="4" max="5" width="24.5703125" customWidth="1"/>
    <col min="6" max="6" width="20.28515625" customWidth="1"/>
    <col min="7" max="7" width="8.7109375" style="465" customWidth="1"/>
    <col min="11" max="11" width="20" customWidth="1"/>
    <col min="12" max="12" width="20.42578125" customWidth="1"/>
  </cols>
  <sheetData>
    <row r="1" spans="1:12" x14ac:dyDescent="0.25">
      <c r="A1" s="32" t="s">
        <v>6687</v>
      </c>
      <c r="B1" s="32" t="s">
        <v>6688</v>
      </c>
      <c r="C1" s="32" t="s">
        <v>6689</v>
      </c>
      <c r="D1" s="32" t="s">
        <v>6993</v>
      </c>
      <c r="E1" s="32" t="s">
        <v>7009</v>
      </c>
      <c r="F1" s="32" t="s">
        <v>6994</v>
      </c>
      <c r="G1" s="4263" t="s">
        <v>3570</v>
      </c>
    </row>
    <row r="2" spans="1:12" x14ac:dyDescent="0.25">
      <c r="A2" s="324">
        <v>1</v>
      </c>
      <c r="B2" t="s">
        <v>6674</v>
      </c>
      <c r="C2" s="512">
        <v>151574776000</v>
      </c>
      <c r="D2" s="512">
        <v>178986879000</v>
      </c>
      <c r="E2" s="512">
        <v>143189503200</v>
      </c>
      <c r="F2" s="465">
        <f t="shared" ref="F2:F9" si="0">SUM(C2-E2)</f>
        <v>8385272800</v>
      </c>
      <c r="G2" s="465">
        <f>SUM(F2/D2)*100</f>
        <v>4.6848533517364697</v>
      </c>
    </row>
    <row r="3" spans="1:12" x14ac:dyDescent="0.25">
      <c r="A3" s="324">
        <v>2</v>
      </c>
      <c r="B3" t="s">
        <v>6675</v>
      </c>
      <c r="C3" s="512">
        <v>138204815000</v>
      </c>
      <c r="D3" s="512">
        <v>164852857000</v>
      </c>
      <c r="E3" s="512">
        <v>164852857000</v>
      </c>
      <c r="F3" s="465">
        <f t="shared" si="0"/>
        <v>-26648042000</v>
      </c>
      <c r="G3" s="465">
        <f>SUM(F3/D3)*100</f>
        <v>-16.164743811507009</v>
      </c>
    </row>
    <row r="4" spans="1:12" x14ac:dyDescent="0.25">
      <c r="A4" s="324">
        <v>3</v>
      </c>
      <c r="B4" t="s">
        <v>6676</v>
      </c>
      <c r="C4" s="512">
        <v>137153760000</v>
      </c>
      <c r="D4" s="512">
        <v>183431447000</v>
      </c>
      <c r="E4" s="512">
        <v>183431447000</v>
      </c>
      <c r="F4" s="465">
        <f>SUM(C4-E4)</f>
        <v>-46277687000</v>
      </c>
      <c r="G4" s="465">
        <f t="shared" ref="G4:G15" si="1">SUM(F4/D4)*100</f>
        <v>-25.228873105929324</v>
      </c>
    </row>
    <row r="5" spans="1:12" x14ac:dyDescent="0.25">
      <c r="A5" s="324">
        <v>4</v>
      </c>
      <c r="B5" t="s">
        <v>6677</v>
      </c>
      <c r="C5" s="512">
        <v>128986258000</v>
      </c>
      <c r="D5" s="512">
        <v>165355445000</v>
      </c>
      <c r="E5" s="512">
        <v>165355445000</v>
      </c>
      <c r="F5" s="465">
        <f t="shared" si="0"/>
        <v>-36369187000</v>
      </c>
      <c r="G5" s="465">
        <f t="shared" si="1"/>
        <v>-21.994550587674933</v>
      </c>
    </row>
    <row r="6" spans="1:12" x14ac:dyDescent="0.25">
      <c r="A6" s="324">
        <v>5</v>
      </c>
      <c r="B6" t="s">
        <v>6678</v>
      </c>
      <c r="C6" s="512">
        <v>122746977000</v>
      </c>
      <c r="D6" s="512">
        <v>153448669000</v>
      </c>
      <c r="E6" s="512">
        <v>150000000000</v>
      </c>
      <c r="F6" s="465">
        <f t="shared" si="0"/>
        <v>-27253023000</v>
      </c>
      <c r="G6" s="465">
        <f t="shared" si="1"/>
        <v>-17.760351508816282</v>
      </c>
    </row>
    <row r="7" spans="1:12" x14ac:dyDescent="0.25">
      <c r="A7" s="324">
        <v>6</v>
      </c>
      <c r="B7" t="s">
        <v>6679</v>
      </c>
      <c r="C7" s="512">
        <v>121629554000</v>
      </c>
      <c r="D7" s="512">
        <v>164029053000</v>
      </c>
      <c r="E7" s="512">
        <v>163895553000</v>
      </c>
      <c r="F7" s="465">
        <f t="shared" si="0"/>
        <v>-42265999000</v>
      </c>
      <c r="G7" s="465">
        <f t="shared" si="1"/>
        <v>-25.767385854504688</v>
      </c>
    </row>
    <row r="8" spans="1:12" x14ac:dyDescent="0.25">
      <c r="A8" s="324">
        <v>7</v>
      </c>
      <c r="B8" t="s">
        <v>6680</v>
      </c>
      <c r="C8" s="512">
        <v>118779366000</v>
      </c>
      <c r="D8" s="512">
        <v>147784925000</v>
      </c>
      <c r="E8" s="512">
        <v>104000000000</v>
      </c>
      <c r="F8" s="465">
        <f t="shared" si="0"/>
        <v>14779366000</v>
      </c>
      <c r="G8" s="465">
        <f t="shared" si="1"/>
        <v>10.000591061639067</v>
      </c>
    </row>
    <row r="9" spans="1:12" x14ac:dyDescent="0.25">
      <c r="A9" s="4700">
        <v>6</v>
      </c>
      <c r="B9" s="33" t="s">
        <v>6681</v>
      </c>
      <c r="C9" s="4536">
        <v>118389902000</v>
      </c>
      <c r="D9" s="4536">
        <v>144432461000</v>
      </c>
      <c r="E9" s="4536">
        <v>135982130342</v>
      </c>
      <c r="F9" s="4537">
        <f t="shared" si="0"/>
        <v>-17592228342</v>
      </c>
      <c r="G9" s="4537">
        <f t="shared" si="1"/>
        <v>-12.180245507275544</v>
      </c>
      <c r="H9" s="33"/>
      <c r="L9" s="4535"/>
    </row>
    <row r="10" spans="1:12" x14ac:dyDescent="0.25">
      <c r="A10" s="324">
        <v>9</v>
      </c>
      <c r="B10" t="s">
        <v>6682</v>
      </c>
      <c r="C10" s="512">
        <v>117124750000</v>
      </c>
      <c r="D10" s="512">
        <v>146478382000</v>
      </c>
      <c r="E10" s="512">
        <v>139100000000</v>
      </c>
      <c r="F10" s="465">
        <f t="shared" ref="F10:F12" si="2">SUM(C10-E10)</f>
        <v>-21975250000</v>
      </c>
      <c r="G10" s="465">
        <f t="shared" si="1"/>
        <v>-15.00238444741969</v>
      </c>
      <c r="L10" s="4535"/>
    </row>
    <row r="11" spans="1:12" x14ac:dyDescent="0.25">
      <c r="A11" s="324">
        <v>10</v>
      </c>
      <c r="B11" t="s">
        <v>6683</v>
      </c>
      <c r="C11" s="512">
        <v>114128848000</v>
      </c>
      <c r="D11" s="512">
        <v>138203382000</v>
      </c>
      <c r="E11" s="512">
        <v>122919305000</v>
      </c>
      <c r="F11" s="465">
        <f t="shared" si="2"/>
        <v>-8790457000</v>
      </c>
      <c r="G11" s="465">
        <f t="shared" si="1"/>
        <v>-6.3605223495905472</v>
      </c>
      <c r="L11" s="4535"/>
    </row>
    <row r="12" spans="1:12" x14ac:dyDescent="0.25">
      <c r="A12" s="324">
        <v>11</v>
      </c>
      <c r="B12" t="s">
        <v>6684</v>
      </c>
      <c r="C12" s="512">
        <v>108005114000</v>
      </c>
      <c r="D12" s="512">
        <v>127769792000</v>
      </c>
      <c r="E12" s="512">
        <v>129059492000</v>
      </c>
      <c r="F12" s="465">
        <f t="shared" si="2"/>
        <v>-21054378000</v>
      </c>
      <c r="G12" s="465">
        <f t="shared" si="1"/>
        <v>-16.478369159433239</v>
      </c>
      <c r="L12" s="4535"/>
    </row>
    <row r="13" spans="1:12" x14ac:dyDescent="0.25">
      <c r="A13" s="324">
        <v>12</v>
      </c>
      <c r="B13" t="s">
        <v>6685</v>
      </c>
      <c r="C13" s="512">
        <v>103304292000</v>
      </c>
      <c r="D13" s="512">
        <v>137286690000</v>
      </c>
      <c r="E13" s="512">
        <v>137286690200</v>
      </c>
      <c r="F13" s="465">
        <f>SUM(C13-E13)</f>
        <v>-33982398200</v>
      </c>
      <c r="G13" s="465">
        <f t="shared" si="1"/>
        <v>-24.752871673138891</v>
      </c>
      <c r="L13" s="4535"/>
    </row>
    <row r="14" spans="1:12" ht="17.25" x14ac:dyDescent="0.4">
      <c r="A14" s="324">
        <v>13</v>
      </c>
      <c r="B14" t="s">
        <v>6686</v>
      </c>
      <c r="C14" s="4243">
        <v>102355632000</v>
      </c>
      <c r="D14" s="4243">
        <v>128915048140</v>
      </c>
      <c r="E14" s="4243">
        <v>128915048140</v>
      </c>
      <c r="F14" s="465">
        <f>SUM(C14-E14)</f>
        <v>-26559416140</v>
      </c>
      <c r="G14" s="4244">
        <f t="shared" si="1"/>
        <v>-20.602262127813685</v>
      </c>
      <c r="L14" s="4535"/>
    </row>
    <row r="15" spans="1:12" x14ac:dyDescent="0.25">
      <c r="C15" s="4245">
        <f>SUM(C2:C14)</f>
        <v>1582384044000</v>
      </c>
      <c r="D15" s="4245">
        <f>SUM(D2:D14)</f>
        <v>1980975030140</v>
      </c>
      <c r="E15" s="4245"/>
      <c r="F15" s="4245">
        <f>SUM(F2:F14)</f>
        <v>-285603426882</v>
      </c>
      <c r="G15" s="4246">
        <f t="shared" si="1"/>
        <v>-14.41731584379515</v>
      </c>
      <c r="L15" s="4535"/>
    </row>
    <row r="16" spans="1:12" x14ac:dyDescent="0.25">
      <c r="L16" s="4535"/>
    </row>
    <row r="17" spans="3:12" x14ac:dyDescent="0.25">
      <c r="D17" s="465"/>
      <c r="E17" s="465"/>
      <c r="L17" s="4535"/>
    </row>
    <row r="18" spans="3:12" x14ac:dyDescent="0.25">
      <c r="C18" s="465"/>
      <c r="L18" s="4535"/>
    </row>
    <row r="19" spans="3:12" x14ac:dyDescent="0.25">
      <c r="C19" s="465"/>
      <c r="L19" s="4535"/>
    </row>
    <row r="20" spans="3:12" x14ac:dyDescent="0.25">
      <c r="C20" s="465"/>
      <c r="L20" s="4535"/>
    </row>
    <row r="21" spans="3:12" x14ac:dyDescent="0.25">
      <c r="L21" s="4535"/>
    </row>
    <row r="22" spans="3:12" x14ac:dyDescent="0.25">
      <c r="L22" s="453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X60"/>
  <sheetViews>
    <sheetView view="pageBreakPreview" topLeftCell="B23" zoomScale="80" zoomScaleNormal="80" workbookViewId="0">
      <selection activeCell="D45" sqref="D45"/>
    </sheetView>
  </sheetViews>
  <sheetFormatPr defaultColWidth="8.85546875" defaultRowHeight="20.100000000000001" customHeight="1" x14ac:dyDescent="0.25"/>
  <cols>
    <col min="1" max="1" width="5.42578125" hidden="1" customWidth="1"/>
    <col min="2" max="2" width="6.28515625" style="228" customWidth="1"/>
    <col min="3" max="3" width="33.5703125" customWidth="1"/>
    <col min="4" max="4" width="23.42578125" style="44" customWidth="1"/>
    <col min="5" max="5" width="15.85546875" style="44" customWidth="1"/>
    <col min="6" max="6" width="15" style="44" customWidth="1"/>
    <col min="7" max="7" width="14.5703125" style="44" customWidth="1"/>
    <col min="8" max="8" width="15.140625" style="44" customWidth="1"/>
    <col min="9" max="9" width="14.42578125" style="44" customWidth="1"/>
    <col min="10" max="10" width="18.42578125" style="44" customWidth="1"/>
    <col min="11" max="11" width="13.85546875" style="44" customWidth="1"/>
    <col min="12" max="12" width="12.85546875" customWidth="1"/>
    <col min="15" max="15" width="0.140625" customWidth="1"/>
    <col min="16" max="16" width="8.85546875" hidden="1" customWidth="1"/>
    <col min="17" max="17" width="21.140625" customWidth="1"/>
    <col min="18" max="18" width="18.28515625" customWidth="1"/>
    <col min="19" max="19" width="21.140625" customWidth="1"/>
    <col min="21" max="21" width="20.42578125" customWidth="1"/>
    <col min="22" max="22" width="18.7109375" customWidth="1"/>
    <col min="23" max="23" width="24.42578125" customWidth="1"/>
    <col min="24" max="24" width="21.85546875" customWidth="1"/>
  </cols>
  <sheetData>
    <row r="1" spans="1:19" ht="23.25" customHeight="1" x14ac:dyDescent="0.25">
      <c r="B1" s="5053" t="s">
        <v>3186</v>
      </c>
      <c r="C1" s="5053"/>
      <c r="D1" s="5053"/>
      <c r="E1" s="5053"/>
      <c r="F1" s="5053"/>
      <c r="G1" s="5053"/>
      <c r="H1" s="5053"/>
      <c r="I1" s="5053"/>
      <c r="J1" s="5053"/>
      <c r="K1" s="5053"/>
      <c r="L1" s="5053"/>
    </row>
    <row r="2" spans="1:19" ht="20.100000000000001" customHeight="1" x14ac:dyDescent="0.25">
      <c r="B2" s="5054" t="s">
        <v>3187</v>
      </c>
      <c r="C2" s="5054"/>
      <c r="D2" s="5054"/>
      <c r="E2" s="5054"/>
      <c r="F2" s="5054"/>
      <c r="G2" s="5054"/>
      <c r="H2" s="5054"/>
      <c r="I2" s="5054"/>
      <c r="J2" s="5054"/>
      <c r="K2" s="5054"/>
      <c r="L2" s="5054"/>
    </row>
    <row r="3" spans="1:19" ht="19.5" customHeight="1" x14ac:dyDescent="0.25">
      <c r="B3" s="5054" t="s">
        <v>4107</v>
      </c>
      <c r="C3" s="5054"/>
      <c r="D3" s="5054"/>
      <c r="E3" s="5054"/>
      <c r="F3" s="5054"/>
      <c r="G3" s="5054"/>
      <c r="H3" s="5054"/>
      <c r="I3" s="5054"/>
      <c r="J3" s="5054"/>
      <c r="K3" s="5054"/>
      <c r="L3" s="5054"/>
    </row>
    <row r="4" spans="1:19" ht="12.75" customHeight="1" x14ac:dyDescent="0.25"/>
    <row r="5" spans="1:19" ht="15" x14ac:dyDescent="0.25">
      <c r="B5" s="5055" t="s">
        <v>3188</v>
      </c>
      <c r="C5" s="5055"/>
      <c r="D5" s="5055"/>
      <c r="E5" s="5055"/>
      <c r="F5" s="5055"/>
      <c r="G5" s="5055"/>
      <c r="H5" s="5055"/>
      <c r="I5" s="5055"/>
      <c r="J5" s="5055"/>
      <c r="K5" s="5055"/>
      <c r="L5" s="5055"/>
    </row>
    <row r="6" spans="1:19" ht="20.25" x14ac:dyDescent="0.3">
      <c r="B6" s="5055" t="s">
        <v>4108</v>
      </c>
      <c r="C6" s="5055"/>
      <c r="D6" s="5055"/>
      <c r="E6" s="5055"/>
      <c r="F6" s="5055"/>
      <c r="G6" s="4748"/>
      <c r="H6" s="4748"/>
      <c r="I6" s="4748"/>
      <c r="J6" s="4748"/>
      <c r="K6" s="4748"/>
      <c r="L6" s="268" t="s">
        <v>3189</v>
      </c>
    </row>
    <row r="7" spans="1:19" ht="15" x14ac:dyDescent="0.25">
      <c r="B7" s="5052" t="s">
        <v>3190</v>
      </c>
      <c r="C7" s="5052"/>
      <c r="D7" s="5052"/>
      <c r="E7" s="5052"/>
      <c r="F7" s="5052"/>
      <c r="G7" s="5052"/>
      <c r="H7" s="5052"/>
      <c r="I7" s="5052"/>
      <c r="J7" s="5052"/>
      <c r="K7" s="5052"/>
      <c r="L7" s="5052"/>
    </row>
    <row r="8" spans="1:19" ht="6.75" customHeight="1" thickBot="1" x14ac:dyDescent="0.3">
      <c r="B8" s="4747"/>
      <c r="C8" s="4747"/>
      <c r="D8" s="4747"/>
      <c r="E8" s="4747"/>
      <c r="F8" s="4747"/>
      <c r="G8" s="4747"/>
      <c r="H8" s="4747"/>
      <c r="I8" s="4747"/>
      <c r="J8" s="4747"/>
      <c r="K8" s="4747"/>
      <c r="L8" s="4747"/>
    </row>
    <row r="9" spans="1:19" ht="16.5" thickTop="1" thickBot="1" x14ac:dyDescent="0.3">
      <c r="B9" s="5066" t="s">
        <v>6</v>
      </c>
      <c r="C9" s="5066" t="s">
        <v>7</v>
      </c>
      <c r="D9" s="5069" t="s">
        <v>8</v>
      </c>
      <c r="E9" s="5070"/>
      <c r="F9" s="5071" t="s">
        <v>9</v>
      </c>
      <c r="G9" s="5072"/>
      <c r="H9" s="5073"/>
      <c r="I9" s="5071" t="s">
        <v>10</v>
      </c>
      <c r="J9" s="5072"/>
      <c r="K9" s="5073"/>
      <c r="L9" s="5056" t="s">
        <v>11</v>
      </c>
      <c r="M9" s="20"/>
    </row>
    <row r="10" spans="1:19" ht="21.75" customHeight="1" thickBot="1" x14ac:dyDescent="0.3">
      <c r="B10" s="5067"/>
      <c r="C10" s="5067"/>
      <c r="D10" s="5059" t="s">
        <v>7919</v>
      </c>
      <c r="E10" s="5060"/>
      <c r="F10" s="5061" t="s">
        <v>7919</v>
      </c>
      <c r="G10" s="5062"/>
      <c r="H10" s="5063"/>
      <c r="I10" s="5061" t="s">
        <v>7920</v>
      </c>
      <c r="J10" s="5062"/>
      <c r="K10" s="5063"/>
      <c r="L10" s="5057"/>
      <c r="M10" s="20"/>
    </row>
    <row r="11" spans="1:19" s="45" customFormat="1" ht="63" customHeight="1" thickBot="1" x14ac:dyDescent="0.25">
      <c r="B11" s="5067"/>
      <c r="C11" s="5067"/>
      <c r="D11" s="5064" t="s">
        <v>3191</v>
      </c>
      <c r="E11" s="5064" t="s">
        <v>3192</v>
      </c>
      <c r="F11" s="5064" t="s">
        <v>12</v>
      </c>
      <c r="G11" s="5064" t="s">
        <v>3193</v>
      </c>
      <c r="H11" s="5064" t="s">
        <v>3194</v>
      </c>
      <c r="I11" s="5064" t="s">
        <v>12</v>
      </c>
      <c r="J11" s="5064" t="s">
        <v>3193</v>
      </c>
      <c r="K11" s="5074" t="s">
        <v>3194</v>
      </c>
      <c r="L11" s="5057"/>
      <c r="M11" s="269"/>
    </row>
    <row r="12" spans="1:19" s="45" customFormat="1" ht="4.5" customHeight="1" thickBot="1" x14ac:dyDescent="0.25">
      <c r="B12" s="5068"/>
      <c r="C12" s="5068"/>
      <c r="D12" s="5065"/>
      <c r="E12" s="5065"/>
      <c r="F12" s="5065"/>
      <c r="G12" s="5065"/>
      <c r="H12" s="5065"/>
      <c r="I12" s="5065"/>
      <c r="J12" s="5065"/>
      <c r="K12" s="5075"/>
      <c r="L12" s="5058"/>
      <c r="M12" s="269"/>
    </row>
    <row r="13" spans="1:19" ht="20.100000000000001" customHeight="1" thickTop="1" thickBot="1" x14ac:dyDescent="0.3">
      <c r="B13" s="270" t="s">
        <v>19</v>
      </c>
      <c r="C13" s="271" t="s">
        <v>20</v>
      </c>
      <c r="D13" s="272" t="s">
        <v>21</v>
      </c>
      <c r="E13" s="272" t="s">
        <v>22</v>
      </c>
      <c r="F13" s="272" t="s">
        <v>23</v>
      </c>
      <c r="G13" s="272" t="s">
        <v>24</v>
      </c>
      <c r="H13" s="272" t="s">
        <v>25</v>
      </c>
      <c r="I13" s="272" t="s">
        <v>26</v>
      </c>
      <c r="J13" s="272" t="s">
        <v>27</v>
      </c>
      <c r="K13" s="272" t="s">
        <v>28</v>
      </c>
      <c r="L13" s="273" t="s">
        <v>29</v>
      </c>
      <c r="Q13" s="223"/>
      <c r="R13" s="223"/>
      <c r="S13" s="223"/>
    </row>
    <row r="14" spans="1:19" ht="4.5" customHeight="1" thickTop="1" x14ac:dyDescent="0.25">
      <c r="B14" s="274"/>
      <c r="C14" s="275"/>
      <c r="D14" s="276"/>
      <c r="E14" s="276"/>
      <c r="F14" s="276"/>
      <c r="G14" s="276"/>
      <c r="H14" s="276"/>
      <c r="I14" s="276"/>
      <c r="J14" s="276"/>
      <c r="K14" s="276"/>
      <c r="L14" s="277"/>
      <c r="Q14" s="223"/>
      <c r="R14" s="223"/>
      <c r="S14" s="223"/>
    </row>
    <row r="15" spans="1:19" ht="17.100000000000001" customHeight="1" x14ac:dyDescent="0.25">
      <c r="A15" s="32"/>
      <c r="B15" s="4760" t="s">
        <v>3195</v>
      </c>
      <c r="C15" s="278" t="s">
        <v>3196</v>
      </c>
      <c r="D15" s="220">
        <f>185815544334+4905000</f>
        <v>185820449334</v>
      </c>
      <c r="E15" s="279">
        <f>D15/2512247400000*100</f>
        <v>7.3965824119869721</v>
      </c>
      <c r="F15" s="220"/>
      <c r="G15" s="504"/>
      <c r="H15" s="282"/>
      <c r="I15" s="281"/>
      <c r="J15" s="281"/>
      <c r="K15" s="282"/>
      <c r="L15" s="283"/>
      <c r="Q15" s="223"/>
      <c r="R15" s="223"/>
      <c r="S15" s="223"/>
    </row>
    <row r="16" spans="1:19" ht="12" customHeight="1" x14ac:dyDescent="0.25">
      <c r="A16" s="32"/>
      <c r="B16" s="4760"/>
      <c r="C16" s="284"/>
      <c r="D16" s="279"/>
      <c r="E16" s="279"/>
      <c r="F16" s="279"/>
      <c r="G16" s="279"/>
      <c r="H16" s="282"/>
      <c r="I16" s="281"/>
      <c r="J16" s="281"/>
      <c r="K16" s="282"/>
      <c r="L16" s="283"/>
      <c r="Q16" s="223"/>
      <c r="R16" s="223"/>
      <c r="S16" s="223"/>
    </row>
    <row r="17" spans="1:24" ht="17.100000000000001" customHeight="1" x14ac:dyDescent="0.25">
      <c r="A17" s="32"/>
      <c r="B17" s="4760" t="s">
        <v>3197</v>
      </c>
      <c r="C17" s="284" t="s">
        <v>240</v>
      </c>
      <c r="D17" s="279">
        <f>SUM(D18:D30)</f>
        <v>1582384044000</v>
      </c>
      <c r="E17" s="279">
        <f>SUM(D17/2512247400000*100)</f>
        <v>62.986791985534538</v>
      </c>
      <c r="F17" s="279">
        <f>SUM(F18:F30)</f>
        <v>0</v>
      </c>
      <c r="G17" s="279">
        <f>SUM(G18:G30)</f>
        <v>0</v>
      </c>
      <c r="H17" s="282"/>
      <c r="I17" s="279"/>
      <c r="J17" s="279"/>
      <c r="K17" s="282"/>
      <c r="L17" s="283"/>
      <c r="Q17" s="223">
        <f>0.3*F17</f>
        <v>0</v>
      </c>
      <c r="R17" s="223">
        <f>0.45*F17</f>
        <v>0</v>
      </c>
      <c r="S17" s="223">
        <f>0.25*F17</f>
        <v>0</v>
      </c>
    </row>
    <row r="18" spans="1:24" ht="17.100000000000001" customHeight="1" x14ac:dyDescent="0.25">
      <c r="A18" s="32"/>
      <c r="B18" s="4760"/>
      <c r="C18" s="4738" t="s">
        <v>7910</v>
      </c>
      <c r="D18" s="285">
        <v>151574776000</v>
      </c>
      <c r="E18" s="286">
        <f t="shared" ref="E18:E30" si="0">SUM(D18/2512247400000*100)</f>
        <v>6.0334334906665639</v>
      </c>
      <c r="F18" s="285"/>
      <c r="G18" s="283"/>
      <c r="H18" s="287"/>
      <c r="I18" s="283"/>
      <c r="J18" s="283"/>
      <c r="K18" s="287"/>
      <c r="L18" s="283"/>
      <c r="Q18" s="223">
        <f>0.3*F18</f>
        <v>0</v>
      </c>
      <c r="R18" s="223">
        <f>0.45*F18</f>
        <v>0</v>
      </c>
      <c r="S18" s="223">
        <f>0.25*F18</f>
        <v>0</v>
      </c>
      <c r="U18" s="227">
        <v>52425155400</v>
      </c>
      <c r="V18" s="227">
        <v>78637733100</v>
      </c>
      <c r="W18" s="288">
        <f>SUM(U18:V18)</f>
        <v>131062888500</v>
      </c>
      <c r="X18" s="288">
        <f>SUM(W18*70%)</f>
        <v>91744021950</v>
      </c>
    </row>
    <row r="19" spans="1:24" ht="17.100000000000001" customHeight="1" x14ac:dyDescent="0.25">
      <c r="A19" s="32"/>
      <c r="B19" s="4760"/>
      <c r="C19" s="4738" t="s">
        <v>7911</v>
      </c>
      <c r="D19" s="285">
        <v>138204815000</v>
      </c>
      <c r="E19" s="286">
        <f t="shared" si="0"/>
        <v>5.5012422343436391</v>
      </c>
      <c r="F19" s="285"/>
      <c r="G19" s="283"/>
      <c r="H19" s="287"/>
      <c r="I19" s="283"/>
      <c r="J19" s="283"/>
      <c r="K19" s="287"/>
      <c r="L19" s="283"/>
      <c r="Q19" s="223">
        <f t="shared" ref="Q19:Q30" si="1">0.3*F19</f>
        <v>0</v>
      </c>
      <c r="R19" s="223">
        <f t="shared" ref="R19:R30" si="2">0.45*F19</f>
        <v>0</v>
      </c>
      <c r="S19" s="223">
        <f t="shared" ref="S19:S30" si="3">0.25*F19</f>
        <v>0</v>
      </c>
    </row>
    <row r="20" spans="1:24" ht="17.100000000000001" customHeight="1" x14ac:dyDescent="0.25">
      <c r="A20" s="32"/>
      <c r="B20" s="4760"/>
      <c r="C20" s="4738" t="s">
        <v>7912</v>
      </c>
      <c r="D20" s="285">
        <v>137153760000</v>
      </c>
      <c r="E20" s="286">
        <f t="shared" si="0"/>
        <v>5.4594049933139548</v>
      </c>
      <c r="F20" s="285"/>
      <c r="G20" s="283"/>
      <c r="H20" s="287"/>
      <c r="I20" s="283"/>
      <c r="J20" s="283"/>
      <c r="K20" s="287"/>
      <c r="L20" s="283"/>
      <c r="Q20" s="223">
        <f t="shared" si="1"/>
        <v>0</v>
      </c>
      <c r="R20" s="223">
        <f t="shared" si="2"/>
        <v>0</v>
      </c>
      <c r="S20" s="223">
        <f t="shared" si="3"/>
        <v>0</v>
      </c>
    </row>
    <row r="21" spans="1:24" ht="17.100000000000001" customHeight="1" x14ac:dyDescent="0.25">
      <c r="A21" s="32"/>
      <c r="B21" s="4761"/>
      <c r="C21" s="4739" t="s">
        <v>7913</v>
      </c>
      <c r="D21" s="289">
        <v>128986258000</v>
      </c>
      <c r="E21" s="286">
        <f t="shared" si="0"/>
        <v>5.134297601422535</v>
      </c>
      <c r="F21" s="289"/>
      <c r="G21" s="283"/>
      <c r="H21" s="287"/>
      <c r="I21" s="283"/>
      <c r="J21" s="283"/>
      <c r="K21" s="287"/>
      <c r="L21" s="283"/>
      <c r="Q21" s="223">
        <f t="shared" si="1"/>
        <v>0</v>
      </c>
      <c r="R21" s="223">
        <f t="shared" si="2"/>
        <v>0</v>
      </c>
      <c r="S21" s="223">
        <f t="shared" si="3"/>
        <v>0</v>
      </c>
    </row>
    <row r="22" spans="1:24" ht="17.100000000000001" customHeight="1" x14ac:dyDescent="0.25">
      <c r="A22" s="32"/>
      <c r="B22" s="4760"/>
      <c r="C22" s="4740" t="s">
        <v>7914</v>
      </c>
      <c r="D22" s="289">
        <v>122746977000</v>
      </c>
      <c r="E22" s="286">
        <f t="shared" si="0"/>
        <v>4.885943040482398</v>
      </c>
      <c r="F22" s="289"/>
      <c r="G22" s="283"/>
      <c r="H22" s="287"/>
      <c r="I22" s="283"/>
      <c r="J22" s="283"/>
      <c r="K22" s="287"/>
      <c r="L22" s="283"/>
      <c r="Q22" s="223">
        <f t="shared" si="1"/>
        <v>0</v>
      </c>
      <c r="R22" s="223">
        <f t="shared" si="2"/>
        <v>0</v>
      </c>
      <c r="S22" s="223">
        <f t="shared" si="3"/>
        <v>0</v>
      </c>
    </row>
    <row r="23" spans="1:24" ht="17.100000000000001" customHeight="1" x14ac:dyDescent="0.25">
      <c r="A23" s="32"/>
      <c r="B23" s="4760"/>
      <c r="C23" s="4740" t="s">
        <v>7915</v>
      </c>
      <c r="D23" s="289">
        <v>121629554000</v>
      </c>
      <c r="E23" s="286">
        <f t="shared" si="0"/>
        <v>4.8414640214176359</v>
      </c>
      <c r="F23" s="289"/>
      <c r="G23" s="283"/>
      <c r="H23" s="287"/>
      <c r="I23" s="283"/>
      <c r="J23" s="283"/>
      <c r="K23" s="287"/>
      <c r="L23" s="283"/>
      <c r="Q23" s="223">
        <f t="shared" si="1"/>
        <v>0</v>
      </c>
      <c r="R23" s="223">
        <f t="shared" si="2"/>
        <v>0</v>
      </c>
      <c r="S23" s="223">
        <f t="shared" si="3"/>
        <v>0</v>
      </c>
    </row>
    <row r="24" spans="1:24" ht="17.100000000000001" customHeight="1" x14ac:dyDescent="0.25">
      <c r="A24" s="32"/>
      <c r="B24" s="4760"/>
      <c r="C24" s="4740" t="s">
        <v>7916</v>
      </c>
      <c r="D24" s="289">
        <v>118779366000</v>
      </c>
      <c r="E24" s="286">
        <f t="shared" si="0"/>
        <v>4.7280122968780862</v>
      </c>
      <c r="F24" s="289"/>
      <c r="G24" s="283"/>
      <c r="H24" s="287"/>
      <c r="I24" s="283"/>
      <c r="J24" s="283"/>
      <c r="K24" s="287"/>
      <c r="L24" s="283"/>
      <c r="Q24" s="223">
        <f t="shared" si="1"/>
        <v>0</v>
      </c>
      <c r="R24" s="223">
        <f t="shared" si="2"/>
        <v>0</v>
      </c>
      <c r="S24" s="223">
        <f t="shared" si="3"/>
        <v>0</v>
      </c>
    </row>
    <row r="25" spans="1:24" ht="17.100000000000001" customHeight="1" x14ac:dyDescent="0.25">
      <c r="A25" s="32"/>
      <c r="B25" s="4762"/>
      <c r="C25" s="15" t="s">
        <v>7917</v>
      </c>
      <c r="D25" s="290">
        <v>118389902000</v>
      </c>
      <c r="E25" s="286">
        <f t="shared" si="0"/>
        <v>4.7125096835606239</v>
      </c>
      <c r="F25" s="290"/>
      <c r="G25" s="283"/>
      <c r="H25" s="287"/>
      <c r="I25" s="283"/>
      <c r="J25" s="283"/>
      <c r="K25" s="287"/>
      <c r="L25" s="283"/>
      <c r="M25" s="291"/>
      <c r="N25" s="292"/>
      <c r="Q25" s="223">
        <f t="shared" si="1"/>
        <v>0</v>
      </c>
      <c r="R25" s="223">
        <f t="shared" si="2"/>
        <v>0</v>
      </c>
      <c r="S25" s="223">
        <f t="shared" si="3"/>
        <v>0</v>
      </c>
    </row>
    <row r="26" spans="1:24" ht="17.100000000000001" customHeight="1" x14ac:dyDescent="0.25">
      <c r="A26" s="32"/>
      <c r="B26" s="4762"/>
      <c r="C26" s="15" t="s">
        <v>7918</v>
      </c>
      <c r="D26" s="290">
        <v>117124750000</v>
      </c>
      <c r="E26" s="286">
        <f t="shared" si="0"/>
        <v>4.6621503121070003</v>
      </c>
      <c r="F26" s="290"/>
      <c r="G26" s="283"/>
      <c r="H26" s="287"/>
      <c r="I26" s="283"/>
      <c r="J26" s="283"/>
      <c r="K26" s="287"/>
      <c r="L26" s="283"/>
      <c r="M26" s="291"/>
      <c r="N26" s="292"/>
      <c r="Q26" s="223">
        <f t="shared" si="1"/>
        <v>0</v>
      </c>
      <c r="R26" s="223">
        <f t="shared" si="2"/>
        <v>0</v>
      </c>
      <c r="S26" s="223">
        <f>0.25*F26</f>
        <v>0</v>
      </c>
    </row>
    <row r="27" spans="1:24" ht="17.100000000000001" customHeight="1" x14ac:dyDescent="0.25">
      <c r="A27" s="32"/>
      <c r="B27" s="4762"/>
      <c r="C27" s="15" t="s">
        <v>7906</v>
      </c>
      <c r="D27" s="290">
        <v>114128848000</v>
      </c>
      <c r="E27" s="286">
        <f t="shared" si="0"/>
        <v>4.5428984422473677</v>
      </c>
      <c r="F27" s="290"/>
      <c r="G27" s="283"/>
      <c r="H27" s="287"/>
      <c r="I27" s="283"/>
      <c r="J27" s="283"/>
      <c r="K27" s="287"/>
      <c r="L27" s="283"/>
      <c r="M27" s="291"/>
      <c r="N27" s="292"/>
      <c r="Q27" s="223">
        <f t="shared" si="1"/>
        <v>0</v>
      </c>
      <c r="R27" s="223">
        <f t="shared" si="2"/>
        <v>0</v>
      </c>
      <c r="S27" s="223">
        <f t="shared" si="3"/>
        <v>0</v>
      </c>
    </row>
    <row r="28" spans="1:24" ht="17.100000000000001" customHeight="1" x14ac:dyDescent="0.25">
      <c r="A28" s="32"/>
      <c r="B28" s="427"/>
      <c r="C28" s="21" t="s">
        <v>7907</v>
      </c>
      <c r="D28" s="290">
        <v>108005114000</v>
      </c>
      <c r="E28" s="286">
        <f t="shared" si="0"/>
        <v>4.2991432292854599</v>
      </c>
      <c r="F28" s="290"/>
      <c r="G28" s="283"/>
      <c r="H28" s="287"/>
      <c r="I28" s="283"/>
      <c r="J28" s="283"/>
      <c r="K28" s="287"/>
      <c r="L28" s="283"/>
      <c r="M28" s="291"/>
      <c r="N28" s="292"/>
      <c r="Q28" s="223">
        <f t="shared" si="1"/>
        <v>0</v>
      </c>
      <c r="R28" s="223">
        <f t="shared" si="2"/>
        <v>0</v>
      </c>
      <c r="S28" s="223">
        <f t="shared" si="3"/>
        <v>0</v>
      </c>
    </row>
    <row r="29" spans="1:24" ht="17.100000000000001" customHeight="1" x14ac:dyDescent="0.25">
      <c r="A29" s="32"/>
      <c r="B29" s="509"/>
      <c r="C29" s="21" t="s">
        <v>7908</v>
      </c>
      <c r="D29" s="290">
        <v>103304292000</v>
      </c>
      <c r="E29" s="286">
        <f t="shared" si="0"/>
        <v>4.1120270240900636</v>
      </c>
      <c r="F29" s="290"/>
      <c r="G29" s="283"/>
      <c r="H29" s="287"/>
      <c r="I29" s="283"/>
      <c r="J29" s="283"/>
      <c r="K29" s="287"/>
      <c r="L29" s="283"/>
      <c r="M29" s="291"/>
      <c r="N29" s="292"/>
      <c r="Q29" s="223">
        <f t="shared" si="1"/>
        <v>0</v>
      </c>
      <c r="R29" s="223">
        <f t="shared" si="2"/>
        <v>0</v>
      </c>
      <c r="S29" s="223">
        <f t="shared" si="3"/>
        <v>0</v>
      </c>
    </row>
    <row r="30" spans="1:24" ht="17.100000000000001" customHeight="1" x14ac:dyDescent="0.25">
      <c r="A30" s="32"/>
      <c r="B30" s="509"/>
      <c r="C30" s="21" t="s">
        <v>7909</v>
      </c>
      <c r="D30" s="290">
        <v>102355632000</v>
      </c>
      <c r="E30" s="286">
        <f t="shared" si="0"/>
        <v>4.0742656157192165</v>
      </c>
      <c r="F30" s="290"/>
      <c r="G30" s="283"/>
      <c r="H30" s="287"/>
      <c r="I30" s="294"/>
      <c r="J30" s="283"/>
      <c r="K30" s="287"/>
      <c r="L30" s="294"/>
      <c r="M30" s="295"/>
      <c r="N30" s="296"/>
      <c r="Q30" s="223">
        <f t="shared" si="1"/>
        <v>0</v>
      </c>
      <c r="R30" s="223">
        <f t="shared" si="2"/>
        <v>0</v>
      </c>
      <c r="S30" s="223">
        <f t="shared" si="3"/>
        <v>0</v>
      </c>
    </row>
    <row r="31" spans="1:24" ht="9.75" customHeight="1" x14ac:dyDescent="0.25">
      <c r="A31" s="32"/>
      <c r="B31" s="509"/>
      <c r="C31" s="14"/>
      <c r="D31" s="505"/>
      <c r="E31" s="286"/>
      <c r="F31" s="505"/>
      <c r="G31" s="283"/>
      <c r="H31" s="282"/>
      <c r="I31" s="304"/>
      <c r="J31" s="283"/>
      <c r="K31" s="282"/>
      <c r="L31" s="304"/>
      <c r="M31" s="506"/>
      <c r="N31" s="506"/>
      <c r="Q31" s="223"/>
      <c r="R31" s="223"/>
      <c r="S31" s="223"/>
    </row>
    <row r="32" spans="1:24" ht="17.100000000000001" customHeight="1" x14ac:dyDescent="0.25">
      <c r="A32" s="32"/>
      <c r="B32" s="508" t="s">
        <v>3779</v>
      </c>
      <c r="C32" s="509" t="s">
        <v>3780</v>
      </c>
      <c r="D32" s="279">
        <v>251224740000</v>
      </c>
      <c r="E32" s="279">
        <f>SUM(D32/2512247400000*100)</f>
        <v>10</v>
      </c>
      <c r="F32" s="279"/>
      <c r="G32" s="281"/>
      <c r="H32" s="282"/>
      <c r="I32" s="302"/>
      <c r="J32" s="281"/>
      <c r="K32" s="282"/>
      <c r="L32" s="304"/>
      <c r="M32" s="506"/>
      <c r="N32" s="506"/>
      <c r="Q32" s="223"/>
      <c r="R32" s="223"/>
      <c r="S32" s="223"/>
    </row>
    <row r="33" spans="1:19" ht="11.25" customHeight="1" x14ac:dyDescent="0.25">
      <c r="A33" s="32"/>
      <c r="B33" s="508"/>
      <c r="C33" s="19"/>
      <c r="D33" s="507"/>
      <c r="E33" s="4742"/>
      <c r="F33" s="507"/>
      <c r="G33" s="281"/>
      <c r="H33" s="282"/>
      <c r="I33" s="304"/>
      <c r="J33" s="283"/>
      <c r="K33" s="282"/>
      <c r="L33" s="304"/>
      <c r="M33" s="506"/>
      <c r="N33" s="506"/>
      <c r="Q33" s="223"/>
      <c r="R33" s="223"/>
      <c r="S33" s="223"/>
    </row>
    <row r="34" spans="1:19" ht="17.25" customHeight="1" x14ac:dyDescent="0.25">
      <c r="A34" s="32"/>
      <c r="B34" s="510" t="s">
        <v>3781</v>
      </c>
      <c r="C34" s="2496" t="s">
        <v>6660</v>
      </c>
      <c r="D34" s="2712">
        <v>428000000000</v>
      </c>
      <c r="E34" s="279">
        <f>SUM(D34/2512247400000*100)</f>
        <v>17.036538678475694</v>
      </c>
      <c r="F34" s="4741"/>
      <c r="G34" s="4743"/>
      <c r="H34" s="303"/>
      <c r="I34" s="302"/>
      <c r="J34" s="4743"/>
      <c r="K34" s="282"/>
      <c r="L34" s="304"/>
      <c r="M34" s="506"/>
      <c r="N34" s="506"/>
      <c r="Q34" s="223"/>
      <c r="R34" s="223"/>
      <c r="S34" s="223"/>
    </row>
    <row r="35" spans="1:19" ht="9" customHeight="1" x14ac:dyDescent="0.25">
      <c r="A35" s="32"/>
      <c r="B35" s="508"/>
      <c r="C35" s="509"/>
      <c r="D35" s="279"/>
      <c r="E35" s="279"/>
      <c r="F35" s="279"/>
      <c r="G35" s="281"/>
      <c r="H35" s="282"/>
      <c r="I35" s="4744"/>
      <c r="J35" s="281"/>
      <c r="K35" s="303"/>
      <c r="L35" s="304"/>
      <c r="M35" s="506"/>
      <c r="N35" s="506"/>
      <c r="Q35" s="223"/>
      <c r="R35" s="223"/>
      <c r="S35" s="223"/>
    </row>
    <row r="36" spans="1:19" ht="17.100000000000001" customHeight="1" x14ac:dyDescent="0.25">
      <c r="A36" s="32"/>
      <c r="B36" s="508" t="s">
        <v>6659</v>
      </c>
      <c r="C36" s="2491" t="s">
        <v>7816</v>
      </c>
      <c r="D36" s="2692">
        <v>44818166660</v>
      </c>
      <c r="E36" s="279">
        <f>SUM(D36/2512247400000*100)</f>
        <v>1.7839869855174293</v>
      </c>
      <c r="F36" s="279"/>
      <c r="G36" s="281"/>
      <c r="H36" s="282"/>
      <c r="I36" s="4744"/>
      <c r="J36" s="281"/>
      <c r="K36" s="303"/>
      <c r="L36" s="304"/>
      <c r="M36" s="506"/>
      <c r="N36" s="506"/>
      <c r="Q36" s="223"/>
      <c r="R36" s="223"/>
      <c r="S36" s="223"/>
    </row>
    <row r="37" spans="1:19" ht="9" customHeight="1" x14ac:dyDescent="0.25">
      <c r="A37" s="32"/>
      <c r="B37" s="508"/>
      <c r="C37" s="2491"/>
      <c r="D37" s="2692"/>
      <c r="E37" s="279"/>
      <c r="F37" s="279"/>
      <c r="G37" s="281"/>
      <c r="H37" s="282"/>
      <c r="I37" s="4744"/>
      <c r="J37" s="281"/>
      <c r="K37" s="303"/>
      <c r="L37" s="304"/>
      <c r="M37" s="506"/>
      <c r="N37" s="506"/>
      <c r="Q37" s="223"/>
      <c r="R37" s="223"/>
      <c r="S37" s="223"/>
    </row>
    <row r="38" spans="1:19" ht="32.25" customHeight="1" x14ac:dyDescent="0.25">
      <c r="A38" s="32"/>
      <c r="B38" s="508" t="s">
        <v>7841</v>
      </c>
      <c r="C38" s="2491" t="s">
        <v>7826</v>
      </c>
      <c r="D38" s="2692">
        <v>10000000000</v>
      </c>
      <c r="E38" s="4745">
        <f>SUM(D38/2512247400000*100)</f>
        <v>0.3980499691232639</v>
      </c>
      <c r="F38" s="279"/>
      <c r="G38" s="281"/>
      <c r="H38" s="282"/>
      <c r="I38" s="4744"/>
      <c r="J38" s="281"/>
      <c r="K38" s="303"/>
      <c r="L38" s="304"/>
      <c r="M38" s="506"/>
      <c r="N38" s="506"/>
      <c r="Q38" s="223"/>
      <c r="R38" s="223"/>
      <c r="S38" s="223"/>
    </row>
    <row r="39" spans="1:19" ht="10.5" customHeight="1" x14ac:dyDescent="0.25">
      <c r="B39" s="508"/>
      <c r="C39" s="2491"/>
      <c r="D39" s="2692"/>
      <c r="E39" s="279"/>
      <c r="F39" s="279"/>
      <c r="G39" s="281"/>
      <c r="H39" s="282"/>
      <c r="I39" s="4744"/>
      <c r="J39" s="281"/>
      <c r="K39" s="303"/>
      <c r="L39" s="304"/>
      <c r="M39" s="506"/>
      <c r="N39" s="506"/>
      <c r="Q39" s="223"/>
      <c r="R39" s="223"/>
      <c r="S39" s="223"/>
    </row>
    <row r="40" spans="1:19" ht="45.75" customHeight="1" x14ac:dyDescent="0.25">
      <c r="B40" s="508" t="s">
        <v>7895</v>
      </c>
      <c r="C40" s="2491" t="s">
        <v>7951</v>
      </c>
      <c r="D40" s="2692">
        <v>10000000000</v>
      </c>
      <c r="E40" s="4745">
        <f>SUM(D40/2512247400000*100)</f>
        <v>0.3980499691232639</v>
      </c>
      <c r="F40" s="279"/>
      <c r="G40" s="281"/>
      <c r="H40" s="282"/>
      <c r="I40" s="4744"/>
      <c r="J40" s="281"/>
      <c r="K40" s="303"/>
      <c r="L40" s="304"/>
      <c r="M40" s="506"/>
      <c r="N40" s="506"/>
      <c r="Q40" s="223"/>
      <c r="R40" s="223"/>
      <c r="S40" s="223"/>
    </row>
    <row r="41" spans="1:19" ht="17.100000000000001" customHeight="1" thickBot="1" x14ac:dyDescent="0.3">
      <c r="B41" s="298"/>
      <c r="C41" s="299"/>
      <c r="D41" s="300"/>
      <c r="E41" s="279"/>
      <c r="F41" s="300"/>
      <c r="G41" s="281"/>
      <c r="H41" s="282"/>
      <c r="I41" s="302"/>
      <c r="J41" s="281"/>
      <c r="K41" s="303"/>
      <c r="L41" s="304"/>
      <c r="Q41" s="223"/>
      <c r="R41" s="223"/>
      <c r="S41" s="223"/>
    </row>
    <row r="42" spans="1:19" ht="19.5" customHeight="1" thickTop="1" thickBot="1" x14ac:dyDescent="0.3">
      <c r="B42" s="305"/>
      <c r="C42" s="4746" t="s">
        <v>3061</v>
      </c>
      <c r="D42" s="4959">
        <f>SUM(D15+D17+D32+D34+D36+D38+D40)</f>
        <v>2512247399994</v>
      </c>
      <c r="E42" s="574">
        <f>SUM(E15+E17+E32+E34+E36+E38+E40)</f>
        <v>99.999999999761158</v>
      </c>
      <c r="F42" s="573">
        <f>SUM(F15+F17+F32+F34)</f>
        <v>0</v>
      </c>
      <c r="G42" s="573">
        <f>SUM(G15+G17+G32+G34)</f>
        <v>0</v>
      </c>
      <c r="H42" s="575"/>
      <c r="I42" s="573">
        <f>SUM(I15+I17+I32+I34)</f>
        <v>0</v>
      </c>
      <c r="J42" s="573">
        <f>SUM(J15+J17+J32+J34)</f>
        <v>0</v>
      </c>
      <c r="K42" s="575"/>
      <c r="L42" s="306"/>
      <c r="Q42" s="223"/>
      <c r="R42" s="223"/>
      <c r="S42" s="223"/>
    </row>
    <row r="43" spans="1:19" ht="12.75" customHeight="1" thickTop="1" x14ac:dyDescent="0.25">
      <c r="B43" s="307"/>
      <c r="C43" s="308"/>
      <c r="D43" s="309"/>
      <c r="E43" s="309"/>
      <c r="F43" s="309"/>
      <c r="G43" s="309"/>
      <c r="H43" s="309"/>
      <c r="I43" s="309"/>
      <c r="J43" s="309"/>
      <c r="K43" s="309"/>
      <c r="L43" s="309"/>
      <c r="Q43" s="223"/>
      <c r="R43" s="223"/>
      <c r="S43" s="223"/>
    </row>
    <row r="44" spans="1:19" ht="15.75" customHeight="1" thickBot="1" x14ac:dyDescent="0.3">
      <c r="B44" s="310"/>
      <c r="C44" s="310"/>
      <c r="D44" s="311"/>
      <c r="E44" s="312"/>
      <c r="F44" s="312"/>
      <c r="G44" s="312"/>
      <c r="H44" s="313"/>
      <c r="I44" s="5076" t="s">
        <v>7952</v>
      </c>
      <c r="J44" s="5076"/>
      <c r="K44" s="5076"/>
      <c r="L44" s="312"/>
    </row>
    <row r="45" spans="1:19" ht="21.75" customHeight="1" thickTop="1" thickBot="1" x14ac:dyDescent="0.3">
      <c r="B45" s="314"/>
      <c r="C45" s="314"/>
      <c r="D45" s="4959">
        <v>2512247400000</v>
      </c>
      <c r="E45" s="315"/>
      <c r="F45" s="315"/>
      <c r="G45" s="316"/>
      <c r="H45" s="313"/>
      <c r="I45" s="5077" t="s">
        <v>3078</v>
      </c>
      <c r="J45" s="5077"/>
      <c r="K45" s="5077"/>
      <c r="L45" s="316"/>
      <c r="M45" s="224"/>
    </row>
    <row r="46" spans="1:19" ht="14.1" customHeight="1" thickTop="1" x14ac:dyDescent="0.25">
      <c r="B46" s="314"/>
      <c r="C46" s="317"/>
      <c r="D46" s="318">
        <f>D45-D42</f>
        <v>6</v>
      </c>
      <c r="E46" s="319"/>
      <c r="F46" s="319"/>
      <c r="G46" s="319"/>
      <c r="H46" s="313"/>
      <c r="I46" s="5077" t="s">
        <v>3063</v>
      </c>
      <c r="J46" s="5077"/>
      <c r="K46" s="5077"/>
      <c r="M46" s="224"/>
      <c r="Q46" s="280">
        <v>216804373020</v>
      </c>
    </row>
    <row r="47" spans="1:19" ht="14.1" customHeight="1" x14ac:dyDescent="0.25">
      <c r="B47" s="314"/>
      <c r="C47" s="317"/>
      <c r="D47" s="319"/>
      <c r="E47" s="319"/>
      <c r="F47" s="319"/>
      <c r="G47" s="319"/>
      <c r="H47" s="313"/>
      <c r="I47" s="312"/>
      <c r="J47" s="312"/>
      <c r="M47" s="224"/>
      <c r="Q47" s="297">
        <v>240893747800</v>
      </c>
    </row>
    <row r="48" spans="1:19" ht="14.1" customHeight="1" x14ac:dyDescent="0.25">
      <c r="B48" s="314"/>
      <c r="C48" s="317"/>
      <c r="D48" s="320"/>
      <c r="E48" s="320"/>
      <c r="F48" s="320"/>
      <c r="G48" s="320"/>
      <c r="H48" s="313"/>
      <c r="I48" s="312"/>
      <c r="J48" s="312"/>
      <c r="M48" s="224"/>
      <c r="Q48" s="288">
        <f>SUM(Q46:Q47)</f>
        <v>457698120820</v>
      </c>
    </row>
    <row r="49" spans="2:13" ht="14.1" customHeight="1" x14ac:dyDescent="0.25">
      <c r="B49" s="314"/>
      <c r="C49" s="314"/>
      <c r="D49" s="316"/>
      <c r="E49" s="316"/>
      <c r="F49" s="316"/>
      <c r="G49" s="316"/>
      <c r="H49" s="313"/>
      <c r="I49" s="321"/>
      <c r="J49" s="321"/>
      <c r="M49" s="224"/>
    </row>
    <row r="50" spans="2:13" ht="14.1" customHeight="1" x14ac:dyDescent="0.25">
      <c r="B50" s="314"/>
      <c r="C50" s="317"/>
      <c r="D50" s="320"/>
      <c r="E50" s="320"/>
      <c r="F50" s="320"/>
      <c r="G50" s="320"/>
      <c r="H50" s="313"/>
      <c r="I50" s="319"/>
      <c r="J50" s="4749" t="s">
        <v>3064</v>
      </c>
      <c r="K50" s="4750"/>
      <c r="M50" s="224"/>
    </row>
    <row r="51" spans="2:13" ht="14.25" customHeight="1" x14ac:dyDescent="0.25">
      <c r="B51" s="314"/>
      <c r="C51" s="314"/>
      <c r="D51" s="316"/>
      <c r="E51" s="316"/>
      <c r="F51" s="316"/>
      <c r="G51" s="316"/>
      <c r="H51" s="313"/>
      <c r="I51" s="319"/>
      <c r="J51" s="4751" t="s">
        <v>3778</v>
      </c>
      <c r="K51" s="4751"/>
      <c r="M51" s="224"/>
    </row>
    <row r="52" spans="2:13" ht="18" customHeight="1" x14ac:dyDescent="0.25">
      <c r="B52" s="314"/>
      <c r="C52" s="322"/>
      <c r="H52" s="313"/>
      <c r="J52" s="964" t="s">
        <v>3065</v>
      </c>
      <c r="K52" s="41"/>
    </row>
    <row r="53" spans="2:13" ht="20.100000000000001" customHeight="1" x14ac:dyDescent="0.25">
      <c r="B53" s="323"/>
      <c r="C53" s="41"/>
      <c r="D53" s="41"/>
      <c r="E53" s="41"/>
      <c r="F53" s="41"/>
      <c r="G53" s="41"/>
      <c r="H53" s="313"/>
      <c r="I53" s="313"/>
      <c r="J53" s="41"/>
      <c r="K53" s="41"/>
      <c r="L53" s="41"/>
    </row>
    <row r="54" spans="2:13" ht="20.100000000000001" customHeight="1" x14ac:dyDescent="0.25">
      <c r="B54" s="323"/>
      <c r="C54" s="41"/>
      <c r="D54" s="41"/>
      <c r="E54" s="41"/>
      <c r="F54" s="41"/>
      <c r="G54" s="41"/>
      <c r="H54" s="313"/>
      <c r="I54" s="41"/>
      <c r="J54" s="41"/>
      <c r="K54" s="41"/>
      <c r="L54" s="41"/>
    </row>
    <row r="55" spans="2:13" ht="20.100000000000001" customHeight="1" x14ac:dyDescent="0.25">
      <c r="B55" s="323"/>
      <c r="C55" s="41"/>
      <c r="D55" s="41"/>
      <c r="E55" s="41"/>
      <c r="F55" s="41"/>
      <c r="G55" s="41"/>
      <c r="H55" s="313"/>
      <c r="I55" s="41"/>
      <c r="J55" s="41"/>
      <c r="K55" s="41"/>
      <c r="L55" s="41"/>
    </row>
    <row r="56" spans="2:13" ht="20.100000000000001" customHeight="1" x14ac:dyDescent="0.25">
      <c r="B56" s="323"/>
      <c r="C56" s="41"/>
      <c r="D56" s="41"/>
      <c r="E56" s="41"/>
      <c r="F56" s="41"/>
      <c r="G56" s="41"/>
      <c r="H56" s="313"/>
      <c r="I56" s="41"/>
      <c r="J56" s="41"/>
      <c r="K56" s="41"/>
      <c r="L56" s="41"/>
    </row>
    <row r="57" spans="2:13" ht="20.100000000000001" customHeight="1" x14ac:dyDescent="0.25">
      <c r="B57" s="323"/>
      <c r="C57" s="41"/>
      <c r="D57" s="280">
        <v>216804373020</v>
      </c>
      <c r="E57" s="41"/>
      <c r="F57" s="41"/>
      <c r="G57" s="41"/>
      <c r="H57" s="313"/>
      <c r="I57" s="41"/>
      <c r="J57" s="41"/>
      <c r="K57" s="41"/>
    </row>
    <row r="58" spans="2:13" ht="20.100000000000001" customHeight="1" x14ac:dyDescent="0.25">
      <c r="D58" s="297">
        <v>240893747800</v>
      </c>
      <c r="H58" s="313"/>
      <c r="L58" s="324"/>
    </row>
    <row r="59" spans="2:13" ht="20.100000000000001" customHeight="1" x14ac:dyDescent="0.25">
      <c r="C59" s="324"/>
      <c r="D59" s="301">
        <v>24818166660</v>
      </c>
      <c r="E59" s="324"/>
      <c r="F59" s="324"/>
      <c r="G59" s="324"/>
      <c r="H59" s="313"/>
      <c r="I59" s="324"/>
      <c r="J59" s="324"/>
      <c r="K59" s="324"/>
    </row>
    <row r="60" spans="2:13" ht="20.100000000000001" customHeight="1" x14ac:dyDescent="0.25">
      <c r="D60" s="44">
        <f>SUM(D57:D59)</f>
        <v>482516287480</v>
      </c>
      <c r="H60" s="313"/>
    </row>
  </sheetData>
  <mergeCells count="26">
    <mergeCell ref="I44:K44"/>
    <mergeCell ref="I45:K45"/>
    <mergeCell ref="I46:K46"/>
    <mergeCell ref="E11:E12"/>
    <mergeCell ref="F11:F12"/>
    <mergeCell ref="G11:G12"/>
    <mergeCell ref="H11:H12"/>
    <mergeCell ref="I11:I12"/>
    <mergeCell ref="J11:J12"/>
    <mergeCell ref="B9:B12"/>
    <mergeCell ref="C9:C12"/>
    <mergeCell ref="D9:E9"/>
    <mergeCell ref="F9:H9"/>
    <mergeCell ref="I9:K9"/>
    <mergeCell ref="K11:K12"/>
    <mergeCell ref="L9:L12"/>
    <mergeCell ref="D10:E10"/>
    <mergeCell ref="F10:H10"/>
    <mergeCell ref="I10:K10"/>
    <mergeCell ref="D11:D12"/>
    <mergeCell ref="B7:L7"/>
    <mergeCell ref="B1:L1"/>
    <mergeCell ref="B2:L2"/>
    <mergeCell ref="B3:L3"/>
    <mergeCell ref="B5:L5"/>
    <mergeCell ref="B6:F6"/>
  </mergeCells>
  <printOptions horizontalCentered="1"/>
  <pageMargins left="0.70866141732283472" right="0.70866141732283472" top="0.74803149606299213" bottom="0.74803149606299213" header="0.31496062992125984" footer="0.31496062992125984"/>
  <pageSetup paperSize="258" scale="66" orientation="landscape" horizontalDpi="1200" verticalDpi="1200" r:id="rId1"/>
  <rowBreaks count="1" manualBreakCount="1">
    <brk id="39" min="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4764"/>
  <sheetViews>
    <sheetView view="pageBreakPreview" topLeftCell="B313" zoomScaleNormal="90" zoomScaleSheetLayoutView="100" workbookViewId="0">
      <selection activeCell="B301" sqref="A301:XFD323"/>
    </sheetView>
  </sheetViews>
  <sheetFormatPr defaultColWidth="8.85546875" defaultRowHeight="15.75" x14ac:dyDescent="0.25"/>
  <cols>
    <col min="1" max="1" width="2.140625" style="2" hidden="1" customWidth="1"/>
    <col min="2" max="2" width="5" style="4250" customWidth="1"/>
    <col min="3" max="3" width="76.85546875" style="2634" customWidth="1"/>
    <col min="4" max="4" width="23.28515625" style="2637" customWidth="1"/>
    <col min="5" max="5" width="14.85546875" style="2648" customWidth="1"/>
    <col min="6" max="6" width="23.28515625" style="4412" customWidth="1"/>
    <col min="7" max="7" width="12.42578125" style="3584" customWidth="1"/>
    <col min="8" max="8" width="14.5703125" style="2650" customWidth="1"/>
    <col min="9" max="9" width="10.42578125" style="2651" customWidth="1"/>
    <col min="10" max="10" width="12.85546875" style="2652" customWidth="1"/>
    <col min="11" max="11" width="14.85546875" style="2652" customWidth="1"/>
    <col min="12" max="12" width="14.28515625" style="2653" customWidth="1"/>
    <col min="13" max="13" width="10.140625" style="2653" customWidth="1"/>
    <col min="14" max="14" width="7.85546875" style="4250" customWidth="1"/>
    <col min="15" max="15" width="13" hidden="1" customWidth="1"/>
    <col min="16" max="16" width="23.42578125" style="617" customWidth="1"/>
    <col min="17" max="17" width="20.5703125" customWidth="1"/>
    <col min="18" max="18" width="20.42578125" customWidth="1"/>
    <col min="19" max="19" width="19.85546875" customWidth="1"/>
  </cols>
  <sheetData>
    <row r="1" spans="1:16" s="37" customFormat="1" ht="18.75" customHeight="1" x14ac:dyDescent="0.3">
      <c r="A1" s="36"/>
      <c r="B1" s="4985" t="s">
        <v>0</v>
      </c>
      <c r="C1" s="4985"/>
      <c r="D1" s="4985"/>
      <c r="E1" s="4985"/>
      <c r="F1" s="4985"/>
      <c r="G1" s="4985"/>
      <c r="H1" s="4985"/>
      <c r="I1" s="4985"/>
      <c r="J1" s="4985"/>
      <c r="K1" s="4985"/>
      <c r="L1" s="4985"/>
      <c r="M1" s="4985"/>
      <c r="N1" s="4985"/>
      <c r="P1" s="616"/>
    </row>
    <row r="2" spans="1:16" ht="16.5" customHeight="1" x14ac:dyDescent="0.3">
      <c r="A2" s="36"/>
      <c r="B2" s="4986" t="s">
        <v>1</v>
      </c>
      <c r="C2" s="4986"/>
      <c r="D2" s="4986"/>
      <c r="E2" s="4986"/>
      <c r="F2" s="4986"/>
      <c r="G2" s="4986"/>
      <c r="H2" s="4986"/>
      <c r="I2" s="4986"/>
      <c r="J2" s="4986"/>
      <c r="K2" s="4986"/>
      <c r="L2" s="4986"/>
      <c r="M2" s="4986"/>
      <c r="N2" s="4986"/>
    </row>
    <row r="3" spans="1:16" ht="16.5" customHeight="1" x14ac:dyDescent="0.3">
      <c r="A3" s="4986" t="s">
        <v>4107</v>
      </c>
      <c r="B3" s="4986"/>
      <c r="C3" s="4986"/>
      <c r="D3" s="4986"/>
      <c r="E3" s="4986"/>
      <c r="F3" s="4986"/>
      <c r="G3" s="4986"/>
      <c r="H3" s="4986"/>
      <c r="I3" s="4986"/>
      <c r="J3" s="4986"/>
      <c r="K3" s="4986"/>
      <c r="L3" s="4986"/>
      <c r="M3" s="4986"/>
      <c r="N3" s="4986"/>
    </row>
    <row r="4" spans="1:16" ht="14.1" customHeight="1" x14ac:dyDescent="0.25">
      <c r="B4" s="23"/>
      <c r="C4" s="2467"/>
      <c r="E4" s="2638"/>
      <c r="F4" s="4410"/>
      <c r="G4" s="2639"/>
      <c r="H4" s="2640"/>
      <c r="I4" s="2641"/>
      <c r="J4" s="464"/>
      <c r="K4" s="464"/>
      <c r="L4" s="23"/>
      <c r="M4" s="23"/>
      <c r="N4" s="2642"/>
    </row>
    <row r="5" spans="1:16" ht="14.1" customHeight="1" x14ac:dyDescent="0.25">
      <c r="B5" s="23"/>
      <c r="C5" s="2467"/>
      <c r="E5" s="2638"/>
      <c r="F5" s="4410"/>
      <c r="G5" s="2639"/>
      <c r="H5" s="2640"/>
      <c r="I5" s="2641"/>
      <c r="J5" s="464"/>
      <c r="K5" s="464"/>
      <c r="L5" s="23"/>
      <c r="M5" s="23"/>
      <c r="N5" s="2642"/>
    </row>
    <row r="6" spans="1:16" ht="12.75" customHeight="1" x14ac:dyDescent="0.25">
      <c r="B6" s="4987" t="s">
        <v>3</v>
      </c>
      <c r="C6" s="4987"/>
      <c r="D6" s="4987"/>
      <c r="E6" s="4987"/>
      <c r="F6" s="4987"/>
      <c r="G6" s="4987"/>
      <c r="H6" s="4987"/>
      <c r="I6" s="4987"/>
      <c r="J6" s="4987"/>
      <c r="K6" s="4987"/>
      <c r="L6" s="4987"/>
      <c r="M6" s="4987"/>
      <c r="N6" s="4987"/>
    </row>
    <row r="7" spans="1:16" ht="13.5" hidden="1" customHeight="1" x14ac:dyDescent="0.25">
      <c r="B7" s="5082" t="s">
        <v>4</v>
      </c>
      <c r="C7" s="5082"/>
      <c r="D7" s="5082"/>
      <c r="E7" s="5082"/>
      <c r="F7" s="5082"/>
      <c r="G7" s="5082"/>
      <c r="H7" s="5082"/>
      <c r="I7" s="5082"/>
      <c r="J7" s="5082"/>
      <c r="K7" s="464"/>
      <c r="L7" s="970"/>
      <c r="M7" s="970"/>
      <c r="N7" s="4249"/>
    </row>
    <row r="8" spans="1:16" ht="23.25" customHeight="1" x14ac:dyDescent="0.25">
      <c r="B8" s="436" t="s">
        <v>4177</v>
      </c>
      <c r="C8" s="705"/>
      <c r="E8" s="2638"/>
      <c r="F8" s="4411"/>
      <c r="G8" s="2643"/>
      <c r="H8" s="2644"/>
      <c r="I8" s="2645"/>
      <c r="J8" s="2646"/>
      <c r="K8" s="464"/>
      <c r="L8" s="970"/>
      <c r="M8" s="970"/>
      <c r="N8" s="2647" t="s">
        <v>4137</v>
      </c>
    </row>
    <row r="9" spans="1:16" ht="14.1" customHeight="1" thickBot="1" x14ac:dyDescent="0.3">
      <c r="B9" s="971"/>
      <c r="C9" s="2468"/>
      <c r="G9" s="2649"/>
      <c r="N9" s="2654"/>
    </row>
    <row r="10" spans="1:16" ht="18.75" customHeight="1" x14ac:dyDescent="0.25">
      <c r="B10" s="4988" t="s">
        <v>6</v>
      </c>
      <c r="C10" s="4991" t="s">
        <v>7</v>
      </c>
      <c r="D10" s="4994" t="s">
        <v>8</v>
      </c>
      <c r="E10" s="4994"/>
      <c r="F10" s="4994" t="s">
        <v>9</v>
      </c>
      <c r="G10" s="4994"/>
      <c r="H10" s="4994"/>
      <c r="I10" s="4994"/>
      <c r="J10" s="4994" t="s">
        <v>10</v>
      </c>
      <c r="K10" s="4994"/>
      <c r="L10" s="4994"/>
      <c r="M10" s="4994"/>
      <c r="N10" s="5084" t="s">
        <v>11</v>
      </c>
    </row>
    <row r="11" spans="1:16" ht="7.5" customHeight="1" thickBot="1" x14ac:dyDescent="0.3">
      <c r="B11" s="4989"/>
      <c r="C11" s="4992"/>
      <c r="D11" s="5087"/>
      <c r="E11" s="5087"/>
      <c r="F11" s="5087"/>
      <c r="G11" s="5087"/>
      <c r="H11" s="5087"/>
      <c r="I11" s="5087"/>
      <c r="J11" s="5087"/>
      <c r="K11" s="5087"/>
      <c r="L11" s="5087"/>
      <c r="M11" s="5087"/>
      <c r="N11" s="5085"/>
    </row>
    <row r="12" spans="1:16" s="45" customFormat="1" ht="82.5" customHeight="1" thickBot="1" x14ac:dyDescent="0.3">
      <c r="A12" s="2"/>
      <c r="B12" s="4990"/>
      <c r="C12" s="4993"/>
      <c r="D12" s="2655" t="s">
        <v>12</v>
      </c>
      <c r="E12" s="2656" t="s">
        <v>4138</v>
      </c>
      <c r="F12" s="3824" t="s">
        <v>13</v>
      </c>
      <c r="G12" s="2657" t="s">
        <v>14</v>
      </c>
      <c r="H12" s="2658" t="s">
        <v>15</v>
      </c>
      <c r="I12" s="2659" t="s">
        <v>16</v>
      </c>
      <c r="J12" s="2658" t="s">
        <v>12</v>
      </c>
      <c r="K12" s="2658" t="s">
        <v>17</v>
      </c>
      <c r="L12" s="2658" t="s">
        <v>15</v>
      </c>
      <c r="M12" s="2658" t="s">
        <v>18</v>
      </c>
      <c r="N12" s="5086"/>
      <c r="P12" s="601"/>
    </row>
    <row r="13" spans="1:16" ht="20.100000000000001" customHeight="1" thickTop="1" thickBot="1" x14ac:dyDescent="0.3">
      <c r="B13" s="437" t="s">
        <v>19</v>
      </c>
      <c r="C13" s="2469" t="s">
        <v>20</v>
      </c>
      <c r="D13" s="2660" t="s">
        <v>21</v>
      </c>
      <c r="E13" s="2661" t="s">
        <v>22</v>
      </c>
      <c r="F13" s="4413" t="s">
        <v>23</v>
      </c>
      <c r="G13" s="2662" t="s">
        <v>24</v>
      </c>
      <c r="H13" s="2663" t="s">
        <v>25</v>
      </c>
      <c r="I13" s="2661" t="s">
        <v>26</v>
      </c>
      <c r="J13" s="2663" t="s">
        <v>27</v>
      </c>
      <c r="K13" s="437" t="s">
        <v>28</v>
      </c>
      <c r="L13" s="2663" t="s">
        <v>29</v>
      </c>
      <c r="M13" s="437" t="s">
        <v>30</v>
      </c>
      <c r="N13" s="437" t="s">
        <v>31</v>
      </c>
    </row>
    <row r="14" spans="1:16" s="1" customFormat="1" ht="17.25" customHeight="1" thickTop="1" x14ac:dyDescent="0.25">
      <c r="B14" s="2664" t="s">
        <v>32</v>
      </c>
      <c r="C14" s="2470" t="s">
        <v>33</v>
      </c>
      <c r="D14" s="2665">
        <f>SUM(D15,D29,D33,D58,D110+D127,D167,D231,D260,D281,D296)</f>
        <v>185820449334</v>
      </c>
      <c r="E14" s="2666">
        <f>D14/2512247400000*100</f>
        <v>7.3965824119869721</v>
      </c>
      <c r="F14" s="3825"/>
      <c r="G14" s="2665"/>
      <c r="H14" s="2667"/>
      <c r="I14" s="2665"/>
      <c r="J14" s="2665"/>
      <c r="K14" s="2665"/>
      <c r="L14" s="2667"/>
      <c r="M14" s="2665" t="e">
        <f>SUM(M15,M29,#REF!,#REF!,M33,#REF!,M58,#REF!,#REF!,#REF!,M127,#REF!,#REF!)/13</f>
        <v>#REF!</v>
      </c>
      <c r="N14" s="2668"/>
      <c r="P14" s="220"/>
    </row>
    <row r="15" spans="1:16" s="4" customFormat="1" ht="20.25" hidden="1" customHeight="1" x14ac:dyDescent="0.25">
      <c r="B15" s="440" t="s">
        <v>34</v>
      </c>
      <c r="C15" s="2471" t="s">
        <v>35</v>
      </c>
      <c r="D15" s="2669">
        <f>SUM(D17+D23+D26)</f>
        <v>33543519039</v>
      </c>
      <c r="E15" s="2670">
        <f>D15/D14*100</f>
        <v>18.051575679223408</v>
      </c>
      <c r="F15" s="3826"/>
      <c r="G15" s="2671"/>
      <c r="H15" s="2672"/>
      <c r="I15" s="2673"/>
      <c r="J15" s="2674"/>
      <c r="K15" s="2674"/>
      <c r="L15" s="2672"/>
      <c r="M15" s="2673"/>
      <c r="N15" s="2675"/>
      <c r="P15" s="620"/>
    </row>
    <row r="16" spans="1:16" s="5" customFormat="1" ht="9" hidden="1" customHeight="1" x14ac:dyDescent="0.25">
      <c r="B16" s="442"/>
      <c r="C16" s="2473"/>
      <c r="D16" s="896"/>
      <c r="E16" s="2688"/>
      <c r="F16" s="4414"/>
      <c r="G16" s="2689"/>
      <c r="H16" s="2690"/>
      <c r="I16" s="2686"/>
      <c r="J16" s="2691"/>
      <c r="K16" s="896"/>
      <c r="L16" s="2690"/>
      <c r="M16" s="2686"/>
      <c r="N16" s="2687"/>
      <c r="P16" s="621"/>
    </row>
    <row r="17" spans="1:19" s="4" customFormat="1" ht="18" hidden="1" customHeight="1" x14ac:dyDescent="0.25">
      <c r="B17" s="441"/>
      <c r="C17" s="2474" t="s">
        <v>6043</v>
      </c>
      <c r="D17" s="2692">
        <f>SUM(D18:D21)</f>
        <v>9135759522</v>
      </c>
      <c r="E17" s="2693">
        <f>D17/D14*100</f>
        <v>4.9164446403738236</v>
      </c>
      <c r="F17" s="3827"/>
      <c r="G17" s="2679"/>
      <c r="H17" s="2679"/>
      <c r="I17" s="2679"/>
      <c r="J17" s="2694"/>
      <c r="K17" s="2694"/>
      <c r="L17" s="2695"/>
      <c r="M17" s="2696"/>
      <c r="N17" s="2697"/>
      <c r="P17" s="620"/>
    </row>
    <row r="18" spans="1:19" s="27" customFormat="1" ht="15.75" hidden="1" customHeight="1" x14ac:dyDescent="0.25">
      <c r="A18" s="6"/>
      <c r="B18" s="443"/>
      <c r="C18" s="2473" t="s">
        <v>6044</v>
      </c>
      <c r="D18" s="2698">
        <v>6000000000</v>
      </c>
      <c r="E18" s="2688">
        <f>D18/D14*100</f>
        <v>3.2289234158590348</v>
      </c>
      <c r="F18" s="3876"/>
      <c r="G18" s="2685"/>
      <c r="H18" s="2685"/>
      <c r="I18" s="2685"/>
      <c r="J18" s="2700"/>
      <c r="K18" s="2686"/>
      <c r="L18" s="2688"/>
      <c r="M18" s="2685"/>
      <c r="N18" s="2701"/>
      <c r="P18" s="622">
        <v>83000000</v>
      </c>
      <c r="Q18" s="622"/>
      <c r="R18" s="622">
        <v>817000000</v>
      </c>
      <c r="S18" s="622">
        <f>SUM(P18+R18)</f>
        <v>900000000</v>
      </c>
    </row>
    <row r="19" spans="1:19" s="27" customFormat="1" ht="14.25" hidden="1" customHeight="1" x14ac:dyDescent="0.25">
      <c r="A19" s="6"/>
      <c r="B19" s="443"/>
      <c r="C19" s="2473" t="s">
        <v>6045</v>
      </c>
      <c r="D19" s="2698">
        <v>600329022</v>
      </c>
      <c r="E19" s="2688">
        <f>D19/D14*100</f>
        <v>0.32306940605925899</v>
      </c>
      <c r="F19" s="3876"/>
      <c r="G19" s="2685"/>
      <c r="H19" s="2685"/>
      <c r="I19" s="2685"/>
      <c r="J19" s="2700"/>
      <c r="K19" s="896"/>
      <c r="L19" s="2690"/>
      <c r="M19" s="2685"/>
      <c r="N19" s="2701"/>
      <c r="P19" s="622">
        <v>40500000</v>
      </c>
      <c r="Q19" s="622"/>
      <c r="R19" s="622">
        <v>309500000</v>
      </c>
      <c r="S19" s="622">
        <f t="shared" ref="S19:S21" si="0">SUM(P19+R19)</f>
        <v>350000000</v>
      </c>
    </row>
    <row r="20" spans="1:19" s="27" customFormat="1" ht="16.5" hidden="1" customHeight="1" x14ac:dyDescent="0.25">
      <c r="A20" s="6"/>
      <c r="B20" s="443"/>
      <c r="C20" s="2475" t="s">
        <v>6046</v>
      </c>
      <c r="D20" s="2698">
        <v>2215000000</v>
      </c>
      <c r="E20" s="2688">
        <f>D20/D14*100</f>
        <v>1.192010894354627</v>
      </c>
      <c r="F20" s="3876"/>
      <c r="G20" s="2685"/>
      <c r="H20" s="2685"/>
      <c r="I20" s="2685"/>
      <c r="J20" s="2700"/>
      <c r="K20" s="2686"/>
      <c r="L20" s="2690"/>
      <c r="M20" s="2685"/>
      <c r="N20" s="2701"/>
      <c r="P20" s="622">
        <v>431450000</v>
      </c>
      <c r="Q20" s="622"/>
      <c r="R20" s="622">
        <v>1268550000</v>
      </c>
      <c r="S20" s="622">
        <f t="shared" si="0"/>
        <v>1700000000</v>
      </c>
    </row>
    <row r="21" spans="1:19" s="27" customFormat="1" ht="14.25" hidden="1" customHeight="1" x14ac:dyDescent="0.25">
      <c r="A21" s="6"/>
      <c r="B21" s="443"/>
      <c r="C21" s="2473" t="s">
        <v>6047</v>
      </c>
      <c r="D21" s="2698">
        <v>320430500</v>
      </c>
      <c r="E21" s="2688">
        <f>D21/D14*100</f>
        <v>0.17244092410090309</v>
      </c>
      <c r="F21" s="3876"/>
      <c r="G21" s="2685"/>
      <c r="H21" s="2685"/>
      <c r="I21" s="2685"/>
      <c r="J21" s="2700"/>
      <c r="K21" s="2686"/>
      <c r="L21" s="2688"/>
      <c r="M21" s="2685"/>
      <c r="N21" s="2701"/>
      <c r="P21" s="622">
        <v>90950000</v>
      </c>
      <c r="Q21" s="622"/>
      <c r="R21" s="622">
        <v>659050000</v>
      </c>
      <c r="S21" s="622">
        <f t="shared" si="0"/>
        <v>750000000</v>
      </c>
    </row>
    <row r="22" spans="1:19" s="27" customFormat="1" ht="9.75" hidden="1" customHeight="1" x14ac:dyDescent="0.25">
      <c r="A22" s="6"/>
      <c r="B22" s="443"/>
      <c r="C22" s="2473"/>
      <c r="D22" s="2698"/>
      <c r="E22" s="2688"/>
      <c r="F22" s="3876"/>
      <c r="G22" s="2699"/>
      <c r="H22" s="2690"/>
      <c r="I22" s="2686"/>
      <c r="J22" s="2700"/>
      <c r="K22" s="2686"/>
      <c r="L22" s="2690"/>
      <c r="M22" s="2686"/>
      <c r="N22" s="2701"/>
      <c r="P22" s="80"/>
    </row>
    <row r="23" spans="1:19" s="27" customFormat="1" ht="16.5" hidden="1" customHeight="1" x14ac:dyDescent="0.25">
      <c r="A23" s="6"/>
      <c r="B23" s="443"/>
      <c r="C23" s="2474" t="s">
        <v>6048</v>
      </c>
      <c r="D23" s="2692">
        <f>SUM(D24:D24)</f>
        <v>11407759517</v>
      </c>
      <c r="E23" s="2693">
        <f>D23/D14*100</f>
        <v>6.1391303044883427</v>
      </c>
      <c r="F23" s="3827"/>
      <c r="G23" s="2684"/>
      <c r="H23" s="2702"/>
      <c r="I23" s="2696"/>
      <c r="J23" s="2694"/>
      <c r="K23" s="2694"/>
      <c r="L23" s="2702"/>
      <c r="M23" s="2696"/>
      <c r="N23" s="2701"/>
      <c r="P23" s="80"/>
    </row>
    <row r="24" spans="1:19" s="27" customFormat="1" ht="16.5" hidden="1" customHeight="1" x14ac:dyDescent="0.25">
      <c r="A24" s="6"/>
      <c r="B24" s="443"/>
      <c r="C24" s="2475" t="s">
        <v>6049</v>
      </c>
      <c r="D24" s="2698">
        <v>11407759517</v>
      </c>
      <c r="E24" s="2688">
        <f>D24/D14*100</f>
        <v>6.1391303044883427</v>
      </c>
      <c r="F24" s="3876"/>
      <c r="G24" s="2685"/>
      <c r="H24" s="2685"/>
      <c r="I24" s="2685"/>
      <c r="J24" s="2703"/>
      <c r="K24" s="2700"/>
      <c r="L24" s="2685"/>
      <c r="M24" s="2685"/>
      <c r="N24" s="2701"/>
      <c r="P24" s="80"/>
    </row>
    <row r="25" spans="1:19" s="27" customFormat="1" ht="10.5" hidden="1" customHeight="1" x14ac:dyDescent="0.25">
      <c r="A25" s="6"/>
      <c r="B25" s="443"/>
      <c r="C25" s="2473"/>
      <c r="D25" s="898"/>
      <c r="E25" s="2688"/>
      <c r="F25" s="3862"/>
      <c r="G25" s="2704"/>
      <c r="H25" s="2690"/>
      <c r="I25" s="2686"/>
      <c r="J25" s="2705"/>
      <c r="K25" s="898"/>
      <c r="L25" s="2690"/>
      <c r="M25" s="2686"/>
      <c r="N25" s="2701"/>
      <c r="P25" s="80"/>
    </row>
    <row r="26" spans="1:19" s="4" customFormat="1" ht="30" hidden="1" customHeight="1" x14ac:dyDescent="0.25">
      <c r="B26" s="441"/>
      <c r="C26" s="2474" t="s">
        <v>6050</v>
      </c>
      <c r="D26" s="2692">
        <f>SUM(D27:D27)</f>
        <v>13000000000</v>
      </c>
      <c r="E26" s="2693">
        <f>D26/D14*100</f>
        <v>6.9960007343612425</v>
      </c>
      <c r="F26" s="3827"/>
      <c r="G26" s="2684"/>
      <c r="H26" s="2702"/>
      <c r="I26" s="2696"/>
      <c r="J26" s="2694"/>
      <c r="K26" s="2694"/>
      <c r="L26" s="2702"/>
      <c r="M26" s="2696"/>
      <c r="N26" s="2697"/>
      <c r="P26" s="620"/>
    </row>
    <row r="27" spans="1:19" s="27" customFormat="1" ht="19.5" hidden="1" customHeight="1" x14ac:dyDescent="0.25">
      <c r="A27" s="6"/>
      <c r="B27" s="443"/>
      <c r="C27" s="2473" t="s">
        <v>6051</v>
      </c>
      <c r="D27" s="2698">
        <v>13000000000</v>
      </c>
      <c r="E27" s="2688">
        <f>D27/D14*100</f>
        <v>6.9960007343612425</v>
      </c>
      <c r="F27" s="3876"/>
      <c r="G27" s="2699"/>
      <c r="H27" s="2690"/>
      <c r="I27" s="2686"/>
      <c r="J27" s="2700"/>
      <c r="K27" s="896"/>
      <c r="L27" s="2690"/>
      <c r="M27" s="2686"/>
      <c r="N27" s="2701"/>
      <c r="P27" s="80"/>
    </row>
    <row r="28" spans="1:19" ht="12" hidden="1" customHeight="1" x14ac:dyDescent="0.25">
      <c r="B28" s="443"/>
      <c r="C28" s="2476"/>
      <c r="D28" s="911"/>
      <c r="E28" s="2707"/>
      <c r="F28" s="4415"/>
      <c r="G28" s="2713"/>
      <c r="H28" s="2710"/>
      <c r="I28" s="2714"/>
      <c r="J28" s="2715"/>
      <c r="K28" s="911"/>
      <c r="L28" s="2710"/>
      <c r="M28" s="2714"/>
      <c r="N28" s="2716"/>
    </row>
    <row r="29" spans="1:19" s="4" customFormat="1" ht="16.5" hidden="1" customHeight="1" x14ac:dyDescent="0.25">
      <c r="B29" s="440" t="s">
        <v>89</v>
      </c>
      <c r="C29" s="2471" t="s">
        <v>90</v>
      </c>
      <c r="D29" s="2669">
        <f>D30</f>
        <v>33861534853</v>
      </c>
      <c r="E29" s="2717">
        <f>D29/D14*100</f>
        <v>18.222717130629754</v>
      </c>
      <c r="F29" s="3826"/>
      <c r="G29" s="2719"/>
      <c r="H29" s="2719"/>
      <c r="I29" s="2719"/>
      <c r="J29" s="2720"/>
      <c r="K29" s="2720"/>
      <c r="L29" s="2719"/>
      <c r="M29" s="2719"/>
      <c r="N29" s="2675"/>
      <c r="P29" s="620"/>
    </row>
    <row r="30" spans="1:19" s="4" customFormat="1" ht="18.75" hidden="1" customHeight="1" x14ac:dyDescent="0.25">
      <c r="B30" s="441"/>
      <c r="C30" s="2478" t="s">
        <v>6052</v>
      </c>
      <c r="D30" s="2721">
        <f>D31</f>
        <v>33861534853</v>
      </c>
      <c r="E30" s="2693">
        <f>D30/D14*100</f>
        <v>18.222717130629754</v>
      </c>
      <c r="F30" s="3828"/>
      <c r="G30" s="2722"/>
      <c r="H30" s="2722"/>
      <c r="I30" s="2722"/>
      <c r="J30" s="2723"/>
      <c r="K30" s="2723"/>
      <c r="L30" s="2722"/>
      <c r="M30" s="2722"/>
      <c r="N30" s="2678"/>
      <c r="P30" s="620"/>
    </row>
    <row r="31" spans="1:19" s="4" customFormat="1" ht="17.25" hidden="1" customHeight="1" x14ac:dyDescent="0.25">
      <c r="B31" s="441"/>
      <c r="C31" s="2473" t="s">
        <v>6053</v>
      </c>
      <c r="D31" s="2698">
        <v>33861534853</v>
      </c>
      <c r="E31" s="2688">
        <f>D31/D14*100</f>
        <v>18.222717130629754</v>
      </c>
      <c r="F31" s="3827"/>
      <c r="G31" s="2679"/>
      <c r="H31" s="2679"/>
      <c r="I31" s="2679"/>
      <c r="J31" s="2694"/>
      <c r="K31" s="2694"/>
      <c r="L31" s="2679"/>
      <c r="M31" s="2679"/>
      <c r="N31" s="2697"/>
      <c r="P31" s="620"/>
    </row>
    <row r="32" spans="1:19" ht="12" hidden="1" customHeight="1" x14ac:dyDescent="0.25">
      <c r="B32" s="441"/>
      <c r="C32" s="2477"/>
      <c r="D32" s="911"/>
      <c r="E32" s="2707"/>
      <c r="F32" s="4415"/>
      <c r="G32" s="2728"/>
      <c r="H32" s="2710"/>
      <c r="I32" s="2714"/>
      <c r="J32" s="2715"/>
      <c r="K32" s="911"/>
      <c r="L32" s="2710"/>
      <c r="M32" s="2714"/>
      <c r="N32" s="2716"/>
    </row>
    <row r="33" spans="1:16" s="4" customFormat="1" ht="17.25" hidden="1" customHeight="1" x14ac:dyDescent="0.25">
      <c r="B33" s="440" t="s">
        <v>101</v>
      </c>
      <c r="C33" s="2471" t="s">
        <v>112</v>
      </c>
      <c r="D33" s="2669">
        <f>SUM(D34+D42+D46+D52)</f>
        <v>0</v>
      </c>
      <c r="E33" s="2717">
        <f>D33/D14*100</f>
        <v>0</v>
      </c>
      <c r="F33" s="3826"/>
      <c r="G33" s="2718"/>
      <c r="H33" s="2672"/>
      <c r="I33" s="2733"/>
      <c r="J33" s="2720"/>
      <c r="K33" s="2720"/>
      <c r="L33" s="2672"/>
      <c r="M33" s="2733"/>
      <c r="N33" s="2675"/>
      <c r="P33" s="620"/>
    </row>
    <row r="34" spans="1:16" s="4" customFormat="1" ht="16.5" hidden="1" customHeight="1" x14ac:dyDescent="0.25">
      <c r="B34" s="444"/>
      <c r="C34" s="2472" t="s">
        <v>7840</v>
      </c>
      <c r="D34" s="2676">
        <f>SUM(D35:D40)</f>
        <v>0</v>
      </c>
      <c r="E34" s="2693">
        <f>D34/D14*100</f>
        <v>0</v>
      </c>
      <c r="F34" s="3829"/>
      <c r="G34" s="2729"/>
      <c r="H34" s="2734"/>
      <c r="I34" s="2735"/>
      <c r="J34" s="2680"/>
      <c r="K34" s="2680"/>
      <c r="L34" s="2734"/>
      <c r="M34" s="2735"/>
      <c r="N34" s="2681"/>
      <c r="P34" s="620"/>
    </row>
    <row r="35" spans="1:16" s="4" customFormat="1" ht="15" hidden="1" customHeight="1" x14ac:dyDescent="0.25">
      <c r="B35" s="444"/>
      <c r="C35" s="2479" t="s">
        <v>6054</v>
      </c>
      <c r="D35" s="2730"/>
      <c r="E35" s="2688">
        <f>D35/D14*100</f>
        <v>0</v>
      </c>
      <c r="F35" s="4416"/>
      <c r="G35" s="2685"/>
      <c r="H35" s="2685"/>
      <c r="I35" s="2685"/>
      <c r="J35" s="2731"/>
      <c r="K35" s="2736"/>
      <c r="L35" s="2690"/>
      <c r="M35" s="2685"/>
      <c r="N35" s="2681"/>
      <c r="P35" s="620"/>
    </row>
    <row r="36" spans="1:16" s="27" customFormat="1" ht="15.75" hidden="1" customHeight="1" x14ac:dyDescent="0.25">
      <c r="A36" s="6"/>
      <c r="B36" s="2737"/>
      <c r="C36" s="2473" t="s">
        <v>6055</v>
      </c>
      <c r="D36" s="2698"/>
      <c r="E36" s="2688">
        <f>D36/D14*100</f>
        <v>0</v>
      </c>
      <c r="F36" s="4417"/>
      <c r="G36" s="2698"/>
      <c r="H36" s="2690"/>
      <c r="I36" s="2686"/>
      <c r="J36" s="2726"/>
      <c r="K36" s="896"/>
      <c r="L36" s="2690"/>
      <c r="M36" s="2686"/>
      <c r="N36" s="2701"/>
      <c r="P36" s="80"/>
    </row>
    <row r="37" spans="1:16" s="27" customFormat="1" hidden="1" x14ac:dyDescent="0.25">
      <c r="A37" s="6"/>
      <c r="B37" s="2738"/>
      <c r="C37" s="2476" t="s">
        <v>6056</v>
      </c>
      <c r="D37" s="2706"/>
      <c r="E37" s="2688">
        <f>D37/D14*100</f>
        <v>0</v>
      </c>
      <c r="F37" s="4418"/>
      <c r="G37" s="2706"/>
      <c r="H37" s="2710"/>
      <c r="I37" s="2714"/>
      <c r="J37" s="2739"/>
      <c r="K37" s="2709"/>
      <c r="L37" s="2710"/>
      <c r="M37" s="2714"/>
      <c r="N37" s="2711"/>
      <c r="P37" s="80"/>
    </row>
    <row r="38" spans="1:16" s="27" customFormat="1" ht="15" hidden="1" customHeight="1" x14ac:dyDescent="0.25">
      <c r="A38" s="6"/>
      <c r="B38" s="2738"/>
      <c r="C38" s="2476" t="s">
        <v>6057</v>
      </c>
      <c r="D38" s="2706"/>
      <c r="E38" s="2688">
        <f>D38/D14*100</f>
        <v>0</v>
      </c>
      <c r="F38" s="4418"/>
      <c r="G38" s="2706"/>
      <c r="H38" s="2710"/>
      <c r="I38" s="2714"/>
      <c r="J38" s="2739"/>
      <c r="K38" s="2709"/>
      <c r="L38" s="2710"/>
      <c r="M38" s="2714"/>
      <c r="N38" s="2711"/>
      <c r="P38" s="80"/>
    </row>
    <row r="39" spans="1:16" s="27" customFormat="1" ht="28.5" hidden="1" customHeight="1" x14ac:dyDescent="0.25">
      <c r="A39" s="6"/>
      <c r="B39" s="2738"/>
      <c r="C39" s="2476" t="s">
        <v>6058</v>
      </c>
      <c r="D39" s="2706"/>
      <c r="E39" s="2688">
        <f>D39/D14*100</f>
        <v>0</v>
      </c>
      <c r="F39" s="4418"/>
      <c r="G39" s="2706"/>
      <c r="H39" s="2710"/>
      <c r="I39" s="2714"/>
      <c r="J39" s="2739"/>
      <c r="K39" s="2709"/>
      <c r="L39" s="2710"/>
      <c r="M39" s="2714"/>
      <c r="N39" s="2711"/>
      <c r="P39" s="80"/>
    </row>
    <row r="40" spans="1:16" s="27" customFormat="1" ht="18.75" hidden="1" customHeight="1" x14ac:dyDescent="0.25">
      <c r="A40" s="6"/>
      <c r="B40" s="2738"/>
      <c r="C40" s="2476" t="s">
        <v>6059</v>
      </c>
      <c r="D40" s="2706"/>
      <c r="E40" s="2688">
        <f>D40/D14*100</f>
        <v>0</v>
      </c>
      <c r="F40" s="4418"/>
      <c r="G40" s="2706"/>
      <c r="H40" s="2710"/>
      <c r="I40" s="2714"/>
      <c r="J40" s="2739"/>
      <c r="K40" s="2709"/>
      <c r="L40" s="2710"/>
      <c r="M40" s="2714"/>
      <c r="N40" s="2711"/>
      <c r="P40" s="80"/>
    </row>
    <row r="41" spans="1:16" s="27" customFormat="1" ht="9.75" hidden="1" customHeight="1" x14ac:dyDescent="0.25">
      <c r="A41" s="6"/>
      <c r="B41" s="2738"/>
      <c r="C41" s="2476"/>
      <c r="D41" s="2706"/>
      <c r="E41" s="2688"/>
      <c r="F41" s="4418"/>
      <c r="G41" s="2706"/>
      <c r="H41" s="2710"/>
      <c r="I41" s="2714"/>
      <c r="J41" s="2739"/>
      <c r="K41" s="2709"/>
      <c r="L41" s="2710"/>
      <c r="M41" s="2714"/>
      <c r="N41" s="2711"/>
      <c r="P41" s="80"/>
    </row>
    <row r="42" spans="1:16" s="27" customFormat="1" ht="17.25" hidden="1" customHeight="1" x14ac:dyDescent="0.25">
      <c r="A42" s="6"/>
      <c r="B42" s="2738"/>
      <c r="C42" s="2477" t="s">
        <v>6060</v>
      </c>
      <c r="D42" s="2712">
        <f>SUM(D43:D44)</f>
        <v>0</v>
      </c>
      <c r="E42" s="2693">
        <f>D42/D14*100</f>
        <v>0</v>
      </c>
      <c r="F42" s="4418"/>
      <c r="G42" s="2706"/>
      <c r="H42" s="2710"/>
      <c r="I42" s="2714"/>
      <c r="J42" s="2739"/>
      <c r="K42" s="2709"/>
      <c r="L42" s="2710"/>
      <c r="M42" s="2714"/>
      <c r="N42" s="2711"/>
      <c r="P42" s="80"/>
    </row>
    <row r="43" spans="1:16" s="27" customFormat="1" ht="18.75" hidden="1" customHeight="1" x14ac:dyDescent="0.25">
      <c r="A43" s="6"/>
      <c r="B43" s="2738"/>
      <c r="C43" s="2476" t="s">
        <v>6061</v>
      </c>
      <c r="D43" s="2706"/>
      <c r="E43" s="2688">
        <f>D43/D14*100</f>
        <v>0</v>
      </c>
      <c r="F43" s="4418"/>
      <c r="G43" s="2706"/>
      <c r="H43" s="2710"/>
      <c r="I43" s="2714"/>
      <c r="J43" s="2739"/>
      <c r="K43" s="2709"/>
      <c r="L43" s="2710"/>
      <c r="M43" s="2714"/>
      <c r="N43" s="2711"/>
      <c r="P43" s="80"/>
    </row>
    <row r="44" spans="1:16" s="27" customFormat="1" ht="29.25" hidden="1" customHeight="1" x14ac:dyDescent="0.25">
      <c r="A44" s="6"/>
      <c r="B44" s="2738"/>
      <c r="C44" s="2476" t="s">
        <v>6062</v>
      </c>
      <c r="D44" s="2706"/>
      <c r="E44" s="2688">
        <f>D44/D14*100</f>
        <v>0</v>
      </c>
      <c r="F44" s="4418"/>
      <c r="G44" s="2706"/>
      <c r="H44" s="2710"/>
      <c r="I44" s="2714"/>
      <c r="J44" s="2739"/>
      <c r="K44" s="2709"/>
      <c r="L44" s="2710"/>
      <c r="M44" s="2714"/>
      <c r="N44" s="2711"/>
      <c r="P44" s="80"/>
    </row>
    <row r="45" spans="1:16" s="27" customFormat="1" ht="9" hidden="1" customHeight="1" x14ac:dyDescent="0.25">
      <c r="A45" s="6"/>
      <c r="B45" s="2738"/>
      <c r="C45" s="2476"/>
      <c r="D45" s="2706"/>
      <c r="E45" s="2688"/>
      <c r="F45" s="4418"/>
      <c r="G45" s="2706"/>
      <c r="H45" s="2710"/>
      <c r="I45" s="2714"/>
      <c r="J45" s="2739"/>
      <c r="K45" s="2709"/>
      <c r="L45" s="2710"/>
      <c r="M45" s="2714"/>
      <c r="N45" s="2711"/>
      <c r="P45" s="80"/>
    </row>
    <row r="46" spans="1:16" s="27" customFormat="1" ht="18.75" hidden="1" customHeight="1" x14ac:dyDescent="0.25">
      <c r="A46" s="6"/>
      <c r="B46" s="2738"/>
      <c r="C46" s="2477" t="s">
        <v>6066</v>
      </c>
      <c r="D46" s="2712">
        <f>SUM(D47:D50)</f>
        <v>0</v>
      </c>
      <c r="E46" s="2693">
        <f>D46/D14*100</f>
        <v>0</v>
      </c>
      <c r="F46" s="4418"/>
      <c r="G46" s="2706"/>
      <c r="H46" s="2710"/>
      <c r="I46" s="2714"/>
      <c r="J46" s="2739"/>
      <c r="K46" s="2709"/>
      <c r="L46" s="2710"/>
      <c r="M46" s="2714"/>
      <c r="N46" s="2711"/>
      <c r="P46" s="80"/>
    </row>
    <row r="47" spans="1:16" s="27" customFormat="1" ht="29.25" hidden="1" customHeight="1" x14ac:dyDescent="0.25">
      <c r="A47" s="6"/>
      <c r="B47" s="2738"/>
      <c r="C47" s="2476" t="s">
        <v>6063</v>
      </c>
      <c r="D47" s="2706"/>
      <c r="E47" s="2688">
        <f>D47/D14*100</f>
        <v>0</v>
      </c>
      <c r="F47" s="4418"/>
      <c r="G47" s="2706"/>
      <c r="H47" s="2710"/>
      <c r="I47" s="2714"/>
      <c r="J47" s="2739"/>
      <c r="K47" s="2709"/>
      <c r="L47" s="2710"/>
      <c r="M47" s="2714"/>
      <c r="N47" s="2711"/>
      <c r="P47" s="80"/>
    </row>
    <row r="48" spans="1:16" s="27" customFormat="1" ht="15.75" hidden="1" customHeight="1" x14ac:dyDescent="0.25">
      <c r="A48" s="6"/>
      <c r="B48" s="2738"/>
      <c r="C48" s="2476" t="s">
        <v>7904</v>
      </c>
      <c r="D48" s="2706"/>
      <c r="E48" s="2688">
        <f>D48/D14*100</f>
        <v>0</v>
      </c>
      <c r="F48" s="4418"/>
      <c r="G48" s="2706"/>
      <c r="H48" s="2710"/>
      <c r="I48" s="2714"/>
      <c r="J48" s="2739"/>
      <c r="K48" s="2709"/>
      <c r="L48" s="2710"/>
      <c r="M48" s="2714"/>
      <c r="N48" s="2711"/>
      <c r="P48" s="80"/>
    </row>
    <row r="49" spans="1:16" s="27" customFormat="1" ht="17.25" hidden="1" customHeight="1" x14ac:dyDescent="0.25">
      <c r="A49" s="6"/>
      <c r="B49" s="2738"/>
      <c r="C49" s="2476" t="s">
        <v>6064</v>
      </c>
      <c r="D49" s="2706"/>
      <c r="E49" s="2688">
        <f>D49/D14*100</f>
        <v>0</v>
      </c>
      <c r="F49" s="4418"/>
      <c r="G49" s="2706"/>
      <c r="H49" s="2710"/>
      <c r="I49" s="2714"/>
      <c r="J49" s="2739"/>
      <c r="K49" s="2709"/>
      <c r="L49" s="2710"/>
      <c r="M49" s="2714"/>
      <c r="N49" s="2711"/>
      <c r="P49" s="80"/>
    </row>
    <row r="50" spans="1:16" s="27" customFormat="1" ht="17.25" hidden="1" customHeight="1" x14ac:dyDescent="0.25">
      <c r="A50" s="6"/>
      <c r="B50" s="2738"/>
      <c r="C50" s="2476" t="s">
        <v>6065</v>
      </c>
      <c r="D50" s="2706"/>
      <c r="E50" s="2688">
        <f>D50/D14*100</f>
        <v>0</v>
      </c>
      <c r="F50" s="4418"/>
      <c r="G50" s="2706"/>
      <c r="H50" s="2710"/>
      <c r="I50" s="2714"/>
      <c r="J50" s="2739"/>
      <c r="K50" s="2709"/>
      <c r="L50" s="2710"/>
      <c r="M50" s="2714"/>
      <c r="N50" s="2711"/>
      <c r="P50" s="80"/>
    </row>
    <row r="51" spans="1:16" s="27" customFormat="1" ht="11.25" hidden="1" customHeight="1" x14ac:dyDescent="0.25">
      <c r="A51" s="6"/>
      <c r="B51" s="2738"/>
      <c r="C51" s="2476"/>
      <c r="D51" s="2706"/>
      <c r="E51" s="2688"/>
      <c r="F51" s="4418"/>
      <c r="G51" s="2706"/>
      <c r="H51" s="2710"/>
      <c r="I51" s="2714"/>
      <c r="J51" s="2739"/>
      <c r="K51" s="2709"/>
      <c r="L51" s="2710"/>
      <c r="M51" s="2714"/>
      <c r="N51" s="2711"/>
      <c r="P51" s="80"/>
    </row>
    <row r="52" spans="1:16" s="27" customFormat="1" ht="17.25" hidden="1" customHeight="1" x14ac:dyDescent="0.25">
      <c r="A52" s="6"/>
      <c r="B52" s="2738"/>
      <c r="C52" s="2477" t="s">
        <v>6067</v>
      </c>
      <c r="D52" s="2712">
        <f>SUM(D53:D56)</f>
        <v>0</v>
      </c>
      <c r="E52" s="2693">
        <f>D52/D14*100</f>
        <v>0</v>
      </c>
      <c r="F52" s="4418"/>
      <c r="G52" s="2706"/>
      <c r="H52" s="2710"/>
      <c r="I52" s="2714"/>
      <c r="J52" s="2739"/>
      <c r="K52" s="2709"/>
      <c r="L52" s="2710"/>
      <c r="M52" s="2714"/>
      <c r="N52" s="2711"/>
      <c r="P52" s="80"/>
    </row>
    <row r="53" spans="1:16" s="27" customFormat="1" ht="18" hidden="1" customHeight="1" x14ac:dyDescent="0.25">
      <c r="A53" s="6"/>
      <c r="B53" s="2738"/>
      <c r="C53" s="2476" t="s">
        <v>6068</v>
      </c>
      <c r="D53" s="2706"/>
      <c r="E53" s="2688">
        <f>D53/D14*100</f>
        <v>0</v>
      </c>
      <c r="F53" s="4418"/>
      <c r="G53" s="2706"/>
      <c r="H53" s="2710"/>
      <c r="I53" s="2714"/>
      <c r="J53" s="2739"/>
      <c r="K53" s="2709"/>
      <c r="L53" s="2710"/>
      <c r="M53" s="2714"/>
      <c r="N53" s="2711"/>
      <c r="P53" s="80"/>
    </row>
    <row r="54" spans="1:16" s="27" customFormat="1" ht="16.5" hidden="1" customHeight="1" x14ac:dyDescent="0.25">
      <c r="A54" s="6"/>
      <c r="B54" s="2738"/>
      <c r="C54" s="2476" t="s">
        <v>6069</v>
      </c>
      <c r="D54" s="2706"/>
      <c r="E54" s="2688">
        <f>D54/D14*100</f>
        <v>0</v>
      </c>
      <c r="F54" s="4418"/>
      <c r="G54" s="2706"/>
      <c r="H54" s="2710"/>
      <c r="I54" s="2714"/>
      <c r="J54" s="2739"/>
      <c r="K54" s="2709"/>
      <c r="L54" s="2710"/>
      <c r="M54" s="2714"/>
      <c r="N54" s="2711"/>
      <c r="P54" s="80"/>
    </row>
    <row r="55" spans="1:16" s="27" customFormat="1" ht="16.5" hidden="1" customHeight="1" x14ac:dyDescent="0.25">
      <c r="A55" s="6"/>
      <c r="B55" s="2738"/>
      <c r="C55" s="2476" t="s">
        <v>6070</v>
      </c>
      <c r="D55" s="2706"/>
      <c r="E55" s="2688">
        <f>D55/D14*100</f>
        <v>0</v>
      </c>
      <c r="F55" s="4418"/>
      <c r="G55" s="2706"/>
      <c r="H55" s="2710"/>
      <c r="I55" s="2714"/>
      <c r="J55" s="2739"/>
      <c r="K55" s="2709"/>
      <c r="L55" s="2710"/>
      <c r="M55" s="2714"/>
      <c r="N55" s="2711"/>
      <c r="P55" s="80"/>
    </row>
    <row r="56" spans="1:16" s="27" customFormat="1" ht="17.25" hidden="1" customHeight="1" x14ac:dyDescent="0.25">
      <c r="A56" s="6"/>
      <c r="B56" s="2738"/>
      <c r="C56" s="2476" t="s">
        <v>6071</v>
      </c>
      <c r="D56" s="2706"/>
      <c r="E56" s="2688">
        <f>D56/D14*100</f>
        <v>0</v>
      </c>
      <c r="F56" s="4418"/>
      <c r="G56" s="2706"/>
      <c r="H56" s="2710"/>
      <c r="I56" s="2714"/>
      <c r="J56" s="2739"/>
      <c r="K56" s="2709"/>
      <c r="L56" s="2710"/>
      <c r="M56" s="2714"/>
      <c r="N56" s="2711"/>
      <c r="P56" s="80"/>
    </row>
    <row r="57" spans="1:16" ht="12" hidden="1" customHeight="1" x14ac:dyDescent="0.25">
      <c r="B57" s="441"/>
      <c r="C57" s="2477"/>
      <c r="D57" s="911"/>
      <c r="E57" s="2707"/>
      <c r="F57" s="4415"/>
      <c r="G57" s="2728"/>
      <c r="H57" s="2710"/>
      <c r="I57" s="2714"/>
      <c r="J57" s="2715"/>
      <c r="K57" s="911"/>
      <c r="L57" s="2710"/>
      <c r="M57" s="2714"/>
      <c r="N57" s="2716"/>
    </row>
    <row r="58" spans="1:16" s="4" customFormat="1" ht="18" hidden="1" customHeight="1" x14ac:dyDescent="0.25">
      <c r="B58" s="440" t="s">
        <v>106</v>
      </c>
      <c r="C58" s="2471" t="s">
        <v>125</v>
      </c>
      <c r="D58" s="2669">
        <f>SUM(D59+D66+D74+D87+D97+D107)</f>
        <v>11286475000</v>
      </c>
      <c r="E58" s="2717">
        <f>D58/D14*100</f>
        <v>6.0738605683345996</v>
      </c>
      <c r="F58" s="3826"/>
      <c r="G58" s="2719"/>
      <c r="H58" s="2719"/>
      <c r="I58" s="2719"/>
      <c r="J58" s="2720"/>
      <c r="K58" s="2720"/>
      <c r="L58" s="2719"/>
      <c r="M58" s="2733"/>
      <c r="N58" s="2675"/>
      <c r="P58" s="620"/>
    </row>
    <row r="59" spans="1:16" s="4" customFormat="1" ht="18" hidden="1" customHeight="1" x14ac:dyDescent="0.25">
      <c r="B59" s="441"/>
      <c r="C59" s="2472" t="s">
        <v>6077</v>
      </c>
      <c r="D59" s="2676">
        <f>D60+D61+D62+D63+D64</f>
        <v>1610818000</v>
      </c>
      <c r="E59" s="2693">
        <f>D59/D14*100</f>
        <v>0.86686799314786978</v>
      </c>
      <c r="F59" s="3829"/>
      <c r="G59" s="2725"/>
      <c r="H59" s="2725"/>
      <c r="I59" s="2725"/>
      <c r="J59" s="2680"/>
      <c r="K59" s="2680"/>
      <c r="L59" s="2740"/>
      <c r="M59" s="2740"/>
      <c r="N59" s="2681"/>
      <c r="P59" s="620"/>
    </row>
    <row r="60" spans="1:16" s="20" customFormat="1" ht="18.75" hidden="1" customHeight="1" x14ac:dyDescent="0.25">
      <c r="A60" s="963"/>
      <c r="B60" s="441"/>
      <c r="C60" s="2473" t="s">
        <v>6072</v>
      </c>
      <c r="D60" s="2698">
        <f>205000000+4905000</f>
        <v>209905000</v>
      </c>
      <c r="E60" s="2688">
        <f>D60/D14*100</f>
        <v>0.11296119493431511</v>
      </c>
      <c r="F60" s="4417"/>
      <c r="G60" s="2685"/>
      <c r="H60" s="2685"/>
      <c r="I60" s="2685"/>
      <c r="J60" s="2726"/>
      <c r="K60" s="896"/>
      <c r="L60" s="2685"/>
      <c r="M60" s="2685"/>
      <c r="N60" s="2704"/>
      <c r="P60" s="617"/>
    </row>
    <row r="61" spans="1:16" s="27" customFormat="1" ht="29.25" hidden="1" customHeight="1" x14ac:dyDescent="0.25">
      <c r="A61" s="6"/>
      <c r="B61" s="441"/>
      <c r="C61" s="2476" t="s">
        <v>6073</v>
      </c>
      <c r="D61" s="2706">
        <v>170737000</v>
      </c>
      <c r="E61" s="2688">
        <f>D61/D14*100</f>
        <v>9.1882782875587335E-2</v>
      </c>
      <c r="F61" s="4418"/>
      <c r="G61" s="2708"/>
      <c r="H61" s="2708"/>
      <c r="I61" s="2708"/>
      <c r="J61" s="2739"/>
      <c r="K61" s="2709"/>
      <c r="L61" s="2708"/>
      <c r="M61" s="2708"/>
      <c r="N61" s="2711"/>
      <c r="P61" s="80"/>
    </row>
    <row r="62" spans="1:16" s="27" customFormat="1" ht="18.75" hidden="1" customHeight="1" x14ac:dyDescent="0.25">
      <c r="A62" s="6"/>
      <c r="B62" s="441"/>
      <c r="C62" s="2476" t="s">
        <v>6074</v>
      </c>
      <c r="D62" s="2706">
        <v>882161000</v>
      </c>
      <c r="E62" s="2688">
        <f>D62/D14*100</f>
        <v>0.47473838490960363</v>
      </c>
      <c r="F62" s="4418"/>
      <c r="G62" s="2708"/>
      <c r="H62" s="2708"/>
      <c r="I62" s="2708"/>
      <c r="J62" s="2739"/>
      <c r="K62" s="2709"/>
      <c r="L62" s="2708"/>
      <c r="M62" s="2708"/>
      <c r="N62" s="2711"/>
      <c r="P62" s="80"/>
    </row>
    <row r="63" spans="1:16" s="27" customFormat="1" ht="31.5" hidden="1" customHeight="1" x14ac:dyDescent="0.25">
      <c r="A63" s="6"/>
      <c r="B63" s="441"/>
      <c r="C63" s="2476" t="s">
        <v>6075</v>
      </c>
      <c r="D63" s="2706">
        <v>122485000</v>
      </c>
      <c r="E63" s="2688">
        <f>D63/D14*100</f>
        <v>6.5915780765248982E-2</v>
      </c>
      <c r="F63" s="4418"/>
      <c r="G63" s="2708"/>
      <c r="H63" s="2708"/>
      <c r="I63" s="2708"/>
      <c r="J63" s="2739"/>
      <c r="K63" s="2709"/>
      <c r="L63" s="2708"/>
      <c r="M63" s="2708"/>
      <c r="N63" s="2711"/>
      <c r="P63" s="80"/>
    </row>
    <row r="64" spans="1:16" s="27" customFormat="1" ht="20.25" hidden="1" customHeight="1" x14ac:dyDescent="0.25">
      <c r="A64" s="6"/>
      <c r="B64" s="441"/>
      <c r="C64" s="2476" t="s">
        <v>6076</v>
      </c>
      <c r="D64" s="2706">
        <v>225530000</v>
      </c>
      <c r="E64" s="2688">
        <f>D64/D14*100</f>
        <v>0.12136984966311468</v>
      </c>
      <c r="F64" s="4418"/>
      <c r="G64" s="2708"/>
      <c r="H64" s="2708"/>
      <c r="I64" s="2708"/>
      <c r="J64" s="2739"/>
      <c r="K64" s="2709"/>
      <c r="L64" s="2708"/>
      <c r="M64" s="2708"/>
      <c r="N64" s="2711"/>
      <c r="P64" s="80"/>
    </row>
    <row r="65" spans="1:16" s="27" customFormat="1" ht="11.25" hidden="1" customHeight="1" x14ac:dyDescent="0.25">
      <c r="A65" s="6"/>
      <c r="B65" s="441"/>
      <c r="C65" s="2476"/>
      <c r="D65" s="2706"/>
      <c r="E65" s="2688"/>
      <c r="F65" s="4418"/>
      <c r="G65" s="2708"/>
      <c r="H65" s="2708"/>
      <c r="I65" s="2708"/>
      <c r="J65" s="2739"/>
      <c r="K65" s="2709"/>
      <c r="L65" s="2708"/>
      <c r="M65" s="2708"/>
      <c r="N65" s="2711"/>
      <c r="P65" s="80"/>
    </row>
    <row r="66" spans="1:16" s="27" customFormat="1" ht="18.75" hidden="1" customHeight="1" x14ac:dyDescent="0.25">
      <c r="A66" s="6"/>
      <c r="B66" s="441"/>
      <c r="C66" s="2477" t="s">
        <v>6078</v>
      </c>
      <c r="D66" s="2712">
        <f>SUM(D67:D72)</f>
        <v>1841221000</v>
      </c>
      <c r="E66" s="2693">
        <f>D66/D14*100</f>
        <v>0.99086026677856465</v>
      </c>
      <c r="F66" s="4418"/>
      <c r="G66" s="2708"/>
      <c r="H66" s="2708"/>
      <c r="I66" s="2708"/>
      <c r="J66" s="2739"/>
      <c r="K66" s="2709"/>
      <c r="L66" s="2708"/>
      <c r="M66" s="2708"/>
      <c r="N66" s="2711"/>
      <c r="P66" s="80"/>
    </row>
    <row r="67" spans="1:16" s="27" customFormat="1" ht="30" hidden="1" customHeight="1" x14ac:dyDescent="0.25">
      <c r="A67" s="6"/>
      <c r="B67" s="441"/>
      <c r="C67" s="2476" t="s">
        <v>6079</v>
      </c>
      <c r="D67" s="2706">
        <v>301875000</v>
      </c>
      <c r="E67" s="2688">
        <f>D67/D14*100</f>
        <v>0.16245520936040769</v>
      </c>
      <c r="F67" s="4418"/>
      <c r="G67" s="2708"/>
      <c r="H67" s="2708"/>
      <c r="I67" s="2708"/>
      <c r="J67" s="2739"/>
      <c r="K67" s="2709"/>
      <c r="L67" s="2708"/>
      <c r="M67" s="2708"/>
      <c r="N67" s="2711"/>
      <c r="P67" s="80"/>
    </row>
    <row r="68" spans="1:16" s="27" customFormat="1" ht="16.5" hidden="1" customHeight="1" x14ac:dyDescent="0.25">
      <c r="A68" s="6"/>
      <c r="B68" s="441"/>
      <c r="C68" s="2476" t="s">
        <v>6080</v>
      </c>
      <c r="D68" s="2706">
        <v>334400000</v>
      </c>
      <c r="E68" s="2688">
        <f>D68/D14*100</f>
        <v>0.17995866504387686</v>
      </c>
      <c r="F68" s="4418"/>
      <c r="G68" s="2708"/>
      <c r="H68" s="2708"/>
      <c r="I68" s="2708"/>
      <c r="J68" s="2739"/>
      <c r="K68" s="2709"/>
      <c r="L68" s="2708"/>
      <c r="M68" s="2708"/>
      <c r="N68" s="2711"/>
      <c r="P68" s="80"/>
    </row>
    <row r="69" spans="1:16" s="27" customFormat="1" ht="16.5" hidden="1" customHeight="1" x14ac:dyDescent="0.25">
      <c r="A69" s="6"/>
      <c r="B69" s="441"/>
      <c r="C69" s="2476" t="s">
        <v>6081</v>
      </c>
      <c r="D69" s="2706">
        <v>230000000</v>
      </c>
      <c r="E69" s="2688">
        <f>D69/D14*100</f>
        <v>0.12377539760792966</v>
      </c>
      <c r="F69" s="4418"/>
      <c r="G69" s="2708"/>
      <c r="H69" s="2708"/>
      <c r="I69" s="2708"/>
      <c r="J69" s="2739"/>
      <c r="K69" s="2709"/>
      <c r="L69" s="2708"/>
      <c r="M69" s="2708"/>
      <c r="N69" s="2711"/>
      <c r="P69" s="80"/>
    </row>
    <row r="70" spans="1:16" s="27" customFormat="1" ht="28.5" hidden="1" customHeight="1" x14ac:dyDescent="0.25">
      <c r="A70" s="6"/>
      <c r="B70" s="441"/>
      <c r="C70" s="2476" t="s">
        <v>6082</v>
      </c>
      <c r="D70" s="2706">
        <v>338950000</v>
      </c>
      <c r="E70" s="2688">
        <f>D70/D14*100</f>
        <v>0.18240726530090332</v>
      </c>
      <c r="F70" s="4418"/>
      <c r="G70" s="2708"/>
      <c r="H70" s="2708"/>
      <c r="I70" s="2708"/>
      <c r="J70" s="2739"/>
      <c r="K70" s="2709"/>
      <c r="L70" s="2708"/>
      <c r="M70" s="2708"/>
      <c r="N70" s="2711"/>
      <c r="P70" s="80"/>
    </row>
    <row r="71" spans="1:16" s="27" customFormat="1" ht="16.5" hidden="1" customHeight="1" x14ac:dyDescent="0.25">
      <c r="A71" s="6"/>
      <c r="B71" s="441"/>
      <c r="C71" s="2476" t="s">
        <v>6083</v>
      </c>
      <c r="D71" s="2706">
        <v>232317000</v>
      </c>
      <c r="E71" s="2688">
        <f>D71/D14*100</f>
        <v>0.1250223002003539</v>
      </c>
      <c r="F71" s="4418"/>
      <c r="G71" s="2708"/>
      <c r="H71" s="2708"/>
      <c r="I71" s="2708"/>
      <c r="J71" s="2739"/>
      <c r="K71" s="2709"/>
      <c r="L71" s="2708"/>
      <c r="M71" s="2708"/>
      <c r="N71" s="2711"/>
      <c r="P71" s="80"/>
    </row>
    <row r="72" spans="1:16" s="27" customFormat="1" ht="18.75" hidden="1" customHeight="1" x14ac:dyDescent="0.25">
      <c r="A72" s="6"/>
      <c r="B72" s="441"/>
      <c r="C72" s="2476" t="s">
        <v>6084</v>
      </c>
      <c r="D72" s="2706">
        <v>403679000</v>
      </c>
      <c r="E72" s="2688">
        <f>D72/D14*100</f>
        <v>0.21724142926509321</v>
      </c>
      <c r="F72" s="4418"/>
      <c r="G72" s="2708"/>
      <c r="H72" s="2708"/>
      <c r="I72" s="2708"/>
      <c r="J72" s="2739"/>
      <c r="K72" s="2709"/>
      <c r="L72" s="2708"/>
      <c r="M72" s="2708"/>
      <c r="N72" s="2711"/>
      <c r="P72" s="80"/>
    </row>
    <row r="73" spans="1:16" s="27" customFormat="1" ht="12.75" hidden="1" customHeight="1" x14ac:dyDescent="0.25">
      <c r="A73" s="6"/>
      <c r="B73" s="441"/>
      <c r="C73" s="2476"/>
      <c r="D73" s="2706"/>
      <c r="E73" s="2688"/>
      <c r="F73" s="4418"/>
      <c r="G73" s="2708"/>
      <c r="H73" s="2708"/>
      <c r="I73" s="2708"/>
      <c r="J73" s="2739"/>
      <c r="K73" s="2709"/>
      <c r="L73" s="2708"/>
      <c r="M73" s="2708"/>
      <c r="N73" s="2711"/>
      <c r="P73" s="80"/>
    </row>
    <row r="74" spans="1:16" s="27" customFormat="1" ht="16.5" hidden="1" customHeight="1" x14ac:dyDescent="0.25">
      <c r="A74" s="6"/>
      <c r="B74" s="441"/>
      <c r="C74" s="2477" t="s">
        <v>6085</v>
      </c>
      <c r="D74" s="2712">
        <f>SUM(D75:D85)</f>
        <v>5130000000</v>
      </c>
      <c r="E74" s="2693">
        <f>D74/D14*100</f>
        <v>2.7607295205594746</v>
      </c>
      <c r="F74" s="4418"/>
      <c r="G74" s="2708"/>
      <c r="H74" s="2708"/>
      <c r="I74" s="2708"/>
      <c r="J74" s="2739"/>
      <c r="K74" s="2709"/>
      <c r="L74" s="2708"/>
      <c r="M74" s="2708"/>
      <c r="N74" s="2711"/>
      <c r="P74" s="80"/>
    </row>
    <row r="75" spans="1:16" s="27" customFormat="1" ht="33.75" hidden="1" customHeight="1" x14ac:dyDescent="0.25">
      <c r="A75" s="6"/>
      <c r="B75" s="441"/>
      <c r="C75" s="2476" t="s">
        <v>6086</v>
      </c>
      <c r="D75" s="2706">
        <v>300000000</v>
      </c>
      <c r="E75" s="2688">
        <f>D75/D14*100</f>
        <v>0.16144617079295176</v>
      </c>
      <c r="F75" s="4418"/>
      <c r="G75" s="2708"/>
      <c r="H75" s="2708"/>
      <c r="I75" s="2708"/>
      <c r="J75" s="2739"/>
      <c r="K75" s="2709"/>
      <c r="L75" s="2708"/>
      <c r="M75" s="2708"/>
      <c r="N75" s="2711"/>
      <c r="P75" s="80"/>
    </row>
    <row r="76" spans="1:16" s="27" customFormat="1" ht="30.75" hidden="1" customHeight="1" x14ac:dyDescent="0.25">
      <c r="A76" s="6"/>
      <c r="B76" s="441"/>
      <c r="C76" s="2476" t="s">
        <v>6087</v>
      </c>
      <c r="D76" s="2706"/>
      <c r="E76" s="2688">
        <f>D76/D14*100</f>
        <v>0</v>
      </c>
      <c r="F76" s="4418"/>
      <c r="G76" s="2708"/>
      <c r="H76" s="2708"/>
      <c r="I76" s="2708"/>
      <c r="J76" s="2739"/>
      <c r="K76" s="2709"/>
      <c r="L76" s="2708"/>
      <c r="M76" s="2708"/>
      <c r="N76" s="2711"/>
      <c r="P76" s="80"/>
    </row>
    <row r="77" spans="1:16" s="27" customFormat="1" ht="27.75" hidden="1" customHeight="1" x14ac:dyDescent="0.25">
      <c r="A77" s="6"/>
      <c r="B77" s="441"/>
      <c r="C77" s="2476" t="s">
        <v>6088</v>
      </c>
      <c r="D77" s="2706"/>
      <c r="E77" s="2688">
        <f>D77/D14*100</f>
        <v>0</v>
      </c>
      <c r="F77" s="4418"/>
      <c r="G77" s="2708"/>
      <c r="H77" s="2708"/>
      <c r="I77" s="2708"/>
      <c r="J77" s="2739"/>
      <c r="K77" s="2709"/>
      <c r="L77" s="2708"/>
      <c r="M77" s="2708"/>
      <c r="N77" s="2711"/>
      <c r="P77" s="80"/>
    </row>
    <row r="78" spans="1:16" s="27" customFormat="1" ht="30.75" hidden="1" customHeight="1" x14ac:dyDescent="0.25">
      <c r="A78" s="6"/>
      <c r="B78" s="441"/>
      <c r="C78" s="2476" t="s">
        <v>6089</v>
      </c>
      <c r="D78" s="2706"/>
      <c r="E78" s="2688">
        <f>D78/D14*100</f>
        <v>0</v>
      </c>
      <c r="F78" s="4418"/>
      <c r="G78" s="2708"/>
      <c r="H78" s="2708"/>
      <c r="I78" s="2708"/>
      <c r="J78" s="2739"/>
      <c r="K78" s="2709"/>
      <c r="L78" s="2708"/>
      <c r="M78" s="2708"/>
      <c r="N78" s="2711"/>
      <c r="P78" s="80"/>
    </row>
    <row r="79" spans="1:16" s="27" customFormat="1" ht="31.5" hidden="1" customHeight="1" x14ac:dyDescent="0.25">
      <c r="A79" s="6"/>
      <c r="B79" s="441"/>
      <c r="C79" s="2476" t="s">
        <v>6090</v>
      </c>
      <c r="D79" s="2706">
        <v>240000000</v>
      </c>
      <c r="E79" s="2688">
        <f>D79/D14*100</f>
        <v>0.1291569366343614</v>
      </c>
      <c r="F79" s="4418"/>
      <c r="G79" s="2708"/>
      <c r="H79" s="2708"/>
      <c r="I79" s="2708"/>
      <c r="J79" s="2739"/>
      <c r="K79" s="2709"/>
      <c r="L79" s="2708"/>
      <c r="M79" s="2708"/>
      <c r="N79" s="2711"/>
      <c r="P79" s="80"/>
    </row>
    <row r="80" spans="1:16" s="27" customFormat="1" ht="29.25" hidden="1" customHeight="1" x14ac:dyDescent="0.25">
      <c r="A80" s="6"/>
      <c r="B80" s="441"/>
      <c r="C80" s="2476" t="s">
        <v>6091</v>
      </c>
      <c r="D80" s="2706">
        <v>300000000</v>
      </c>
      <c r="E80" s="2688">
        <f>D80/D14*100</f>
        <v>0.16144617079295176</v>
      </c>
      <c r="F80" s="4418"/>
      <c r="G80" s="2708"/>
      <c r="H80" s="2708"/>
      <c r="I80" s="2708"/>
      <c r="J80" s="2739"/>
      <c r="K80" s="2709"/>
      <c r="L80" s="2708"/>
      <c r="M80" s="2708"/>
      <c r="N80" s="2711"/>
      <c r="P80" s="80"/>
    </row>
    <row r="81" spans="1:16" s="27" customFormat="1" ht="27" hidden="1" customHeight="1" x14ac:dyDescent="0.25">
      <c r="A81" s="6"/>
      <c r="B81" s="441"/>
      <c r="C81" s="2476" t="s">
        <v>6092</v>
      </c>
      <c r="D81" s="2706">
        <v>220000000</v>
      </c>
      <c r="E81" s="2688">
        <f>D81/D14*100</f>
        <v>0.11839385858149795</v>
      </c>
      <c r="F81" s="4418"/>
      <c r="G81" s="2708"/>
      <c r="H81" s="2708"/>
      <c r="I81" s="2708"/>
      <c r="J81" s="2739"/>
      <c r="K81" s="2709"/>
      <c r="L81" s="2708"/>
      <c r="M81" s="2708"/>
      <c r="N81" s="2711"/>
      <c r="P81" s="80"/>
    </row>
    <row r="82" spans="1:16" s="27" customFormat="1" ht="18.75" hidden="1" customHeight="1" x14ac:dyDescent="0.25">
      <c r="A82" s="6"/>
      <c r="B82" s="441"/>
      <c r="C82" s="2476" t="s">
        <v>6093</v>
      </c>
      <c r="D82" s="2706"/>
      <c r="E82" s="2688">
        <f>D82/D14*100</f>
        <v>0</v>
      </c>
      <c r="F82" s="4418"/>
      <c r="G82" s="2708"/>
      <c r="H82" s="2708"/>
      <c r="I82" s="2708"/>
      <c r="J82" s="2739"/>
      <c r="K82" s="2709"/>
      <c r="L82" s="2708"/>
      <c r="M82" s="2708"/>
      <c r="N82" s="2711"/>
      <c r="P82" s="80"/>
    </row>
    <row r="83" spans="1:16" s="27" customFormat="1" ht="29.25" hidden="1" customHeight="1" x14ac:dyDescent="0.25">
      <c r="A83" s="6"/>
      <c r="B83" s="441"/>
      <c r="C83" s="2476" t="s">
        <v>6094</v>
      </c>
      <c r="D83" s="2706"/>
      <c r="E83" s="2688">
        <f>D83/D14*100</f>
        <v>0</v>
      </c>
      <c r="F83" s="4418"/>
      <c r="G83" s="2708"/>
      <c r="H83" s="2708"/>
      <c r="I83" s="2708"/>
      <c r="J83" s="2739"/>
      <c r="K83" s="2709"/>
      <c r="L83" s="2708"/>
      <c r="M83" s="2708"/>
      <c r="N83" s="2711"/>
      <c r="P83" s="80"/>
    </row>
    <row r="84" spans="1:16" s="27" customFormat="1" ht="32.25" hidden="1" customHeight="1" x14ac:dyDescent="0.25">
      <c r="A84" s="6"/>
      <c r="B84" s="441"/>
      <c r="C84" s="2476" t="s">
        <v>6095</v>
      </c>
      <c r="D84" s="2706">
        <v>270000000</v>
      </c>
      <c r="E84" s="2688">
        <f>D84/D14*100</f>
        <v>0.14530155371365658</v>
      </c>
      <c r="F84" s="4418"/>
      <c r="G84" s="2708"/>
      <c r="H84" s="2708"/>
      <c r="I84" s="2708"/>
      <c r="J84" s="2739"/>
      <c r="K84" s="2709"/>
      <c r="L84" s="2708"/>
      <c r="M84" s="2708"/>
      <c r="N84" s="2711"/>
      <c r="P84" s="80"/>
    </row>
    <row r="85" spans="1:16" s="27" customFormat="1" ht="30" hidden="1" customHeight="1" x14ac:dyDescent="0.25">
      <c r="A85" s="6"/>
      <c r="B85" s="441"/>
      <c r="C85" s="2476" t="s">
        <v>6096</v>
      </c>
      <c r="D85" s="2706">
        <v>3800000000</v>
      </c>
      <c r="E85" s="2688">
        <f>D85/D14*100</f>
        <v>2.0449848300440552</v>
      </c>
      <c r="F85" s="4418"/>
      <c r="G85" s="2708"/>
      <c r="H85" s="2708"/>
      <c r="I85" s="2708"/>
      <c r="J85" s="2739"/>
      <c r="K85" s="2709"/>
      <c r="L85" s="2708"/>
      <c r="M85" s="2708"/>
      <c r="N85" s="2711"/>
      <c r="P85" s="80"/>
    </row>
    <row r="86" spans="1:16" s="27" customFormat="1" ht="9.75" hidden="1" customHeight="1" x14ac:dyDescent="0.25">
      <c r="A86" s="6"/>
      <c r="B86" s="441"/>
      <c r="C86" s="2476"/>
      <c r="D86" s="2706"/>
      <c r="E86" s="2688"/>
      <c r="F86" s="4418"/>
      <c r="G86" s="2708"/>
      <c r="H86" s="2708"/>
      <c r="I86" s="2708"/>
      <c r="J86" s="2739"/>
      <c r="K86" s="2709"/>
      <c r="L86" s="2708"/>
      <c r="M86" s="2708"/>
      <c r="N86" s="2711"/>
      <c r="P86" s="80"/>
    </row>
    <row r="87" spans="1:16" s="27" customFormat="1" ht="30.75" hidden="1" customHeight="1" x14ac:dyDescent="0.25">
      <c r="A87" s="6"/>
      <c r="B87" s="441"/>
      <c r="C87" s="2477" t="s">
        <v>6097</v>
      </c>
      <c r="D87" s="2712">
        <f>SUM(D88:D95)</f>
        <v>2484436000</v>
      </c>
      <c r="E87" s="2693">
        <f>D87/D14*100</f>
        <v>1.3370089292671927</v>
      </c>
      <c r="F87" s="4418"/>
      <c r="G87" s="2708"/>
      <c r="H87" s="2708"/>
      <c r="I87" s="2708"/>
      <c r="J87" s="2739"/>
      <c r="K87" s="2709"/>
      <c r="L87" s="2708"/>
      <c r="M87" s="2708"/>
      <c r="N87" s="2711"/>
      <c r="P87" s="80"/>
    </row>
    <row r="88" spans="1:16" s="27" customFormat="1" ht="17.25" hidden="1" customHeight="1" x14ac:dyDescent="0.25">
      <c r="A88" s="6"/>
      <c r="B88" s="441"/>
      <c r="C88" s="2476" t="s">
        <v>6098</v>
      </c>
      <c r="D88" s="2706">
        <v>653545000</v>
      </c>
      <c r="E88" s="2688">
        <f>D88/D14*100</f>
        <v>0.3517077923029322</v>
      </c>
      <c r="F88" s="4418"/>
      <c r="G88" s="2708"/>
      <c r="H88" s="2708"/>
      <c r="I88" s="2708"/>
      <c r="J88" s="2739"/>
      <c r="K88" s="2709"/>
      <c r="L88" s="2708"/>
      <c r="M88" s="2708"/>
      <c r="N88" s="2711"/>
      <c r="P88" s="80"/>
    </row>
    <row r="89" spans="1:16" s="31" customFormat="1" ht="16.5" hidden="1" customHeight="1" x14ac:dyDescent="0.25">
      <c r="A89" s="5"/>
      <c r="B89" s="442"/>
      <c r="C89" s="2476" t="s">
        <v>6099</v>
      </c>
      <c r="D89" s="2706">
        <v>300000000</v>
      </c>
      <c r="E89" s="2688">
        <f>D89/D14*100</f>
        <v>0.16144617079295176</v>
      </c>
      <c r="F89" s="4418"/>
      <c r="G89" s="2708"/>
      <c r="H89" s="2708"/>
      <c r="I89" s="2708"/>
      <c r="J89" s="2739"/>
      <c r="K89" s="2709"/>
      <c r="L89" s="2708"/>
      <c r="M89" s="2708"/>
      <c r="N89" s="3936"/>
      <c r="P89" s="637"/>
    </row>
    <row r="90" spans="1:16" s="31" customFormat="1" ht="17.25" hidden="1" customHeight="1" x14ac:dyDescent="0.25">
      <c r="A90" s="5"/>
      <c r="B90" s="442"/>
      <c r="C90" s="2476" t="s">
        <v>6100</v>
      </c>
      <c r="D90" s="2706">
        <v>199796000</v>
      </c>
      <c r="E90" s="2688">
        <f>D90/D14*100</f>
        <v>0.10752099713249529</v>
      </c>
      <c r="F90" s="4418"/>
      <c r="G90" s="2708"/>
      <c r="H90" s="2708"/>
      <c r="I90" s="2708"/>
      <c r="J90" s="2739"/>
      <c r="K90" s="2709"/>
      <c r="L90" s="2708"/>
      <c r="M90" s="2708"/>
      <c r="N90" s="3936"/>
      <c r="P90" s="637"/>
    </row>
    <row r="91" spans="1:16" s="31" customFormat="1" ht="30.75" hidden="1" customHeight="1" x14ac:dyDescent="0.25">
      <c r="A91" s="5"/>
      <c r="B91" s="442"/>
      <c r="C91" s="2476" t="s">
        <v>6101</v>
      </c>
      <c r="D91" s="2706">
        <v>240000000</v>
      </c>
      <c r="E91" s="2688">
        <f>D91/D14*100</f>
        <v>0.1291569366343614</v>
      </c>
      <c r="F91" s="4418"/>
      <c r="G91" s="2708"/>
      <c r="H91" s="2708"/>
      <c r="I91" s="2708"/>
      <c r="J91" s="2739"/>
      <c r="K91" s="2709"/>
      <c r="L91" s="2708"/>
      <c r="M91" s="2708"/>
      <c r="N91" s="3936"/>
      <c r="P91" s="637"/>
    </row>
    <row r="92" spans="1:16" s="31" customFormat="1" ht="30" hidden="1" customHeight="1" x14ac:dyDescent="0.25">
      <c r="A92" s="5"/>
      <c r="B92" s="442"/>
      <c r="C92" s="2476" t="s">
        <v>6102</v>
      </c>
      <c r="D92" s="2706">
        <v>240000000</v>
      </c>
      <c r="E92" s="2688">
        <f>D92/D14*100</f>
        <v>0.1291569366343614</v>
      </c>
      <c r="F92" s="4418"/>
      <c r="G92" s="2708"/>
      <c r="H92" s="2708"/>
      <c r="I92" s="2708"/>
      <c r="J92" s="2739"/>
      <c r="K92" s="2709"/>
      <c r="L92" s="2708"/>
      <c r="M92" s="2708"/>
      <c r="N92" s="3936"/>
      <c r="P92" s="637"/>
    </row>
    <row r="93" spans="1:16" s="31" customFormat="1" ht="31.5" hidden="1" customHeight="1" x14ac:dyDescent="0.25">
      <c r="A93" s="5"/>
      <c r="B93" s="442"/>
      <c r="C93" s="2476" t="s">
        <v>6103</v>
      </c>
      <c r="D93" s="2706">
        <v>223200000</v>
      </c>
      <c r="E93" s="2688">
        <f>D93/D14*100</f>
        <v>0.1201159510699561</v>
      </c>
      <c r="F93" s="4418"/>
      <c r="G93" s="2708"/>
      <c r="H93" s="2708"/>
      <c r="I93" s="2708"/>
      <c r="J93" s="2739"/>
      <c r="K93" s="2709"/>
      <c r="L93" s="2708"/>
      <c r="M93" s="2708"/>
      <c r="N93" s="3936"/>
      <c r="P93" s="637"/>
    </row>
    <row r="94" spans="1:16" s="31" customFormat="1" ht="29.25" hidden="1" customHeight="1" x14ac:dyDescent="0.25">
      <c r="A94" s="5"/>
      <c r="B94" s="442"/>
      <c r="C94" s="2476" t="s">
        <v>7905</v>
      </c>
      <c r="D94" s="2706">
        <v>297895000</v>
      </c>
      <c r="E94" s="2688">
        <f>D94/D14*100</f>
        <v>0.16031335682788786</v>
      </c>
      <c r="F94" s="4418"/>
      <c r="G94" s="2708"/>
      <c r="H94" s="2708"/>
      <c r="I94" s="2708"/>
      <c r="J94" s="2739"/>
      <c r="K94" s="2709"/>
      <c r="L94" s="2708"/>
      <c r="M94" s="2708"/>
      <c r="N94" s="3936"/>
      <c r="P94" s="637"/>
    </row>
    <row r="95" spans="1:16" s="31" customFormat="1" ht="19.5" hidden="1" customHeight="1" x14ac:dyDescent="0.25">
      <c r="A95" s="5"/>
      <c r="B95" s="442"/>
      <c r="C95" s="2476" t="s">
        <v>6104</v>
      </c>
      <c r="D95" s="2706">
        <v>330000000</v>
      </c>
      <c r="E95" s="2688">
        <f>D95/D14*100</f>
        <v>0.17759078787224691</v>
      </c>
      <c r="F95" s="4418"/>
      <c r="G95" s="2708"/>
      <c r="H95" s="2708"/>
      <c r="I95" s="2708"/>
      <c r="J95" s="2739"/>
      <c r="K95" s="2709"/>
      <c r="L95" s="2708"/>
      <c r="M95" s="2708"/>
      <c r="N95" s="3936"/>
      <c r="P95" s="637"/>
    </row>
    <row r="96" spans="1:16" s="27" customFormat="1" ht="11.25" hidden="1" customHeight="1" x14ac:dyDescent="0.25">
      <c r="A96" s="6"/>
      <c r="B96" s="441"/>
      <c r="C96" s="2477"/>
      <c r="D96" s="2706"/>
      <c r="E96" s="2688"/>
      <c r="F96" s="4418"/>
      <c r="G96" s="2708"/>
      <c r="H96" s="2708"/>
      <c r="I96" s="2708"/>
      <c r="J96" s="2739"/>
      <c r="K96" s="2709"/>
      <c r="L96" s="2708"/>
      <c r="M96" s="2708"/>
      <c r="N96" s="2711"/>
      <c r="P96" s="80"/>
    </row>
    <row r="97" spans="1:16" s="27" customFormat="1" ht="20.25" hidden="1" customHeight="1" x14ac:dyDescent="0.25">
      <c r="A97" s="6"/>
      <c r="B97" s="441"/>
      <c r="C97" s="2477" t="s">
        <v>6105</v>
      </c>
      <c r="D97" s="2712">
        <f>SUM(D98:D105)</f>
        <v>0</v>
      </c>
      <c r="E97" s="2693">
        <f>D97/D14*100</f>
        <v>0</v>
      </c>
      <c r="F97" s="4418"/>
      <c r="G97" s="2708"/>
      <c r="H97" s="2708"/>
      <c r="I97" s="2708"/>
      <c r="J97" s="2739"/>
      <c r="K97" s="2709"/>
      <c r="L97" s="2708"/>
      <c r="M97" s="2708"/>
      <c r="N97" s="2711"/>
      <c r="P97" s="80"/>
    </row>
    <row r="98" spans="1:16" s="31" customFormat="1" ht="17.25" hidden="1" customHeight="1" x14ac:dyDescent="0.25">
      <c r="A98" s="5"/>
      <c r="B98" s="442"/>
      <c r="C98" s="2476" t="s">
        <v>6106</v>
      </c>
      <c r="D98" s="2706"/>
      <c r="E98" s="2688">
        <f>D98/D14*100</f>
        <v>0</v>
      </c>
      <c r="F98" s="4418"/>
      <c r="G98" s="2708"/>
      <c r="H98" s="2708"/>
      <c r="I98" s="2708"/>
      <c r="J98" s="2739"/>
      <c r="K98" s="2709"/>
      <c r="L98" s="2708"/>
      <c r="M98" s="2708"/>
      <c r="N98" s="3936"/>
      <c r="P98" s="637"/>
    </row>
    <row r="99" spans="1:16" s="31" customFormat="1" ht="34.5" hidden="1" customHeight="1" x14ac:dyDescent="0.25">
      <c r="A99" s="5"/>
      <c r="B99" s="442"/>
      <c r="C99" s="2476" t="s">
        <v>6107</v>
      </c>
      <c r="D99" s="2706"/>
      <c r="E99" s="2688">
        <f>D99/D14*100</f>
        <v>0</v>
      </c>
      <c r="F99" s="4418"/>
      <c r="G99" s="2708"/>
      <c r="H99" s="2708"/>
      <c r="I99" s="2708"/>
      <c r="J99" s="2739"/>
      <c r="K99" s="2709"/>
      <c r="L99" s="2708"/>
      <c r="M99" s="2708"/>
      <c r="N99" s="3936"/>
      <c r="P99" s="637"/>
    </row>
    <row r="100" spans="1:16" s="31" customFormat="1" ht="34.5" hidden="1" customHeight="1" x14ac:dyDescent="0.25">
      <c r="A100" s="5"/>
      <c r="B100" s="442"/>
      <c r="C100" s="2476" t="s">
        <v>6108</v>
      </c>
      <c r="D100" s="2706"/>
      <c r="E100" s="2688">
        <f>D100/D14*100</f>
        <v>0</v>
      </c>
      <c r="F100" s="4418"/>
      <c r="G100" s="2708"/>
      <c r="H100" s="2708"/>
      <c r="I100" s="2708"/>
      <c r="J100" s="2739"/>
      <c r="K100" s="2709"/>
      <c r="L100" s="2708"/>
      <c r="M100" s="2708"/>
      <c r="N100" s="3936"/>
      <c r="P100" s="637"/>
    </row>
    <row r="101" spans="1:16" s="31" customFormat="1" ht="20.25" hidden="1" customHeight="1" x14ac:dyDescent="0.25">
      <c r="A101" s="5"/>
      <c r="B101" s="442"/>
      <c r="C101" s="2476" t="s">
        <v>6109</v>
      </c>
      <c r="D101" s="2706"/>
      <c r="E101" s="2688">
        <f>D101/D14*100</f>
        <v>0</v>
      </c>
      <c r="F101" s="4418"/>
      <c r="G101" s="2708"/>
      <c r="H101" s="2708"/>
      <c r="I101" s="2708"/>
      <c r="J101" s="2739"/>
      <c r="K101" s="2709"/>
      <c r="L101" s="2708"/>
      <c r="M101" s="2708"/>
      <c r="N101" s="3936"/>
      <c r="P101" s="637"/>
    </row>
    <row r="102" spans="1:16" s="31" customFormat="1" ht="16.5" hidden="1" customHeight="1" x14ac:dyDescent="0.25">
      <c r="A102" s="5"/>
      <c r="B102" s="442"/>
      <c r="C102" s="2476" t="s">
        <v>6110</v>
      </c>
      <c r="D102" s="2706"/>
      <c r="E102" s="2688">
        <f>D102/D14*100</f>
        <v>0</v>
      </c>
      <c r="F102" s="4418"/>
      <c r="G102" s="2708"/>
      <c r="H102" s="2708"/>
      <c r="I102" s="2708"/>
      <c r="J102" s="2739"/>
      <c r="K102" s="2709"/>
      <c r="L102" s="2708"/>
      <c r="M102" s="2708"/>
      <c r="N102" s="3936"/>
      <c r="P102" s="637"/>
    </row>
    <row r="103" spans="1:16" s="31" customFormat="1" ht="30.75" hidden="1" customHeight="1" x14ac:dyDescent="0.25">
      <c r="A103" s="5"/>
      <c r="B103" s="442"/>
      <c r="C103" s="2476" t="s">
        <v>6111</v>
      </c>
      <c r="D103" s="2706"/>
      <c r="E103" s="2688">
        <f>D103/D14*100</f>
        <v>0</v>
      </c>
      <c r="F103" s="4418"/>
      <c r="G103" s="2708"/>
      <c r="H103" s="2708"/>
      <c r="I103" s="2708"/>
      <c r="J103" s="2739"/>
      <c r="K103" s="2709"/>
      <c r="L103" s="2708"/>
      <c r="M103" s="2708"/>
      <c r="N103" s="3936"/>
      <c r="P103" s="637"/>
    </row>
    <row r="104" spans="1:16" s="31" customFormat="1" ht="30" hidden="1" customHeight="1" x14ac:dyDescent="0.25">
      <c r="A104" s="5"/>
      <c r="B104" s="442"/>
      <c r="C104" s="2476" t="s">
        <v>6112</v>
      </c>
      <c r="D104" s="2706"/>
      <c r="E104" s="2688">
        <f>D104/D14*100</f>
        <v>0</v>
      </c>
      <c r="F104" s="4418"/>
      <c r="G104" s="2708"/>
      <c r="H104" s="2708"/>
      <c r="I104" s="2708"/>
      <c r="J104" s="2739"/>
      <c r="K104" s="2709"/>
      <c r="L104" s="2708"/>
      <c r="M104" s="2708"/>
      <c r="N104" s="3936"/>
      <c r="P104" s="637"/>
    </row>
    <row r="105" spans="1:16" s="31" customFormat="1" ht="44.25" hidden="1" customHeight="1" x14ac:dyDescent="0.25">
      <c r="A105" s="5"/>
      <c r="B105" s="442"/>
      <c r="C105" s="2495" t="s">
        <v>7867</v>
      </c>
      <c r="D105" s="2706"/>
      <c r="E105" s="2688">
        <f>D105/D14*100</f>
        <v>0</v>
      </c>
      <c r="F105" s="4418"/>
      <c r="G105" s="2708"/>
      <c r="H105" s="2708"/>
      <c r="I105" s="2708"/>
      <c r="J105" s="2739"/>
      <c r="K105" s="2709"/>
      <c r="L105" s="2708"/>
      <c r="M105" s="2708"/>
      <c r="N105" s="3936"/>
      <c r="P105" s="637"/>
    </row>
    <row r="106" spans="1:16" s="27" customFormat="1" ht="9.75" hidden="1" customHeight="1" x14ac:dyDescent="0.25">
      <c r="A106" s="6"/>
      <c r="B106" s="441"/>
      <c r="C106" s="2477"/>
      <c r="D106" s="2706"/>
      <c r="E106" s="2688"/>
      <c r="F106" s="4418"/>
      <c r="G106" s="2708"/>
      <c r="H106" s="2708"/>
      <c r="I106" s="2708"/>
      <c r="J106" s="2739"/>
      <c r="K106" s="2709"/>
      <c r="L106" s="2708"/>
      <c r="M106" s="2708"/>
      <c r="N106" s="2711"/>
      <c r="P106" s="80"/>
    </row>
    <row r="107" spans="1:16" s="27" customFormat="1" ht="31.5" hidden="1" customHeight="1" x14ac:dyDescent="0.25">
      <c r="A107" s="6"/>
      <c r="B107" s="441"/>
      <c r="C107" s="2477" t="s">
        <v>6113</v>
      </c>
      <c r="D107" s="2712">
        <f>D108</f>
        <v>220000000</v>
      </c>
      <c r="E107" s="2688">
        <f>D107/D14*100</f>
        <v>0.11839385858149795</v>
      </c>
      <c r="F107" s="4418"/>
      <c r="G107" s="2708"/>
      <c r="H107" s="2708"/>
      <c r="I107" s="2708"/>
      <c r="J107" s="2739"/>
      <c r="K107" s="2709"/>
      <c r="L107" s="2708"/>
      <c r="M107" s="2708"/>
      <c r="N107" s="2711"/>
      <c r="P107" s="80"/>
    </row>
    <row r="108" spans="1:16" s="31" customFormat="1" ht="30.75" hidden="1" customHeight="1" x14ac:dyDescent="0.25">
      <c r="A108" s="5"/>
      <c r="B108" s="442"/>
      <c r="C108" s="2495" t="s">
        <v>6114</v>
      </c>
      <c r="D108" s="2706">
        <v>220000000</v>
      </c>
      <c r="E108" s="2688">
        <f>D108/D14*100</f>
        <v>0.11839385858149795</v>
      </c>
      <c r="F108" s="4418"/>
      <c r="G108" s="2708"/>
      <c r="H108" s="2708"/>
      <c r="I108" s="2708"/>
      <c r="J108" s="2739"/>
      <c r="K108" s="2709"/>
      <c r="L108" s="2708"/>
      <c r="M108" s="2708"/>
      <c r="N108" s="3936"/>
      <c r="P108" s="637"/>
    </row>
    <row r="109" spans="1:16" s="27" customFormat="1" ht="15.75" hidden="1" customHeight="1" x14ac:dyDescent="0.25">
      <c r="A109" s="6"/>
      <c r="B109" s="441"/>
      <c r="C109" s="2477"/>
      <c r="D109" s="2706"/>
      <c r="E109" s="2707"/>
      <c r="F109" s="4418"/>
      <c r="G109" s="2708"/>
      <c r="H109" s="2708"/>
      <c r="I109" s="2708"/>
      <c r="J109" s="2739"/>
      <c r="K109" s="2709"/>
      <c r="L109" s="2708"/>
      <c r="M109" s="2708"/>
      <c r="N109" s="2711"/>
      <c r="P109" s="80"/>
    </row>
    <row r="110" spans="1:16" s="27" customFormat="1" ht="18" hidden="1" customHeight="1" x14ac:dyDescent="0.25">
      <c r="A110" s="6"/>
      <c r="B110" s="440" t="s">
        <v>111</v>
      </c>
      <c r="C110" s="2471" t="s">
        <v>137</v>
      </c>
      <c r="D110" s="2669">
        <f>SUM(D111+D117+D121)</f>
        <v>10651856000</v>
      </c>
      <c r="E110" s="2717">
        <f>D110/D14*100</f>
        <v>5.7323378767930926</v>
      </c>
      <c r="F110" s="4419"/>
      <c r="G110" s="2741"/>
      <c r="H110" s="2741"/>
      <c r="I110" s="2741"/>
      <c r="J110" s="2748"/>
      <c r="K110" s="3149"/>
      <c r="L110" s="2741"/>
      <c r="M110" s="2741"/>
      <c r="N110" s="3937"/>
      <c r="P110" s="80"/>
    </row>
    <row r="111" spans="1:16" s="27" customFormat="1" ht="18" hidden="1" customHeight="1" x14ac:dyDescent="0.25">
      <c r="A111" s="6"/>
      <c r="B111" s="441"/>
      <c r="C111" s="2478" t="s">
        <v>6115</v>
      </c>
      <c r="D111" s="2721">
        <f>SUM(D112:D115)</f>
        <v>4801856000</v>
      </c>
      <c r="E111" s="2693">
        <f>D111/D14*100</f>
        <v>2.5841375463305334</v>
      </c>
      <c r="F111" s="4420"/>
      <c r="G111" s="2830"/>
      <c r="H111" s="2830"/>
      <c r="I111" s="2830"/>
      <c r="J111" s="2754"/>
      <c r="K111" s="2769"/>
      <c r="L111" s="2830"/>
      <c r="M111" s="2830"/>
      <c r="N111" s="2898"/>
      <c r="P111" s="80"/>
    </row>
    <row r="112" spans="1:16" s="31" customFormat="1" ht="15.75" hidden="1" customHeight="1" x14ac:dyDescent="0.25">
      <c r="A112" s="5"/>
      <c r="B112" s="442"/>
      <c r="C112" s="2476" t="s">
        <v>6116</v>
      </c>
      <c r="D112" s="2706">
        <v>1426770000</v>
      </c>
      <c r="E112" s="2688">
        <f>D112/D14*100</f>
        <v>0.76782184367419926</v>
      </c>
      <c r="F112" s="4418"/>
      <c r="G112" s="2708"/>
      <c r="H112" s="2708"/>
      <c r="I112" s="2708"/>
      <c r="J112" s="2739"/>
      <c r="K112" s="2709"/>
      <c r="L112" s="2708"/>
      <c r="M112" s="2708"/>
      <c r="N112" s="3936"/>
      <c r="P112" s="637"/>
    </row>
    <row r="113" spans="1:16" s="31" customFormat="1" ht="17.25" hidden="1" customHeight="1" x14ac:dyDescent="0.25">
      <c r="A113" s="5"/>
      <c r="B113" s="442"/>
      <c r="C113" s="2476" t="s">
        <v>6117</v>
      </c>
      <c r="D113" s="2706">
        <v>1547316000</v>
      </c>
      <c r="E113" s="2688">
        <f>D113/D14*100</f>
        <v>0.83269414402222308</v>
      </c>
      <c r="F113" s="4418"/>
      <c r="G113" s="2708"/>
      <c r="H113" s="2708"/>
      <c r="I113" s="2708"/>
      <c r="J113" s="2739"/>
      <c r="K113" s="2709"/>
      <c r="L113" s="2708"/>
      <c r="M113" s="2708"/>
      <c r="N113" s="3936"/>
      <c r="P113" s="637"/>
    </row>
    <row r="114" spans="1:16" s="31" customFormat="1" ht="30.75" hidden="1" customHeight="1" x14ac:dyDescent="0.25">
      <c r="A114" s="5"/>
      <c r="B114" s="442"/>
      <c r="C114" s="2476" t="s">
        <v>6118</v>
      </c>
      <c r="D114" s="2706">
        <v>327770000</v>
      </c>
      <c r="E114" s="2688">
        <f>D114/D14*100</f>
        <v>0.17639070466935264</v>
      </c>
      <c r="F114" s="4418"/>
      <c r="G114" s="2708"/>
      <c r="H114" s="2708"/>
      <c r="I114" s="2708"/>
      <c r="J114" s="2739"/>
      <c r="K114" s="2709"/>
      <c r="L114" s="2708"/>
      <c r="M114" s="2708"/>
      <c r="N114" s="3936"/>
      <c r="P114" s="637"/>
    </row>
    <row r="115" spans="1:16" s="31" customFormat="1" ht="18.75" hidden="1" customHeight="1" x14ac:dyDescent="0.25">
      <c r="A115" s="5"/>
      <c r="B115" s="442"/>
      <c r="C115" s="2476" t="s">
        <v>6119</v>
      </c>
      <c r="D115" s="2706">
        <v>1500000000</v>
      </c>
      <c r="E115" s="2688">
        <f>D115/D14*100</f>
        <v>0.80723085396475869</v>
      </c>
      <c r="F115" s="4418"/>
      <c r="G115" s="2708"/>
      <c r="H115" s="2708"/>
      <c r="I115" s="2708"/>
      <c r="J115" s="2739"/>
      <c r="K115" s="2709"/>
      <c r="L115" s="2708"/>
      <c r="M115" s="2708"/>
      <c r="N115" s="3936"/>
      <c r="P115" s="637"/>
    </row>
    <row r="116" spans="1:16" s="27" customFormat="1" ht="12" hidden="1" customHeight="1" x14ac:dyDescent="0.25">
      <c r="A116" s="6"/>
      <c r="B116" s="441"/>
      <c r="C116" s="2477"/>
      <c r="D116" s="2706"/>
      <c r="E116" s="2688"/>
      <c r="F116" s="4418"/>
      <c r="G116" s="2708"/>
      <c r="H116" s="2708"/>
      <c r="I116" s="2708"/>
      <c r="J116" s="2739"/>
      <c r="K116" s="2709"/>
      <c r="L116" s="2708"/>
      <c r="M116" s="2708"/>
      <c r="N116" s="2711"/>
      <c r="P116" s="80"/>
    </row>
    <row r="117" spans="1:16" s="27" customFormat="1" ht="17.25" hidden="1" customHeight="1" x14ac:dyDescent="0.25">
      <c r="A117" s="6"/>
      <c r="B117" s="441"/>
      <c r="C117" s="2477" t="s">
        <v>6120</v>
      </c>
      <c r="D117" s="2712">
        <f>SUM(D118:D119)</f>
        <v>1850000000</v>
      </c>
      <c r="E117" s="2693">
        <f>D117/D14*100</f>
        <v>0.99558471988986907</v>
      </c>
      <c r="F117" s="4418"/>
      <c r="G117" s="2708"/>
      <c r="H117" s="2708"/>
      <c r="I117" s="2708"/>
      <c r="J117" s="2739"/>
      <c r="K117" s="2709"/>
      <c r="L117" s="2708"/>
      <c r="M117" s="2708"/>
      <c r="N117" s="2711"/>
      <c r="P117" s="80"/>
    </row>
    <row r="118" spans="1:16" s="31" customFormat="1" ht="18" hidden="1" customHeight="1" x14ac:dyDescent="0.25">
      <c r="A118" s="5"/>
      <c r="B118" s="442"/>
      <c r="C118" s="2476" t="s">
        <v>6121</v>
      </c>
      <c r="D118" s="2706">
        <v>1000000000</v>
      </c>
      <c r="E118" s="2688">
        <f>D118/D14*100</f>
        <v>0.53815390264317253</v>
      </c>
      <c r="F118" s="4418"/>
      <c r="G118" s="2708"/>
      <c r="H118" s="2708"/>
      <c r="I118" s="2708"/>
      <c r="J118" s="2739"/>
      <c r="K118" s="2709"/>
      <c r="L118" s="2708"/>
      <c r="M118" s="2708"/>
      <c r="N118" s="3936"/>
      <c r="P118" s="637"/>
    </row>
    <row r="119" spans="1:16" s="31" customFormat="1" ht="19.5" hidden="1" customHeight="1" x14ac:dyDescent="0.25">
      <c r="A119" s="5"/>
      <c r="B119" s="442"/>
      <c r="C119" s="2476" t="s">
        <v>6122</v>
      </c>
      <c r="D119" s="2706">
        <v>850000000</v>
      </c>
      <c r="E119" s="2688">
        <f>D119/D14*100</f>
        <v>0.4574308172466966</v>
      </c>
      <c r="F119" s="4418"/>
      <c r="G119" s="2708"/>
      <c r="H119" s="2708"/>
      <c r="I119" s="2708"/>
      <c r="J119" s="2739"/>
      <c r="K119" s="2709"/>
      <c r="L119" s="2708"/>
      <c r="M119" s="2708"/>
      <c r="N119" s="3936"/>
      <c r="P119" s="637"/>
    </row>
    <row r="120" spans="1:16" s="31" customFormat="1" ht="10.5" hidden="1" customHeight="1" x14ac:dyDescent="0.25">
      <c r="A120" s="5"/>
      <c r="B120" s="442"/>
      <c r="C120" s="2476"/>
      <c r="D120" s="2706"/>
      <c r="E120" s="2688"/>
      <c r="F120" s="4418"/>
      <c r="G120" s="2708"/>
      <c r="H120" s="2708"/>
      <c r="I120" s="2708"/>
      <c r="J120" s="2739"/>
      <c r="K120" s="2709"/>
      <c r="L120" s="2708"/>
      <c r="M120" s="2708"/>
      <c r="N120" s="3936"/>
      <c r="P120" s="637"/>
    </row>
    <row r="121" spans="1:16" s="31" customFormat="1" ht="18.75" hidden="1" customHeight="1" x14ac:dyDescent="0.25">
      <c r="A121" s="5"/>
      <c r="B121" s="442"/>
      <c r="C121" s="2477" t="s">
        <v>7862</v>
      </c>
      <c r="D121" s="2712">
        <f>SUM(D122:D125)</f>
        <v>4000000000</v>
      </c>
      <c r="E121" s="2693">
        <f>D121/D14*100</f>
        <v>2.1526156105726901</v>
      </c>
      <c r="F121" s="4418"/>
      <c r="G121" s="2708"/>
      <c r="H121" s="2708"/>
      <c r="I121" s="2708"/>
      <c r="J121" s="2739"/>
      <c r="K121" s="2709"/>
      <c r="L121" s="2708"/>
      <c r="M121" s="2708"/>
      <c r="N121" s="3936"/>
      <c r="P121" s="637"/>
    </row>
    <row r="122" spans="1:16" s="31" customFormat="1" ht="15" hidden="1" customHeight="1" x14ac:dyDescent="0.25">
      <c r="A122" s="5"/>
      <c r="B122" s="442"/>
      <c r="C122" s="2476" t="s">
        <v>7863</v>
      </c>
      <c r="D122" s="2706">
        <v>1800000000</v>
      </c>
      <c r="E122" s="2688">
        <f>D122/D14*100</f>
        <v>0.96867702475771056</v>
      </c>
      <c r="F122" s="4418"/>
      <c r="G122" s="2708"/>
      <c r="H122" s="2708"/>
      <c r="I122" s="2708"/>
      <c r="J122" s="2739"/>
      <c r="K122" s="2709"/>
      <c r="L122" s="2708"/>
      <c r="M122" s="2708"/>
      <c r="N122" s="3936"/>
      <c r="P122" s="637"/>
    </row>
    <row r="123" spans="1:16" s="31" customFormat="1" ht="16.5" hidden="1" customHeight="1" x14ac:dyDescent="0.25">
      <c r="A123" s="5"/>
      <c r="B123" s="442"/>
      <c r="C123" s="2476" t="s">
        <v>7864</v>
      </c>
      <c r="D123" s="2706">
        <v>400000000</v>
      </c>
      <c r="E123" s="2688">
        <f>D123/D14*100</f>
        <v>0.21526156105726896</v>
      </c>
      <c r="F123" s="4418"/>
      <c r="G123" s="2708"/>
      <c r="H123" s="2708"/>
      <c r="I123" s="2708"/>
      <c r="J123" s="2739"/>
      <c r="K123" s="2709"/>
      <c r="L123" s="2708"/>
      <c r="M123" s="2708"/>
      <c r="N123" s="3936"/>
      <c r="P123" s="637"/>
    </row>
    <row r="124" spans="1:16" s="31" customFormat="1" ht="30" hidden="1" customHeight="1" x14ac:dyDescent="0.25">
      <c r="A124" s="5"/>
      <c r="B124" s="442"/>
      <c r="C124" s="2476" t="s">
        <v>7865</v>
      </c>
      <c r="D124" s="2706">
        <v>1400000000</v>
      </c>
      <c r="E124" s="2688">
        <f>D124/D14*100</f>
        <v>0.75341546370044143</v>
      </c>
      <c r="F124" s="4418"/>
      <c r="G124" s="2708"/>
      <c r="H124" s="2708"/>
      <c r="I124" s="2708"/>
      <c r="J124" s="2739"/>
      <c r="K124" s="2709"/>
      <c r="L124" s="2708"/>
      <c r="M124" s="2708"/>
      <c r="N124" s="3936"/>
      <c r="P124" s="637"/>
    </row>
    <row r="125" spans="1:16" s="31" customFormat="1" ht="18.75" hidden="1" customHeight="1" x14ac:dyDescent="0.25">
      <c r="A125" s="5"/>
      <c r="B125" s="442"/>
      <c r="C125" s="2476" t="s">
        <v>7866</v>
      </c>
      <c r="D125" s="2706">
        <v>400000000</v>
      </c>
      <c r="E125" s="2688">
        <f>D125/D14*100</f>
        <v>0.21526156105726896</v>
      </c>
      <c r="F125" s="4418"/>
      <c r="G125" s="2708"/>
      <c r="H125" s="2708"/>
      <c r="I125" s="2708"/>
      <c r="J125" s="2739"/>
      <c r="K125" s="2709"/>
      <c r="L125" s="2708"/>
      <c r="M125" s="2708"/>
      <c r="N125" s="3936"/>
      <c r="P125" s="637"/>
    </row>
    <row r="126" spans="1:16" ht="12" hidden="1" customHeight="1" x14ac:dyDescent="0.25">
      <c r="B126" s="441"/>
      <c r="C126" s="2476"/>
      <c r="D126" s="911"/>
      <c r="E126" s="2707"/>
      <c r="F126" s="4415"/>
      <c r="G126" s="2728"/>
      <c r="H126" s="2710"/>
      <c r="I126" s="2714"/>
      <c r="J126" s="2715"/>
      <c r="K126" s="911"/>
      <c r="L126" s="2710"/>
      <c r="M126" s="2714"/>
      <c r="N126" s="2716"/>
    </row>
    <row r="127" spans="1:16" s="4" customFormat="1" ht="18" hidden="1" customHeight="1" x14ac:dyDescent="0.25">
      <c r="B127" s="440" t="s">
        <v>120</v>
      </c>
      <c r="C127" s="2471" t="s">
        <v>147</v>
      </c>
      <c r="D127" s="2669">
        <f>D128+D132+D135+D152+D159</f>
        <v>14840329000</v>
      </c>
      <c r="E127" s="2717">
        <f>D127/D14*100</f>
        <v>7.9863809678586488</v>
      </c>
      <c r="F127" s="3826"/>
      <c r="G127" s="2719"/>
      <c r="H127" s="2719"/>
      <c r="I127" s="2719"/>
      <c r="J127" s="2720"/>
      <c r="K127" s="2720"/>
      <c r="L127" s="2719"/>
      <c r="M127" s="2719"/>
      <c r="N127" s="2675"/>
      <c r="P127" s="620"/>
    </row>
    <row r="128" spans="1:16" s="4" customFormat="1" ht="19.5" hidden="1" customHeight="1" x14ac:dyDescent="0.25">
      <c r="B128" s="441"/>
      <c r="C128" s="2472" t="s">
        <v>6123</v>
      </c>
      <c r="D128" s="2676">
        <f>SUM(D129:D130)</f>
        <v>860000000</v>
      </c>
      <c r="E128" s="2693">
        <f>D128/D14*100</f>
        <v>0.46281235627312833</v>
      </c>
      <c r="F128" s="3829"/>
      <c r="G128" s="2725"/>
      <c r="H128" s="2725"/>
      <c r="I128" s="2725"/>
      <c r="J128" s="2680"/>
      <c r="K128" s="2725"/>
      <c r="L128" s="2725"/>
      <c r="M128" s="2725"/>
      <c r="N128" s="2681"/>
      <c r="P128" s="620"/>
    </row>
    <row r="129" spans="1:16" s="27" customFormat="1" ht="16.5" hidden="1" customHeight="1" x14ac:dyDescent="0.25">
      <c r="A129" s="6"/>
      <c r="B129" s="441"/>
      <c r="C129" s="2473" t="s">
        <v>6124</v>
      </c>
      <c r="D129" s="2698">
        <v>391000000</v>
      </c>
      <c r="E129" s="2688">
        <f>D129/D14*100</f>
        <v>0.21041817593348044</v>
      </c>
      <c r="F129" s="4417"/>
      <c r="G129" s="2685"/>
      <c r="H129" s="2685"/>
      <c r="I129" s="2685"/>
      <c r="J129" s="2726"/>
      <c r="K129" s="2686"/>
      <c r="L129" s="2685"/>
      <c r="M129" s="2685"/>
      <c r="N129" s="2701"/>
      <c r="P129" s="80"/>
    </row>
    <row r="130" spans="1:16" s="27" customFormat="1" ht="17.25" hidden="1" customHeight="1" x14ac:dyDescent="0.25">
      <c r="A130" s="6"/>
      <c r="B130" s="441"/>
      <c r="C130" s="2473" t="s">
        <v>6125</v>
      </c>
      <c r="D130" s="2698">
        <v>469000000</v>
      </c>
      <c r="E130" s="2688">
        <f>D130/D14*100</f>
        <v>0.25239418033964789</v>
      </c>
      <c r="F130" s="4417"/>
      <c r="G130" s="2685"/>
      <c r="H130" s="2685"/>
      <c r="I130" s="2685"/>
      <c r="J130" s="2726"/>
      <c r="K130" s="2686"/>
      <c r="L130" s="2685"/>
      <c r="M130" s="2685"/>
      <c r="N130" s="2701"/>
      <c r="P130" s="80"/>
    </row>
    <row r="131" spans="1:16" s="27" customFormat="1" ht="8.25" hidden="1" customHeight="1" x14ac:dyDescent="0.25">
      <c r="A131" s="6"/>
      <c r="B131" s="441"/>
      <c r="C131" s="2473"/>
      <c r="D131" s="2698"/>
      <c r="E131" s="2688"/>
      <c r="F131" s="4417"/>
      <c r="G131" s="2685"/>
      <c r="H131" s="2685"/>
      <c r="I131" s="2685"/>
      <c r="J131" s="2726"/>
      <c r="K131" s="2686"/>
      <c r="L131" s="2685"/>
      <c r="M131" s="2685"/>
      <c r="N131" s="2701"/>
      <c r="P131" s="80"/>
    </row>
    <row r="132" spans="1:16" s="25" customFormat="1" ht="18" hidden="1" customHeight="1" x14ac:dyDescent="0.25">
      <c r="A132" s="4"/>
      <c r="B132" s="441"/>
      <c r="C132" s="2474" t="s">
        <v>6126</v>
      </c>
      <c r="D132" s="2692">
        <f>D133</f>
        <v>182675000</v>
      </c>
      <c r="E132" s="2693">
        <f>D132/D14*100</f>
        <v>9.8307264165341524E-2</v>
      </c>
      <c r="F132" s="3832"/>
      <c r="G132" s="2679"/>
      <c r="H132" s="2679"/>
      <c r="I132" s="2679"/>
      <c r="J132" s="2965"/>
      <c r="K132" s="3247"/>
      <c r="L132" s="2679"/>
      <c r="M132" s="2679"/>
      <c r="N132" s="2697"/>
      <c r="P132" s="629"/>
    </row>
    <row r="133" spans="1:16" s="25" customFormat="1" ht="18" hidden="1" customHeight="1" x14ac:dyDescent="0.25">
      <c r="A133" s="4"/>
      <c r="B133" s="441"/>
      <c r="C133" s="2473" t="s">
        <v>6127</v>
      </c>
      <c r="D133" s="2698">
        <v>182675000</v>
      </c>
      <c r="E133" s="2688">
        <f>D133/D14*100</f>
        <v>9.8307264165341524E-2</v>
      </c>
      <c r="F133" s="3832"/>
      <c r="G133" s="2679"/>
      <c r="H133" s="2679"/>
      <c r="I133" s="2679"/>
      <c r="J133" s="2965"/>
      <c r="K133" s="3247"/>
      <c r="L133" s="2679"/>
      <c r="M133" s="2679"/>
      <c r="N133" s="2697"/>
      <c r="P133" s="629"/>
    </row>
    <row r="134" spans="1:16" s="25" customFormat="1" ht="8.25" hidden="1" customHeight="1" x14ac:dyDescent="0.25">
      <c r="A134" s="4"/>
      <c r="B134" s="441"/>
      <c r="C134" s="2474"/>
      <c r="D134" s="2692"/>
      <c r="E134" s="2688"/>
      <c r="F134" s="3832"/>
      <c r="G134" s="2679"/>
      <c r="H134" s="2679"/>
      <c r="I134" s="2679"/>
      <c r="J134" s="2965"/>
      <c r="K134" s="3247"/>
      <c r="L134" s="2679"/>
      <c r="M134" s="2679"/>
      <c r="N134" s="2697"/>
      <c r="P134" s="629"/>
    </row>
    <row r="135" spans="1:16" s="25" customFormat="1" ht="17.25" hidden="1" customHeight="1" x14ac:dyDescent="0.25">
      <c r="A135" s="4"/>
      <c r="B135" s="441"/>
      <c r="C135" s="2474" t="s">
        <v>6128</v>
      </c>
      <c r="D135" s="2692">
        <f>SUM(D136:D150)</f>
        <v>5787594000</v>
      </c>
      <c r="E135" s="2693">
        <f>D135/D14*100</f>
        <v>3.1146162980142091</v>
      </c>
      <c r="F135" s="3832"/>
      <c r="G135" s="2679"/>
      <c r="H135" s="2679"/>
      <c r="I135" s="2679"/>
      <c r="J135" s="2965"/>
      <c r="K135" s="3247"/>
      <c r="L135" s="2679"/>
      <c r="M135" s="2679"/>
      <c r="N135" s="2697"/>
      <c r="P135" s="629"/>
    </row>
    <row r="136" spans="1:16" s="31" customFormat="1" ht="16.5" hidden="1" customHeight="1" x14ac:dyDescent="0.25">
      <c r="A136" s="5"/>
      <c r="B136" s="442"/>
      <c r="C136" s="2473" t="s">
        <v>6129</v>
      </c>
      <c r="D136" s="2698">
        <v>185650000</v>
      </c>
      <c r="E136" s="2688">
        <f>D136/D14*100</f>
        <v>9.9908272025704958E-2</v>
      </c>
      <c r="F136" s="4417"/>
      <c r="G136" s="2685"/>
      <c r="H136" s="2685"/>
      <c r="I136" s="2685"/>
      <c r="J136" s="2726"/>
      <c r="K136" s="2686"/>
      <c r="L136" s="2685"/>
      <c r="M136" s="2685"/>
      <c r="N136" s="2687"/>
      <c r="P136" s="637"/>
    </row>
    <row r="137" spans="1:16" s="31" customFormat="1" ht="15" hidden="1" customHeight="1" x14ac:dyDescent="0.25">
      <c r="A137" s="5"/>
      <c r="B137" s="442"/>
      <c r="C137" s="2473" t="s">
        <v>6130</v>
      </c>
      <c r="D137" s="2698">
        <v>573189000</v>
      </c>
      <c r="E137" s="2688">
        <f>D137/D14*100</f>
        <v>0.30846389730213736</v>
      </c>
      <c r="F137" s="4417"/>
      <c r="G137" s="2685"/>
      <c r="H137" s="2685"/>
      <c r="I137" s="2685"/>
      <c r="J137" s="2726"/>
      <c r="K137" s="2686"/>
      <c r="L137" s="2685"/>
      <c r="M137" s="2685"/>
      <c r="N137" s="2687"/>
      <c r="P137" s="637"/>
    </row>
    <row r="138" spans="1:16" s="31" customFormat="1" ht="18" hidden="1" customHeight="1" x14ac:dyDescent="0.25">
      <c r="A138" s="5"/>
      <c r="B138" s="442"/>
      <c r="C138" s="2473" t="s">
        <v>6131</v>
      </c>
      <c r="D138" s="2698">
        <v>300000000</v>
      </c>
      <c r="E138" s="2688">
        <f>D138/D14*100</f>
        <v>0.16144617079295176</v>
      </c>
      <c r="F138" s="4417"/>
      <c r="G138" s="2685"/>
      <c r="H138" s="2685"/>
      <c r="I138" s="2685"/>
      <c r="J138" s="2726"/>
      <c r="K138" s="2686"/>
      <c r="L138" s="2685"/>
      <c r="M138" s="2685"/>
      <c r="N138" s="2687"/>
      <c r="P138" s="637"/>
    </row>
    <row r="139" spans="1:16" s="31" customFormat="1" ht="15.75" hidden="1" customHeight="1" x14ac:dyDescent="0.25">
      <c r="A139" s="5"/>
      <c r="B139" s="442"/>
      <c r="C139" s="2473" t="s">
        <v>6132</v>
      </c>
      <c r="D139" s="2698">
        <v>723289000</v>
      </c>
      <c r="E139" s="2688">
        <f>D139/D14*100</f>
        <v>0.38924079808887757</v>
      </c>
      <c r="F139" s="4417"/>
      <c r="G139" s="2685"/>
      <c r="H139" s="2685"/>
      <c r="I139" s="2685"/>
      <c r="J139" s="2726"/>
      <c r="K139" s="2686"/>
      <c r="L139" s="2685"/>
      <c r="M139" s="2685"/>
      <c r="N139" s="2687"/>
      <c r="P139" s="637"/>
    </row>
    <row r="140" spans="1:16" s="31" customFormat="1" ht="18" hidden="1" customHeight="1" x14ac:dyDescent="0.25">
      <c r="A140" s="5"/>
      <c r="B140" s="442"/>
      <c r="C140" s="2473" t="s">
        <v>6133</v>
      </c>
      <c r="D140" s="2698">
        <v>387285000</v>
      </c>
      <c r="E140" s="2688">
        <f>D140/D14*100</f>
        <v>0.20841893418516105</v>
      </c>
      <c r="F140" s="4417"/>
      <c r="G140" s="2685"/>
      <c r="H140" s="2685"/>
      <c r="I140" s="2685"/>
      <c r="J140" s="2726"/>
      <c r="K140" s="2686"/>
      <c r="L140" s="2685"/>
      <c r="M140" s="2685"/>
      <c r="N140" s="2687"/>
      <c r="P140" s="637"/>
    </row>
    <row r="141" spans="1:16" s="31" customFormat="1" ht="17.25" hidden="1" customHeight="1" x14ac:dyDescent="0.25">
      <c r="A141" s="5"/>
      <c r="B141" s="442"/>
      <c r="C141" s="2473" t="s">
        <v>6134</v>
      </c>
      <c r="D141" s="2698">
        <v>370700000</v>
      </c>
      <c r="E141" s="2688">
        <f>D141/D14*100</f>
        <v>0.19949365170982403</v>
      </c>
      <c r="F141" s="4417"/>
      <c r="G141" s="2685"/>
      <c r="H141" s="2685"/>
      <c r="I141" s="2685"/>
      <c r="J141" s="2726"/>
      <c r="K141" s="2686"/>
      <c r="L141" s="2685"/>
      <c r="M141" s="2685"/>
      <c r="N141" s="2687"/>
      <c r="P141" s="637"/>
    </row>
    <row r="142" spans="1:16" s="31" customFormat="1" ht="16.5" hidden="1" customHeight="1" x14ac:dyDescent="0.25">
      <c r="A142" s="5"/>
      <c r="B142" s="442"/>
      <c r="C142" s="2473" t="s">
        <v>6135</v>
      </c>
      <c r="D142" s="2698">
        <v>266375000</v>
      </c>
      <c r="E142" s="2688">
        <f>D142/D14*100</f>
        <v>0.14335074581657506</v>
      </c>
      <c r="F142" s="4417"/>
      <c r="G142" s="2685"/>
      <c r="H142" s="2685"/>
      <c r="I142" s="2685"/>
      <c r="J142" s="2726"/>
      <c r="K142" s="2686"/>
      <c r="L142" s="2685"/>
      <c r="M142" s="2685"/>
      <c r="N142" s="2687"/>
      <c r="P142" s="637"/>
    </row>
    <row r="143" spans="1:16" s="31" customFormat="1" ht="18" hidden="1" customHeight="1" x14ac:dyDescent="0.25">
      <c r="A143" s="5"/>
      <c r="B143" s="442"/>
      <c r="C143" s="2473" t="s">
        <v>6136</v>
      </c>
      <c r="D143" s="2698">
        <v>282684000</v>
      </c>
      <c r="E143" s="2688">
        <f>D143/D14*100</f>
        <v>0.15212749781478258</v>
      </c>
      <c r="F143" s="4417"/>
      <c r="G143" s="2685"/>
      <c r="H143" s="2685"/>
      <c r="I143" s="2685"/>
      <c r="J143" s="2726"/>
      <c r="K143" s="2686"/>
      <c r="L143" s="2685"/>
      <c r="M143" s="2685"/>
      <c r="N143" s="2687"/>
      <c r="P143" s="637"/>
    </row>
    <row r="144" spans="1:16" s="25" customFormat="1" ht="17.25" hidden="1" customHeight="1" x14ac:dyDescent="0.25">
      <c r="A144" s="4"/>
      <c r="B144" s="441"/>
      <c r="C144" s="2473" t="s">
        <v>6137</v>
      </c>
      <c r="D144" s="2698">
        <v>310490000</v>
      </c>
      <c r="E144" s="2688">
        <f>D144/D14*100</f>
        <v>0.16709140523167862</v>
      </c>
      <c r="F144" s="3832"/>
      <c r="G144" s="2679"/>
      <c r="H144" s="2679"/>
      <c r="I144" s="2679"/>
      <c r="J144" s="2965"/>
      <c r="K144" s="3247"/>
      <c r="L144" s="2679"/>
      <c r="M144" s="2679"/>
      <c r="N144" s="2697"/>
      <c r="P144" s="629"/>
    </row>
    <row r="145" spans="1:16" s="31" customFormat="1" ht="31.5" hidden="1" customHeight="1" x14ac:dyDescent="0.25">
      <c r="A145" s="5"/>
      <c r="B145" s="442"/>
      <c r="C145" s="2473" t="s">
        <v>6138</v>
      </c>
      <c r="D145" s="2698">
        <v>432065000</v>
      </c>
      <c r="E145" s="2688">
        <f>D145/D14*100</f>
        <v>0.23251746594552233</v>
      </c>
      <c r="F145" s="4417"/>
      <c r="G145" s="2685"/>
      <c r="H145" s="2685"/>
      <c r="I145" s="2685"/>
      <c r="J145" s="2726"/>
      <c r="K145" s="2686"/>
      <c r="L145" s="2685"/>
      <c r="M145" s="2685"/>
      <c r="N145" s="2687"/>
      <c r="P145" s="637"/>
    </row>
    <row r="146" spans="1:16" s="25" customFormat="1" ht="17.25" hidden="1" customHeight="1" x14ac:dyDescent="0.25">
      <c r="A146" s="4"/>
      <c r="B146" s="441"/>
      <c r="C146" s="2473" t="s">
        <v>6139</v>
      </c>
      <c r="D146" s="2698">
        <v>564797000</v>
      </c>
      <c r="E146" s="2688">
        <f>D146/D14*100</f>
        <v>0.30394770975115587</v>
      </c>
      <c r="F146" s="3832"/>
      <c r="G146" s="2679"/>
      <c r="H146" s="2679"/>
      <c r="I146" s="2679"/>
      <c r="J146" s="2965"/>
      <c r="K146" s="3247"/>
      <c r="L146" s="2679"/>
      <c r="M146" s="2679"/>
      <c r="N146" s="2697"/>
      <c r="P146" s="629"/>
    </row>
    <row r="147" spans="1:16" s="31" customFormat="1" ht="18" hidden="1" customHeight="1" x14ac:dyDescent="0.25">
      <c r="A147" s="5"/>
      <c r="B147" s="442"/>
      <c r="C147" s="2473" t="s">
        <v>6140</v>
      </c>
      <c r="D147" s="2698">
        <v>375460000</v>
      </c>
      <c r="E147" s="2688">
        <f>D147/D14*100</f>
        <v>0.20205526428640555</v>
      </c>
      <c r="F147" s="4417"/>
      <c r="G147" s="2685"/>
      <c r="H147" s="2685"/>
      <c r="I147" s="2685"/>
      <c r="J147" s="2726"/>
      <c r="K147" s="2686"/>
      <c r="L147" s="2685"/>
      <c r="M147" s="2685"/>
      <c r="N147" s="2687"/>
      <c r="P147" s="637"/>
    </row>
    <row r="148" spans="1:16" s="31" customFormat="1" ht="20.25" hidden="1" customHeight="1" x14ac:dyDescent="0.25">
      <c r="A148" s="5"/>
      <c r="B148" s="442"/>
      <c r="C148" s="2473" t="s">
        <v>6141</v>
      </c>
      <c r="D148" s="2698">
        <v>278920000</v>
      </c>
      <c r="E148" s="2688">
        <f>D148/D14*100</f>
        <v>0.15010188652523365</v>
      </c>
      <c r="F148" s="4417"/>
      <c r="G148" s="2685"/>
      <c r="H148" s="2685"/>
      <c r="I148" s="2685"/>
      <c r="J148" s="2726"/>
      <c r="K148" s="2686"/>
      <c r="L148" s="2685"/>
      <c r="M148" s="2685"/>
      <c r="N148" s="2687"/>
      <c r="P148" s="637"/>
    </row>
    <row r="149" spans="1:16" s="31" customFormat="1" ht="31.5" hidden="1" x14ac:dyDescent="0.25">
      <c r="A149" s="5"/>
      <c r="B149" s="442"/>
      <c r="C149" s="2473" t="s">
        <v>6142</v>
      </c>
      <c r="D149" s="2698">
        <v>333668000</v>
      </c>
      <c r="E149" s="2688">
        <f>D149/D14*100</f>
        <v>0.17956473638714207</v>
      </c>
      <c r="F149" s="4417"/>
      <c r="G149" s="2685"/>
      <c r="H149" s="2685"/>
      <c r="I149" s="2685"/>
      <c r="J149" s="2726"/>
      <c r="K149" s="2686"/>
      <c r="L149" s="2685"/>
      <c r="M149" s="2685"/>
      <c r="N149" s="2687"/>
      <c r="P149" s="637"/>
    </row>
    <row r="150" spans="1:16" s="31" customFormat="1" ht="20.25" hidden="1" customHeight="1" x14ac:dyDescent="0.25">
      <c r="A150" s="5"/>
      <c r="B150" s="442"/>
      <c r="C150" s="2473" t="s">
        <v>6143</v>
      </c>
      <c r="D150" s="2698">
        <v>403022000</v>
      </c>
      <c r="E150" s="2688">
        <f>D150/D14*100</f>
        <v>0.21688786215105665</v>
      </c>
      <c r="F150" s="4417"/>
      <c r="G150" s="2685"/>
      <c r="H150" s="2685"/>
      <c r="I150" s="2685"/>
      <c r="J150" s="2726"/>
      <c r="K150" s="2686"/>
      <c r="L150" s="2685"/>
      <c r="M150" s="2685"/>
      <c r="N150" s="2687"/>
      <c r="P150" s="637"/>
    </row>
    <row r="151" spans="1:16" s="31" customFormat="1" ht="10.5" hidden="1" customHeight="1" x14ac:dyDescent="0.25">
      <c r="A151" s="5"/>
      <c r="B151" s="442"/>
      <c r="C151" s="2473"/>
      <c r="D151" s="2698"/>
      <c r="E151" s="2688"/>
      <c r="F151" s="4417"/>
      <c r="G151" s="2685"/>
      <c r="H151" s="2685"/>
      <c r="I151" s="2685"/>
      <c r="J151" s="2726"/>
      <c r="K151" s="2686"/>
      <c r="L151" s="2685"/>
      <c r="M151" s="2685"/>
      <c r="N151" s="2687"/>
      <c r="P151" s="637"/>
    </row>
    <row r="152" spans="1:16" s="31" customFormat="1" ht="31.5" hidden="1" customHeight="1" x14ac:dyDescent="0.25">
      <c r="A152" s="5"/>
      <c r="B152" s="442"/>
      <c r="C152" s="2474" t="s">
        <v>6144</v>
      </c>
      <c r="D152" s="2692">
        <f>SUM(D153:D157)</f>
        <v>5034810000</v>
      </c>
      <c r="E152" s="2693">
        <f>D152/D14*100</f>
        <v>2.7095026505668711</v>
      </c>
      <c r="F152" s="4417"/>
      <c r="G152" s="2685"/>
      <c r="H152" s="2685"/>
      <c r="I152" s="2685"/>
      <c r="J152" s="2726"/>
      <c r="K152" s="2686"/>
      <c r="L152" s="2685"/>
      <c r="M152" s="2685"/>
      <c r="N152" s="2687"/>
      <c r="P152" s="637"/>
    </row>
    <row r="153" spans="1:16" s="31" customFormat="1" ht="17.25" hidden="1" customHeight="1" x14ac:dyDescent="0.25">
      <c r="A153" s="5"/>
      <c r="B153" s="442"/>
      <c r="C153" s="2473" t="s">
        <v>6145</v>
      </c>
      <c r="D153" s="2698">
        <v>612715000</v>
      </c>
      <c r="E153" s="2688">
        <f>D153/D14*100</f>
        <v>0.32973496845801142</v>
      </c>
      <c r="F153" s="4417"/>
      <c r="G153" s="2685"/>
      <c r="H153" s="2685"/>
      <c r="I153" s="2685"/>
      <c r="J153" s="2726"/>
      <c r="K153" s="2686"/>
      <c r="L153" s="2685"/>
      <c r="M153" s="2685"/>
      <c r="N153" s="2687"/>
      <c r="P153" s="637"/>
    </row>
    <row r="154" spans="1:16" s="31" customFormat="1" ht="27.75" hidden="1" customHeight="1" x14ac:dyDescent="0.25">
      <c r="A154" s="5"/>
      <c r="B154" s="442"/>
      <c r="C154" s="2473" t="s">
        <v>6146</v>
      </c>
      <c r="D154" s="2698">
        <v>346165000</v>
      </c>
      <c r="E154" s="2688">
        <f>D154/D14*100</f>
        <v>0.18629004570847379</v>
      </c>
      <c r="F154" s="4417"/>
      <c r="G154" s="2685"/>
      <c r="H154" s="2685"/>
      <c r="I154" s="2685"/>
      <c r="J154" s="2726"/>
      <c r="K154" s="2686"/>
      <c r="L154" s="2685"/>
      <c r="M154" s="2685"/>
      <c r="N154" s="2687"/>
      <c r="P154" s="637"/>
    </row>
    <row r="155" spans="1:16" s="31" customFormat="1" ht="30" hidden="1" customHeight="1" x14ac:dyDescent="0.25">
      <c r="A155" s="5"/>
      <c r="B155" s="442"/>
      <c r="C155" s="2473" t="s">
        <v>6147</v>
      </c>
      <c r="D155" s="2698">
        <v>191185000</v>
      </c>
      <c r="E155" s="2688">
        <f>D155/D14*100</f>
        <v>0.10288695387683494</v>
      </c>
      <c r="F155" s="4417"/>
      <c r="G155" s="2685"/>
      <c r="H155" s="2685"/>
      <c r="I155" s="2685"/>
      <c r="J155" s="2726"/>
      <c r="K155" s="2686"/>
      <c r="L155" s="2685"/>
      <c r="M155" s="2685"/>
      <c r="N155" s="2687"/>
      <c r="P155" s="637"/>
    </row>
    <row r="156" spans="1:16" s="31" customFormat="1" ht="28.5" hidden="1" customHeight="1" x14ac:dyDescent="0.25">
      <c r="A156" s="5"/>
      <c r="B156" s="442"/>
      <c r="C156" s="2473" t="s">
        <v>6148</v>
      </c>
      <c r="D156" s="2698">
        <v>204815000</v>
      </c>
      <c r="E156" s="2688">
        <f>D156/D14*100</f>
        <v>0.11022199156986137</v>
      </c>
      <c r="F156" s="4417"/>
      <c r="G156" s="2685"/>
      <c r="H156" s="2685"/>
      <c r="I156" s="2685"/>
      <c r="J156" s="2726"/>
      <c r="K156" s="2686"/>
      <c r="L156" s="2685"/>
      <c r="M156" s="2685"/>
      <c r="N156" s="2687"/>
      <c r="P156" s="637"/>
    </row>
    <row r="157" spans="1:16" s="25" customFormat="1" ht="20.25" hidden="1" customHeight="1" x14ac:dyDescent="0.25">
      <c r="A157" s="4"/>
      <c r="B157" s="441"/>
      <c r="C157" s="2473" t="s">
        <v>6149</v>
      </c>
      <c r="D157" s="2698">
        <v>3679930000</v>
      </c>
      <c r="E157" s="2688">
        <f>D157/D14*100</f>
        <v>1.9803686909536897</v>
      </c>
      <c r="F157" s="3832"/>
      <c r="G157" s="2679"/>
      <c r="H157" s="2679"/>
      <c r="I157" s="2679"/>
      <c r="J157" s="2965"/>
      <c r="K157" s="3247"/>
      <c r="L157" s="2679"/>
      <c r="M157" s="2679"/>
      <c r="N157" s="2697"/>
      <c r="P157" s="629"/>
    </row>
    <row r="158" spans="1:16" s="25" customFormat="1" ht="10.5" hidden="1" customHeight="1" x14ac:dyDescent="0.25">
      <c r="A158" s="4"/>
      <c r="B158" s="441"/>
      <c r="C158" s="2474"/>
      <c r="D158" s="2692"/>
      <c r="E158" s="2688"/>
      <c r="F158" s="3832"/>
      <c r="G158" s="2679"/>
      <c r="H158" s="2679"/>
      <c r="I158" s="2679"/>
      <c r="J158" s="2965"/>
      <c r="K158" s="3247"/>
      <c r="L158" s="2679"/>
      <c r="M158" s="2679"/>
      <c r="N158" s="2697"/>
      <c r="P158" s="629"/>
    </row>
    <row r="159" spans="1:16" s="25" customFormat="1" ht="18" hidden="1" customHeight="1" x14ac:dyDescent="0.25">
      <c r="A159" s="4"/>
      <c r="B159" s="441"/>
      <c r="C159" s="2474" t="s">
        <v>6150</v>
      </c>
      <c r="D159" s="2692">
        <f>SUM(D160:D165)</f>
        <v>2975250000</v>
      </c>
      <c r="E159" s="2693">
        <f>D159/D14*100</f>
        <v>1.6011423988390987</v>
      </c>
      <c r="F159" s="3832"/>
      <c r="G159" s="2679"/>
      <c r="H159" s="2679"/>
      <c r="I159" s="2679"/>
      <c r="J159" s="2965"/>
      <c r="K159" s="3247"/>
      <c r="L159" s="2679"/>
      <c r="M159" s="2679"/>
      <c r="N159" s="2697"/>
      <c r="P159" s="629"/>
    </row>
    <row r="160" spans="1:16" s="31" customFormat="1" ht="15.75" hidden="1" customHeight="1" x14ac:dyDescent="0.25">
      <c r="A160" s="5"/>
      <c r="B160" s="442"/>
      <c r="C160" s="2473" t="s">
        <v>6151</v>
      </c>
      <c r="D160" s="2698">
        <v>1089900000</v>
      </c>
      <c r="E160" s="2688">
        <f>D160/D14*100</f>
        <v>0.58653393849079372</v>
      </c>
      <c r="F160" s="4417"/>
      <c r="G160" s="2685"/>
      <c r="H160" s="2685"/>
      <c r="I160" s="2685"/>
      <c r="J160" s="2726"/>
      <c r="K160" s="2686"/>
      <c r="L160" s="2685"/>
      <c r="M160" s="2685"/>
      <c r="N160" s="2687"/>
      <c r="P160" s="637"/>
    </row>
    <row r="161" spans="1:16" s="31" customFormat="1" ht="17.25" hidden="1" customHeight="1" x14ac:dyDescent="0.25">
      <c r="A161" s="5"/>
      <c r="B161" s="442"/>
      <c r="C161" s="2473" t="s">
        <v>7857</v>
      </c>
      <c r="D161" s="2698">
        <v>332260000</v>
      </c>
      <c r="E161" s="2688">
        <f>D161/D14*100</f>
        <v>0.17880701569222049</v>
      </c>
      <c r="F161" s="4417"/>
      <c r="G161" s="2685"/>
      <c r="H161" s="2685"/>
      <c r="I161" s="2685"/>
      <c r="J161" s="2726"/>
      <c r="K161" s="2686"/>
      <c r="L161" s="2685"/>
      <c r="M161" s="2685"/>
      <c r="N161" s="2687"/>
      <c r="P161" s="637"/>
    </row>
    <row r="162" spans="1:16" s="31" customFormat="1" ht="16.5" hidden="1" customHeight="1" x14ac:dyDescent="0.25">
      <c r="A162" s="5"/>
      <c r="B162" s="442"/>
      <c r="C162" s="2473" t="s">
        <v>7858</v>
      </c>
      <c r="D162" s="2698">
        <v>475896000</v>
      </c>
      <c r="E162" s="2688">
        <f>D162/D14*100</f>
        <v>0.25610528965227519</v>
      </c>
      <c r="F162" s="4417"/>
      <c r="G162" s="2685"/>
      <c r="H162" s="2685"/>
      <c r="I162" s="2685"/>
      <c r="J162" s="2726"/>
      <c r="K162" s="2686"/>
      <c r="L162" s="2685"/>
      <c r="M162" s="2685"/>
      <c r="N162" s="2687"/>
      <c r="P162" s="637"/>
    </row>
    <row r="163" spans="1:16" s="31" customFormat="1" ht="15.75" hidden="1" customHeight="1" x14ac:dyDescent="0.25">
      <c r="A163" s="5"/>
      <c r="B163" s="442"/>
      <c r="C163" s="2473" t="s">
        <v>7859</v>
      </c>
      <c r="D163" s="2698">
        <v>160719000</v>
      </c>
      <c r="E163" s="2688">
        <f>D163/D14*100</f>
        <v>8.649155707890803E-2</v>
      </c>
      <c r="F163" s="4417"/>
      <c r="G163" s="2685"/>
      <c r="H163" s="2685"/>
      <c r="I163" s="2685"/>
      <c r="J163" s="2726"/>
      <c r="K163" s="2686"/>
      <c r="L163" s="2685"/>
      <c r="M163" s="2685"/>
      <c r="N163" s="2687"/>
      <c r="P163" s="637"/>
    </row>
    <row r="164" spans="1:16" s="31" customFormat="1" ht="15" hidden="1" customHeight="1" x14ac:dyDescent="0.25">
      <c r="A164" s="5"/>
      <c r="B164" s="442"/>
      <c r="C164" s="2473" t="s">
        <v>7860</v>
      </c>
      <c r="D164" s="2698">
        <v>329010000</v>
      </c>
      <c r="E164" s="2688">
        <f>D164/D14*100</f>
        <v>0.17705801550863018</v>
      </c>
      <c r="F164" s="4417"/>
      <c r="G164" s="2685"/>
      <c r="H164" s="2685"/>
      <c r="I164" s="2685"/>
      <c r="J164" s="2726"/>
      <c r="K164" s="2686"/>
      <c r="L164" s="2685"/>
      <c r="M164" s="2685"/>
      <c r="N164" s="2687"/>
      <c r="P164" s="637"/>
    </row>
    <row r="165" spans="1:16" s="31" customFormat="1" ht="18" hidden="1" customHeight="1" x14ac:dyDescent="0.25">
      <c r="A165" s="5"/>
      <c r="B165" s="442"/>
      <c r="C165" s="2473" t="s">
        <v>7861</v>
      </c>
      <c r="D165" s="2698">
        <v>587465000</v>
      </c>
      <c r="E165" s="2688">
        <f>D165/D14*100</f>
        <v>0.31614658241627136</v>
      </c>
      <c r="F165" s="4417"/>
      <c r="G165" s="2685"/>
      <c r="H165" s="2685"/>
      <c r="I165" s="2685"/>
      <c r="J165" s="2726"/>
      <c r="K165" s="2686"/>
      <c r="L165" s="2685"/>
      <c r="M165" s="2685"/>
      <c r="N165" s="2687"/>
      <c r="P165" s="637"/>
    </row>
    <row r="166" spans="1:16" ht="12" hidden="1" customHeight="1" x14ac:dyDescent="0.25">
      <c r="B166" s="441"/>
      <c r="C166" s="2476"/>
      <c r="D166" s="911"/>
      <c r="E166" s="2707"/>
      <c r="F166" s="4418"/>
      <c r="G166" s="2706"/>
      <c r="H166" s="2710"/>
      <c r="I166" s="2742"/>
      <c r="J166" s="2739"/>
      <c r="K166" s="911"/>
      <c r="L166" s="2710"/>
      <c r="M166" s="2742"/>
      <c r="N166" s="2743"/>
    </row>
    <row r="167" spans="1:16" ht="16.5" hidden="1" customHeight="1" x14ac:dyDescent="0.25">
      <c r="B167" s="440" t="s">
        <v>124</v>
      </c>
      <c r="C167" s="2471" t="s">
        <v>154</v>
      </c>
      <c r="D167" s="2744">
        <f>D168+D180+D184+D189+D197+D207+D215+D221</f>
        <v>25000000000</v>
      </c>
      <c r="E167" s="2717">
        <f>D167/D14*100</f>
        <v>13.453847566079313</v>
      </c>
      <c r="F167" s="4419"/>
      <c r="G167" s="2745"/>
      <c r="H167" s="2746"/>
      <c r="I167" s="2747"/>
      <c r="J167" s="2748"/>
      <c r="K167" s="2749"/>
      <c r="L167" s="2746"/>
      <c r="M167" s="2747"/>
      <c r="N167" s="2750"/>
    </row>
    <row r="168" spans="1:16" ht="14.25" hidden="1" customHeight="1" x14ac:dyDescent="0.25">
      <c r="B168" s="441"/>
      <c r="C168" s="2478" t="s">
        <v>6152</v>
      </c>
      <c r="D168" s="2751">
        <f>SUM(D169:D178)</f>
        <v>4281000000</v>
      </c>
      <c r="E168" s="2693">
        <f>D168/D14*100</f>
        <v>2.3038368572154213</v>
      </c>
      <c r="F168" s="3830"/>
      <c r="G168" s="2724"/>
      <c r="H168" s="2752"/>
      <c r="I168" s="2753"/>
      <c r="J168" s="2754"/>
      <c r="K168" s="2755"/>
      <c r="L168" s="2752"/>
      <c r="M168" s="2753"/>
      <c r="N168" s="2756"/>
    </row>
    <row r="169" spans="1:16" ht="16.5" hidden="1" customHeight="1" x14ac:dyDescent="0.25">
      <c r="B169" s="441"/>
      <c r="C169" s="2473" t="s">
        <v>6153</v>
      </c>
      <c r="D169" s="896">
        <v>400000000</v>
      </c>
      <c r="E169" s="2688">
        <f>D169/D14*100</f>
        <v>0.21526156105726896</v>
      </c>
      <c r="F169" s="4417"/>
      <c r="G169" s="2698"/>
      <c r="H169" s="2690"/>
      <c r="I169" s="2757"/>
      <c r="J169" s="2726"/>
      <c r="K169" s="898"/>
      <c r="L169" s="2690"/>
      <c r="M169" s="2757"/>
      <c r="N169" s="2756"/>
    </row>
    <row r="170" spans="1:16" ht="16.5" hidden="1" customHeight="1" x14ac:dyDescent="0.25">
      <c r="B170" s="441"/>
      <c r="C170" s="2475" t="s">
        <v>6154</v>
      </c>
      <c r="D170" s="2769">
        <v>475000000</v>
      </c>
      <c r="E170" s="2688">
        <f>D170/D14*100</f>
        <v>0.2556231037555069</v>
      </c>
      <c r="F170" s="4420"/>
      <c r="G170" s="2724"/>
      <c r="H170" s="2752"/>
      <c r="I170" s="2753"/>
      <c r="J170" s="2754"/>
      <c r="K170" s="2755"/>
      <c r="L170" s="2752"/>
      <c r="M170" s="2753"/>
      <c r="N170" s="2756"/>
    </row>
    <row r="171" spans="1:16" ht="16.5" hidden="1" customHeight="1" x14ac:dyDescent="0.25">
      <c r="B171" s="441"/>
      <c r="C171" s="2473" t="s">
        <v>6155</v>
      </c>
      <c r="D171" s="896">
        <v>600000000</v>
      </c>
      <c r="E171" s="2688">
        <f>D171/D14*100</f>
        <v>0.32289234158590352</v>
      </c>
      <c r="F171" s="4417"/>
      <c r="G171" s="2698"/>
      <c r="H171" s="2690"/>
      <c r="I171" s="2757"/>
      <c r="J171" s="2726"/>
      <c r="K171" s="898"/>
      <c r="L171" s="2690"/>
      <c r="M171" s="2757"/>
      <c r="N171" s="2756"/>
    </row>
    <row r="172" spans="1:16" ht="16.5" hidden="1" customHeight="1" x14ac:dyDescent="0.25">
      <c r="B172" s="441"/>
      <c r="C172" s="2473" t="s">
        <v>6156</v>
      </c>
      <c r="D172" s="896">
        <v>386000000</v>
      </c>
      <c r="E172" s="2688">
        <f>D172/D14*100</f>
        <v>0.20772740642026458</v>
      </c>
      <c r="F172" s="4417"/>
      <c r="G172" s="2698"/>
      <c r="H172" s="2690"/>
      <c r="I172" s="2757"/>
      <c r="J172" s="2726"/>
      <c r="K172" s="898"/>
      <c r="L172" s="2690"/>
      <c r="M172" s="2757"/>
      <c r="N172" s="2756"/>
    </row>
    <row r="173" spans="1:16" ht="16.5" hidden="1" customHeight="1" x14ac:dyDescent="0.25">
      <c r="B173" s="441"/>
      <c r="C173" s="2473" t="s">
        <v>6157</v>
      </c>
      <c r="D173" s="896">
        <v>300000000</v>
      </c>
      <c r="E173" s="2688">
        <f>D173/D14*100</f>
        <v>0.16144617079295176</v>
      </c>
      <c r="F173" s="4417"/>
      <c r="G173" s="2698"/>
      <c r="H173" s="2690"/>
      <c r="I173" s="2757"/>
      <c r="J173" s="2726"/>
      <c r="K173" s="898"/>
      <c r="L173" s="2690"/>
      <c r="M173" s="2757"/>
      <c r="N173" s="2756"/>
    </row>
    <row r="174" spans="1:16" ht="16.5" hidden="1" customHeight="1" x14ac:dyDescent="0.25">
      <c r="B174" s="441"/>
      <c r="C174" s="2473" t="s">
        <v>6158</v>
      </c>
      <c r="D174" s="896">
        <v>275000000</v>
      </c>
      <c r="E174" s="2688">
        <f>D174/D14*100</f>
        <v>0.14799232322687245</v>
      </c>
      <c r="F174" s="4417"/>
      <c r="G174" s="2698"/>
      <c r="H174" s="2690"/>
      <c r="I174" s="2757"/>
      <c r="J174" s="2726"/>
      <c r="K174" s="898"/>
      <c r="L174" s="2690"/>
      <c r="M174" s="2757"/>
      <c r="N174" s="2756"/>
    </row>
    <row r="175" spans="1:16" ht="16.5" hidden="1" customHeight="1" x14ac:dyDescent="0.25">
      <c r="B175" s="441"/>
      <c r="C175" s="2473" t="s">
        <v>6159</v>
      </c>
      <c r="D175" s="896">
        <v>450000000</v>
      </c>
      <c r="E175" s="2688">
        <f>D175/D14*100</f>
        <v>0.24216925618942764</v>
      </c>
      <c r="F175" s="4417"/>
      <c r="G175" s="2698"/>
      <c r="H175" s="2690"/>
      <c r="I175" s="2757"/>
      <c r="J175" s="2726"/>
      <c r="K175" s="898"/>
      <c r="L175" s="2690"/>
      <c r="M175" s="2757"/>
      <c r="N175" s="2756"/>
    </row>
    <row r="176" spans="1:16" ht="27.75" hidden="1" customHeight="1" x14ac:dyDescent="0.25">
      <c r="B176" s="441"/>
      <c r="C176" s="2473" t="s">
        <v>6160</v>
      </c>
      <c r="D176" s="896">
        <v>495000000</v>
      </c>
      <c r="E176" s="2688">
        <f>D176/D14*100</f>
        <v>0.26638618180837037</v>
      </c>
      <c r="F176" s="4417"/>
      <c r="G176" s="2698"/>
      <c r="H176" s="2690"/>
      <c r="I176" s="2757"/>
      <c r="J176" s="2726"/>
      <c r="K176" s="898"/>
      <c r="L176" s="2690"/>
      <c r="M176" s="2757"/>
      <c r="N176" s="2756"/>
    </row>
    <row r="177" spans="2:14" ht="16.5" hidden="1" customHeight="1" x14ac:dyDescent="0.25">
      <c r="B177" s="441"/>
      <c r="C177" s="2473" t="s">
        <v>6161</v>
      </c>
      <c r="D177" s="896">
        <v>400000000</v>
      </c>
      <c r="E177" s="2688">
        <f>D177/D14*100</f>
        <v>0.21526156105726896</v>
      </c>
      <c r="F177" s="4417"/>
      <c r="G177" s="2698"/>
      <c r="H177" s="2690"/>
      <c r="I177" s="2757"/>
      <c r="J177" s="2726"/>
      <c r="K177" s="898"/>
      <c r="L177" s="2690"/>
      <c r="M177" s="2757"/>
      <c r="N177" s="2756"/>
    </row>
    <row r="178" spans="2:14" ht="18.75" hidden="1" customHeight="1" x14ac:dyDescent="0.25">
      <c r="B178" s="441"/>
      <c r="C178" s="2473" t="s">
        <v>6162</v>
      </c>
      <c r="D178" s="896">
        <v>500000000</v>
      </c>
      <c r="E178" s="2688">
        <f>D178/D14*100</f>
        <v>0.26907695132158627</v>
      </c>
      <c r="F178" s="4417"/>
      <c r="G178" s="2698"/>
      <c r="H178" s="2690"/>
      <c r="I178" s="2757"/>
      <c r="J178" s="2726"/>
      <c r="K178" s="898"/>
      <c r="L178" s="2690"/>
      <c r="M178" s="2757"/>
      <c r="N178" s="2756"/>
    </row>
    <row r="179" spans="2:14" ht="12" hidden="1" customHeight="1" x14ac:dyDescent="0.25">
      <c r="B179" s="441"/>
      <c r="C179" s="2473"/>
      <c r="D179" s="896"/>
      <c r="E179" s="2688"/>
      <c r="F179" s="4417"/>
      <c r="G179" s="2698"/>
      <c r="H179" s="2690"/>
      <c r="I179" s="2757"/>
      <c r="J179" s="2726"/>
      <c r="K179" s="898"/>
      <c r="L179" s="2690"/>
      <c r="M179" s="2757"/>
      <c r="N179" s="2756"/>
    </row>
    <row r="180" spans="2:14" ht="18.75" hidden="1" customHeight="1" x14ac:dyDescent="0.25">
      <c r="B180" s="441"/>
      <c r="C180" s="2474" t="s">
        <v>6163</v>
      </c>
      <c r="D180" s="899">
        <f>SUM(D181:D182)</f>
        <v>500000000</v>
      </c>
      <c r="E180" s="2693">
        <f>D180/D14*100</f>
        <v>0.26907695132158627</v>
      </c>
      <c r="F180" s="4417"/>
      <c r="G180" s="2698"/>
      <c r="H180" s="2690"/>
      <c r="I180" s="2757"/>
      <c r="J180" s="2726"/>
      <c r="K180" s="898"/>
      <c r="L180" s="2690"/>
      <c r="M180" s="2757"/>
      <c r="N180" s="2756"/>
    </row>
    <row r="181" spans="2:14" ht="16.5" hidden="1" customHeight="1" x14ac:dyDescent="0.25">
      <c r="B181" s="441"/>
      <c r="C181" s="2473" t="s">
        <v>6164</v>
      </c>
      <c r="D181" s="896">
        <v>400000000</v>
      </c>
      <c r="E181" s="2688">
        <f>D181/D14*100</f>
        <v>0.21526156105726896</v>
      </c>
      <c r="F181" s="4417"/>
      <c r="G181" s="2698"/>
      <c r="H181" s="2690"/>
      <c r="I181" s="2757"/>
      <c r="J181" s="2726"/>
      <c r="K181" s="898"/>
      <c r="L181" s="2690"/>
      <c r="M181" s="2757"/>
      <c r="N181" s="2756"/>
    </row>
    <row r="182" spans="2:14" ht="17.25" hidden="1" customHeight="1" x14ac:dyDescent="0.25">
      <c r="B182" s="441"/>
      <c r="C182" s="2473" t="s">
        <v>6165</v>
      </c>
      <c r="D182" s="896">
        <v>100000000</v>
      </c>
      <c r="E182" s="2688">
        <f>D182/D14*100</f>
        <v>5.3815390264317239E-2</v>
      </c>
      <c r="F182" s="4417"/>
      <c r="G182" s="2698"/>
      <c r="H182" s="2690"/>
      <c r="I182" s="2757"/>
      <c r="J182" s="2726"/>
      <c r="K182" s="898"/>
      <c r="L182" s="2690"/>
      <c r="M182" s="2757"/>
      <c r="N182" s="2756"/>
    </row>
    <row r="183" spans="2:14" ht="10.5" hidden="1" customHeight="1" x14ac:dyDescent="0.25">
      <c r="B183" s="441"/>
      <c r="C183" s="2473"/>
      <c r="D183" s="896"/>
      <c r="E183" s="2688"/>
      <c r="F183" s="4417"/>
      <c r="G183" s="2698"/>
      <c r="H183" s="2690"/>
      <c r="I183" s="2757"/>
      <c r="J183" s="2726"/>
      <c r="K183" s="898"/>
      <c r="L183" s="2690"/>
      <c r="M183" s="2757"/>
      <c r="N183" s="2756"/>
    </row>
    <row r="184" spans="2:14" ht="17.25" hidden="1" customHeight="1" x14ac:dyDescent="0.25">
      <c r="B184" s="441"/>
      <c r="C184" s="2474" t="s">
        <v>6166</v>
      </c>
      <c r="D184" s="899">
        <f>SUM(D185:D187)</f>
        <v>558200000</v>
      </c>
      <c r="E184" s="2693">
        <f>D184/D14*100</f>
        <v>0.30039750845541885</v>
      </c>
      <c r="F184" s="4417"/>
      <c r="G184" s="2698"/>
      <c r="H184" s="2690"/>
      <c r="I184" s="2757"/>
      <c r="J184" s="2726"/>
      <c r="K184" s="898"/>
      <c r="L184" s="2690"/>
      <c r="M184" s="2757"/>
      <c r="N184" s="2756"/>
    </row>
    <row r="185" spans="2:14" ht="17.25" hidden="1" customHeight="1" x14ac:dyDescent="0.25">
      <c r="B185" s="441"/>
      <c r="C185" s="2473" t="s">
        <v>6167</v>
      </c>
      <c r="D185" s="896">
        <v>400000000</v>
      </c>
      <c r="E185" s="2688">
        <f>D185/D14*100</f>
        <v>0.21526156105726896</v>
      </c>
      <c r="F185" s="4417"/>
      <c r="G185" s="2698"/>
      <c r="H185" s="2690"/>
      <c r="I185" s="2757"/>
      <c r="J185" s="2726"/>
      <c r="K185" s="898"/>
      <c r="L185" s="2690"/>
      <c r="M185" s="2757"/>
      <c r="N185" s="2756"/>
    </row>
    <row r="186" spans="2:14" ht="17.25" hidden="1" customHeight="1" x14ac:dyDescent="0.25">
      <c r="B186" s="441"/>
      <c r="C186" s="2473" t="s">
        <v>6168</v>
      </c>
      <c r="D186" s="896">
        <v>150000000</v>
      </c>
      <c r="E186" s="2688">
        <f>D186/D14*100</f>
        <v>8.072308539647588E-2</v>
      </c>
      <c r="F186" s="4417"/>
      <c r="G186" s="2698"/>
      <c r="H186" s="2690"/>
      <c r="I186" s="2757"/>
      <c r="J186" s="2726"/>
      <c r="K186" s="898"/>
      <c r="L186" s="2690"/>
      <c r="M186" s="2757"/>
      <c r="N186" s="2756"/>
    </row>
    <row r="187" spans="2:14" ht="18.75" hidden="1" customHeight="1" x14ac:dyDescent="0.25">
      <c r="B187" s="441"/>
      <c r="C187" s="2473" t="s">
        <v>6169</v>
      </c>
      <c r="D187" s="896">
        <v>8200000</v>
      </c>
      <c r="E187" s="2688">
        <f>D187/D14*100</f>
        <v>4.4128620016740143E-3</v>
      </c>
      <c r="F187" s="4417"/>
      <c r="G187" s="2698"/>
      <c r="H187" s="2690"/>
      <c r="I187" s="2757"/>
      <c r="J187" s="2726"/>
      <c r="K187" s="898"/>
      <c r="L187" s="2690"/>
      <c r="M187" s="2757"/>
      <c r="N187" s="2756"/>
    </row>
    <row r="188" spans="2:14" ht="9.75" hidden="1" customHeight="1" x14ac:dyDescent="0.25">
      <c r="B188" s="441"/>
      <c r="C188" s="2473"/>
      <c r="D188" s="896"/>
      <c r="E188" s="2688"/>
      <c r="F188" s="4417"/>
      <c r="G188" s="2698"/>
      <c r="H188" s="2690"/>
      <c r="I188" s="2757"/>
      <c r="J188" s="2726"/>
      <c r="K188" s="898"/>
      <c r="L188" s="2690"/>
      <c r="M188" s="2757"/>
      <c r="N188" s="2756"/>
    </row>
    <row r="189" spans="2:14" ht="30" hidden="1" customHeight="1" x14ac:dyDescent="0.25">
      <c r="B189" s="441"/>
      <c r="C189" s="2474" t="s">
        <v>6170</v>
      </c>
      <c r="D189" s="899">
        <f>SUM(D190:D195)</f>
        <v>760800000</v>
      </c>
      <c r="E189" s="2693">
        <f>D189/D14*100</f>
        <v>0.40942748913092564</v>
      </c>
      <c r="F189" s="4417"/>
      <c r="G189" s="2698"/>
      <c r="H189" s="2690"/>
      <c r="I189" s="2757"/>
      <c r="J189" s="2726"/>
      <c r="K189" s="898"/>
      <c r="L189" s="2690"/>
      <c r="M189" s="2757"/>
      <c r="N189" s="2756"/>
    </row>
    <row r="190" spans="2:14" ht="16.5" hidden="1" customHeight="1" x14ac:dyDescent="0.25">
      <c r="B190" s="441"/>
      <c r="C190" s="2473" t="s">
        <v>6171</v>
      </c>
      <c r="D190" s="896">
        <v>4100000</v>
      </c>
      <c r="E190" s="2688">
        <f>D190/D14*100</f>
        <v>2.2064310008370071E-3</v>
      </c>
      <c r="F190" s="4417"/>
      <c r="G190" s="2698"/>
      <c r="H190" s="2690"/>
      <c r="I190" s="2757"/>
      <c r="J190" s="2726"/>
      <c r="K190" s="898"/>
      <c r="L190" s="2690"/>
      <c r="M190" s="2757"/>
      <c r="N190" s="2756"/>
    </row>
    <row r="191" spans="2:14" ht="17.25" hidden="1" customHeight="1" x14ac:dyDescent="0.25">
      <c r="B191" s="441"/>
      <c r="C191" s="2473" t="s">
        <v>6172</v>
      </c>
      <c r="D191" s="896">
        <v>19400000</v>
      </c>
      <c r="E191" s="2688">
        <f>D191/D14*100</f>
        <v>1.0440185711277547E-2</v>
      </c>
      <c r="F191" s="4417"/>
      <c r="G191" s="2698"/>
      <c r="H191" s="2690"/>
      <c r="I191" s="2757"/>
      <c r="J191" s="2726"/>
      <c r="K191" s="898"/>
      <c r="L191" s="2690"/>
      <c r="M191" s="2757"/>
      <c r="N191" s="2756"/>
    </row>
    <row r="192" spans="2:14" ht="17.25" hidden="1" customHeight="1" x14ac:dyDescent="0.25">
      <c r="B192" s="441"/>
      <c r="C192" s="2473" t="s">
        <v>6173</v>
      </c>
      <c r="D192" s="896">
        <v>19400000</v>
      </c>
      <c r="E192" s="2688">
        <f>D192/D14*100</f>
        <v>1.0440185711277547E-2</v>
      </c>
      <c r="F192" s="4417"/>
      <c r="G192" s="2698"/>
      <c r="H192" s="2690"/>
      <c r="I192" s="2757"/>
      <c r="J192" s="2726"/>
      <c r="K192" s="898"/>
      <c r="L192" s="2690"/>
      <c r="M192" s="2757"/>
      <c r="N192" s="2756"/>
    </row>
    <row r="193" spans="2:14" ht="18" hidden="1" customHeight="1" x14ac:dyDescent="0.25">
      <c r="B193" s="441"/>
      <c r="C193" s="2473" t="s">
        <v>6174</v>
      </c>
      <c r="D193" s="896">
        <v>19400000</v>
      </c>
      <c r="E193" s="2688">
        <f>D193/D14*100</f>
        <v>1.0440185711277547E-2</v>
      </c>
      <c r="F193" s="4417"/>
      <c r="G193" s="2698"/>
      <c r="H193" s="2690"/>
      <c r="I193" s="2757"/>
      <c r="J193" s="2726"/>
      <c r="K193" s="898"/>
      <c r="L193" s="2690"/>
      <c r="M193" s="2757"/>
      <c r="N193" s="2756"/>
    </row>
    <row r="194" spans="2:14" ht="16.5" hidden="1" customHeight="1" x14ac:dyDescent="0.25">
      <c r="B194" s="441"/>
      <c r="C194" s="2473" t="s">
        <v>6175</v>
      </c>
      <c r="D194" s="896">
        <v>323500000</v>
      </c>
      <c r="E194" s="2688">
        <f>D194/D14*100</f>
        <v>0.17409278750506629</v>
      </c>
      <c r="F194" s="4417"/>
      <c r="G194" s="2698"/>
      <c r="H194" s="2690"/>
      <c r="I194" s="2757"/>
      <c r="J194" s="2726"/>
      <c r="K194" s="898"/>
      <c r="L194" s="2690"/>
      <c r="M194" s="2757"/>
      <c r="N194" s="2756"/>
    </row>
    <row r="195" spans="2:14" ht="17.25" hidden="1" customHeight="1" x14ac:dyDescent="0.25">
      <c r="B195" s="441"/>
      <c r="C195" s="2473" t="s">
        <v>6176</v>
      </c>
      <c r="D195" s="896">
        <v>375000000</v>
      </c>
      <c r="E195" s="2688">
        <f>D195/D14*100</f>
        <v>0.20180771349118967</v>
      </c>
      <c r="F195" s="4417"/>
      <c r="G195" s="2698"/>
      <c r="H195" s="2690"/>
      <c r="I195" s="2757"/>
      <c r="J195" s="2726"/>
      <c r="K195" s="898"/>
      <c r="L195" s="2690"/>
      <c r="M195" s="2757"/>
      <c r="N195" s="2756"/>
    </row>
    <row r="196" spans="2:14" ht="9" hidden="1" customHeight="1" x14ac:dyDescent="0.25">
      <c r="B196" s="441"/>
      <c r="C196" s="2473"/>
      <c r="D196" s="896"/>
      <c r="E196" s="2688"/>
      <c r="F196" s="4417"/>
      <c r="G196" s="2698"/>
      <c r="H196" s="2690"/>
      <c r="I196" s="2757"/>
      <c r="J196" s="2726"/>
      <c r="K196" s="898"/>
      <c r="L196" s="2690"/>
      <c r="M196" s="2757"/>
      <c r="N196" s="2756"/>
    </row>
    <row r="197" spans="2:14" ht="18.75" hidden="1" customHeight="1" x14ac:dyDescent="0.25">
      <c r="B197" s="441"/>
      <c r="C197" s="2474" t="s">
        <v>6177</v>
      </c>
      <c r="D197" s="899">
        <f>SUM(D198:D205)</f>
        <v>4600000000</v>
      </c>
      <c r="E197" s="2693">
        <f>D197/D14*100</f>
        <v>2.4755079521585932</v>
      </c>
      <c r="F197" s="4417"/>
      <c r="G197" s="2698"/>
      <c r="H197" s="2690"/>
      <c r="I197" s="2757"/>
      <c r="J197" s="2726"/>
      <c r="K197" s="898"/>
      <c r="L197" s="2690"/>
      <c r="M197" s="2757"/>
      <c r="N197" s="2756"/>
    </row>
    <row r="198" spans="2:14" ht="15.75" hidden="1" customHeight="1" x14ac:dyDescent="0.25">
      <c r="B198" s="441"/>
      <c r="C198" s="2473" t="s">
        <v>6178</v>
      </c>
      <c r="D198" s="896">
        <v>800000000</v>
      </c>
      <c r="E198" s="2688">
        <f>D198/D14*100</f>
        <v>0.43052312211453792</v>
      </c>
      <c r="F198" s="4417"/>
      <c r="G198" s="2698"/>
      <c r="H198" s="2690"/>
      <c r="I198" s="2757"/>
      <c r="J198" s="2726"/>
      <c r="K198" s="898"/>
      <c r="L198" s="2690"/>
      <c r="M198" s="2757"/>
      <c r="N198" s="2756"/>
    </row>
    <row r="199" spans="2:14" ht="27" hidden="1" customHeight="1" x14ac:dyDescent="0.25">
      <c r="B199" s="441"/>
      <c r="C199" s="2473" t="s">
        <v>6179</v>
      </c>
      <c r="D199" s="896">
        <v>400000000</v>
      </c>
      <c r="E199" s="2688">
        <f>D199/D14*100</f>
        <v>0.21526156105726896</v>
      </c>
      <c r="F199" s="4417"/>
      <c r="G199" s="2698"/>
      <c r="H199" s="2690"/>
      <c r="I199" s="2757"/>
      <c r="J199" s="2726"/>
      <c r="K199" s="898"/>
      <c r="L199" s="2690"/>
      <c r="M199" s="2757"/>
      <c r="N199" s="2756"/>
    </row>
    <row r="200" spans="2:14" ht="17.25" hidden="1" customHeight="1" x14ac:dyDescent="0.25">
      <c r="B200" s="441"/>
      <c r="C200" s="2473" t="s">
        <v>6180</v>
      </c>
      <c r="D200" s="896">
        <v>1200000000</v>
      </c>
      <c r="E200" s="2688">
        <f>D200/D14*100</f>
        <v>0.64578468317180704</v>
      </c>
      <c r="F200" s="4417"/>
      <c r="G200" s="2698"/>
      <c r="H200" s="2690"/>
      <c r="I200" s="2757"/>
      <c r="J200" s="2726"/>
      <c r="K200" s="898"/>
      <c r="L200" s="2690"/>
      <c r="M200" s="2757"/>
      <c r="N200" s="2756"/>
    </row>
    <row r="201" spans="2:14" ht="15.75" hidden="1" customHeight="1" x14ac:dyDescent="0.25">
      <c r="B201" s="441"/>
      <c r="C201" s="2473" t="s">
        <v>6181</v>
      </c>
      <c r="D201" s="896">
        <v>1200000000</v>
      </c>
      <c r="E201" s="2688">
        <f>D201/D14*100</f>
        <v>0.64578468317180704</v>
      </c>
      <c r="F201" s="4417"/>
      <c r="G201" s="2698"/>
      <c r="H201" s="2690"/>
      <c r="I201" s="2757"/>
      <c r="J201" s="2726"/>
      <c r="K201" s="898"/>
      <c r="L201" s="2690"/>
      <c r="M201" s="2757"/>
      <c r="N201" s="2756"/>
    </row>
    <row r="202" spans="2:14" ht="16.5" hidden="1" customHeight="1" x14ac:dyDescent="0.25">
      <c r="B202" s="441"/>
      <c r="C202" s="2473" t="s">
        <v>6182</v>
      </c>
      <c r="D202" s="896">
        <v>400000000</v>
      </c>
      <c r="E202" s="2688">
        <f>D202/D14*100</f>
        <v>0.21526156105726896</v>
      </c>
      <c r="F202" s="4417"/>
      <c r="G202" s="2698"/>
      <c r="H202" s="2690"/>
      <c r="I202" s="2757"/>
      <c r="J202" s="2726"/>
      <c r="K202" s="898"/>
      <c r="L202" s="2690"/>
      <c r="M202" s="2757"/>
      <c r="N202" s="2756"/>
    </row>
    <row r="203" spans="2:14" ht="15.75" hidden="1" customHeight="1" x14ac:dyDescent="0.25">
      <c r="B203" s="441"/>
      <c r="C203" s="2473" t="s">
        <v>6183</v>
      </c>
      <c r="D203" s="896">
        <v>200000000</v>
      </c>
      <c r="E203" s="2688">
        <f>D203/D14*100</f>
        <v>0.10763078052863448</v>
      </c>
      <c r="F203" s="4417"/>
      <c r="G203" s="2698"/>
      <c r="H203" s="2690"/>
      <c r="I203" s="2757"/>
      <c r="J203" s="2726"/>
      <c r="K203" s="898"/>
      <c r="L203" s="2690"/>
      <c r="M203" s="2757"/>
      <c r="N203" s="2756"/>
    </row>
    <row r="204" spans="2:14" ht="31.5" hidden="1" customHeight="1" x14ac:dyDescent="0.25">
      <c r="B204" s="441"/>
      <c r="C204" s="2473" t="s">
        <v>6184</v>
      </c>
      <c r="D204" s="896">
        <v>200000000</v>
      </c>
      <c r="E204" s="2688">
        <f>D204/D14*100</f>
        <v>0.10763078052863448</v>
      </c>
      <c r="F204" s="4417"/>
      <c r="G204" s="2698"/>
      <c r="H204" s="2690"/>
      <c r="I204" s="2757"/>
      <c r="J204" s="2726"/>
      <c r="K204" s="898"/>
      <c r="L204" s="2690"/>
      <c r="M204" s="2757"/>
      <c r="N204" s="2756"/>
    </row>
    <row r="205" spans="2:14" ht="23.25" hidden="1" customHeight="1" x14ac:dyDescent="0.25">
      <c r="B205" s="441"/>
      <c r="C205" s="2473" t="s">
        <v>6185</v>
      </c>
      <c r="D205" s="896">
        <v>200000000</v>
      </c>
      <c r="E205" s="2688">
        <f>D205/D14*100</f>
        <v>0.10763078052863448</v>
      </c>
      <c r="F205" s="4417"/>
      <c r="G205" s="2698"/>
      <c r="H205" s="2690"/>
      <c r="I205" s="2757"/>
      <c r="J205" s="2726"/>
      <c r="K205" s="898"/>
      <c r="L205" s="2690"/>
      <c r="M205" s="2757"/>
      <c r="N205" s="2756"/>
    </row>
    <row r="206" spans="2:14" ht="10.5" hidden="1" customHeight="1" x14ac:dyDescent="0.25">
      <c r="B206" s="441"/>
      <c r="C206" s="2473"/>
      <c r="D206" s="899"/>
      <c r="E206" s="2688"/>
      <c r="F206" s="4417"/>
      <c r="G206" s="2698"/>
      <c r="H206" s="2690"/>
      <c r="I206" s="2757"/>
      <c r="J206" s="2726"/>
      <c r="K206" s="898"/>
      <c r="L206" s="2690"/>
      <c r="M206" s="2757"/>
      <c r="N206" s="2756"/>
    </row>
    <row r="207" spans="2:14" ht="18" hidden="1" customHeight="1" x14ac:dyDescent="0.25">
      <c r="B207" s="441"/>
      <c r="C207" s="2474" t="s">
        <v>6186</v>
      </c>
      <c r="D207" s="899">
        <f>SUM(D208:D213)</f>
        <v>2000000000</v>
      </c>
      <c r="E207" s="2693">
        <f>D207/D14*100</f>
        <v>1.0763078052863451</v>
      </c>
      <c r="F207" s="4417"/>
      <c r="G207" s="2698"/>
      <c r="H207" s="2690"/>
      <c r="I207" s="2757"/>
      <c r="J207" s="2726"/>
      <c r="K207" s="898"/>
      <c r="L207" s="2690"/>
      <c r="M207" s="2757"/>
      <c r="N207" s="2756"/>
    </row>
    <row r="208" spans="2:14" ht="17.25" hidden="1" customHeight="1" x14ac:dyDescent="0.25">
      <c r="B208" s="441"/>
      <c r="C208" s="2473" t="s">
        <v>6187</v>
      </c>
      <c r="D208" s="896">
        <v>200000000</v>
      </c>
      <c r="E208" s="2688">
        <f>D208/D14*100</f>
        <v>0.10763078052863448</v>
      </c>
      <c r="F208" s="4417"/>
      <c r="G208" s="2698"/>
      <c r="H208" s="2690"/>
      <c r="I208" s="2757"/>
      <c r="J208" s="2726"/>
      <c r="K208" s="898"/>
      <c r="L208" s="2690"/>
      <c r="M208" s="2757"/>
      <c r="N208" s="2756"/>
    </row>
    <row r="209" spans="2:14" ht="30.75" hidden="1" customHeight="1" x14ac:dyDescent="0.25">
      <c r="B209" s="441"/>
      <c r="C209" s="2473" t="s">
        <v>6188</v>
      </c>
      <c r="D209" s="896">
        <v>400000000</v>
      </c>
      <c r="E209" s="2688">
        <f>D209/D14*100</f>
        <v>0.21526156105726896</v>
      </c>
      <c r="F209" s="4417"/>
      <c r="G209" s="2698"/>
      <c r="H209" s="2690"/>
      <c r="I209" s="2757"/>
      <c r="J209" s="2726"/>
      <c r="K209" s="898"/>
      <c r="L209" s="2690"/>
      <c r="M209" s="2757"/>
      <c r="N209" s="2756"/>
    </row>
    <row r="210" spans="2:14" ht="28.5" hidden="1" customHeight="1" x14ac:dyDescent="0.25">
      <c r="B210" s="441"/>
      <c r="C210" s="2473" t="s">
        <v>6189</v>
      </c>
      <c r="D210" s="896">
        <v>200000000</v>
      </c>
      <c r="E210" s="2688">
        <f>D210/D14*100</f>
        <v>0.10763078052863448</v>
      </c>
      <c r="F210" s="4417"/>
      <c r="G210" s="2698"/>
      <c r="H210" s="2690"/>
      <c r="I210" s="2757"/>
      <c r="J210" s="2726"/>
      <c r="K210" s="898"/>
      <c r="L210" s="2690"/>
      <c r="M210" s="2757"/>
      <c r="N210" s="2756"/>
    </row>
    <row r="211" spans="2:14" ht="18.75" hidden="1" customHeight="1" x14ac:dyDescent="0.25">
      <c r="B211" s="441"/>
      <c r="C211" s="2473" t="s">
        <v>6190</v>
      </c>
      <c r="D211" s="896">
        <v>300000000</v>
      </c>
      <c r="E211" s="2688">
        <f>D211/D14*100</f>
        <v>0.16144617079295176</v>
      </c>
      <c r="F211" s="4417"/>
      <c r="G211" s="2698"/>
      <c r="H211" s="2690"/>
      <c r="I211" s="2757"/>
      <c r="J211" s="2726"/>
      <c r="K211" s="898"/>
      <c r="L211" s="2690"/>
      <c r="M211" s="2757"/>
      <c r="N211" s="2756"/>
    </row>
    <row r="212" spans="2:14" ht="18.75" hidden="1" customHeight="1" x14ac:dyDescent="0.25">
      <c r="B212" s="441"/>
      <c r="C212" s="2473" t="s">
        <v>6191</v>
      </c>
      <c r="D212" s="896">
        <v>700000000</v>
      </c>
      <c r="E212" s="2688">
        <f>D212/D14*100</f>
        <v>0.37670773185022072</v>
      </c>
      <c r="F212" s="4417"/>
      <c r="G212" s="2698"/>
      <c r="H212" s="2690"/>
      <c r="I212" s="2757"/>
      <c r="J212" s="2726"/>
      <c r="K212" s="898"/>
      <c r="L212" s="2690"/>
      <c r="M212" s="2757"/>
      <c r="N212" s="2756"/>
    </row>
    <row r="213" spans="2:14" ht="29.25" hidden="1" customHeight="1" x14ac:dyDescent="0.25">
      <c r="B213" s="441"/>
      <c r="C213" s="2473" t="s">
        <v>6192</v>
      </c>
      <c r="D213" s="896">
        <v>200000000</v>
      </c>
      <c r="E213" s="2688">
        <f>D213/D14*100</f>
        <v>0.10763078052863448</v>
      </c>
      <c r="F213" s="4417"/>
      <c r="G213" s="2698"/>
      <c r="H213" s="2690"/>
      <c r="I213" s="2757"/>
      <c r="J213" s="2726"/>
      <c r="K213" s="898"/>
      <c r="L213" s="2690"/>
      <c r="M213" s="2757"/>
      <c r="N213" s="2756"/>
    </row>
    <row r="214" spans="2:14" ht="12" hidden="1" customHeight="1" x14ac:dyDescent="0.25">
      <c r="B214" s="441"/>
      <c r="C214" s="2473"/>
      <c r="D214" s="899"/>
      <c r="E214" s="2688"/>
      <c r="F214" s="4417"/>
      <c r="G214" s="2698"/>
      <c r="H214" s="2690"/>
      <c r="I214" s="2757"/>
      <c r="J214" s="2726"/>
      <c r="K214" s="898"/>
      <c r="L214" s="2690"/>
      <c r="M214" s="2757"/>
      <c r="N214" s="2756"/>
    </row>
    <row r="215" spans="2:14" ht="18.75" hidden="1" customHeight="1" x14ac:dyDescent="0.25">
      <c r="B215" s="441"/>
      <c r="C215" s="2474" t="s">
        <v>6193</v>
      </c>
      <c r="D215" s="899">
        <f>SUM(D216:D219)</f>
        <v>8700000000</v>
      </c>
      <c r="E215" s="2693">
        <f>D215/D14*100</f>
        <v>4.6819389529956004</v>
      </c>
      <c r="F215" s="4417"/>
      <c r="G215" s="2698"/>
      <c r="H215" s="2690"/>
      <c r="I215" s="2757"/>
      <c r="J215" s="2726"/>
      <c r="K215" s="898"/>
      <c r="L215" s="2690"/>
      <c r="M215" s="2757"/>
      <c r="N215" s="2756"/>
    </row>
    <row r="216" spans="2:14" ht="18.75" hidden="1" customHeight="1" x14ac:dyDescent="0.25">
      <c r="B216" s="441"/>
      <c r="C216" s="2473" t="s">
        <v>6194</v>
      </c>
      <c r="D216" s="896">
        <v>7000000000</v>
      </c>
      <c r="E216" s="2688">
        <f>D216/D14*100</f>
        <v>3.7670773185022073</v>
      </c>
      <c r="F216" s="4417"/>
      <c r="G216" s="2698"/>
      <c r="H216" s="2690"/>
      <c r="I216" s="2757"/>
      <c r="J216" s="2726"/>
      <c r="K216" s="898"/>
      <c r="L216" s="2690"/>
      <c r="M216" s="2757"/>
      <c r="N216" s="2756"/>
    </row>
    <row r="217" spans="2:14" ht="18.75" hidden="1" customHeight="1" x14ac:dyDescent="0.25">
      <c r="B217" s="441"/>
      <c r="C217" s="2473" t="s">
        <v>6195</v>
      </c>
      <c r="D217" s="896">
        <v>700000000</v>
      </c>
      <c r="E217" s="2688">
        <f>D217/D14*100</f>
        <v>0.37670773185022072</v>
      </c>
      <c r="F217" s="4417"/>
      <c r="G217" s="2698"/>
      <c r="H217" s="2690"/>
      <c r="I217" s="2757"/>
      <c r="J217" s="2726"/>
      <c r="K217" s="898"/>
      <c r="L217" s="2690"/>
      <c r="M217" s="2757"/>
      <c r="N217" s="2756"/>
    </row>
    <row r="218" spans="2:14" ht="18.75" hidden="1" customHeight="1" x14ac:dyDescent="0.25">
      <c r="B218" s="441"/>
      <c r="C218" s="2473" t="s">
        <v>6196</v>
      </c>
      <c r="D218" s="896">
        <v>500000000</v>
      </c>
      <c r="E218" s="2688">
        <f>D218/D14*100</f>
        <v>0.26907695132158627</v>
      </c>
      <c r="F218" s="4417"/>
      <c r="G218" s="2698"/>
      <c r="H218" s="2690"/>
      <c r="I218" s="2757"/>
      <c r="J218" s="2726"/>
      <c r="K218" s="898"/>
      <c r="L218" s="2690"/>
      <c r="M218" s="2757"/>
      <c r="N218" s="2756"/>
    </row>
    <row r="219" spans="2:14" ht="18.75" hidden="1" customHeight="1" x14ac:dyDescent="0.25">
      <c r="B219" s="441"/>
      <c r="C219" s="2473" t="s">
        <v>6197</v>
      </c>
      <c r="D219" s="896">
        <v>500000000</v>
      </c>
      <c r="E219" s="2688">
        <f>D219/D14*100</f>
        <v>0.26907695132158627</v>
      </c>
      <c r="F219" s="4417"/>
      <c r="G219" s="2698"/>
      <c r="H219" s="2690"/>
      <c r="I219" s="2757"/>
      <c r="J219" s="2726"/>
      <c r="K219" s="898"/>
      <c r="L219" s="2690"/>
      <c r="M219" s="2757"/>
      <c r="N219" s="2756"/>
    </row>
    <row r="220" spans="2:14" ht="11.25" hidden="1" customHeight="1" x14ac:dyDescent="0.25">
      <c r="B220" s="441"/>
      <c r="C220" s="2473"/>
      <c r="D220" s="899"/>
      <c r="E220" s="2688"/>
      <c r="F220" s="4417"/>
      <c r="G220" s="2698"/>
      <c r="H220" s="2690"/>
      <c r="I220" s="2757"/>
      <c r="J220" s="2726"/>
      <c r="K220" s="898"/>
      <c r="L220" s="2690"/>
      <c r="M220" s="2757"/>
      <c r="N220" s="2756"/>
    </row>
    <row r="221" spans="2:14" ht="31.5" hidden="1" customHeight="1" x14ac:dyDescent="0.25">
      <c r="B221" s="441"/>
      <c r="C221" s="2474" t="s">
        <v>6198</v>
      </c>
      <c r="D221" s="899">
        <f>SUM(D222:D229)</f>
        <v>3600000000</v>
      </c>
      <c r="E221" s="2693">
        <f>D221/D14*100</f>
        <v>1.9373540495154211</v>
      </c>
      <c r="F221" s="4417"/>
      <c r="G221" s="2698"/>
      <c r="H221" s="2690"/>
      <c r="I221" s="2757"/>
      <c r="J221" s="2726"/>
      <c r="K221" s="898"/>
      <c r="L221" s="2690"/>
      <c r="M221" s="2757"/>
      <c r="N221" s="2756"/>
    </row>
    <row r="222" spans="2:14" ht="18.75" hidden="1" customHeight="1" x14ac:dyDescent="0.25">
      <c r="B222" s="441"/>
      <c r="C222" s="2473" t="s">
        <v>6199</v>
      </c>
      <c r="D222" s="896">
        <v>800000000</v>
      </c>
      <c r="E222" s="2688">
        <f>D222/D14*100</f>
        <v>0.43052312211453792</v>
      </c>
      <c r="F222" s="4417"/>
      <c r="G222" s="2698"/>
      <c r="H222" s="2690"/>
      <c r="I222" s="2757"/>
      <c r="J222" s="2726"/>
      <c r="K222" s="898"/>
      <c r="L222" s="2690"/>
      <c r="M222" s="2757"/>
      <c r="N222" s="2756"/>
    </row>
    <row r="223" spans="2:14" ht="18.75" hidden="1" customHeight="1" x14ac:dyDescent="0.25">
      <c r="B223" s="441"/>
      <c r="C223" s="2473" t="s">
        <v>6200</v>
      </c>
      <c r="D223" s="896">
        <v>500000000</v>
      </c>
      <c r="E223" s="2688">
        <f>D223/D14*100</f>
        <v>0.26907695132158627</v>
      </c>
      <c r="F223" s="4417"/>
      <c r="G223" s="2698"/>
      <c r="H223" s="2690"/>
      <c r="I223" s="2757"/>
      <c r="J223" s="2726"/>
      <c r="K223" s="898"/>
      <c r="L223" s="2690"/>
      <c r="M223" s="2757"/>
      <c r="N223" s="2756"/>
    </row>
    <row r="224" spans="2:14" ht="26.25" hidden="1" customHeight="1" x14ac:dyDescent="0.25">
      <c r="B224" s="441"/>
      <c r="C224" s="2473" t="s">
        <v>6201</v>
      </c>
      <c r="D224" s="896">
        <v>200000000</v>
      </c>
      <c r="E224" s="2688">
        <f>D224/D14*100</f>
        <v>0.10763078052863448</v>
      </c>
      <c r="F224" s="4417"/>
      <c r="G224" s="2698"/>
      <c r="H224" s="2690"/>
      <c r="I224" s="2757"/>
      <c r="J224" s="2726"/>
      <c r="K224" s="898"/>
      <c r="L224" s="2690"/>
      <c r="M224" s="2757"/>
      <c r="N224" s="2756"/>
    </row>
    <row r="225" spans="2:14" ht="18.75" hidden="1" customHeight="1" x14ac:dyDescent="0.25">
      <c r="B225" s="441"/>
      <c r="C225" s="2473" t="s">
        <v>6202</v>
      </c>
      <c r="D225" s="896">
        <v>400000000</v>
      </c>
      <c r="E225" s="2688">
        <f>D225/D14*100</f>
        <v>0.21526156105726896</v>
      </c>
      <c r="F225" s="4417"/>
      <c r="G225" s="2698"/>
      <c r="H225" s="2690"/>
      <c r="I225" s="2757"/>
      <c r="J225" s="2726"/>
      <c r="K225" s="898"/>
      <c r="L225" s="2690"/>
      <c r="M225" s="2757"/>
      <c r="N225" s="2756"/>
    </row>
    <row r="226" spans="2:14" ht="18.75" hidden="1" customHeight="1" x14ac:dyDescent="0.25">
      <c r="B226" s="441"/>
      <c r="C226" s="2473" t="s">
        <v>6203</v>
      </c>
      <c r="D226" s="896">
        <v>300000000</v>
      </c>
      <c r="E226" s="2688">
        <f>D226/D14*100</f>
        <v>0.16144617079295176</v>
      </c>
      <c r="F226" s="4417"/>
      <c r="G226" s="2698"/>
      <c r="H226" s="2690"/>
      <c r="I226" s="2757"/>
      <c r="J226" s="2726"/>
      <c r="K226" s="898"/>
      <c r="L226" s="2690"/>
      <c r="M226" s="2757"/>
      <c r="N226" s="2756"/>
    </row>
    <row r="227" spans="2:14" ht="18.75" hidden="1" customHeight="1" x14ac:dyDescent="0.25">
      <c r="B227" s="441"/>
      <c r="C227" s="2473" t="s">
        <v>6204</v>
      </c>
      <c r="D227" s="896">
        <v>500000000</v>
      </c>
      <c r="E227" s="2688">
        <f>D227/D14*100</f>
        <v>0.26907695132158627</v>
      </c>
      <c r="F227" s="4417"/>
      <c r="G227" s="2698"/>
      <c r="H227" s="2690"/>
      <c r="I227" s="2757"/>
      <c r="J227" s="2726"/>
      <c r="K227" s="898"/>
      <c r="L227" s="2690"/>
      <c r="M227" s="2757"/>
      <c r="N227" s="2756"/>
    </row>
    <row r="228" spans="2:14" ht="27" hidden="1" customHeight="1" x14ac:dyDescent="0.25">
      <c r="B228" s="441"/>
      <c r="C228" s="2473" t="s">
        <v>6205</v>
      </c>
      <c r="D228" s="896">
        <v>400000000</v>
      </c>
      <c r="E228" s="2688">
        <f>D228/D14*100</f>
        <v>0.21526156105726896</v>
      </c>
      <c r="F228" s="4417"/>
      <c r="G228" s="2698"/>
      <c r="H228" s="2690"/>
      <c r="I228" s="2757"/>
      <c r="J228" s="2726"/>
      <c r="K228" s="898"/>
      <c r="L228" s="2690"/>
      <c r="M228" s="2757"/>
      <c r="N228" s="2756"/>
    </row>
    <row r="229" spans="2:14" ht="18.75" hidden="1" customHeight="1" x14ac:dyDescent="0.25">
      <c r="B229" s="441"/>
      <c r="C229" s="2473" t="s">
        <v>6206</v>
      </c>
      <c r="D229" s="896">
        <v>500000000</v>
      </c>
      <c r="E229" s="2688">
        <f>D229/D14*100</f>
        <v>0.26907695132158627</v>
      </c>
      <c r="F229" s="4417"/>
      <c r="G229" s="2698"/>
      <c r="H229" s="2690"/>
      <c r="I229" s="2757"/>
      <c r="J229" s="2726"/>
      <c r="K229" s="898"/>
      <c r="L229" s="2690"/>
      <c r="M229" s="2757"/>
      <c r="N229" s="2756"/>
    </row>
    <row r="230" spans="2:14" ht="12" hidden="1" customHeight="1" x14ac:dyDescent="0.25">
      <c r="B230" s="441"/>
      <c r="C230" s="2475"/>
      <c r="D230" s="2755"/>
      <c r="E230" s="2758"/>
      <c r="F230" s="4420"/>
      <c r="G230" s="2724"/>
      <c r="H230" s="2752"/>
      <c r="I230" s="2753"/>
      <c r="J230" s="2754"/>
      <c r="K230" s="2755"/>
      <c r="L230" s="2752"/>
      <c r="M230" s="2753"/>
      <c r="N230" s="2756"/>
    </row>
    <row r="231" spans="2:14" ht="18" hidden="1" customHeight="1" x14ac:dyDescent="0.25">
      <c r="B231" s="440" t="s">
        <v>128</v>
      </c>
      <c r="C231" s="2471" t="s">
        <v>158</v>
      </c>
      <c r="D231" s="2744">
        <f>SUM(D232+D235+D240+D245+D252+D256)</f>
        <v>20000000000</v>
      </c>
      <c r="E231" s="2717">
        <f>D231/D14*100</f>
        <v>10.763078052863449</v>
      </c>
      <c r="F231" s="3831"/>
      <c r="G231" s="2669"/>
      <c r="H231" s="2746"/>
      <c r="I231" s="2747"/>
      <c r="J231" s="2748"/>
      <c r="K231" s="2749"/>
      <c r="L231" s="2746"/>
      <c r="M231" s="2747"/>
      <c r="N231" s="2756"/>
    </row>
    <row r="232" spans="2:14" ht="16.5" hidden="1" customHeight="1" x14ac:dyDescent="0.25">
      <c r="B232" s="441"/>
      <c r="C232" s="2472" t="s">
        <v>6207</v>
      </c>
      <c r="D232" s="2759">
        <f>D233</f>
        <v>1250000000</v>
      </c>
      <c r="E232" s="2693">
        <f>D232/D14*100</f>
        <v>0.67269237830396555</v>
      </c>
      <c r="F232" s="3830"/>
      <c r="G232" s="2724"/>
      <c r="H232" s="2752"/>
      <c r="I232" s="2753"/>
      <c r="J232" s="2754"/>
      <c r="K232" s="2755"/>
      <c r="L232" s="2752"/>
      <c r="M232" s="2753"/>
      <c r="N232" s="2756"/>
    </row>
    <row r="233" spans="2:14" ht="18.75" hidden="1" customHeight="1" x14ac:dyDescent="0.25">
      <c r="B233" s="441"/>
      <c r="C233" s="2473" t="s">
        <v>6208</v>
      </c>
      <c r="D233" s="896">
        <v>1250000000</v>
      </c>
      <c r="E233" s="2688">
        <f>D233/D14*100</f>
        <v>0.67269237830396555</v>
      </c>
      <c r="F233" s="4417"/>
      <c r="G233" s="2698"/>
      <c r="H233" s="2690"/>
      <c r="I233" s="2757"/>
      <c r="J233" s="2726"/>
      <c r="K233" s="898"/>
      <c r="L233" s="2690"/>
      <c r="M233" s="2757"/>
      <c r="N233" s="2756"/>
    </row>
    <row r="234" spans="2:14" ht="8.25" hidden="1" customHeight="1" x14ac:dyDescent="0.25">
      <c r="B234" s="441"/>
      <c r="C234" s="2473"/>
      <c r="D234" s="898"/>
      <c r="E234" s="2688"/>
      <c r="F234" s="4417"/>
      <c r="G234" s="2698"/>
      <c r="H234" s="2690"/>
      <c r="I234" s="2757"/>
      <c r="J234" s="2726"/>
      <c r="K234" s="898"/>
      <c r="L234" s="2690"/>
      <c r="M234" s="2757"/>
      <c r="N234" s="2756"/>
    </row>
    <row r="235" spans="2:14" ht="20.25" hidden="1" customHeight="1" x14ac:dyDescent="0.25">
      <c r="B235" s="441"/>
      <c r="C235" s="2474" t="s">
        <v>6209</v>
      </c>
      <c r="D235" s="899">
        <f>SUM(D236:D238)</f>
        <v>4200000000</v>
      </c>
      <c r="E235" s="2693">
        <f>D235/D14*100</f>
        <v>2.2602463911013242</v>
      </c>
      <c r="F235" s="4417"/>
      <c r="G235" s="2698"/>
      <c r="H235" s="2690"/>
      <c r="I235" s="2757"/>
      <c r="J235" s="2726"/>
      <c r="K235" s="898"/>
      <c r="L235" s="2690"/>
      <c r="M235" s="2757"/>
      <c r="N235" s="2756"/>
    </row>
    <row r="236" spans="2:14" ht="17.25" hidden="1" customHeight="1" x14ac:dyDescent="0.25">
      <c r="B236" s="441"/>
      <c r="C236" s="2473" t="s">
        <v>6210</v>
      </c>
      <c r="D236" s="896">
        <v>1034000000</v>
      </c>
      <c r="E236" s="2688">
        <f>D236/D14*100</f>
        <v>0.55645113533304036</v>
      </c>
      <c r="F236" s="4417"/>
      <c r="G236" s="2698"/>
      <c r="H236" s="2690"/>
      <c r="I236" s="2757"/>
      <c r="J236" s="2726"/>
      <c r="K236" s="898"/>
      <c r="L236" s="2690"/>
      <c r="M236" s="2757"/>
      <c r="N236" s="2756"/>
    </row>
    <row r="237" spans="2:14" ht="15.75" hidden="1" customHeight="1" x14ac:dyDescent="0.25">
      <c r="B237" s="441"/>
      <c r="C237" s="2473" t="s">
        <v>6211</v>
      </c>
      <c r="D237" s="896">
        <v>1407000000</v>
      </c>
      <c r="E237" s="2688">
        <f>D237/D14*100</f>
        <v>0.75718254101894367</v>
      </c>
      <c r="F237" s="4417"/>
      <c r="G237" s="2698"/>
      <c r="H237" s="2690"/>
      <c r="I237" s="2757"/>
      <c r="J237" s="2726"/>
      <c r="K237" s="898"/>
      <c r="L237" s="2690"/>
      <c r="M237" s="2757"/>
      <c r="N237" s="2756"/>
    </row>
    <row r="238" spans="2:14" ht="18" hidden="1" customHeight="1" x14ac:dyDescent="0.25">
      <c r="B238" s="441"/>
      <c r="C238" s="2473" t="s">
        <v>6212</v>
      </c>
      <c r="D238" s="896">
        <v>1759000000</v>
      </c>
      <c r="E238" s="2688">
        <f>D238/D14*100</f>
        <v>0.94661271474934039</v>
      </c>
      <c r="F238" s="4417"/>
      <c r="G238" s="2698"/>
      <c r="H238" s="2690"/>
      <c r="I238" s="2757"/>
      <c r="J238" s="2726"/>
      <c r="K238" s="898"/>
      <c r="L238" s="2690"/>
      <c r="M238" s="2757"/>
      <c r="N238" s="2756"/>
    </row>
    <row r="239" spans="2:14" ht="9.75" hidden="1" customHeight="1" x14ac:dyDescent="0.25">
      <c r="B239" s="441"/>
      <c r="C239" s="2473"/>
      <c r="D239" s="896"/>
      <c r="E239" s="2688"/>
      <c r="F239" s="4417"/>
      <c r="G239" s="2698"/>
      <c r="H239" s="2690"/>
      <c r="I239" s="2757"/>
      <c r="J239" s="2726"/>
      <c r="K239" s="898"/>
      <c r="L239" s="2690"/>
      <c r="M239" s="2757"/>
      <c r="N239" s="2756"/>
    </row>
    <row r="240" spans="2:14" ht="30" hidden="1" customHeight="1" x14ac:dyDescent="0.25">
      <c r="B240" s="441"/>
      <c r="C240" s="2474" t="s">
        <v>6213</v>
      </c>
      <c r="D240" s="899">
        <f>SUM(D241:D243)</f>
        <v>3750000000</v>
      </c>
      <c r="E240" s="2693">
        <f>D240/D14*100</f>
        <v>2.0180771349118967</v>
      </c>
      <c r="F240" s="3832"/>
      <c r="G240" s="2698"/>
      <c r="H240" s="2690"/>
      <c r="I240" s="2757"/>
      <c r="J240" s="2726"/>
      <c r="K240" s="898"/>
      <c r="L240" s="2690"/>
      <c r="M240" s="2757"/>
      <c r="N240" s="2756"/>
    </row>
    <row r="241" spans="2:14" ht="16.5" hidden="1" customHeight="1" x14ac:dyDescent="0.25">
      <c r="B241" s="441"/>
      <c r="C241" s="2473" t="s">
        <v>6214</v>
      </c>
      <c r="D241" s="896">
        <v>3080000000</v>
      </c>
      <c r="E241" s="2688">
        <f>D241/D14*100</f>
        <v>1.6575140201409715</v>
      </c>
      <c r="F241" s="3832"/>
      <c r="G241" s="2698"/>
      <c r="H241" s="2690"/>
      <c r="I241" s="2757"/>
      <c r="J241" s="2726"/>
      <c r="K241" s="898"/>
      <c r="L241" s="2690"/>
      <c r="M241" s="2757"/>
      <c r="N241" s="2756"/>
    </row>
    <row r="242" spans="2:14" ht="18" hidden="1" customHeight="1" x14ac:dyDescent="0.25">
      <c r="B242" s="441"/>
      <c r="C242" s="2473" t="s">
        <v>6215</v>
      </c>
      <c r="D242" s="896">
        <v>570000000</v>
      </c>
      <c r="E242" s="2688">
        <f>D242/D14*100</f>
        <v>0.30674772450660831</v>
      </c>
      <c r="F242" s="3832"/>
      <c r="G242" s="2698"/>
      <c r="H242" s="2690"/>
      <c r="I242" s="2757"/>
      <c r="J242" s="2726"/>
      <c r="K242" s="898"/>
      <c r="L242" s="2690"/>
      <c r="M242" s="2757"/>
      <c r="N242" s="2756"/>
    </row>
    <row r="243" spans="2:14" ht="18.75" hidden="1" customHeight="1" x14ac:dyDescent="0.25">
      <c r="B243" s="441"/>
      <c r="C243" s="2473" t="s">
        <v>6216</v>
      </c>
      <c r="D243" s="896">
        <v>100000000</v>
      </c>
      <c r="E243" s="2688">
        <f>D243/D14*100</f>
        <v>5.3815390264317239E-2</v>
      </c>
      <c r="F243" s="3832"/>
      <c r="G243" s="2698"/>
      <c r="H243" s="2690"/>
      <c r="I243" s="2757"/>
      <c r="J243" s="2726"/>
      <c r="K243" s="898"/>
      <c r="L243" s="2690"/>
      <c r="M243" s="2757"/>
      <c r="N243" s="2756"/>
    </row>
    <row r="244" spans="2:14" ht="12" hidden="1" customHeight="1" x14ac:dyDescent="0.25">
      <c r="B244" s="441"/>
      <c r="C244" s="2476"/>
      <c r="D244" s="911"/>
      <c r="E244" s="2707"/>
      <c r="F244" s="4418"/>
      <c r="G244" s="2706"/>
      <c r="H244" s="2710"/>
      <c r="I244" s="2742"/>
      <c r="J244" s="2739"/>
      <c r="K244" s="911"/>
      <c r="L244" s="2710"/>
      <c r="M244" s="2742"/>
      <c r="N244" s="2756"/>
    </row>
    <row r="245" spans="2:14" ht="28.5" hidden="1" customHeight="1" x14ac:dyDescent="0.25">
      <c r="B245" s="441"/>
      <c r="C245" s="2474" t="s">
        <v>6217</v>
      </c>
      <c r="D245" s="899">
        <f>SUM(D246:D250)</f>
        <v>4150000000</v>
      </c>
      <c r="E245" s="2693">
        <f>D245/D14*100</f>
        <v>2.2333386959691657</v>
      </c>
      <c r="F245" s="4417"/>
      <c r="G245" s="2698"/>
      <c r="H245" s="2690"/>
      <c r="I245" s="2757"/>
      <c r="J245" s="2726"/>
      <c r="K245" s="898"/>
      <c r="L245" s="2690"/>
      <c r="M245" s="2757"/>
      <c r="N245" s="2756"/>
    </row>
    <row r="246" spans="2:14" ht="18" hidden="1" customHeight="1" x14ac:dyDescent="0.25">
      <c r="B246" s="441"/>
      <c r="C246" s="2473" t="s">
        <v>6218</v>
      </c>
      <c r="D246" s="896">
        <v>1350000000</v>
      </c>
      <c r="E246" s="2688">
        <f>D246/D14*100</f>
        <v>0.72650776856828281</v>
      </c>
      <c r="F246" s="4417"/>
      <c r="G246" s="2698"/>
      <c r="H246" s="2690"/>
      <c r="I246" s="2757"/>
      <c r="J246" s="2726"/>
      <c r="K246" s="898"/>
      <c r="L246" s="2690"/>
      <c r="M246" s="2757"/>
      <c r="N246" s="2756"/>
    </row>
    <row r="247" spans="2:14" ht="19.5" hidden="1" customHeight="1" x14ac:dyDescent="0.25">
      <c r="B247" s="441"/>
      <c r="C247" s="2473" t="s">
        <v>6219</v>
      </c>
      <c r="D247" s="896">
        <v>1500000000</v>
      </c>
      <c r="E247" s="2688">
        <f>D247/D14*100</f>
        <v>0.80723085396475869</v>
      </c>
      <c r="F247" s="4417"/>
      <c r="G247" s="2698"/>
      <c r="H247" s="2690"/>
      <c r="I247" s="2757"/>
      <c r="J247" s="2726"/>
      <c r="K247" s="898"/>
      <c r="L247" s="2690"/>
      <c r="M247" s="2757"/>
      <c r="N247" s="2756"/>
    </row>
    <row r="248" spans="2:14" ht="16.5" hidden="1" customHeight="1" x14ac:dyDescent="0.25">
      <c r="B248" s="441"/>
      <c r="C248" s="2473" t="s">
        <v>6220</v>
      </c>
      <c r="D248" s="896">
        <v>500000000</v>
      </c>
      <c r="E248" s="2688">
        <f>D248/D14*100</f>
        <v>0.26907695132158627</v>
      </c>
      <c r="F248" s="4417"/>
      <c r="G248" s="2698"/>
      <c r="H248" s="2690"/>
      <c r="I248" s="2757"/>
      <c r="J248" s="2726"/>
      <c r="K248" s="898"/>
      <c r="L248" s="2690"/>
      <c r="M248" s="2757"/>
      <c r="N248" s="2756"/>
    </row>
    <row r="249" spans="2:14" ht="17.25" hidden="1" customHeight="1" x14ac:dyDescent="0.25">
      <c r="B249" s="441"/>
      <c r="C249" s="2475" t="s">
        <v>6221</v>
      </c>
      <c r="D249" s="2769">
        <v>500000000</v>
      </c>
      <c r="E249" s="2688">
        <f>D249/D14*100</f>
        <v>0.26907695132158627</v>
      </c>
      <c r="F249" s="4417"/>
      <c r="G249" s="2698"/>
      <c r="H249" s="2690"/>
      <c r="I249" s="2757"/>
      <c r="J249" s="2726"/>
      <c r="K249" s="898"/>
      <c r="L249" s="2690"/>
      <c r="M249" s="2757"/>
      <c r="N249" s="2756"/>
    </row>
    <row r="250" spans="2:14" ht="18" hidden="1" customHeight="1" x14ac:dyDescent="0.25">
      <c r="B250" s="441"/>
      <c r="C250" s="2473" t="s">
        <v>6222</v>
      </c>
      <c r="D250" s="896">
        <v>300000000</v>
      </c>
      <c r="E250" s="2688">
        <f>D250/D14*100</f>
        <v>0.16144617079295176</v>
      </c>
      <c r="F250" s="4417"/>
      <c r="G250" s="2698"/>
      <c r="H250" s="2690"/>
      <c r="I250" s="2757"/>
      <c r="J250" s="2726"/>
      <c r="K250" s="898"/>
      <c r="L250" s="2690"/>
      <c r="M250" s="2757"/>
      <c r="N250" s="2756"/>
    </row>
    <row r="251" spans="2:14" ht="12" hidden="1" customHeight="1" x14ac:dyDescent="0.25">
      <c r="B251" s="441"/>
      <c r="C251" s="2473"/>
      <c r="D251" s="896"/>
      <c r="E251" s="2688"/>
      <c r="F251" s="4417"/>
      <c r="G251" s="2698"/>
      <c r="H251" s="2690"/>
      <c r="I251" s="2757"/>
      <c r="J251" s="2726"/>
      <c r="K251" s="898"/>
      <c r="L251" s="2690"/>
      <c r="M251" s="2757"/>
      <c r="N251" s="2756"/>
    </row>
    <row r="252" spans="2:14" ht="18.75" hidden="1" customHeight="1" x14ac:dyDescent="0.25">
      <c r="B252" s="441"/>
      <c r="C252" s="2477" t="s">
        <v>6223</v>
      </c>
      <c r="D252" s="2767">
        <f>SUM(D253:D254)</f>
        <v>1000000000</v>
      </c>
      <c r="E252" s="2693">
        <f>D252/D14*100</f>
        <v>0.53815390264317253</v>
      </c>
      <c r="F252" s="4417"/>
      <c r="G252" s="2698"/>
      <c r="H252" s="2690"/>
      <c r="I252" s="2757"/>
      <c r="J252" s="2726"/>
      <c r="K252" s="898"/>
      <c r="L252" s="2690"/>
      <c r="M252" s="2757"/>
      <c r="N252" s="2756"/>
    </row>
    <row r="253" spans="2:14" ht="18.75" hidden="1" customHeight="1" x14ac:dyDescent="0.25">
      <c r="B253" s="441"/>
      <c r="C253" s="2476" t="s">
        <v>6224</v>
      </c>
      <c r="D253" s="2709">
        <v>500000000</v>
      </c>
      <c r="E253" s="2688">
        <f>D253/D14*100</f>
        <v>0.26907695132158627</v>
      </c>
      <c r="F253" s="4417"/>
      <c r="G253" s="2698"/>
      <c r="H253" s="2690"/>
      <c r="I253" s="2757"/>
      <c r="J253" s="2726"/>
      <c r="K253" s="898"/>
      <c r="L253" s="2690"/>
      <c r="M253" s="2757"/>
      <c r="N253" s="2756"/>
    </row>
    <row r="254" spans="2:14" ht="18.75" hidden="1" customHeight="1" x14ac:dyDescent="0.25">
      <c r="B254" s="441"/>
      <c r="C254" s="2476" t="s">
        <v>6225</v>
      </c>
      <c r="D254" s="2709">
        <v>500000000</v>
      </c>
      <c r="E254" s="2688">
        <f>D254/D14*100</f>
        <v>0.26907695132158627</v>
      </c>
      <c r="F254" s="4417"/>
      <c r="G254" s="2698"/>
      <c r="H254" s="2690"/>
      <c r="I254" s="2757"/>
      <c r="J254" s="2726"/>
      <c r="K254" s="898"/>
      <c r="L254" s="2690"/>
      <c r="M254" s="2757"/>
      <c r="N254" s="2756"/>
    </row>
    <row r="255" spans="2:14" ht="12" hidden="1" customHeight="1" x14ac:dyDescent="0.25">
      <c r="B255" s="441"/>
      <c r="C255" s="2476"/>
      <c r="D255" s="2709"/>
      <c r="E255" s="2688"/>
      <c r="F255" s="4417"/>
      <c r="G255" s="2698"/>
      <c r="H255" s="2690"/>
      <c r="I255" s="2757"/>
      <c r="J255" s="2726"/>
      <c r="K255" s="898"/>
      <c r="L255" s="2690"/>
      <c r="M255" s="2757"/>
      <c r="N255" s="2756"/>
    </row>
    <row r="256" spans="2:14" ht="29.25" hidden="1" customHeight="1" x14ac:dyDescent="0.25">
      <c r="B256" s="441"/>
      <c r="C256" s="2477" t="s">
        <v>6226</v>
      </c>
      <c r="D256" s="2767">
        <f>SUM(D257:D258)</f>
        <v>5650000000</v>
      </c>
      <c r="E256" s="2693">
        <f>D256/D14*100</f>
        <v>3.0405695499339243</v>
      </c>
      <c r="F256" s="4417"/>
      <c r="G256" s="2698"/>
      <c r="H256" s="2690"/>
      <c r="I256" s="2757"/>
      <c r="J256" s="2726"/>
      <c r="K256" s="898"/>
      <c r="L256" s="2690"/>
      <c r="M256" s="2757"/>
      <c r="N256" s="2756"/>
    </row>
    <row r="257" spans="2:14" ht="18.75" hidden="1" customHeight="1" x14ac:dyDescent="0.25">
      <c r="B257" s="441"/>
      <c r="C257" s="2476" t="s">
        <v>6227</v>
      </c>
      <c r="D257" s="2709">
        <v>5350000000</v>
      </c>
      <c r="E257" s="2688">
        <f>D257/D14*100</f>
        <v>2.8791233791409727</v>
      </c>
      <c r="F257" s="4417"/>
      <c r="G257" s="2698"/>
      <c r="H257" s="2690"/>
      <c r="I257" s="2757"/>
      <c r="J257" s="2726"/>
      <c r="K257" s="898"/>
      <c r="L257" s="2690"/>
      <c r="M257" s="2757"/>
      <c r="N257" s="2756"/>
    </row>
    <row r="258" spans="2:14" ht="29.25" hidden="1" customHeight="1" x14ac:dyDescent="0.25">
      <c r="B258" s="441"/>
      <c r="C258" s="2473" t="s">
        <v>6228</v>
      </c>
      <c r="D258" s="896">
        <v>300000000</v>
      </c>
      <c r="E258" s="2688">
        <f>D258/D14*100</f>
        <v>0.16144617079295176</v>
      </c>
      <c r="F258" s="4417"/>
      <c r="G258" s="2698"/>
      <c r="H258" s="2690"/>
      <c r="I258" s="2757"/>
      <c r="J258" s="2726"/>
      <c r="K258" s="898"/>
      <c r="L258" s="2690"/>
      <c r="M258" s="2757"/>
      <c r="N258" s="2756"/>
    </row>
    <row r="259" spans="2:14" ht="12" hidden="1" customHeight="1" x14ac:dyDescent="0.25">
      <c r="B259" s="441"/>
      <c r="C259" s="2475"/>
      <c r="D259" s="2755"/>
      <c r="E259" s="2758"/>
      <c r="F259" s="4420"/>
      <c r="G259" s="2724"/>
      <c r="H259" s="2752"/>
      <c r="I259" s="2753"/>
      <c r="J259" s="2754"/>
      <c r="K259" s="2755"/>
      <c r="L259" s="2752"/>
      <c r="M259" s="2753"/>
      <c r="N259" s="2756"/>
    </row>
    <row r="260" spans="2:14" ht="18" hidden="1" customHeight="1" x14ac:dyDescent="0.25">
      <c r="B260" s="440" t="s">
        <v>132</v>
      </c>
      <c r="C260" s="2471" t="s">
        <v>169</v>
      </c>
      <c r="D260" s="2744">
        <f>SUM(D261+D264+D267+D274+D277)</f>
        <v>20000000000</v>
      </c>
      <c r="E260" s="2717">
        <f>D260/D14*100</f>
        <v>10.763078052863449</v>
      </c>
      <c r="F260" s="3831"/>
      <c r="G260" s="2669"/>
      <c r="H260" s="2746"/>
      <c r="I260" s="2747"/>
      <c r="J260" s="2748"/>
      <c r="K260" s="2749"/>
      <c r="L260" s="2746"/>
      <c r="M260" s="2747"/>
      <c r="N260" s="2756"/>
    </row>
    <row r="261" spans="2:14" ht="16.5" hidden="1" customHeight="1" x14ac:dyDescent="0.25">
      <c r="B261" s="441"/>
      <c r="C261" s="2472" t="s">
        <v>3362</v>
      </c>
      <c r="D261" s="2759">
        <f>D262</f>
        <v>500000000</v>
      </c>
      <c r="E261" s="2693">
        <f>D261/D14*100</f>
        <v>0.26907695132158627</v>
      </c>
      <c r="F261" s="3702"/>
      <c r="G261" s="2730"/>
      <c r="H261" s="2760"/>
      <c r="I261" s="2761"/>
      <c r="J261" s="2762"/>
      <c r="K261" s="902"/>
      <c r="L261" s="2760"/>
      <c r="M261" s="2761"/>
      <c r="N261" s="2756"/>
    </row>
    <row r="262" spans="2:14" ht="18" hidden="1" customHeight="1" x14ac:dyDescent="0.25">
      <c r="B262" s="441"/>
      <c r="C262" s="2473" t="s">
        <v>6229</v>
      </c>
      <c r="D262" s="896">
        <v>500000000</v>
      </c>
      <c r="E262" s="3938">
        <f>D262/D14*100</f>
        <v>0.26907695132158627</v>
      </c>
      <c r="F262" s="4417"/>
      <c r="G262" s="2698"/>
      <c r="H262" s="2690"/>
      <c r="I262" s="2757"/>
      <c r="J262" s="2726"/>
      <c r="K262" s="898"/>
      <c r="L262" s="2690"/>
      <c r="M262" s="2757"/>
      <c r="N262" s="2756"/>
    </row>
    <row r="263" spans="2:14" ht="10.5" hidden="1" customHeight="1" x14ac:dyDescent="0.25">
      <c r="B263" s="441"/>
      <c r="C263" s="2473"/>
      <c r="D263" s="898"/>
      <c r="E263" s="2688"/>
      <c r="F263" s="4417"/>
      <c r="G263" s="2698"/>
      <c r="H263" s="2690"/>
      <c r="I263" s="2757"/>
      <c r="J263" s="2726"/>
      <c r="K263" s="898"/>
      <c r="L263" s="2690"/>
      <c r="M263" s="2757"/>
      <c r="N263" s="2756"/>
    </row>
    <row r="264" spans="2:14" ht="16.5" hidden="1" customHeight="1" x14ac:dyDescent="0.25">
      <c r="B264" s="441"/>
      <c r="C264" s="2474" t="s">
        <v>6230</v>
      </c>
      <c r="D264" s="899">
        <f>SUM(D265:D265)</f>
        <v>315500000</v>
      </c>
      <c r="E264" s="2693">
        <f>D264/D14*100</f>
        <v>0.16978755628392092</v>
      </c>
      <c r="F264" s="3832"/>
      <c r="G264" s="2698"/>
      <c r="H264" s="2690"/>
      <c r="I264" s="2757"/>
      <c r="J264" s="2726"/>
      <c r="K264" s="898"/>
      <c r="L264" s="2690"/>
      <c r="M264" s="2757"/>
      <c r="N264" s="2756"/>
    </row>
    <row r="265" spans="2:14" ht="17.25" hidden="1" customHeight="1" x14ac:dyDescent="0.25">
      <c r="B265" s="441"/>
      <c r="C265" s="2473" t="s">
        <v>6231</v>
      </c>
      <c r="D265" s="896">
        <v>315500000</v>
      </c>
      <c r="E265" s="2688">
        <f>D265/D14*100</f>
        <v>0.16978755628392092</v>
      </c>
      <c r="F265" s="4417"/>
      <c r="G265" s="2698"/>
      <c r="H265" s="2690"/>
      <c r="I265" s="2757"/>
      <c r="J265" s="2726"/>
      <c r="K265" s="898"/>
      <c r="L265" s="2690"/>
      <c r="M265" s="2757"/>
      <c r="N265" s="2756"/>
    </row>
    <row r="266" spans="2:14" ht="12" hidden="1" customHeight="1" x14ac:dyDescent="0.25">
      <c r="B266" s="441"/>
      <c r="C266" s="2473"/>
      <c r="D266" s="898"/>
      <c r="E266" s="2688"/>
      <c r="F266" s="4417"/>
      <c r="G266" s="2698"/>
      <c r="H266" s="2690"/>
      <c r="I266" s="2757"/>
      <c r="J266" s="2726"/>
      <c r="K266" s="898"/>
      <c r="L266" s="2690"/>
      <c r="M266" s="2757"/>
      <c r="N266" s="2756"/>
    </row>
    <row r="267" spans="2:14" ht="18.75" hidden="1" customHeight="1" x14ac:dyDescent="0.25">
      <c r="B267" s="441"/>
      <c r="C267" s="2474" t="s">
        <v>6232</v>
      </c>
      <c r="D267" s="899">
        <f>SUM(D268:D272)</f>
        <v>9725000000</v>
      </c>
      <c r="E267" s="2693">
        <f>D267/D14*100</f>
        <v>5.2335467032048522</v>
      </c>
      <c r="F267" s="3832"/>
      <c r="G267" s="2698"/>
      <c r="H267" s="2690"/>
      <c r="I267" s="2757"/>
      <c r="J267" s="2726"/>
      <c r="K267" s="898"/>
      <c r="L267" s="2690"/>
      <c r="M267" s="2757"/>
      <c r="N267" s="2756"/>
    </row>
    <row r="268" spans="2:14" ht="15.75" hidden="1" customHeight="1" x14ac:dyDescent="0.25">
      <c r="B268" s="441"/>
      <c r="C268" s="2473" t="s">
        <v>6233</v>
      </c>
      <c r="D268" s="896">
        <v>1850000000</v>
      </c>
      <c r="E268" s="2688">
        <f>D268/D14*100</f>
        <v>0.99558471988986907</v>
      </c>
      <c r="F268" s="4417"/>
      <c r="G268" s="2698"/>
      <c r="H268" s="2690"/>
      <c r="I268" s="2757"/>
      <c r="J268" s="2726"/>
      <c r="K268" s="898"/>
      <c r="L268" s="2690"/>
      <c r="M268" s="2757"/>
      <c r="N268" s="2756"/>
    </row>
    <row r="269" spans="2:14" ht="15.75" hidden="1" customHeight="1" x14ac:dyDescent="0.25">
      <c r="B269" s="441"/>
      <c r="C269" s="2473" t="s">
        <v>6234</v>
      </c>
      <c r="D269" s="896">
        <v>2000000000</v>
      </c>
      <c r="E269" s="2688">
        <f>D269/D14*100</f>
        <v>1.0763078052863451</v>
      </c>
      <c r="F269" s="4417"/>
      <c r="G269" s="2698"/>
      <c r="H269" s="2690"/>
      <c r="I269" s="2757"/>
      <c r="J269" s="2726"/>
      <c r="K269" s="898"/>
      <c r="L269" s="2690"/>
      <c r="M269" s="2757"/>
      <c r="N269" s="2756"/>
    </row>
    <row r="270" spans="2:14" ht="15.75" hidden="1" customHeight="1" x14ac:dyDescent="0.25">
      <c r="B270" s="441"/>
      <c r="C270" s="2473" t="s">
        <v>6235</v>
      </c>
      <c r="D270" s="896">
        <v>500000000</v>
      </c>
      <c r="E270" s="2688">
        <f>D270/D14*100</f>
        <v>0.26907695132158627</v>
      </c>
      <c r="F270" s="4417"/>
      <c r="G270" s="2698"/>
      <c r="H270" s="2690"/>
      <c r="I270" s="2757"/>
      <c r="J270" s="2726"/>
      <c r="K270" s="898"/>
      <c r="L270" s="2690"/>
      <c r="M270" s="2757"/>
      <c r="N270" s="2756"/>
    </row>
    <row r="271" spans="2:14" ht="15.75" hidden="1" customHeight="1" x14ac:dyDescent="0.25">
      <c r="B271" s="441"/>
      <c r="C271" s="2473" t="s">
        <v>6236</v>
      </c>
      <c r="D271" s="896">
        <v>4625000000</v>
      </c>
      <c r="E271" s="2688">
        <f>D271/D14*100</f>
        <v>2.4889617997246725</v>
      </c>
      <c r="F271" s="4417"/>
      <c r="G271" s="2698"/>
      <c r="H271" s="2690"/>
      <c r="I271" s="2757"/>
      <c r="J271" s="2726"/>
      <c r="K271" s="898"/>
      <c r="L271" s="2690"/>
      <c r="M271" s="2757"/>
      <c r="N271" s="2756"/>
    </row>
    <row r="272" spans="2:14" ht="15.75" hidden="1" customHeight="1" x14ac:dyDescent="0.25">
      <c r="B272" s="441"/>
      <c r="C272" s="2473" t="s">
        <v>6237</v>
      </c>
      <c r="D272" s="896">
        <v>750000000</v>
      </c>
      <c r="E272" s="2688">
        <f>D272/D14*100</f>
        <v>0.40361542698237934</v>
      </c>
      <c r="F272" s="4417"/>
      <c r="G272" s="2698"/>
      <c r="H272" s="2690"/>
      <c r="I272" s="2757"/>
      <c r="J272" s="2726"/>
      <c r="K272" s="898"/>
      <c r="L272" s="2690"/>
      <c r="M272" s="2757"/>
      <c r="N272" s="2756"/>
    </row>
    <row r="273" spans="2:14" ht="12" hidden="1" customHeight="1" x14ac:dyDescent="0.25">
      <c r="B273" s="441"/>
      <c r="C273" s="2473"/>
      <c r="D273" s="898"/>
      <c r="E273" s="2688"/>
      <c r="F273" s="4417"/>
      <c r="G273" s="2698"/>
      <c r="H273" s="2690"/>
      <c r="I273" s="2757"/>
      <c r="J273" s="2726"/>
      <c r="K273" s="898"/>
      <c r="L273" s="2690"/>
      <c r="M273" s="2757"/>
      <c r="N273" s="2756"/>
    </row>
    <row r="274" spans="2:14" ht="18" hidden="1" customHeight="1" x14ac:dyDescent="0.25">
      <c r="B274" s="441"/>
      <c r="C274" s="2474" t="s">
        <v>6238</v>
      </c>
      <c r="D274" s="899">
        <f>SUM(D275:D275)</f>
        <v>1000000000</v>
      </c>
      <c r="E274" s="2693">
        <f>D274/D14*100</f>
        <v>0.53815390264317253</v>
      </c>
      <c r="F274" s="3832"/>
      <c r="G274" s="2698"/>
      <c r="H274" s="2690"/>
      <c r="I274" s="2757"/>
      <c r="J274" s="2726"/>
      <c r="K274" s="898"/>
      <c r="L274" s="2690"/>
      <c r="M274" s="2757"/>
      <c r="N274" s="2756"/>
    </row>
    <row r="275" spans="2:14" ht="14.25" hidden="1" customHeight="1" x14ac:dyDescent="0.25">
      <c r="B275" s="441"/>
      <c r="C275" s="2473" t="s">
        <v>6239</v>
      </c>
      <c r="D275" s="896">
        <v>1000000000</v>
      </c>
      <c r="E275" s="2688">
        <f>D275/D14*100</f>
        <v>0.53815390264317253</v>
      </c>
      <c r="F275" s="4417"/>
      <c r="G275" s="2698"/>
      <c r="H275" s="2690"/>
      <c r="I275" s="2757"/>
      <c r="J275" s="2726"/>
      <c r="K275" s="898"/>
      <c r="L275" s="2690"/>
      <c r="M275" s="2757"/>
      <c r="N275" s="2756"/>
    </row>
    <row r="276" spans="2:14" ht="9.75" hidden="1" customHeight="1" x14ac:dyDescent="0.25">
      <c r="B276" s="441"/>
      <c r="C276" s="2476"/>
      <c r="D276" s="2709"/>
      <c r="E276" s="2688"/>
      <c r="F276" s="4418"/>
      <c r="G276" s="2706"/>
      <c r="H276" s="2710"/>
      <c r="I276" s="2742"/>
      <c r="J276" s="2739"/>
      <c r="K276" s="911"/>
      <c r="L276" s="2710"/>
      <c r="M276" s="2742"/>
      <c r="N276" s="2756"/>
    </row>
    <row r="277" spans="2:14" ht="16.5" hidden="1" customHeight="1" x14ac:dyDescent="0.25">
      <c r="B277" s="441"/>
      <c r="C277" s="2477" t="s">
        <v>6240</v>
      </c>
      <c r="D277" s="2767">
        <f>SUM(D278:D279)</f>
        <v>8459500000</v>
      </c>
      <c r="E277" s="2693">
        <f>D277/D14*100</f>
        <v>4.5525129394099171</v>
      </c>
      <c r="F277" s="4418"/>
      <c r="G277" s="2706"/>
      <c r="H277" s="2710"/>
      <c r="I277" s="2742"/>
      <c r="J277" s="2739"/>
      <c r="K277" s="911"/>
      <c r="L277" s="2710"/>
      <c r="M277" s="2742"/>
      <c r="N277" s="2756"/>
    </row>
    <row r="278" spans="2:14" ht="14.25" hidden="1" customHeight="1" x14ac:dyDescent="0.25">
      <c r="B278" s="441"/>
      <c r="C278" s="2476" t="s">
        <v>6241</v>
      </c>
      <c r="D278" s="2709">
        <v>1800000000</v>
      </c>
      <c r="E278" s="2688">
        <f>D278/D14*100</f>
        <v>0.96867702475771056</v>
      </c>
      <c r="F278" s="4418"/>
      <c r="G278" s="2706"/>
      <c r="H278" s="2710"/>
      <c r="I278" s="2742"/>
      <c r="J278" s="2739"/>
      <c r="K278" s="911"/>
      <c r="L278" s="2710"/>
      <c r="M278" s="2742"/>
      <c r="N278" s="2756"/>
    </row>
    <row r="279" spans="2:14" ht="19.5" hidden="1" customHeight="1" x14ac:dyDescent="0.25">
      <c r="B279" s="441"/>
      <c r="C279" s="2476" t="s">
        <v>6242</v>
      </c>
      <c r="D279" s="2709">
        <v>6659500000</v>
      </c>
      <c r="E279" s="2688">
        <f>D279/D14*100</f>
        <v>3.5838359146522074</v>
      </c>
      <c r="F279" s="4418"/>
      <c r="G279" s="2706"/>
      <c r="H279" s="2710"/>
      <c r="I279" s="2742"/>
      <c r="J279" s="2739"/>
      <c r="K279" s="911"/>
      <c r="L279" s="2710"/>
      <c r="M279" s="2742"/>
      <c r="N279" s="2756"/>
    </row>
    <row r="280" spans="2:14" ht="12" hidden="1" customHeight="1" x14ac:dyDescent="0.25">
      <c r="B280" s="441"/>
      <c r="C280" s="2476"/>
      <c r="D280" s="911"/>
      <c r="E280" s="2707"/>
      <c r="F280" s="4418"/>
      <c r="G280" s="2706"/>
      <c r="H280" s="2710"/>
      <c r="I280" s="2742"/>
      <c r="J280" s="2739"/>
      <c r="K280" s="911"/>
      <c r="L280" s="2710"/>
      <c r="M280" s="2742"/>
      <c r="N280" s="2756"/>
    </row>
    <row r="281" spans="2:14" ht="16.5" hidden="1" customHeight="1" x14ac:dyDescent="0.25">
      <c r="B281" s="440" t="s">
        <v>136</v>
      </c>
      <c r="C281" s="2471" t="s">
        <v>214</v>
      </c>
      <c r="D281" s="2744">
        <f>D282</f>
        <v>13225000000</v>
      </c>
      <c r="E281" s="2717">
        <f>D281/D14*100</f>
        <v>7.1170853624559562</v>
      </c>
      <c r="F281" s="3831"/>
      <c r="G281" s="2669"/>
      <c r="H281" s="2746"/>
      <c r="I281" s="2747"/>
      <c r="J281" s="2748"/>
      <c r="K281" s="2749"/>
      <c r="L281" s="2746"/>
      <c r="M281" s="2747"/>
      <c r="N281" s="2756"/>
    </row>
    <row r="282" spans="2:14" ht="18.75" hidden="1" customHeight="1" x14ac:dyDescent="0.25">
      <c r="B282" s="441"/>
      <c r="C282" s="2472" t="s">
        <v>6243</v>
      </c>
      <c r="D282" s="2759">
        <f>SUM(D283+D289+D293)</f>
        <v>13225000000</v>
      </c>
      <c r="E282" s="2693">
        <f>D282/D14*100</f>
        <v>7.1170853624559562</v>
      </c>
      <c r="F282" s="3702"/>
      <c r="G282" s="2730"/>
      <c r="H282" s="2760"/>
      <c r="I282" s="2761"/>
      <c r="J282" s="2762"/>
      <c r="K282" s="902"/>
      <c r="L282" s="2760"/>
      <c r="M282" s="2761"/>
      <c r="N282" s="2756"/>
    </row>
    <row r="283" spans="2:14" ht="30.75" hidden="1" customHeight="1" x14ac:dyDescent="0.25">
      <c r="B283" s="441"/>
      <c r="C283" s="2472" t="s">
        <v>7827</v>
      </c>
      <c r="D283" s="2759">
        <f>SUM(D284:D287)</f>
        <v>7500000000</v>
      </c>
      <c r="E283" s="2693">
        <f>D283/D14*100</f>
        <v>4.0361542698237933</v>
      </c>
      <c r="F283" s="3702"/>
      <c r="G283" s="2730"/>
      <c r="H283" s="2760"/>
      <c r="I283" s="2761"/>
      <c r="J283" s="2762"/>
      <c r="K283" s="902"/>
      <c r="L283" s="2760"/>
      <c r="M283" s="2761"/>
      <c r="N283" s="2756"/>
    </row>
    <row r="284" spans="2:14" ht="16.5" hidden="1" customHeight="1" x14ac:dyDescent="0.25">
      <c r="B284" s="441"/>
      <c r="C284" s="2479" t="s">
        <v>7828</v>
      </c>
      <c r="D284" s="940">
        <v>3000000000</v>
      </c>
      <c r="E284" s="2688">
        <f>D284/D14*100</f>
        <v>1.6144617079295174</v>
      </c>
      <c r="F284" s="4421"/>
      <c r="G284" s="2730"/>
      <c r="H284" s="2760"/>
      <c r="I284" s="2761"/>
      <c r="J284" s="2762"/>
      <c r="K284" s="902"/>
      <c r="L284" s="2760"/>
      <c r="M284" s="2761"/>
      <c r="N284" s="2756"/>
    </row>
    <row r="285" spans="2:14" ht="18" hidden="1" customHeight="1" x14ac:dyDescent="0.25">
      <c r="B285" s="441"/>
      <c r="C285" s="2473" t="s">
        <v>7829</v>
      </c>
      <c r="D285" s="896">
        <v>1300000000</v>
      </c>
      <c r="E285" s="2688">
        <f>D285/D14*100</f>
        <v>0.69960007343612429</v>
      </c>
      <c r="F285" s="4417"/>
      <c r="G285" s="2698"/>
      <c r="H285" s="2690"/>
      <c r="I285" s="2757"/>
      <c r="J285" s="2726"/>
      <c r="K285" s="898"/>
      <c r="L285" s="2690"/>
      <c r="M285" s="2757"/>
      <c r="N285" s="2756"/>
    </row>
    <row r="286" spans="2:14" ht="17.25" hidden="1" customHeight="1" x14ac:dyDescent="0.25">
      <c r="B286" s="441"/>
      <c r="C286" s="2473" t="s">
        <v>7830</v>
      </c>
      <c r="D286" s="896">
        <v>2500000000</v>
      </c>
      <c r="E286" s="2688">
        <f>D286/D14*100</f>
        <v>1.3453847566079311</v>
      </c>
      <c r="F286" s="4417"/>
      <c r="G286" s="2698"/>
      <c r="H286" s="2690"/>
      <c r="I286" s="2757"/>
      <c r="J286" s="2726"/>
      <c r="K286" s="898"/>
      <c r="L286" s="2690"/>
      <c r="M286" s="2757"/>
      <c r="N286" s="2756"/>
    </row>
    <row r="287" spans="2:14" ht="18.75" hidden="1" customHeight="1" x14ac:dyDescent="0.25">
      <c r="B287" s="441"/>
      <c r="C287" s="2473" t="s">
        <v>7831</v>
      </c>
      <c r="D287" s="896">
        <v>700000000</v>
      </c>
      <c r="E287" s="2688">
        <f>D287/D14*100</f>
        <v>0.37670773185022072</v>
      </c>
      <c r="F287" s="4417"/>
      <c r="G287" s="2698"/>
      <c r="H287" s="2690"/>
      <c r="I287" s="2757"/>
      <c r="J287" s="2726"/>
      <c r="K287" s="898"/>
      <c r="L287" s="2690"/>
      <c r="M287" s="2757"/>
      <c r="N287" s="2756"/>
    </row>
    <row r="288" spans="2:14" ht="11.25" hidden="1" customHeight="1" x14ac:dyDescent="0.25">
      <c r="B288" s="441"/>
      <c r="C288" s="2473"/>
      <c r="D288" s="896"/>
      <c r="E288" s="2688"/>
      <c r="F288" s="4417"/>
      <c r="G288" s="2698"/>
      <c r="H288" s="2690"/>
      <c r="I288" s="2757"/>
      <c r="J288" s="2726"/>
      <c r="K288" s="898"/>
      <c r="L288" s="2690"/>
      <c r="M288" s="2757"/>
      <c r="N288" s="2756"/>
    </row>
    <row r="289" spans="1:16" ht="18.75" hidden="1" customHeight="1" x14ac:dyDescent="0.25">
      <c r="B289" s="441"/>
      <c r="C289" s="2474" t="s">
        <v>7832</v>
      </c>
      <c r="D289" s="899">
        <f>SUM(D290:D291)</f>
        <v>5000000000</v>
      </c>
      <c r="E289" s="2693">
        <f>D289/D14*100</f>
        <v>2.6907695132158622</v>
      </c>
      <c r="F289" s="4417"/>
      <c r="G289" s="2698"/>
      <c r="H289" s="2690"/>
      <c r="I289" s="2757"/>
      <c r="J289" s="2726"/>
      <c r="K289" s="898"/>
      <c r="L289" s="2690"/>
      <c r="M289" s="2757"/>
      <c r="N289" s="2756"/>
    </row>
    <row r="290" spans="1:16" ht="28.5" hidden="1" customHeight="1" x14ac:dyDescent="0.25">
      <c r="B290" s="441"/>
      <c r="C290" s="2473" t="s">
        <v>7833</v>
      </c>
      <c r="D290" s="896">
        <v>3500000000</v>
      </c>
      <c r="E290" s="2688">
        <f>D290/D14*100</f>
        <v>1.8835386592511036</v>
      </c>
      <c r="F290" s="4417"/>
      <c r="G290" s="2698"/>
      <c r="H290" s="2690"/>
      <c r="I290" s="2757"/>
      <c r="J290" s="2726"/>
      <c r="K290" s="898"/>
      <c r="L290" s="2690"/>
      <c r="M290" s="2757"/>
      <c r="N290" s="2756"/>
    </row>
    <row r="291" spans="1:16" ht="30.75" hidden="1" customHeight="1" x14ac:dyDescent="0.25">
      <c r="B291" s="441"/>
      <c r="C291" s="2473" t="s">
        <v>7834</v>
      </c>
      <c r="D291" s="896">
        <v>1500000000</v>
      </c>
      <c r="E291" s="2688">
        <f>D291/D14*100</f>
        <v>0.80723085396475869</v>
      </c>
      <c r="F291" s="4417"/>
      <c r="G291" s="2698"/>
      <c r="H291" s="2690"/>
      <c r="I291" s="2757"/>
      <c r="J291" s="2726"/>
      <c r="K291" s="898"/>
      <c r="L291" s="2690"/>
      <c r="M291" s="2757"/>
      <c r="N291" s="2756"/>
    </row>
    <row r="292" spans="1:16" ht="10.5" hidden="1" customHeight="1" x14ac:dyDescent="0.25">
      <c r="B292" s="441"/>
      <c r="C292" s="2473"/>
      <c r="D292" s="896"/>
      <c r="E292" s="2688"/>
      <c r="F292" s="4417"/>
      <c r="G292" s="2698"/>
      <c r="H292" s="2690"/>
      <c r="I292" s="2757"/>
      <c r="J292" s="2726"/>
      <c r="K292" s="898"/>
      <c r="L292" s="2690"/>
      <c r="M292" s="2757"/>
      <c r="N292" s="2756"/>
    </row>
    <row r="293" spans="1:16" ht="20.25" hidden="1" customHeight="1" x14ac:dyDescent="0.25">
      <c r="B293" s="441"/>
      <c r="C293" s="2474" t="s">
        <v>7835</v>
      </c>
      <c r="D293" s="899">
        <f>D294</f>
        <v>725000000</v>
      </c>
      <c r="E293" s="2693">
        <f>D293/D14*100</f>
        <v>0.39016157941630003</v>
      </c>
      <c r="F293" s="4417"/>
      <c r="G293" s="2698"/>
      <c r="H293" s="2690"/>
      <c r="I293" s="2757"/>
      <c r="J293" s="2726"/>
      <c r="K293" s="898"/>
      <c r="L293" s="2690"/>
      <c r="M293" s="2757"/>
      <c r="N293" s="2756"/>
    </row>
    <row r="294" spans="1:16" ht="28.5" hidden="1" customHeight="1" x14ac:dyDescent="0.25">
      <c r="B294" s="441"/>
      <c r="C294" s="2473" t="s">
        <v>7836</v>
      </c>
      <c r="D294" s="896">
        <v>725000000</v>
      </c>
      <c r="E294" s="2688">
        <f>D294/D14*100</f>
        <v>0.39016157941630003</v>
      </c>
      <c r="F294" s="4417"/>
      <c r="G294" s="2698"/>
      <c r="H294" s="2690"/>
      <c r="I294" s="2757"/>
      <c r="J294" s="2726"/>
      <c r="K294" s="898"/>
      <c r="L294" s="2690"/>
      <c r="M294" s="2757"/>
      <c r="N294" s="2756"/>
    </row>
    <row r="295" spans="1:16" ht="12" hidden="1" customHeight="1" x14ac:dyDescent="0.25">
      <c r="B295" s="441"/>
      <c r="C295" s="2475"/>
      <c r="D295" s="2755"/>
      <c r="E295" s="2758"/>
      <c r="F295" s="4420"/>
      <c r="G295" s="2724"/>
      <c r="H295" s="2752"/>
      <c r="I295" s="2753"/>
      <c r="J295" s="2754"/>
      <c r="K295" s="2755"/>
      <c r="L295" s="2752"/>
      <c r="M295" s="2753"/>
      <c r="N295" s="2756"/>
    </row>
    <row r="296" spans="1:16" ht="16.5" hidden="1" customHeight="1" x14ac:dyDescent="0.25">
      <c r="B296" s="440" t="s">
        <v>146</v>
      </c>
      <c r="C296" s="2471" t="s">
        <v>6244</v>
      </c>
      <c r="D296" s="2744">
        <f>D297</f>
        <v>3411735442</v>
      </c>
      <c r="E296" s="2717">
        <f>D296/D14*100</f>
        <v>1.8360387428983289</v>
      </c>
      <c r="F296" s="3831"/>
      <c r="G296" s="2669"/>
      <c r="H296" s="2746"/>
      <c r="I296" s="2747"/>
      <c r="J296" s="2748"/>
      <c r="K296" s="2749"/>
      <c r="L296" s="2746"/>
      <c r="M296" s="2747"/>
      <c r="N296" s="2756"/>
    </row>
    <row r="297" spans="1:16" ht="18.75" hidden="1" customHeight="1" x14ac:dyDescent="0.25">
      <c r="B297" s="441"/>
      <c r="C297" s="2472" t="s">
        <v>6245</v>
      </c>
      <c r="D297" s="2759">
        <f>SUM(D298:D299)</f>
        <v>3411735442</v>
      </c>
      <c r="E297" s="2693">
        <f>D297/D14*100</f>
        <v>1.8360387428983289</v>
      </c>
      <c r="F297" s="3702"/>
      <c r="G297" s="2730"/>
      <c r="H297" s="2760"/>
      <c r="I297" s="2761"/>
      <c r="J297" s="2762"/>
      <c r="K297" s="902"/>
      <c r="L297" s="2760"/>
      <c r="M297" s="2761"/>
      <c r="N297" s="2756"/>
    </row>
    <row r="298" spans="1:16" hidden="1" x14ac:dyDescent="0.25">
      <c r="B298" s="441"/>
      <c r="C298" s="2479" t="s">
        <v>6246</v>
      </c>
      <c r="D298" s="940">
        <f>1415395442-3660000</f>
        <v>1411735442</v>
      </c>
      <c r="E298" s="2688">
        <f>D298/D14*100</f>
        <v>0.75973093761198407</v>
      </c>
      <c r="F298" s="4421"/>
      <c r="G298" s="2730"/>
      <c r="H298" s="2760"/>
      <c r="I298" s="2761"/>
      <c r="J298" s="2762"/>
      <c r="K298" s="902"/>
      <c r="L298" s="2760"/>
      <c r="M298" s="2761"/>
      <c r="N298" s="2756"/>
    </row>
    <row r="299" spans="1:16" ht="16.5" hidden="1" customHeight="1" x14ac:dyDescent="0.25">
      <c r="B299" s="441"/>
      <c r="C299" s="2479" t="s">
        <v>6247</v>
      </c>
      <c r="D299" s="940">
        <v>2000000000</v>
      </c>
      <c r="E299" s="2688">
        <f>D299/D14*100</f>
        <v>1.0763078052863451</v>
      </c>
      <c r="F299" s="4421"/>
      <c r="G299" s="2730"/>
      <c r="H299" s="2760"/>
      <c r="I299" s="2761"/>
      <c r="J299" s="2762"/>
      <c r="K299" s="902"/>
      <c r="L299" s="2760"/>
      <c r="M299" s="2761"/>
      <c r="N299" s="2756"/>
    </row>
    <row r="300" spans="1:16" ht="13.5" hidden="1" customHeight="1" x14ac:dyDescent="0.25">
      <c r="B300" s="2737"/>
      <c r="C300" s="2473"/>
      <c r="D300" s="2698"/>
      <c r="E300" s="2758"/>
      <c r="F300" s="4417"/>
      <c r="G300" s="2698"/>
      <c r="H300" s="2710"/>
      <c r="I300" s="2757"/>
      <c r="J300" s="898"/>
      <c r="K300" s="898"/>
      <c r="L300" s="911"/>
      <c r="M300" s="898"/>
      <c r="N300" s="2768"/>
    </row>
    <row r="301" spans="1:16" ht="18.75" customHeight="1" x14ac:dyDescent="0.25">
      <c r="B301" s="4543" t="s">
        <v>239</v>
      </c>
      <c r="C301" s="4544" t="s">
        <v>3060</v>
      </c>
      <c r="D301" s="4545">
        <f>SUM(D303+D306)</f>
        <v>251224740000</v>
      </c>
      <c r="E301" s="2776">
        <f>D301/2512247400000*100</f>
        <v>10</v>
      </c>
      <c r="F301" s="4546"/>
      <c r="G301" s="4547"/>
      <c r="H301" s="4548"/>
      <c r="I301" s="4549"/>
      <c r="J301" s="4550"/>
      <c r="K301" s="4551"/>
      <c r="L301" s="4548"/>
      <c r="M301" s="4552"/>
      <c r="N301" s="2743"/>
    </row>
    <row r="302" spans="1:16" s="33" customFormat="1" ht="9" customHeight="1" x14ac:dyDescent="0.25">
      <c r="A302" s="4556"/>
      <c r="B302" s="439"/>
      <c r="C302" s="4557"/>
      <c r="D302" s="4558"/>
      <c r="E302" s="2801"/>
      <c r="F302" s="4380"/>
      <c r="G302" s="2819"/>
      <c r="H302" s="2840"/>
      <c r="I302" s="2724"/>
      <c r="J302" s="3538"/>
      <c r="K302" s="4559"/>
      <c r="L302" s="2840"/>
      <c r="M302" s="2754"/>
      <c r="N302" s="4560"/>
      <c r="P302" s="619"/>
    </row>
    <row r="303" spans="1:16" ht="17.25" customHeight="1" x14ac:dyDescent="0.25">
      <c r="B303" s="440"/>
      <c r="C303" s="2497" t="s">
        <v>7823</v>
      </c>
      <c r="D303" s="2669">
        <f>D304</f>
        <v>220449740000</v>
      </c>
      <c r="E303" s="3411">
        <f>D303/D301*100</f>
        <v>87.750012200231552</v>
      </c>
      <c r="F303" s="4385"/>
      <c r="G303" s="4553"/>
      <c r="H303" s="3544"/>
      <c r="I303" s="3149"/>
      <c r="J303" s="4554"/>
      <c r="K303" s="4555"/>
      <c r="L303" s="3544"/>
      <c r="M303" s="2747"/>
      <c r="N303" s="2743"/>
    </row>
    <row r="304" spans="1:16" ht="18.75" customHeight="1" x14ac:dyDescent="0.25">
      <c r="B304" s="441"/>
      <c r="C304" s="4682" t="s">
        <v>7824</v>
      </c>
      <c r="D304" s="4683">
        <v>220449740000</v>
      </c>
      <c r="E304" s="4684">
        <f>D304/D301*100</f>
        <v>87.750012200231552</v>
      </c>
      <c r="F304" s="4685"/>
      <c r="G304" s="4686"/>
      <c r="H304" s="4687"/>
      <c r="I304" s="4688"/>
      <c r="J304" s="4689"/>
      <c r="K304" s="4690"/>
      <c r="L304" s="4687"/>
      <c r="M304" s="4691"/>
      <c r="N304" s="2743"/>
    </row>
    <row r="305" spans="1:16" ht="14.25" customHeight="1" x14ac:dyDescent="0.25">
      <c r="B305" s="441"/>
      <c r="C305" s="2510"/>
      <c r="D305" s="2838"/>
      <c r="E305" s="4692"/>
      <c r="F305" s="4485"/>
      <c r="G305" s="4693"/>
      <c r="H305" s="2895"/>
      <c r="I305" s="2894"/>
      <c r="J305" s="4694"/>
      <c r="K305" s="4695"/>
      <c r="L305" s="2895"/>
      <c r="M305" s="3026"/>
      <c r="N305" s="2743"/>
    </row>
    <row r="306" spans="1:16" ht="17.25" customHeight="1" x14ac:dyDescent="0.25">
      <c r="B306" s="440"/>
      <c r="C306" s="2497" t="s">
        <v>7825</v>
      </c>
      <c r="D306" s="2669">
        <f>SUM(D307+D310+D319)</f>
        <v>30775000000</v>
      </c>
      <c r="E306" s="3411">
        <f>D306/D301*100</f>
        <v>12.249987799768448</v>
      </c>
      <c r="F306" s="4385"/>
      <c r="G306" s="4553"/>
      <c r="H306" s="3544"/>
      <c r="I306" s="3149"/>
      <c r="J306" s="4554"/>
      <c r="K306" s="4555"/>
      <c r="L306" s="3544"/>
      <c r="M306" s="2747"/>
      <c r="N306" s="2743"/>
    </row>
    <row r="307" spans="1:16" s="32" customFormat="1" ht="18.75" customHeight="1" x14ac:dyDescent="0.25">
      <c r="A307" s="1"/>
      <c r="B307" s="441"/>
      <c r="C307" s="2482" t="s">
        <v>7868</v>
      </c>
      <c r="D307" s="2721">
        <f>D308</f>
        <v>6700000000</v>
      </c>
      <c r="E307" s="4696">
        <f>D307/D301*100</f>
        <v>2.666934793125868</v>
      </c>
      <c r="F307" s="3839"/>
      <c r="G307" s="4540"/>
      <c r="H307" s="2801"/>
      <c r="I307" s="2751"/>
      <c r="J307" s="4541"/>
      <c r="K307" s="4542"/>
      <c r="L307" s="2801"/>
      <c r="M307" s="3009"/>
      <c r="N307" s="2668"/>
      <c r="P307" s="630"/>
    </row>
    <row r="308" spans="1:16" ht="29.25" customHeight="1" x14ac:dyDescent="0.25">
      <c r="B308" s="441"/>
      <c r="C308" s="2494" t="s">
        <v>7869</v>
      </c>
      <c r="D308" s="2698">
        <v>6700000000</v>
      </c>
      <c r="E308" s="3354">
        <f>D308/D301*100</f>
        <v>2.666934793125868</v>
      </c>
      <c r="F308" s="4384"/>
      <c r="G308" s="2811"/>
      <c r="H308" s="2810"/>
      <c r="I308" s="896"/>
      <c r="J308" s="3534"/>
      <c r="K308" s="3535"/>
      <c r="L308" s="2810"/>
      <c r="M308" s="2757"/>
      <c r="N308" s="2743"/>
    </row>
    <row r="309" spans="1:16" ht="12" customHeight="1" x14ac:dyDescent="0.25">
      <c r="B309" s="441"/>
      <c r="C309" s="2494"/>
      <c r="D309" s="2698"/>
      <c r="E309" s="3354"/>
      <c r="F309" s="4384"/>
      <c r="G309" s="2811"/>
      <c r="H309" s="2810"/>
      <c r="I309" s="896"/>
      <c r="J309" s="3534"/>
      <c r="K309" s="3535"/>
      <c r="L309" s="2810"/>
      <c r="M309" s="2757"/>
      <c r="N309" s="2743"/>
    </row>
    <row r="310" spans="1:16" s="32" customFormat="1" ht="31.5" customHeight="1" x14ac:dyDescent="0.25">
      <c r="A310" s="1"/>
      <c r="B310" s="441"/>
      <c r="C310" s="2491" t="s">
        <v>7870</v>
      </c>
      <c r="D310" s="2692">
        <f>SUM(D311:D317)</f>
        <v>16300000000</v>
      </c>
      <c r="E310" s="3356">
        <f>D310/D301*100</f>
        <v>6.4882144967092019</v>
      </c>
      <c r="F310" s="3834"/>
      <c r="G310" s="3064"/>
      <c r="H310" s="2813"/>
      <c r="I310" s="899"/>
      <c r="J310" s="4382"/>
      <c r="K310" s="4381"/>
      <c r="L310" s="2813"/>
      <c r="M310" s="2970"/>
      <c r="N310" s="2668"/>
      <c r="P310" s="630"/>
    </row>
    <row r="311" spans="1:16" ht="30" customHeight="1" x14ac:dyDescent="0.25">
      <c r="B311" s="441"/>
      <c r="C311" s="2494" t="s">
        <v>7871</v>
      </c>
      <c r="D311" s="2698">
        <v>7000000000</v>
      </c>
      <c r="E311" s="3354">
        <f>D311/D301*100</f>
        <v>2.7863497838628475</v>
      </c>
      <c r="F311" s="4384"/>
      <c r="G311" s="2811"/>
      <c r="H311" s="2810"/>
      <c r="I311" s="896"/>
      <c r="J311" s="3534"/>
      <c r="K311" s="3535"/>
      <c r="L311" s="2810"/>
      <c r="M311" s="2757"/>
      <c r="N311" s="2743"/>
    </row>
    <row r="312" spans="1:16" ht="18.75" customHeight="1" x14ac:dyDescent="0.25">
      <c r="B312" s="441"/>
      <c r="C312" s="2494" t="s">
        <v>7872</v>
      </c>
      <c r="D312" s="2698">
        <v>1245000000</v>
      </c>
      <c r="E312" s="3354">
        <f>D312/D301*100</f>
        <v>0.49557221155846359</v>
      </c>
      <c r="F312" s="4384"/>
      <c r="G312" s="2811"/>
      <c r="H312" s="2810"/>
      <c r="I312" s="896"/>
      <c r="J312" s="3534"/>
      <c r="K312" s="3535"/>
      <c r="L312" s="2810"/>
      <c r="M312" s="2757"/>
      <c r="N312" s="2743"/>
    </row>
    <row r="313" spans="1:16" ht="29.25" customHeight="1" x14ac:dyDescent="0.25">
      <c r="B313" s="441"/>
      <c r="C313" s="2494" t="s">
        <v>7873</v>
      </c>
      <c r="D313" s="2698">
        <v>1250000000</v>
      </c>
      <c r="E313" s="3354">
        <f>D313/D301*100</f>
        <v>0.49756246140407989</v>
      </c>
      <c r="F313" s="4384"/>
      <c r="G313" s="2811"/>
      <c r="H313" s="2810"/>
      <c r="I313" s="896"/>
      <c r="J313" s="3534"/>
      <c r="K313" s="3535"/>
      <c r="L313" s="2810"/>
      <c r="M313" s="2757"/>
      <c r="N313" s="2743"/>
    </row>
    <row r="314" spans="1:16" ht="18" customHeight="1" x14ac:dyDescent="0.25">
      <c r="B314" s="441"/>
      <c r="C314" s="2494" t="s">
        <v>7874</v>
      </c>
      <c r="D314" s="2698">
        <v>1650000000</v>
      </c>
      <c r="E314" s="3354">
        <f>D314/D301*100</f>
        <v>0.65678244905338534</v>
      </c>
      <c r="F314" s="4384"/>
      <c r="G314" s="2811"/>
      <c r="H314" s="2810"/>
      <c r="I314" s="896"/>
      <c r="J314" s="3534"/>
      <c r="K314" s="3535"/>
      <c r="L314" s="2810"/>
      <c r="M314" s="2757"/>
      <c r="N314" s="2743"/>
    </row>
    <row r="315" spans="1:16" ht="18" customHeight="1" x14ac:dyDescent="0.25">
      <c r="B315" s="441"/>
      <c r="C315" s="2494" t="s">
        <v>7875</v>
      </c>
      <c r="D315" s="2698">
        <v>655000000</v>
      </c>
      <c r="E315" s="3354">
        <f>D315/D301*100</f>
        <v>0.26072272977573785</v>
      </c>
      <c r="F315" s="4384"/>
      <c r="G315" s="2811"/>
      <c r="H315" s="2810"/>
      <c r="I315" s="896"/>
      <c r="J315" s="3534"/>
      <c r="K315" s="3535"/>
      <c r="L315" s="2810"/>
      <c r="M315" s="2757"/>
      <c r="N315" s="2743"/>
    </row>
    <row r="316" spans="1:16" ht="19.5" customHeight="1" x14ac:dyDescent="0.25">
      <c r="B316" s="441"/>
      <c r="C316" s="2494" t="s">
        <v>7876</v>
      </c>
      <c r="D316" s="2698">
        <v>1500000000</v>
      </c>
      <c r="E316" s="3354">
        <f>D316/D301*100</f>
        <v>0.59707495368489583</v>
      </c>
      <c r="F316" s="4384"/>
      <c r="G316" s="2811"/>
      <c r="H316" s="2810"/>
      <c r="I316" s="896"/>
      <c r="J316" s="3534"/>
      <c r="K316" s="3535"/>
      <c r="L316" s="2810"/>
      <c r="M316" s="2757"/>
      <c r="N316" s="2743"/>
    </row>
    <row r="317" spans="1:16" ht="30" customHeight="1" x14ac:dyDescent="0.25">
      <c r="B317" s="441"/>
      <c r="C317" s="2494" t="s">
        <v>7877</v>
      </c>
      <c r="D317" s="2698">
        <v>3000000000</v>
      </c>
      <c r="E317" s="3354">
        <f>D317/D301*100</f>
        <v>1.1941499073697917</v>
      </c>
      <c r="F317" s="4384"/>
      <c r="G317" s="2811"/>
      <c r="H317" s="2810"/>
      <c r="I317" s="896"/>
      <c r="J317" s="3534"/>
      <c r="K317" s="3535"/>
      <c r="L317" s="2810"/>
      <c r="M317" s="2757"/>
      <c r="N317" s="2743"/>
    </row>
    <row r="318" spans="1:16" ht="10.5" customHeight="1" x14ac:dyDescent="0.25">
      <c r="B318" s="441"/>
      <c r="C318" s="2494"/>
      <c r="D318" s="2698"/>
      <c r="E318" s="3354"/>
      <c r="F318" s="4384"/>
      <c r="G318" s="2811"/>
      <c r="H318" s="2810"/>
      <c r="I318" s="896"/>
      <c r="J318" s="3534"/>
      <c r="K318" s="3535"/>
      <c r="L318" s="2810"/>
      <c r="M318" s="2757"/>
      <c r="N318" s="2743"/>
    </row>
    <row r="319" spans="1:16" s="32" customFormat="1" ht="21.75" customHeight="1" x14ac:dyDescent="0.25">
      <c r="A319" s="1"/>
      <c r="B319" s="441"/>
      <c r="C319" s="2491" t="s">
        <v>7878</v>
      </c>
      <c r="D319" s="2692">
        <f>D320</f>
        <v>7775000000</v>
      </c>
      <c r="E319" s="3356">
        <f>D319/D301*100</f>
        <v>3.0948385099333771</v>
      </c>
      <c r="F319" s="3834"/>
      <c r="G319" s="3064"/>
      <c r="H319" s="2813"/>
      <c r="I319" s="899"/>
      <c r="J319" s="4382"/>
      <c r="K319" s="4381"/>
      <c r="L319" s="2813"/>
      <c r="M319" s="2970"/>
      <c r="N319" s="2668"/>
      <c r="P319" s="630"/>
    </row>
    <row r="320" spans="1:16" ht="28.5" customHeight="1" x14ac:dyDescent="0.25">
      <c r="B320" s="441"/>
      <c r="C320" s="2494" t="s">
        <v>7879</v>
      </c>
      <c r="D320" s="2698">
        <f>8500000000-725000000</f>
        <v>7775000000</v>
      </c>
      <c r="E320" s="3354">
        <f>D320/D301*100</f>
        <v>3.0948385099333771</v>
      </c>
      <c r="F320" s="4384"/>
      <c r="G320" s="2811"/>
      <c r="H320" s="2810"/>
      <c r="I320" s="896"/>
      <c r="J320" s="3534"/>
      <c r="K320" s="3535"/>
      <c r="L320" s="2810"/>
      <c r="M320" s="2757"/>
      <c r="N320" s="2743"/>
    </row>
    <row r="321" spans="2:14" ht="14.25" customHeight="1" x14ac:dyDescent="0.25">
      <c r="B321" s="441"/>
      <c r="C321" s="2506"/>
      <c r="D321" s="2724"/>
      <c r="E321" s="3367"/>
      <c r="F321" s="4380"/>
      <c r="G321" s="2849"/>
      <c r="H321" s="2840"/>
      <c r="I321" s="2769"/>
      <c r="J321" s="3538"/>
      <c r="K321" s="3539"/>
      <c r="L321" s="2840"/>
      <c r="M321" s="2753"/>
      <c r="N321" s="2743"/>
    </row>
    <row r="322" spans="2:14" ht="17.25" customHeight="1" x14ac:dyDescent="0.25">
      <c r="B322" s="4701" t="s">
        <v>4164</v>
      </c>
      <c r="C322" s="4702" t="s">
        <v>6660</v>
      </c>
      <c r="D322" s="4703">
        <v>428000000000</v>
      </c>
      <c r="E322" s="4704">
        <f>D322/2512247400000*100</f>
        <v>17.036538678475694</v>
      </c>
      <c r="F322" s="4705"/>
      <c r="G322" s="4706"/>
      <c r="H322" s="4707"/>
      <c r="I322" s="4708"/>
      <c r="J322" s="4709"/>
      <c r="K322" s="4710"/>
      <c r="L322" s="4707"/>
      <c r="M322" s="4711"/>
      <c r="N322" s="2743"/>
    </row>
    <row r="323" spans="2:14" ht="14.25" customHeight="1" x14ac:dyDescent="0.25">
      <c r="B323" s="441"/>
      <c r="C323" s="2506"/>
      <c r="D323" s="2724"/>
      <c r="E323" s="3367"/>
      <c r="F323" s="4380"/>
      <c r="G323" s="2849"/>
      <c r="H323" s="2840"/>
      <c r="I323" s="2769"/>
      <c r="J323" s="3538"/>
      <c r="K323" s="3539"/>
      <c r="L323" s="2840"/>
      <c r="M323" s="2753"/>
      <c r="N323" s="2743"/>
    </row>
    <row r="324" spans="2:14" ht="21" customHeight="1" x14ac:dyDescent="0.25">
      <c r="B324" s="4701" t="s">
        <v>4114</v>
      </c>
      <c r="C324" s="4702" t="s">
        <v>7816</v>
      </c>
      <c r="D324" s="4703">
        <f>D325</f>
        <v>44818166666</v>
      </c>
      <c r="E324" s="4704">
        <f>D324/2512247400000*100</f>
        <v>1.7839869857562596</v>
      </c>
      <c r="F324" s="4705"/>
      <c r="G324" s="4706"/>
      <c r="H324" s="4707"/>
      <c r="I324" s="4708"/>
      <c r="J324" s="4709"/>
      <c r="K324" s="4710"/>
      <c r="L324" s="4707"/>
      <c r="M324" s="4711"/>
      <c r="N324" s="2743"/>
    </row>
    <row r="325" spans="2:14" ht="22.5" hidden="1" customHeight="1" x14ac:dyDescent="0.25">
      <c r="B325" s="441"/>
      <c r="C325" s="2491" t="s">
        <v>7823</v>
      </c>
      <c r="D325" s="2721">
        <f>SUM(D326:D328)</f>
        <v>44818166666</v>
      </c>
      <c r="E325" s="3356">
        <f>D325/D324*100</f>
        <v>100</v>
      </c>
      <c r="F325" s="4380"/>
      <c r="G325" s="2849"/>
      <c r="H325" s="2840"/>
      <c r="I325" s="2769"/>
      <c r="J325" s="3538"/>
      <c r="K325" s="3539"/>
      <c r="L325" s="2840"/>
      <c r="M325" s="2753"/>
      <c r="N325" s="2743"/>
    </row>
    <row r="326" spans="2:14" ht="21" hidden="1" customHeight="1" x14ac:dyDescent="0.25">
      <c r="B326" s="441"/>
      <c r="C326" s="2506" t="s">
        <v>7896</v>
      </c>
      <c r="D326" s="2698">
        <v>24818166666</v>
      </c>
      <c r="E326" s="3354">
        <f>D326/D324*100</f>
        <v>55.375238462905671</v>
      </c>
      <c r="F326" s="4384"/>
      <c r="G326" s="2811"/>
      <c r="H326" s="2810"/>
      <c r="I326" s="896"/>
      <c r="J326" s="3534"/>
      <c r="K326" s="3535"/>
      <c r="L326" s="2810"/>
      <c r="M326" s="2757"/>
      <c r="N326" s="2743"/>
    </row>
    <row r="327" spans="2:14" ht="18" hidden="1" customHeight="1" x14ac:dyDescent="0.25">
      <c r="B327" s="441"/>
      <c r="C327" s="2494" t="s">
        <v>7897</v>
      </c>
      <c r="D327" s="2698">
        <v>15265000000</v>
      </c>
      <c r="E327" s="3354">
        <f>D327/D324*100</f>
        <v>34.059849243187244</v>
      </c>
      <c r="F327" s="4384"/>
      <c r="G327" s="2811"/>
      <c r="H327" s="2810"/>
      <c r="I327" s="896"/>
      <c r="J327" s="3534"/>
      <c r="K327" s="3535"/>
      <c r="L327" s="2810"/>
      <c r="M327" s="2757"/>
      <c r="N327" s="2743"/>
    </row>
    <row r="328" spans="2:14" ht="18.75" hidden="1" customHeight="1" x14ac:dyDescent="0.25">
      <c r="B328" s="441"/>
      <c r="C328" s="2494" t="s">
        <v>7898</v>
      </c>
      <c r="D328" s="2698">
        <v>4735000000</v>
      </c>
      <c r="E328" s="3354">
        <f>D328/D324*100</f>
        <v>10.564912293907081</v>
      </c>
      <c r="F328" s="4384"/>
      <c r="G328" s="2811"/>
      <c r="H328" s="2810"/>
      <c r="I328" s="896"/>
      <c r="J328" s="3534"/>
      <c r="K328" s="3535"/>
      <c r="L328" s="2810"/>
      <c r="M328" s="2757"/>
      <c r="N328" s="2743"/>
    </row>
    <row r="329" spans="2:14" ht="14.25" hidden="1" customHeight="1" x14ac:dyDescent="0.25">
      <c r="B329" s="441"/>
      <c r="C329" s="2506"/>
      <c r="D329" s="2724"/>
      <c r="E329" s="3367"/>
      <c r="F329" s="4380"/>
      <c r="G329" s="2849"/>
      <c r="H329" s="2840"/>
      <c r="I329" s="2769"/>
      <c r="J329" s="3538"/>
      <c r="K329" s="3539"/>
      <c r="L329" s="2840"/>
      <c r="M329" s="2753"/>
      <c r="N329" s="2743"/>
    </row>
    <row r="330" spans="2:14" ht="17.25" customHeight="1" x14ac:dyDescent="0.25">
      <c r="B330" s="4701" t="s">
        <v>6659</v>
      </c>
      <c r="C330" s="4702" t="s">
        <v>7826</v>
      </c>
      <c r="D330" s="4703">
        <f>SUM(D332+D344+D349)</f>
        <v>10000000000</v>
      </c>
      <c r="E330" s="4704">
        <f>D330/2512247400000*100</f>
        <v>0.3980499691232639</v>
      </c>
      <c r="F330" s="4705"/>
      <c r="G330" s="4706"/>
      <c r="H330" s="4707"/>
      <c r="I330" s="4708"/>
      <c r="J330" s="4709"/>
      <c r="K330" s="4710"/>
      <c r="L330" s="4707"/>
      <c r="M330" s="4711"/>
      <c r="N330" s="2743"/>
    </row>
    <row r="331" spans="2:14" ht="9" hidden="1" customHeight="1" x14ac:dyDescent="0.25">
      <c r="B331" s="441"/>
      <c r="C331" s="2506"/>
      <c r="D331" s="2721"/>
      <c r="E331" s="3367"/>
      <c r="F331" s="4380"/>
      <c r="G331" s="2849"/>
      <c r="H331" s="2840"/>
      <c r="I331" s="2769"/>
      <c r="J331" s="3538"/>
      <c r="K331" s="3539"/>
      <c r="L331" s="2840"/>
      <c r="M331" s="2753"/>
      <c r="N331" s="2743"/>
    </row>
    <row r="332" spans="2:14" ht="18" hidden="1" customHeight="1" x14ac:dyDescent="0.25">
      <c r="B332" s="440"/>
      <c r="C332" s="2497" t="s">
        <v>7837</v>
      </c>
      <c r="D332" s="2669">
        <f>D333</f>
        <v>9343239000</v>
      </c>
      <c r="E332" s="3411">
        <f>D332/D330*100</f>
        <v>93.432389999999998</v>
      </c>
      <c r="F332" s="4385"/>
      <c r="G332" s="4553"/>
      <c r="H332" s="3544"/>
      <c r="I332" s="3149"/>
      <c r="J332" s="4554"/>
      <c r="K332" s="4555"/>
      <c r="L332" s="3544"/>
      <c r="M332" s="2747"/>
      <c r="N332" s="2743"/>
    </row>
    <row r="333" spans="2:14" ht="18.75" hidden="1" customHeight="1" x14ac:dyDescent="0.25">
      <c r="B333" s="441"/>
      <c r="C333" s="2477" t="s">
        <v>7880</v>
      </c>
      <c r="D333" s="2712">
        <f>SUM(D334:D342)</f>
        <v>9343239000</v>
      </c>
      <c r="E333" s="3246">
        <f>D333/D330*100</f>
        <v>93.432389999999998</v>
      </c>
      <c r="F333" s="4380"/>
      <c r="G333" s="2849"/>
      <c r="H333" s="2840"/>
      <c r="I333" s="2769"/>
      <c r="J333" s="3538"/>
      <c r="K333" s="3539"/>
      <c r="L333" s="2840"/>
      <c r="M333" s="2753"/>
      <c r="N333" s="2743"/>
    </row>
    <row r="334" spans="2:14" ht="29.25" hidden="1" customHeight="1" x14ac:dyDescent="0.25">
      <c r="B334" s="441"/>
      <c r="C334" s="2473" t="s">
        <v>7881</v>
      </c>
      <c r="D334" s="2698">
        <v>600000000</v>
      </c>
      <c r="E334" s="2688">
        <f>D334/D330*100</f>
        <v>6</v>
      </c>
      <c r="F334" s="4384"/>
      <c r="G334" s="2811"/>
      <c r="H334" s="2810"/>
      <c r="I334" s="896"/>
      <c r="J334" s="3534"/>
      <c r="K334" s="3535"/>
      <c r="L334" s="2810"/>
      <c r="M334" s="2757"/>
      <c r="N334" s="2768"/>
    </row>
    <row r="335" spans="2:14" ht="17.25" hidden="1" customHeight="1" x14ac:dyDescent="0.25">
      <c r="B335" s="441"/>
      <c r="C335" s="2473" t="s">
        <v>7882</v>
      </c>
      <c r="D335" s="4187">
        <v>1200000000</v>
      </c>
      <c r="E335" s="2688">
        <f>D335/D330*100</f>
        <v>12</v>
      </c>
      <c r="F335" s="4384"/>
      <c r="G335" s="2811"/>
      <c r="H335" s="2810"/>
      <c r="I335" s="896"/>
      <c r="J335" s="3534"/>
      <c r="K335" s="3535"/>
      <c r="L335" s="2810"/>
      <c r="M335" s="2757"/>
      <c r="N335" s="2768"/>
    </row>
    <row r="336" spans="2:14" ht="15.75" hidden="1" customHeight="1" x14ac:dyDescent="0.25">
      <c r="B336" s="441"/>
      <c r="C336" s="2473" t="s">
        <v>7883</v>
      </c>
      <c r="D336" s="2698">
        <v>1000000000</v>
      </c>
      <c r="E336" s="2688">
        <f>D336/D330*100</f>
        <v>10</v>
      </c>
      <c r="F336" s="4384"/>
      <c r="G336" s="2811"/>
      <c r="H336" s="2810"/>
      <c r="I336" s="896"/>
      <c r="J336" s="3534"/>
      <c r="K336" s="3535"/>
      <c r="L336" s="2810"/>
      <c r="M336" s="2757"/>
      <c r="N336" s="2768"/>
    </row>
    <row r="337" spans="1:16" ht="15.75" hidden="1" customHeight="1" x14ac:dyDescent="0.25">
      <c r="B337" s="441"/>
      <c r="C337" s="2473" t="s">
        <v>7884</v>
      </c>
      <c r="D337" s="2698">
        <v>600000000</v>
      </c>
      <c r="E337" s="2688">
        <f>D337/D330*100</f>
        <v>6</v>
      </c>
      <c r="F337" s="4384"/>
      <c r="G337" s="2811"/>
      <c r="H337" s="2810"/>
      <c r="I337" s="896"/>
      <c r="J337" s="3534"/>
      <c r="K337" s="3535"/>
      <c r="L337" s="2810"/>
      <c r="M337" s="2757"/>
      <c r="N337" s="2768"/>
    </row>
    <row r="338" spans="1:16" ht="17.25" hidden="1" customHeight="1" x14ac:dyDescent="0.25">
      <c r="B338" s="441"/>
      <c r="C338" s="2473" t="s">
        <v>7885</v>
      </c>
      <c r="D338" s="2698">
        <v>700000000</v>
      </c>
      <c r="E338" s="2688">
        <f>D338/D330*100</f>
        <v>7.0000000000000009</v>
      </c>
      <c r="F338" s="4384"/>
      <c r="G338" s="2811"/>
      <c r="H338" s="2810"/>
      <c r="I338" s="896"/>
      <c r="J338" s="3534"/>
      <c r="K338" s="3535"/>
      <c r="L338" s="2810"/>
      <c r="M338" s="2757"/>
      <c r="N338" s="2768"/>
    </row>
    <row r="339" spans="1:16" ht="16.5" hidden="1" customHeight="1" x14ac:dyDescent="0.25">
      <c r="B339" s="441"/>
      <c r="C339" s="2473" t="s">
        <v>7886</v>
      </c>
      <c r="D339" s="2698">
        <f>3155600000-4905000</f>
        <v>3150695000</v>
      </c>
      <c r="E339" s="2688">
        <f>D339/D330*100</f>
        <v>31.50695</v>
      </c>
      <c r="F339" s="4384"/>
      <c r="G339" s="2811"/>
      <c r="H339" s="2810"/>
      <c r="I339" s="896"/>
      <c r="J339" s="3534"/>
      <c r="K339" s="3535"/>
      <c r="L339" s="2810"/>
      <c r="M339" s="2757"/>
      <c r="N339" s="2768"/>
    </row>
    <row r="340" spans="1:16" ht="17.25" hidden="1" customHeight="1" x14ac:dyDescent="0.25">
      <c r="B340" s="441"/>
      <c r="C340" s="2473" t="s">
        <v>7887</v>
      </c>
      <c r="D340" s="2698">
        <v>646154000</v>
      </c>
      <c r="E340" s="2688">
        <f>D340/D330*100</f>
        <v>6.4615400000000003</v>
      </c>
      <c r="F340" s="4384"/>
      <c r="G340" s="2811"/>
      <c r="H340" s="2810"/>
      <c r="I340" s="896"/>
      <c r="J340" s="3534"/>
      <c r="K340" s="3535"/>
      <c r="L340" s="2810"/>
      <c r="M340" s="2757"/>
      <c r="N340" s="2768"/>
    </row>
    <row r="341" spans="1:16" ht="32.25" hidden="1" customHeight="1" x14ac:dyDescent="0.25">
      <c r="B341" s="441"/>
      <c r="C341" s="2473" t="s">
        <v>7888</v>
      </c>
      <c r="D341" s="2698">
        <v>646390000</v>
      </c>
      <c r="E341" s="2688">
        <f>D341/D330*100</f>
        <v>6.4639000000000006</v>
      </c>
      <c r="F341" s="4384"/>
      <c r="G341" s="2811"/>
      <c r="H341" s="2810"/>
      <c r="I341" s="896"/>
      <c r="J341" s="3534"/>
      <c r="K341" s="3535"/>
      <c r="L341" s="2810"/>
      <c r="M341" s="2757"/>
      <c r="N341" s="2768"/>
    </row>
    <row r="342" spans="1:16" ht="21" hidden="1" customHeight="1" x14ac:dyDescent="0.25">
      <c r="B342" s="441"/>
      <c r="C342" s="2473" t="s">
        <v>7889</v>
      </c>
      <c r="D342" s="2698">
        <v>800000000</v>
      </c>
      <c r="E342" s="2688">
        <f>D342/D330*100</f>
        <v>8</v>
      </c>
      <c r="F342" s="4384"/>
      <c r="G342" s="2811"/>
      <c r="H342" s="2810"/>
      <c r="I342" s="896"/>
      <c r="J342" s="3534"/>
      <c r="K342" s="3535"/>
      <c r="L342" s="2810"/>
      <c r="M342" s="2757"/>
      <c r="N342" s="2768"/>
    </row>
    <row r="343" spans="1:16" ht="14.25" hidden="1" customHeight="1" x14ac:dyDescent="0.25">
      <c r="B343" s="441"/>
      <c r="C343" s="2506"/>
      <c r="D343" s="2724"/>
      <c r="E343" s="3367"/>
      <c r="F343" s="4380"/>
      <c r="G343" s="2849"/>
      <c r="H343" s="2840"/>
      <c r="I343" s="2769"/>
      <c r="J343" s="3538"/>
      <c r="K343" s="3539"/>
      <c r="L343" s="2840"/>
      <c r="M343" s="2753"/>
      <c r="N343" s="2756"/>
    </row>
    <row r="344" spans="1:16" s="32" customFormat="1" ht="17.25" hidden="1" customHeight="1" x14ac:dyDescent="0.25">
      <c r="A344" s="1"/>
      <c r="B344" s="440"/>
      <c r="C344" s="2497" t="s">
        <v>7838</v>
      </c>
      <c r="D344" s="2669">
        <f>D345</f>
        <v>497090000</v>
      </c>
      <c r="E344" s="3411">
        <f>D344/D330*100</f>
        <v>4.9709000000000003</v>
      </c>
      <c r="F344" s="3826"/>
      <c r="G344" s="3548"/>
      <c r="H344" s="2786"/>
      <c r="I344" s="2744"/>
      <c r="J344" s="4561"/>
      <c r="K344" s="4562"/>
      <c r="L344" s="2786"/>
      <c r="M344" s="2987"/>
      <c r="N344" s="2668"/>
      <c r="P344" s="630"/>
    </row>
    <row r="345" spans="1:16" ht="18" hidden="1" customHeight="1" x14ac:dyDescent="0.25">
      <c r="B345" s="441"/>
      <c r="C345" s="2482" t="s">
        <v>7890</v>
      </c>
      <c r="D345" s="2721">
        <f>SUM(D346:D347)</f>
        <v>497090000</v>
      </c>
      <c r="E345" s="3246">
        <f>D345/D330*100</f>
        <v>4.9709000000000003</v>
      </c>
      <c r="F345" s="4380"/>
      <c r="G345" s="2849"/>
      <c r="H345" s="2840"/>
      <c r="I345" s="2769"/>
      <c r="J345" s="3538"/>
      <c r="K345" s="3539"/>
      <c r="L345" s="2840"/>
      <c r="M345" s="2753"/>
      <c r="N345" s="2743"/>
    </row>
    <row r="346" spans="1:16" ht="15" hidden="1" customHeight="1" x14ac:dyDescent="0.25">
      <c r="B346" s="441"/>
      <c r="C346" s="2494" t="s">
        <v>7891</v>
      </c>
      <c r="D346" s="2698">
        <v>249010000</v>
      </c>
      <c r="E346" s="2688">
        <f>D346/D330*100</f>
        <v>2.4901</v>
      </c>
      <c r="F346" s="4384"/>
      <c r="G346" s="2811"/>
      <c r="H346" s="2810"/>
      <c r="I346" s="896"/>
      <c r="J346" s="3534"/>
      <c r="K346" s="3535"/>
      <c r="L346" s="2810"/>
      <c r="M346" s="2757"/>
      <c r="N346" s="2743"/>
    </row>
    <row r="347" spans="1:16" ht="14.25" hidden="1" customHeight="1" x14ac:dyDescent="0.25">
      <c r="B347" s="441"/>
      <c r="C347" s="2494" t="s">
        <v>7892</v>
      </c>
      <c r="D347" s="2698">
        <v>248080000</v>
      </c>
      <c r="E347" s="2688">
        <f>D347/D330*100</f>
        <v>2.4807999999999999</v>
      </c>
      <c r="F347" s="4384"/>
      <c r="G347" s="2811"/>
      <c r="H347" s="2810"/>
      <c r="I347" s="896"/>
      <c r="J347" s="3534"/>
      <c r="K347" s="3535"/>
      <c r="L347" s="2810"/>
      <c r="M347" s="2757"/>
      <c r="N347" s="2743"/>
    </row>
    <row r="348" spans="1:16" ht="14.25" hidden="1" customHeight="1" x14ac:dyDescent="0.25">
      <c r="B348" s="441"/>
      <c r="C348" s="2506"/>
      <c r="D348" s="2724"/>
      <c r="E348" s="2758"/>
      <c r="F348" s="4380"/>
      <c r="G348" s="2849"/>
      <c r="H348" s="2840"/>
      <c r="I348" s="2769"/>
      <c r="J348" s="3538"/>
      <c r="K348" s="3539"/>
      <c r="L348" s="2840"/>
      <c r="M348" s="2753"/>
      <c r="N348" s="2743"/>
    </row>
    <row r="349" spans="1:16" ht="18.75" hidden="1" customHeight="1" x14ac:dyDescent="0.25">
      <c r="B349" s="440"/>
      <c r="C349" s="2497" t="s">
        <v>7856</v>
      </c>
      <c r="D349" s="2669">
        <f>D350</f>
        <v>159671000</v>
      </c>
      <c r="E349" s="3411">
        <f>D349/D330*100</f>
        <v>1.5967100000000001</v>
      </c>
      <c r="F349" s="4385"/>
      <c r="G349" s="4553"/>
      <c r="H349" s="3544"/>
      <c r="I349" s="3149"/>
      <c r="J349" s="4554"/>
      <c r="K349" s="4555"/>
      <c r="L349" s="3544"/>
      <c r="M349" s="2747"/>
      <c r="N349" s="2743"/>
    </row>
    <row r="350" spans="1:16" ht="18.75" hidden="1" customHeight="1" x14ac:dyDescent="0.25">
      <c r="B350" s="441"/>
      <c r="C350" s="2482" t="s">
        <v>7893</v>
      </c>
      <c r="D350" s="2721">
        <f>D351</f>
        <v>159671000</v>
      </c>
      <c r="E350" s="3246">
        <f>D350/D330*100</f>
        <v>1.5967100000000001</v>
      </c>
      <c r="F350" s="4380"/>
      <c r="G350" s="2849"/>
      <c r="H350" s="2840"/>
      <c r="I350" s="2769"/>
      <c r="J350" s="3538"/>
      <c r="K350" s="3539"/>
      <c r="L350" s="2840"/>
      <c r="M350" s="2753"/>
      <c r="N350" s="2743"/>
    </row>
    <row r="351" spans="1:16" ht="14.25" hidden="1" customHeight="1" x14ac:dyDescent="0.25">
      <c r="B351" s="441"/>
      <c r="C351" s="2494" t="s">
        <v>7894</v>
      </c>
      <c r="D351" s="2698">
        <v>159671000</v>
      </c>
      <c r="E351" s="2688">
        <f>D351/D330*100</f>
        <v>1.5967100000000001</v>
      </c>
      <c r="F351" s="4384"/>
      <c r="G351" s="2811"/>
      <c r="H351" s="2810"/>
      <c r="I351" s="896"/>
      <c r="J351" s="3534"/>
      <c r="K351" s="3535"/>
      <c r="L351" s="2810"/>
      <c r="M351" s="2757"/>
      <c r="N351" s="2743"/>
    </row>
    <row r="352" spans="1:16" ht="16.5" hidden="1" customHeight="1" x14ac:dyDescent="0.25">
      <c r="B352" s="2738"/>
      <c r="C352" s="2476"/>
      <c r="D352" s="2706"/>
      <c r="E352" s="2758"/>
      <c r="F352" s="4418"/>
      <c r="G352" s="2706"/>
      <c r="H352" s="2710"/>
      <c r="I352" s="2742"/>
      <c r="J352" s="911"/>
      <c r="K352" s="911"/>
      <c r="L352" s="911"/>
      <c r="M352" s="911"/>
      <c r="N352" s="2768"/>
    </row>
    <row r="353" spans="1:16" ht="18.75" customHeight="1" x14ac:dyDescent="0.25">
      <c r="B353" s="4701" t="s">
        <v>7841</v>
      </c>
      <c r="C353" s="4702" t="s">
        <v>7922</v>
      </c>
      <c r="D353" s="4703">
        <v>10000000000</v>
      </c>
      <c r="E353" s="4717">
        <f>D353/2512247400000*100</f>
        <v>0.3980499691232639</v>
      </c>
      <c r="F353" s="4713"/>
      <c r="G353" s="4708"/>
      <c r="H353" s="4707"/>
      <c r="I353" s="4711"/>
      <c r="J353" s="4712"/>
      <c r="K353" s="4712"/>
      <c r="L353" s="4712"/>
      <c r="M353" s="4712"/>
      <c r="N353" s="2768"/>
    </row>
    <row r="354" spans="1:16" ht="13.5" hidden="1" customHeight="1" x14ac:dyDescent="0.25">
      <c r="B354" s="2738"/>
      <c r="C354" s="2476"/>
      <c r="D354" s="2706"/>
      <c r="E354" s="2758"/>
      <c r="F354" s="4418"/>
      <c r="G354" s="2706"/>
      <c r="H354" s="2710"/>
      <c r="I354" s="2742"/>
      <c r="J354" s="911"/>
      <c r="K354" s="911"/>
      <c r="L354" s="911"/>
      <c r="M354" s="911"/>
      <c r="N354" s="2768"/>
    </row>
    <row r="355" spans="1:16" s="52" customFormat="1" ht="18" customHeight="1" thickBot="1" x14ac:dyDescent="0.3">
      <c r="A355" s="8"/>
      <c r="B355" s="4714" t="s">
        <v>7895</v>
      </c>
      <c r="C355" s="4715" t="s">
        <v>240</v>
      </c>
      <c r="D355" s="4716">
        <f>SUM(D357+D633+D927+D1203+D1724+D2111+D2381+D2560+D2867+D3361+D3691+D4108+D4394)</f>
        <v>1582384044000</v>
      </c>
      <c r="E355" s="4717">
        <f>D355/2512247400000*100</f>
        <v>62.986791985534538</v>
      </c>
      <c r="F355" s="4716"/>
      <c r="G355" s="4718"/>
      <c r="H355" s="4717"/>
      <c r="I355" s="4718"/>
      <c r="J355" s="4719"/>
      <c r="K355" s="4719"/>
      <c r="L355" s="4717"/>
      <c r="M355" s="4718"/>
      <c r="N355" s="2777"/>
      <c r="P355" s="625"/>
    </row>
    <row r="356" spans="1:16" ht="9" hidden="1" customHeight="1" x14ac:dyDescent="0.25">
      <c r="B356" s="441"/>
      <c r="C356" s="2478"/>
      <c r="D356" s="2769"/>
      <c r="E356" s="2784"/>
      <c r="F356" s="3864"/>
      <c r="G356" s="2755"/>
      <c r="H356" s="2784"/>
      <c r="I356" s="2755"/>
      <c r="J356" s="902"/>
      <c r="K356" s="902"/>
      <c r="L356" s="902"/>
      <c r="M356" s="902"/>
      <c r="N356" s="2768"/>
    </row>
    <row r="357" spans="1:16" ht="17.25" hidden="1" customHeight="1" x14ac:dyDescent="0.25">
      <c r="B357" s="2779"/>
      <c r="C357" s="2481" t="s">
        <v>6995</v>
      </c>
      <c r="D357" s="2780">
        <f>SUM(D359+D403+D448+D452+D462+D466+D480+D484+D505+D509+D521+D525+D531+D552+D589+D605+D609+D613+D623+D629)</f>
        <v>151574776000</v>
      </c>
      <c r="E357" s="2781">
        <f>D357/2512247400000*100</f>
        <v>6.0334334906665639</v>
      </c>
      <c r="F357" s="4423"/>
      <c r="G357" s="2782"/>
      <c r="H357" s="2781"/>
      <c r="I357" s="2780"/>
      <c r="J357" s="2783"/>
      <c r="K357" s="2783"/>
      <c r="L357" s="2780"/>
      <c r="M357" s="2780"/>
      <c r="N357" s="2768"/>
    </row>
    <row r="358" spans="1:16" ht="7.5" hidden="1" customHeight="1" x14ac:dyDescent="0.25">
      <c r="B358" s="441"/>
      <c r="C358" s="2482"/>
      <c r="D358" s="2724"/>
      <c r="E358" s="2828"/>
      <c r="F358" s="3833"/>
      <c r="G358" s="2806"/>
      <c r="H358" s="2828"/>
      <c r="I358" s="2806"/>
      <c r="J358" s="2850"/>
      <c r="K358" s="898"/>
      <c r="L358" s="898"/>
      <c r="M358" s="898"/>
      <c r="N358" s="2768"/>
    </row>
    <row r="359" spans="1:16" s="27" customFormat="1" ht="15.75" hidden="1" customHeight="1" x14ac:dyDescent="0.25">
      <c r="A359" s="6"/>
      <c r="B359" s="440"/>
      <c r="C359" s="2471" t="s">
        <v>354</v>
      </c>
      <c r="D359" s="2744">
        <f>SUM(D360+D364+D377+D382+D388+D397+D400)</f>
        <v>30227666034</v>
      </c>
      <c r="E359" s="2786">
        <f>D359/D357*100</f>
        <v>19.942411812635633</v>
      </c>
      <c r="F359" s="3844"/>
      <c r="G359" s="2744"/>
      <c r="H359" s="2719"/>
      <c r="I359" s="2719"/>
      <c r="J359" s="2744"/>
      <c r="K359" s="2744"/>
      <c r="L359" s="2672"/>
      <c r="M359" s="2719"/>
      <c r="N359" s="2701"/>
      <c r="P359" s="80"/>
    </row>
    <row r="360" spans="1:16" s="27" customFormat="1" ht="15.75" hidden="1" customHeight="1" x14ac:dyDescent="0.25">
      <c r="A360" s="6"/>
      <c r="B360" s="441"/>
      <c r="C360" s="2478" t="s">
        <v>355</v>
      </c>
      <c r="D360" s="2751">
        <f>SUM(D361:D362)</f>
        <v>258517000</v>
      </c>
      <c r="E360" s="2801">
        <f>D360/D357*100</f>
        <v>0.17055410327639209</v>
      </c>
      <c r="F360" s="3845"/>
      <c r="G360" s="2722"/>
      <c r="H360" s="2722"/>
      <c r="I360" s="2722"/>
      <c r="J360" s="2751"/>
      <c r="K360" s="2751"/>
      <c r="L360" s="2751"/>
      <c r="M360" s="2722"/>
      <c r="N360" s="2701"/>
      <c r="P360" s="80"/>
    </row>
    <row r="361" spans="1:16" s="27" customFormat="1" ht="16.5" hidden="1" customHeight="1" x14ac:dyDescent="0.25">
      <c r="A361" s="6"/>
      <c r="B361" s="441"/>
      <c r="C361" s="2473" t="s">
        <v>6249</v>
      </c>
      <c r="D361" s="896">
        <v>165857240</v>
      </c>
      <c r="E361" s="2810">
        <f>D361/D357*100</f>
        <v>0.10942271819685884</v>
      </c>
      <c r="F361" s="4424"/>
      <c r="G361" s="2685"/>
      <c r="H361" s="2685"/>
      <c r="I361" s="2685"/>
      <c r="J361" s="2851"/>
      <c r="K361" s="2852"/>
      <c r="L361" s="2769"/>
      <c r="M361" s="2685"/>
      <c r="N361" s="2701"/>
      <c r="P361" s="80"/>
    </row>
    <row r="362" spans="1:16" s="27" customFormat="1" ht="15.75" hidden="1" customHeight="1" x14ac:dyDescent="0.25">
      <c r="A362" s="6"/>
      <c r="B362" s="441"/>
      <c r="C362" s="2473" t="s">
        <v>6250</v>
      </c>
      <c r="D362" s="2853">
        <v>92659760</v>
      </c>
      <c r="E362" s="2810">
        <f>D362/D357*100</f>
        <v>6.1131385079533286E-2</v>
      </c>
      <c r="F362" s="4425"/>
      <c r="G362" s="2685"/>
      <c r="H362" s="2685"/>
      <c r="I362" s="2685"/>
      <c r="J362" s="2854"/>
      <c r="K362" s="2852"/>
      <c r="L362" s="2769"/>
      <c r="M362" s="2685"/>
      <c r="N362" s="2701"/>
      <c r="P362" s="80"/>
    </row>
    <row r="363" spans="1:16" s="27" customFormat="1" ht="10.5" hidden="1" customHeight="1" x14ac:dyDescent="0.25">
      <c r="A363" s="6"/>
      <c r="B363" s="441"/>
      <c r="C363" s="2475"/>
      <c r="D363" s="2858"/>
      <c r="E363" s="2844"/>
      <c r="F363" s="3856"/>
      <c r="G363" s="2806"/>
      <c r="H363" s="2828"/>
      <c r="I363" s="2806"/>
      <c r="J363" s="2859"/>
      <c r="K363" s="902"/>
      <c r="L363" s="898"/>
      <c r="M363" s="898"/>
      <c r="N363" s="2701"/>
      <c r="P363" s="80"/>
    </row>
    <row r="364" spans="1:16" s="27" customFormat="1" ht="17.25" hidden="1" customHeight="1" x14ac:dyDescent="0.25">
      <c r="A364" s="6"/>
      <c r="B364" s="441"/>
      <c r="C364" s="2474" t="s">
        <v>362</v>
      </c>
      <c r="D364" s="2812">
        <f>SUM(D365:D375)</f>
        <v>23674795282</v>
      </c>
      <c r="E364" s="2813">
        <f>D364/D357*100</f>
        <v>15.619218386309869</v>
      </c>
      <c r="F364" s="3846"/>
      <c r="G364" s="2860"/>
      <c r="H364" s="2679"/>
      <c r="I364" s="2679"/>
      <c r="J364" s="2861"/>
      <c r="K364" s="2861"/>
      <c r="L364" s="899"/>
      <c r="M364" s="899"/>
      <c r="N364" s="2701"/>
      <c r="P364" s="80"/>
    </row>
    <row r="365" spans="1:16" s="27" customFormat="1" ht="16.5" hidden="1" customHeight="1" x14ac:dyDescent="0.25">
      <c r="A365" s="6"/>
      <c r="B365" s="441"/>
      <c r="C365" s="2473" t="s">
        <v>6252</v>
      </c>
      <c r="D365" s="2853">
        <v>14453009849</v>
      </c>
      <c r="E365" s="2810">
        <f>D365/D357*100</f>
        <v>9.5352341797292191</v>
      </c>
      <c r="F365" s="4425"/>
      <c r="G365" s="2685"/>
      <c r="H365" s="2685"/>
      <c r="I365" s="2685"/>
      <c r="J365" s="2854"/>
      <c r="K365" s="2852"/>
      <c r="L365" s="896"/>
      <c r="M365" s="896"/>
      <c r="N365" s="2701"/>
      <c r="P365" s="80"/>
    </row>
    <row r="366" spans="1:16" s="27" customFormat="1" ht="16.5" hidden="1" customHeight="1" x14ac:dyDescent="0.25">
      <c r="A366" s="6"/>
      <c r="B366" s="441"/>
      <c r="C366" s="2515" t="s">
        <v>6253</v>
      </c>
      <c r="D366" s="2853">
        <v>329822500</v>
      </c>
      <c r="E366" s="2810">
        <f>D366/D357*100</f>
        <v>0.21759722079351779</v>
      </c>
      <c r="F366" s="4425"/>
      <c r="G366" s="2685"/>
      <c r="H366" s="2685"/>
      <c r="I366" s="2685"/>
      <c r="J366" s="2854"/>
      <c r="K366" s="2852"/>
      <c r="L366" s="896"/>
      <c r="M366" s="896"/>
      <c r="N366" s="2701"/>
      <c r="P366" s="80"/>
    </row>
    <row r="367" spans="1:16" s="27" customFormat="1" ht="46.5" hidden="1" customHeight="1" x14ac:dyDescent="0.25">
      <c r="A367" s="6"/>
      <c r="B367" s="441"/>
      <c r="C367" s="2473" t="s">
        <v>6254</v>
      </c>
      <c r="D367" s="2853">
        <v>4562191800</v>
      </c>
      <c r="E367" s="2810">
        <f>D367/D357*100</f>
        <v>3.0098621422340086</v>
      </c>
      <c r="F367" s="4425"/>
      <c r="G367" s="2685"/>
      <c r="H367" s="2685"/>
      <c r="I367" s="2685"/>
      <c r="J367" s="2854"/>
      <c r="K367" s="2852"/>
      <c r="L367" s="896"/>
      <c r="M367" s="2685"/>
      <c r="N367" s="2701"/>
      <c r="P367" s="80"/>
    </row>
    <row r="368" spans="1:16" s="27" customFormat="1" ht="16.5" hidden="1" customHeight="1" x14ac:dyDescent="0.25">
      <c r="A368" s="6"/>
      <c r="B368" s="441"/>
      <c r="C368" s="2473" t="s">
        <v>6255</v>
      </c>
      <c r="D368" s="2853">
        <v>31300000</v>
      </c>
      <c r="E368" s="2810">
        <f>D368/D357*100</f>
        <v>2.0649873828611165E-2</v>
      </c>
      <c r="F368" s="4425"/>
      <c r="G368" s="2685"/>
      <c r="H368" s="2685"/>
      <c r="I368" s="2685"/>
      <c r="J368" s="2854"/>
      <c r="K368" s="2852"/>
      <c r="L368" s="896"/>
      <c r="M368" s="896"/>
      <c r="N368" s="2701"/>
      <c r="P368" s="80"/>
    </row>
    <row r="369" spans="1:16" s="27" customFormat="1" ht="31.5" hidden="1" customHeight="1" x14ac:dyDescent="0.25">
      <c r="A369" s="6"/>
      <c r="B369" s="441"/>
      <c r="C369" s="2473" t="s">
        <v>6256</v>
      </c>
      <c r="D369" s="2853">
        <v>82758000</v>
      </c>
      <c r="E369" s="2810">
        <f>D369/D357*100</f>
        <v>5.4598794195150256E-2</v>
      </c>
      <c r="F369" s="4425"/>
      <c r="G369" s="2685"/>
      <c r="H369" s="2685"/>
      <c r="I369" s="2685"/>
      <c r="J369" s="2854"/>
      <c r="K369" s="2852"/>
      <c r="L369" s="896"/>
      <c r="M369" s="896"/>
      <c r="N369" s="2701"/>
      <c r="P369" s="80"/>
    </row>
    <row r="370" spans="1:16" s="27" customFormat="1" ht="17.25" hidden="1" customHeight="1" x14ac:dyDescent="0.25">
      <c r="A370" s="6"/>
      <c r="B370" s="441"/>
      <c r="C370" s="2473" t="s">
        <v>368</v>
      </c>
      <c r="D370" s="2853">
        <v>59792000</v>
      </c>
      <c r="E370" s="2810">
        <f>D370/D357*100</f>
        <v>3.9447196676048527E-2</v>
      </c>
      <c r="F370" s="4425"/>
      <c r="G370" s="2685"/>
      <c r="H370" s="2685"/>
      <c r="I370" s="2685"/>
      <c r="J370" s="2854"/>
      <c r="K370" s="2852"/>
      <c r="L370" s="2855"/>
      <c r="M370" s="2855"/>
      <c r="N370" s="2701"/>
      <c r="P370" s="80"/>
    </row>
    <row r="371" spans="1:16" s="27" customFormat="1" ht="16.5" hidden="1" customHeight="1" x14ac:dyDescent="0.25">
      <c r="A371" s="6"/>
      <c r="B371" s="441"/>
      <c r="C371" s="2473" t="s">
        <v>369</v>
      </c>
      <c r="D371" s="2853">
        <v>197950000</v>
      </c>
      <c r="E371" s="2810">
        <f>D371/D357*100</f>
        <v>0.13059560780746265</v>
      </c>
      <c r="F371" s="4425"/>
      <c r="G371" s="2685"/>
      <c r="H371" s="2685"/>
      <c r="I371" s="2685"/>
      <c r="J371" s="2854"/>
      <c r="K371" s="2852"/>
      <c r="L371" s="2855"/>
      <c r="M371" s="2855"/>
      <c r="N371" s="2701"/>
      <c r="P371" s="80"/>
    </row>
    <row r="372" spans="1:16" s="27" customFormat="1" ht="17.25" hidden="1" customHeight="1" x14ac:dyDescent="0.25">
      <c r="A372" s="6"/>
      <c r="B372" s="441"/>
      <c r="C372" s="2473" t="s">
        <v>6257</v>
      </c>
      <c r="D372" s="2853">
        <v>152848830</v>
      </c>
      <c r="E372" s="2810">
        <f>D372/D357*100</f>
        <v>0.10084054486743889</v>
      </c>
      <c r="F372" s="4425"/>
      <c r="G372" s="2685"/>
      <c r="H372" s="2685"/>
      <c r="I372" s="2685"/>
      <c r="J372" s="2854"/>
      <c r="K372" s="2852"/>
      <c r="L372" s="896"/>
      <c r="M372" s="896"/>
      <c r="N372" s="2701"/>
      <c r="P372" s="80"/>
    </row>
    <row r="373" spans="1:16" s="27" customFormat="1" ht="16.5" hidden="1" customHeight="1" x14ac:dyDescent="0.25">
      <c r="A373" s="6"/>
      <c r="B373" s="441"/>
      <c r="C373" s="2473" t="s">
        <v>6258</v>
      </c>
      <c r="D373" s="2769">
        <v>13067200</v>
      </c>
      <c r="E373" s="2818">
        <f>D370/D357*100</f>
        <v>3.9447196676048527E-2</v>
      </c>
      <c r="F373" s="4426"/>
      <c r="G373" s="2685"/>
      <c r="H373" s="2685"/>
      <c r="I373" s="2685"/>
      <c r="J373" s="2863"/>
      <c r="K373" s="2852"/>
      <c r="L373" s="896"/>
      <c r="M373" s="896"/>
      <c r="N373" s="2701"/>
      <c r="P373" s="80"/>
    </row>
    <row r="374" spans="1:16" s="27" customFormat="1" ht="18.75" hidden="1" customHeight="1" x14ac:dyDescent="0.25">
      <c r="A374" s="6"/>
      <c r="B374" s="441"/>
      <c r="C374" s="2473" t="s">
        <v>6259</v>
      </c>
      <c r="D374" s="896">
        <v>151569000</v>
      </c>
      <c r="E374" s="2810">
        <f>D371/D365*100</f>
        <v>1.3696109119699806</v>
      </c>
      <c r="F374" s="4414"/>
      <c r="G374" s="2685"/>
      <c r="H374" s="2685"/>
      <c r="I374" s="2685"/>
      <c r="J374" s="2863"/>
      <c r="K374" s="2852"/>
      <c r="L374" s="896"/>
      <c r="M374" s="896"/>
      <c r="N374" s="2701"/>
      <c r="P374" s="80"/>
    </row>
    <row r="375" spans="1:16" s="27" customFormat="1" ht="21" hidden="1" customHeight="1" x14ac:dyDescent="0.25">
      <c r="A375" s="6"/>
      <c r="B375" s="441"/>
      <c r="C375" s="2473" t="s">
        <v>6260</v>
      </c>
      <c r="D375" s="2853">
        <v>3640486103</v>
      </c>
      <c r="E375" s="2810">
        <f>D375/D357*100</f>
        <v>2.4017756773725996</v>
      </c>
      <c r="F375" s="4425"/>
      <c r="G375" s="2685"/>
      <c r="H375" s="2685"/>
      <c r="I375" s="2685"/>
      <c r="J375" s="2854"/>
      <c r="K375" s="2852"/>
      <c r="L375" s="896"/>
      <c r="M375" s="896"/>
      <c r="N375" s="2701"/>
      <c r="P375" s="80"/>
    </row>
    <row r="376" spans="1:16" s="27" customFormat="1" ht="10.5" hidden="1" customHeight="1" x14ac:dyDescent="0.25">
      <c r="A376" s="6"/>
      <c r="B376" s="444"/>
      <c r="C376" s="2517"/>
      <c r="D376" s="2698"/>
      <c r="E376" s="2844"/>
      <c r="F376" s="3876"/>
      <c r="G376" s="2805"/>
      <c r="H376" s="2844"/>
      <c r="I376" s="2805"/>
      <c r="J376" s="2774"/>
      <c r="K376" s="902"/>
      <c r="L376" s="896"/>
      <c r="M376" s="898"/>
      <c r="N376" s="2701"/>
      <c r="P376" s="80"/>
    </row>
    <row r="377" spans="1:16" s="27" customFormat="1" ht="18.75" hidden="1" customHeight="1" x14ac:dyDescent="0.25">
      <c r="A377" s="6"/>
      <c r="B377" s="445"/>
      <c r="C377" s="2474" t="s">
        <v>375</v>
      </c>
      <c r="D377" s="2692">
        <f>SUM(D378:D380)</f>
        <v>1805578700</v>
      </c>
      <c r="E377" s="2813">
        <f>D377/D357*100</f>
        <v>1.1912131738858713</v>
      </c>
      <c r="F377" s="3827"/>
      <c r="G377" s="2684"/>
      <c r="H377" s="2679"/>
      <c r="I377" s="2679"/>
      <c r="J377" s="2775"/>
      <c r="K377" s="2775"/>
      <c r="L377" s="899"/>
      <c r="M377" s="2684"/>
      <c r="N377" s="2865"/>
      <c r="O377" s="541">
        <f>SUM(O378:O380)</f>
        <v>0</v>
      </c>
      <c r="P377" s="632"/>
    </row>
    <row r="378" spans="1:16" s="27" customFormat="1" ht="17.25" hidden="1" customHeight="1" x14ac:dyDescent="0.25">
      <c r="A378" s="6"/>
      <c r="B378" s="441"/>
      <c r="C378" s="2515" t="s">
        <v>376</v>
      </c>
      <c r="D378" s="2709">
        <v>690220000</v>
      </c>
      <c r="E378" s="2818">
        <f>D378/D357*100</f>
        <v>0.4553660036416613</v>
      </c>
      <c r="F378" s="4427"/>
      <c r="G378" s="2685"/>
      <c r="H378" s="2685"/>
      <c r="I378" s="2685"/>
      <c r="J378" s="2866"/>
      <c r="K378" s="2852"/>
      <c r="L378" s="896"/>
      <c r="M378" s="2685"/>
      <c r="N378" s="2701"/>
      <c r="P378" s="80"/>
    </row>
    <row r="379" spans="1:16" s="27" customFormat="1" ht="16.5" hidden="1" customHeight="1" x14ac:dyDescent="0.25">
      <c r="A379" s="6"/>
      <c r="B379" s="441"/>
      <c r="C379" s="2516" t="s">
        <v>6261</v>
      </c>
      <c r="D379" s="896">
        <v>127701880</v>
      </c>
      <c r="E379" s="2810">
        <f>D379/D357*100</f>
        <v>8.4250086571132379E-2</v>
      </c>
      <c r="F379" s="4428"/>
      <c r="G379" s="2685"/>
      <c r="H379" s="2685"/>
      <c r="I379" s="2685"/>
      <c r="J379" s="2867"/>
      <c r="K379" s="2852"/>
      <c r="L379" s="896"/>
      <c r="M379" s="2685"/>
      <c r="N379" s="2701"/>
      <c r="P379" s="80"/>
    </row>
    <row r="380" spans="1:16" s="27" customFormat="1" ht="15.75" hidden="1" customHeight="1" x14ac:dyDescent="0.25">
      <c r="A380" s="6"/>
      <c r="B380" s="441"/>
      <c r="C380" s="2516" t="s">
        <v>6262</v>
      </c>
      <c r="D380" s="896">
        <v>987656820</v>
      </c>
      <c r="E380" s="2810">
        <f>D380/D357*100</f>
        <v>0.65159708367307756</v>
      </c>
      <c r="F380" s="4428"/>
      <c r="G380" s="2685"/>
      <c r="H380" s="2685"/>
      <c r="I380" s="2685"/>
      <c r="J380" s="2867"/>
      <c r="K380" s="2852"/>
      <c r="L380" s="896"/>
      <c r="M380" s="2685"/>
      <c r="N380" s="2701"/>
      <c r="P380" s="80"/>
    </row>
    <row r="381" spans="1:16" s="27" customFormat="1" ht="10.5" hidden="1" customHeight="1" x14ac:dyDescent="0.25">
      <c r="A381" s="6"/>
      <c r="B381" s="441"/>
      <c r="C381" s="2515"/>
      <c r="D381" s="940"/>
      <c r="E381" s="2868"/>
      <c r="F381" s="4429"/>
      <c r="G381" s="2685"/>
      <c r="H381" s="2685"/>
      <c r="I381" s="2805"/>
      <c r="J381" s="2869"/>
      <c r="K381" s="902"/>
      <c r="L381" s="898"/>
      <c r="M381" s="898"/>
      <c r="N381" s="2701"/>
      <c r="P381" s="80"/>
    </row>
    <row r="382" spans="1:16" s="27" customFormat="1" ht="15.75" hidden="1" customHeight="1" x14ac:dyDescent="0.25">
      <c r="A382" s="6"/>
      <c r="B382" s="441"/>
      <c r="C382" s="2477" t="s">
        <v>381</v>
      </c>
      <c r="D382" s="2692">
        <f>SUM(D383:D386)</f>
        <v>1509550852</v>
      </c>
      <c r="E382" s="2813">
        <f>D382/D357*100</f>
        <v>0.99591164957420086</v>
      </c>
      <c r="F382" s="3827"/>
      <c r="G382" s="2684"/>
      <c r="H382" s="2679"/>
      <c r="I382" s="2679"/>
      <c r="J382" s="2775"/>
      <c r="K382" s="2775"/>
      <c r="L382" s="899"/>
      <c r="M382" s="899"/>
      <c r="N382" s="2701"/>
      <c r="P382" s="80"/>
    </row>
    <row r="383" spans="1:16" s="27" customFormat="1" ht="18" hidden="1" customHeight="1" x14ac:dyDescent="0.25">
      <c r="A383" s="6"/>
      <c r="B383" s="441"/>
      <c r="C383" s="2473" t="s">
        <v>6263</v>
      </c>
      <c r="D383" s="2709">
        <v>191035248</v>
      </c>
      <c r="E383" s="2818">
        <f>D383/D357*100</f>
        <v>0.12603366670982249</v>
      </c>
      <c r="F383" s="4430"/>
      <c r="G383" s="2685"/>
      <c r="H383" s="2685"/>
      <c r="I383" s="2685"/>
      <c r="J383" s="2871"/>
      <c r="K383" s="2852"/>
      <c r="L383" s="2855"/>
      <c r="M383" s="2855"/>
      <c r="N383" s="2701"/>
      <c r="P383" s="80"/>
    </row>
    <row r="384" spans="1:16" s="27" customFormat="1" ht="28.5" hidden="1" customHeight="1" x14ac:dyDescent="0.25">
      <c r="A384" s="6"/>
      <c r="B384" s="441"/>
      <c r="C384" s="2473" t="s">
        <v>6264</v>
      </c>
      <c r="D384" s="2853">
        <v>279591000</v>
      </c>
      <c r="E384" s="2810">
        <f>D384/D357*100</f>
        <v>0.18445747200048643</v>
      </c>
      <c r="F384" s="4425"/>
      <c r="G384" s="2685"/>
      <c r="H384" s="2685"/>
      <c r="I384" s="2685"/>
      <c r="J384" s="2854"/>
      <c r="K384" s="2852"/>
      <c r="L384" s="896"/>
      <c r="M384" s="2685"/>
      <c r="N384" s="2701"/>
      <c r="P384" s="80"/>
    </row>
    <row r="385" spans="1:16" s="27" customFormat="1" ht="21" hidden="1" customHeight="1" x14ac:dyDescent="0.25">
      <c r="A385" s="6"/>
      <c r="B385" s="441"/>
      <c r="C385" s="2473" t="s">
        <v>6265</v>
      </c>
      <c r="D385" s="2853">
        <v>810150000</v>
      </c>
      <c r="E385" s="2810">
        <f>D385/D357*100</f>
        <v>0.53448866716451549</v>
      </c>
      <c r="F385" s="4425"/>
      <c r="G385" s="2685"/>
      <c r="H385" s="2685"/>
      <c r="I385" s="2685"/>
      <c r="J385" s="2854"/>
      <c r="K385" s="2852"/>
      <c r="L385" s="2855"/>
      <c r="M385" s="2855"/>
      <c r="N385" s="2701"/>
      <c r="P385" s="80"/>
    </row>
    <row r="386" spans="1:16" s="27" customFormat="1" ht="29.25" hidden="1" customHeight="1" x14ac:dyDescent="0.25">
      <c r="A386" s="6"/>
      <c r="B386" s="441"/>
      <c r="C386" s="2473" t="s">
        <v>6266</v>
      </c>
      <c r="D386" s="2706">
        <v>228774604</v>
      </c>
      <c r="E386" s="2810">
        <f>D386/D357*100</f>
        <v>0.15093184369937646</v>
      </c>
      <c r="F386" s="4431"/>
      <c r="G386" s="2728"/>
      <c r="H386" s="2820"/>
      <c r="I386" s="2728"/>
      <c r="J386" s="2872"/>
      <c r="K386" s="902"/>
      <c r="L386" s="896"/>
      <c r="M386" s="898"/>
      <c r="N386" s="2701"/>
      <c r="P386" s="80"/>
    </row>
    <row r="387" spans="1:16" s="27" customFormat="1" ht="10.5" hidden="1" customHeight="1" x14ac:dyDescent="0.25">
      <c r="A387" s="6"/>
      <c r="B387" s="441"/>
      <c r="C387" s="2473"/>
      <c r="D387" s="2706"/>
      <c r="E387" s="2820"/>
      <c r="F387" s="4431"/>
      <c r="G387" s="2728"/>
      <c r="H387" s="2820"/>
      <c r="I387" s="2728"/>
      <c r="J387" s="2872"/>
      <c r="K387" s="2755"/>
      <c r="L387" s="896"/>
      <c r="M387" s="898"/>
      <c r="N387" s="2701"/>
      <c r="P387" s="80"/>
    </row>
    <row r="388" spans="1:16" s="27" customFormat="1" ht="18.75" hidden="1" customHeight="1" x14ac:dyDescent="0.25">
      <c r="A388" s="6"/>
      <c r="B388" s="441"/>
      <c r="C388" s="2474" t="s">
        <v>385</v>
      </c>
      <c r="D388" s="2712">
        <f>SUM(D389:D395)</f>
        <v>2122199200</v>
      </c>
      <c r="E388" s="2873">
        <f>D388/D357*100</f>
        <v>1.4001005022102095</v>
      </c>
      <c r="F388" s="3847"/>
      <c r="G388" s="2874"/>
      <c r="H388" s="2679"/>
      <c r="I388" s="2679"/>
      <c r="J388" s="2875"/>
      <c r="K388" s="2875"/>
      <c r="L388" s="899"/>
      <c r="M388" s="899"/>
      <c r="N388" s="2701"/>
      <c r="P388" s="80"/>
    </row>
    <row r="389" spans="1:16" s="27" customFormat="1" ht="18" hidden="1" customHeight="1" x14ac:dyDescent="0.25">
      <c r="A389" s="6"/>
      <c r="B389" s="441"/>
      <c r="C389" s="2473" t="s">
        <v>386</v>
      </c>
      <c r="D389" s="2709">
        <v>600347600</v>
      </c>
      <c r="E389" s="2818">
        <f>D389/D357*100</f>
        <v>0.39607355250190179</v>
      </c>
      <c r="F389" s="4430"/>
      <c r="G389" s="2685"/>
      <c r="H389" s="2685"/>
      <c r="I389" s="2685"/>
      <c r="J389" s="2871"/>
      <c r="K389" s="2852"/>
      <c r="L389" s="896"/>
      <c r="M389" s="896"/>
      <c r="N389" s="2701"/>
      <c r="P389" s="80"/>
    </row>
    <row r="390" spans="1:16" s="27" customFormat="1" ht="15.75" hidden="1" customHeight="1" x14ac:dyDescent="0.25">
      <c r="A390" s="6"/>
      <c r="B390" s="441"/>
      <c r="C390" s="2473" t="s">
        <v>6267</v>
      </c>
      <c r="D390" s="2709">
        <v>179671600</v>
      </c>
      <c r="E390" s="2818">
        <f>D390/D357*100</f>
        <v>0.11853660928385604</v>
      </c>
      <c r="F390" s="4430"/>
      <c r="G390" s="2685"/>
      <c r="H390" s="2685"/>
      <c r="I390" s="2685"/>
      <c r="J390" s="2871"/>
      <c r="K390" s="2852"/>
      <c r="L390" s="2855"/>
      <c r="M390" s="2855"/>
      <c r="N390" s="2701"/>
      <c r="P390" s="80"/>
    </row>
    <row r="391" spans="1:16" s="27" customFormat="1" ht="15" hidden="1" customHeight="1" x14ac:dyDescent="0.25">
      <c r="A391" s="6"/>
      <c r="B391" s="441"/>
      <c r="C391" s="2473" t="s">
        <v>6268</v>
      </c>
      <c r="D391" s="2853">
        <v>194412000</v>
      </c>
      <c r="E391" s="2818">
        <f>D391/D357*100</f>
        <v>0.12826144635041387</v>
      </c>
      <c r="F391" s="4425"/>
      <c r="G391" s="2685"/>
      <c r="H391" s="2685"/>
      <c r="I391" s="2685"/>
      <c r="J391" s="2854"/>
      <c r="K391" s="2852"/>
      <c r="L391" s="896"/>
      <c r="M391" s="2685"/>
      <c r="N391" s="2701"/>
      <c r="P391" s="80"/>
    </row>
    <row r="392" spans="1:16" s="27" customFormat="1" ht="16.5" hidden="1" customHeight="1" x14ac:dyDescent="0.25">
      <c r="A392" s="6"/>
      <c r="B392" s="441"/>
      <c r="C392" s="2473" t="s">
        <v>6269</v>
      </c>
      <c r="D392" s="2853">
        <v>393178200</v>
      </c>
      <c r="E392" s="2818">
        <f>D392/D357*100</f>
        <v>0.25939553425432738</v>
      </c>
      <c r="F392" s="4425"/>
      <c r="G392" s="2685"/>
      <c r="H392" s="2685"/>
      <c r="I392" s="2685"/>
      <c r="J392" s="2854"/>
      <c r="K392" s="2852"/>
      <c r="L392" s="896"/>
      <c r="M392" s="2685"/>
      <c r="N392" s="2701"/>
      <c r="P392" s="80"/>
    </row>
    <row r="393" spans="1:16" s="27" customFormat="1" ht="15.75" hidden="1" customHeight="1" x14ac:dyDescent="0.25">
      <c r="A393" s="6"/>
      <c r="B393" s="441"/>
      <c r="C393" s="2473" t="s">
        <v>6270</v>
      </c>
      <c r="D393" s="2853">
        <v>125066800</v>
      </c>
      <c r="E393" s="2818">
        <f>D393/D357*100</f>
        <v>8.2511617896106934E-2</v>
      </c>
      <c r="F393" s="4425"/>
      <c r="G393" s="2685"/>
      <c r="H393" s="2685"/>
      <c r="I393" s="2685"/>
      <c r="J393" s="2854"/>
      <c r="K393" s="2852"/>
      <c r="L393" s="896"/>
      <c r="M393" s="2685"/>
      <c r="N393" s="2701"/>
      <c r="P393" s="80"/>
    </row>
    <row r="394" spans="1:16" s="27" customFormat="1" ht="18.75" hidden="1" customHeight="1" x14ac:dyDescent="0.25">
      <c r="A394" s="6"/>
      <c r="B394" s="441"/>
      <c r="C394" s="2473" t="s">
        <v>6271</v>
      </c>
      <c r="D394" s="2853">
        <v>220000000</v>
      </c>
      <c r="E394" s="2818">
        <f>D394/D357*100</f>
        <v>0.14514288314039797</v>
      </c>
      <c r="F394" s="4425"/>
      <c r="G394" s="2685"/>
      <c r="H394" s="2685"/>
      <c r="I394" s="2685"/>
      <c r="J394" s="2854"/>
      <c r="K394" s="2852"/>
      <c r="L394" s="2855"/>
      <c r="M394" s="2855"/>
      <c r="N394" s="2701"/>
      <c r="P394" s="80"/>
    </row>
    <row r="395" spans="1:16" s="27" customFormat="1" ht="30.75" hidden="1" customHeight="1" x14ac:dyDescent="0.25">
      <c r="A395" s="6"/>
      <c r="B395" s="441"/>
      <c r="C395" s="2473" t="s">
        <v>6272</v>
      </c>
      <c r="D395" s="2853">
        <v>409523000</v>
      </c>
      <c r="E395" s="2810">
        <f>D395/D357*100</f>
        <v>0.27017885878320547</v>
      </c>
      <c r="F395" s="4425"/>
      <c r="G395" s="2685"/>
      <c r="H395" s="2685"/>
      <c r="I395" s="2685"/>
      <c r="J395" s="2856"/>
      <c r="K395" s="2852"/>
      <c r="L395" s="896"/>
      <c r="M395" s="2685"/>
      <c r="N395" s="2701"/>
      <c r="P395" s="80"/>
    </row>
    <row r="396" spans="1:16" s="27" customFormat="1" ht="9.75" hidden="1" customHeight="1" x14ac:dyDescent="0.25">
      <c r="A396" s="6"/>
      <c r="B396" s="441"/>
      <c r="C396" s="2476"/>
      <c r="D396" s="2682"/>
      <c r="E396" s="2840"/>
      <c r="F396" s="4432"/>
      <c r="G396" s="2708"/>
      <c r="H396" s="2708"/>
      <c r="I396" s="2708"/>
      <c r="J396" s="2856"/>
      <c r="K396" s="2834"/>
      <c r="L396" s="2708"/>
      <c r="M396" s="2708"/>
      <c r="N396" s="2701"/>
      <c r="P396" s="80"/>
    </row>
    <row r="397" spans="1:16" s="27" customFormat="1" ht="18" hidden="1" customHeight="1" x14ac:dyDescent="0.25">
      <c r="A397" s="6"/>
      <c r="B397" s="441"/>
      <c r="C397" s="2474" t="s">
        <v>6251</v>
      </c>
      <c r="D397" s="2812">
        <f>SUM(D398:D398)</f>
        <v>397600000</v>
      </c>
      <c r="E397" s="2873">
        <f>D397/D357*100</f>
        <v>0.26231277425737382</v>
      </c>
      <c r="F397" s="3846"/>
      <c r="G397" s="2679"/>
      <c r="H397" s="2679"/>
      <c r="I397" s="2679"/>
      <c r="J397" s="2861"/>
      <c r="K397" s="2694"/>
      <c r="L397" s="2679"/>
      <c r="M397" s="2679"/>
      <c r="N397" s="2701"/>
      <c r="P397" s="80"/>
    </row>
    <row r="398" spans="1:16" s="27" customFormat="1" ht="17.25" hidden="1" customHeight="1" x14ac:dyDescent="0.25">
      <c r="A398" s="6"/>
      <c r="B398" s="441"/>
      <c r="C398" s="2473" t="s">
        <v>6273</v>
      </c>
      <c r="D398" s="2853">
        <v>397600000</v>
      </c>
      <c r="E398" s="2818">
        <f>D398/D357*100</f>
        <v>0.26231277425737382</v>
      </c>
      <c r="F398" s="4425"/>
      <c r="G398" s="2685"/>
      <c r="H398" s="2685"/>
      <c r="I398" s="2685"/>
      <c r="J398" s="2854"/>
      <c r="K398" s="2852"/>
      <c r="L398" s="2855"/>
      <c r="M398" s="2855"/>
      <c r="N398" s="2701"/>
      <c r="P398" s="80"/>
    </row>
    <row r="399" spans="1:16" s="27" customFormat="1" ht="12.75" hidden="1" customHeight="1" x14ac:dyDescent="0.25">
      <c r="A399" s="6"/>
      <c r="B399" s="441"/>
      <c r="C399" s="2473"/>
      <c r="D399" s="2853"/>
      <c r="E399" s="2810"/>
      <c r="F399" s="4425"/>
      <c r="G399" s="2685"/>
      <c r="H399" s="2685"/>
      <c r="I399" s="2685"/>
      <c r="J399" s="2854"/>
      <c r="K399" s="2731"/>
      <c r="L399" s="2685"/>
      <c r="M399" s="2685"/>
      <c r="N399" s="2701"/>
      <c r="P399" s="80"/>
    </row>
    <row r="400" spans="1:16" s="27" customFormat="1" ht="18.75" hidden="1" customHeight="1" x14ac:dyDescent="0.25">
      <c r="A400" s="6"/>
      <c r="B400" s="441"/>
      <c r="C400" s="2474" t="s">
        <v>1051</v>
      </c>
      <c r="D400" s="2812">
        <f>SUM(D401:D401)</f>
        <v>459425000</v>
      </c>
      <c r="E400" s="2873">
        <f>D400/D357*100</f>
        <v>0.30310122312171517</v>
      </c>
      <c r="F400" s="3846"/>
      <c r="G400" s="2679"/>
      <c r="H400" s="2679"/>
      <c r="I400" s="2679"/>
      <c r="J400" s="2861"/>
      <c r="K400" s="2876"/>
      <c r="L400" s="899"/>
      <c r="M400" s="2679"/>
      <c r="N400" s="2701"/>
      <c r="P400" s="80"/>
    </row>
    <row r="401" spans="1:16" s="27" customFormat="1" ht="18.75" hidden="1" customHeight="1" x14ac:dyDescent="0.25">
      <c r="A401" s="6"/>
      <c r="B401" s="441"/>
      <c r="C401" s="2473" t="s">
        <v>6274</v>
      </c>
      <c r="D401" s="2853">
        <v>459425000</v>
      </c>
      <c r="E401" s="2810">
        <f>D401/D357*100</f>
        <v>0.30310122312171517</v>
      </c>
      <c r="F401" s="4425"/>
      <c r="G401" s="2685"/>
      <c r="H401" s="2685"/>
      <c r="I401" s="2685"/>
      <c r="J401" s="2854"/>
      <c r="K401" s="2852"/>
      <c r="L401" s="896"/>
      <c r="M401" s="2685"/>
      <c r="N401" s="2701"/>
      <c r="P401" s="80"/>
    </row>
    <row r="402" spans="1:16" ht="13.5" hidden="1" customHeight="1" x14ac:dyDescent="0.25">
      <c r="B402" s="441"/>
      <c r="C402" s="2475"/>
      <c r="D402" s="2682"/>
      <c r="E402" s="2840"/>
      <c r="F402" s="4432"/>
      <c r="G402" s="2830"/>
      <c r="H402" s="2830"/>
      <c r="I402" s="2830"/>
      <c r="J402" s="2856"/>
      <c r="K402" s="2834"/>
      <c r="L402" s="2830"/>
      <c r="M402" s="2830"/>
      <c r="N402" s="2877"/>
    </row>
    <row r="403" spans="1:16" s="27" customFormat="1" ht="18.75" hidden="1" customHeight="1" x14ac:dyDescent="0.25">
      <c r="A403" s="6"/>
      <c r="B403" s="440"/>
      <c r="C403" s="2471" t="s">
        <v>398</v>
      </c>
      <c r="D403" s="2669">
        <f>SUM(D404+D407+D417+D421+D424+D427+D431+D436+D441+D445)</f>
        <v>20935081510</v>
      </c>
      <c r="E403" s="2786">
        <f>D403/D357*100</f>
        <v>13.811718587002893</v>
      </c>
      <c r="F403" s="3826"/>
      <c r="G403" s="2718"/>
      <c r="H403" s="2719"/>
      <c r="I403" s="2719"/>
      <c r="J403" s="2770"/>
      <c r="K403" s="2770"/>
      <c r="L403" s="2672"/>
      <c r="M403" s="2719"/>
      <c r="N403" s="2701"/>
      <c r="P403" s="80"/>
    </row>
    <row r="404" spans="1:16" s="27" customFormat="1" ht="18" hidden="1" customHeight="1" x14ac:dyDescent="0.25">
      <c r="A404" s="6"/>
      <c r="B404" s="441"/>
      <c r="C404" s="2478" t="s">
        <v>91</v>
      </c>
      <c r="D404" s="2721">
        <f>D405</f>
        <v>242778500</v>
      </c>
      <c r="E404" s="2873">
        <f>D404/D357*100</f>
        <v>0.16017077933864141</v>
      </c>
      <c r="F404" s="3828"/>
      <c r="G404" s="2722"/>
      <c r="H404" s="2722"/>
      <c r="I404" s="2722"/>
      <c r="J404" s="2788"/>
      <c r="K404" s="2723"/>
      <c r="L404" s="2722"/>
      <c r="M404" s="2722"/>
      <c r="N404" s="2701"/>
      <c r="P404" s="80"/>
    </row>
    <row r="405" spans="1:16" s="27" customFormat="1" ht="16.5" hidden="1" customHeight="1" x14ac:dyDescent="0.25">
      <c r="A405" s="6"/>
      <c r="B405" s="441"/>
      <c r="C405" s="2473" t="s">
        <v>399</v>
      </c>
      <c r="D405" s="896">
        <v>242778500</v>
      </c>
      <c r="E405" s="2810">
        <f>D405/D357*100</f>
        <v>0.16017077933864141</v>
      </c>
      <c r="F405" s="3868"/>
      <c r="G405" s="2685"/>
      <c r="H405" s="2685"/>
      <c r="I405" s="2685"/>
      <c r="J405" s="2851"/>
      <c r="K405" s="2852"/>
      <c r="L405" s="2855"/>
      <c r="M405" s="2855"/>
      <c r="N405" s="2701"/>
      <c r="P405" s="80"/>
    </row>
    <row r="406" spans="1:16" s="27" customFormat="1" ht="10.5" hidden="1" customHeight="1" x14ac:dyDescent="0.25">
      <c r="A406" s="6"/>
      <c r="B406" s="441"/>
      <c r="C406" s="2474"/>
      <c r="D406" s="2755"/>
      <c r="E406" s="2879"/>
      <c r="F406" s="3860"/>
      <c r="G406" s="2804"/>
      <c r="H406" s="2804"/>
      <c r="I406" s="2804"/>
      <c r="J406" s="2881"/>
      <c r="K406" s="2700"/>
      <c r="L406" s="2685"/>
      <c r="M406" s="2685"/>
      <c r="N406" s="2701"/>
      <c r="P406" s="80"/>
    </row>
    <row r="407" spans="1:16" s="27" customFormat="1" ht="15.75" hidden="1" customHeight="1" x14ac:dyDescent="0.25">
      <c r="A407" s="6"/>
      <c r="B407" s="441"/>
      <c r="C407" s="2474" t="s">
        <v>93</v>
      </c>
      <c r="D407" s="2712">
        <f>SUM(D408:D415)</f>
        <v>2459688950</v>
      </c>
      <c r="E407" s="2873">
        <f>D407/D357*100</f>
        <v>1.6227561174162644</v>
      </c>
      <c r="F407" s="3847"/>
      <c r="G407" s="2874"/>
      <c r="H407" s="2679"/>
      <c r="I407" s="2679"/>
      <c r="J407" s="2875"/>
      <c r="K407" s="2875"/>
      <c r="L407" s="899"/>
      <c r="M407" s="899"/>
      <c r="N407" s="2701"/>
      <c r="P407" s="80"/>
    </row>
    <row r="408" spans="1:16" s="27" customFormat="1" ht="17.25" hidden="1" customHeight="1" x14ac:dyDescent="0.25">
      <c r="A408" s="6"/>
      <c r="B408" s="441"/>
      <c r="C408" s="2473" t="s">
        <v>6278</v>
      </c>
      <c r="D408" s="2709">
        <v>75000000</v>
      </c>
      <c r="E408" s="2818">
        <f>D408/D357*100</f>
        <v>4.9480528343317488E-2</v>
      </c>
      <c r="F408" s="4430"/>
      <c r="G408" s="2685"/>
      <c r="H408" s="2685"/>
      <c r="I408" s="2685"/>
      <c r="J408" s="2871"/>
      <c r="K408" s="2852"/>
      <c r="L408" s="896"/>
      <c r="M408" s="896"/>
      <c r="N408" s="2701"/>
      <c r="P408" s="80"/>
    </row>
    <row r="409" spans="1:16" s="27" customFormat="1" ht="18" hidden="1" customHeight="1" x14ac:dyDescent="0.25">
      <c r="A409" s="6"/>
      <c r="B409" s="441"/>
      <c r="C409" s="2473" t="s">
        <v>6279</v>
      </c>
      <c r="D409" s="2706">
        <v>150000000</v>
      </c>
      <c r="E409" s="2818">
        <f>D409/D357*100</f>
        <v>9.8961056686634977E-2</v>
      </c>
      <c r="F409" s="4431"/>
      <c r="G409" s="2685"/>
      <c r="H409" s="2685"/>
      <c r="I409" s="2685"/>
      <c r="J409" s="2872"/>
      <c r="K409" s="2731"/>
      <c r="L409" s="2685"/>
      <c r="M409" s="2685"/>
      <c r="N409" s="2701"/>
      <c r="P409" s="80"/>
    </row>
    <row r="410" spans="1:16" s="27" customFormat="1" ht="18" hidden="1" customHeight="1" x14ac:dyDescent="0.25">
      <c r="A410" s="6"/>
      <c r="B410" s="441"/>
      <c r="C410" s="2473" t="s">
        <v>6280</v>
      </c>
      <c r="D410" s="2706">
        <v>75000000</v>
      </c>
      <c r="E410" s="2818">
        <f>D410/D357*100</f>
        <v>4.9480528343317488E-2</v>
      </c>
      <c r="F410" s="4431"/>
      <c r="G410" s="2708"/>
      <c r="H410" s="2685"/>
      <c r="I410" s="2685"/>
      <c r="J410" s="2872"/>
      <c r="K410" s="2700"/>
      <c r="L410" s="2685"/>
      <c r="M410" s="2685"/>
      <c r="N410" s="2701"/>
      <c r="P410" s="80"/>
    </row>
    <row r="411" spans="1:16" s="27" customFormat="1" ht="18" hidden="1" customHeight="1" x14ac:dyDescent="0.25">
      <c r="A411" s="6"/>
      <c r="B411" s="441"/>
      <c r="C411" s="2473" t="s">
        <v>6281</v>
      </c>
      <c r="D411" s="2706">
        <v>409400000</v>
      </c>
      <c r="E411" s="2818">
        <f>D411/D357*100</f>
        <v>0.27009771071672239</v>
      </c>
      <c r="F411" s="4431"/>
      <c r="G411" s="2708"/>
      <c r="H411" s="2685"/>
      <c r="I411" s="2685"/>
      <c r="J411" s="2872"/>
      <c r="K411" s="2700"/>
      <c r="L411" s="2685"/>
      <c r="M411" s="2685"/>
      <c r="N411" s="2701"/>
      <c r="P411" s="80"/>
    </row>
    <row r="412" spans="1:16" s="27" customFormat="1" ht="18" hidden="1" customHeight="1" x14ac:dyDescent="0.25">
      <c r="A412" s="6"/>
      <c r="B412" s="441"/>
      <c r="C412" s="2473" t="s">
        <v>6282</v>
      </c>
      <c r="D412" s="2706">
        <v>343060000</v>
      </c>
      <c r="E412" s="2818">
        <f>D412/D357*100</f>
        <v>0.22633053404611331</v>
      </c>
      <c r="F412" s="4431"/>
      <c r="G412" s="2708"/>
      <c r="H412" s="2685"/>
      <c r="I412" s="2685"/>
      <c r="J412" s="2872"/>
      <c r="K412" s="2700"/>
      <c r="L412" s="2685"/>
      <c r="M412" s="2685"/>
      <c r="N412" s="2701"/>
      <c r="P412" s="80"/>
    </row>
    <row r="413" spans="1:16" s="27" customFormat="1" ht="16.5" hidden="1" customHeight="1" x14ac:dyDescent="0.25">
      <c r="A413" s="6"/>
      <c r="B413" s="441"/>
      <c r="C413" s="2473" t="s">
        <v>6283</v>
      </c>
      <c r="D413" s="2706">
        <v>41199750</v>
      </c>
      <c r="E413" s="2818">
        <f>D413/D357*100</f>
        <v>2.7181138634834602E-2</v>
      </c>
      <c r="F413" s="4431"/>
      <c r="G413" s="2708"/>
      <c r="H413" s="2685"/>
      <c r="I413" s="2685"/>
      <c r="J413" s="2872"/>
      <c r="K413" s="2700"/>
      <c r="L413" s="2685"/>
      <c r="M413" s="2685"/>
      <c r="N413" s="2701"/>
      <c r="P413" s="80"/>
    </row>
    <row r="414" spans="1:16" s="27" customFormat="1" ht="18" hidden="1" customHeight="1" x14ac:dyDescent="0.25">
      <c r="A414" s="6"/>
      <c r="B414" s="441"/>
      <c r="C414" s="2473" t="s">
        <v>6284</v>
      </c>
      <c r="D414" s="2706">
        <v>1051809200</v>
      </c>
      <c r="E414" s="2818">
        <f>D414/D357*100</f>
        <v>0.6939209990981613</v>
      </c>
      <c r="F414" s="4431"/>
      <c r="G414" s="2708"/>
      <c r="H414" s="2685"/>
      <c r="I414" s="2685"/>
      <c r="J414" s="2872"/>
      <c r="K414" s="2700"/>
      <c r="L414" s="2685"/>
      <c r="M414" s="2685"/>
      <c r="N414" s="2701"/>
      <c r="P414" s="80"/>
    </row>
    <row r="415" spans="1:16" s="27" customFormat="1" ht="18" hidden="1" customHeight="1" x14ac:dyDescent="0.25">
      <c r="A415" s="6"/>
      <c r="B415" s="441"/>
      <c r="C415" s="2473" t="s">
        <v>6285</v>
      </c>
      <c r="D415" s="2706">
        <v>314220000</v>
      </c>
      <c r="E415" s="2818">
        <f>D415/D357*100</f>
        <v>0.20730362154716295</v>
      </c>
      <c r="F415" s="4431"/>
      <c r="G415" s="2708"/>
      <c r="H415" s="2685"/>
      <c r="I415" s="2685"/>
      <c r="J415" s="2872"/>
      <c r="K415" s="2700"/>
      <c r="L415" s="2685"/>
      <c r="M415" s="2685"/>
      <c r="N415" s="2701"/>
      <c r="P415" s="80"/>
    </row>
    <row r="416" spans="1:16" s="27" customFormat="1" ht="9.75" hidden="1" customHeight="1" x14ac:dyDescent="0.25">
      <c r="A416" s="6"/>
      <c r="B416" s="441"/>
      <c r="C416" s="2474"/>
      <c r="D416" s="2706"/>
      <c r="E416" s="2818"/>
      <c r="F416" s="4431"/>
      <c r="G416" s="2708"/>
      <c r="H416" s="2685"/>
      <c r="I416" s="2685"/>
      <c r="J416" s="2872"/>
      <c r="K416" s="2834"/>
      <c r="L416" s="2685"/>
      <c r="M416" s="2685"/>
      <c r="N416" s="2701"/>
      <c r="P416" s="80"/>
    </row>
    <row r="417" spans="1:16" s="27" customFormat="1" ht="18" hidden="1" customHeight="1" x14ac:dyDescent="0.25">
      <c r="A417" s="6"/>
      <c r="B417" s="441"/>
      <c r="C417" s="2474" t="s">
        <v>6275</v>
      </c>
      <c r="D417" s="2712">
        <f>SUM(D418:D419)</f>
        <v>289650000</v>
      </c>
      <c r="E417" s="2873">
        <f>D417/D357*100</f>
        <v>0.19109380046189217</v>
      </c>
      <c r="F417" s="3847"/>
      <c r="G417" s="2874"/>
      <c r="H417" s="2679"/>
      <c r="I417" s="2679"/>
      <c r="J417" s="2875"/>
      <c r="K417" s="2875"/>
      <c r="L417" s="899"/>
      <c r="M417" s="2679"/>
      <c r="N417" s="2701"/>
      <c r="P417" s="80"/>
    </row>
    <row r="418" spans="1:16" s="27" customFormat="1" ht="30.75" hidden="1" customHeight="1" x14ac:dyDescent="0.25">
      <c r="A418" s="6"/>
      <c r="B418" s="441"/>
      <c r="C418" s="2473" t="s">
        <v>6286</v>
      </c>
      <c r="D418" s="2709">
        <v>112210000</v>
      </c>
      <c r="E418" s="2818">
        <f>D418/D357*100</f>
        <v>7.4029467805382068E-2</v>
      </c>
      <c r="F418" s="4430"/>
      <c r="G418" s="2685"/>
      <c r="H418" s="2685"/>
      <c r="I418" s="2685"/>
      <c r="J418" s="2871"/>
      <c r="K418" s="2852"/>
      <c r="L418" s="2855"/>
      <c r="M418" s="2855"/>
      <c r="N418" s="2701"/>
      <c r="P418" s="80"/>
    </row>
    <row r="419" spans="1:16" s="27" customFormat="1" ht="18.75" hidden="1" customHeight="1" x14ac:dyDescent="0.25">
      <c r="A419" s="6"/>
      <c r="B419" s="441"/>
      <c r="C419" s="2473" t="s">
        <v>6287</v>
      </c>
      <c r="D419" s="2709">
        <v>177440000</v>
      </c>
      <c r="E419" s="2818">
        <f>D419/D357*100</f>
        <v>0.11706433265651008</v>
      </c>
      <c r="F419" s="4430"/>
      <c r="G419" s="2685"/>
      <c r="H419" s="2685"/>
      <c r="I419" s="2685"/>
      <c r="J419" s="2871"/>
      <c r="K419" s="2852"/>
      <c r="L419" s="896"/>
      <c r="M419" s="2685"/>
      <c r="N419" s="2701"/>
      <c r="P419" s="80"/>
    </row>
    <row r="420" spans="1:16" s="27" customFormat="1" ht="10.5" hidden="1" customHeight="1" x14ac:dyDescent="0.25">
      <c r="A420" s="6"/>
      <c r="B420" s="441"/>
      <c r="C420" s="2473"/>
      <c r="D420" s="2709"/>
      <c r="E420" s="2818"/>
      <c r="F420" s="4430"/>
      <c r="G420" s="2685"/>
      <c r="H420" s="2685"/>
      <c r="I420" s="2685"/>
      <c r="J420" s="2871"/>
      <c r="K420" s="2700"/>
      <c r="L420" s="2685"/>
      <c r="M420" s="2685"/>
      <c r="N420" s="2701"/>
      <c r="P420" s="80"/>
    </row>
    <row r="421" spans="1:16" s="27" customFormat="1" ht="18" hidden="1" customHeight="1" x14ac:dyDescent="0.25">
      <c r="A421" s="6"/>
      <c r="B421" s="441"/>
      <c r="C421" s="2474" t="s">
        <v>6276</v>
      </c>
      <c r="D421" s="2767">
        <f>SUM(D422:D422)</f>
        <v>150000000</v>
      </c>
      <c r="E421" s="2873">
        <f>D421/D357*100</f>
        <v>9.8961056686634977E-2</v>
      </c>
      <c r="F421" s="3849"/>
      <c r="G421" s="2679"/>
      <c r="H421" s="2679"/>
      <c r="I421" s="2679"/>
      <c r="J421" s="2882"/>
      <c r="K421" s="2694"/>
      <c r="L421" s="2679"/>
      <c r="M421" s="2679"/>
      <c r="N421" s="2701"/>
      <c r="P421" s="80"/>
    </row>
    <row r="422" spans="1:16" s="27" customFormat="1" ht="18" hidden="1" customHeight="1" x14ac:dyDescent="0.25">
      <c r="A422" s="6"/>
      <c r="B422" s="441"/>
      <c r="C422" s="2473" t="s">
        <v>6288</v>
      </c>
      <c r="D422" s="2706">
        <v>150000000</v>
      </c>
      <c r="E422" s="2818">
        <f>D422/D357*100</f>
        <v>9.8961056686634977E-2</v>
      </c>
      <c r="F422" s="4431"/>
      <c r="G422" s="2685"/>
      <c r="H422" s="2685"/>
      <c r="I422" s="2685"/>
      <c r="J422" s="2872"/>
      <c r="K422" s="2852"/>
      <c r="L422" s="2855"/>
      <c r="M422" s="2855"/>
      <c r="N422" s="2701"/>
      <c r="P422" s="80"/>
    </row>
    <row r="423" spans="1:16" s="27" customFormat="1" ht="10.5" hidden="1" customHeight="1" x14ac:dyDescent="0.25">
      <c r="A423" s="6"/>
      <c r="B423" s="441"/>
      <c r="C423" s="2517"/>
      <c r="D423" s="2706"/>
      <c r="E423" s="2818"/>
      <c r="F423" s="4431"/>
      <c r="G423" s="2685"/>
      <c r="H423" s="2685"/>
      <c r="I423" s="2685"/>
      <c r="J423" s="2872"/>
      <c r="K423" s="2731"/>
      <c r="L423" s="2685"/>
      <c r="M423" s="2685"/>
      <c r="N423" s="2701"/>
      <c r="P423" s="80"/>
    </row>
    <row r="424" spans="1:16" s="27" customFormat="1" ht="22.5" hidden="1" customHeight="1" x14ac:dyDescent="0.25">
      <c r="A424" s="6"/>
      <c r="B424" s="441"/>
      <c r="C424" s="2474" t="s">
        <v>6277</v>
      </c>
      <c r="D424" s="2767">
        <f>D425</f>
        <v>274000000</v>
      </c>
      <c r="E424" s="2873">
        <f>D424/D357*100</f>
        <v>0.18076886354758656</v>
      </c>
      <c r="F424" s="3849"/>
      <c r="G424" s="2679"/>
      <c r="H424" s="2679"/>
      <c r="I424" s="2679"/>
      <c r="J424" s="2882"/>
      <c r="K424" s="2883"/>
      <c r="L424" s="899"/>
      <c r="M424" s="2884"/>
      <c r="N424" s="2885"/>
      <c r="O424" s="11">
        <f>SUM(O425:O425)</f>
        <v>0</v>
      </c>
      <c r="P424" s="633"/>
    </row>
    <row r="425" spans="1:16" s="27" customFormat="1" ht="18" hidden="1" customHeight="1" x14ac:dyDescent="0.25">
      <c r="A425" s="6"/>
      <c r="B425" s="441"/>
      <c r="C425" s="2473" t="s">
        <v>6289</v>
      </c>
      <c r="D425" s="896">
        <v>274000000</v>
      </c>
      <c r="E425" s="2810">
        <f>D425/D357*100</f>
        <v>0.18076886354758656</v>
      </c>
      <c r="F425" s="3868"/>
      <c r="G425" s="2685"/>
      <c r="H425" s="2685"/>
      <c r="I425" s="2685"/>
      <c r="J425" s="2871"/>
      <c r="K425" s="2852"/>
      <c r="L425" s="2855"/>
      <c r="M425" s="2855"/>
      <c r="N425" s="2701"/>
      <c r="P425" s="80"/>
    </row>
    <row r="426" spans="1:16" s="27" customFormat="1" ht="8.25" hidden="1" customHeight="1" x14ac:dyDescent="0.25">
      <c r="A426" s="6"/>
      <c r="B426" s="441"/>
      <c r="C426" s="2475"/>
      <c r="D426" s="2769"/>
      <c r="E426" s="2810"/>
      <c r="F426" s="3872"/>
      <c r="G426" s="2708"/>
      <c r="H426" s="2708"/>
      <c r="I426" s="2708"/>
      <c r="J426" s="2913"/>
      <c r="K426" s="2922"/>
      <c r="L426" s="2923"/>
      <c r="M426" s="2923"/>
      <c r="N426" s="2701"/>
      <c r="P426" s="80"/>
    </row>
    <row r="427" spans="1:16" s="27" customFormat="1" ht="20.25" hidden="1" customHeight="1" x14ac:dyDescent="0.25">
      <c r="A427" s="6"/>
      <c r="B427" s="441"/>
      <c r="C427" s="2474" t="s">
        <v>6290</v>
      </c>
      <c r="D427" s="899">
        <f>SUM(D428:D429)</f>
        <v>1433250000</v>
      </c>
      <c r="E427" s="2813">
        <f>D427/D357*100</f>
        <v>0.94557289664079724</v>
      </c>
      <c r="F427" s="3868"/>
      <c r="G427" s="2708"/>
      <c r="H427" s="2708"/>
      <c r="I427" s="2708"/>
      <c r="J427" s="2851"/>
      <c r="K427" s="2852"/>
      <c r="L427" s="2855"/>
      <c r="M427" s="2923"/>
      <c r="N427" s="2701"/>
      <c r="P427" s="80"/>
    </row>
    <row r="428" spans="1:16" s="27" customFormat="1" ht="20.25" hidden="1" customHeight="1" x14ac:dyDescent="0.25">
      <c r="A428" s="6"/>
      <c r="B428" s="441"/>
      <c r="C428" s="2473" t="s">
        <v>6291</v>
      </c>
      <c r="D428" s="896">
        <v>1082750000</v>
      </c>
      <c r="E428" s="2810">
        <f>D428/D357*100</f>
        <v>0.71433389418302684</v>
      </c>
      <c r="F428" s="3868"/>
      <c r="G428" s="2708"/>
      <c r="H428" s="2708"/>
      <c r="I428" s="2708"/>
      <c r="J428" s="2851"/>
      <c r="K428" s="2852"/>
      <c r="L428" s="2855"/>
      <c r="M428" s="2923"/>
      <c r="N428" s="2701"/>
      <c r="P428" s="80"/>
    </row>
    <row r="429" spans="1:16" s="27" customFormat="1" ht="44.25" hidden="1" customHeight="1" x14ac:dyDescent="0.25">
      <c r="A429" s="6"/>
      <c r="B429" s="441"/>
      <c r="C429" s="2473" t="s">
        <v>6292</v>
      </c>
      <c r="D429" s="896">
        <v>350500000</v>
      </c>
      <c r="E429" s="2810">
        <f>D429/D357*100</f>
        <v>0.2312390024577704</v>
      </c>
      <c r="F429" s="3868"/>
      <c r="G429" s="2708"/>
      <c r="H429" s="2708"/>
      <c r="I429" s="2708"/>
      <c r="J429" s="2851"/>
      <c r="K429" s="2852"/>
      <c r="L429" s="2855"/>
      <c r="M429" s="2923"/>
      <c r="N429" s="2701"/>
      <c r="P429" s="80"/>
    </row>
    <row r="430" spans="1:16" s="27" customFormat="1" ht="9.75" hidden="1" customHeight="1" x14ac:dyDescent="0.25">
      <c r="A430" s="6"/>
      <c r="B430" s="441"/>
      <c r="C430" s="2473"/>
      <c r="D430" s="896"/>
      <c r="E430" s="2810"/>
      <c r="F430" s="3868"/>
      <c r="G430" s="2708"/>
      <c r="H430" s="2708"/>
      <c r="I430" s="2708"/>
      <c r="J430" s="2851"/>
      <c r="K430" s="2852"/>
      <c r="L430" s="2855"/>
      <c r="M430" s="2923"/>
      <c r="N430" s="2701"/>
      <c r="P430" s="80"/>
    </row>
    <row r="431" spans="1:16" s="27" customFormat="1" ht="20.25" hidden="1" customHeight="1" x14ac:dyDescent="0.25">
      <c r="A431" s="6"/>
      <c r="B431" s="441"/>
      <c r="C431" s="2474" t="s">
        <v>6293</v>
      </c>
      <c r="D431" s="899">
        <f>SUM(D432:D434)</f>
        <v>2333406060</v>
      </c>
      <c r="E431" s="2813">
        <f>D431/D357*100</f>
        <v>1.5394421958439839</v>
      </c>
      <c r="F431" s="3868"/>
      <c r="G431" s="2708"/>
      <c r="H431" s="2708"/>
      <c r="I431" s="2708"/>
      <c r="J431" s="2851"/>
      <c r="K431" s="2852"/>
      <c r="L431" s="2855"/>
      <c r="M431" s="2923"/>
      <c r="N431" s="2701"/>
      <c r="P431" s="80"/>
    </row>
    <row r="432" spans="1:16" s="27" customFormat="1" ht="20.25" hidden="1" customHeight="1" x14ac:dyDescent="0.25">
      <c r="A432" s="6"/>
      <c r="B432" s="441"/>
      <c r="C432" s="2473" t="s">
        <v>6294</v>
      </c>
      <c r="D432" s="896">
        <v>1386398060</v>
      </c>
      <c r="E432" s="2810">
        <f>D432/D357*100</f>
        <v>0.91466278003933843</v>
      </c>
      <c r="F432" s="3868"/>
      <c r="G432" s="2708"/>
      <c r="H432" s="2708"/>
      <c r="I432" s="2708"/>
      <c r="J432" s="2851"/>
      <c r="K432" s="2852"/>
      <c r="L432" s="2855"/>
      <c r="M432" s="2923"/>
      <c r="N432" s="2701"/>
      <c r="P432" s="80"/>
    </row>
    <row r="433" spans="1:16" s="27" customFormat="1" ht="20.25" hidden="1" customHeight="1" x14ac:dyDescent="0.25">
      <c r="A433" s="6"/>
      <c r="B433" s="441"/>
      <c r="C433" s="2473" t="s">
        <v>6295</v>
      </c>
      <c r="D433" s="896">
        <v>455408000</v>
      </c>
      <c r="E433" s="2810">
        <f>D433/D357*100</f>
        <v>0.30045104602364708</v>
      </c>
      <c r="F433" s="3868"/>
      <c r="G433" s="2708"/>
      <c r="H433" s="2708"/>
      <c r="I433" s="2708"/>
      <c r="J433" s="2851"/>
      <c r="K433" s="2852"/>
      <c r="L433" s="2855"/>
      <c r="M433" s="2923"/>
      <c r="N433" s="2701"/>
      <c r="P433" s="80"/>
    </row>
    <row r="434" spans="1:16" s="27" customFormat="1" ht="20.25" hidden="1" customHeight="1" x14ac:dyDescent="0.25">
      <c r="A434" s="6"/>
      <c r="B434" s="441"/>
      <c r="C434" s="2473" t="s">
        <v>6296</v>
      </c>
      <c r="D434" s="896">
        <v>491600000</v>
      </c>
      <c r="E434" s="2810">
        <f>D434/D357*100</f>
        <v>0.32432836978099838</v>
      </c>
      <c r="F434" s="3868"/>
      <c r="G434" s="2708"/>
      <c r="H434" s="2708"/>
      <c r="I434" s="2708"/>
      <c r="J434" s="2851"/>
      <c r="K434" s="2852"/>
      <c r="L434" s="2855"/>
      <c r="M434" s="2923"/>
      <c r="N434" s="2701"/>
      <c r="P434" s="80"/>
    </row>
    <row r="435" spans="1:16" s="27" customFormat="1" ht="12.75" hidden="1" customHeight="1" x14ac:dyDescent="0.25">
      <c r="A435" s="6"/>
      <c r="B435" s="441"/>
      <c r="C435" s="2473"/>
      <c r="D435" s="896"/>
      <c r="E435" s="2810"/>
      <c r="F435" s="3868"/>
      <c r="G435" s="2708"/>
      <c r="H435" s="2708"/>
      <c r="I435" s="2708"/>
      <c r="J435" s="2851"/>
      <c r="K435" s="2852"/>
      <c r="L435" s="2855"/>
      <c r="M435" s="2923"/>
      <c r="N435" s="2701"/>
      <c r="P435" s="80"/>
    </row>
    <row r="436" spans="1:16" s="27" customFormat="1" ht="20.25" hidden="1" customHeight="1" x14ac:dyDescent="0.25">
      <c r="A436" s="6"/>
      <c r="B436" s="441"/>
      <c r="C436" s="2474" t="s">
        <v>6297</v>
      </c>
      <c r="D436" s="899">
        <f>SUM(D437:D439)</f>
        <v>275700000</v>
      </c>
      <c r="E436" s="2813">
        <f>D436/D357*100</f>
        <v>0.18189042219003509</v>
      </c>
      <c r="F436" s="3868"/>
      <c r="G436" s="2708"/>
      <c r="H436" s="2708"/>
      <c r="I436" s="2708"/>
      <c r="J436" s="2851"/>
      <c r="K436" s="2852"/>
      <c r="L436" s="2855"/>
      <c r="M436" s="2923"/>
      <c r="N436" s="2701"/>
      <c r="P436" s="80"/>
    </row>
    <row r="437" spans="1:16" s="27" customFormat="1" ht="14.25" hidden="1" customHeight="1" x14ac:dyDescent="0.25">
      <c r="A437" s="6"/>
      <c r="B437" s="441"/>
      <c r="C437" s="2473" t="s">
        <v>6298</v>
      </c>
      <c r="D437" s="896">
        <v>160224000</v>
      </c>
      <c r="E437" s="2810">
        <f>D437/D357*100</f>
        <v>0.10570624231039602</v>
      </c>
      <c r="F437" s="3868"/>
      <c r="G437" s="2708"/>
      <c r="H437" s="2708"/>
      <c r="I437" s="2708"/>
      <c r="J437" s="2851"/>
      <c r="K437" s="2852"/>
      <c r="L437" s="2855"/>
      <c r="M437" s="2923"/>
      <c r="N437" s="2701"/>
      <c r="P437" s="80"/>
    </row>
    <row r="438" spans="1:16" s="27" customFormat="1" ht="20.25" hidden="1" customHeight="1" x14ac:dyDescent="0.25">
      <c r="A438" s="6"/>
      <c r="B438" s="441"/>
      <c r="C438" s="2473" t="s">
        <v>6299</v>
      </c>
      <c r="D438" s="896">
        <v>96276000</v>
      </c>
      <c r="E438" s="2810">
        <f>D438/D357*100</f>
        <v>6.3517164623749803E-2</v>
      </c>
      <c r="F438" s="3868"/>
      <c r="G438" s="2708"/>
      <c r="H438" s="2708"/>
      <c r="I438" s="2708"/>
      <c r="J438" s="2851"/>
      <c r="K438" s="2852"/>
      <c r="L438" s="2855"/>
      <c r="M438" s="2923"/>
      <c r="N438" s="2701"/>
      <c r="P438" s="80"/>
    </row>
    <row r="439" spans="1:16" s="27" customFormat="1" ht="14.25" hidden="1" customHeight="1" x14ac:dyDescent="0.25">
      <c r="A439" s="6"/>
      <c r="B439" s="441"/>
      <c r="C439" s="2473" t="s">
        <v>6300</v>
      </c>
      <c r="D439" s="896">
        <v>19200000</v>
      </c>
      <c r="E439" s="2810">
        <f>D439/D357*100</f>
        <v>1.2667015255889277E-2</v>
      </c>
      <c r="F439" s="3868"/>
      <c r="G439" s="2708"/>
      <c r="H439" s="2708"/>
      <c r="I439" s="2708"/>
      <c r="J439" s="2851"/>
      <c r="K439" s="2852"/>
      <c r="L439" s="2855"/>
      <c r="M439" s="2923"/>
      <c r="N439" s="2701"/>
      <c r="P439" s="80"/>
    </row>
    <row r="440" spans="1:16" s="27" customFormat="1" ht="11.25" hidden="1" customHeight="1" x14ac:dyDescent="0.25">
      <c r="A440" s="6"/>
      <c r="B440" s="441"/>
      <c r="C440" s="2473"/>
      <c r="D440" s="896"/>
      <c r="E440" s="2810"/>
      <c r="F440" s="3868"/>
      <c r="G440" s="2708"/>
      <c r="H440" s="2708"/>
      <c r="I440" s="2708"/>
      <c r="J440" s="2851"/>
      <c r="K440" s="2852"/>
      <c r="L440" s="2855"/>
      <c r="M440" s="2923"/>
      <c r="N440" s="2701"/>
      <c r="P440" s="80"/>
    </row>
    <row r="441" spans="1:16" s="27" customFormat="1" ht="30" hidden="1" customHeight="1" x14ac:dyDescent="0.25">
      <c r="A441" s="6"/>
      <c r="B441" s="441"/>
      <c r="C441" s="2474" t="s">
        <v>6301</v>
      </c>
      <c r="D441" s="899">
        <f>SUM(D442:D443)</f>
        <v>13401608000</v>
      </c>
      <c r="E441" s="2813">
        <f>D441/D357*100</f>
        <v>8.8415819265337401</v>
      </c>
      <c r="F441" s="3868"/>
      <c r="G441" s="2708"/>
      <c r="H441" s="2708"/>
      <c r="I441" s="2708"/>
      <c r="J441" s="2851"/>
      <c r="K441" s="2852"/>
      <c r="L441" s="2855"/>
      <c r="M441" s="2923"/>
      <c r="N441" s="2701"/>
      <c r="P441" s="80"/>
    </row>
    <row r="442" spans="1:16" s="27" customFormat="1" ht="19.5" hidden="1" customHeight="1" x14ac:dyDescent="0.25">
      <c r="A442" s="6"/>
      <c r="B442" s="441"/>
      <c r="C442" s="2473" t="s">
        <v>6302</v>
      </c>
      <c r="D442" s="896">
        <v>750000000</v>
      </c>
      <c r="E442" s="2810">
        <f>D442/D357*100</f>
        <v>0.49480528343317493</v>
      </c>
      <c r="F442" s="3868"/>
      <c r="G442" s="2708"/>
      <c r="H442" s="2708"/>
      <c r="I442" s="2708"/>
      <c r="J442" s="2851"/>
      <c r="K442" s="2852"/>
      <c r="L442" s="2855"/>
      <c r="M442" s="2923"/>
      <c r="N442" s="2701"/>
      <c r="P442" s="80"/>
    </row>
    <row r="443" spans="1:16" s="27" customFormat="1" ht="15.75" hidden="1" customHeight="1" x14ac:dyDescent="0.25">
      <c r="A443" s="6"/>
      <c r="B443" s="441"/>
      <c r="C443" s="2473" t="s">
        <v>6305</v>
      </c>
      <c r="D443" s="896">
        <v>12651608000</v>
      </c>
      <c r="E443" s="2810">
        <f>D443/D357*100</f>
        <v>8.346776643100565</v>
      </c>
      <c r="F443" s="3868"/>
      <c r="G443" s="2708"/>
      <c r="H443" s="2708"/>
      <c r="I443" s="2708"/>
      <c r="J443" s="2851"/>
      <c r="K443" s="2852"/>
      <c r="L443" s="2855"/>
      <c r="M443" s="2923"/>
      <c r="N443" s="2701"/>
      <c r="P443" s="80"/>
    </row>
    <row r="444" spans="1:16" s="27" customFormat="1" ht="11.25" hidden="1" customHeight="1" x14ac:dyDescent="0.25">
      <c r="A444" s="6"/>
      <c r="B444" s="441"/>
      <c r="C444" s="2473"/>
      <c r="D444" s="896"/>
      <c r="E444" s="2810"/>
      <c r="F444" s="3868"/>
      <c r="G444" s="2708"/>
      <c r="H444" s="2708"/>
      <c r="I444" s="2708"/>
      <c r="J444" s="2851"/>
      <c r="K444" s="2852"/>
      <c r="L444" s="2855"/>
      <c r="M444" s="2923"/>
      <c r="N444" s="2701"/>
      <c r="P444" s="80"/>
    </row>
    <row r="445" spans="1:16" s="27" customFormat="1" ht="17.25" hidden="1" customHeight="1" x14ac:dyDescent="0.25">
      <c r="A445" s="6"/>
      <c r="B445" s="441"/>
      <c r="C445" s="2474" t="s">
        <v>6303</v>
      </c>
      <c r="D445" s="899">
        <f>D446</f>
        <v>75000000</v>
      </c>
      <c r="E445" s="2813">
        <f>D445/D357*100</f>
        <v>4.9480528343317488E-2</v>
      </c>
      <c r="F445" s="3868"/>
      <c r="G445" s="2708"/>
      <c r="H445" s="2708"/>
      <c r="I445" s="2708"/>
      <c r="J445" s="2851"/>
      <c r="K445" s="2852"/>
      <c r="L445" s="2855"/>
      <c r="M445" s="2923"/>
      <c r="N445" s="2701"/>
      <c r="P445" s="80"/>
    </row>
    <row r="446" spans="1:16" s="27" customFormat="1" ht="21.75" hidden="1" customHeight="1" x14ac:dyDescent="0.25">
      <c r="A446" s="6"/>
      <c r="B446" s="441"/>
      <c r="C446" s="2473" t="s">
        <v>6304</v>
      </c>
      <c r="D446" s="896">
        <v>75000000</v>
      </c>
      <c r="E446" s="2810">
        <f>D446/D357*100</f>
        <v>4.9480528343317488E-2</v>
      </c>
      <c r="F446" s="3868"/>
      <c r="G446" s="2708"/>
      <c r="H446" s="2708"/>
      <c r="I446" s="2708"/>
      <c r="J446" s="2851"/>
      <c r="K446" s="2852"/>
      <c r="L446" s="2855"/>
      <c r="M446" s="2923"/>
      <c r="N446" s="2701"/>
      <c r="P446" s="80"/>
    </row>
    <row r="447" spans="1:16" ht="12" hidden="1" customHeight="1" x14ac:dyDescent="0.25">
      <c r="B447" s="441"/>
      <c r="C447" s="2475"/>
      <c r="D447" s="2682"/>
      <c r="E447" s="2840"/>
      <c r="F447" s="4432"/>
      <c r="G447" s="2708"/>
      <c r="H447" s="2708"/>
      <c r="I447" s="2708"/>
      <c r="J447" s="2856"/>
      <c r="K447" s="2834"/>
      <c r="L447" s="2830"/>
      <c r="M447" s="2708"/>
      <c r="N447" s="2768"/>
    </row>
    <row r="448" spans="1:16" s="27" customFormat="1" ht="18.75" hidden="1" customHeight="1" x14ac:dyDescent="0.25">
      <c r="A448" s="6"/>
      <c r="B448" s="440"/>
      <c r="C448" s="2471" t="s">
        <v>415</v>
      </c>
      <c r="D448" s="2744">
        <f>SUM(D449)</f>
        <v>4378720742</v>
      </c>
      <c r="E448" s="2786">
        <f>D448/D357*100</f>
        <v>2.8888188770933758</v>
      </c>
      <c r="F448" s="3850"/>
      <c r="G448" s="2886"/>
      <c r="H448" s="2719"/>
      <c r="I448" s="2719"/>
      <c r="J448" s="2887"/>
      <c r="K448" s="2887"/>
      <c r="L448" s="2672"/>
      <c r="M448" s="2719"/>
      <c r="N448" s="2701"/>
      <c r="P448" s="634"/>
    </row>
    <row r="449" spans="1:16" s="27" customFormat="1" ht="19.5" hidden="1" customHeight="1" x14ac:dyDescent="0.25">
      <c r="A449" s="6"/>
      <c r="B449" s="441"/>
      <c r="C449" s="2478" t="s">
        <v>416</v>
      </c>
      <c r="D449" s="2751">
        <f>D450</f>
        <v>4378720742</v>
      </c>
      <c r="E449" s="2873">
        <f>D449/D357*100</f>
        <v>2.8888188770933758</v>
      </c>
      <c r="F449" s="3851"/>
      <c r="G449" s="2908"/>
      <c r="H449" s="2722"/>
      <c r="I449" s="2722"/>
      <c r="J449" s="2889"/>
      <c r="K449" s="2892"/>
      <c r="L449" s="2751"/>
      <c r="M449" s="2722"/>
      <c r="N449" s="2701"/>
      <c r="P449" s="80"/>
    </row>
    <row r="450" spans="1:16" s="27" customFormat="1" ht="17.25" hidden="1" customHeight="1" x14ac:dyDescent="0.25">
      <c r="A450" s="6"/>
      <c r="B450" s="441"/>
      <c r="C450" s="2473" t="s">
        <v>417</v>
      </c>
      <c r="D450" s="896">
        <v>4378720742</v>
      </c>
      <c r="E450" s="2810">
        <f>D450/D357*100</f>
        <v>2.8888188770933758</v>
      </c>
      <c r="F450" s="3868"/>
      <c r="G450" s="2685"/>
      <c r="H450" s="2685"/>
      <c r="I450" s="2685"/>
      <c r="J450" s="2871"/>
      <c r="K450" s="2852"/>
      <c r="L450" s="896"/>
      <c r="M450" s="2685"/>
      <c r="N450" s="2701"/>
      <c r="P450" s="80"/>
    </row>
    <row r="451" spans="1:16" ht="13.5" hidden="1" customHeight="1" x14ac:dyDescent="0.25">
      <c r="B451" s="441"/>
      <c r="C451" s="2475"/>
      <c r="D451" s="2769"/>
      <c r="E451" s="2840"/>
      <c r="F451" s="3872"/>
      <c r="G451" s="2830"/>
      <c r="H451" s="2830"/>
      <c r="I451" s="2708"/>
      <c r="J451" s="2891"/>
      <c r="K451" s="2834"/>
      <c r="L451" s="2708"/>
      <c r="M451" s="2708"/>
      <c r="N451" s="2768"/>
    </row>
    <row r="452" spans="1:16" s="27" customFormat="1" ht="18" hidden="1" customHeight="1" x14ac:dyDescent="0.25">
      <c r="A452" s="6"/>
      <c r="B452" s="440"/>
      <c r="C452" s="2471" t="s">
        <v>418</v>
      </c>
      <c r="D452" s="2744">
        <f>SUM(D453+D456+D459)</f>
        <v>23977427968</v>
      </c>
      <c r="E452" s="2786">
        <f>D452/D357*100</f>
        <v>15.818877388939701</v>
      </c>
      <c r="F452" s="3850"/>
      <c r="G452" s="2719"/>
      <c r="H452" s="2719"/>
      <c r="I452" s="2719"/>
      <c r="J452" s="2887"/>
      <c r="K452" s="2887"/>
      <c r="L452" s="2672"/>
      <c r="M452" s="2719"/>
      <c r="N452" s="2701"/>
      <c r="P452" s="80"/>
    </row>
    <row r="453" spans="1:16" s="27" customFormat="1" ht="18.75" hidden="1" customHeight="1" x14ac:dyDescent="0.25">
      <c r="A453" s="6"/>
      <c r="B453" s="441"/>
      <c r="C453" s="2478" t="s">
        <v>290</v>
      </c>
      <c r="D453" s="2767">
        <f>SUM(D454:D454)</f>
        <v>11580400000</v>
      </c>
      <c r="E453" s="2873">
        <f>D453/D357*100</f>
        <v>7.640057472359385</v>
      </c>
      <c r="F453" s="3849"/>
      <c r="G453" s="2722"/>
      <c r="H453" s="2722"/>
      <c r="I453" s="2722"/>
      <c r="J453" s="2882"/>
      <c r="K453" s="2892"/>
      <c r="L453" s="2751"/>
      <c r="M453" s="2722"/>
      <c r="N453" s="2701"/>
      <c r="P453" s="80"/>
    </row>
    <row r="454" spans="1:16" s="27" customFormat="1" ht="30" hidden="1" customHeight="1" x14ac:dyDescent="0.25">
      <c r="A454" s="6"/>
      <c r="B454" s="441"/>
      <c r="C454" s="2473" t="s">
        <v>6306</v>
      </c>
      <c r="D454" s="2709">
        <v>11580400000</v>
      </c>
      <c r="E454" s="2818">
        <f>D454/D357*100</f>
        <v>7.640057472359385</v>
      </c>
      <c r="F454" s="4430"/>
      <c r="G454" s="2685"/>
      <c r="H454" s="2685"/>
      <c r="I454" s="2685"/>
      <c r="J454" s="2871"/>
      <c r="K454" s="2852"/>
      <c r="L454" s="896"/>
      <c r="M454" s="2685"/>
      <c r="N454" s="2701"/>
      <c r="P454" s="80"/>
    </row>
    <row r="455" spans="1:16" s="27" customFormat="1" ht="10.5" hidden="1" customHeight="1" x14ac:dyDescent="0.25">
      <c r="A455" s="6"/>
      <c r="B455" s="441"/>
      <c r="C455" s="2517"/>
      <c r="D455" s="911"/>
      <c r="E455" s="2810"/>
      <c r="F455" s="3849"/>
      <c r="G455" s="2685"/>
      <c r="H455" s="2685"/>
      <c r="I455" s="2685"/>
      <c r="J455" s="2893"/>
      <c r="K455" s="2731"/>
      <c r="L455" s="2685"/>
      <c r="M455" s="2685"/>
      <c r="N455" s="2701"/>
      <c r="P455" s="80"/>
    </row>
    <row r="456" spans="1:16" s="27" customFormat="1" ht="17.25" hidden="1" customHeight="1" x14ac:dyDescent="0.25">
      <c r="A456" s="6"/>
      <c r="B456" s="441"/>
      <c r="C456" s="2474" t="s">
        <v>292</v>
      </c>
      <c r="D456" s="2767">
        <f>D457</f>
        <v>7863340800</v>
      </c>
      <c r="E456" s="2873">
        <f>D456/D357*100</f>
        <v>5.187763431034198</v>
      </c>
      <c r="F456" s="3849"/>
      <c r="G456" s="2679"/>
      <c r="H456" s="2679"/>
      <c r="I456" s="2679"/>
      <c r="J456" s="2882"/>
      <c r="K456" s="2883"/>
      <c r="L456" s="2751"/>
      <c r="M456" s="2679"/>
      <c r="N456" s="2701"/>
      <c r="P456" s="80"/>
    </row>
    <row r="457" spans="1:16" s="27" customFormat="1" ht="16.5" hidden="1" customHeight="1" x14ac:dyDescent="0.25">
      <c r="A457" s="6"/>
      <c r="B457" s="441"/>
      <c r="C457" s="2473" t="s">
        <v>6307</v>
      </c>
      <c r="D457" s="2709">
        <v>7863340800</v>
      </c>
      <c r="E457" s="2818">
        <f>D457/D357*100</f>
        <v>5.187763431034198</v>
      </c>
      <c r="F457" s="4430"/>
      <c r="G457" s="2685"/>
      <c r="H457" s="2685"/>
      <c r="I457" s="2685"/>
      <c r="J457" s="2871"/>
      <c r="K457" s="2852"/>
      <c r="L457" s="896"/>
      <c r="M457" s="2685"/>
      <c r="N457" s="2701"/>
      <c r="P457" s="80"/>
    </row>
    <row r="458" spans="1:16" s="27" customFormat="1" ht="8.25" hidden="1" customHeight="1" x14ac:dyDescent="0.25">
      <c r="A458" s="6"/>
      <c r="B458" s="441"/>
      <c r="C458" s="2476"/>
      <c r="D458" s="2709"/>
      <c r="E458" s="2818"/>
      <c r="F458" s="4430"/>
      <c r="G458" s="2685"/>
      <c r="H458" s="2685"/>
      <c r="I458" s="2685"/>
      <c r="J458" s="2851"/>
      <c r="K458" s="2852"/>
      <c r="L458" s="896"/>
      <c r="M458" s="2685"/>
      <c r="N458" s="2711"/>
      <c r="P458" s="80"/>
    </row>
    <row r="459" spans="1:16" s="27" customFormat="1" ht="21.75" hidden="1" customHeight="1" x14ac:dyDescent="0.25">
      <c r="A459" s="6"/>
      <c r="B459" s="441"/>
      <c r="C459" s="2477" t="s">
        <v>6308</v>
      </c>
      <c r="D459" s="2767">
        <f>D460</f>
        <v>4533687168</v>
      </c>
      <c r="E459" s="2873">
        <f>D459/D357*100</f>
        <v>2.9910564855461175</v>
      </c>
      <c r="F459" s="4430"/>
      <c r="G459" s="2685"/>
      <c r="H459" s="2685"/>
      <c r="I459" s="2685"/>
      <c r="J459" s="2851"/>
      <c r="K459" s="2852"/>
      <c r="L459" s="896"/>
      <c r="M459" s="2685"/>
      <c r="N459" s="2711"/>
      <c r="P459" s="80"/>
    </row>
    <row r="460" spans="1:16" s="27" customFormat="1" ht="18" hidden="1" customHeight="1" x14ac:dyDescent="0.25">
      <c r="A460" s="6"/>
      <c r="B460" s="441"/>
      <c r="C460" s="2476" t="s">
        <v>6309</v>
      </c>
      <c r="D460" s="2709">
        <v>4533687168</v>
      </c>
      <c r="E460" s="2818">
        <f>D460/D357*100</f>
        <v>2.9910564855461175</v>
      </c>
      <c r="F460" s="4430"/>
      <c r="G460" s="2685"/>
      <c r="H460" s="2685"/>
      <c r="I460" s="2685"/>
      <c r="J460" s="2851"/>
      <c r="K460" s="2852"/>
      <c r="L460" s="896"/>
      <c r="M460" s="2685"/>
      <c r="N460" s="2711"/>
      <c r="P460" s="80"/>
    </row>
    <row r="461" spans="1:16" ht="13.5" hidden="1" customHeight="1" x14ac:dyDescent="0.25">
      <c r="B461" s="441"/>
      <c r="C461" s="2518"/>
      <c r="D461" s="2894"/>
      <c r="E461" s="2895"/>
      <c r="F461" s="4433"/>
      <c r="G461" s="2830"/>
      <c r="H461" s="2830"/>
      <c r="I461" s="2830"/>
      <c r="J461" s="3360"/>
      <c r="K461" s="2926"/>
      <c r="L461" s="940"/>
      <c r="M461" s="2830"/>
      <c r="N461" s="2743"/>
    </row>
    <row r="462" spans="1:16" s="27" customFormat="1" ht="17.25" hidden="1" customHeight="1" x14ac:dyDescent="0.25">
      <c r="A462" s="6"/>
      <c r="B462" s="440"/>
      <c r="C462" s="2471" t="s">
        <v>425</v>
      </c>
      <c r="D462" s="2744">
        <f>SUM(D463)</f>
        <v>67200000</v>
      </c>
      <c r="E462" s="2786">
        <f>D462/D357*100</f>
        <v>4.4334553395612472E-2</v>
      </c>
      <c r="F462" s="3850"/>
      <c r="G462" s="2886"/>
      <c r="H462" s="2719"/>
      <c r="I462" s="2719"/>
      <c r="J462" s="2887"/>
      <c r="K462" s="2887"/>
      <c r="L462" s="2672"/>
      <c r="M462" s="2719"/>
      <c r="N462" s="2898"/>
      <c r="P462" s="80"/>
    </row>
    <row r="463" spans="1:16" s="27" customFormat="1" ht="17.25" hidden="1" customHeight="1" x14ac:dyDescent="0.25">
      <c r="A463" s="6"/>
      <c r="B463" s="444"/>
      <c r="C463" s="2478" t="s">
        <v>426</v>
      </c>
      <c r="D463" s="2751">
        <f>D464</f>
        <v>67200000</v>
      </c>
      <c r="E463" s="2873">
        <f>D463/D357*100</f>
        <v>4.4334553395612472E-2</v>
      </c>
      <c r="F463" s="3851"/>
      <c r="G463" s="2899"/>
      <c r="H463" s="2900"/>
      <c r="I463" s="2722"/>
      <c r="J463" s="2901"/>
      <c r="K463" s="2901"/>
      <c r="L463" s="2751"/>
      <c r="M463" s="2722"/>
      <c r="N463" s="2898"/>
      <c r="P463" s="80"/>
    </row>
    <row r="464" spans="1:16" s="27" customFormat="1" ht="19.5" hidden="1" customHeight="1" x14ac:dyDescent="0.25">
      <c r="A464" s="6"/>
      <c r="B464" s="449"/>
      <c r="C464" s="2473" t="s">
        <v>6310</v>
      </c>
      <c r="D464" s="896">
        <v>67200000</v>
      </c>
      <c r="E464" s="2810">
        <f>D464/D357*100</f>
        <v>4.4334553395612472E-2</v>
      </c>
      <c r="F464" s="3868"/>
      <c r="G464" s="2685"/>
      <c r="H464" s="2685"/>
      <c r="I464" s="2685"/>
      <c r="J464" s="2871"/>
      <c r="K464" s="2852"/>
      <c r="L464" s="896"/>
      <c r="M464" s="2685"/>
      <c r="N464" s="2898"/>
      <c r="P464" s="80"/>
    </row>
    <row r="465" spans="1:16" ht="9.75" hidden="1" customHeight="1" x14ac:dyDescent="0.25">
      <c r="B465" s="441"/>
      <c r="C465" s="2475"/>
      <c r="D465" s="2769"/>
      <c r="E465" s="2840"/>
      <c r="F465" s="3872"/>
      <c r="G465" s="2830"/>
      <c r="H465" s="2830"/>
      <c r="I465" s="2830"/>
      <c r="J465" s="2896"/>
      <c r="K465" s="2897"/>
      <c r="L465" s="2830"/>
      <c r="M465" s="2830"/>
      <c r="N465" s="2756"/>
    </row>
    <row r="466" spans="1:16" s="27" customFormat="1" ht="17.25" hidden="1" customHeight="1" x14ac:dyDescent="0.25">
      <c r="A466" s="6"/>
      <c r="B466" s="440"/>
      <c r="C466" s="2471" t="s">
        <v>429</v>
      </c>
      <c r="D466" s="2744">
        <f>SUM(D467+D474)</f>
        <v>3905906900</v>
      </c>
      <c r="E466" s="2786">
        <f>D466/D357*100</f>
        <v>2.5768844942907916</v>
      </c>
      <c r="F466" s="3850"/>
      <c r="G466" s="2886"/>
      <c r="H466" s="2719"/>
      <c r="I466" s="2719"/>
      <c r="J466" s="2887"/>
      <c r="K466" s="2887"/>
      <c r="L466" s="2672"/>
      <c r="M466" s="2719"/>
      <c r="N466" s="2898"/>
      <c r="P466" s="80"/>
    </row>
    <row r="467" spans="1:16" s="27" customFormat="1" ht="19.5" hidden="1" customHeight="1" x14ac:dyDescent="0.25">
      <c r="A467" s="6"/>
      <c r="B467" s="441"/>
      <c r="C467" s="2474" t="s">
        <v>430</v>
      </c>
      <c r="D467" s="2767">
        <f>SUM(D468:D472)</f>
        <v>654012900</v>
      </c>
      <c r="E467" s="2873">
        <f>D467/D357*100</f>
        <v>0.43147871780460356</v>
      </c>
      <c r="F467" s="3849"/>
      <c r="G467" s="2679"/>
      <c r="H467" s="2679"/>
      <c r="I467" s="2679"/>
      <c r="J467" s="2882"/>
      <c r="K467" s="2882"/>
      <c r="L467" s="2751"/>
      <c r="M467" s="2679"/>
      <c r="N467" s="2701"/>
      <c r="P467" s="80"/>
    </row>
    <row r="468" spans="1:16" s="27" customFormat="1" ht="29.25" hidden="1" customHeight="1" x14ac:dyDescent="0.25">
      <c r="A468" s="6"/>
      <c r="B468" s="441"/>
      <c r="C468" s="2473" t="s">
        <v>6311</v>
      </c>
      <c r="D468" s="2709">
        <v>139964000</v>
      </c>
      <c r="E468" s="2818">
        <f>D468/D357*100</f>
        <v>9.2339902253921191E-2</v>
      </c>
      <c r="F468" s="4430"/>
      <c r="G468" s="2685"/>
      <c r="H468" s="2685"/>
      <c r="I468" s="2685"/>
      <c r="J468" s="2871"/>
      <c r="K468" s="2852"/>
      <c r="L468" s="896"/>
      <c r="M468" s="2685"/>
      <c r="N468" s="2701"/>
      <c r="P468" s="80"/>
    </row>
    <row r="469" spans="1:16" s="27" customFormat="1" ht="28.5" hidden="1" customHeight="1" x14ac:dyDescent="0.25">
      <c r="A469" s="6"/>
      <c r="B469" s="441"/>
      <c r="C469" s="2473" t="s">
        <v>6312</v>
      </c>
      <c r="D469" s="2709">
        <v>106098900</v>
      </c>
      <c r="E469" s="2818">
        <f>D469/D357*100</f>
        <v>6.9997728381930774E-2</v>
      </c>
      <c r="F469" s="4430"/>
      <c r="G469" s="2685"/>
      <c r="H469" s="2708"/>
      <c r="I469" s="2685"/>
      <c r="J469" s="2871"/>
      <c r="K469" s="2852"/>
      <c r="L469" s="896"/>
      <c r="M469" s="2685"/>
      <c r="N469" s="2701"/>
      <c r="P469" s="80"/>
    </row>
    <row r="470" spans="1:16" s="27" customFormat="1" ht="21.75" hidden="1" customHeight="1" x14ac:dyDescent="0.25">
      <c r="A470" s="6"/>
      <c r="B470" s="441"/>
      <c r="C470" s="2473" t="s">
        <v>6313</v>
      </c>
      <c r="D470" s="2709">
        <v>149750000</v>
      </c>
      <c r="E470" s="2818">
        <f>D470/D357*100</f>
        <v>9.8796121592157254E-2</v>
      </c>
      <c r="F470" s="4430"/>
      <c r="G470" s="2685"/>
      <c r="H470" s="2708"/>
      <c r="I470" s="2685"/>
      <c r="J470" s="2871"/>
      <c r="K470" s="2852"/>
      <c r="L470" s="896"/>
      <c r="M470" s="2685"/>
      <c r="N470" s="2701"/>
      <c r="P470" s="80"/>
    </row>
    <row r="471" spans="1:16" s="27" customFormat="1" ht="28.5" hidden="1" customHeight="1" x14ac:dyDescent="0.25">
      <c r="A471" s="6"/>
      <c r="B471" s="441"/>
      <c r="C471" s="2473" t="s">
        <v>6314</v>
      </c>
      <c r="D471" s="2709">
        <v>150000000</v>
      </c>
      <c r="E471" s="2818">
        <f>D471/D357*100</f>
        <v>9.8961056686634977E-2</v>
      </c>
      <c r="F471" s="4430"/>
      <c r="G471" s="2685"/>
      <c r="H471" s="2708"/>
      <c r="I471" s="2685"/>
      <c r="J471" s="2871"/>
      <c r="K471" s="2852"/>
      <c r="L471" s="896"/>
      <c r="M471" s="2685"/>
      <c r="N471" s="2701"/>
      <c r="P471" s="80"/>
    </row>
    <row r="472" spans="1:16" s="27" customFormat="1" ht="28.5" hidden="1" customHeight="1" x14ac:dyDescent="0.25">
      <c r="A472" s="6"/>
      <c r="B472" s="441"/>
      <c r="C472" s="2473" t="s">
        <v>6315</v>
      </c>
      <c r="D472" s="2709">
        <v>108200000</v>
      </c>
      <c r="E472" s="2818">
        <f>D472/D357*100</f>
        <v>7.1383908889959366E-2</v>
      </c>
      <c r="F472" s="4430"/>
      <c r="G472" s="2685"/>
      <c r="H472" s="2708"/>
      <c r="I472" s="2685"/>
      <c r="J472" s="2871"/>
      <c r="K472" s="2852"/>
      <c r="L472" s="896"/>
      <c r="M472" s="2685"/>
      <c r="N472" s="2701"/>
      <c r="P472" s="80"/>
    </row>
    <row r="473" spans="1:16" s="27" customFormat="1" ht="12" hidden="1" customHeight="1" x14ac:dyDescent="0.25">
      <c r="A473" s="6"/>
      <c r="B473" s="441"/>
      <c r="C473" s="2517"/>
      <c r="D473" s="2709"/>
      <c r="E473" s="2818"/>
      <c r="F473" s="4430"/>
      <c r="G473" s="2685"/>
      <c r="H473" s="2708"/>
      <c r="I473" s="2685"/>
      <c r="J473" s="2903"/>
      <c r="K473" s="2700"/>
      <c r="L473" s="2685"/>
      <c r="M473" s="2685"/>
      <c r="N473" s="2701"/>
      <c r="P473" s="80"/>
    </row>
    <row r="474" spans="1:16" s="27" customFormat="1" ht="18" hidden="1" customHeight="1" x14ac:dyDescent="0.25">
      <c r="A474" s="6"/>
      <c r="B474" s="441"/>
      <c r="C474" s="2474" t="s">
        <v>6316</v>
      </c>
      <c r="D474" s="2767">
        <f>SUM(D475:D478)</f>
        <v>3251894000</v>
      </c>
      <c r="E474" s="2873">
        <f>D474/D357*100</f>
        <v>2.145405776486188</v>
      </c>
      <c r="F474" s="3849"/>
      <c r="G474" s="2904"/>
      <c r="H474" s="2679"/>
      <c r="I474" s="2679"/>
      <c r="J474" s="2905"/>
      <c r="K474" s="2905"/>
      <c r="L474" s="2751"/>
      <c r="M474" s="2679"/>
      <c r="N474" s="2701"/>
      <c r="P474" s="80"/>
    </row>
    <row r="475" spans="1:16" s="27" customFormat="1" ht="17.25" hidden="1" customHeight="1" x14ac:dyDescent="0.25">
      <c r="A475" s="6"/>
      <c r="B475" s="441"/>
      <c r="C475" s="2473" t="s">
        <v>6317</v>
      </c>
      <c r="D475" s="2709">
        <v>47100000</v>
      </c>
      <c r="E475" s="2818">
        <f>D475/D357*100</f>
        <v>3.1073771799603384E-2</v>
      </c>
      <c r="F475" s="4430"/>
      <c r="G475" s="2685"/>
      <c r="H475" s="2685"/>
      <c r="I475" s="2685"/>
      <c r="J475" s="2871"/>
      <c r="K475" s="2852"/>
      <c r="L475" s="896"/>
      <c r="M475" s="2685"/>
      <c r="N475" s="2701"/>
      <c r="P475" s="80"/>
    </row>
    <row r="476" spans="1:16" s="27" customFormat="1" ht="18" hidden="1" customHeight="1" x14ac:dyDescent="0.25">
      <c r="A476" s="6"/>
      <c r="B476" s="441"/>
      <c r="C476" s="2476" t="s">
        <v>6318</v>
      </c>
      <c r="D476" s="2709">
        <v>170000000</v>
      </c>
      <c r="E476" s="2818">
        <f>D476/D357*100</f>
        <v>0.11215586424485298</v>
      </c>
      <c r="F476" s="4430"/>
      <c r="G476" s="2685"/>
      <c r="H476" s="2685"/>
      <c r="I476" s="2685"/>
      <c r="J476" s="2871"/>
      <c r="K476" s="2852"/>
      <c r="L476" s="896"/>
      <c r="M476" s="2685"/>
      <c r="N476" s="2701"/>
      <c r="P476" s="80"/>
    </row>
    <row r="477" spans="1:16" s="27" customFormat="1" ht="15.75" hidden="1" customHeight="1" x14ac:dyDescent="0.25">
      <c r="A477" s="6"/>
      <c r="B477" s="441"/>
      <c r="C477" s="2476" t="s">
        <v>6319</v>
      </c>
      <c r="D477" s="2709">
        <v>2448100000</v>
      </c>
      <c r="E477" s="2818">
        <f>D477/D357*100</f>
        <v>1.615110419163674</v>
      </c>
      <c r="F477" s="4430"/>
      <c r="G477" s="2685"/>
      <c r="H477" s="2685"/>
      <c r="I477" s="2685"/>
      <c r="J477" s="2871"/>
      <c r="K477" s="2852"/>
      <c r="L477" s="896"/>
      <c r="M477" s="2685"/>
      <c r="N477" s="2701"/>
      <c r="P477" s="80"/>
    </row>
    <row r="478" spans="1:16" s="27" customFormat="1" ht="19.5" hidden="1" customHeight="1" x14ac:dyDescent="0.25">
      <c r="A478" s="6"/>
      <c r="B478" s="441"/>
      <c r="C478" s="2476" t="s">
        <v>6320</v>
      </c>
      <c r="D478" s="2709">
        <v>586694000</v>
      </c>
      <c r="E478" s="2818">
        <f>D478/D357*100</f>
        <v>0.3870657212780575</v>
      </c>
      <c r="F478" s="4430"/>
      <c r="G478" s="2685"/>
      <c r="H478" s="2685"/>
      <c r="I478" s="2685"/>
      <c r="J478" s="2871"/>
      <c r="K478" s="2852"/>
      <c r="L478" s="896"/>
      <c r="M478" s="2685"/>
      <c r="N478" s="2701"/>
      <c r="P478" s="80"/>
    </row>
    <row r="479" spans="1:16" s="27" customFormat="1" ht="13.5" hidden="1" customHeight="1" x14ac:dyDescent="0.25">
      <c r="A479" s="6"/>
      <c r="B479" s="441"/>
      <c r="C479" s="2519"/>
      <c r="D479" s="2709"/>
      <c r="E479" s="2818"/>
      <c r="F479" s="4430"/>
      <c r="G479" s="2708"/>
      <c r="H479" s="2708"/>
      <c r="I479" s="2708"/>
      <c r="J479" s="2903"/>
      <c r="K479" s="2834"/>
      <c r="L479" s="2708"/>
      <c r="M479" s="2708"/>
      <c r="N479" s="2701"/>
      <c r="P479" s="80"/>
    </row>
    <row r="480" spans="1:16" s="27" customFormat="1" ht="18" hidden="1" customHeight="1" x14ac:dyDescent="0.25">
      <c r="A480" s="6"/>
      <c r="B480" s="440"/>
      <c r="C480" s="2471" t="s">
        <v>6321</v>
      </c>
      <c r="D480" s="2744">
        <f>SUM(D481)</f>
        <v>1174950000</v>
      </c>
      <c r="E480" s="2786">
        <f>D480/D357*100</f>
        <v>0.77516195702641189</v>
      </c>
      <c r="F480" s="3850"/>
      <c r="G480" s="2906"/>
      <c r="H480" s="2719"/>
      <c r="I480" s="2719"/>
      <c r="J480" s="2907"/>
      <c r="K480" s="2907"/>
      <c r="L480" s="2672"/>
      <c r="M480" s="2719"/>
      <c r="N480" s="2701"/>
      <c r="P480" s="80"/>
    </row>
    <row r="481" spans="1:16" s="27" customFormat="1" ht="19.5" hidden="1" customHeight="1" x14ac:dyDescent="0.25">
      <c r="A481" s="6"/>
      <c r="B481" s="441"/>
      <c r="C481" s="2472" t="s">
        <v>6322</v>
      </c>
      <c r="D481" s="2751">
        <f>D482</f>
        <v>1174950000</v>
      </c>
      <c r="E481" s="2873">
        <f>D481/D357*100</f>
        <v>0.77516195702641189</v>
      </c>
      <c r="F481" s="3851"/>
      <c r="G481" s="2908"/>
      <c r="H481" s="2679"/>
      <c r="I481" s="2725"/>
      <c r="J481" s="2889"/>
      <c r="K481" s="2892"/>
      <c r="L481" s="2751"/>
      <c r="M481" s="2725"/>
      <c r="N481" s="2701"/>
      <c r="P481" s="80"/>
    </row>
    <row r="482" spans="1:16" s="27" customFormat="1" ht="30.75" hidden="1" customHeight="1" x14ac:dyDescent="0.25">
      <c r="A482" s="6"/>
      <c r="B482" s="441"/>
      <c r="C482" s="2473" t="s">
        <v>6323</v>
      </c>
      <c r="D482" s="2709">
        <v>1174950000</v>
      </c>
      <c r="E482" s="2818">
        <f>D482/D357*100</f>
        <v>0.77516195702641189</v>
      </c>
      <c r="F482" s="4430"/>
      <c r="G482" s="2685"/>
      <c r="H482" s="2685"/>
      <c r="I482" s="2685"/>
      <c r="J482" s="2871"/>
      <c r="K482" s="2852"/>
      <c r="L482" s="896"/>
      <c r="M482" s="2685"/>
      <c r="N482" s="2701"/>
      <c r="P482" s="80"/>
    </row>
    <row r="483" spans="1:16" ht="13.5" hidden="1" customHeight="1" x14ac:dyDescent="0.25">
      <c r="B483" s="441"/>
      <c r="C483" s="2477"/>
      <c r="D483" s="2767"/>
      <c r="E483" s="2818"/>
      <c r="F483" s="3849"/>
      <c r="G483" s="2708"/>
      <c r="H483" s="2708"/>
      <c r="I483" s="2708"/>
      <c r="J483" s="2882"/>
      <c r="K483" s="2834"/>
      <c r="L483" s="2708"/>
      <c r="M483" s="2708"/>
      <c r="N483" s="2768"/>
    </row>
    <row r="484" spans="1:16" s="27" customFormat="1" ht="30.75" hidden="1" customHeight="1" x14ac:dyDescent="0.25">
      <c r="A484" s="6"/>
      <c r="B484" s="440"/>
      <c r="C484" s="2471" t="s">
        <v>6324</v>
      </c>
      <c r="D484" s="2744">
        <f>SUM(D485+D490+D493+D498+D502)</f>
        <v>1672700000</v>
      </c>
      <c r="E484" s="2786">
        <f>D484/D357*100</f>
        <v>1.1035477301315622</v>
      </c>
      <c r="F484" s="3850"/>
      <c r="G484" s="2719"/>
      <c r="H484" s="2719"/>
      <c r="I484" s="2719"/>
      <c r="J484" s="2910"/>
      <c r="K484" s="2910"/>
      <c r="L484" s="2672"/>
      <c r="M484" s="2719"/>
      <c r="N484" s="2701"/>
      <c r="P484" s="80"/>
    </row>
    <row r="485" spans="1:16" s="27" customFormat="1" ht="20.25" hidden="1" customHeight="1" x14ac:dyDescent="0.25">
      <c r="A485" s="6"/>
      <c r="B485" s="441"/>
      <c r="C485" s="2478" t="s">
        <v>6327</v>
      </c>
      <c r="D485" s="2751">
        <f>SUM(D486:D488)</f>
        <v>808000000</v>
      </c>
      <c r="E485" s="2873">
        <f>D485/D357*100</f>
        <v>0.5330702253520071</v>
      </c>
      <c r="F485" s="3851"/>
      <c r="G485" s="2725"/>
      <c r="H485" s="2725"/>
      <c r="I485" s="2725"/>
      <c r="J485" s="2889"/>
      <c r="K485" s="2890"/>
      <c r="L485" s="2751"/>
      <c r="M485" s="2725"/>
      <c r="N485" s="2701"/>
      <c r="P485" s="80"/>
    </row>
    <row r="486" spans="1:16" s="27" customFormat="1" ht="17.25" hidden="1" customHeight="1" x14ac:dyDescent="0.25">
      <c r="A486" s="6"/>
      <c r="B486" s="441"/>
      <c r="C486" s="2473" t="s">
        <v>6328</v>
      </c>
      <c r="D486" s="896">
        <v>55000000</v>
      </c>
      <c r="E486" s="2818">
        <f>D486/D357*100</f>
        <v>3.6285720785099493E-2</v>
      </c>
      <c r="F486" s="3868"/>
      <c r="G486" s="2685"/>
      <c r="H486" s="2685"/>
      <c r="I486" s="2685"/>
      <c r="J486" s="2851"/>
      <c r="K486" s="2852"/>
      <c r="L486" s="896"/>
      <c r="M486" s="2804"/>
      <c r="N486" s="2701"/>
      <c r="P486" s="80"/>
    </row>
    <row r="487" spans="1:16" s="27" customFormat="1" ht="17.25" hidden="1" customHeight="1" x14ac:dyDescent="0.25">
      <c r="A487" s="6"/>
      <c r="B487" s="441"/>
      <c r="C487" s="2476" t="s">
        <v>6329</v>
      </c>
      <c r="D487" s="2709">
        <v>53000000</v>
      </c>
      <c r="E487" s="2818">
        <f>D487/D357*100</f>
        <v>3.4966240029277694E-2</v>
      </c>
      <c r="F487" s="4430"/>
      <c r="G487" s="2708"/>
      <c r="H487" s="2708"/>
      <c r="I487" s="2708"/>
      <c r="J487" s="2871"/>
      <c r="K487" s="2852"/>
      <c r="L487" s="896"/>
      <c r="M487" s="2685"/>
      <c r="N487" s="2701"/>
      <c r="P487" s="80"/>
    </row>
    <row r="488" spans="1:16" s="27" customFormat="1" ht="17.25" hidden="1" customHeight="1" x14ac:dyDescent="0.25">
      <c r="A488" s="6"/>
      <c r="B488" s="441"/>
      <c r="C488" s="2476" t="s">
        <v>6330</v>
      </c>
      <c r="D488" s="2709">
        <v>700000000</v>
      </c>
      <c r="E488" s="2818">
        <f>D488/D357*100</f>
        <v>0.46181826453762997</v>
      </c>
      <c r="F488" s="4430"/>
      <c r="G488" s="2708"/>
      <c r="H488" s="2708"/>
      <c r="I488" s="2708"/>
      <c r="J488" s="2871"/>
      <c r="K488" s="2852"/>
      <c r="L488" s="896"/>
      <c r="M488" s="2685"/>
      <c r="N488" s="2701"/>
      <c r="P488" s="80"/>
    </row>
    <row r="489" spans="1:16" s="27" customFormat="1" ht="10.5" hidden="1" customHeight="1" x14ac:dyDescent="0.25">
      <c r="A489" s="6"/>
      <c r="B489" s="441"/>
      <c r="C489" s="2476"/>
      <c r="D489" s="2709"/>
      <c r="E489" s="2818"/>
      <c r="F489" s="4430"/>
      <c r="G489" s="2708"/>
      <c r="H489" s="2708"/>
      <c r="I489" s="2708"/>
      <c r="J489" s="2871"/>
      <c r="K489" s="2834"/>
      <c r="L489" s="2830"/>
      <c r="M489" s="2830"/>
      <c r="N489" s="2701"/>
      <c r="P489" s="80"/>
    </row>
    <row r="490" spans="1:16" s="27" customFormat="1" ht="18" hidden="1" customHeight="1" x14ac:dyDescent="0.25">
      <c r="A490" s="6"/>
      <c r="B490" s="441"/>
      <c r="C490" s="2474" t="s">
        <v>6325</v>
      </c>
      <c r="D490" s="899">
        <f>D491</f>
        <v>228000000</v>
      </c>
      <c r="E490" s="2873">
        <f>D490/D357*100</f>
        <v>0.15042080616368519</v>
      </c>
      <c r="F490" s="3868"/>
      <c r="G490" s="2685"/>
      <c r="H490" s="2685"/>
      <c r="I490" s="2685"/>
      <c r="J490" s="2851"/>
      <c r="K490" s="2700"/>
      <c r="L490" s="2685"/>
      <c r="M490" s="2685"/>
      <c r="N490" s="2701"/>
      <c r="P490" s="80"/>
    </row>
    <row r="491" spans="1:16" s="27" customFormat="1" ht="19.5" hidden="1" customHeight="1" x14ac:dyDescent="0.25">
      <c r="A491" s="6"/>
      <c r="B491" s="441"/>
      <c r="C491" s="2473" t="s">
        <v>6331</v>
      </c>
      <c r="D491" s="896">
        <v>228000000</v>
      </c>
      <c r="E491" s="2818">
        <f>D491/D357*100</f>
        <v>0.15042080616368519</v>
      </c>
      <c r="F491" s="3868"/>
      <c r="G491" s="2685"/>
      <c r="H491" s="2685"/>
      <c r="I491" s="2685"/>
      <c r="J491" s="2851"/>
      <c r="K491" s="2700"/>
      <c r="L491" s="2685"/>
      <c r="M491" s="2685"/>
      <c r="N491" s="2701"/>
      <c r="P491" s="80"/>
    </row>
    <row r="492" spans="1:16" s="27" customFormat="1" ht="11.25" hidden="1" customHeight="1" x14ac:dyDescent="0.25">
      <c r="A492" s="6"/>
      <c r="B492" s="441"/>
      <c r="C492" s="2473"/>
      <c r="D492" s="896"/>
      <c r="E492" s="2818"/>
      <c r="F492" s="3868"/>
      <c r="G492" s="2685"/>
      <c r="H492" s="2685"/>
      <c r="I492" s="2685"/>
      <c r="J492" s="2851"/>
      <c r="K492" s="2700"/>
      <c r="L492" s="2685"/>
      <c r="M492" s="2685"/>
      <c r="N492" s="2701"/>
      <c r="P492" s="80"/>
    </row>
    <row r="493" spans="1:16" s="27" customFormat="1" ht="30.75" hidden="1" customHeight="1" x14ac:dyDescent="0.25">
      <c r="A493" s="6"/>
      <c r="B493" s="441"/>
      <c r="C493" s="2474" t="s">
        <v>6332</v>
      </c>
      <c r="D493" s="899">
        <f>SUM(D494:D496)</f>
        <v>404700000</v>
      </c>
      <c r="E493" s="2873">
        <f>D493/D357*100</f>
        <v>0.26699693094054117</v>
      </c>
      <c r="F493" s="3868"/>
      <c r="G493" s="2685"/>
      <c r="H493" s="2685"/>
      <c r="I493" s="2685"/>
      <c r="J493" s="2851"/>
      <c r="K493" s="2700"/>
      <c r="L493" s="2685"/>
      <c r="M493" s="2685"/>
      <c r="N493" s="2701"/>
      <c r="P493" s="80"/>
    </row>
    <row r="494" spans="1:16" s="27" customFormat="1" ht="29.25" hidden="1" customHeight="1" x14ac:dyDescent="0.25">
      <c r="A494" s="6"/>
      <c r="B494" s="441"/>
      <c r="C494" s="2473" t="s">
        <v>6335</v>
      </c>
      <c r="D494" s="896">
        <v>165850000</v>
      </c>
      <c r="E494" s="2818">
        <f>D494/D357*100</f>
        <v>0.10941794167652275</v>
      </c>
      <c r="F494" s="3868"/>
      <c r="G494" s="2685"/>
      <c r="H494" s="2685"/>
      <c r="I494" s="2685"/>
      <c r="J494" s="2851"/>
      <c r="K494" s="2700"/>
      <c r="L494" s="2685"/>
      <c r="M494" s="2685"/>
      <c r="N494" s="2701"/>
      <c r="P494" s="80"/>
    </row>
    <row r="495" spans="1:16" s="27" customFormat="1" ht="29.25" hidden="1" customHeight="1" x14ac:dyDescent="0.25">
      <c r="A495" s="6"/>
      <c r="B495" s="441"/>
      <c r="C495" s="2473" t="s">
        <v>6333</v>
      </c>
      <c r="D495" s="896">
        <v>100000000</v>
      </c>
      <c r="E495" s="2818">
        <f>D495/D357*100</f>
        <v>6.5974037791089984E-2</v>
      </c>
      <c r="F495" s="3868"/>
      <c r="G495" s="2685"/>
      <c r="H495" s="2685"/>
      <c r="I495" s="2685"/>
      <c r="J495" s="2851"/>
      <c r="K495" s="2700"/>
      <c r="L495" s="2685"/>
      <c r="M495" s="2685"/>
      <c r="N495" s="2701"/>
      <c r="P495" s="80"/>
    </row>
    <row r="496" spans="1:16" s="27" customFormat="1" ht="21.75" hidden="1" customHeight="1" x14ac:dyDescent="0.25">
      <c r="A496" s="6"/>
      <c r="B496" s="441"/>
      <c r="C496" s="2473" t="s">
        <v>6334</v>
      </c>
      <c r="D496" s="896">
        <v>138850000</v>
      </c>
      <c r="E496" s="2818">
        <f>D496/D357*100</f>
        <v>9.160495147292845E-2</v>
      </c>
      <c r="F496" s="3868"/>
      <c r="G496" s="2685"/>
      <c r="H496" s="2685"/>
      <c r="I496" s="2685"/>
      <c r="J496" s="2851"/>
      <c r="K496" s="2700"/>
      <c r="L496" s="2685"/>
      <c r="M496" s="2685"/>
      <c r="N496" s="2701"/>
      <c r="P496" s="80"/>
    </row>
    <row r="497" spans="1:16" s="27" customFormat="1" ht="9" hidden="1" customHeight="1" x14ac:dyDescent="0.25">
      <c r="A497" s="6"/>
      <c r="B497" s="441"/>
      <c r="C497" s="2473"/>
      <c r="D497" s="896"/>
      <c r="E497" s="2810"/>
      <c r="F497" s="3868"/>
      <c r="G497" s="2685"/>
      <c r="H497" s="2685"/>
      <c r="I497" s="2685"/>
      <c r="J497" s="2851"/>
      <c r="K497" s="2700"/>
      <c r="L497" s="2685"/>
      <c r="M497" s="2685"/>
      <c r="N497" s="2701"/>
      <c r="P497" s="80"/>
    </row>
    <row r="498" spans="1:16" s="27" customFormat="1" ht="18" hidden="1" customHeight="1" x14ac:dyDescent="0.25">
      <c r="A498" s="6"/>
      <c r="B498" s="441"/>
      <c r="C498" s="2474" t="s">
        <v>6326</v>
      </c>
      <c r="D498" s="899">
        <f>D499+D500</f>
        <v>132000000</v>
      </c>
      <c r="E498" s="2873">
        <f>D498/D357*100</f>
        <v>8.708572988423878E-2</v>
      </c>
      <c r="F498" s="3868"/>
      <c r="G498" s="2685"/>
      <c r="H498" s="2685"/>
      <c r="I498" s="2685"/>
      <c r="J498" s="2851"/>
      <c r="K498" s="2700"/>
      <c r="L498" s="2685"/>
      <c r="M498" s="2685"/>
      <c r="N498" s="2701"/>
      <c r="P498" s="80"/>
    </row>
    <row r="499" spans="1:16" s="27" customFormat="1" ht="17.25" hidden="1" customHeight="1" x14ac:dyDescent="0.25">
      <c r="A499" s="6"/>
      <c r="B499" s="441"/>
      <c r="C499" s="2473" t="s">
        <v>6336</v>
      </c>
      <c r="D499" s="896">
        <v>62000000</v>
      </c>
      <c r="E499" s="2818">
        <f>D499/D357*100</f>
        <v>4.0903903430475792E-2</v>
      </c>
      <c r="F499" s="3868"/>
      <c r="G499" s="2685"/>
      <c r="H499" s="2685"/>
      <c r="I499" s="2685"/>
      <c r="J499" s="2851"/>
      <c r="K499" s="2700"/>
      <c r="L499" s="2685"/>
      <c r="M499" s="2685"/>
      <c r="N499" s="2701"/>
      <c r="P499" s="80"/>
    </row>
    <row r="500" spans="1:16" s="27" customFormat="1" ht="17.25" hidden="1" customHeight="1" x14ac:dyDescent="0.25">
      <c r="A500" s="6"/>
      <c r="B500" s="441"/>
      <c r="C500" s="2476" t="s">
        <v>6337</v>
      </c>
      <c r="D500" s="2709">
        <v>70000000</v>
      </c>
      <c r="E500" s="2818">
        <f>D500/D357*100</f>
        <v>4.6181826453762995E-2</v>
      </c>
      <c r="F500" s="4430"/>
      <c r="G500" s="2708"/>
      <c r="H500" s="2708"/>
      <c r="I500" s="2708"/>
      <c r="J500" s="2871"/>
      <c r="K500" s="2831"/>
      <c r="L500" s="2708"/>
      <c r="M500" s="2708"/>
      <c r="N500" s="2701"/>
      <c r="P500" s="80"/>
    </row>
    <row r="501" spans="1:16" s="27" customFormat="1" ht="9.75" hidden="1" customHeight="1" x14ac:dyDescent="0.25">
      <c r="A501" s="6"/>
      <c r="B501" s="441"/>
      <c r="C501" s="2476"/>
      <c r="D501" s="2709"/>
      <c r="E501" s="2818"/>
      <c r="F501" s="4430"/>
      <c r="G501" s="2708"/>
      <c r="H501" s="2708"/>
      <c r="I501" s="2708"/>
      <c r="J501" s="2871"/>
      <c r="K501" s="2831"/>
      <c r="L501" s="2708"/>
      <c r="M501" s="2708"/>
      <c r="N501" s="2701"/>
      <c r="P501" s="80"/>
    </row>
    <row r="502" spans="1:16" s="27" customFormat="1" ht="17.25" hidden="1" customHeight="1" x14ac:dyDescent="0.25">
      <c r="A502" s="6"/>
      <c r="B502" s="441"/>
      <c r="C502" s="2477" t="s">
        <v>6338</v>
      </c>
      <c r="D502" s="2767">
        <f>D503</f>
        <v>100000000</v>
      </c>
      <c r="E502" s="2873">
        <f>D502/D357*100</f>
        <v>6.5974037791089984E-2</v>
      </c>
      <c r="F502" s="4430"/>
      <c r="G502" s="2708"/>
      <c r="H502" s="2708"/>
      <c r="I502" s="2708"/>
      <c r="J502" s="2871"/>
      <c r="K502" s="2831"/>
      <c r="L502" s="2708"/>
      <c r="M502" s="2708"/>
      <c r="N502" s="2701"/>
      <c r="P502" s="80"/>
    </row>
    <row r="503" spans="1:16" s="27" customFormat="1" ht="16.5" hidden="1" customHeight="1" x14ac:dyDescent="0.25">
      <c r="A503" s="6"/>
      <c r="B503" s="441"/>
      <c r="C503" s="2476" t="s">
        <v>6339</v>
      </c>
      <c r="D503" s="2709">
        <v>100000000</v>
      </c>
      <c r="E503" s="2818">
        <f>D503/D357*100</f>
        <v>6.5974037791089984E-2</v>
      </c>
      <c r="F503" s="4430"/>
      <c r="G503" s="2708"/>
      <c r="H503" s="2708"/>
      <c r="I503" s="2708"/>
      <c r="J503" s="2871"/>
      <c r="K503" s="2831"/>
      <c r="L503" s="2708"/>
      <c r="M503" s="2708"/>
      <c r="N503" s="2701"/>
      <c r="P503" s="80"/>
    </row>
    <row r="504" spans="1:16" s="27" customFormat="1" ht="13.5" hidden="1" customHeight="1" x14ac:dyDescent="0.25">
      <c r="A504" s="6"/>
      <c r="B504" s="441"/>
      <c r="C504" s="2518"/>
      <c r="D504" s="2894"/>
      <c r="E504" s="2895"/>
      <c r="F504" s="4433"/>
      <c r="G504" s="2911"/>
      <c r="H504" s="2911"/>
      <c r="I504" s="2911"/>
      <c r="J504" s="2896"/>
      <c r="K504" s="2897"/>
      <c r="L504" s="2911"/>
      <c r="M504" s="2911"/>
      <c r="N504" s="2701"/>
      <c r="P504" s="80"/>
    </row>
    <row r="505" spans="1:16" s="27" customFormat="1" ht="17.25" hidden="1" customHeight="1" x14ac:dyDescent="0.25">
      <c r="A505" s="6"/>
      <c r="B505" s="440"/>
      <c r="C505" s="2471" t="s">
        <v>6340</v>
      </c>
      <c r="D505" s="2744">
        <f>D506</f>
        <v>199100000</v>
      </c>
      <c r="E505" s="2786">
        <f>D505/D357*100</f>
        <v>0.13135430924206018</v>
      </c>
      <c r="F505" s="3850"/>
      <c r="G505" s="2909"/>
      <c r="H505" s="2719"/>
      <c r="I505" s="2719"/>
      <c r="J505" s="2910"/>
      <c r="K505" s="2910"/>
      <c r="L505" s="2719"/>
      <c r="M505" s="2719"/>
      <c r="N505" s="2701"/>
      <c r="P505" s="80"/>
    </row>
    <row r="506" spans="1:16" s="27" customFormat="1" ht="18" hidden="1" customHeight="1" x14ac:dyDescent="0.25">
      <c r="A506" s="6"/>
      <c r="B506" s="441"/>
      <c r="C506" s="2478" t="s">
        <v>6341</v>
      </c>
      <c r="D506" s="2751">
        <f>D507</f>
        <v>199100000</v>
      </c>
      <c r="E506" s="2873">
        <f>D506/D357*100</f>
        <v>0.13135430924206018</v>
      </c>
      <c r="F506" s="3851"/>
      <c r="G506" s="2908"/>
      <c r="H506" s="2679"/>
      <c r="I506" s="2725"/>
      <c r="J506" s="2889"/>
      <c r="K506" s="2892"/>
      <c r="L506" s="2679"/>
      <c r="M506" s="2725"/>
      <c r="N506" s="2701"/>
      <c r="P506" s="80"/>
    </row>
    <row r="507" spans="1:16" s="27" customFormat="1" ht="20.25" hidden="1" customHeight="1" x14ac:dyDescent="0.25">
      <c r="A507" s="6"/>
      <c r="B507" s="441"/>
      <c r="C507" s="2473" t="s">
        <v>6342</v>
      </c>
      <c r="D507" s="896">
        <v>199100000</v>
      </c>
      <c r="E507" s="2810">
        <f>D507/D357*100</f>
        <v>0.13135430924206018</v>
      </c>
      <c r="F507" s="3868"/>
      <c r="G507" s="2878"/>
      <c r="H507" s="2685"/>
      <c r="I507" s="2685"/>
      <c r="J507" s="2851"/>
      <c r="K507" s="2851"/>
      <c r="L507" s="2685"/>
      <c r="M507" s="2685"/>
      <c r="N507" s="2701"/>
      <c r="P507" s="80"/>
    </row>
    <row r="508" spans="1:16" s="20" customFormat="1" ht="13.5" hidden="1" customHeight="1" x14ac:dyDescent="0.25">
      <c r="A508" s="963"/>
      <c r="B508" s="441"/>
      <c r="C508" s="2475"/>
      <c r="D508" s="2769"/>
      <c r="E508" s="2840"/>
      <c r="F508" s="3872"/>
      <c r="G508" s="2830"/>
      <c r="H508" s="2830"/>
      <c r="I508" s="2830"/>
      <c r="J508" s="2913"/>
      <c r="K508" s="2831"/>
      <c r="L508" s="2708"/>
      <c r="M508" s="2708"/>
      <c r="N508" s="2704"/>
      <c r="P508" s="617"/>
    </row>
    <row r="509" spans="1:16" s="27" customFormat="1" ht="16.5" hidden="1" customHeight="1" x14ac:dyDescent="0.25">
      <c r="A509" s="6"/>
      <c r="B509" s="440"/>
      <c r="C509" s="2520" t="s">
        <v>1637</v>
      </c>
      <c r="D509" s="2530">
        <f>D510+D515+D518</f>
        <v>2232950000</v>
      </c>
      <c r="E509" s="2786">
        <f>D509/D357*100</f>
        <v>1.4731672768561439</v>
      </c>
      <c r="F509" s="3854"/>
      <c r="G509" s="2914"/>
      <c r="H509" s="2719"/>
      <c r="I509" s="2719"/>
      <c r="J509" s="2914"/>
      <c r="K509" s="2914"/>
      <c r="L509" s="2719"/>
      <c r="M509" s="2719"/>
      <c r="N509" s="2701"/>
      <c r="P509" s="80"/>
    </row>
    <row r="510" spans="1:16" s="27" customFormat="1" ht="20.25" hidden="1" customHeight="1" x14ac:dyDescent="0.25">
      <c r="A510" s="6"/>
      <c r="B510" s="441"/>
      <c r="C510" s="2478" t="s">
        <v>6343</v>
      </c>
      <c r="D510" s="2751">
        <f>SUM(D511:D513)</f>
        <v>768400000</v>
      </c>
      <c r="E510" s="2873">
        <f>D510/D357*100</f>
        <v>0.50694450638673549</v>
      </c>
      <c r="F510" s="3851"/>
      <c r="G510" s="2804"/>
      <c r="H510" s="2804"/>
      <c r="I510" s="2804"/>
      <c r="J510" s="2889"/>
      <c r="K510" s="2892"/>
      <c r="L510" s="2679"/>
      <c r="M510" s="2725"/>
      <c r="N510" s="2701"/>
      <c r="P510" s="80"/>
    </row>
    <row r="511" spans="1:16" s="27" customFormat="1" ht="15.75" hidden="1" customHeight="1" x14ac:dyDescent="0.25">
      <c r="A511" s="6"/>
      <c r="B511" s="441"/>
      <c r="C511" s="2473" t="s">
        <v>6344</v>
      </c>
      <c r="D511" s="896">
        <v>219500000</v>
      </c>
      <c r="E511" s="2818">
        <f>D511/D357*100</f>
        <v>0.14481301295144253</v>
      </c>
      <c r="F511" s="3868"/>
      <c r="G511" s="2685"/>
      <c r="H511" s="2685"/>
      <c r="I511" s="2685"/>
      <c r="J511" s="2851"/>
      <c r="K511" s="2852"/>
      <c r="L511" s="2685"/>
      <c r="M511" s="2685"/>
      <c r="N511" s="2701"/>
      <c r="P511" s="80"/>
    </row>
    <row r="512" spans="1:16" s="27" customFormat="1" ht="15.75" hidden="1" customHeight="1" x14ac:dyDescent="0.25">
      <c r="A512" s="6"/>
      <c r="B512" s="441"/>
      <c r="C512" s="2473" t="s">
        <v>6345</v>
      </c>
      <c r="D512" s="896">
        <v>384050000</v>
      </c>
      <c r="E512" s="2818">
        <f>D512/D357*100</f>
        <v>0.25337329213668108</v>
      </c>
      <c r="F512" s="3868"/>
      <c r="G512" s="2685"/>
      <c r="H512" s="2685"/>
      <c r="I512" s="2685"/>
      <c r="J512" s="2851"/>
      <c r="K512" s="2700"/>
      <c r="L512" s="2685"/>
      <c r="M512" s="2685"/>
      <c r="N512" s="2701"/>
      <c r="P512" s="80"/>
    </row>
    <row r="513" spans="1:16" s="27" customFormat="1" ht="18.75" hidden="1" customHeight="1" x14ac:dyDescent="0.25">
      <c r="A513" s="6"/>
      <c r="B513" s="441"/>
      <c r="C513" s="2476" t="s">
        <v>6346</v>
      </c>
      <c r="D513" s="2709">
        <v>164850000</v>
      </c>
      <c r="E513" s="2818">
        <f>D513/D357*100</f>
        <v>0.10875820129861184</v>
      </c>
      <c r="F513" s="4430"/>
      <c r="G513" s="2708"/>
      <c r="H513" s="2708"/>
      <c r="I513" s="2708"/>
      <c r="J513" s="2871"/>
      <c r="K513" s="2700"/>
      <c r="L513" s="2708"/>
      <c r="M513" s="2708"/>
      <c r="N513" s="2701"/>
      <c r="P513" s="80"/>
    </row>
    <row r="514" spans="1:16" s="27" customFormat="1" ht="11.25" hidden="1" customHeight="1" x14ac:dyDescent="0.25">
      <c r="A514" s="6"/>
      <c r="B514" s="441"/>
      <c r="C514" s="2476"/>
      <c r="D514" s="2709"/>
      <c r="E514" s="2818"/>
      <c r="F514" s="4430"/>
      <c r="G514" s="2708"/>
      <c r="H514" s="2708"/>
      <c r="I514" s="2708"/>
      <c r="J514" s="2871"/>
      <c r="K514" s="2700"/>
      <c r="L514" s="2708"/>
      <c r="M514" s="2708"/>
      <c r="N514" s="2701"/>
      <c r="P514" s="80"/>
    </row>
    <row r="515" spans="1:16" s="27" customFormat="1" ht="19.5" hidden="1" customHeight="1" x14ac:dyDescent="0.25">
      <c r="A515" s="6"/>
      <c r="B515" s="441"/>
      <c r="C515" s="2477" t="s">
        <v>6347</v>
      </c>
      <c r="D515" s="2767">
        <f>D516</f>
        <v>1287100000</v>
      </c>
      <c r="E515" s="2873">
        <f>D515/D357*100</f>
        <v>0.84915184040911929</v>
      </c>
      <c r="F515" s="4430"/>
      <c r="G515" s="2708"/>
      <c r="H515" s="2708"/>
      <c r="I515" s="2708"/>
      <c r="J515" s="2871"/>
      <c r="K515" s="2700"/>
      <c r="L515" s="2708"/>
      <c r="M515" s="2708"/>
      <c r="N515" s="2701"/>
      <c r="P515" s="80"/>
    </row>
    <row r="516" spans="1:16" s="27" customFormat="1" ht="15.75" hidden="1" customHeight="1" x14ac:dyDescent="0.25">
      <c r="A516" s="6"/>
      <c r="B516" s="441"/>
      <c r="C516" s="2476" t="s">
        <v>6348</v>
      </c>
      <c r="D516" s="2709">
        <v>1287100000</v>
      </c>
      <c r="E516" s="2818">
        <f>D516/D357*100</f>
        <v>0.84915184040911929</v>
      </c>
      <c r="F516" s="4430"/>
      <c r="G516" s="2708"/>
      <c r="H516" s="2708"/>
      <c r="I516" s="2708"/>
      <c r="J516" s="2871"/>
      <c r="K516" s="2700"/>
      <c r="L516" s="2708"/>
      <c r="M516" s="2708"/>
      <c r="N516" s="2701"/>
      <c r="P516" s="80"/>
    </row>
    <row r="517" spans="1:16" s="27" customFormat="1" ht="9" hidden="1" customHeight="1" x14ac:dyDescent="0.25">
      <c r="A517" s="6"/>
      <c r="B517" s="441"/>
      <c r="C517" s="2476"/>
      <c r="D517" s="2709"/>
      <c r="E517" s="2818"/>
      <c r="F517" s="4430"/>
      <c r="G517" s="2708"/>
      <c r="H517" s="2708"/>
      <c r="I517" s="2708"/>
      <c r="J517" s="2871"/>
      <c r="K517" s="2700"/>
      <c r="L517" s="2708"/>
      <c r="M517" s="2708"/>
      <c r="N517" s="2701"/>
      <c r="P517" s="80"/>
    </row>
    <row r="518" spans="1:16" s="27" customFormat="1" ht="20.25" hidden="1" customHeight="1" x14ac:dyDescent="0.25">
      <c r="A518" s="6"/>
      <c r="B518" s="441"/>
      <c r="C518" s="2477" t="s">
        <v>6349</v>
      </c>
      <c r="D518" s="2767">
        <f>D519</f>
        <v>177450000</v>
      </c>
      <c r="E518" s="2873">
        <f>D518/D357*100</f>
        <v>0.11707093006028918</v>
      </c>
      <c r="F518" s="4430"/>
      <c r="G518" s="2708"/>
      <c r="H518" s="2708"/>
      <c r="I518" s="2708"/>
      <c r="J518" s="2871"/>
      <c r="K518" s="2700"/>
      <c r="L518" s="2708"/>
      <c r="M518" s="2708"/>
      <c r="N518" s="2701"/>
      <c r="P518" s="80"/>
    </row>
    <row r="519" spans="1:16" s="27" customFormat="1" ht="28.5" hidden="1" customHeight="1" x14ac:dyDescent="0.25">
      <c r="A519" s="6"/>
      <c r="B519" s="441"/>
      <c r="C519" s="2476" t="s">
        <v>6350</v>
      </c>
      <c r="D519" s="2709">
        <v>177450000</v>
      </c>
      <c r="E519" s="2818">
        <f>D519/D357*100</f>
        <v>0.11707093006028918</v>
      </c>
      <c r="F519" s="4430"/>
      <c r="G519" s="2708"/>
      <c r="H519" s="2708"/>
      <c r="I519" s="2708"/>
      <c r="J519" s="2871"/>
      <c r="K519" s="2700"/>
      <c r="L519" s="2708"/>
      <c r="M519" s="2708"/>
      <c r="N519" s="2701"/>
      <c r="P519" s="80"/>
    </row>
    <row r="520" spans="1:16" s="27" customFormat="1" ht="13.5" hidden="1" customHeight="1" x14ac:dyDescent="0.25">
      <c r="A520" s="6"/>
      <c r="B520" s="441"/>
      <c r="C520" s="2476"/>
      <c r="D520" s="2709"/>
      <c r="E520" s="2818"/>
      <c r="F520" s="4430"/>
      <c r="G520" s="2708"/>
      <c r="H520" s="2708"/>
      <c r="I520" s="2708"/>
      <c r="J520" s="2871"/>
      <c r="K520" s="2834"/>
      <c r="L520" s="2708"/>
      <c r="M520" s="2708"/>
      <c r="N520" s="2701"/>
      <c r="P520" s="80"/>
    </row>
    <row r="521" spans="1:16" s="27" customFormat="1" ht="17.25" hidden="1" customHeight="1" x14ac:dyDescent="0.25">
      <c r="A521" s="6"/>
      <c r="B521" s="440"/>
      <c r="C521" s="2471" t="s">
        <v>6351</v>
      </c>
      <c r="D521" s="2744">
        <f>D522</f>
        <v>590000000</v>
      </c>
      <c r="E521" s="2786">
        <f>D521/D357*100</f>
        <v>0.38924682296743096</v>
      </c>
      <c r="F521" s="3850"/>
      <c r="G521" s="2909"/>
      <c r="H521" s="2719"/>
      <c r="I521" s="2719"/>
      <c r="J521" s="2910"/>
      <c r="K521" s="2720"/>
      <c r="L521" s="2719"/>
      <c r="M521" s="2719"/>
      <c r="N521" s="2701"/>
      <c r="P521" s="80"/>
    </row>
    <row r="522" spans="1:16" s="27" customFormat="1" ht="18" hidden="1" customHeight="1" x14ac:dyDescent="0.25">
      <c r="A522" s="6"/>
      <c r="B522" s="441"/>
      <c r="C522" s="2472" t="s">
        <v>6352</v>
      </c>
      <c r="D522" s="2759">
        <f>D523</f>
        <v>590000000</v>
      </c>
      <c r="E522" s="2873">
        <f>D522/D357*100</f>
        <v>0.38924682296743096</v>
      </c>
      <c r="F522" s="3855"/>
      <c r="G522" s="2915"/>
      <c r="H522" s="2679"/>
      <c r="I522" s="2725"/>
      <c r="J522" s="2916"/>
      <c r="K522" s="2916"/>
      <c r="L522" s="2679"/>
      <c r="M522" s="2725"/>
      <c r="N522" s="2701"/>
      <c r="P522" s="80"/>
    </row>
    <row r="523" spans="1:16" s="27" customFormat="1" ht="17.25" hidden="1" customHeight="1" x14ac:dyDescent="0.25">
      <c r="A523" s="6"/>
      <c r="B523" s="441"/>
      <c r="C523" s="2473" t="s">
        <v>6353</v>
      </c>
      <c r="D523" s="896">
        <v>590000000</v>
      </c>
      <c r="E523" s="2810">
        <f>D523/D357*100</f>
        <v>0.38924682296743096</v>
      </c>
      <c r="F523" s="3868"/>
      <c r="G523" s="2685"/>
      <c r="H523" s="2685"/>
      <c r="I523" s="2685"/>
      <c r="J523" s="2851"/>
      <c r="K523" s="2852"/>
      <c r="L523" s="2685"/>
      <c r="M523" s="2685"/>
      <c r="N523" s="2701"/>
      <c r="P523" s="80"/>
    </row>
    <row r="524" spans="1:16" s="27" customFormat="1" ht="13.5" hidden="1" customHeight="1" x14ac:dyDescent="0.25">
      <c r="A524" s="6"/>
      <c r="B524" s="441"/>
      <c r="C524" s="2475"/>
      <c r="D524" s="2769"/>
      <c r="E524" s="2840"/>
      <c r="F524" s="3872"/>
      <c r="G524" s="2830"/>
      <c r="H524" s="2830"/>
      <c r="I524" s="2830"/>
      <c r="J524" s="2913"/>
      <c r="K524" s="2834"/>
      <c r="L524" s="2830"/>
      <c r="M524" s="2830"/>
      <c r="N524" s="2701"/>
      <c r="P524" s="80"/>
    </row>
    <row r="525" spans="1:16" s="27" customFormat="1" ht="16.5" hidden="1" customHeight="1" x14ac:dyDescent="0.25">
      <c r="A525" s="6"/>
      <c r="B525" s="440"/>
      <c r="C525" s="2471" t="s">
        <v>6354</v>
      </c>
      <c r="D525" s="2744">
        <f>D526</f>
        <v>900000000</v>
      </c>
      <c r="E525" s="2786">
        <f>D525/D357*100</f>
        <v>0.59376634011980989</v>
      </c>
      <c r="F525" s="3850"/>
      <c r="G525" s="2719"/>
      <c r="H525" s="2719"/>
      <c r="I525" s="2719"/>
      <c r="J525" s="2910"/>
      <c r="K525" s="2917"/>
      <c r="L525" s="2719"/>
      <c r="M525" s="2719"/>
      <c r="N525" s="2701"/>
      <c r="P525" s="80"/>
    </row>
    <row r="526" spans="1:16" s="27" customFormat="1" ht="16.5" hidden="1" customHeight="1" x14ac:dyDescent="0.25">
      <c r="A526" s="6"/>
      <c r="B526" s="441"/>
      <c r="C526" s="2472" t="s">
        <v>6355</v>
      </c>
      <c r="D526" s="2759">
        <f>SUM(D527:D529)</f>
        <v>900000000</v>
      </c>
      <c r="E526" s="2873">
        <f>D526/D357*100</f>
        <v>0.59376634011980989</v>
      </c>
      <c r="F526" s="3855"/>
      <c r="G526" s="2725"/>
      <c r="H526" s="2725"/>
      <c r="I526" s="2725"/>
      <c r="J526" s="2916"/>
      <c r="K526" s="2916"/>
      <c r="L526" s="2679"/>
      <c r="M526" s="2725"/>
      <c r="N526" s="2701"/>
      <c r="P526" s="80"/>
    </row>
    <row r="527" spans="1:16" s="27" customFormat="1" ht="16.5" hidden="1" customHeight="1" x14ac:dyDescent="0.25">
      <c r="A527" s="6"/>
      <c r="B527" s="441"/>
      <c r="C527" s="2473" t="s">
        <v>6356</v>
      </c>
      <c r="D527" s="896">
        <v>600000000</v>
      </c>
      <c r="E527" s="2818">
        <f>D527/D357*100</f>
        <v>0.39584422674653991</v>
      </c>
      <c r="F527" s="3868"/>
      <c r="G527" s="2685"/>
      <c r="H527" s="2685"/>
      <c r="I527" s="2685"/>
      <c r="J527" s="2851"/>
      <c r="K527" s="2852"/>
      <c r="L527" s="2685"/>
      <c r="M527" s="2685"/>
      <c r="N527" s="2701"/>
      <c r="P527" s="80"/>
    </row>
    <row r="528" spans="1:16" s="27" customFormat="1" ht="16.5" hidden="1" customHeight="1" x14ac:dyDescent="0.25">
      <c r="A528" s="6"/>
      <c r="B528" s="441"/>
      <c r="C528" s="2476" t="s">
        <v>6357</v>
      </c>
      <c r="D528" s="2709">
        <v>180000000</v>
      </c>
      <c r="E528" s="2818">
        <f>D528/D357*100</f>
        <v>0.11875326802396199</v>
      </c>
      <c r="F528" s="4430"/>
      <c r="G528" s="2708"/>
      <c r="H528" s="2708"/>
      <c r="I528" s="2708"/>
      <c r="J528" s="2871"/>
      <c r="K528" s="2852"/>
      <c r="L528" s="2708"/>
      <c r="M528" s="2708"/>
      <c r="N528" s="2701"/>
      <c r="P528" s="80"/>
    </row>
    <row r="529" spans="1:16" s="27" customFormat="1" ht="16.5" hidden="1" customHeight="1" x14ac:dyDescent="0.25">
      <c r="A529" s="6"/>
      <c r="B529" s="441"/>
      <c r="C529" s="2476" t="s">
        <v>6358</v>
      </c>
      <c r="D529" s="2709">
        <v>120000000</v>
      </c>
      <c r="E529" s="2818">
        <f>D529/D357*100</f>
        <v>7.9168845349307987E-2</v>
      </c>
      <c r="F529" s="4430"/>
      <c r="G529" s="2708"/>
      <c r="H529" s="2708"/>
      <c r="I529" s="2708"/>
      <c r="J529" s="2871"/>
      <c r="K529" s="2852"/>
      <c r="L529" s="2708"/>
      <c r="M529" s="2708"/>
      <c r="N529" s="2701"/>
      <c r="P529" s="80"/>
    </row>
    <row r="530" spans="1:16" s="27" customFormat="1" ht="13.5" hidden="1" customHeight="1" x14ac:dyDescent="0.25">
      <c r="A530" s="6"/>
      <c r="B530" s="441"/>
      <c r="C530" s="2476"/>
      <c r="D530" s="2709"/>
      <c r="E530" s="2818"/>
      <c r="F530" s="4430"/>
      <c r="G530" s="2708"/>
      <c r="H530" s="2708"/>
      <c r="I530" s="2708"/>
      <c r="J530" s="2871"/>
      <c r="K530" s="2834"/>
      <c r="L530" s="2708"/>
      <c r="M530" s="2708"/>
      <c r="N530" s="2701"/>
      <c r="P530" s="80"/>
    </row>
    <row r="531" spans="1:16" ht="17.25" hidden="1" customHeight="1" x14ac:dyDescent="0.25">
      <c r="B531" s="440"/>
      <c r="C531" s="2471" t="s">
        <v>6359</v>
      </c>
      <c r="D531" s="2744">
        <f>SUM(D532+D535+D538+D542+D546+D549)</f>
        <v>1900000000</v>
      </c>
      <c r="E531" s="2786">
        <f>D531/D357*100</f>
        <v>1.2535067180307098</v>
      </c>
      <c r="F531" s="3850"/>
      <c r="G531" s="2909"/>
      <c r="H531" s="2719"/>
      <c r="I531" s="2719"/>
      <c r="J531" s="2910"/>
      <c r="K531" s="2910"/>
      <c r="L531" s="2719"/>
      <c r="M531" s="2719"/>
      <c r="N531" s="2768"/>
    </row>
    <row r="532" spans="1:16" s="27" customFormat="1" ht="17.25" hidden="1" customHeight="1" x14ac:dyDescent="0.25">
      <c r="A532" s="6"/>
      <c r="B532" s="441"/>
      <c r="C532" s="2472" t="s">
        <v>6360</v>
      </c>
      <c r="D532" s="2759">
        <f>D533</f>
        <v>220000000</v>
      </c>
      <c r="E532" s="2873">
        <f>D532/D357*100</f>
        <v>0.14514288314039797</v>
      </c>
      <c r="F532" s="3855"/>
      <c r="G532" s="2725"/>
      <c r="H532" s="2679"/>
      <c r="I532" s="2725"/>
      <c r="J532" s="2916"/>
      <c r="K532" s="2916"/>
      <c r="L532" s="2679"/>
      <c r="M532" s="2725"/>
      <c r="N532" s="2701"/>
      <c r="P532" s="80"/>
    </row>
    <row r="533" spans="1:16" s="27" customFormat="1" ht="17.25" hidden="1" customHeight="1" x14ac:dyDescent="0.25">
      <c r="A533" s="6"/>
      <c r="B533" s="441"/>
      <c r="C533" s="2473" t="s">
        <v>6361</v>
      </c>
      <c r="D533" s="896">
        <v>220000000</v>
      </c>
      <c r="E533" s="2818">
        <f>D533/D357*100</f>
        <v>0.14514288314039797</v>
      </c>
      <c r="F533" s="3868"/>
      <c r="G533" s="2685"/>
      <c r="H533" s="2685"/>
      <c r="I533" s="2685"/>
      <c r="J533" s="2851"/>
      <c r="K533" s="2918"/>
      <c r="L533" s="2685"/>
      <c r="M533" s="2685"/>
      <c r="N533" s="2701"/>
      <c r="P533" s="80"/>
    </row>
    <row r="534" spans="1:16" s="27" customFormat="1" ht="9" hidden="1" customHeight="1" x14ac:dyDescent="0.25">
      <c r="A534" s="6"/>
      <c r="B534" s="441"/>
      <c r="C534" s="2473"/>
      <c r="D534" s="896"/>
      <c r="E534" s="2818"/>
      <c r="F534" s="3868"/>
      <c r="G534" s="2685"/>
      <c r="H534" s="2685"/>
      <c r="I534" s="2685"/>
      <c r="J534" s="2851"/>
      <c r="K534" s="2700"/>
      <c r="L534" s="2685"/>
      <c r="M534" s="2685"/>
      <c r="N534" s="2701"/>
      <c r="P534" s="80"/>
    </row>
    <row r="535" spans="1:16" s="27" customFormat="1" ht="30.75" hidden="1" customHeight="1" x14ac:dyDescent="0.25">
      <c r="A535" s="6"/>
      <c r="B535" s="441"/>
      <c r="C535" s="2477" t="s">
        <v>6362</v>
      </c>
      <c r="D535" s="2767">
        <f>D536</f>
        <v>165000000</v>
      </c>
      <c r="E535" s="2873">
        <f>D535/D357*100</f>
        <v>0.10885716235529848</v>
      </c>
      <c r="F535" s="4430"/>
      <c r="G535" s="2708"/>
      <c r="H535" s="2708"/>
      <c r="I535" s="2708"/>
      <c r="J535" s="2871"/>
      <c r="K535" s="2834"/>
      <c r="L535" s="2708"/>
      <c r="M535" s="2708"/>
      <c r="N535" s="2701"/>
      <c r="P535" s="80"/>
    </row>
    <row r="536" spans="1:16" s="27" customFormat="1" ht="16.5" hidden="1" customHeight="1" x14ac:dyDescent="0.25">
      <c r="A536" s="6"/>
      <c r="B536" s="441"/>
      <c r="C536" s="2476" t="s">
        <v>6363</v>
      </c>
      <c r="D536" s="2709">
        <v>165000000</v>
      </c>
      <c r="E536" s="2818">
        <f>D536/D357*100</f>
        <v>0.10885716235529848</v>
      </c>
      <c r="F536" s="4430"/>
      <c r="G536" s="2708"/>
      <c r="H536" s="2708"/>
      <c r="I536" s="2708"/>
      <c r="J536" s="2871"/>
      <c r="K536" s="2700"/>
      <c r="L536" s="2708"/>
      <c r="M536" s="2708"/>
      <c r="N536" s="2701"/>
      <c r="P536" s="80"/>
    </row>
    <row r="537" spans="1:16" s="27" customFormat="1" ht="11.25" hidden="1" customHeight="1" x14ac:dyDescent="0.25">
      <c r="A537" s="6"/>
      <c r="B537" s="441"/>
      <c r="C537" s="2476"/>
      <c r="D537" s="2709"/>
      <c r="E537" s="2818"/>
      <c r="F537" s="4430"/>
      <c r="G537" s="2708"/>
      <c r="H537" s="2708"/>
      <c r="I537" s="2708"/>
      <c r="J537" s="2871"/>
      <c r="K537" s="2700"/>
      <c r="L537" s="2708"/>
      <c r="M537" s="2708"/>
      <c r="N537" s="2701"/>
      <c r="P537" s="80"/>
    </row>
    <row r="538" spans="1:16" s="27" customFormat="1" ht="16.5" hidden="1" customHeight="1" x14ac:dyDescent="0.25">
      <c r="A538" s="6"/>
      <c r="B538" s="441"/>
      <c r="C538" s="2477" t="s">
        <v>6364</v>
      </c>
      <c r="D538" s="2767">
        <f>SUM(D539:D540)</f>
        <v>530000000</v>
      </c>
      <c r="E538" s="2873">
        <f>D538/D357*100</f>
        <v>0.34966240029277695</v>
      </c>
      <c r="F538" s="4430"/>
      <c r="G538" s="2708"/>
      <c r="H538" s="2708"/>
      <c r="I538" s="2708"/>
      <c r="J538" s="2871"/>
      <c r="K538" s="2700"/>
      <c r="L538" s="2708"/>
      <c r="M538" s="2708"/>
      <c r="N538" s="2701"/>
      <c r="P538" s="80"/>
    </row>
    <row r="539" spans="1:16" s="27" customFormat="1" ht="16.5" hidden="1" customHeight="1" x14ac:dyDescent="0.25">
      <c r="A539" s="6"/>
      <c r="B539" s="441"/>
      <c r="C539" s="2476" t="s">
        <v>6365</v>
      </c>
      <c r="D539" s="2709">
        <v>200000000</v>
      </c>
      <c r="E539" s="2818">
        <f>D539/D357*100</f>
        <v>0.13194807558217997</v>
      </c>
      <c r="F539" s="4430"/>
      <c r="G539" s="2708"/>
      <c r="H539" s="2708"/>
      <c r="I539" s="2708"/>
      <c r="J539" s="2871"/>
      <c r="K539" s="2700"/>
      <c r="L539" s="2708"/>
      <c r="M539" s="2708"/>
      <c r="N539" s="2701"/>
      <c r="P539" s="80"/>
    </row>
    <row r="540" spans="1:16" s="27" customFormat="1" ht="16.5" hidden="1" customHeight="1" x14ac:dyDescent="0.25">
      <c r="A540" s="6"/>
      <c r="B540" s="441"/>
      <c r="C540" s="2476" t="s">
        <v>6366</v>
      </c>
      <c r="D540" s="2709">
        <v>330000000</v>
      </c>
      <c r="E540" s="2818">
        <f>D540/D357*100</f>
        <v>0.21771432471059696</v>
      </c>
      <c r="F540" s="4430"/>
      <c r="G540" s="2708"/>
      <c r="H540" s="2708"/>
      <c r="I540" s="2708"/>
      <c r="J540" s="2871"/>
      <c r="K540" s="2700"/>
      <c r="L540" s="2708"/>
      <c r="M540" s="2708"/>
      <c r="N540" s="2701"/>
      <c r="P540" s="80"/>
    </row>
    <row r="541" spans="1:16" s="27" customFormat="1" ht="11.25" hidden="1" customHeight="1" x14ac:dyDescent="0.25">
      <c r="A541" s="6"/>
      <c r="B541" s="441"/>
      <c r="C541" s="2476"/>
      <c r="D541" s="2709"/>
      <c r="E541" s="2818"/>
      <c r="F541" s="4430"/>
      <c r="G541" s="2708"/>
      <c r="H541" s="2708"/>
      <c r="I541" s="2708"/>
      <c r="J541" s="2871"/>
      <c r="K541" s="2700"/>
      <c r="L541" s="2708"/>
      <c r="M541" s="2708"/>
      <c r="N541" s="2701"/>
      <c r="P541" s="80"/>
    </row>
    <row r="542" spans="1:16" s="27" customFormat="1" ht="16.5" hidden="1" customHeight="1" x14ac:dyDescent="0.25">
      <c r="A542" s="6"/>
      <c r="B542" s="441"/>
      <c r="C542" s="2477" t="s">
        <v>6367</v>
      </c>
      <c r="D542" s="2767">
        <f>SUM(D543:D544)</f>
        <v>800000000</v>
      </c>
      <c r="E542" s="2873">
        <f>D542/D357*100</f>
        <v>0.52779230232871988</v>
      </c>
      <c r="F542" s="4430"/>
      <c r="G542" s="2708"/>
      <c r="H542" s="2708"/>
      <c r="I542" s="2708"/>
      <c r="J542" s="2871"/>
      <c r="K542" s="2700"/>
      <c r="L542" s="2708"/>
      <c r="M542" s="2708"/>
      <c r="N542" s="2701"/>
      <c r="P542" s="80"/>
    </row>
    <row r="543" spans="1:16" s="27" customFormat="1" ht="16.5" hidden="1" customHeight="1" x14ac:dyDescent="0.25">
      <c r="A543" s="6"/>
      <c r="B543" s="441"/>
      <c r="C543" s="2476" t="s">
        <v>6368</v>
      </c>
      <c r="D543" s="2709">
        <v>100000000</v>
      </c>
      <c r="E543" s="2818">
        <f>D543/D357*100</f>
        <v>6.5974037791089984E-2</v>
      </c>
      <c r="F543" s="4430"/>
      <c r="G543" s="2708"/>
      <c r="H543" s="2708"/>
      <c r="I543" s="2708"/>
      <c r="J543" s="2871"/>
      <c r="K543" s="2700"/>
      <c r="L543" s="2708"/>
      <c r="M543" s="2708"/>
      <c r="N543" s="2701"/>
      <c r="P543" s="80"/>
    </row>
    <row r="544" spans="1:16" s="27" customFormat="1" ht="16.5" hidden="1" customHeight="1" x14ac:dyDescent="0.25">
      <c r="A544" s="6"/>
      <c r="B544" s="441"/>
      <c r="C544" s="2476" t="s">
        <v>6369</v>
      </c>
      <c r="D544" s="2709">
        <v>700000000</v>
      </c>
      <c r="E544" s="2818">
        <f>D544/D357*100</f>
        <v>0.46181826453762997</v>
      </c>
      <c r="F544" s="4430"/>
      <c r="G544" s="2708"/>
      <c r="H544" s="2708"/>
      <c r="I544" s="2708"/>
      <c r="J544" s="2871"/>
      <c r="K544" s="2700"/>
      <c r="L544" s="2708"/>
      <c r="M544" s="2708"/>
      <c r="N544" s="2701"/>
      <c r="P544" s="80"/>
    </row>
    <row r="545" spans="1:16" s="27" customFormat="1" ht="11.25" hidden="1" customHeight="1" x14ac:dyDescent="0.25">
      <c r="A545" s="6"/>
      <c r="B545" s="441"/>
      <c r="C545" s="2477"/>
      <c r="D545" s="2767"/>
      <c r="E545" s="2818"/>
      <c r="F545" s="4430"/>
      <c r="G545" s="2708"/>
      <c r="H545" s="2708"/>
      <c r="I545" s="2708"/>
      <c r="J545" s="2871"/>
      <c r="K545" s="2700"/>
      <c r="L545" s="2708"/>
      <c r="M545" s="2708"/>
      <c r="N545" s="2701"/>
      <c r="P545" s="80"/>
    </row>
    <row r="546" spans="1:16" s="27" customFormat="1" ht="16.5" hidden="1" customHeight="1" x14ac:dyDescent="0.25">
      <c r="A546" s="6"/>
      <c r="B546" s="441"/>
      <c r="C546" s="2477" t="s">
        <v>6371</v>
      </c>
      <c r="D546" s="2767">
        <f>D547</f>
        <v>150000000</v>
      </c>
      <c r="E546" s="2873">
        <f>D546/D357*100</f>
        <v>9.8961056686634977E-2</v>
      </c>
      <c r="F546" s="4430"/>
      <c r="G546" s="2708"/>
      <c r="H546" s="2708"/>
      <c r="I546" s="2708"/>
      <c r="J546" s="2871"/>
      <c r="K546" s="2700"/>
      <c r="L546" s="2708"/>
      <c r="M546" s="2708"/>
      <c r="N546" s="2701"/>
      <c r="P546" s="80"/>
    </row>
    <row r="547" spans="1:16" s="27" customFormat="1" ht="16.5" hidden="1" customHeight="1" x14ac:dyDescent="0.25">
      <c r="A547" s="6"/>
      <c r="B547" s="441"/>
      <c r="C547" s="2476" t="s">
        <v>6370</v>
      </c>
      <c r="D547" s="2709">
        <v>150000000</v>
      </c>
      <c r="E547" s="2818">
        <f>D547/D357*100</f>
        <v>9.8961056686634977E-2</v>
      </c>
      <c r="F547" s="4430"/>
      <c r="G547" s="2708"/>
      <c r="H547" s="2708"/>
      <c r="I547" s="2708"/>
      <c r="J547" s="2871"/>
      <c r="K547" s="2700"/>
      <c r="L547" s="2708"/>
      <c r="M547" s="2708"/>
      <c r="N547" s="2701"/>
      <c r="P547" s="80"/>
    </row>
    <row r="548" spans="1:16" s="27" customFormat="1" ht="10.5" hidden="1" customHeight="1" x14ac:dyDescent="0.25">
      <c r="A548" s="6"/>
      <c r="B548" s="441"/>
      <c r="C548" s="2477"/>
      <c r="D548" s="2767"/>
      <c r="E548" s="2818"/>
      <c r="F548" s="4430"/>
      <c r="G548" s="2708"/>
      <c r="H548" s="2708"/>
      <c r="I548" s="2708"/>
      <c r="J548" s="2871"/>
      <c r="K548" s="2700"/>
      <c r="L548" s="2708"/>
      <c r="M548" s="2708"/>
      <c r="N548" s="2701"/>
      <c r="P548" s="80"/>
    </row>
    <row r="549" spans="1:16" s="27" customFormat="1" ht="16.5" hidden="1" customHeight="1" x14ac:dyDescent="0.25">
      <c r="A549" s="6"/>
      <c r="B549" s="441"/>
      <c r="C549" s="2477" t="s">
        <v>6372</v>
      </c>
      <c r="D549" s="2767">
        <f>D550</f>
        <v>35000000</v>
      </c>
      <c r="E549" s="2873">
        <f>D549/D357*100</f>
        <v>2.3090913226881497E-2</v>
      </c>
      <c r="F549" s="4430"/>
      <c r="G549" s="2708"/>
      <c r="H549" s="2708"/>
      <c r="I549" s="2708"/>
      <c r="J549" s="2871"/>
      <c r="K549" s="2700"/>
      <c r="L549" s="2708"/>
      <c r="M549" s="2708"/>
      <c r="N549" s="2701"/>
      <c r="P549" s="80"/>
    </row>
    <row r="550" spans="1:16" s="27" customFormat="1" ht="31.5" hidden="1" customHeight="1" x14ac:dyDescent="0.25">
      <c r="A550" s="6"/>
      <c r="B550" s="441"/>
      <c r="C550" s="2476" t="s">
        <v>6373</v>
      </c>
      <c r="D550" s="2709">
        <v>35000000</v>
      </c>
      <c r="E550" s="2818">
        <f>D550/D357*100</f>
        <v>2.3090913226881497E-2</v>
      </c>
      <c r="F550" s="4430"/>
      <c r="G550" s="2708"/>
      <c r="H550" s="2708"/>
      <c r="I550" s="2708"/>
      <c r="J550" s="2871"/>
      <c r="K550" s="2700"/>
      <c r="L550" s="2708"/>
      <c r="M550" s="2708"/>
      <c r="N550" s="2701"/>
      <c r="P550" s="80"/>
    </row>
    <row r="551" spans="1:16" ht="13.5" hidden="1" customHeight="1" x14ac:dyDescent="0.25">
      <c r="B551" s="441"/>
      <c r="C551" s="2476"/>
      <c r="D551" s="2709"/>
      <c r="E551" s="2818"/>
      <c r="F551" s="4430"/>
      <c r="G551" s="2708"/>
      <c r="H551" s="2708"/>
      <c r="I551" s="2708"/>
      <c r="J551" s="2871"/>
      <c r="K551" s="2834"/>
      <c r="L551" s="2708"/>
      <c r="M551" s="2708"/>
      <c r="N551" s="2768"/>
    </row>
    <row r="552" spans="1:16" s="27" customFormat="1" ht="16.5" hidden="1" customHeight="1" x14ac:dyDescent="0.25">
      <c r="A552" s="6"/>
      <c r="B552" s="440"/>
      <c r="C552" s="2471" t="s">
        <v>6374</v>
      </c>
      <c r="D552" s="2744">
        <f>SUM(D553+D556+D559+D568+D571+D581+D585)</f>
        <v>5333136580</v>
      </c>
      <c r="E552" s="2786">
        <f>D552/D357*100</f>
        <v>3.5184855427396444</v>
      </c>
      <c r="F552" s="3850"/>
      <c r="G552" s="2719"/>
      <c r="H552" s="2719"/>
      <c r="I552" s="2719"/>
      <c r="J552" s="2887"/>
      <c r="K552" s="2720"/>
      <c r="L552" s="2719"/>
      <c r="M552" s="2719"/>
      <c r="N552" s="2701"/>
      <c r="P552" s="80"/>
    </row>
    <row r="553" spans="1:16" s="27" customFormat="1" ht="16.5" hidden="1" customHeight="1" x14ac:dyDescent="0.25">
      <c r="A553" s="6"/>
      <c r="B553" s="441"/>
      <c r="C553" s="2478" t="s">
        <v>6375</v>
      </c>
      <c r="D553" s="2751">
        <f>D554</f>
        <v>29944280</v>
      </c>
      <c r="E553" s="2873">
        <f>D553/D357*100</f>
        <v>1.9755450603469803E-2</v>
      </c>
      <c r="F553" s="3851"/>
      <c r="G553" s="2725"/>
      <c r="H553" s="2725"/>
      <c r="I553" s="2725"/>
      <c r="J553" s="2901"/>
      <c r="K553" s="2680"/>
      <c r="L553" s="2725"/>
      <c r="M553" s="2725"/>
      <c r="N553" s="2701"/>
      <c r="P553" s="80"/>
    </row>
    <row r="554" spans="1:16" s="27" customFormat="1" ht="18" hidden="1" customHeight="1" x14ac:dyDescent="0.25">
      <c r="A554" s="6"/>
      <c r="B554" s="441"/>
      <c r="C554" s="2473" t="s">
        <v>6376</v>
      </c>
      <c r="D554" s="896">
        <v>29944280</v>
      </c>
      <c r="E554" s="2818">
        <f>D554/D357*100</f>
        <v>1.9755450603469803E-2</v>
      </c>
      <c r="F554" s="3868"/>
      <c r="G554" s="2685"/>
      <c r="H554" s="2685"/>
      <c r="I554" s="2685"/>
      <c r="J554" s="2920"/>
      <c r="K554" s="2852"/>
      <c r="L554" s="2855"/>
      <c r="M554" s="2855"/>
      <c r="N554" s="2701"/>
      <c r="P554" s="80"/>
    </row>
    <row r="555" spans="1:16" s="27" customFormat="1" ht="11.25" hidden="1" customHeight="1" x14ac:dyDescent="0.25">
      <c r="A555" s="6"/>
      <c r="B555" s="441"/>
      <c r="C555" s="2473"/>
      <c r="D555" s="896"/>
      <c r="E555" s="2818"/>
      <c r="F555" s="3868"/>
      <c r="G555" s="2685"/>
      <c r="H555" s="2685"/>
      <c r="I555" s="2685"/>
      <c r="J555" s="2920"/>
      <c r="K555" s="2731"/>
      <c r="L555" s="2804"/>
      <c r="M555" s="2804"/>
      <c r="N555" s="2701"/>
      <c r="P555" s="80"/>
    </row>
    <row r="556" spans="1:16" s="27" customFormat="1" ht="18" hidden="1" customHeight="1" x14ac:dyDescent="0.25">
      <c r="A556" s="6"/>
      <c r="B556" s="441"/>
      <c r="C556" s="2474" t="s">
        <v>6377</v>
      </c>
      <c r="D556" s="899">
        <f>D557</f>
        <v>209300000</v>
      </c>
      <c r="E556" s="2873">
        <f>D556/D357*100</f>
        <v>0.13808366109675135</v>
      </c>
      <c r="F556" s="3853"/>
      <c r="G556" s="2679"/>
      <c r="H556" s="2679"/>
      <c r="I556" s="2679"/>
      <c r="J556" s="915"/>
      <c r="K556" s="2680"/>
      <c r="L556" s="2725"/>
      <c r="M556" s="2725"/>
      <c r="N556" s="2701"/>
      <c r="P556" s="80"/>
    </row>
    <row r="557" spans="1:16" s="27" customFormat="1" ht="28.5" hidden="1" customHeight="1" x14ac:dyDescent="0.25">
      <c r="A557" s="6"/>
      <c r="B557" s="441"/>
      <c r="C557" s="2473" t="s">
        <v>6378</v>
      </c>
      <c r="D557" s="896">
        <v>209300000</v>
      </c>
      <c r="E557" s="2818">
        <f>D557/D357*100</f>
        <v>0.13808366109675135</v>
      </c>
      <c r="F557" s="3868"/>
      <c r="G557" s="2685"/>
      <c r="H557" s="2685"/>
      <c r="I557" s="2685"/>
      <c r="J557" s="2920"/>
      <c r="K557" s="2852"/>
      <c r="L557" s="2855"/>
      <c r="M557" s="2855"/>
      <c r="N557" s="2701"/>
      <c r="P557" s="80"/>
    </row>
    <row r="558" spans="1:16" s="27" customFormat="1" ht="9" hidden="1" customHeight="1" x14ac:dyDescent="0.25">
      <c r="A558" s="6"/>
      <c r="B558" s="441"/>
      <c r="C558" s="2476"/>
      <c r="D558" s="2709"/>
      <c r="E558" s="2818"/>
      <c r="F558" s="4430"/>
      <c r="G558" s="2708"/>
      <c r="H558" s="2708"/>
      <c r="I558" s="2708"/>
      <c r="J558" s="2903"/>
      <c r="K558" s="2922"/>
      <c r="L558" s="2923"/>
      <c r="M558" s="2924"/>
      <c r="N558" s="2701"/>
      <c r="P558" s="80"/>
    </row>
    <row r="559" spans="1:16" s="27" customFormat="1" ht="18.75" hidden="1" customHeight="1" x14ac:dyDescent="0.25">
      <c r="A559" s="6"/>
      <c r="B559" s="441"/>
      <c r="C559" s="2477" t="s">
        <v>6379</v>
      </c>
      <c r="D559" s="2767">
        <f>SUM(D560:D566)</f>
        <v>1677012300</v>
      </c>
      <c r="E559" s="2873">
        <f>D559/D357*100</f>
        <v>1.1063927285632273</v>
      </c>
      <c r="F559" s="4430"/>
      <c r="G559" s="2708"/>
      <c r="H559" s="2708"/>
      <c r="I559" s="2708"/>
      <c r="J559" s="2903"/>
      <c r="K559" s="2852"/>
      <c r="L559" s="2855"/>
      <c r="M559" s="2855"/>
      <c r="N559" s="2701"/>
      <c r="P559" s="80"/>
    </row>
    <row r="560" spans="1:16" s="27" customFormat="1" ht="15.75" hidden="1" customHeight="1" x14ac:dyDescent="0.25">
      <c r="A560" s="6"/>
      <c r="B560" s="441"/>
      <c r="C560" s="2476" t="s">
        <v>6380</v>
      </c>
      <c r="D560" s="2709">
        <v>128000000</v>
      </c>
      <c r="E560" s="2818">
        <f>D560/D357*100</f>
        <v>8.4446768372595182E-2</v>
      </c>
      <c r="F560" s="4430"/>
      <c r="G560" s="2708"/>
      <c r="H560" s="2708"/>
      <c r="I560" s="2708"/>
      <c r="J560" s="2903"/>
      <c r="K560" s="2852"/>
      <c r="L560" s="2855"/>
      <c r="M560" s="2855"/>
      <c r="N560" s="2701"/>
      <c r="P560" s="80"/>
    </row>
    <row r="561" spans="1:16" s="27" customFormat="1" ht="18.75" hidden="1" customHeight="1" x14ac:dyDescent="0.25">
      <c r="A561" s="6"/>
      <c r="B561" s="441"/>
      <c r="C561" s="2476" t="s">
        <v>6381</v>
      </c>
      <c r="D561" s="2709">
        <v>397999800</v>
      </c>
      <c r="E561" s="2818">
        <f>D561/D357*100</f>
        <v>0.26257653846046258</v>
      </c>
      <c r="F561" s="4430"/>
      <c r="G561" s="2708"/>
      <c r="H561" s="2708"/>
      <c r="I561" s="2708"/>
      <c r="J561" s="2903"/>
      <c r="K561" s="2852"/>
      <c r="L561" s="2855"/>
      <c r="M561" s="2855"/>
      <c r="N561" s="2701"/>
      <c r="P561" s="80"/>
    </row>
    <row r="562" spans="1:16" s="27" customFormat="1" ht="18" hidden="1" customHeight="1" x14ac:dyDescent="0.25">
      <c r="A562" s="6"/>
      <c r="B562" s="441"/>
      <c r="C562" s="2476" t="s">
        <v>6382</v>
      </c>
      <c r="D562" s="2709">
        <v>123000000</v>
      </c>
      <c r="E562" s="2818">
        <f>D562/D357*100</f>
        <v>8.1148066483040682E-2</v>
      </c>
      <c r="F562" s="4430"/>
      <c r="G562" s="2708"/>
      <c r="H562" s="2708"/>
      <c r="I562" s="2708"/>
      <c r="J562" s="2903"/>
      <c r="K562" s="2852"/>
      <c r="L562" s="2855"/>
      <c r="M562" s="2855"/>
      <c r="N562" s="2701"/>
      <c r="P562" s="80"/>
    </row>
    <row r="563" spans="1:16" s="27" customFormat="1" ht="15.75" hidden="1" customHeight="1" x14ac:dyDescent="0.25">
      <c r="A563" s="6"/>
      <c r="B563" s="441"/>
      <c r="C563" s="2476" t="s">
        <v>6383</v>
      </c>
      <c r="D563" s="2709">
        <v>301062500</v>
      </c>
      <c r="E563" s="2818">
        <f>D563/D357*100</f>
        <v>0.19862308752480029</v>
      </c>
      <c r="F563" s="4430"/>
      <c r="G563" s="2708"/>
      <c r="H563" s="2708"/>
      <c r="I563" s="2708"/>
      <c r="J563" s="2903"/>
      <c r="K563" s="2852"/>
      <c r="L563" s="2855"/>
      <c r="M563" s="2855"/>
      <c r="N563" s="2701"/>
      <c r="P563" s="80"/>
    </row>
    <row r="564" spans="1:16" s="27" customFormat="1" ht="31.5" hidden="1" customHeight="1" x14ac:dyDescent="0.25">
      <c r="A564" s="6"/>
      <c r="B564" s="441"/>
      <c r="C564" s="2476" t="s">
        <v>6384</v>
      </c>
      <c r="D564" s="2709">
        <v>150000000</v>
      </c>
      <c r="E564" s="2818">
        <f>D564/D357*100</f>
        <v>9.8961056686634977E-2</v>
      </c>
      <c r="F564" s="4430"/>
      <c r="G564" s="2708"/>
      <c r="H564" s="2708"/>
      <c r="I564" s="2708"/>
      <c r="J564" s="2903"/>
      <c r="K564" s="2852"/>
      <c r="L564" s="2855"/>
      <c r="M564" s="2855"/>
      <c r="N564" s="2701"/>
      <c r="P564" s="80"/>
    </row>
    <row r="565" spans="1:16" s="27" customFormat="1" ht="15.75" hidden="1" customHeight="1" x14ac:dyDescent="0.25">
      <c r="A565" s="6"/>
      <c r="B565" s="441"/>
      <c r="C565" s="2476" t="s">
        <v>6385</v>
      </c>
      <c r="D565" s="2709">
        <v>478500000</v>
      </c>
      <c r="E565" s="2818">
        <f>D565/D357*100</f>
        <v>0.31568577083036559</v>
      </c>
      <c r="F565" s="4430"/>
      <c r="G565" s="2708"/>
      <c r="H565" s="2708"/>
      <c r="I565" s="2708"/>
      <c r="J565" s="2903"/>
      <c r="K565" s="2852"/>
      <c r="L565" s="2855"/>
      <c r="M565" s="2855"/>
      <c r="N565" s="2701"/>
      <c r="P565" s="80"/>
    </row>
    <row r="566" spans="1:16" s="27" customFormat="1" ht="15.75" hidden="1" customHeight="1" x14ac:dyDescent="0.25">
      <c r="A566" s="6"/>
      <c r="B566" s="441"/>
      <c r="C566" s="2476" t="s">
        <v>6386</v>
      </c>
      <c r="D566" s="2709">
        <v>98450000</v>
      </c>
      <c r="E566" s="2818">
        <f>D566/D357*100</f>
        <v>6.4951440205328101E-2</v>
      </c>
      <c r="F566" s="4430"/>
      <c r="G566" s="2708"/>
      <c r="H566" s="2708"/>
      <c r="I566" s="2708"/>
      <c r="J566" s="2903"/>
      <c r="K566" s="2852"/>
      <c r="L566" s="2855"/>
      <c r="M566" s="2855"/>
      <c r="N566" s="2701"/>
      <c r="P566" s="80"/>
    </row>
    <row r="567" spans="1:16" s="27" customFormat="1" ht="12.75" hidden="1" customHeight="1" x14ac:dyDescent="0.25">
      <c r="A567" s="6"/>
      <c r="B567" s="441"/>
      <c r="C567" s="2476"/>
      <c r="D567" s="2709"/>
      <c r="E567" s="2818"/>
      <c r="F567" s="4430"/>
      <c r="G567" s="2708"/>
      <c r="H567" s="2708"/>
      <c r="I567" s="2708"/>
      <c r="J567" s="2903"/>
      <c r="K567" s="2852"/>
      <c r="L567" s="2855"/>
      <c r="M567" s="2855"/>
      <c r="N567" s="2701"/>
      <c r="P567" s="80"/>
    </row>
    <row r="568" spans="1:16" s="27" customFormat="1" ht="18" hidden="1" customHeight="1" x14ac:dyDescent="0.25">
      <c r="A568" s="6"/>
      <c r="B568" s="441"/>
      <c r="C568" s="2477" t="s">
        <v>6387</v>
      </c>
      <c r="D568" s="2767">
        <f>D569</f>
        <v>75000000</v>
      </c>
      <c r="E568" s="2873">
        <f>D568/D357*100</f>
        <v>4.9480528343317488E-2</v>
      </c>
      <c r="F568" s="4430"/>
      <c r="G568" s="2708"/>
      <c r="H568" s="2708"/>
      <c r="I568" s="2708"/>
      <c r="J568" s="2903"/>
      <c r="K568" s="2852"/>
      <c r="L568" s="2855"/>
      <c r="M568" s="2855"/>
      <c r="N568" s="2701"/>
      <c r="P568" s="80"/>
    </row>
    <row r="569" spans="1:16" s="27" customFormat="1" ht="18.75" hidden="1" customHeight="1" x14ac:dyDescent="0.25">
      <c r="A569" s="6"/>
      <c r="B569" s="441"/>
      <c r="C569" s="2476" t="s">
        <v>6388</v>
      </c>
      <c r="D569" s="2709">
        <v>75000000</v>
      </c>
      <c r="E569" s="2818">
        <f>D569/D357*100</f>
        <v>4.9480528343317488E-2</v>
      </c>
      <c r="F569" s="4430"/>
      <c r="G569" s="2708"/>
      <c r="H569" s="2708"/>
      <c r="I569" s="2708"/>
      <c r="J569" s="2903"/>
      <c r="K569" s="2852"/>
      <c r="L569" s="2855"/>
      <c r="M569" s="2855"/>
      <c r="N569" s="2701"/>
      <c r="P569" s="80"/>
    </row>
    <row r="570" spans="1:16" s="27" customFormat="1" ht="11.25" hidden="1" customHeight="1" x14ac:dyDescent="0.25">
      <c r="A570" s="6"/>
      <c r="B570" s="441"/>
      <c r="C570" s="2476"/>
      <c r="D570" s="2709"/>
      <c r="E570" s="2818"/>
      <c r="F570" s="4430"/>
      <c r="G570" s="2708"/>
      <c r="H570" s="2708"/>
      <c r="I570" s="2708"/>
      <c r="J570" s="2903"/>
      <c r="K570" s="2852"/>
      <c r="L570" s="2855"/>
      <c r="M570" s="2855"/>
      <c r="N570" s="2701"/>
      <c r="P570" s="80"/>
    </row>
    <row r="571" spans="1:16" s="27" customFormat="1" ht="18.75" hidden="1" customHeight="1" x14ac:dyDescent="0.25">
      <c r="A571" s="6"/>
      <c r="B571" s="441"/>
      <c r="C571" s="2477" t="s">
        <v>6389</v>
      </c>
      <c r="D571" s="2767">
        <f>SUM(D572:D579)</f>
        <v>1946980000</v>
      </c>
      <c r="E571" s="2873">
        <f>D571/D357*100</f>
        <v>1.2845013209849638</v>
      </c>
      <c r="F571" s="4430"/>
      <c r="G571" s="2708"/>
      <c r="H571" s="2708"/>
      <c r="I571" s="2708"/>
      <c r="J571" s="2903"/>
      <c r="K571" s="2852"/>
      <c r="L571" s="2855"/>
      <c r="M571" s="2855"/>
      <c r="N571" s="2701"/>
      <c r="P571" s="80"/>
    </row>
    <row r="572" spans="1:16" s="27" customFormat="1" ht="19.5" hidden="1" customHeight="1" x14ac:dyDescent="0.25">
      <c r="A572" s="6"/>
      <c r="B572" s="441"/>
      <c r="C572" s="2476" t="s">
        <v>6390</v>
      </c>
      <c r="D572" s="2709">
        <v>49200000</v>
      </c>
      <c r="E572" s="2818">
        <f>D572/D357*100</f>
        <v>3.2459226593216275E-2</v>
      </c>
      <c r="F572" s="4430"/>
      <c r="G572" s="2708"/>
      <c r="H572" s="2708"/>
      <c r="I572" s="2708"/>
      <c r="J572" s="2903"/>
      <c r="K572" s="2852"/>
      <c r="L572" s="2855"/>
      <c r="M572" s="2855"/>
      <c r="N572" s="2701"/>
      <c r="P572" s="80"/>
    </row>
    <row r="573" spans="1:16" s="27" customFormat="1" ht="20.25" hidden="1" customHeight="1" x14ac:dyDescent="0.25">
      <c r="A573" s="6"/>
      <c r="B573" s="441"/>
      <c r="C573" s="2476" t="s">
        <v>6395</v>
      </c>
      <c r="D573" s="2709">
        <v>1003500000</v>
      </c>
      <c r="E573" s="2818">
        <f>D573/D357*100</f>
        <v>0.66204946923358809</v>
      </c>
      <c r="F573" s="4430"/>
      <c r="G573" s="2708"/>
      <c r="H573" s="2708"/>
      <c r="I573" s="2708"/>
      <c r="J573" s="2903"/>
      <c r="K573" s="2852"/>
      <c r="L573" s="2855"/>
      <c r="M573" s="2855"/>
      <c r="N573" s="2701"/>
      <c r="P573" s="80"/>
    </row>
    <row r="574" spans="1:16" s="27" customFormat="1" ht="18" hidden="1" customHeight="1" x14ac:dyDescent="0.25">
      <c r="A574" s="6"/>
      <c r="B574" s="441"/>
      <c r="C574" s="2476" t="s">
        <v>6396</v>
      </c>
      <c r="D574" s="2709">
        <v>128100000</v>
      </c>
      <c r="E574" s="2818">
        <f>D574/D357*100</f>
        <v>8.4512742410386282E-2</v>
      </c>
      <c r="F574" s="4430"/>
      <c r="G574" s="2708"/>
      <c r="H574" s="2708"/>
      <c r="I574" s="2708"/>
      <c r="J574" s="2903"/>
      <c r="K574" s="2852"/>
      <c r="L574" s="2855"/>
      <c r="M574" s="2855"/>
      <c r="N574" s="2701"/>
      <c r="P574" s="80"/>
    </row>
    <row r="575" spans="1:16" s="27" customFormat="1" ht="20.25" hidden="1" customHeight="1" x14ac:dyDescent="0.25">
      <c r="A575" s="6"/>
      <c r="B575" s="441"/>
      <c r="C575" s="2476" t="s">
        <v>6397</v>
      </c>
      <c r="D575" s="2709">
        <v>333800000</v>
      </c>
      <c r="E575" s="2818">
        <f>D575/D357*100</f>
        <v>0.22022133814665837</v>
      </c>
      <c r="F575" s="4430"/>
      <c r="G575" s="2708"/>
      <c r="H575" s="2708"/>
      <c r="I575" s="2708"/>
      <c r="J575" s="2903"/>
      <c r="K575" s="2852"/>
      <c r="L575" s="2855"/>
      <c r="M575" s="2855"/>
      <c r="N575" s="2701"/>
      <c r="P575" s="80"/>
    </row>
    <row r="576" spans="1:16" s="27" customFormat="1" ht="19.5" hidden="1" customHeight="1" x14ac:dyDescent="0.25">
      <c r="A576" s="6"/>
      <c r="B576" s="441"/>
      <c r="C576" s="2476" t="s">
        <v>6391</v>
      </c>
      <c r="D576" s="2709">
        <v>48680000</v>
      </c>
      <c r="E576" s="2818">
        <f>D576/D357*100</f>
        <v>3.2116161596702608E-2</v>
      </c>
      <c r="F576" s="4430"/>
      <c r="G576" s="2708"/>
      <c r="H576" s="2708"/>
      <c r="I576" s="2708"/>
      <c r="J576" s="2903"/>
      <c r="K576" s="2852"/>
      <c r="L576" s="2855"/>
      <c r="M576" s="2855"/>
      <c r="N576" s="2701"/>
      <c r="P576" s="80"/>
    </row>
    <row r="577" spans="1:16" s="27" customFormat="1" ht="18.75" hidden="1" customHeight="1" x14ac:dyDescent="0.25">
      <c r="A577" s="6"/>
      <c r="B577" s="441"/>
      <c r="C577" s="2476" t="s">
        <v>6392</v>
      </c>
      <c r="D577" s="2709">
        <v>198800000</v>
      </c>
      <c r="E577" s="2818">
        <f>D577/D357*100</f>
        <v>0.13115638712868691</v>
      </c>
      <c r="F577" s="4430"/>
      <c r="G577" s="2708"/>
      <c r="H577" s="2708"/>
      <c r="I577" s="2708"/>
      <c r="J577" s="2903"/>
      <c r="K577" s="2852"/>
      <c r="L577" s="2855"/>
      <c r="M577" s="2855"/>
      <c r="N577" s="2701"/>
      <c r="P577" s="80"/>
    </row>
    <row r="578" spans="1:16" s="27" customFormat="1" ht="21.75" hidden="1" customHeight="1" x14ac:dyDescent="0.25">
      <c r="A578" s="6"/>
      <c r="B578" s="441"/>
      <c r="C578" s="2476" t="s">
        <v>6393</v>
      </c>
      <c r="D578" s="2709">
        <v>49900000</v>
      </c>
      <c r="E578" s="2818">
        <f>D578/D357*100</f>
        <v>3.2921044857753906E-2</v>
      </c>
      <c r="F578" s="4430"/>
      <c r="G578" s="2708"/>
      <c r="H578" s="2708"/>
      <c r="I578" s="2708"/>
      <c r="J578" s="2903"/>
      <c r="K578" s="2852"/>
      <c r="L578" s="2855"/>
      <c r="M578" s="2855"/>
      <c r="N578" s="2701"/>
      <c r="P578" s="80"/>
    </row>
    <row r="579" spans="1:16" s="27" customFormat="1" ht="17.25" hidden="1" customHeight="1" x14ac:dyDescent="0.25">
      <c r="A579" s="6"/>
      <c r="B579" s="441"/>
      <c r="C579" s="2476" t="s">
        <v>6394</v>
      </c>
      <c r="D579" s="2709">
        <v>135000000</v>
      </c>
      <c r="E579" s="2818">
        <f>D579/D357*100</f>
        <v>8.9064951017971489E-2</v>
      </c>
      <c r="F579" s="4430"/>
      <c r="G579" s="2708"/>
      <c r="H579" s="2708"/>
      <c r="I579" s="2708"/>
      <c r="J579" s="2903"/>
      <c r="K579" s="2852"/>
      <c r="L579" s="2855"/>
      <c r="M579" s="2855"/>
      <c r="N579" s="2701"/>
      <c r="P579" s="80"/>
    </row>
    <row r="580" spans="1:16" s="27" customFormat="1" ht="12.75" hidden="1" customHeight="1" x14ac:dyDescent="0.25">
      <c r="A580" s="6"/>
      <c r="B580" s="441"/>
      <c r="C580" s="2476"/>
      <c r="D580" s="2709"/>
      <c r="E580" s="2818"/>
      <c r="F580" s="4430"/>
      <c r="G580" s="2708"/>
      <c r="H580" s="2708"/>
      <c r="I580" s="2708"/>
      <c r="J580" s="2903"/>
      <c r="K580" s="2852"/>
      <c r="L580" s="2855"/>
      <c r="M580" s="2855"/>
      <c r="N580" s="2701"/>
      <c r="P580" s="80"/>
    </row>
    <row r="581" spans="1:16" s="27" customFormat="1" ht="18.75" hidden="1" customHeight="1" x14ac:dyDescent="0.25">
      <c r="A581" s="6"/>
      <c r="B581" s="441"/>
      <c r="C581" s="2477" t="s">
        <v>6398</v>
      </c>
      <c r="D581" s="2767">
        <f>SUM(D582:D583)</f>
        <v>497000000</v>
      </c>
      <c r="E581" s="2873">
        <f>D581/D357*100</f>
        <v>0.32789096782171723</v>
      </c>
      <c r="F581" s="4430"/>
      <c r="G581" s="2708"/>
      <c r="H581" s="2708"/>
      <c r="I581" s="2708"/>
      <c r="J581" s="2903"/>
      <c r="K581" s="2852"/>
      <c r="L581" s="2855"/>
      <c r="M581" s="2855"/>
      <c r="N581" s="2701"/>
      <c r="P581" s="80"/>
    </row>
    <row r="582" spans="1:16" s="27" customFormat="1" ht="17.25" hidden="1" customHeight="1" x14ac:dyDescent="0.25">
      <c r="A582" s="6"/>
      <c r="B582" s="441"/>
      <c r="C582" s="2476" t="s">
        <v>6399</v>
      </c>
      <c r="D582" s="2709">
        <v>248500000</v>
      </c>
      <c r="E582" s="2818">
        <f>D582/D357*100</f>
        <v>0.16394548391085861</v>
      </c>
      <c r="F582" s="4430"/>
      <c r="G582" s="2708"/>
      <c r="H582" s="2708"/>
      <c r="I582" s="2708"/>
      <c r="J582" s="2903"/>
      <c r="K582" s="2852"/>
      <c r="L582" s="2855"/>
      <c r="M582" s="2855"/>
      <c r="N582" s="2701"/>
      <c r="P582" s="80"/>
    </row>
    <row r="583" spans="1:16" s="27" customFormat="1" ht="19.5" hidden="1" customHeight="1" x14ac:dyDescent="0.25">
      <c r="A583" s="6"/>
      <c r="B583" s="441"/>
      <c r="C583" s="2476" t="s">
        <v>6400</v>
      </c>
      <c r="D583" s="2709">
        <v>248500000</v>
      </c>
      <c r="E583" s="2818">
        <f>D583/D357*100</f>
        <v>0.16394548391085861</v>
      </c>
      <c r="F583" s="4430"/>
      <c r="G583" s="2708"/>
      <c r="H583" s="2708"/>
      <c r="I583" s="2708"/>
      <c r="J583" s="2903"/>
      <c r="K583" s="2852"/>
      <c r="L583" s="2855"/>
      <c r="M583" s="2855"/>
      <c r="N583" s="2701"/>
      <c r="P583" s="80"/>
    </row>
    <row r="584" spans="1:16" s="27" customFormat="1" ht="10.5" hidden="1" customHeight="1" x14ac:dyDescent="0.25">
      <c r="A584" s="6"/>
      <c r="B584" s="441"/>
      <c r="C584" s="2476"/>
      <c r="D584" s="2709"/>
      <c r="E584" s="2818"/>
      <c r="F584" s="4430"/>
      <c r="G584" s="2708"/>
      <c r="H584" s="2708"/>
      <c r="I584" s="2708"/>
      <c r="J584" s="2903"/>
      <c r="K584" s="2852"/>
      <c r="L584" s="2855"/>
      <c r="M584" s="2855"/>
      <c r="N584" s="2701"/>
      <c r="P584" s="80"/>
    </row>
    <row r="585" spans="1:16" s="27" customFormat="1" ht="17.25" hidden="1" customHeight="1" x14ac:dyDescent="0.25">
      <c r="A585" s="6"/>
      <c r="B585" s="441"/>
      <c r="C585" s="2477" t="s">
        <v>6401</v>
      </c>
      <c r="D585" s="2767">
        <f>SUM(D586:D587)</f>
        <v>897900000</v>
      </c>
      <c r="E585" s="2873">
        <f>D585/D357*100</f>
        <v>0.59238088532619693</v>
      </c>
      <c r="F585" s="4430"/>
      <c r="G585" s="2708"/>
      <c r="H585" s="2708"/>
      <c r="I585" s="2708"/>
      <c r="J585" s="2903"/>
      <c r="K585" s="2852"/>
      <c r="L585" s="2855"/>
      <c r="M585" s="2855"/>
      <c r="N585" s="2701"/>
      <c r="P585" s="80"/>
    </row>
    <row r="586" spans="1:16" s="27" customFormat="1" ht="18.75" hidden="1" customHeight="1" x14ac:dyDescent="0.25">
      <c r="A586" s="6"/>
      <c r="B586" s="441"/>
      <c r="C586" s="2476" t="s">
        <v>6402</v>
      </c>
      <c r="D586" s="2709">
        <v>397900000</v>
      </c>
      <c r="E586" s="2818">
        <f>D586/D357*100</f>
        <v>0.26251069637074709</v>
      </c>
      <c r="F586" s="4430"/>
      <c r="G586" s="2708"/>
      <c r="H586" s="2708"/>
      <c r="I586" s="2708"/>
      <c r="J586" s="2903"/>
      <c r="K586" s="2852"/>
      <c r="L586" s="2855"/>
      <c r="M586" s="2855"/>
      <c r="N586" s="2701"/>
      <c r="P586" s="80"/>
    </row>
    <row r="587" spans="1:16" s="27" customFormat="1" ht="21.75" hidden="1" customHeight="1" x14ac:dyDescent="0.25">
      <c r="A587" s="6"/>
      <c r="B587" s="441"/>
      <c r="C587" s="2476" t="s">
        <v>6403</v>
      </c>
      <c r="D587" s="2709">
        <v>500000000</v>
      </c>
      <c r="E587" s="2818">
        <f>D587/D357*100</f>
        <v>0.32987018895544995</v>
      </c>
      <c r="F587" s="4430"/>
      <c r="G587" s="2708"/>
      <c r="H587" s="2708"/>
      <c r="I587" s="2708"/>
      <c r="J587" s="2903"/>
      <c r="K587" s="2852"/>
      <c r="L587" s="2855"/>
      <c r="M587" s="2855"/>
      <c r="N587" s="2701"/>
      <c r="P587" s="80"/>
    </row>
    <row r="588" spans="1:16" ht="13.5" hidden="1" customHeight="1" x14ac:dyDescent="0.25">
      <c r="B588" s="441"/>
      <c r="C588" s="2518"/>
      <c r="D588" s="2894"/>
      <c r="E588" s="2895"/>
      <c r="F588" s="4433"/>
      <c r="G588" s="2911"/>
      <c r="H588" s="2911"/>
      <c r="I588" s="2911"/>
      <c r="J588" s="2925"/>
      <c r="K588" s="2926"/>
      <c r="L588" s="3132"/>
      <c r="M588" s="2830"/>
      <c r="N588" s="2768"/>
    </row>
    <row r="589" spans="1:16" ht="29.25" hidden="1" customHeight="1" x14ac:dyDescent="0.25">
      <c r="B589" s="440"/>
      <c r="C589" s="2471" t="s">
        <v>6404</v>
      </c>
      <c r="D589" s="2744">
        <f>SUM(D590+D593+D597)</f>
        <v>1426150000</v>
      </c>
      <c r="E589" s="2786">
        <f>D589/D357*100</f>
        <v>0.94088873995762989</v>
      </c>
      <c r="F589" s="3850"/>
      <c r="G589" s="2886"/>
      <c r="H589" s="2719"/>
      <c r="I589" s="2719"/>
      <c r="J589" s="2887"/>
      <c r="K589" s="2887"/>
      <c r="L589" s="2719"/>
      <c r="M589" s="2719"/>
      <c r="N589" s="2768"/>
    </row>
    <row r="590" spans="1:16" s="27" customFormat="1" ht="18" hidden="1" customHeight="1" x14ac:dyDescent="0.25">
      <c r="A590" s="6"/>
      <c r="B590" s="441"/>
      <c r="C590" s="2521" t="s">
        <v>6405</v>
      </c>
      <c r="D590" s="2751">
        <f>D591</f>
        <v>150000</v>
      </c>
      <c r="E590" s="2873">
        <f>D590/D357*100</f>
        <v>9.8961056686634977E-5</v>
      </c>
      <c r="F590" s="3851"/>
      <c r="G590" s="2722"/>
      <c r="H590" s="2722"/>
      <c r="I590" s="2722"/>
      <c r="J590" s="2901"/>
      <c r="K590" s="2723"/>
      <c r="L590" s="2722"/>
      <c r="M590" s="2722"/>
      <c r="N590" s="2701"/>
      <c r="P590" s="80"/>
    </row>
    <row r="591" spans="1:16" s="27" customFormat="1" ht="15.75" hidden="1" customHeight="1" x14ac:dyDescent="0.25">
      <c r="A591" s="6"/>
      <c r="B591" s="441"/>
      <c r="C591" s="2473" t="s">
        <v>6406</v>
      </c>
      <c r="D591" s="896">
        <v>150000</v>
      </c>
      <c r="E591" s="2818">
        <f>D591/D357*100</f>
        <v>9.8961056686634977E-5</v>
      </c>
      <c r="F591" s="3868"/>
      <c r="G591" s="2685"/>
      <c r="H591" s="2685"/>
      <c r="I591" s="2685"/>
      <c r="J591" s="2920"/>
      <c r="K591" s="2927"/>
      <c r="L591" s="2928"/>
      <c r="M591" s="2928"/>
      <c r="N591" s="2701"/>
      <c r="P591" s="80"/>
    </row>
    <row r="592" spans="1:16" s="27" customFormat="1" ht="10.5" hidden="1" customHeight="1" x14ac:dyDescent="0.25">
      <c r="A592" s="6"/>
      <c r="B592" s="441"/>
      <c r="C592" s="2473"/>
      <c r="D592" s="896"/>
      <c r="E592" s="2818"/>
      <c r="F592" s="3868"/>
      <c r="G592" s="2685"/>
      <c r="H592" s="2685"/>
      <c r="I592" s="2685"/>
      <c r="J592" s="2920"/>
      <c r="K592" s="2700"/>
      <c r="L592" s="2685"/>
      <c r="M592" s="2685"/>
      <c r="N592" s="2701"/>
      <c r="P592" s="80"/>
    </row>
    <row r="593" spans="1:16" s="27" customFormat="1" ht="16.5" hidden="1" customHeight="1" x14ac:dyDescent="0.25">
      <c r="A593" s="6"/>
      <c r="B593" s="441"/>
      <c r="C593" s="2474" t="s">
        <v>6407</v>
      </c>
      <c r="D593" s="899">
        <f>SUM(D594:D595)</f>
        <v>352850000</v>
      </c>
      <c r="E593" s="2873">
        <f>D593/D357*100</f>
        <v>0.23278939234586102</v>
      </c>
      <c r="F593" s="3853"/>
      <c r="G593" s="2921"/>
      <c r="H593" s="2679"/>
      <c r="I593" s="2679"/>
      <c r="J593" s="915"/>
      <c r="K593" s="915"/>
      <c r="L593" s="2679"/>
      <c r="M593" s="2679"/>
      <c r="N593" s="2701"/>
      <c r="P593" s="80"/>
    </row>
    <row r="594" spans="1:16" s="27" customFormat="1" ht="17.25" hidden="1" customHeight="1" x14ac:dyDescent="0.25">
      <c r="A594" s="6"/>
      <c r="B594" s="441"/>
      <c r="C594" s="2473" t="s">
        <v>6408</v>
      </c>
      <c r="D594" s="896">
        <v>165850000</v>
      </c>
      <c r="E594" s="2818">
        <f>D594/D357*100</f>
        <v>0.10941794167652275</v>
      </c>
      <c r="F594" s="3868"/>
      <c r="G594" s="2685"/>
      <c r="H594" s="2685"/>
      <c r="I594" s="2685"/>
      <c r="J594" s="2920"/>
      <c r="K594" s="2852"/>
      <c r="L594" s="2685"/>
      <c r="M594" s="2685"/>
      <c r="N594" s="2701"/>
      <c r="P594" s="80"/>
    </row>
    <row r="595" spans="1:16" s="27" customFormat="1" ht="17.25" hidden="1" customHeight="1" x14ac:dyDescent="0.25">
      <c r="A595" s="6"/>
      <c r="B595" s="441"/>
      <c r="C595" s="2473" t="s">
        <v>6409</v>
      </c>
      <c r="D595" s="896">
        <v>187000000</v>
      </c>
      <c r="E595" s="2818">
        <f>D595/D357*100</f>
        <v>0.12337145066933829</v>
      </c>
      <c r="F595" s="3868"/>
      <c r="G595" s="2685"/>
      <c r="H595" s="2685"/>
      <c r="I595" s="2685"/>
      <c r="J595" s="2920"/>
      <c r="K595" s="2852"/>
      <c r="L595" s="2685"/>
      <c r="M595" s="2685"/>
      <c r="N595" s="2701"/>
      <c r="P595" s="80"/>
    </row>
    <row r="596" spans="1:16" s="27" customFormat="1" ht="9.75" hidden="1" customHeight="1" x14ac:dyDescent="0.25">
      <c r="A596" s="6"/>
      <c r="B596" s="441"/>
      <c r="C596" s="2473"/>
      <c r="D596" s="896"/>
      <c r="E596" s="2818"/>
      <c r="F596" s="3868"/>
      <c r="G596" s="2685"/>
      <c r="H596" s="2685"/>
      <c r="I596" s="2685"/>
      <c r="J596" s="2920"/>
      <c r="K596" s="2700"/>
      <c r="L596" s="2685"/>
      <c r="M596" s="2685"/>
      <c r="N596" s="2701"/>
      <c r="P596" s="80"/>
    </row>
    <row r="597" spans="1:16" s="27" customFormat="1" ht="18" hidden="1" customHeight="1" x14ac:dyDescent="0.25">
      <c r="A597" s="6"/>
      <c r="B597" s="441"/>
      <c r="C597" s="2474" t="s">
        <v>6410</v>
      </c>
      <c r="D597" s="899">
        <f>SUM(D598:D603)</f>
        <v>1073150000</v>
      </c>
      <c r="E597" s="2873">
        <f>D597/D357*100</f>
        <v>0.70800038655508224</v>
      </c>
      <c r="F597" s="3853"/>
      <c r="G597" s="2679"/>
      <c r="H597" s="2679"/>
      <c r="I597" s="2679"/>
      <c r="J597" s="915"/>
      <c r="K597" s="915"/>
      <c r="L597" s="2679"/>
      <c r="M597" s="2679"/>
      <c r="N597" s="2701"/>
      <c r="P597" s="80"/>
    </row>
    <row r="598" spans="1:16" s="27" customFormat="1" ht="18" hidden="1" customHeight="1" x14ac:dyDescent="0.25">
      <c r="A598" s="6"/>
      <c r="B598" s="441"/>
      <c r="C598" s="2473" t="s">
        <v>6411</v>
      </c>
      <c r="D598" s="896">
        <v>165000000</v>
      </c>
      <c r="E598" s="2818">
        <f>D598/D357*100</f>
        <v>0.10885716235529848</v>
      </c>
      <c r="F598" s="3868"/>
      <c r="G598" s="2685"/>
      <c r="H598" s="2685"/>
      <c r="I598" s="2685"/>
      <c r="J598" s="2920"/>
      <c r="K598" s="2852"/>
      <c r="L598" s="2685"/>
      <c r="M598" s="2685"/>
      <c r="N598" s="2701"/>
      <c r="P598" s="80"/>
    </row>
    <row r="599" spans="1:16" s="27" customFormat="1" ht="28.5" hidden="1" customHeight="1" x14ac:dyDescent="0.25">
      <c r="A599" s="6"/>
      <c r="B599" s="441"/>
      <c r="C599" s="2473" t="s">
        <v>6412</v>
      </c>
      <c r="D599" s="896">
        <v>160000000</v>
      </c>
      <c r="E599" s="2818">
        <f>D599/D357*100</f>
        <v>0.10555846046574398</v>
      </c>
      <c r="F599" s="3868"/>
      <c r="G599" s="2685"/>
      <c r="H599" s="2685"/>
      <c r="I599" s="2685"/>
      <c r="J599" s="2920"/>
      <c r="K599" s="2700"/>
      <c r="L599" s="2685"/>
      <c r="M599" s="2685"/>
      <c r="N599" s="2701"/>
      <c r="P599" s="80"/>
    </row>
    <row r="600" spans="1:16" s="27" customFormat="1" ht="31.5" hidden="1" customHeight="1" x14ac:dyDescent="0.25">
      <c r="A600" s="6"/>
      <c r="B600" s="441"/>
      <c r="C600" s="2473" t="s">
        <v>6413</v>
      </c>
      <c r="D600" s="896">
        <v>118150000</v>
      </c>
      <c r="E600" s="2818">
        <f>D600/D357*100</f>
        <v>7.7948325650172831E-2</v>
      </c>
      <c r="F600" s="3868"/>
      <c r="G600" s="2685"/>
      <c r="H600" s="2685"/>
      <c r="I600" s="2685"/>
      <c r="J600" s="2920"/>
      <c r="K600" s="2700"/>
      <c r="L600" s="2685"/>
      <c r="M600" s="2685"/>
      <c r="N600" s="2701"/>
      <c r="P600" s="80"/>
    </row>
    <row r="601" spans="1:16" s="27" customFormat="1" ht="28.5" hidden="1" customHeight="1" x14ac:dyDescent="0.25">
      <c r="A601" s="6"/>
      <c r="B601" s="441"/>
      <c r="C601" s="2473" t="s">
        <v>6414</v>
      </c>
      <c r="D601" s="896">
        <v>175000000</v>
      </c>
      <c r="E601" s="2818">
        <f>D601/D357*100</f>
        <v>0.11545456613440749</v>
      </c>
      <c r="F601" s="3868"/>
      <c r="G601" s="2685"/>
      <c r="H601" s="2685"/>
      <c r="I601" s="2685"/>
      <c r="J601" s="2920"/>
      <c r="K601" s="2700"/>
      <c r="L601" s="2685"/>
      <c r="M601" s="2685"/>
      <c r="N601" s="2701"/>
      <c r="P601" s="80"/>
    </row>
    <row r="602" spans="1:16" s="27" customFormat="1" ht="30.75" hidden="1" customHeight="1" x14ac:dyDescent="0.25">
      <c r="A602" s="6"/>
      <c r="B602" s="441"/>
      <c r="C602" s="2473" t="s">
        <v>6415</v>
      </c>
      <c r="D602" s="896">
        <v>100000000</v>
      </c>
      <c r="E602" s="2818">
        <f>D602/D357*100</f>
        <v>6.5974037791089984E-2</v>
      </c>
      <c r="F602" s="3868"/>
      <c r="G602" s="2685"/>
      <c r="H602" s="2685"/>
      <c r="I602" s="2685"/>
      <c r="J602" s="2920"/>
      <c r="K602" s="2700"/>
      <c r="L602" s="2685"/>
      <c r="M602" s="2685"/>
      <c r="N602" s="2701"/>
      <c r="P602" s="80"/>
    </row>
    <row r="603" spans="1:16" s="27" customFormat="1" ht="18.75" hidden="1" customHeight="1" x14ac:dyDescent="0.25">
      <c r="A603" s="6"/>
      <c r="B603" s="441"/>
      <c r="C603" s="2473" t="s">
        <v>6416</v>
      </c>
      <c r="D603" s="896">
        <v>355000000</v>
      </c>
      <c r="E603" s="2810">
        <f>D603/D357*100</f>
        <v>0.23420783415836946</v>
      </c>
      <c r="F603" s="3868"/>
      <c r="G603" s="2685"/>
      <c r="H603" s="2685"/>
      <c r="I603" s="2685"/>
      <c r="J603" s="2920"/>
      <c r="K603" s="2700"/>
      <c r="L603" s="2685"/>
      <c r="M603" s="2685"/>
      <c r="N603" s="2701"/>
      <c r="P603" s="80"/>
    </row>
    <row r="604" spans="1:16" ht="13.5" hidden="1" customHeight="1" x14ac:dyDescent="0.25">
      <c r="B604" s="441"/>
      <c r="C604" s="2475"/>
      <c r="D604" s="2769"/>
      <c r="E604" s="2840"/>
      <c r="F604" s="3872"/>
      <c r="G604" s="2830"/>
      <c r="H604" s="2830"/>
      <c r="I604" s="2830"/>
      <c r="J604" s="2891"/>
      <c r="K604" s="2834"/>
      <c r="L604" s="2830"/>
      <c r="M604" s="2708"/>
      <c r="N604" s="2768"/>
    </row>
    <row r="605" spans="1:16" s="27" customFormat="1" ht="19.5" hidden="1" customHeight="1" x14ac:dyDescent="0.25">
      <c r="A605" s="6"/>
      <c r="B605" s="440"/>
      <c r="C605" s="2471" t="s">
        <v>6417</v>
      </c>
      <c r="D605" s="2744">
        <f>D606</f>
        <v>1574500000</v>
      </c>
      <c r="E605" s="2786">
        <f>D605/D357*100</f>
        <v>1.0387612250207119</v>
      </c>
      <c r="F605" s="3850"/>
      <c r="G605" s="2886"/>
      <c r="H605" s="2719"/>
      <c r="I605" s="2719"/>
      <c r="J605" s="2887"/>
      <c r="K605" s="2887"/>
      <c r="L605" s="2719"/>
      <c r="M605" s="2719"/>
      <c r="N605" s="2701"/>
      <c r="P605" s="80"/>
    </row>
    <row r="606" spans="1:16" s="27" customFormat="1" ht="17.25" hidden="1" customHeight="1" x14ac:dyDescent="0.25">
      <c r="A606" s="6"/>
      <c r="B606" s="441"/>
      <c r="C606" s="2472" t="s">
        <v>6418</v>
      </c>
      <c r="D606" s="2759">
        <f>D607</f>
        <v>1574500000</v>
      </c>
      <c r="E606" s="2873">
        <f>D606/D357*100</f>
        <v>1.0387612250207119</v>
      </c>
      <c r="F606" s="3855"/>
      <c r="G606" s="2929"/>
      <c r="H606" s="2679"/>
      <c r="I606" s="2679"/>
      <c r="J606" s="2930"/>
      <c r="K606" s="2930"/>
      <c r="L606" s="2679"/>
      <c r="M606" s="2725"/>
      <c r="N606" s="2701"/>
      <c r="P606" s="80"/>
    </row>
    <row r="607" spans="1:16" s="27" customFormat="1" ht="16.5" hidden="1" customHeight="1" x14ac:dyDescent="0.25">
      <c r="A607" s="6"/>
      <c r="B607" s="441"/>
      <c r="C607" s="2473" t="s">
        <v>6419</v>
      </c>
      <c r="D607" s="896">
        <v>1574500000</v>
      </c>
      <c r="E607" s="2818">
        <f>D607/D357*100</f>
        <v>1.0387612250207119</v>
      </c>
      <c r="F607" s="3868"/>
      <c r="G607" s="2685"/>
      <c r="H607" s="2685"/>
      <c r="I607" s="2685"/>
      <c r="J607" s="2920"/>
      <c r="K607" s="2852"/>
      <c r="L607" s="2685"/>
      <c r="M607" s="2685"/>
      <c r="N607" s="2701"/>
      <c r="P607" s="80"/>
    </row>
    <row r="608" spans="1:16" ht="13.5" hidden="1" customHeight="1" x14ac:dyDescent="0.25">
      <c r="B608" s="441"/>
      <c r="C608" s="2476"/>
      <c r="D608" s="2709"/>
      <c r="E608" s="2818"/>
      <c r="F608" s="4430"/>
      <c r="G608" s="2708"/>
      <c r="H608" s="2708"/>
      <c r="I608" s="2708"/>
      <c r="J608" s="2903"/>
      <c r="K608" s="2834"/>
      <c r="L608" s="2708"/>
      <c r="M608" s="2708"/>
      <c r="N608" s="2768"/>
    </row>
    <row r="609" spans="1:16" s="27" customFormat="1" ht="17.25" hidden="1" customHeight="1" x14ac:dyDescent="0.25">
      <c r="A609" s="6"/>
      <c r="B609" s="440"/>
      <c r="C609" s="2471" t="s">
        <v>517</v>
      </c>
      <c r="D609" s="2744">
        <f>D610</f>
        <v>6165000000</v>
      </c>
      <c r="E609" s="2786">
        <f>D609/D357*100</f>
        <v>4.0672994298206975</v>
      </c>
      <c r="F609" s="3850"/>
      <c r="G609" s="2886"/>
      <c r="H609" s="2719"/>
      <c r="I609" s="2719"/>
      <c r="J609" s="2887"/>
      <c r="K609" s="2887"/>
      <c r="L609" s="2719"/>
      <c r="M609" s="2719"/>
      <c r="N609" s="2701"/>
      <c r="P609" s="80"/>
    </row>
    <row r="610" spans="1:16" s="27" customFormat="1" ht="17.25" hidden="1" customHeight="1" x14ac:dyDescent="0.25">
      <c r="A610" s="6"/>
      <c r="B610" s="441"/>
      <c r="C610" s="2472" t="s">
        <v>518</v>
      </c>
      <c r="D610" s="2759">
        <f>D611</f>
        <v>6165000000</v>
      </c>
      <c r="E610" s="2873">
        <f>D610/D357*100</f>
        <v>4.0672994298206975</v>
      </c>
      <c r="F610" s="3855"/>
      <c r="G610" s="2929"/>
      <c r="H610" s="2679"/>
      <c r="I610" s="2725"/>
      <c r="J610" s="2930"/>
      <c r="K610" s="2930"/>
      <c r="L610" s="2679"/>
      <c r="M610" s="2725"/>
      <c r="N610" s="2701"/>
      <c r="P610" s="80"/>
    </row>
    <row r="611" spans="1:16" s="27" customFormat="1" ht="15.75" hidden="1" customHeight="1" x14ac:dyDescent="0.25">
      <c r="A611" s="6"/>
      <c r="B611" s="441"/>
      <c r="C611" s="2473" t="s">
        <v>519</v>
      </c>
      <c r="D611" s="896">
        <v>6165000000</v>
      </c>
      <c r="E611" s="2818">
        <f>D611/D357*100</f>
        <v>4.0672994298206975</v>
      </c>
      <c r="F611" s="3868"/>
      <c r="G611" s="2685"/>
      <c r="H611" s="2685"/>
      <c r="I611" s="2685"/>
      <c r="J611" s="2920"/>
      <c r="K611" s="2852"/>
      <c r="L611" s="2685"/>
      <c r="M611" s="2685"/>
      <c r="N611" s="2701"/>
      <c r="P611" s="80"/>
    </row>
    <row r="612" spans="1:16" s="27" customFormat="1" ht="13.5" hidden="1" customHeight="1" x14ac:dyDescent="0.25">
      <c r="A612" s="6"/>
      <c r="B612" s="441"/>
      <c r="C612" s="2476"/>
      <c r="D612" s="2709"/>
      <c r="E612" s="2818"/>
      <c r="F612" s="4430"/>
      <c r="G612" s="2708"/>
      <c r="H612" s="2708"/>
      <c r="I612" s="2708"/>
      <c r="J612" s="2903"/>
      <c r="K612" s="2834"/>
      <c r="L612" s="2708"/>
      <c r="M612" s="2708"/>
      <c r="N612" s="2701"/>
      <c r="P612" s="80"/>
    </row>
    <row r="613" spans="1:16" s="20" customFormat="1" ht="16.5" hidden="1" customHeight="1" x14ac:dyDescent="0.25">
      <c r="A613" s="963"/>
      <c r="B613" s="440"/>
      <c r="C613" s="2471" t="s">
        <v>6420</v>
      </c>
      <c r="D613" s="2744">
        <f>SUM(D614+D617+D620)</f>
        <v>1141070865</v>
      </c>
      <c r="E613" s="2786">
        <f>D613/D357*100</f>
        <v>0.75281052369821744</v>
      </c>
      <c r="F613" s="3850"/>
      <c r="G613" s="2886"/>
      <c r="H613" s="2719"/>
      <c r="I613" s="2719"/>
      <c r="J613" s="2887"/>
      <c r="K613" s="2887"/>
      <c r="L613" s="2719"/>
      <c r="M613" s="2719"/>
      <c r="N613" s="2704"/>
      <c r="P613" s="617"/>
    </row>
    <row r="614" spans="1:16" s="27" customFormat="1" ht="28.5" hidden="1" customHeight="1" x14ac:dyDescent="0.25">
      <c r="A614" s="6"/>
      <c r="B614" s="441"/>
      <c r="C614" s="2472" t="s">
        <v>6421</v>
      </c>
      <c r="D614" s="2759">
        <f>D615</f>
        <v>886570865</v>
      </c>
      <c r="E614" s="2873">
        <f>D614/D357*100</f>
        <v>0.58490659751989338</v>
      </c>
      <c r="F614" s="3855"/>
      <c r="G614" s="2929"/>
      <c r="H614" s="2679"/>
      <c r="I614" s="2725"/>
      <c r="J614" s="2930"/>
      <c r="K614" s="2930"/>
      <c r="L614" s="2679"/>
      <c r="M614" s="2725"/>
      <c r="N614" s="2701"/>
      <c r="P614" s="80"/>
    </row>
    <row r="615" spans="1:16" s="27" customFormat="1" ht="28.5" hidden="1" customHeight="1" x14ac:dyDescent="0.25">
      <c r="A615" s="6"/>
      <c r="B615" s="441"/>
      <c r="C615" s="2473" t="s">
        <v>6422</v>
      </c>
      <c r="D615" s="896">
        <v>886570865</v>
      </c>
      <c r="E615" s="2818">
        <f>D615/D357*100</f>
        <v>0.58490659751989338</v>
      </c>
      <c r="F615" s="3868"/>
      <c r="G615" s="2919"/>
      <c r="H615" s="2685"/>
      <c r="I615" s="2685"/>
      <c r="J615" s="2920"/>
      <c r="K615" s="2852"/>
      <c r="L615" s="2685"/>
      <c r="M615" s="2685"/>
      <c r="N615" s="2701"/>
      <c r="P615" s="80"/>
    </row>
    <row r="616" spans="1:16" s="20" customFormat="1" ht="10.5" hidden="1" customHeight="1" x14ac:dyDescent="0.25">
      <c r="A616" s="963"/>
      <c r="B616" s="441"/>
      <c r="C616" s="2473"/>
      <c r="D616" s="896"/>
      <c r="E616" s="2818"/>
      <c r="F616" s="3868"/>
      <c r="G616" s="2685"/>
      <c r="H616" s="2685"/>
      <c r="I616" s="2685"/>
      <c r="J616" s="2920"/>
      <c r="K616" s="2700"/>
      <c r="L616" s="2685"/>
      <c r="M616" s="2685"/>
      <c r="N616" s="2704"/>
      <c r="P616" s="617"/>
    </row>
    <row r="617" spans="1:16" s="27" customFormat="1" ht="17.25" hidden="1" customHeight="1" x14ac:dyDescent="0.25">
      <c r="A617" s="6"/>
      <c r="B617" s="441"/>
      <c r="C617" s="2474" t="s">
        <v>6423</v>
      </c>
      <c r="D617" s="899">
        <f>D618</f>
        <v>250000000</v>
      </c>
      <c r="E617" s="2873">
        <f>D617/D357*100</f>
        <v>0.16493509447772498</v>
      </c>
      <c r="F617" s="3853"/>
      <c r="G617" s="2679"/>
      <c r="H617" s="2679"/>
      <c r="I617" s="2679"/>
      <c r="J617" s="915"/>
      <c r="K617" s="915"/>
      <c r="L617" s="2679"/>
      <c r="M617" s="2679"/>
      <c r="N617" s="2701"/>
      <c r="P617" s="80"/>
    </row>
    <row r="618" spans="1:16" s="27" customFormat="1" ht="19.5" hidden="1" customHeight="1" x14ac:dyDescent="0.25">
      <c r="A618" s="6"/>
      <c r="B618" s="441"/>
      <c r="C618" s="2473" t="s">
        <v>6424</v>
      </c>
      <c r="D618" s="896">
        <v>250000000</v>
      </c>
      <c r="E618" s="2818">
        <f>D618/D357*100</f>
        <v>0.16493509447772498</v>
      </c>
      <c r="F618" s="3868"/>
      <c r="G618" s="2685"/>
      <c r="H618" s="2685"/>
      <c r="I618" s="2685"/>
      <c r="J618" s="2920"/>
      <c r="K618" s="2852"/>
      <c r="L618" s="2685"/>
      <c r="M618" s="2685"/>
      <c r="N618" s="2701"/>
      <c r="P618" s="80"/>
    </row>
    <row r="619" spans="1:16" s="20" customFormat="1" ht="12" hidden="1" customHeight="1" x14ac:dyDescent="0.25">
      <c r="A619" s="963"/>
      <c r="B619" s="441"/>
      <c r="C619" s="2473"/>
      <c r="D619" s="896"/>
      <c r="E619" s="2818"/>
      <c r="F619" s="3868"/>
      <c r="G619" s="2685"/>
      <c r="H619" s="2685"/>
      <c r="I619" s="2685"/>
      <c r="J619" s="2920"/>
      <c r="K619" s="2731"/>
      <c r="L619" s="2685"/>
      <c r="M619" s="2685"/>
      <c r="N619" s="2704"/>
      <c r="P619" s="617"/>
    </row>
    <row r="620" spans="1:16" s="27" customFormat="1" ht="20.25" hidden="1" customHeight="1" x14ac:dyDescent="0.25">
      <c r="A620" s="6"/>
      <c r="B620" s="441"/>
      <c r="C620" s="2474" t="s">
        <v>6425</v>
      </c>
      <c r="D620" s="899">
        <f>D621</f>
        <v>4500000</v>
      </c>
      <c r="E620" s="2873">
        <f>D620/D357*100</f>
        <v>2.9688317005990496E-3</v>
      </c>
      <c r="F620" s="3853"/>
      <c r="G620" s="2679"/>
      <c r="H620" s="2679"/>
      <c r="I620" s="2679"/>
      <c r="J620" s="915"/>
      <c r="K620" s="2694"/>
      <c r="L620" s="2679"/>
      <c r="M620" s="2679"/>
      <c r="N620" s="2701"/>
      <c r="P620" s="80"/>
    </row>
    <row r="621" spans="1:16" s="27" customFormat="1" ht="17.25" hidden="1" customHeight="1" x14ac:dyDescent="0.25">
      <c r="A621" s="6"/>
      <c r="B621" s="441"/>
      <c r="C621" s="2473" t="s">
        <v>6426</v>
      </c>
      <c r="D621" s="896">
        <v>4500000</v>
      </c>
      <c r="E621" s="2818">
        <f>D621/D357*100</f>
        <v>2.9688317005990496E-3</v>
      </c>
      <c r="F621" s="3868"/>
      <c r="G621" s="2685"/>
      <c r="H621" s="2685"/>
      <c r="I621" s="2685"/>
      <c r="J621" s="2920"/>
      <c r="K621" s="2700"/>
      <c r="L621" s="2685"/>
      <c r="M621" s="2685"/>
      <c r="N621" s="2701"/>
      <c r="P621" s="80"/>
    </row>
    <row r="622" spans="1:16" ht="14.25" hidden="1" customHeight="1" x14ac:dyDescent="0.25">
      <c r="B622" s="441"/>
      <c r="C622" s="2476"/>
      <c r="D622" s="2682"/>
      <c r="E622" s="2895"/>
      <c r="F622" s="4432"/>
      <c r="G622" s="2708"/>
      <c r="H622" s="2708"/>
      <c r="I622" s="2708"/>
      <c r="J622" s="2856"/>
      <c r="K622" s="2834"/>
      <c r="L622" s="2708"/>
      <c r="M622" s="2708"/>
      <c r="N622" s="2768"/>
    </row>
    <row r="623" spans="1:16" ht="18" hidden="1" customHeight="1" x14ac:dyDescent="0.25">
      <c r="B623" s="440"/>
      <c r="C623" s="2471" t="s">
        <v>6427</v>
      </c>
      <c r="D623" s="2530">
        <f>D624</f>
        <v>42255783401</v>
      </c>
      <c r="E623" s="2786">
        <f>D623/D357*100</f>
        <v>27.87784650989687</v>
      </c>
      <c r="F623" s="3857"/>
      <c r="G623" s="2936"/>
      <c r="H623" s="2719"/>
      <c r="I623" s="2719"/>
      <c r="J623" s="2917"/>
      <c r="K623" s="2917"/>
      <c r="L623" s="2719"/>
      <c r="M623" s="2719"/>
      <c r="N623" s="2768"/>
    </row>
    <row r="624" spans="1:16" ht="18" hidden="1" customHeight="1" x14ac:dyDescent="0.25">
      <c r="B624" s="441"/>
      <c r="C624" s="2478" t="s">
        <v>6428</v>
      </c>
      <c r="D624" s="2931">
        <f>SUM(D625:D627)</f>
        <v>42255783401</v>
      </c>
      <c r="E624" s="2873">
        <f>D624/D357*100</f>
        <v>27.87784650989687</v>
      </c>
      <c r="F624" s="3856"/>
      <c r="G624" s="2932"/>
      <c r="H624" s="2722"/>
      <c r="I624" s="2722"/>
      <c r="J624" s="2933"/>
      <c r="K624" s="2933"/>
      <c r="L624" s="2722"/>
      <c r="M624" s="2722"/>
      <c r="N624" s="2768"/>
    </row>
    <row r="625" spans="1:16" s="27" customFormat="1" ht="18" hidden="1" customHeight="1" x14ac:dyDescent="0.25">
      <c r="A625" s="6"/>
      <c r="B625" s="444"/>
      <c r="C625" s="2473" t="s">
        <v>6429</v>
      </c>
      <c r="D625" s="2698">
        <v>25199260601</v>
      </c>
      <c r="E625" s="2818">
        <f>D625/D357*100</f>
        <v>16.624969711978991</v>
      </c>
      <c r="F625" s="3827"/>
      <c r="G625" s="2934"/>
      <c r="H625" s="2934"/>
      <c r="I625" s="2934"/>
      <c r="J625" s="2788"/>
      <c r="K625" s="2788"/>
      <c r="L625" s="2679"/>
      <c r="M625" s="899"/>
      <c r="N625" s="2701"/>
      <c r="P625" s="80"/>
    </row>
    <row r="626" spans="1:16" s="27" customFormat="1" ht="18" hidden="1" customHeight="1" x14ac:dyDescent="0.25">
      <c r="A626" s="6"/>
      <c r="B626" s="445"/>
      <c r="C626" s="2476" t="s">
        <v>6430</v>
      </c>
      <c r="D626" s="2698">
        <v>740000000</v>
      </c>
      <c r="E626" s="2810">
        <f>D626/D357*100</f>
        <v>0.48820787965406598</v>
      </c>
      <c r="F626" s="3876"/>
      <c r="G626" s="2708"/>
      <c r="H626" s="2708"/>
      <c r="I626" s="2708"/>
      <c r="J626" s="2774"/>
      <c r="K626" s="2852"/>
      <c r="L626" s="2685"/>
      <c r="M626" s="896"/>
      <c r="N626" s="2701"/>
      <c r="P626" s="80"/>
    </row>
    <row r="627" spans="1:16" s="27" customFormat="1" ht="18" hidden="1" customHeight="1" x14ac:dyDescent="0.25">
      <c r="A627" s="6"/>
      <c r="B627" s="441"/>
      <c r="C627" s="2476" t="s">
        <v>6431</v>
      </c>
      <c r="D627" s="2706">
        <f>7931250000+8385272665+135</f>
        <v>16316522800</v>
      </c>
      <c r="E627" s="2810">
        <f>D627/D357*100</f>
        <v>10.764668918263814</v>
      </c>
      <c r="F627" s="4431"/>
      <c r="G627" s="2708"/>
      <c r="H627" s="2708"/>
      <c r="I627" s="2708"/>
      <c r="J627" s="2872"/>
      <c r="K627" s="3447"/>
      <c r="L627" s="2708"/>
      <c r="M627" s="2769"/>
      <c r="N627" s="2701"/>
      <c r="P627" s="80"/>
    </row>
    <row r="628" spans="1:16" ht="15.75" hidden="1" customHeight="1" x14ac:dyDescent="0.25">
      <c r="B628" s="441"/>
      <c r="C628" s="2477"/>
      <c r="D628" s="911"/>
      <c r="E628" s="2938"/>
      <c r="F628" s="3849"/>
      <c r="G628" s="2709"/>
      <c r="H628" s="2710"/>
      <c r="I628" s="911"/>
      <c r="J628" s="2893"/>
      <c r="K628" s="911"/>
      <c r="L628" s="2709"/>
      <c r="M628" s="911"/>
      <c r="N628" s="2768"/>
    </row>
    <row r="629" spans="1:16" ht="17.25" hidden="1" customHeight="1" x14ac:dyDescent="0.25">
      <c r="B629" s="440"/>
      <c r="C629" s="2471" t="s">
        <v>6432</v>
      </c>
      <c r="D629" s="2744">
        <f>D630</f>
        <v>1517432000</v>
      </c>
      <c r="E629" s="2786">
        <f>D629/D357*100</f>
        <v>1.0011111611340928</v>
      </c>
      <c r="F629" s="3850"/>
      <c r="G629" s="2909"/>
      <c r="H629" s="2719"/>
      <c r="I629" s="2719"/>
      <c r="J629" s="2910"/>
      <c r="K629" s="2910"/>
      <c r="L629" s="2719"/>
      <c r="M629" s="2744"/>
      <c r="N629" s="2768"/>
    </row>
    <row r="630" spans="1:16" ht="20.25" hidden="1" customHeight="1" x14ac:dyDescent="0.25">
      <c r="B630" s="441"/>
      <c r="C630" s="2478" t="s">
        <v>6433</v>
      </c>
      <c r="D630" s="2751">
        <f>D631</f>
        <v>1517432000</v>
      </c>
      <c r="E630" s="2942">
        <f>D630/D357*100</f>
        <v>1.0011111611340928</v>
      </c>
      <c r="F630" s="3851"/>
      <c r="G630" s="2888"/>
      <c r="H630" s="2722"/>
      <c r="I630" s="2722"/>
      <c r="J630" s="2889"/>
      <c r="K630" s="2889"/>
      <c r="L630" s="2939"/>
      <c r="M630" s="2751"/>
      <c r="N630" s="2768"/>
    </row>
    <row r="631" spans="1:16" s="27" customFormat="1" ht="16.5" hidden="1" customHeight="1" x14ac:dyDescent="0.25">
      <c r="A631" s="6"/>
      <c r="B631" s="441"/>
      <c r="C631" s="2473" t="s">
        <v>6434</v>
      </c>
      <c r="D631" s="2698">
        <v>1517432000</v>
      </c>
      <c r="E631" s="2940">
        <f>D631/D357*100</f>
        <v>1.0011111611340928</v>
      </c>
      <c r="F631" s="3876"/>
      <c r="G631" s="2685"/>
      <c r="H631" s="2830"/>
      <c r="I631" s="2685"/>
      <c r="J631" s="2941"/>
      <c r="K631" s="2852"/>
      <c r="L631" s="2685"/>
      <c r="M631" s="896"/>
      <c r="N631" s="2701"/>
      <c r="P631" s="80"/>
    </row>
    <row r="632" spans="1:16" s="27" customFormat="1" ht="15" hidden="1" customHeight="1" x14ac:dyDescent="0.25">
      <c r="A632" s="6"/>
      <c r="B632" s="441"/>
      <c r="C632" s="2475"/>
      <c r="D632" s="2724"/>
      <c r="E632" s="2943"/>
      <c r="F632" s="3833"/>
      <c r="G632" s="2830"/>
      <c r="H632" s="2830"/>
      <c r="I632" s="2830"/>
      <c r="J632" s="4266"/>
      <c r="K632" s="2922"/>
      <c r="L632" s="2830"/>
      <c r="M632" s="2769"/>
      <c r="N632" s="2701"/>
      <c r="P632" s="80"/>
    </row>
    <row r="633" spans="1:16" s="76" customFormat="1" ht="17.25" hidden="1" customHeight="1" x14ac:dyDescent="0.25">
      <c r="A633" s="638"/>
      <c r="B633" s="3075"/>
      <c r="C633" s="2522" t="s">
        <v>6996</v>
      </c>
      <c r="D633" s="2945">
        <f>D635+D687+D721+D730+D752+D757+D761+D765+D776+D791+D808+D812+D816+D828+D835+D841+D845+D855+D862+D866+D870+D874+D878+D882+D886+D890+D894+D898+D902+D906+D921</f>
        <v>138204815000</v>
      </c>
      <c r="E633" s="2946">
        <f>D633/2512247400000*100</f>
        <v>5.5012422343436391</v>
      </c>
      <c r="F633" s="4400"/>
      <c r="G633" s="2947"/>
      <c r="H633" s="2948"/>
      <c r="I633" s="2949"/>
      <c r="J633" s="3076"/>
      <c r="K633" s="2950"/>
      <c r="L633" s="3077"/>
      <c r="M633" s="2949"/>
      <c r="N633" s="3078"/>
      <c r="P633" s="639"/>
    </row>
    <row r="634" spans="1:16" ht="7.5" hidden="1" customHeight="1" x14ac:dyDescent="0.25">
      <c r="B634" s="441"/>
      <c r="C634" s="2478"/>
      <c r="D634" s="2769"/>
      <c r="E634" s="3036"/>
      <c r="F634" s="3872"/>
      <c r="G634" s="2754"/>
      <c r="H634" s="2784"/>
      <c r="I634" s="2753"/>
      <c r="J634" s="898"/>
      <c r="K634" s="898"/>
      <c r="L634" s="911"/>
      <c r="M634" s="898"/>
      <c r="N634" s="2768"/>
    </row>
    <row r="635" spans="1:16" ht="17.25" hidden="1" customHeight="1" x14ac:dyDescent="0.25">
      <c r="B635" s="440"/>
      <c r="C635" s="2471" t="s">
        <v>630</v>
      </c>
      <c r="D635" s="2744">
        <f>SUM(D636+D644+D663+D669+D674+D678+D681+D684)</f>
        <v>38428707000</v>
      </c>
      <c r="E635" s="2670">
        <f>D635/D633*100</f>
        <v>27.805620954667898</v>
      </c>
      <c r="F635" s="3826"/>
      <c r="G635" s="2886"/>
      <c r="H635" s="2672"/>
      <c r="I635" s="2987"/>
      <c r="J635" s="2887"/>
      <c r="K635" s="2887"/>
      <c r="L635" s="2719"/>
      <c r="M635" s="2987"/>
      <c r="N635" s="2837"/>
    </row>
    <row r="636" spans="1:16" ht="14.25" hidden="1" customHeight="1" x14ac:dyDescent="0.25">
      <c r="B636" s="441"/>
      <c r="C636" s="2472" t="s">
        <v>1033</v>
      </c>
      <c r="D636" s="2759">
        <f>SUM(D637:D642)</f>
        <v>1703049960</v>
      </c>
      <c r="E636" s="2677">
        <f>D636/D633*100</f>
        <v>1.2322652868498105</v>
      </c>
      <c r="F636" s="3855"/>
      <c r="G636" s="2679"/>
      <c r="H636" s="2679"/>
      <c r="I636" s="2679"/>
      <c r="J636" s="2930"/>
      <c r="K636" s="2694"/>
      <c r="L636" s="2679"/>
      <c r="M636" s="2679"/>
      <c r="N636" s="2837"/>
    </row>
    <row r="637" spans="1:16" ht="14.25" hidden="1" customHeight="1" x14ac:dyDescent="0.25">
      <c r="B637" s="448"/>
      <c r="C637" s="2473" t="s">
        <v>1034</v>
      </c>
      <c r="D637" s="896">
        <v>50000000</v>
      </c>
      <c r="E637" s="2967">
        <f>D637/D633*100</f>
        <v>3.6178189594913895E-2</v>
      </c>
      <c r="F637" s="3868"/>
      <c r="G637" s="2726"/>
      <c r="H637" s="2726"/>
      <c r="I637" s="2726"/>
      <c r="J637" s="2920"/>
      <c r="K637" s="2726"/>
      <c r="L637" s="2726"/>
      <c r="M637" s="2726"/>
      <c r="N637" s="2951"/>
    </row>
    <row r="638" spans="1:16" ht="14.25" hidden="1" customHeight="1" x14ac:dyDescent="0.25">
      <c r="B638" s="448"/>
      <c r="C638" s="2473" t="s">
        <v>1035</v>
      </c>
      <c r="D638" s="896">
        <v>50000000</v>
      </c>
      <c r="E638" s="2967">
        <f>D638/D633*100</f>
        <v>3.6178189594913895E-2</v>
      </c>
      <c r="F638" s="3868"/>
      <c r="G638" s="2726"/>
      <c r="H638" s="2685"/>
      <c r="I638" s="2757"/>
      <c r="J638" s="2920"/>
      <c r="K638" s="896"/>
      <c r="L638" s="896"/>
      <c r="M638" s="896"/>
      <c r="N638" s="2951"/>
    </row>
    <row r="639" spans="1:16" ht="14.25" hidden="1" customHeight="1" x14ac:dyDescent="0.25">
      <c r="B639" s="448"/>
      <c r="C639" s="2473" t="s">
        <v>1036</v>
      </c>
      <c r="D639" s="896">
        <v>70000000</v>
      </c>
      <c r="E639" s="2967">
        <f>D639/D633*100</f>
        <v>5.0649465432879452E-2</v>
      </c>
      <c r="F639" s="3868"/>
      <c r="G639" s="2726"/>
      <c r="H639" s="2685"/>
      <c r="I639" s="2757"/>
      <c r="J639" s="2920"/>
      <c r="K639" s="896"/>
      <c r="L639" s="896"/>
      <c r="M639" s="896"/>
      <c r="N639" s="2951"/>
    </row>
    <row r="640" spans="1:16" ht="14.25" hidden="1" customHeight="1" x14ac:dyDescent="0.25">
      <c r="B640" s="448"/>
      <c r="C640" s="2473" t="s">
        <v>1037</v>
      </c>
      <c r="D640" s="896">
        <v>1379999960</v>
      </c>
      <c r="E640" s="2967">
        <f>D640/D633*100</f>
        <v>0.9985180038770719</v>
      </c>
      <c r="F640" s="3868"/>
      <c r="G640" s="2726"/>
      <c r="H640" s="2685"/>
      <c r="I640" s="2757"/>
      <c r="J640" s="2920"/>
      <c r="K640" s="896"/>
      <c r="L640" s="896"/>
      <c r="M640" s="896"/>
      <c r="N640" s="2951"/>
    </row>
    <row r="641" spans="2:14" ht="14.25" hidden="1" customHeight="1" x14ac:dyDescent="0.25">
      <c r="B641" s="448"/>
      <c r="C641" s="2473" t="s">
        <v>4954</v>
      </c>
      <c r="D641" s="896">
        <v>93550000</v>
      </c>
      <c r="E641" s="2967">
        <f>D641/D633*100</f>
        <v>6.7689392732083895E-2</v>
      </c>
      <c r="F641" s="3868"/>
      <c r="G641" s="2726"/>
      <c r="H641" s="2685"/>
      <c r="I641" s="2757"/>
      <c r="J641" s="2920"/>
      <c r="K641" s="896"/>
      <c r="L641" s="896"/>
      <c r="M641" s="896"/>
      <c r="N641" s="2951"/>
    </row>
    <row r="642" spans="2:14" ht="14.25" hidden="1" customHeight="1" x14ac:dyDescent="0.25">
      <c r="B642" s="448"/>
      <c r="C642" s="2473" t="s">
        <v>4955</v>
      </c>
      <c r="D642" s="896">
        <v>59500000</v>
      </c>
      <c r="E642" s="2967">
        <f>D642/D633*100</f>
        <v>4.3052045617947537E-2</v>
      </c>
      <c r="F642" s="3868"/>
      <c r="G642" s="2726"/>
      <c r="H642" s="2685"/>
      <c r="I642" s="2757"/>
      <c r="J642" s="2920"/>
      <c r="K642" s="896"/>
      <c r="L642" s="896"/>
      <c r="M642" s="896"/>
      <c r="N642" s="2951"/>
    </row>
    <row r="643" spans="2:14" ht="10.5" hidden="1" customHeight="1" x14ac:dyDescent="0.25">
      <c r="B643" s="448"/>
      <c r="C643" s="2473"/>
      <c r="D643" s="896"/>
      <c r="E643" s="2967"/>
      <c r="F643" s="3868"/>
      <c r="G643" s="2726"/>
      <c r="H643" s="2685"/>
      <c r="I643" s="2757"/>
      <c r="J643" s="2920"/>
      <c r="K643" s="896"/>
      <c r="L643" s="896"/>
      <c r="M643" s="896"/>
      <c r="N643" s="2951"/>
    </row>
    <row r="644" spans="2:14" ht="17.25" hidden="1" customHeight="1" x14ac:dyDescent="0.25">
      <c r="B644" s="441"/>
      <c r="C644" s="2474" t="s">
        <v>1039</v>
      </c>
      <c r="D644" s="899">
        <f>SUM(D645:D661)</f>
        <v>2324008000</v>
      </c>
      <c r="E644" s="2969">
        <f>D644/D633*100</f>
        <v>1.6815680408819331</v>
      </c>
      <c r="F644" s="3853"/>
      <c r="G644" s="2921"/>
      <c r="H644" s="2695"/>
      <c r="I644" s="2970"/>
      <c r="J644" s="915"/>
      <c r="K644" s="915"/>
      <c r="L644" s="2965"/>
      <c r="M644" s="2970"/>
      <c r="N644" s="2837"/>
    </row>
    <row r="645" spans="2:14" ht="15" hidden="1" customHeight="1" x14ac:dyDescent="0.25">
      <c r="B645" s="448"/>
      <c r="C645" s="2473" t="s">
        <v>4956</v>
      </c>
      <c r="D645" s="896">
        <v>53400000</v>
      </c>
      <c r="E645" s="2967">
        <f>D645/D633*100</f>
        <v>3.8638306487368039E-2</v>
      </c>
      <c r="F645" s="3868"/>
      <c r="G645" s="2919"/>
      <c r="H645" s="2690"/>
      <c r="I645" s="2757"/>
      <c r="J645" s="2920"/>
      <c r="K645" s="2920"/>
      <c r="L645" s="2690"/>
      <c r="M645" s="2757"/>
      <c r="N645" s="2951"/>
    </row>
    <row r="646" spans="2:14" ht="15" hidden="1" customHeight="1" x14ac:dyDescent="0.25">
      <c r="B646" s="448"/>
      <c r="C646" s="2473" t="s">
        <v>4957</v>
      </c>
      <c r="D646" s="896">
        <v>100000000</v>
      </c>
      <c r="E646" s="2967">
        <f>D646/D633*100</f>
        <v>7.2356379189827791E-2</v>
      </c>
      <c r="F646" s="3868"/>
      <c r="G646" s="2919"/>
      <c r="H646" s="2690"/>
      <c r="I646" s="2757"/>
      <c r="J646" s="2920"/>
      <c r="K646" s="2920"/>
      <c r="L646" s="2690"/>
      <c r="M646" s="2757"/>
      <c r="N646" s="2951"/>
    </row>
    <row r="647" spans="2:14" ht="15" hidden="1" customHeight="1" x14ac:dyDescent="0.25">
      <c r="B647" s="448"/>
      <c r="C647" s="2473" t="s">
        <v>3924</v>
      </c>
      <c r="D647" s="896">
        <v>840630000</v>
      </c>
      <c r="E647" s="2967">
        <f>D647/D633*100</f>
        <v>0.60824943038344936</v>
      </c>
      <c r="F647" s="3868"/>
      <c r="G647" s="2919"/>
      <c r="H647" s="2690"/>
      <c r="I647" s="2757"/>
      <c r="J647" s="2920"/>
      <c r="K647" s="2920"/>
      <c r="L647" s="2690"/>
      <c r="M647" s="2757"/>
      <c r="N647" s="2951"/>
    </row>
    <row r="648" spans="2:14" ht="15" hidden="1" customHeight="1" x14ac:dyDescent="0.25">
      <c r="B648" s="448"/>
      <c r="C648" s="2473" t="s">
        <v>3925</v>
      </c>
      <c r="D648" s="896">
        <v>158622000</v>
      </c>
      <c r="E648" s="2967">
        <f>D648/D633*100</f>
        <v>0.11477313579848865</v>
      </c>
      <c r="F648" s="3868"/>
      <c r="G648" s="2919"/>
      <c r="H648" s="2690"/>
      <c r="I648" s="2757"/>
      <c r="J648" s="2920"/>
      <c r="K648" s="2920"/>
      <c r="L648" s="2690"/>
      <c r="M648" s="2757"/>
      <c r="N648" s="2951"/>
    </row>
    <row r="649" spans="2:14" ht="15" hidden="1" customHeight="1" x14ac:dyDescent="0.25">
      <c r="B649" s="448"/>
      <c r="C649" s="2473" t="s">
        <v>3926</v>
      </c>
      <c r="D649" s="896">
        <v>40270000</v>
      </c>
      <c r="E649" s="2967">
        <f>D649/D633*100</f>
        <v>2.9137913899743653E-2</v>
      </c>
      <c r="F649" s="3868"/>
      <c r="G649" s="2919"/>
      <c r="H649" s="2690"/>
      <c r="I649" s="2757"/>
      <c r="J649" s="2920"/>
      <c r="K649" s="2920"/>
      <c r="L649" s="2690"/>
      <c r="M649" s="2757"/>
      <c r="N649" s="2951"/>
    </row>
    <row r="650" spans="2:14" ht="15" hidden="1" customHeight="1" x14ac:dyDescent="0.25">
      <c r="B650" s="448"/>
      <c r="C650" s="2473" t="s">
        <v>3927</v>
      </c>
      <c r="D650" s="896">
        <v>53000000</v>
      </c>
      <c r="E650" s="2967">
        <f>D650/D633*100</f>
        <v>3.8348880970608734E-2</v>
      </c>
      <c r="F650" s="3868"/>
      <c r="G650" s="2919"/>
      <c r="H650" s="2690"/>
      <c r="I650" s="2757"/>
      <c r="J650" s="2920"/>
      <c r="K650" s="2920"/>
      <c r="L650" s="2690"/>
      <c r="M650" s="2757"/>
      <c r="N650" s="2951"/>
    </row>
    <row r="651" spans="2:14" ht="15" hidden="1" customHeight="1" x14ac:dyDescent="0.25">
      <c r="B651" s="448"/>
      <c r="C651" s="2473" t="s">
        <v>3928</v>
      </c>
      <c r="D651" s="896">
        <v>52380000</v>
      </c>
      <c r="E651" s="2967">
        <f>D651/D633*100</f>
        <v>3.7900271419631801E-2</v>
      </c>
      <c r="F651" s="3868"/>
      <c r="G651" s="2919"/>
      <c r="H651" s="2690"/>
      <c r="I651" s="2757"/>
      <c r="J651" s="2920"/>
      <c r="K651" s="2920"/>
      <c r="L651" s="2690"/>
      <c r="M651" s="2757"/>
      <c r="N651" s="2951"/>
    </row>
    <row r="652" spans="2:14" ht="15" hidden="1" customHeight="1" x14ac:dyDescent="0.25">
      <c r="B652" s="448"/>
      <c r="C652" s="2473" t="s">
        <v>3929</v>
      </c>
      <c r="D652" s="896">
        <v>67250000</v>
      </c>
      <c r="E652" s="2967">
        <f>D652/D633*100</f>
        <v>4.865966500515919E-2</v>
      </c>
      <c r="F652" s="3868"/>
      <c r="G652" s="2919"/>
      <c r="H652" s="2690"/>
      <c r="I652" s="2757"/>
      <c r="J652" s="2920"/>
      <c r="K652" s="2920"/>
      <c r="L652" s="2690"/>
      <c r="M652" s="2757"/>
      <c r="N652" s="2951"/>
    </row>
    <row r="653" spans="2:14" ht="15" hidden="1" customHeight="1" x14ac:dyDescent="0.25">
      <c r="B653" s="448"/>
      <c r="C653" s="2473" t="s">
        <v>3930</v>
      </c>
      <c r="D653" s="896">
        <v>108486000</v>
      </c>
      <c r="E653" s="2967">
        <f>D653/D633*100</f>
        <v>7.8496541527876579E-2</v>
      </c>
      <c r="F653" s="3868"/>
      <c r="G653" s="2919"/>
      <c r="H653" s="2690"/>
      <c r="I653" s="2757"/>
      <c r="J653" s="2920"/>
      <c r="K653" s="2920"/>
      <c r="L653" s="2690"/>
      <c r="M653" s="2757"/>
      <c r="N653" s="2951"/>
    </row>
    <row r="654" spans="2:14" ht="16.5" hidden="1" customHeight="1" x14ac:dyDescent="0.25">
      <c r="B654" s="448"/>
      <c r="C654" s="2473" t="s">
        <v>3931</v>
      </c>
      <c r="D654" s="896">
        <v>139296000</v>
      </c>
      <c r="E654" s="2967">
        <f>D654/D633*100</f>
        <v>0.10078954195626252</v>
      </c>
      <c r="F654" s="3868"/>
      <c r="G654" s="2919"/>
      <c r="H654" s="2690"/>
      <c r="I654" s="2757"/>
      <c r="J654" s="2920"/>
      <c r="K654" s="2920"/>
      <c r="L654" s="2690"/>
      <c r="M654" s="2757"/>
      <c r="N654" s="2951"/>
    </row>
    <row r="655" spans="2:14" ht="28.5" hidden="1" customHeight="1" x14ac:dyDescent="0.25">
      <c r="B655" s="448"/>
      <c r="C655" s="2473" t="s">
        <v>3932</v>
      </c>
      <c r="D655" s="896">
        <v>143071000</v>
      </c>
      <c r="E655" s="2967">
        <f>D655/D633*100</f>
        <v>0.10352099527067853</v>
      </c>
      <c r="F655" s="3868"/>
      <c r="G655" s="2919"/>
      <c r="H655" s="2690"/>
      <c r="I655" s="2757"/>
      <c r="J655" s="2920"/>
      <c r="K655" s="2920"/>
      <c r="L655" s="2690"/>
      <c r="M655" s="2757"/>
      <c r="N655" s="2951"/>
    </row>
    <row r="656" spans="2:14" ht="18" hidden="1" customHeight="1" x14ac:dyDescent="0.25">
      <c r="B656" s="448"/>
      <c r="C656" s="2473" t="s">
        <v>3933</v>
      </c>
      <c r="D656" s="896">
        <v>139296000</v>
      </c>
      <c r="E656" s="2967">
        <f>D656/D633*100</f>
        <v>0.10078954195626252</v>
      </c>
      <c r="F656" s="3868"/>
      <c r="G656" s="2919"/>
      <c r="H656" s="2690"/>
      <c r="I656" s="2757"/>
      <c r="J656" s="2920"/>
      <c r="K656" s="2920"/>
      <c r="L656" s="2690"/>
      <c r="M656" s="2757"/>
      <c r="N656" s="2951"/>
    </row>
    <row r="657" spans="2:14" ht="29.25" hidden="1" customHeight="1" x14ac:dyDescent="0.25">
      <c r="B657" s="448"/>
      <c r="C657" s="2473" t="s">
        <v>3934</v>
      </c>
      <c r="D657" s="896">
        <v>73121000</v>
      </c>
      <c r="E657" s="2967">
        <f>D657/D633*100</f>
        <v>5.2907708027393981E-2</v>
      </c>
      <c r="F657" s="3868"/>
      <c r="G657" s="2919"/>
      <c r="H657" s="2690"/>
      <c r="I657" s="2757"/>
      <c r="J657" s="2920"/>
      <c r="K657" s="2920"/>
      <c r="L657" s="2690"/>
      <c r="M657" s="2757"/>
      <c r="N657" s="2951"/>
    </row>
    <row r="658" spans="2:14" ht="30.75" hidden="1" customHeight="1" x14ac:dyDescent="0.25">
      <c r="B658" s="448"/>
      <c r="C658" s="2473" t="s">
        <v>3935</v>
      </c>
      <c r="D658" s="896">
        <v>67072000</v>
      </c>
      <c r="E658" s="2967">
        <f>D658/D633*100</f>
        <v>4.8530870650201299E-2</v>
      </c>
      <c r="F658" s="3868"/>
      <c r="G658" s="2919"/>
      <c r="H658" s="2690"/>
      <c r="I658" s="2757"/>
      <c r="J658" s="2920"/>
      <c r="K658" s="2920"/>
      <c r="L658" s="2690"/>
      <c r="M658" s="2757"/>
      <c r="N658" s="2951"/>
    </row>
    <row r="659" spans="2:14" ht="15" hidden="1" customHeight="1" x14ac:dyDescent="0.25">
      <c r="B659" s="448"/>
      <c r="C659" s="2473" t="s">
        <v>3937</v>
      </c>
      <c r="D659" s="896">
        <v>83664000</v>
      </c>
      <c r="E659" s="2967">
        <f>D659/D633*100</f>
        <v>6.0536241085377529E-2</v>
      </c>
      <c r="F659" s="3868"/>
      <c r="G659" s="2919"/>
      <c r="H659" s="2690"/>
      <c r="I659" s="2757"/>
      <c r="J659" s="2920"/>
      <c r="K659" s="2920"/>
      <c r="L659" s="2690"/>
      <c r="M659" s="2757"/>
      <c r="N659" s="2951"/>
    </row>
    <row r="660" spans="2:14" ht="15" hidden="1" customHeight="1" x14ac:dyDescent="0.25">
      <c r="B660" s="448"/>
      <c r="C660" s="2473" t="s">
        <v>3936</v>
      </c>
      <c r="D660" s="896">
        <v>138118000</v>
      </c>
      <c r="E660" s="2967">
        <f>D660/D633*100</f>
        <v>9.993718380940636E-2</v>
      </c>
      <c r="F660" s="3868"/>
      <c r="G660" s="2919"/>
      <c r="H660" s="2690"/>
      <c r="I660" s="2757"/>
      <c r="J660" s="2920"/>
      <c r="K660" s="2920"/>
      <c r="L660" s="2690"/>
      <c r="M660" s="2757"/>
      <c r="N660" s="2951"/>
    </row>
    <row r="661" spans="2:14" ht="15" hidden="1" customHeight="1" x14ac:dyDescent="0.25">
      <c r="B661" s="448"/>
      <c r="C661" s="2473" t="s">
        <v>3938</v>
      </c>
      <c r="D661" s="896">
        <v>66332000</v>
      </c>
      <c r="E661" s="2967">
        <f>D661/D633*100</f>
        <v>4.7995433444196572E-2</v>
      </c>
      <c r="F661" s="3868"/>
      <c r="G661" s="2919"/>
      <c r="H661" s="2690"/>
      <c r="I661" s="2757"/>
      <c r="J661" s="2920"/>
      <c r="K661" s="2920"/>
      <c r="L661" s="2690"/>
      <c r="M661" s="2757"/>
      <c r="N661" s="2951"/>
    </row>
    <row r="662" spans="2:14" ht="9.75" hidden="1" customHeight="1" x14ac:dyDescent="0.25">
      <c r="B662" s="448"/>
      <c r="C662" s="2473"/>
      <c r="D662" s="896"/>
      <c r="E662" s="2967"/>
      <c r="F662" s="3868"/>
      <c r="G662" s="2726"/>
      <c r="H662" s="2968"/>
      <c r="I662" s="2757"/>
      <c r="J662" s="2920"/>
      <c r="K662" s="896"/>
      <c r="L662" s="896"/>
      <c r="M662" s="896"/>
      <c r="N662" s="2951"/>
    </row>
    <row r="663" spans="2:14" ht="18.75" hidden="1" customHeight="1" x14ac:dyDescent="0.25">
      <c r="B663" s="441"/>
      <c r="C663" s="2474" t="s">
        <v>1041</v>
      </c>
      <c r="D663" s="899">
        <f>SUM(D664:D667)</f>
        <v>669166000</v>
      </c>
      <c r="E663" s="2969">
        <f>D663/D633*100</f>
        <v>0.48418428836940303</v>
      </c>
      <c r="F663" s="3853"/>
      <c r="G663" s="2921"/>
      <c r="H663" s="2695"/>
      <c r="I663" s="2970"/>
      <c r="J663" s="915"/>
      <c r="K663" s="915"/>
      <c r="L663" s="2965"/>
      <c r="M663" s="2970"/>
      <c r="N663" s="2837"/>
    </row>
    <row r="664" spans="2:14" ht="17.25" hidden="1" customHeight="1" x14ac:dyDescent="0.25">
      <c r="B664" s="448"/>
      <c r="C664" s="2473" t="s">
        <v>1042</v>
      </c>
      <c r="D664" s="896">
        <v>300000000</v>
      </c>
      <c r="E664" s="2967">
        <f>D664/D633*100</f>
        <v>0.2170691375694834</v>
      </c>
      <c r="F664" s="3868"/>
      <c r="G664" s="2919"/>
      <c r="H664" s="2690"/>
      <c r="I664" s="2757"/>
      <c r="J664" s="2920"/>
      <c r="K664" s="2920"/>
      <c r="L664" s="2690"/>
      <c r="M664" s="2757"/>
      <c r="N664" s="2951"/>
    </row>
    <row r="665" spans="2:14" ht="16.5" hidden="1" customHeight="1" x14ac:dyDescent="0.25">
      <c r="B665" s="448"/>
      <c r="C665" s="2473" t="s">
        <v>1043</v>
      </c>
      <c r="D665" s="896">
        <v>60000000</v>
      </c>
      <c r="E665" s="2967">
        <f>D665/D633*100</f>
        <v>4.3413827513896677E-2</v>
      </c>
      <c r="F665" s="3868"/>
      <c r="G665" s="2726"/>
      <c r="H665" s="2726"/>
      <c r="I665" s="2726"/>
      <c r="J665" s="2920"/>
      <c r="K665" s="2726"/>
      <c r="L665" s="2726"/>
      <c r="M665" s="2726"/>
      <c r="N665" s="2951"/>
    </row>
    <row r="666" spans="2:14" ht="17.25" hidden="1" customHeight="1" x14ac:dyDescent="0.25">
      <c r="B666" s="448"/>
      <c r="C666" s="2473" t="s">
        <v>3939</v>
      </c>
      <c r="D666" s="896">
        <v>161616000</v>
      </c>
      <c r="E666" s="2967">
        <f>D666/D633*100</f>
        <v>0.11693948579143208</v>
      </c>
      <c r="F666" s="3868"/>
      <c r="G666" s="2726"/>
      <c r="H666" s="2726"/>
      <c r="I666" s="2726"/>
      <c r="J666" s="2920"/>
      <c r="K666" s="2726"/>
      <c r="L666" s="2726"/>
      <c r="M666" s="2726"/>
      <c r="N666" s="2951"/>
    </row>
    <row r="667" spans="2:14" ht="17.25" hidden="1" customHeight="1" x14ac:dyDescent="0.25">
      <c r="B667" s="448"/>
      <c r="C667" s="2473" t="s">
        <v>3940</v>
      </c>
      <c r="D667" s="896">
        <v>147550000</v>
      </c>
      <c r="E667" s="2967">
        <f>D667/D633*100</f>
        <v>0.10676183749459092</v>
      </c>
      <c r="F667" s="3868"/>
      <c r="G667" s="2726"/>
      <c r="H667" s="2726"/>
      <c r="I667" s="2726"/>
      <c r="J667" s="2920"/>
      <c r="K667" s="2726"/>
      <c r="L667" s="2726"/>
      <c r="M667" s="2726"/>
      <c r="N667" s="2951"/>
    </row>
    <row r="668" spans="2:14" ht="8.25" hidden="1" customHeight="1" x14ac:dyDescent="0.25">
      <c r="B668" s="448"/>
      <c r="C668" s="2473"/>
      <c r="D668" s="896"/>
      <c r="E668" s="2967"/>
      <c r="F668" s="3868"/>
      <c r="G668" s="2726"/>
      <c r="H668" s="2690"/>
      <c r="I668" s="2757"/>
      <c r="J668" s="2920"/>
      <c r="K668" s="896"/>
      <c r="L668" s="896"/>
      <c r="M668" s="896"/>
      <c r="N668" s="2951"/>
    </row>
    <row r="669" spans="2:14" ht="15" hidden="1" customHeight="1" x14ac:dyDescent="0.25">
      <c r="B669" s="441"/>
      <c r="C669" s="2474" t="s">
        <v>4959</v>
      </c>
      <c r="D669" s="899">
        <f>SUM(D670:D672)</f>
        <v>21369683040</v>
      </c>
      <c r="E669" s="2969">
        <f>D669/D633*100</f>
        <v>15.462328892086719</v>
      </c>
      <c r="F669" s="3853"/>
      <c r="G669" s="2921"/>
      <c r="H669" s="2695"/>
      <c r="I669" s="2970"/>
      <c r="J669" s="915"/>
      <c r="K669" s="915"/>
      <c r="L669" s="2965"/>
      <c r="M669" s="2970"/>
      <c r="N669" s="2837"/>
    </row>
    <row r="670" spans="2:14" ht="16.5" hidden="1" customHeight="1" x14ac:dyDescent="0.25">
      <c r="B670" s="448"/>
      <c r="C670" s="2473" t="s">
        <v>1045</v>
      </c>
      <c r="D670" s="896">
        <v>999950000</v>
      </c>
      <c r="E670" s="2967">
        <f>D670/D633*100</f>
        <v>0.72352761370868302</v>
      </c>
      <c r="F670" s="3868"/>
      <c r="G670" s="2726"/>
      <c r="H670" s="2726"/>
      <c r="I670" s="2726"/>
      <c r="J670" s="2920"/>
      <c r="K670" s="2726"/>
      <c r="L670" s="2726"/>
      <c r="M670" s="2726"/>
      <c r="N670" s="2951"/>
    </row>
    <row r="671" spans="2:14" ht="28.5" hidden="1" customHeight="1" x14ac:dyDescent="0.25">
      <c r="B671" s="448"/>
      <c r="C671" s="2473" t="s">
        <v>1046</v>
      </c>
      <c r="D671" s="896">
        <v>20217203040</v>
      </c>
      <c r="E671" s="2967">
        <f>D671/D633*100</f>
        <v>14.628436093199792</v>
      </c>
      <c r="F671" s="3868"/>
      <c r="G671" s="2919"/>
      <c r="H671" s="2690"/>
      <c r="I671" s="2757"/>
      <c r="J671" s="2920"/>
      <c r="K671" s="2920"/>
      <c r="L671" s="2690"/>
      <c r="M671" s="2757"/>
      <c r="N671" s="2951"/>
    </row>
    <row r="672" spans="2:14" ht="18.75" hidden="1" customHeight="1" x14ac:dyDescent="0.25">
      <c r="B672" s="448"/>
      <c r="C672" s="2473" t="s">
        <v>3941</v>
      </c>
      <c r="D672" s="896">
        <v>152530000</v>
      </c>
      <c r="E672" s="2967">
        <f>D672/D633*100</f>
        <v>0.11036518517824434</v>
      </c>
      <c r="F672" s="3868"/>
      <c r="G672" s="2919"/>
      <c r="H672" s="2690"/>
      <c r="I672" s="2757"/>
      <c r="J672" s="2920"/>
      <c r="K672" s="2920"/>
      <c r="L672" s="2690"/>
      <c r="M672" s="2757"/>
      <c r="N672" s="2951"/>
    </row>
    <row r="673" spans="2:14" ht="9.75" hidden="1" customHeight="1" x14ac:dyDescent="0.25">
      <c r="B673" s="448"/>
      <c r="C673" s="2473"/>
      <c r="D673" s="896"/>
      <c r="E673" s="2967"/>
      <c r="F673" s="3868"/>
      <c r="G673" s="2919"/>
      <c r="H673" s="2690"/>
      <c r="I673" s="2757"/>
      <c r="J673" s="2920"/>
      <c r="K673" s="2920"/>
      <c r="L673" s="2690"/>
      <c r="M673" s="2757"/>
      <c r="N673" s="2951"/>
    </row>
    <row r="674" spans="2:14" ht="14.25" hidden="1" customHeight="1" x14ac:dyDescent="0.25">
      <c r="B674" s="448"/>
      <c r="C674" s="2474" t="s">
        <v>1047</v>
      </c>
      <c r="D674" s="899">
        <f>SUM(D675:D676)</f>
        <v>350000000</v>
      </c>
      <c r="E674" s="2969">
        <f>D674/D633*100</f>
        <v>0.2532473271643973</v>
      </c>
      <c r="F674" s="3868"/>
      <c r="G674" s="2726"/>
      <c r="H674" s="2726"/>
      <c r="I674" s="2726"/>
      <c r="J674" s="2920"/>
      <c r="K674" s="2726"/>
      <c r="L674" s="2726"/>
      <c r="M674" s="2726"/>
      <c r="N674" s="2951"/>
    </row>
    <row r="675" spans="2:14" ht="19.5" hidden="1" customHeight="1" x14ac:dyDescent="0.25">
      <c r="B675" s="448"/>
      <c r="C675" s="2473" t="s">
        <v>4739</v>
      </c>
      <c r="D675" s="896">
        <v>100000000</v>
      </c>
      <c r="E675" s="2967">
        <f>D675/D633*100</f>
        <v>7.2356379189827791E-2</v>
      </c>
      <c r="F675" s="3868"/>
      <c r="G675" s="2726"/>
      <c r="H675" s="2726"/>
      <c r="I675" s="2726"/>
      <c r="J675" s="2920"/>
      <c r="K675" s="2920"/>
      <c r="L675" s="2690"/>
      <c r="M675" s="2757"/>
      <c r="N675" s="2951"/>
    </row>
    <row r="676" spans="2:14" ht="15" hidden="1" customHeight="1" x14ac:dyDescent="0.25">
      <c r="B676" s="448"/>
      <c r="C676" s="2473" t="s">
        <v>1048</v>
      </c>
      <c r="D676" s="896">
        <v>250000000</v>
      </c>
      <c r="E676" s="2967">
        <f>D676/D633*100</f>
        <v>0.18089094797456948</v>
      </c>
      <c r="F676" s="3868"/>
      <c r="G676" s="2726"/>
      <c r="H676" s="2726"/>
      <c r="I676" s="2726"/>
      <c r="J676" s="2920"/>
      <c r="K676" s="2920"/>
      <c r="L676" s="2690"/>
      <c r="M676" s="2757"/>
      <c r="N676" s="2951"/>
    </row>
    <row r="677" spans="2:14" ht="9" hidden="1" customHeight="1" x14ac:dyDescent="0.25">
      <c r="B677" s="448"/>
      <c r="C677" s="2473"/>
      <c r="D677" s="896"/>
      <c r="E677" s="2967"/>
      <c r="F677" s="3868"/>
      <c r="G677" s="2726"/>
      <c r="H677" s="2726"/>
      <c r="I677" s="2726"/>
      <c r="J677" s="2920"/>
      <c r="K677" s="2920"/>
      <c r="L677" s="2690"/>
      <c r="M677" s="2757"/>
      <c r="N677" s="2951"/>
    </row>
    <row r="678" spans="2:14" ht="19.5" hidden="1" customHeight="1" x14ac:dyDescent="0.25">
      <c r="B678" s="448"/>
      <c r="C678" s="2474" t="s">
        <v>1049</v>
      </c>
      <c r="D678" s="899">
        <f>D679</f>
        <v>100000000</v>
      </c>
      <c r="E678" s="2969">
        <f>D678/D633*100</f>
        <v>7.2356379189827791E-2</v>
      </c>
      <c r="F678" s="3868"/>
      <c r="G678" s="2726"/>
      <c r="H678" s="2726"/>
      <c r="I678" s="2726"/>
      <c r="J678" s="2920"/>
      <c r="K678" s="2920"/>
      <c r="L678" s="2690"/>
      <c r="M678" s="2757"/>
      <c r="N678" s="2951"/>
    </row>
    <row r="679" spans="2:14" ht="20.25" hidden="1" customHeight="1" x14ac:dyDescent="0.25">
      <c r="B679" s="448"/>
      <c r="C679" s="2473" t="s">
        <v>1050</v>
      </c>
      <c r="D679" s="896">
        <v>100000000</v>
      </c>
      <c r="E679" s="2967">
        <f>D679/D633*100</f>
        <v>7.2356379189827791E-2</v>
      </c>
      <c r="F679" s="3868"/>
      <c r="G679" s="2726"/>
      <c r="H679" s="2726"/>
      <c r="I679" s="2726"/>
      <c r="J679" s="2920"/>
      <c r="K679" s="2920"/>
      <c r="L679" s="2690"/>
      <c r="M679" s="2757"/>
      <c r="N679" s="2951"/>
    </row>
    <row r="680" spans="2:14" ht="9" hidden="1" customHeight="1" x14ac:dyDescent="0.25">
      <c r="B680" s="448"/>
      <c r="C680" s="2473"/>
      <c r="D680" s="896"/>
      <c r="E680" s="2967"/>
      <c r="F680" s="3868"/>
      <c r="G680" s="2726"/>
      <c r="H680" s="2726"/>
      <c r="I680" s="2726"/>
      <c r="J680" s="2920"/>
      <c r="K680" s="2920"/>
      <c r="L680" s="2690"/>
      <c r="M680" s="2757"/>
      <c r="N680" s="2951"/>
    </row>
    <row r="681" spans="2:14" ht="16.5" hidden="1" customHeight="1" x14ac:dyDescent="0.25">
      <c r="B681" s="448"/>
      <c r="C681" s="2474" t="s">
        <v>1051</v>
      </c>
      <c r="D681" s="899">
        <v>250000000</v>
      </c>
      <c r="E681" s="2969">
        <f>D681/D633*100</f>
        <v>0.18089094797456948</v>
      </c>
      <c r="F681" s="3868"/>
      <c r="G681" s="2726"/>
      <c r="H681" s="2726"/>
      <c r="I681" s="2726"/>
      <c r="J681" s="2920"/>
      <c r="K681" s="2726"/>
      <c r="L681" s="2690"/>
      <c r="M681" s="2757"/>
      <c r="N681" s="2951"/>
    </row>
    <row r="682" spans="2:14" ht="17.25" hidden="1" customHeight="1" x14ac:dyDescent="0.25">
      <c r="B682" s="441"/>
      <c r="C682" s="2476" t="s">
        <v>1052</v>
      </c>
      <c r="D682" s="2709">
        <v>250000000</v>
      </c>
      <c r="E682" s="2967">
        <f>D682/D633*100</f>
        <v>0.18089094797456948</v>
      </c>
      <c r="F682" s="4430"/>
      <c r="G682" s="2726"/>
      <c r="H682" s="2726"/>
      <c r="I682" s="2726"/>
      <c r="J682" s="2903"/>
      <c r="K682" s="2726"/>
      <c r="L682" s="2726"/>
      <c r="M682" s="2726"/>
      <c r="N682" s="2768"/>
    </row>
    <row r="683" spans="2:14" ht="8.25" hidden="1" customHeight="1" x14ac:dyDescent="0.25">
      <c r="B683" s="441"/>
      <c r="C683" s="2476"/>
      <c r="D683" s="2709"/>
      <c r="E683" s="2967"/>
      <c r="F683" s="4430"/>
      <c r="G683" s="2754"/>
      <c r="H683" s="2754"/>
      <c r="I683" s="2754"/>
      <c r="J683" s="2891"/>
      <c r="K683" s="2754"/>
      <c r="L683" s="2754"/>
      <c r="M683" s="2754"/>
      <c r="N683" s="2768"/>
    </row>
    <row r="684" spans="2:14" ht="20.25" hidden="1" customHeight="1" x14ac:dyDescent="0.25">
      <c r="B684" s="441"/>
      <c r="C684" s="2477" t="s">
        <v>4960</v>
      </c>
      <c r="D684" s="2767">
        <f>D685</f>
        <v>11662800000</v>
      </c>
      <c r="E684" s="2969">
        <f>D684/D633*100</f>
        <v>8.4387797921512355</v>
      </c>
      <c r="F684" s="4430"/>
      <c r="G684" s="2754"/>
      <c r="H684" s="2754"/>
      <c r="I684" s="2754"/>
      <c r="J684" s="2891"/>
      <c r="K684" s="2754"/>
      <c r="L684" s="2754"/>
      <c r="M684" s="2754"/>
      <c r="N684" s="2768"/>
    </row>
    <row r="685" spans="2:14" ht="30.75" hidden="1" customHeight="1" x14ac:dyDescent="0.25">
      <c r="B685" s="441"/>
      <c r="C685" s="2476" t="s">
        <v>4958</v>
      </c>
      <c r="D685" s="2709">
        <v>11662800000</v>
      </c>
      <c r="E685" s="2967">
        <f>D685/D633*100</f>
        <v>8.4387797921512355</v>
      </c>
      <c r="F685" s="4430"/>
      <c r="G685" s="2754"/>
      <c r="H685" s="2754"/>
      <c r="I685" s="2754"/>
      <c r="J685" s="2891"/>
      <c r="K685" s="2754"/>
      <c r="L685" s="2754"/>
      <c r="M685" s="2754"/>
      <c r="N685" s="2768"/>
    </row>
    <row r="686" spans="2:14" ht="14.25" hidden="1" customHeight="1" x14ac:dyDescent="0.25">
      <c r="B686" s="441"/>
      <c r="C686" s="2541"/>
      <c r="D686" s="2894"/>
      <c r="E686" s="3002"/>
      <c r="F686" s="4433"/>
      <c r="G686" s="2754"/>
      <c r="H686" s="2752"/>
      <c r="I686" s="2753"/>
      <c r="J686" s="2755"/>
      <c r="K686" s="2755"/>
      <c r="L686" s="2755"/>
      <c r="M686" s="2755"/>
      <c r="N686" s="2768"/>
    </row>
    <row r="687" spans="2:14" ht="16.5" hidden="1" customHeight="1" x14ac:dyDescent="0.25">
      <c r="B687" s="440"/>
      <c r="C687" s="2471" t="s">
        <v>398</v>
      </c>
      <c r="D687" s="2744">
        <f>D688+D692+D696+D699+D703+D706+D711+D714+D717</f>
        <v>13136000000</v>
      </c>
      <c r="E687" s="2670">
        <f>D687/D633*100</f>
        <v>9.5047339703757778</v>
      </c>
      <c r="F687" s="3850"/>
      <c r="G687" s="2886"/>
      <c r="H687" s="2672"/>
      <c r="I687" s="2987"/>
      <c r="J687" s="2887"/>
      <c r="K687" s="2887"/>
      <c r="L687" s="2719"/>
      <c r="M687" s="2674"/>
      <c r="N687" s="2837"/>
    </row>
    <row r="688" spans="2:14" ht="18" hidden="1" customHeight="1" x14ac:dyDescent="0.25">
      <c r="B688" s="441"/>
      <c r="C688" s="2472" t="s">
        <v>1053</v>
      </c>
      <c r="D688" s="2759">
        <f>D689+D690</f>
        <v>5336000000</v>
      </c>
      <c r="E688" s="2677">
        <f>D688/D633*100</f>
        <v>3.8609363935692107</v>
      </c>
      <c r="F688" s="3855"/>
      <c r="G688" s="2965"/>
      <c r="H688" s="2965"/>
      <c r="I688" s="2965"/>
      <c r="J688" s="2930"/>
      <c r="K688" s="2965"/>
      <c r="L688" s="2965"/>
      <c r="M688" s="2965"/>
      <c r="N688" s="2837"/>
    </row>
    <row r="689" spans="2:14" ht="15" hidden="1" customHeight="1" x14ac:dyDescent="0.25">
      <c r="B689" s="448"/>
      <c r="C689" s="2473" t="s">
        <v>1054</v>
      </c>
      <c r="D689" s="896">
        <v>336000000</v>
      </c>
      <c r="E689" s="2967">
        <f>D689/D633*100</f>
        <v>0.24311743407782138</v>
      </c>
      <c r="F689" s="3868"/>
      <c r="G689" s="2726"/>
      <c r="H689" s="2726"/>
      <c r="I689" s="2726"/>
      <c r="J689" s="2920"/>
      <c r="K689" s="2726"/>
      <c r="L689" s="2726"/>
      <c r="M689" s="2726"/>
      <c r="N689" s="2951"/>
    </row>
    <row r="690" spans="2:14" ht="14.25" hidden="1" customHeight="1" x14ac:dyDescent="0.25">
      <c r="B690" s="448"/>
      <c r="C690" s="2473" t="s">
        <v>1055</v>
      </c>
      <c r="D690" s="896">
        <v>5000000000</v>
      </c>
      <c r="E690" s="2967">
        <f>D690/D633*100</f>
        <v>3.6178189594913897</v>
      </c>
      <c r="F690" s="3868"/>
      <c r="G690" s="2726"/>
      <c r="H690" s="2726"/>
      <c r="I690" s="2726"/>
      <c r="J690" s="2920"/>
      <c r="K690" s="2726"/>
      <c r="L690" s="2726"/>
      <c r="M690" s="2726"/>
      <c r="N690" s="2951"/>
    </row>
    <row r="691" spans="2:14" ht="9.75" hidden="1" customHeight="1" x14ac:dyDescent="0.25">
      <c r="B691" s="448"/>
      <c r="C691" s="2473"/>
      <c r="D691" s="896"/>
      <c r="E691" s="2967"/>
      <c r="F691" s="3868"/>
      <c r="G691" s="2726"/>
      <c r="H691" s="2726"/>
      <c r="I691" s="2726"/>
      <c r="J691" s="2920"/>
      <c r="K691" s="896"/>
      <c r="L691" s="896"/>
      <c r="M691" s="896"/>
      <c r="N691" s="2951"/>
    </row>
    <row r="692" spans="2:14" ht="15.75" hidden="1" customHeight="1" x14ac:dyDescent="0.25">
      <c r="B692" s="441"/>
      <c r="C692" s="2474" t="s">
        <v>1056</v>
      </c>
      <c r="D692" s="899">
        <v>600000000</v>
      </c>
      <c r="E692" s="2969">
        <f>D692/D633*100</f>
        <v>0.4341382751389668</v>
      </c>
      <c r="F692" s="3853"/>
      <c r="G692" s="2965"/>
      <c r="H692" s="2965"/>
      <c r="I692" s="2965"/>
      <c r="J692" s="915"/>
      <c r="K692" s="915"/>
      <c r="L692" s="2965"/>
      <c r="M692" s="2970"/>
      <c r="N692" s="2837"/>
    </row>
    <row r="693" spans="2:14" ht="18" hidden="1" customHeight="1" x14ac:dyDescent="0.25">
      <c r="B693" s="448"/>
      <c r="C693" s="2473" t="s">
        <v>1057</v>
      </c>
      <c r="D693" s="896">
        <v>350000000</v>
      </c>
      <c r="E693" s="2967">
        <f>D693/D633*100</f>
        <v>0.2532473271643973</v>
      </c>
      <c r="F693" s="3868"/>
      <c r="G693" s="2726"/>
      <c r="H693" s="2726"/>
      <c r="I693" s="2726"/>
      <c r="J693" s="2920"/>
      <c r="K693" s="2726"/>
      <c r="L693" s="2690"/>
      <c r="M693" s="2757"/>
      <c r="N693" s="2951"/>
    </row>
    <row r="694" spans="2:14" ht="14.25" hidden="1" customHeight="1" x14ac:dyDescent="0.25">
      <c r="B694" s="448"/>
      <c r="C694" s="2473" t="s">
        <v>1058</v>
      </c>
      <c r="D694" s="896">
        <v>250000000</v>
      </c>
      <c r="E694" s="2967">
        <f>D694/D633*100</f>
        <v>0.18089094797456948</v>
      </c>
      <c r="F694" s="3868"/>
      <c r="G694" s="2726"/>
      <c r="H694" s="2726"/>
      <c r="I694" s="2726"/>
      <c r="J694" s="2920"/>
      <c r="K694" s="896"/>
      <c r="L694" s="2690"/>
      <c r="M694" s="896"/>
      <c r="N694" s="2951"/>
    </row>
    <row r="695" spans="2:14" ht="11.25" hidden="1" customHeight="1" x14ac:dyDescent="0.25">
      <c r="B695" s="448"/>
      <c r="C695" s="2473"/>
      <c r="D695" s="896"/>
      <c r="E695" s="2967"/>
      <c r="F695" s="3868"/>
      <c r="G695" s="2726"/>
      <c r="H695" s="2726"/>
      <c r="I695" s="2726"/>
      <c r="J695" s="2920"/>
      <c r="K695" s="896"/>
      <c r="L695" s="2690"/>
      <c r="M695" s="896"/>
      <c r="N695" s="2951"/>
    </row>
    <row r="696" spans="2:14" ht="14.25" hidden="1" customHeight="1" x14ac:dyDescent="0.25">
      <c r="B696" s="441"/>
      <c r="C696" s="2474" t="s">
        <v>405</v>
      </c>
      <c r="D696" s="899">
        <v>800000000</v>
      </c>
      <c r="E696" s="2969">
        <f>D696/D633*100</f>
        <v>0.57885103351862233</v>
      </c>
      <c r="F696" s="3868"/>
      <c r="G696" s="2726"/>
      <c r="H696" s="2726"/>
      <c r="I696" s="2726"/>
      <c r="J696" s="2920"/>
      <c r="K696" s="2726"/>
      <c r="L696" s="2726"/>
      <c r="M696" s="2726"/>
      <c r="N696" s="2837"/>
    </row>
    <row r="697" spans="2:14" ht="14.25" hidden="1" customHeight="1" x14ac:dyDescent="0.25">
      <c r="B697" s="441"/>
      <c r="C697" s="2473" t="s">
        <v>1059</v>
      </c>
      <c r="D697" s="896">
        <v>800000000</v>
      </c>
      <c r="E697" s="2967">
        <f>D697/D633*100</f>
        <v>0.57885103351862233</v>
      </c>
      <c r="F697" s="3853"/>
      <c r="G697" s="2921"/>
      <c r="H697" s="2695"/>
      <c r="I697" s="2970"/>
      <c r="J697" s="915"/>
      <c r="K697" s="915"/>
      <c r="L697" s="899"/>
      <c r="M697" s="2970"/>
      <c r="N697" s="2837"/>
    </row>
    <row r="698" spans="2:14" ht="9.75" hidden="1" customHeight="1" x14ac:dyDescent="0.25">
      <c r="B698" s="441"/>
      <c r="C698" s="2473"/>
      <c r="D698" s="899"/>
      <c r="E698" s="2967"/>
      <c r="F698" s="3853"/>
      <c r="G698" s="2921"/>
      <c r="H698" s="2695"/>
      <c r="I698" s="2970"/>
      <c r="J698" s="915"/>
      <c r="K698" s="915"/>
      <c r="L698" s="899"/>
      <c r="M698" s="2970"/>
      <c r="N698" s="2837"/>
    </row>
    <row r="699" spans="2:14" ht="14.25" hidden="1" customHeight="1" x14ac:dyDescent="0.25">
      <c r="B699" s="441"/>
      <c r="C699" s="2474" t="s">
        <v>409</v>
      </c>
      <c r="D699" s="2796">
        <v>600000000</v>
      </c>
      <c r="E699" s="2969">
        <f>D699/D633*100</f>
        <v>0.4341382751389668</v>
      </c>
      <c r="F699" s="3868"/>
      <c r="G699" s="3017"/>
      <c r="H699" s="2695"/>
      <c r="I699" s="3042"/>
      <c r="J699" s="3020"/>
      <c r="K699" s="3020"/>
      <c r="L699" s="2965"/>
      <c r="M699" s="3042"/>
      <c r="N699" s="2837"/>
    </row>
    <row r="700" spans="2:14" ht="14.25" hidden="1" customHeight="1" x14ac:dyDescent="0.25">
      <c r="B700" s="448"/>
      <c r="C700" s="2473" t="s">
        <v>1060</v>
      </c>
      <c r="D700" s="896">
        <v>200000000</v>
      </c>
      <c r="E700" s="2967">
        <f>D700/D633*100</f>
        <v>0.14471275837965558</v>
      </c>
      <c r="F700" s="3868"/>
      <c r="G700" s="2919"/>
      <c r="H700" s="2690"/>
      <c r="I700" s="2757"/>
      <c r="J700" s="2920"/>
      <c r="K700" s="2920"/>
      <c r="L700" s="2690"/>
      <c r="M700" s="2757"/>
      <c r="N700" s="2951"/>
    </row>
    <row r="701" spans="2:14" ht="14.25" hidden="1" customHeight="1" x14ac:dyDescent="0.25">
      <c r="B701" s="448"/>
      <c r="C701" s="2473" t="s">
        <v>1061</v>
      </c>
      <c r="D701" s="896">
        <v>400000000</v>
      </c>
      <c r="E701" s="2967">
        <f>D701/D633*100</f>
        <v>0.28942551675931116</v>
      </c>
      <c r="F701" s="3868"/>
      <c r="G701" s="2726"/>
      <c r="H701" s="2690"/>
      <c r="I701" s="2757"/>
      <c r="J701" s="2920"/>
      <c r="K701" s="2726"/>
      <c r="L701" s="896"/>
      <c r="M701" s="2757"/>
      <c r="N701" s="2951"/>
    </row>
    <row r="702" spans="2:14" ht="8.25" hidden="1" customHeight="1" x14ac:dyDescent="0.25">
      <c r="B702" s="448"/>
      <c r="C702" s="2473"/>
      <c r="D702" s="896"/>
      <c r="E702" s="2967"/>
      <c r="F702" s="3868"/>
      <c r="G702" s="2726"/>
      <c r="H702" s="2690"/>
      <c r="I702" s="2757"/>
      <c r="J702" s="2920"/>
      <c r="K702" s="2726"/>
      <c r="L702" s="896"/>
      <c r="M702" s="2757"/>
      <c r="N702" s="2951"/>
    </row>
    <row r="703" spans="2:14" ht="14.25" hidden="1" customHeight="1" x14ac:dyDescent="0.25">
      <c r="B703" s="448"/>
      <c r="C703" s="2474" t="s">
        <v>1062</v>
      </c>
      <c r="D703" s="899">
        <v>200000000</v>
      </c>
      <c r="E703" s="2969">
        <f>D703/D633*100</f>
        <v>0.14471275837965558</v>
      </c>
      <c r="F703" s="3853"/>
      <c r="G703" s="2965"/>
      <c r="H703" s="2965"/>
      <c r="I703" s="2965"/>
      <c r="J703" s="915"/>
      <c r="K703" s="915"/>
      <c r="L703" s="2965"/>
      <c r="M703" s="2970"/>
      <c r="N703" s="2951"/>
    </row>
    <row r="704" spans="2:14" ht="14.25" hidden="1" customHeight="1" x14ac:dyDescent="0.25">
      <c r="B704" s="448"/>
      <c r="C704" s="2473" t="s">
        <v>1063</v>
      </c>
      <c r="D704" s="896">
        <v>200000000</v>
      </c>
      <c r="E704" s="2967">
        <f>D704/D633*100</f>
        <v>0.14471275837965558</v>
      </c>
      <c r="F704" s="3868"/>
      <c r="G704" s="2726"/>
      <c r="H704" s="2726"/>
      <c r="I704" s="2726"/>
      <c r="J704" s="2920"/>
      <c r="K704" s="2920"/>
      <c r="L704" s="2690"/>
      <c r="M704" s="896"/>
      <c r="N704" s="2951"/>
    </row>
    <row r="705" spans="2:14" ht="10.5" hidden="1" customHeight="1" x14ac:dyDescent="0.25">
      <c r="B705" s="448"/>
      <c r="C705" s="2473"/>
      <c r="D705" s="896"/>
      <c r="E705" s="2967"/>
      <c r="F705" s="3868"/>
      <c r="G705" s="2726"/>
      <c r="H705" s="2726"/>
      <c r="I705" s="2726"/>
      <c r="J705" s="2920"/>
      <c r="K705" s="2920"/>
      <c r="L705" s="2690"/>
      <c r="M705" s="896"/>
      <c r="N705" s="2951"/>
    </row>
    <row r="706" spans="2:14" ht="14.25" hidden="1" customHeight="1" x14ac:dyDescent="0.25">
      <c r="B706" s="441"/>
      <c r="C706" s="2474" t="s">
        <v>1064</v>
      </c>
      <c r="D706" s="899">
        <f>SUM(D707:D709)</f>
        <v>2700000000</v>
      </c>
      <c r="E706" s="2969">
        <f>D706/D633*100</f>
        <v>1.9536222381253503</v>
      </c>
      <c r="F706" s="3868"/>
      <c r="G706" s="2726"/>
      <c r="H706" s="2726"/>
      <c r="I706" s="2726"/>
      <c r="J706" s="2920"/>
      <c r="K706" s="2920"/>
      <c r="L706" s="2690"/>
      <c r="M706" s="2757"/>
      <c r="N706" s="2837"/>
    </row>
    <row r="707" spans="2:14" ht="14.25" hidden="1" customHeight="1" x14ac:dyDescent="0.25">
      <c r="B707" s="448"/>
      <c r="C707" s="2473" t="s">
        <v>1065</v>
      </c>
      <c r="D707" s="896">
        <v>1000000000</v>
      </c>
      <c r="E707" s="3037">
        <f>D707/D633*100</f>
        <v>0.72356379189827791</v>
      </c>
      <c r="F707" s="3868"/>
      <c r="G707" s="2726"/>
      <c r="H707" s="2690"/>
      <c r="I707" s="2757"/>
      <c r="J707" s="2920"/>
      <c r="K707" s="2726"/>
      <c r="L707" s="2757"/>
      <c r="M707" s="2757"/>
      <c r="N707" s="2951"/>
    </row>
    <row r="708" spans="2:14" ht="14.25" hidden="1" customHeight="1" x14ac:dyDescent="0.25">
      <c r="B708" s="448"/>
      <c r="C708" s="2473" t="s">
        <v>1066</v>
      </c>
      <c r="D708" s="896">
        <v>700000000</v>
      </c>
      <c r="E708" s="2967">
        <f>D708/D633*100</f>
        <v>0.50649465432879459</v>
      </c>
      <c r="F708" s="3853"/>
      <c r="G708" s="2921"/>
      <c r="H708" s="2695"/>
      <c r="I708" s="2970"/>
      <c r="J708" s="915"/>
      <c r="K708" s="915"/>
      <c r="L708" s="2965"/>
      <c r="M708" s="2970"/>
      <c r="N708" s="2951"/>
    </row>
    <row r="709" spans="2:14" ht="14.25" hidden="1" customHeight="1" x14ac:dyDescent="0.25">
      <c r="B709" s="441"/>
      <c r="C709" s="2473" t="s">
        <v>1067</v>
      </c>
      <c r="D709" s="896">
        <v>1000000000</v>
      </c>
      <c r="E709" s="2967">
        <f>D709/D633*100</f>
        <v>0.72356379189827791</v>
      </c>
      <c r="F709" s="3868"/>
      <c r="G709" s="2726"/>
      <c r="H709" s="2726"/>
      <c r="I709" s="2726"/>
      <c r="J709" s="2920"/>
      <c r="K709" s="898"/>
      <c r="L709" s="2690"/>
      <c r="M709" s="896"/>
      <c r="N709" s="2768"/>
    </row>
    <row r="710" spans="2:14" ht="9.75" hidden="1" customHeight="1" x14ac:dyDescent="0.25">
      <c r="B710" s="441"/>
      <c r="C710" s="2473"/>
      <c r="D710" s="896"/>
      <c r="E710" s="2967"/>
      <c r="F710" s="3868"/>
      <c r="G710" s="2726"/>
      <c r="H710" s="2726"/>
      <c r="I710" s="2726"/>
      <c r="J710" s="2920"/>
      <c r="K710" s="2920"/>
      <c r="L710" s="2690"/>
      <c r="M710" s="896"/>
      <c r="N710" s="2768"/>
    </row>
    <row r="711" spans="2:14" ht="14.25" hidden="1" customHeight="1" x14ac:dyDescent="0.25">
      <c r="B711" s="441"/>
      <c r="C711" s="2474" t="s">
        <v>1069</v>
      </c>
      <c r="D711" s="899">
        <f>D712</f>
        <v>1300000000</v>
      </c>
      <c r="E711" s="2969">
        <f>D711/D633*100</f>
        <v>0.94063292946776134</v>
      </c>
      <c r="F711" s="3868"/>
      <c r="G711" s="2726"/>
      <c r="H711" s="2726"/>
      <c r="I711" s="2726"/>
      <c r="J711" s="2920"/>
      <c r="K711" s="898"/>
      <c r="L711" s="2690"/>
      <c r="M711" s="896"/>
      <c r="N711" s="2768"/>
    </row>
    <row r="712" spans="2:14" ht="14.25" hidden="1" customHeight="1" x14ac:dyDescent="0.25">
      <c r="B712" s="441"/>
      <c r="C712" s="2473" t="s">
        <v>1070</v>
      </c>
      <c r="D712" s="896">
        <v>1300000000</v>
      </c>
      <c r="E712" s="2967">
        <f>D712/D633*100</f>
        <v>0.94063292946776134</v>
      </c>
      <c r="F712" s="3868"/>
      <c r="G712" s="2726"/>
      <c r="H712" s="2690"/>
      <c r="I712" s="2757"/>
      <c r="J712" s="2920"/>
      <c r="K712" s="898"/>
      <c r="L712" s="2690"/>
      <c r="M712" s="896"/>
      <c r="N712" s="2768"/>
    </row>
    <row r="713" spans="2:14" ht="7.5" hidden="1" customHeight="1" x14ac:dyDescent="0.25">
      <c r="B713" s="441"/>
      <c r="C713" s="2473"/>
      <c r="D713" s="896"/>
      <c r="E713" s="2967"/>
      <c r="F713" s="3868"/>
      <c r="G713" s="2726"/>
      <c r="H713" s="2690"/>
      <c r="I713" s="2757"/>
      <c r="J713" s="2920"/>
      <c r="K713" s="898"/>
      <c r="L713" s="2690"/>
      <c r="M713" s="896"/>
      <c r="N713" s="2768"/>
    </row>
    <row r="714" spans="2:14" ht="14.25" hidden="1" customHeight="1" x14ac:dyDescent="0.25">
      <c r="B714" s="441"/>
      <c r="C714" s="2474" t="s">
        <v>1071</v>
      </c>
      <c r="D714" s="899">
        <v>1000000000</v>
      </c>
      <c r="E714" s="2969">
        <f>D714/D633*100</f>
        <v>0.72356379189827791</v>
      </c>
      <c r="F714" s="3868"/>
      <c r="G714" s="2726"/>
      <c r="H714" s="2690"/>
      <c r="I714" s="2757"/>
      <c r="J714" s="2920"/>
      <c r="K714" s="898"/>
      <c r="L714" s="898"/>
      <c r="M714" s="898"/>
      <c r="N714" s="2768"/>
    </row>
    <row r="715" spans="2:14" ht="14.25" hidden="1" customHeight="1" x14ac:dyDescent="0.25">
      <c r="B715" s="441"/>
      <c r="C715" s="2473" t="s">
        <v>1072</v>
      </c>
      <c r="D715" s="896">
        <v>1000000000</v>
      </c>
      <c r="E715" s="2967">
        <f>D715/D633*100</f>
        <v>0.72356379189827791</v>
      </c>
      <c r="F715" s="3853"/>
      <c r="G715" s="2921"/>
      <c r="H715" s="2695"/>
      <c r="I715" s="2970"/>
      <c r="J715" s="915"/>
      <c r="K715" s="915"/>
      <c r="L715" s="2965"/>
      <c r="M715" s="899"/>
      <c r="N715" s="2768"/>
    </row>
    <row r="716" spans="2:14" ht="9.75" hidden="1" customHeight="1" x14ac:dyDescent="0.25">
      <c r="B716" s="441"/>
      <c r="C716" s="2473"/>
      <c r="D716" s="896"/>
      <c r="E716" s="2967"/>
      <c r="F716" s="3868"/>
      <c r="G716" s="2919"/>
      <c r="H716" s="2690"/>
      <c r="I716" s="2757"/>
      <c r="J716" s="2920"/>
      <c r="K716" s="2920"/>
      <c r="L716" s="2690"/>
      <c r="M716" s="896"/>
      <c r="N716" s="2768"/>
    </row>
    <row r="717" spans="2:14" ht="15.75" hidden="1" customHeight="1" x14ac:dyDescent="0.25">
      <c r="B717" s="441"/>
      <c r="C717" s="2474" t="s">
        <v>1073</v>
      </c>
      <c r="D717" s="899">
        <f>SUM(D718:D719)</f>
        <v>600000000</v>
      </c>
      <c r="E717" s="2969">
        <f>D717/D633*100</f>
        <v>0.4341382751389668</v>
      </c>
      <c r="F717" s="3868"/>
      <c r="G717" s="2726"/>
      <c r="H717" s="2690"/>
      <c r="I717" s="2757"/>
      <c r="J717" s="898"/>
      <c r="K717" s="898"/>
      <c r="L717" s="898"/>
      <c r="M717" s="898"/>
      <c r="N717" s="2768"/>
    </row>
    <row r="718" spans="2:14" ht="16.5" hidden="1" customHeight="1" x14ac:dyDescent="0.25">
      <c r="B718" s="441"/>
      <c r="C718" s="2473" t="s">
        <v>1074</v>
      </c>
      <c r="D718" s="896">
        <v>350000000</v>
      </c>
      <c r="E718" s="2967">
        <f>D718/D633*100</f>
        <v>0.2532473271643973</v>
      </c>
      <c r="F718" s="3868"/>
      <c r="G718" s="2726"/>
      <c r="H718" s="2690"/>
      <c r="I718" s="2757"/>
      <c r="J718" s="898"/>
      <c r="K718" s="898"/>
      <c r="L718" s="898"/>
      <c r="M718" s="898"/>
      <c r="N718" s="2768"/>
    </row>
    <row r="719" spans="2:14" ht="29.25" hidden="1" customHeight="1" x14ac:dyDescent="0.25">
      <c r="B719" s="441"/>
      <c r="C719" s="2473" t="s">
        <v>1075</v>
      </c>
      <c r="D719" s="896">
        <v>250000000</v>
      </c>
      <c r="E719" s="2967">
        <f>D719/D633*100</f>
        <v>0.18089094797456948</v>
      </c>
      <c r="F719" s="3868"/>
      <c r="G719" s="2726"/>
      <c r="H719" s="2690"/>
      <c r="I719" s="2757"/>
      <c r="J719" s="898"/>
      <c r="K719" s="898"/>
      <c r="L719" s="898"/>
      <c r="M719" s="898"/>
      <c r="N719" s="2768"/>
    </row>
    <row r="720" spans="2:14" ht="14.25" hidden="1" customHeight="1" x14ac:dyDescent="0.25">
      <c r="B720" s="441"/>
      <c r="C720" s="2531"/>
      <c r="D720" s="2769"/>
      <c r="E720" s="3002"/>
      <c r="F720" s="3872"/>
      <c r="G720" s="2754"/>
      <c r="H720" s="2752"/>
      <c r="I720" s="2753"/>
      <c r="J720" s="2755"/>
      <c r="K720" s="2755"/>
      <c r="L720" s="2755"/>
      <c r="M720" s="2755"/>
      <c r="N720" s="2768"/>
    </row>
    <row r="721" spans="2:14" ht="18" hidden="1" customHeight="1" x14ac:dyDescent="0.25">
      <c r="B721" s="440"/>
      <c r="C721" s="2471" t="s">
        <v>1076</v>
      </c>
      <c r="D721" s="2744">
        <f>D722</f>
        <v>11700000000</v>
      </c>
      <c r="E721" s="2670">
        <f>D721/D633*100</f>
        <v>8.4656963652098511</v>
      </c>
      <c r="F721" s="3850"/>
      <c r="G721" s="2886"/>
      <c r="H721" s="2672"/>
      <c r="I721" s="2987"/>
      <c r="J721" s="2887"/>
      <c r="K721" s="2887"/>
      <c r="L721" s="2719"/>
      <c r="M721" s="2987"/>
      <c r="N721" s="2837"/>
    </row>
    <row r="722" spans="2:14" ht="34.5" hidden="1" customHeight="1" x14ac:dyDescent="0.25">
      <c r="B722" s="441"/>
      <c r="C722" s="2472" t="s">
        <v>1077</v>
      </c>
      <c r="D722" s="899">
        <f>SUM(D723:D728)</f>
        <v>11700000000</v>
      </c>
      <c r="E722" s="2677">
        <f>D722/D633*100</f>
        <v>8.4656963652098511</v>
      </c>
      <c r="F722" s="3853"/>
      <c r="G722" s="2921"/>
      <c r="H722" s="2695"/>
      <c r="I722" s="3005"/>
      <c r="J722" s="915"/>
      <c r="K722" s="915"/>
      <c r="L722" s="2965"/>
      <c r="M722" s="3005"/>
      <c r="N722" s="2837"/>
    </row>
    <row r="723" spans="2:14" ht="15.75" hidden="1" customHeight="1" x14ac:dyDescent="0.25">
      <c r="B723" s="448"/>
      <c r="C723" s="2473" t="s">
        <v>1078</v>
      </c>
      <c r="D723" s="896">
        <v>2000000000</v>
      </c>
      <c r="E723" s="2967">
        <f>D723/D633*100</f>
        <v>1.4471275837965558</v>
      </c>
      <c r="F723" s="3868"/>
      <c r="G723" s="2726"/>
      <c r="H723" s="2726"/>
      <c r="I723" s="2726"/>
      <c r="J723" s="2920"/>
      <c r="K723" s="2726"/>
      <c r="L723" s="2690"/>
      <c r="M723" s="2757"/>
      <c r="N723" s="2951"/>
    </row>
    <row r="724" spans="2:14" ht="16.5" hidden="1" customHeight="1" x14ac:dyDescent="0.25">
      <c r="B724" s="448"/>
      <c r="C724" s="2473" t="s">
        <v>1079</v>
      </c>
      <c r="D724" s="3661">
        <v>100000000</v>
      </c>
      <c r="E724" s="2967">
        <f>D724/D633*100</f>
        <v>7.2356379189827791E-2</v>
      </c>
      <c r="F724" s="3868"/>
      <c r="G724" s="2726"/>
      <c r="H724" s="2726"/>
      <c r="I724" s="2726"/>
      <c r="J724" s="2920"/>
      <c r="K724" s="2726"/>
      <c r="L724" s="2726"/>
      <c r="M724" s="2726"/>
      <c r="N724" s="2951"/>
    </row>
    <row r="725" spans="2:14" ht="16.5" hidden="1" customHeight="1" x14ac:dyDescent="0.25">
      <c r="B725" s="448"/>
      <c r="C725" s="2473" t="s">
        <v>1080</v>
      </c>
      <c r="D725" s="896">
        <v>200000000</v>
      </c>
      <c r="E725" s="2967">
        <f>D725/D633*100</f>
        <v>0.14471275837965558</v>
      </c>
      <c r="F725" s="3868"/>
      <c r="G725" s="2726"/>
      <c r="H725" s="2726"/>
      <c r="I725" s="2726"/>
      <c r="J725" s="2920"/>
      <c r="K725" s="2726"/>
      <c r="L725" s="2726"/>
      <c r="M725" s="2726"/>
      <c r="N725" s="2951"/>
    </row>
    <row r="726" spans="2:14" ht="29.25" hidden="1" customHeight="1" x14ac:dyDescent="0.25">
      <c r="B726" s="448"/>
      <c r="C726" s="2473" t="s">
        <v>1081</v>
      </c>
      <c r="D726" s="896">
        <v>3757320000</v>
      </c>
      <c r="E726" s="2967">
        <f>D726/D633*100</f>
        <v>2.7186607065752377</v>
      </c>
      <c r="F726" s="3868"/>
      <c r="G726" s="2726"/>
      <c r="H726" s="2690"/>
      <c r="I726" s="2757"/>
      <c r="J726" s="2920"/>
      <c r="K726" s="2726"/>
      <c r="L726" s="2690"/>
      <c r="M726" s="2757"/>
      <c r="N726" s="2951"/>
    </row>
    <row r="727" spans="2:14" ht="17.25" hidden="1" customHeight="1" x14ac:dyDescent="0.25">
      <c r="B727" s="441"/>
      <c r="C727" s="2476" t="s">
        <v>1082</v>
      </c>
      <c r="D727" s="2709">
        <v>952499450</v>
      </c>
      <c r="E727" s="2967">
        <f>D727/D633*100</f>
        <v>0.6891941138230242</v>
      </c>
      <c r="F727" s="4430"/>
      <c r="G727" s="2739"/>
      <c r="H727" s="2739"/>
      <c r="I727" s="2739"/>
      <c r="J727" s="2903"/>
      <c r="K727" s="911"/>
      <c r="L727" s="2690"/>
      <c r="M727" s="2709"/>
      <c r="N727" s="2768"/>
    </row>
    <row r="728" spans="2:14" ht="18" hidden="1" customHeight="1" x14ac:dyDescent="0.25">
      <c r="B728" s="441"/>
      <c r="C728" s="2473" t="s">
        <v>1083</v>
      </c>
      <c r="D728" s="896">
        <v>4690180550</v>
      </c>
      <c r="E728" s="2967">
        <f>D728/D633*100</f>
        <v>3.3936448234455505</v>
      </c>
      <c r="F728" s="3868"/>
      <c r="G728" s="2726"/>
      <c r="H728" s="2690"/>
      <c r="I728" s="2757"/>
      <c r="J728" s="2920"/>
      <c r="K728" s="896"/>
      <c r="L728" s="2690"/>
      <c r="M728" s="896"/>
      <c r="N728" s="2768"/>
    </row>
    <row r="729" spans="2:14" ht="14.25" hidden="1" customHeight="1" x14ac:dyDescent="0.25">
      <c r="B729" s="441"/>
      <c r="C729" s="2531"/>
      <c r="D729" s="2769"/>
      <c r="E729" s="3002"/>
      <c r="F729" s="3872"/>
      <c r="G729" s="2754"/>
      <c r="H729" s="2752"/>
      <c r="I729" s="2753"/>
      <c r="J729" s="2755"/>
      <c r="K729" s="2755"/>
      <c r="L729" s="2755"/>
      <c r="M729" s="2755"/>
      <c r="N729" s="2768"/>
    </row>
    <row r="730" spans="2:14" ht="16.5" hidden="1" customHeight="1" x14ac:dyDescent="0.25">
      <c r="B730" s="440"/>
      <c r="C730" s="2471" t="s">
        <v>1084</v>
      </c>
      <c r="D730" s="2744">
        <f>D731+D735+D739+D742+D746+D749</f>
        <v>40440000000</v>
      </c>
      <c r="E730" s="2670">
        <f>D730/D633*100</f>
        <v>29.260919744366358</v>
      </c>
      <c r="F730" s="3850"/>
      <c r="G730" s="2886"/>
      <c r="H730" s="2672"/>
      <c r="I730" s="2987"/>
      <c r="J730" s="2887"/>
      <c r="K730" s="2887"/>
      <c r="L730" s="2719"/>
      <c r="M730" s="2987"/>
      <c r="N730" s="2837"/>
    </row>
    <row r="731" spans="2:14" ht="14.25" hidden="1" customHeight="1" x14ac:dyDescent="0.25">
      <c r="B731" s="441"/>
      <c r="C731" s="2472" t="s">
        <v>1085</v>
      </c>
      <c r="D731" s="2759">
        <f>SUM(D732:D733)</f>
        <v>23440000000</v>
      </c>
      <c r="E731" s="2677">
        <f>D731/D633*100</f>
        <v>16.960335282095635</v>
      </c>
      <c r="F731" s="3855"/>
      <c r="G731" s="2929"/>
      <c r="H731" s="2695"/>
      <c r="I731" s="3005"/>
      <c r="J731" s="2930"/>
      <c r="K731" s="2930"/>
      <c r="L731" s="2965"/>
      <c r="M731" s="3005"/>
      <c r="N731" s="2837"/>
    </row>
    <row r="732" spans="2:14" ht="14.25" hidden="1" customHeight="1" x14ac:dyDescent="0.25">
      <c r="B732" s="448"/>
      <c r="C732" s="2542" t="s">
        <v>1086</v>
      </c>
      <c r="D732" s="2698">
        <v>23440000000</v>
      </c>
      <c r="E732" s="2967">
        <f>D732/D633*100</f>
        <v>16.960335282095635</v>
      </c>
      <c r="F732" s="4434"/>
      <c r="G732" s="2726"/>
      <c r="H732" s="2690"/>
      <c r="I732" s="2757"/>
      <c r="J732" s="3079"/>
      <c r="K732" s="2726"/>
      <c r="L732" s="2690"/>
      <c r="M732" s="2757"/>
      <c r="N732" s="2951"/>
    </row>
    <row r="733" spans="2:14" ht="14.25" hidden="1" customHeight="1" x14ac:dyDescent="0.25">
      <c r="B733" s="448"/>
      <c r="C733" s="2542" t="s">
        <v>1087</v>
      </c>
      <c r="D733" s="2698"/>
      <c r="E733" s="2967">
        <f>D733/D633*100</f>
        <v>0</v>
      </c>
      <c r="F733" s="4434"/>
      <c r="G733" s="2726"/>
      <c r="H733" s="2690"/>
      <c r="I733" s="2757"/>
      <c r="J733" s="3079"/>
      <c r="K733" s="2726"/>
      <c r="L733" s="2690"/>
      <c r="M733" s="2757"/>
      <c r="N733" s="2951"/>
    </row>
    <row r="734" spans="2:14" ht="10.5" hidden="1" customHeight="1" x14ac:dyDescent="0.25">
      <c r="B734" s="448"/>
      <c r="C734" s="2473"/>
      <c r="D734" s="896"/>
      <c r="E734" s="2967"/>
      <c r="F734" s="3868"/>
      <c r="G734" s="2726"/>
      <c r="H734" s="2690"/>
      <c r="I734" s="2757"/>
      <c r="J734" s="2920"/>
      <c r="K734" s="2726"/>
      <c r="L734" s="896"/>
      <c r="M734" s="2757"/>
      <c r="N734" s="2951"/>
    </row>
    <row r="735" spans="2:14" ht="14.25" hidden="1" customHeight="1" x14ac:dyDescent="0.25">
      <c r="B735" s="448"/>
      <c r="C735" s="2474" t="s">
        <v>1088</v>
      </c>
      <c r="D735" s="899">
        <f>SUM(D736:D737)</f>
        <v>0</v>
      </c>
      <c r="E735" s="2677">
        <f>D735/D633*100</f>
        <v>0</v>
      </c>
      <c r="F735" s="3853"/>
      <c r="G735" s="2921"/>
      <c r="H735" s="2695"/>
      <c r="I735" s="2970"/>
      <c r="J735" s="915"/>
      <c r="K735" s="915"/>
      <c r="L735" s="2965"/>
      <c r="M735" s="2970"/>
      <c r="N735" s="2951"/>
    </row>
    <row r="736" spans="2:14" ht="17.25" hidden="1" customHeight="1" x14ac:dyDescent="0.25">
      <c r="B736" s="448"/>
      <c r="C736" s="2473" t="s">
        <v>1089</v>
      </c>
      <c r="D736" s="896"/>
      <c r="E736" s="2967">
        <f>D736/D633*100</f>
        <v>0</v>
      </c>
      <c r="F736" s="3868"/>
      <c r="G736" s="2726"/>
      <c r="H736" s="2690"/>
      <c r="I736" s="2757"/>
      <c r="J736" s="2920"/>
      <c r="K736" s="2726"/>
      <c r="L736" s="2690"/>
      <c r="M736" s="2757"/>
      <c r="N736" s="2951"/>
    </row>
    <row r="737" spans="2:14" ht="16.5" hidden="1" customHeight="1" x14ac:dyDescent="0.25">
      <c r="B737" s="448"/>
      <c r="C737" s="2473" t="s">
        <v>1090</v>
      </c>
      <c r="D737" s="896"/>
      <c r="E737" s="2967">
        <f>D737/D633*100</f>
        <v>0</v>
      </c>
      <c r="F737" s="3868"/>
      <c r="G737" s="2726"/>
      <c r="H737" s="2726"/>
      <c r="I737" s="2726"/>
      <c r="J737" s="2920"/>
      <c r="K737" s="2726"/>
      <c r="L737" s="2690"/>
      <c r="M737" s="2757"/>
      <c r="N737" s="2951"/>
    </row>
    <row r="738" spans="2:14" ht="9.75" hidden="1" customHeight="1" x14ac:dyDescent="0.25">
      <c r="B738" s="448"/>
      <c r="C738" s="2473"/>
      <c r="D738" s="896"/>
      <c r="E738" s="2967"/>
      <c r="F738" s="3868"/>
      <c r="G738" s="2726"/>
      <c r="H738" s="2690"/>
      <c r="I738" s="2757"/>
      <c r="J738" s="2920"/>
      <c r="K738" s="2726"/>
      <c r="L738" s="896"/>
      <c r="M738" s="2757"/>
      <c r="N738" s="2951"/>
    </row>
    <row r="739" spans="2:14" ht="14.25" hidden="1" customHeight="1" x14ac:dyDescent="0.25">
      <c r="B739" s="441"/>
      <c r="C739" s="2474" t="s">
        <v>1091</v>
      </c>
      <c r="D739" s="899">
        <f>D740</f>
        <v>0</v>
      </c>
      <c r="E739" s="2969">
        <f>D739/D633*100</f>
        <v>0</v>
      </c>
      <c r="F739" s="3853"/>
      <c r="G739" s="2921"/>
      <c r="H739" s="2695"/>
      <c r="I739" s="2970"/>
      <c r="J739" s="915"/>
      <c r="K739" s="915"/>
      <c r="L739" s="2965"/>
      <c r="M739" s="2970"/>
      <c r="N739" s="2837"/>
    </row>
    <row r="740" spans="2:14" ht="14.25" hidden="1" customHeight="1" x14ac:dyDescent="0.25">
      <c r="B740" s="448"/>
      <c r="C740" s="2473" t="s">
        <v>1092</v>
      </c>
      <c r="D740" s="896"/>
      <c r="E740" s="2967">
        <f>D740/D633*100</f>
        <v>0</v>
      </c>
      <c r="F740" s="3868"/>
      <c r="G740" s="2726"/>
      <c r="H740" s="2690"/>
      <c r="I740" s="2757"/>
      <c r="J740" s="2920"/>
      <c r="K740" s="2726"/>
      <c r="L740" s="2690"/>
      <c r="M740" s="2757"/>
      <c r="N740" s="2951"/>
    </row>
    <row r="741" spans="2:14" ht="10.5" hidden="1" customHeight="1" x14ac:dyDescent="0.25">
      <c r="B741" s="448"/>
      <c r="C741" s="2473"/>
      <c r="D741" s="896"/>
      <c r="E741" s="2967"/>
      <c r="F741" s="3868"/>
      <c r="G741" s="2726"/>
      <c r="H741" s="2690"/>
      <c r="I741" s="2757"/>
      <c r="J741" s="2920"/>
      <c r="K741" s="2726"/>
      <c r="L741" s="896"/>
      <c r="M741" s="2757"/>
      <c r="N741" s="2951"/>
    </row>
    <row r="742" spans="2:14" ht="17.25" hidden="1" customHeight="1" x14ac:dyDescent="0.25">
      <c r="B742" s="441"/>
      <c r="C742" s="2474" t="s">
        <v>1093</v>
      </c>
      <c r="D742" s="899">
        <f>SUM(D743:D744)</f>
        <v>12800000000</v>
      </c>
      <c r="E742" s="2969">
        <f>D742/D633*100</f>
        <v>9.2616165362979572</v>
      </c>
      <c r="F742" s="3853"/>
      <c r="G742" s="2965"/>
      <c r="H742" s="2965"/>
      <c r="I742" s="2965"/>
      <c r="J742" s="915"/>
      <c r="K742" s="915"/>
      <c r="L742" s="2965"/>
      <c r="M742" s="2970"/>
      <c r="N742" s="2837"/>
    </row>
    <row r="743" spans="2:14" ht="17.25" hidden="1" customHeight="1" x14ac:dyDescent="0.25">
      <c r="B743" s="448"/>
      <c r="C743" s="2473" t="s">
        <v>1094</v>
      </c>
      <c r="D743" s="896">
        <v>2500000000</v>
      </c>
      <c r="E743" s="2967">
        <f>D743/D633*100</f>
        <v>1.8089094797456948</v>
      </c>
      <c r="F743" s="3868"/>
      <c r="G743" s="2726"/>
      <c r="H743" s="2726"/>
      <c r="I743" s="2726"/>
      <c r="J743" s="2920"/>
      <c r="K743" s="2726"/>
      <c r="L743" s="2690"/>
      <c r="M743" s="2757"/>
      <c r="N743" s="2951"/>
    </row>
    <row r="744" spans="2:14" ht="18" hidden="1" customHeight="1" x14ac:dyDescent="0.25">
      <c r="B744" s="441"/>
      <c r="C744" s="2476" t="s">
        <v>1095</v>
      </c>
      <c r="D744" s="2709">
        <v>10300000000</v>
      </c>
      <c r="E744" s="2967">
        <f>D744/D633*100</f>
        <v>7.4527070565522626</v>
      </c>
      <c r="F744" s="4430"/>
      <c r="G744" s="2739"/>
      <c r="H744" s="2710"/>
      <c r="I744" s="2742"/>
      <c r="J744" s="911"/>
      <c r="K744" s="911"/>
      <c r="L744" s="911"/>
      <c r="M744" s="911"/>
      <c r="N744" s="2768"/>
    </row>
    <row r="745" spans="2:14" ht="10.5" hidden="1" customHeight="1" x14ac:dyDescent="0.25">
      <c r="B745" s="441"/>
      <c r="C745" s="2517"/>
      <c r="D745" s="896"/>
      <c r="E745" s="2969"/>
      <c r="F745" s="3868"/>
      <c r="G745" s="2726"/>
      <c r="H745" s="2690"/>
      <c r="I745" s="2757"/>
      <c r="J745" s="898"/>
      <c r="K745" s="898"/>
      <c r="L745" s="898"/>
      <c r="M745" s="898"/>
      <c r="N745" s="2768"/>
    </row>
    <row r="746" spans="2:14" ht="18.75" hidden="1" customHeight="1" x14ac:dyDescent="0.25">
      <c r="B746" s="441"/>
      <c r="C746" s="2474" t="s">
        <v>1096</v>
      </c>
      <c r="D746" s="899">
        <v>1700000000</v>
      </c>
      <c r="E746" s="2969">
        <f>D746/D633*100</f>
        <v>1.2300584462270725</v>
      </c>
      <c r="F746" s="3868"/>
      <c r="G746" s="2726"/>
      <c r="H746" s="2690"/>
      <c r="I746" s="2757"/>
      <c r="J746" s="898"/>
      <c r="K746" s="898"/>
      <c r="L746" s="898"/>
      <c r="M746" s="898"/>
      <c r="N746" s="2768"/>
    </row>
    <row r="747" spans="2:14" ht="16.5" hidden="1" customHeight="1" x14ac:dyDescent="0.25">
      <c r="B747" s="441"/>
      <c r="C747" s="2473" t="s">
        <v>1097</v>
      </c>
      <c r="D747" s="896">
        <v>1700000000</v>
      </c>
      <c r="E747" s="2967">
        <f>D747/D633*100</f>
        <v>1.2300584462270725</v>
      </c>
      <c r="F747" s="3868"/>
      <c r="G747" s="2726"/>
      <c r="H747" s="2690"/>
      <c r="I747" s="2757"/>
      <c r="J747" s="898"/>
      <c r="K747" s="898"/>
      <c r="L747" s="898"/>
      <c r="M747" s="898"/>
      <c r="N747" s="2768"/>
    </row>
    <row r="748" spans="2:14" ht="11.25" hidden="1" customHeight="1" x14ac:dyDescent="0.25">
      <c r="B748" s="441"/>
      <c r="C748" s="2517"/>
      <c r="D748" s="896"/>
      <c r="E748" s="2969"/>
      <c r="F748" s="3868"/>
      <c r="G748" s="2726"/>
      <c r="H748" s="2690"/>
      <c r="I748" s="2757"/>
      <c r="J748" s="898"/>
      <c r="K748" s="898"/>
      <c r="L748" s="898"/>
      <c r="M748" s="898"/>
      <c r="N748" s="2768"/>
    </row>
    <row r="749" spans="2:14" ht="15.75" hidden="1" customHeight="1" x14ac:dyDescent="0.25">
      <c r="B749" s="441"/>
      <c r="C749" s="2474" t="s">
        <v>1098</v>
      </c>
      <c r="D749" s="899">
        <v>2500000000</v>
      </c>
      <c r="E749" s="2969">
        <f>D749/D633*100</f>
        <v>1.8089094797456948</v>
      </c>
      <c r="F749" s="3868"/>
      <c r="G749" s="2726"/>
      <c r="H749" s="2690"/>
      <c r="I749" s="2757"/>
      <c r="J749" s="898"/>
      <c r="K749" s="898"/>
      <c r="L749" s="898"/>
      <c r="M749" s="898"/>
      <c r="N749" s="2768"/>
    </row>
    <row r="750" spans="2:14" ht="15.75" hidden="1" customHeight="1" x14ac:dyDescent="0.25">
      <c r="B750" s="441"/>
      <c r="C750" s="2473" t="s">
        <v>1099</v>
      </c>
      <c r="D750" s="896">
        <v>2500000000</v>
      </c>
      <c r="E750" s="2967">
        <f>D750/D633*100</f>
        <v>1.8089094797456948</v>
      </c>
      <c r="F750" s="3868"/>
      <c r="G750" s="2726"/>
      <c r="H750" s="2690"/>
      <c r="I750" s="2757"/>
      <c r="J750" s="898"/>
      <c r="K750" s="898"/>
      <c r="L750" s="898"/>
      <c r="M750" s="898"/>
      <c r="N750" s="2768"/>
    </row>
    <row r="751" spans="2:14" ht="14.25" hidden="1" customHeight="1" x14ac:dyDescent="0.25">
      <c r="B751" s="441"/>
      <c r="C751" s="2531"/>
      <c r="D751" s="2769"/>
      <c r="E751" s="3002"/>
      <c r="F751" s="3872"/>
      <c r="G751" s="2754"/>
      <c r="H751" s="2752"/>
      <c r="I751" s="2753"/>
      <c r="J751" s="2755"/>
      <c r="K751" s="2755"/>
      <c r="L751" s="2755"/>
      <c r="M751" s="2755"/>
      <c r="N751" s="2768"/>
    </row>
    <row r="752" spans="2:14" ht="15.75" hidden="1" customHeight="1" x14ac:dyDescent="0.25">
      <c r="B752" s="440"/>
      <c r="C752" s="2471" t="s">
        <v>1100</v>
      </c>
      <c r="D752" s="2744">
        <f>D753</f>
        <v>8216365000</v>
      </c>
      <c r="E752" s="2670">
        <f>D752/D633*100</f>
        <v>5.9450642150202944</v>
      </c>
      <c r="F752" s="3850"/>
      <c r="G752" s="2674"/>
      <c r="H752" s="2674"/>
      <c r="I752" s="2674"/>
      <c r="J752" s="2887"/>
      <c r="K752" s="2887"/>
      <c r="L752" s="2744"/>
      <c r="M752" s="2987"/>
      <c r="N752" s="2837"/>
    </row>
    <row r="753" spans="2:14" ht="14.25" hidden="1" customHeight="1" x14ac:dyDescent="0.25">
      <c r="B753" s="441"/>
      <c r="C753" s="2472" t="s">
        <v>1101</v>
      </c>
      <c r="D753" s="2759">
        <f>SUM(D754:D755)</f>
        <v>8216365000</v>
      </c>
      <c r="E753" s="2677">
        <f>D753/D633*100</f>
        <v>5.9450642150202944</v>
      </c>
      <c r="F753" s="3855"/>
      <c r="G753" s="3080"/>
      <c r="H753" s="3080"/>
      <c r="I753" s="3080"/>
      <c r="J753" s="2930"/>
      <c r="K753" s="3080"/>
      <c r="L753" s="3080"/>
      <c r="M753" s="3080"/>
      <c r="N753" s="2837"/>
    </row>
    <row r="754" spans="2:14" ht="14.25" hidden="1" customHeight="1" x14ac:dyDescent="0.25">
      <c r="B754" s="448"/>
      <c r="C754" s="2473" t="s">
        <v>1102</v>
      </c>
      <c r="D754" s="896">
        <v>5832730000</v>
      </c>
      <c r="E754" s="2967">
        <f>D754/D633*100</f>
        <v>4.2203522359188428</v>
      </c>
      <c r="F754" s="3868"/>
      <c r="G754" s="2726"/>
      <c r="H754" s="2726"/>
      <c r="I754" s="2726"/>
      <c r="J754" s="2920"/>
      <c r="K754" s="2726"/>
      <c r="L754" s="2726"/>
      <c r="M754" s="2726"/>
      <c r="N754" s="2951"/>
    </row>
    <row r="755" spans="2:14" ht="14.25" hidden="1" customHeight="1" x14ac:dyDescent="0.25">
      <c r="B755" s="448"/>
      <c r="C755" s="2473" t="s">
        <v>1103</v>
      </c>
      <c r="D755" s="896">
        <v>2383635000</v>
      </c>
      <c r="E755" s="2967">
        <f>D755/D633*100</f>
        <v>1.7247119791014516</v>
      </c>
      <c r="F755" s="3868"/>
      <c r="G755" s="2739"/>
      <c r="H755" s="2739"/>
      <c r="I755" s="2739"/>
      <c r="J755" s="2920"/>
      <c r="K755" s="2726"/>
      <c r="L755" s="2726"/>
      <c r="M755" s="2757"/>
      <c r="N755" s="2951"/>
    </row>
    <row r="756" spans="2:14" ht="14.25" hidden="1" customHeight="1" x14ac:dyDescent="0.25">
      <c r="B756" s="441"/>
      <c r="C756" s="2519"/>
      <c r="D756" s="2709"/>
      <c r="E756" s="2976"/>
      <c r="F756" s="4430"/>
      <c r="G756" s="2739"/>
      <c r="H756" s="2710"/>
      <c r="I756" s="2742"/>
      <c r="J756" s="898"/>
      <c r="K756" s="898"/>
      <c r="L756" s="898"/>
      <c r="M756" s="898"/>
      <c r="N756" s="2768"/>
    </row>
    <row r="757" spans="2:14" ht="19.5" hidden="1" customHeight="1" x14ac:dyDescent="0.25">
      <c r="B757" s="440"/>
      <c r="C757" s="2471" t="s">
        <v>1104</v>
      </c>
      <c r="D757" s="2744">
        <f>D758</f>
        <v>200000000</v>
      </c>
      <c r="E757" s="2670">
        <f>D757/D633*100</f>
        <v>0.14471275837965558</v>
      </c>
      <c r="F757" s="3850"/>
      <c r="G757" s="2886"/>
      <c r="H757" s="2672"/>
      <c r="I757" s="2987"/>
      <c r="J757" s="2887"/>
      <c r="K757" s="2887"/>
      <c r="L757" s="2744"/>
      <c r="M757" s="2987"/>
      <c r="N757" s="2837"/>
    </row>
    <row r="758" spans="2:14" ht="19.5" hidden="1" customHeight="1" x14ac:dyDescent="0.25">
      <c r="B758" s="441"/>
      <c r="C758" s="2472" t="s">
        <v>1105</v>
      </c>
      <c r="D758" s="2759">
        <f>D759</f>
        <v>200000000</v>
      </c>
      <c r="E758" s="2677">
        <f>D758/D633*100</f>
        <v>0.14471275837965558</v>
      </c>
      <c r="F758" s="3855"/>
      <c r="G758" s="2929"/>
      <c r="H758" s="2695"/>
      <c r="I758" s="3005"/>
      <c r="J758" s="2930"/>
      <c r="K758" s="2930"/>
      <c r="L758" s="2965"/>
      <c r="M758" s="3005"/>
      <c r="N758" s="2837"/>
    </row>
    <row r="759" spans="2:14" ht="16.5" hidden="1" customHeight="1" x14ac:dyDescent="0.25">
      <c r="B759" s="448"/>
      <c r="C759" s="2473" t="s">
        <v>1106</v>
      </c>
      <c r="D759" s="896">
        <v>200000000</v>
      </c>
      <c r="E759" s="2967">
        <f>D759/D633*100</f>
        <v>0.14471275837965558</v>
      </c>
      <c r="F759" s="3868"/>
      <c r="G759" s="2726"/>
      <c r="H759" s="2690"/>
      <c r="I759" s="2757"/>
      <c r="J759" s="2920"/>
      <c r="K759" s="2726"/>
      <c r="L759" s="2690"/>
      <c r="M759" s="2757"/>
      <c r="N759" s="2951"/>
    </row>
    <row r="760" spans="2:14" ht="14.25" hidden="1" customHeight="1" x14ac:dyDescent="0.25">
      <c r="B760" s="441"/>
      <c r="C760" s="2531"/>
      <c r="D760" s="2769"/>
      <c r="E760" s="3002"/>
      <c r="F760" s="3872"/>
      <c r="G760" s="2754"/>
      <c r="H760" s="2752"/>
      <c r="I760" s="2753"/>
      <c r="J760" s="2724"/>
      <c r="K760" s="2754"/>
      <c r="L760" s="2769"/>
      <c r="M760" s="2753"/>
      <c r="N760" s="2768"/>
    </row>
    <row r="761" spans="2:14" ht="19.5" hidden="1" customHeight="1" x14ac:dyDescent="0.25">
      <c r="B761" s="440"/>
      <c r="C761" s="2471" t="s">
        <v>4961</v>
      </c>
      <c r="D761" s="2744">
        <f>SUM(D762)</f>
        <v>100000000</v>
      </c>
      <c r="E761" s="2670">
        <f>D761/D633*100</f>
        <v>7.2356379189827791E-2</v>
      </c>
      <c r="F761" s="3850"/>
      <c r="G761" s="2886"/>
      <c r="H761" s="2672"/>
      <c r="I761" s="2987"/>
      <c r="J761" s="2887"/>
      <c r="K761" s="2887"/>
      <c r="L761" s="2744"/>
      <c r="M761" s="2987"/>
      <c r="N761" s="2837"/>
    </row>
    <row r="762" spans="2:14" ht="16.5" hidden="1" customHeight="1" x14ac:dyDescent="0.25">
      <c r="B762" s="441"/>
      <c r="C762" s="2472" t="s">
        <v>4962</v>
      </c>
      <c r="D762" s="2759">
        <f>D763</f>
        <v>100000000</v>
      </c>
      <c r="E762" s="2677">
        <f>D762/D633*100</f>
        <v>7.2356379189827791E-2</v>
      </c>
      <c r="F762" s="3855"/>
      <c r="G762" s="2929"/>
      <c r="H762" s="2695"/>
      <c r="I762" s="3005"/>
      <c r="J762" s="2930"/>
      <c r="K762" s="2930"/>
      <c r="L762" s="2965"/>
      <c r="M762" s="3005"/>
      <c r="N762" s="2837"/>
    </row>
    <row r="763" spans="2:14" ht="14.25" hidden="1" customHeight="1" x14ac:dyDescent="0.25">
      <c r="B763" s="448"/>
      <c r="C763" s="2473" t="s">
        <v>4963</v>
      </c>
      <c r="D763" s="896">
        <v>100000000</v>
      </c>
      <c r="E763" s="2967">
        <f>D763/D633*100</f>
        <v>7.2356379189827791E-2</v>
      </c>
      <c r="F763" s="3868"/>
      <c r="G763" s="2726"/>
      <c r="H763" s="2726"/>
      <c r="I763" s="2726"/>
      <c r="J763" s="2920"/>
      <c r="K763" s="2726"/>
      <c r="L763" s="2690"/>
      <c r="M763" s="2757"/>
      <c r="N763" s="2951"/>
    </row>
    <row r="764" spans="2:14" ht="14.25" hidden="1" customHeight="1" x14ac:dyDescent="0.25">
      <c r="B764" s="441"/>
      <c r="C764" s="2531"/>
      <c r="D764" s="2769"/>
      <c r="E764" s="3002"/>
      <c r="F764" s="3872"/>
      <c r="G764" s="2754"/>
      <c r="H764" s="2752"/>
      <c r="I764" s="2753"/>
      <c r="J764" s="2724"/>
      <c r="K764" s="2754"/>
      <c r="L764" s="2769"/>
      <c r="M764" s="2753"/>
      <c r="N764" s="2768"/>
    </row>
    <row r="765" spans="2:14" ht="15.75" hidden="1" customHeight="1" x14ac:dyDescent="0.25">
      <c r="B765" s="440"/>
      <c r="C765" s="2471" t="s">
        <v>4964</v>
      </c>
      <c r="D765" s="2744">
        <f>D766+D770+D773</f>
        <v>2450000000</v>
      </c>
      <c r="E765" s="2670">
        <f>D765/D633*100</f>
        <v>1.7727312901507808</v>
      </c>
      <c r="F765" s="3850"/>
      <c r="G765" s="2674"/>
      <c r="H765" s="2674"/>
      <c r="I765" s="2674"/>
      <c r="J765" s="2887"/>
      <c r="K765" s="2674"/>
      <c r="L765" s="2674"/>
      <c r="M765" s="2674"/>
      <c r="N765" s="2837"/>
    </row>
    <row r="766" spans="2:14" ht="16.5" hidden="1" customHeight="1" x14ac:dyDescent="0.25">
      <c r="B766" s="441"/>
      <c r="C766" s="2472" t="s">
        <v>440</v>
      </c>
      <c r="D766" s="2759">
        <f>SUM(D767:D768)</f>
        <v>500000000</v>
      </c>
      <c r="E766" s="2677">
        <f>D766/D633*100</f>
        <v>0.36178189594913895</v>
      </c>
      <c r="F766" s="3855"/>
      <c r="G766" s="3080"/>
      <c r="H766" s="3080"/>
      <c r="I766" s="3080"/>
      <c r="J766" s="2930"/>
      <c r="K766" s="3080"/>
      <c r="L766" s="3080"/>
      <c r="M766" s="3080"/>
      <c r="N766" s="2837"/>
    </row>
    <row r="767" spans="2:14" ht="14.25" hidden="1" customHeight="1" x14ac:dyDescent="0.25">
      <c r="B767" s="448"/>
      <c r="C767" s="2473" t="s">
        <v>4965</v>
      </c>
      <c r="D767" s="896">
        <v>500000000</v>
      </c>
      <c r="E767" s="2967">
        <f>D767/D633*100</f>
        <v>0.36178189594913895</v>
      </c>
      <c r="F767" s="3868"/>
      <c r="G767" s="2726"/>
      <c r="H767" s="2726"/>
      <c r="I767" s="2726"/>
      <c r="J767" s="2920"/>
      <c r="K767" s="2726"/>
      <c r="L767" s="2726"/>
      <c r="M767" s="2726"/>
      <c r="N767" s="2951"/>
    </row>
    <row r="768" spans="2:14" ht="14.25" hidden="1" customHeight="1" x14ac:dyDescent="0.25">
      <c r="B768" s="441"/>
      <c r="C768" s="2476" t="s">
        <v>4966</v>
      </c>
      <c r="D768" s="2709">
        <v>0</v>
      </c>
      <c r="E768" s="2967">
        <f>D768/D633*100</f>
        <v>0</v>
      </c>
      <c r="F768" s="4430"/>
      <c r="G768" s="2739"/>
      <c r="H768" s="2739"/>
      <c r="I768" s="2739"/>
      <c r="J768" s="2903"/>
      <c r="K768" s="911"/>
      <c r="L768" s="911"/>
      <c r="M768" s="911"/>
      <c r="N768" s="2768"/>
    </row>
    <row r="769" spans="2:14" ht="11.25" hidden="1" customHeight="1" x14ac:dyDescent="0.25">
      <c r="B769" s="441"/>
      <c r="C769" s="2474"/>
      <c r="D769" s="2796"/>
      <c r="E769" s="2969"/>
      <c r="F769" s="3868"/>
      <c r="G769" s="2726"/>
      <c r="H769" s="2726"/>
      <c r="I769" s="2726"/>
      <c r="J769" s="2920"/>
      <c r="K769" s="898"/>
      <c r="L769" s="898"/>
      <c r="M769" s="898"/>
      <c r="N769" s="2768"/>
    </row>
    <row r="770" spans="2:14" ht="16.5" hidden="1" customHeight="1" x14ac:dyDescent="0.25">
      <c r="B770" s="441"/>
      <c r="C770" s="2474" t="s">
        <v>4967</v>
      </c>
      <c r="D770" s="899">
        <f>D771</f>
        <v>450000000</v>
      </c>
      <c r="E770" s="2677">
        <f>D770/D633*100</f>
        <v>0.32560370635422509</v>
      </c>
      <c r="F770" s="3868"/>
      <c r="G770" s="2726"/>
      <c r="H770" s="2726"/>
      <c r="I770" s="2726"/>
      <c r="J770" s="2920"/>
      <c r="K770" s="898"/>
      <c r="L770" s="898"/>
      <c r="M770" s="898"/>
      <c r="N770" s="2768"/>
    </row>
    <row r="771" spans="2:14" ht="27.75" hidden="1" customHeight="1" x14ac:dyDescent="0.25">
      <c r="B771" s="441"/>
      <c r="C771" s="2473" t="s">
        <v>4968</v>
      </c>
      <c r="D771" s="896">
        <v>450000000</v>
      </c>
      <c r="E771" s="2967">
        <f>D771/D633*100</f>
        <v>0.32560370635422509</v>
      </c>
      <c r="F771" s="3868"/>
      <c r="G771" s="2726"/>
      <c r="H771" s="2726"/>
      <c r="I771" s="2726"/>
      <c r="J771" s="2920"/>
      <c r="K771" s="898"/>
      <c r="L771" s="898"/>
      <c r="M771" s="898"/>
      <c r="N771" s="2768"/>
    </row>
    <row r="772" spans="2:14" ht="10.5" hidden="1" customHeight="1" x14ac:dyDescent="0.25">
      <c r="B772" s="441"/>
      <c r="C772" s="2517"/>
      <c r="D772" s="896"/>
      <c r="E772" s="2969"/>
      <c r="F772" s="3868"/>
      <c r="G772" s="2726"/>
      <c r="H772" s="2726"/>
      <c r="I772" s="2726"/>
      <c r="J772" s="2920"/>
      <c r="K772" s="898"/>
      <c r="L772" s="898"/>
      <c r="M772" s="898"/>
      <c r="N772" s="2768"/>
    </row>
    <row r="773" spans="2:14" ht="17.25" hidden="1" customHeight="1" x14ac:dyDescent="0.25">
      <c r="B773" s="441"/>
      <c r="C773" s="2474" t="s">
        <v>4969</v>
      </c>
      <c r="D773" s="899">
        <f>D774</f>
        <v>1500000000</v>
      </c>
      <c r="E773" s="2677">
        <f>D773/D633*100</f>
        <v>1.085345687847417</v>
      </c>
      <c r="F773" s="3868"/>
      <c r="G773" s="2726"/>
      <c r="H773" s="2726"/>
      <c r="I773" s="2726"/>
      <c r="J773" s="2920"/>
      <c r="K773" s="898"/>
      <c r="L773" s="898"/>
      <c r="M773" s="898"/>
      <c r="N773" s="2768"/>
    </row>
    <row r="774" spans="2:14" ht="14.25" hidden="1" customHeight="1" x14ac:dyDescent="0.25">
      <c r="B774" s="441"/>
      <c r="C774" s="2473" t="s">
        <v>4970</v>
      </c>
      <c r="D774" s="896">
        <v>1500000000</v>
      </c>
      <c r="E774" s="2967">
        <f>D774/D633*100</f>
        <v>1.085345687847417</v>
      </c>
      <c r="F774" s="3868"/>
      <c r="G774" s="2726"/>
      <c r="H774" s="2726"/>
      <c r="I774" s="2726"/>
      <c r="J774" s="2920"/>
      <c r="K774" s="898"/>
      <c r="L774" s="898"/>
      <c r="M774" s="898"/>
      <c r="N774" s="2768"/>
    </row>
    <row r="775" spans="2:14" ht="14.25" hidden="1" customHeight="1" x14ac:dyDescent="0.25">
      <c r="B775" s="441"/>
      <c r="C775" s="2531"/>
      <c r="D775" s="2769"/>
      <c r="E775" s="3002"/>
      <c r="F775" s="3872"/>
      <c r="G775" s="2754"/>
      <c r="H775" s="2754"/>
      <c r="I775" s="2754"/>
      <c r="J775" s="2891"/>
      <c r="K775" s="2755"/>
      <c r="L775" s="2755"/>
      <c r="M775" s="2755"/>
      <c r="N775" s="2768"/>
    </row>
    <row r="776" spans="2:14" ht="18.75" hidden="1" customHeight="1" x14ac:dyDescent="0.25">
      <c r="B776" s="440"/>
      <c r="C776" s="2471" t="s">
        <v>5552</v>
      </c>
      <c r="D776" s="2744">
        <f>D777+D781+D784+D787</f>
        <v>1289735000</v>
      </c>
      <c r="E776" s="2670">
        <f>D776/D633*100</f>
        <v>0.93320554714392545</v>
      </c>
      <c r="F776" s="3844"/>
      <c r="G776" s="2674"/>
      <c r="H776" s="2674"/>
      <c r="I776" s="2674"/>
      <c r="J776" s="2887"/>
      <c r="K776" s="2674"/>
      <c r="L776" s="2674"/>
      <c r="M776" s="2674"/>
      <c r="N776" s="2837"/>
    </row>
    <row r="777" spans="2:14" ht="17.25" hidden="1" customHeight="1" x14ac:dyDescent="0.25">
      <c r="B777" s="441"/>
      <c r="C777" s="2474" t="s">
        <v>4971</v>
      </c>
      <c r="D777" s="899">
        <f>SUM(D778:D779)</f>
        <v>289735000</v>
      </c>
      <c r="E777" s="2677">
        <f>D777/D633*100</f>
        <v>0.20964175524564757</v>
      </c>
      <c r="F777" s="3868"/>
      <c r="G777" s="2726"/>
      <c r="H777" s="2690"/>
      <c r="I777" s="2757"/>
      <c r="J777" s="898"/>
      <c r="K777" s="898"/>
      <c r="L777" s="898"/>
      <c r="M777" s="898"/>
      <c r="N777" s="2768"/>
    </row>
    <row r="778" spans="2:14" ht="31.5" hidden="1" customHeight="1" x14ac:dyDescent="0.25">
      <c r="B778" s="441"/>
      <c r="C778" s="2473" t="s">
        <v>4972</v>
      </c>
      <c r="D778" s="896">
        <v>100000000</v>
      </c>
      <c r="E778" s="2967">
        <f>D778/D633*100</f>
        <v>7.2356379189827791E-2</v>
      </c>
      <c r="F778" s="3868"/>
      <c r="G778" s="2726"/>
      <c r="H778" s="2690"/>
      <c r="I778" s="2757"/>
      <c r="J778" s="898"/>
      <c r="K778" s="898"/>
      <c r="L778" s="898"/>
      <c r="M778" s="898"/>
      <c r="N778" s="2768"/>
    </row>
    <row r="779" spans="2:14" ht="18" hidden="1" customHeight="1" x14ac:dyDescent="0.25">
      <c r="B779" s="441"/>
      <c r="C779" s="2473" t="s">
        <v>4973</v>
      </c>
      <c r="D779" s="896">
        <v>189735000</v>
      </c>
      <c r="E779" s="2967">
        <f>D779/D633*100</f>
        <v>0.13728537605581975</v>
      </c>
      <c r="F779" s="3868"/>
      <c r="G779" s="2726"/>
      <c r="H779" s="2690"/>
      <c r="I779" s="2757"/>
      <c r="J779" s="898"/>
      <c r="K779" s="898"/>
      <c r="L779" s="898"/>
      <c r="M779" s="898"/>
      <c r="N779" s="2768"/>
    </row>
    <row r="780" spans="2:14" ht="9.75" hidden="1" customHeight="1" x14ac:dyDescent="0.25">
      <c r="B780" s="441"/>
      <c r="C780" s="2517"/>
      <c r="D780" s="896"/>
      <c r="E780" s="2967"/>
      <c r="F780" s="3868"/>
      <c r="G780" s="2726"/>
      <c r="H780" s="2690"/>
      <c r="I780" s="2757"/>
      <c r="J780" s="898"/>
      <c r="K780" s="898"/>
      <c r="L780" s="898"/>
      <c r="M780" s="898"/>
      <c r="N780" s="2768"/>
    </row>
    <row r="781" spans="2:14" ht="29.25" hidden="1" customHeight="1" x14ac:dyDescent="0.25">
      <c r="B781" s="441"/>
      <c r="C781" s="2474" t="s">
        <v>4974</v>
      </c>
      <c r="D781" s="899">
        <f>D782</f>
        <v>150000000</v>
      </c>
      <c r="E781" s="2677">
        <f>D781/D633*100</f>
        <v>0.1085345687847417</v>
      </c>
      <c r="F781" s="3868"/>
      <c r="G781" s="2726"/>
      <c r="H781" s="2690"/>
      <c r="I781" s="2757"/>
      <c r="J781" s="898"/>
      <c r="K781" s="898"/>
      <c r="L781" s="898"/>
      <c r="M781" s="898"/>
      <c r="N781" s="2768"/>
    </row>
    <row r="782" spans="2:14" ht="17.25" hidden="1" customHeight="1" x14ac:dyDescent="0.25">
      <c r="B782" s="441"/>
      <c r="C782" s="2473" t="s">
        <v>4975</v>
      </c>
      <c r="D782" s="896">
        <v>150000000</v>
      </c>
      <c r="E782" s="2967">
        <f>D782/D633*100</f>
        <v>0.1085345687847417</v>
      </c>
      <c r="F782" s="3868"/>
      <c r="G782" s="2726"/>
      <c r="H782" s="2690"/>
      <c r="I782" s="2757"/>
      <c r="J782" s="898"/>
      <c r="K782" s="898"/>
      <c r="L782" s="898"/>
      <c r="M782" s="898"/>
      <c r="N782" s="2768"/>
    </row>
    <row r="783" spans="2:14" ht="9.75" hidden="1" customHeight="1" x14ac:dyDescent="0.25">
      <c r="B783" s="441"/>
      <c r="C783" s="2517"/>
      <c r="D783" s="896"/>
      <c r="E783" s="2967"/>
      <c r="F783" s="3868"/>
      <c r="G783" s="2726"/>
      <c r="H783" s="2690"/>
      <c r="I783" s="2757"/>
      <c r="J783" s="898"/>
      <c r="K783" s="898"/>
      <c r="L783" s="898"/>
      <c r="M783" s="898"/>
      <c r="N783" s="2768"/>
    </row>
    <row r="784" spans="2:14" ht="18.75" hidden="1" customHeight="1" x14ac:dyDescent="0.25">
      <c r="B784" s="441"/>
      <c r="C784" s="2474" t="s">
        <v>4976</v>
      </c>
      <c r="D784" s="899">
        <f>SUM(D785:D785)</f>
        <v>100000000</v>
      </c>
      <c r="E784" s="2677">
        <f>D784/D633*100</f>
        <v>7.2356379189827791E-2</v>
      </c>
      <c r="F784" s="3868"/>
      <c r="G784" s="2726"/>
      <c r="H784" s="2690"/>
      <c r="I784" s="2757"/>
      <c r="J784" s="898"/>
      <c r="K784" s="898"/>
      <c r="L784" s="898"/>
      <c r="M784" s="898"/>
      <c r="N784" s="2768"/>
    </row>
    <row r="785" spans="2:14" ht="18" hidden="1" customHeight="1" x14ac:dyDescent="0.25">
      <c r="B785" s="441"/>
      <c r="C785" s="2473" t="s">
        <v>4977</v>
      </c>
      <c r="D785" s="896">
        <v>100000000</v>
      </c>
      <c r="E785" s="2967">
        <f>D785/D633*100</f>
        <v>7.2356379189827791E-2</v>
      </c>
      <c r="F785" s="3868"/>
      <c r="G785" s="2726"/>
      <c r="H785" s="2690"/>
      <c r="I785" s="2757"/>
      <c r="J785" s="898"/>
      <c r="K785" s="898"/>
      <c r="L785" s="898"/>
      <c r="M785" s="898"/>
      <c r="N785" s="2768"/>
    </row>
    <row r="786" spans="2:14" ht="10.5" hidden="1" customHeight="1" x14ac:dyDescent="0.25">
      <c r="B786" s="441"/>
      <c r="C786" s="2517"/>
      <c r="D786" s="896"/>
      <c r="E786" s="2967"/>
      <c r="F786" s="3868"/>
      <c r="G786" s="2726"/>
      <c r="H786" s="2690"/>
      <c r="I786" s="2757"/>
      <c r="J786" s="898"/>
      <c r="K786" s="898"/>
      <c r="L786" s="898"/>
      <c r="M786" s="898"/>
      <c r="N786" s="2768"/>
    </row>
    <row r="787" spans="2:14" ht="29.25" hidden="1" customHeight="1" x14ac:dyDescent="0.25">
      <c r="B787" s="441"/>
      <c r="C787" s="2474" t="s">
        <v>4978</v>
      </c>
      <c r="D787" s="899">
        <f>SUM(D788:D789)</f>
        <v>750000000</v>
      </c>
      <c r="E787" s="2677">
        <f>D787/D633*100</f>
        <v>0.54267284392370851</v>
      </c>
      <c r="F787" s="3868"/>
      <c r="G787" s="2726"/>
      <c r="H787" s="2690"/>
      <c r="I787" s="2757"/>
      <c r="J787" s="898"/>
      <c r="K787" s="898"/>
      <c r="L787" s="898"/>
      <c r="M787" s="898"/>
      <c r="N787" s="2768"/>
    </row>
    <row r="788" spans="2:14" ht="14.25" hidden="1" customHeight="1" x14ac:dyDescent="0.25">
      <c r="B788" s="441"/>
      <c r="C788" s="2473" t="s">
        <v>4979</v>
      </c>
      <c r="D788" s="896">
        <v>200000000</v>
      </c>
      <c r="E788" s="2967">
        <f>D788/D633*100</f>
        <v>0.14471275837965558</v>
      </c>
      <c r="F788" s="3868"/>
      <c r="G788" s="2726"/>
      <c r="H788" s="2690"/>
      <c r="I788" s="2757"/>
      <c r="J788" s="898"/>
      <c r="K788" s="898"/>
      <c r="L788" s="898"/>
      <c r="M788" s="898"/>
      <c r="N788" s="2768"/>
    </row>
    <row r="789" spans="2:14" ht="30" hidden="1" customHeight="1" x14ac:dyDescent="0.25">
      <c r="B789" s="441"/>
      <c r="C789" s="2473" t="s">
        <v>5049</v>
      </c>
      <c r="D789" s="896">
        <v>550000000</v>
      </c>
      <c r="E789" s="2967"/>
      <c r="F789" s="3868"/>
      <c r="G789" s="2726"/>
      <c r="H789" s="2690"/>
      <c r="I789" s="2757"/>
      <c r="J789" s="898"/>
      <c r="K789" s="898"/>
      <c r="L789" s="898"/>
      <c r="M789" s="898"/>
      <c r="N789" s="2768"/>
    </row>
    <row r="790" spans="2:14" ht="14.25" hidden="1" customHeight="1" x14ac:dyDescent="0.25">
      <c r="B790" s="441"/>
      <c r="C790" s="2531"/>
      <c r="D790" s="2769"/>
      <c r="E790" s="2993"/>
      <c r="F790" s="3872"/>
      <c r="G790" s="2754"/>
      <c r="H790" s="2752"/>
      <c r="I790" s="2753"/>
      <c r="J790" s="2755"/>
      <c r="K790" s="2755"/>
      <c r="L790" s="2755"/>
      <c r="M790" s="2755"/>
      <c r="N790" s="2768"/>
    </row>
    <row r="791" spans="2:14" ht="18.75" hidden="1" customHeight="1" x14ac:dyDescent="0.25">
      <c r="B791" s="440"/>
      <c r="C791" s="2471" t="s">
        <v>4980</v>
      </c>
      <c r="D791" s="2744">
        <f>D792+D801+D805</f>
        <v>1800000000</v>
      </c>
      <c r="E791" s="2670">
        <f>D791/D633*100</f>
        <v>1.3024148254169003</v>
      </c>
      <c r="F791" s="3850"/>
      <c r="G791" s="2886"/>
      <c r="H791" s="2672"/>
      <c r="I791" s="2987"/>
      <c r="J791" s="2887"/>
      <c r="K791" s="2887"/>
      <c r="L791" s="2744"/>
      <c r="M791" s="2987"/>
      <c r="N791" s="2837"/>
    </row>
    <row r="792" spans="2:14" ht="18" hidden="1" customHeight="1" x14ac:dyDescent="0.25">
      <c r="B792" s="441"/>
      <c r="C792" s="2472" t="s">
        <v>4981</v>
      </c>
      <c r="D792" s="2759">
        <f>SUM(D793:D799)</f>
        <v>1250000000</v>
      </c>
      <c r="E792" s="2677">
        <f>D792/D633*100</f>
        <v>0.90445473987284741</v>
      </c>
      <c r="F792" s="3855"/>
      <c r="G792" s="2929"/>
      <c r="H792" s="2695"/>
      <c r="I792" s="3005"/>
      <c r="J792" s="2930"/>
      <c r="K792" s="2930"/>
      <c r="L792" s="2965"/>
      <c r="M792" s="3005"/>
      <c r="N792" s="2837"/>
    </row>
    <row r="793" spans="2:14" ht="17.25" hidden="1" customHeight="1" x14ac:dyDescent="0.25">
      <c r="B793" s="448"/>
      <c r="C793" s="2473" t="s">
        <v>4982</v>
      </c>
      <c r="D793" s="896">
        <v>150000000</v>
      </c>
      <c r="E793" s="2967">
        <f>D793/D633*100</f>
        <v>0.1085345687847417</v>
      </c>
      <c r="F793" s="3868"/>
      <c r="G793" s="2726"/>
      <c r="H793" s="2690"/>
      <c r="I793" s="2757"/>
      <c r="J793" s="2920"/>
      <c r="K793" s="2726"/>
      <c r="L793" s="2690"/>
      <c r="M793" s="2757"/>
      <c r="N793" s="2951"/>
    </row>
    <row r="794" spans="2:14" ht="16.5" hidden="1" customHeight="1" x14ac:dyDescent="0.25">
      <c r="B794" s="448"/>
      <c r="C794" s="2473" t="s">
        <v>4983</v>
      </c>
      <c r="D794" s="896">
        <v>200000000</v>
      </c>
      <c r="E794" s="2967">
        <f>D794/D633*100</f>
        <v>0.14471275837965558</v>
      </c>
      <c r="F794" s="3868"/>
      <c r="G794" s="2726"/>
      <c r="H794" s="2968"/>
      <c r="I794" s="2757"/>
      <c r="J794" s="2920"/>
      <c r="K794" s="2726"/>
      <c r="L794" s="2726"/>
      <c r="M794" s="2757"/>
      <c r="N794" s="2951"/>
    </row>
    <row r="795" spans="2:14" ht="14.25" hidden="1" customHeight="1" x14ac:dyDescent="0.25">
      <c r="B795" s="448"/>
      <c r="C795" s="2473" t="s">
        <v>4984</v>
      </c>
      <c r="D795" s="896">
        <v>150000000</v>
      </c>
      <c r="E795" s="2967">
        <f>D795/D633*100</f>
        <v>0.1085345687847417</v>
      </c>
      <c r="F795" s="3853"/>
      <c r="G795" s="2921"/>
      <c r="H795" s="2695"/>
      <c r="I795" s="2970"/>
      <c r="J795" s="915"/>
      <c r="K795" s="915"/>
      <c r="L795" s="2965"/>
      <c r="M795" s="2970"/>
      <c r="N795" s="2951"/>
    </row>
    <row r="796" spans="2:14" ht="14.25" hidden="1" customHeight="1" x14ac:dyDescent="0.25">
      <c r="B796" s="448"/>
      <c r="C796" s="2473" t="s">
        <v>4985</v>
      </c>
      <c r="D796" s="896">
        <v>200000000</v>
      </c>
      <c r="E796" s="2967">
        <f>D796/D633*100</f>
        <v>0.14471275837965558</v>
      </c>
      <c r="F796" s="3868"/>
      <c r="G796" s="2726"/>
      <c r="H796" s="2690"/>
      <c r="I796" s="2757"/>
      <c r="J796" s="2920"/>
      <c r="K796" s="2726"/>
      <c r="L796" s="2690"/>
      <c r="M796" s="2757"/>
      <c r="N796" s="2951"/>
    </row>
    <row r="797" spans="2:14" ht="14.25" hidden="1" customHeight="1" x14ac:dyDescent="0.25">
      <c r="B797" s="448"/>
      <c r="C797" s="2473" t="s">
        <v>4986</v>
      </c>
      <c r="D797" s="896">
        <v>200000000</v>
      </c>
      <c r="E797" s="2967">
        <f>D797/D633*100</f>
        <v>0.14471275837965558</v>
      </c>
      <c r="F797" s="3868"/>
      <c r="G797" s="2726"/>
      <c r="H797" s="2690"/>
      <c r="I797" s="3042"/>
      <c r="J797" s="2920"/>
      <c r="K797" s="896"/>
      <c r="L797" s="3081"/>
      <c r="M797" s="896"/>
      <c r="N797" s="2951"/>
    </row>
    <row r="798" spans="2:14" ht="14.25" hidden="1" customHeight="1" x14ac:dyDescent="0.25">
      <c r="B798" s="441"/>
      <c r="C798" s="2473" t="s">
        <v>4987</v>
      </c>
      <c r="D798" s="896">
        <v>200000000</v>
      </c>
      <c r="E798" s="2967">
        <f>D798/D633*100</f>
        <v>0.14471275837965558</v>
      </c>
      <c r="F798" s="3853"/>
      <c r="G798" s="2921"/>
      <c r="H798" s="2695"/>
      <c r="I798" s="2970"/>
      <c r="J798" s="915"/>
      <c r="K798" s="915"/>
      <c r="L798" s="2965"/>
      <c r="M798" s="2970"/>
      <c r="N798" s="2837"/>
    </row>
    <row r="799" spans="2:14" ht="14.25" hidden="1" customHeight="1" x14ac:dyDescent="0.25">
      <c r="B799" s="448"/>
      <c r="C799" s="2473" t="s">
        <v>4988</v>
      </c>
      <c r="D799" s="896">
        <v>150000000</v>
      </c>
      <c r="E799" s="2967">
        <f>D799/D633*100</f>
        <v>0.1085345687847417</v>
      </c>
      <c r="F799" s="3868"/>
      <c r="G799" s="2726"/>
      <c r="H799" s="2690"/>
      <c r="I799" s="2757"/>
      <c r="J799" s="2920"/>
      <c r="K799" s="2726"/>
      <c r="L799" s="2690"/>
      <c r="M799" s="2757"/>
      <c r="N799" s="2951"/>
    </row>
    <row r="800" spans="2:14" ht="9.75" hidden="1" customHeight="1" x14ac:dyDescent="0.25">
      <c r="B800" s="448"/>
      <c r="C800" s="2476"/>
      <c r="D800" s="2709"/>
      <c r="E800" s="2967" t="s">
        <v>809</v>
      </c>
      <c r="F800" s="4430"/>
      <c r="G800" s="2739"/>
      <c r="H800" s="2690"/>
      <c r="I800" s="2742"/>
      <c r="J800" s="2903"/>
      <c r="K800" s="2739"/>
      <c r="L800" s="2690"/>
      <c r="M800" s="2757"/>
      <c r="N800" s="2951"/>
    </row>
    <row r="801" spans="2:14" ht="16.5" hidden="1" customHeight="1" x14ac:dyDescent="0.25">
      <c r="B801" s="441"/>
      <c r="C801" s="2474" t="s">
        <v>4989</v>
      </c>
      <c r="D801" s="899">
        <f>SUM(D802:D803)</f>
        <v>350000000</v>
      </c>
      <c r="E801" s="2677">
        <f>D801/D633*100</f>
        <v>0.2532473271643973</v>
      </c>
      <c r="F801" s="3853"/>
      <c r="G801" s="2965"/>
      <c r="H801" s="2695"/>
      <c r="I801" s="2970"/>
      <c r="J801" s="899"/>
      <c r="K801" s="899"/>
      <c r="L801" s="899"/>
      <c r="M801" s="899"/>
      <c r="N801" s="2837"/>
    </row>
    <row r="802" spans="2:14" ht="14.25" hidden="1" customHeight="1" x14ac:dyDescent="0.25">
      <c r="B802" s="441"/>
      <c r="C802" s="2473" t="s">
        <v>4990</v>
      </c>
      <c r="D802" s="896">
        <v>150000000</v>
      </c>
      <c r="E802" s="2967">
        <f>D802/D633*100</f>
        <v>0.1085345687847417</v>
      </c>
      <c r="F802" s="3868"/>
      <c r="G802" s="2726"/>
      <c r="H802" s="2690"/>
      <c r="I802" s="2757"/>
      <c r="J802" s="898"/>
      <c r="K802" s="898"/>
      <c r="L802" s="898"/>
      <c r="M802" s="898"/>
      <c r="N802" s="2768"/>
    </row>
    <row r="803" spans="2:14" ht="14.25" hidden="1" customHeight="1" x14ac:dyDescent="0.25">
      <c r="B803" s="441"/>
      <c r="C803" s="2473" t="s">
        <v>4991</v>
      </c>
      <c r="D803" s="896">
        <v>200000000</v>
      </c>
      <c r="E803" s="2967">
        <f>D803/D633*100</f>
        <v>0.14471275837965558</v>
      </c>
      <c r="F803" s="3868"/>
      <c r="G803" s="2726"/>
      <c r="H803" s="2690"/>
      <c r="I803" s="2757"/>
      <c r="J803" s="898"/>
      <c r="K803" s="898"/>
      <c r="L803" s="898"/>
      <c r="M803" s="898"/>
      <c r="N803" s="2768"/>
    </row>
    <row r="804" spans="2:14" ht="8.25" hidden="1" customHeight="1" x14ac:dyDescent="0.25">
      <c r="B804" s="441"/>
      <c r="C804" s="2473"/>
      <c r="D804" s="896"/>
      <c r="E804" s="2969"/>
      <c r="F804" s="3868"/>
      <c r="G804" s="2726"/>
      <c r="H804" s="2690"/>
      <c r="I804" s="2757"/>
      <c r="J804" s="898"/>
      <c r="K804" s="898"/>
      <c r="L804" s="898"/>
      <c r="M804" s="898"/>
      <c r="N804" s="2768"/>
    </row>
    <row r="805" spans="2:14" ht="14.25" hidden="1" customHeight="1" x14ac:dyDescent="0.25">
      <c r="B805" s="441"/>
      <c r="C805" s="2474" t="s">
        <v>4992</v>
      </c>
      <c r="D805" s="899">
        <f>D806</f>
        <v>200000000</v>
      </c>
      <c r="E805" s="2677">
        <f>D805/D633*100</f>
        <v>0.14471275837965558</v>
      </c>
      <c r="F805" s="3853"/>
      <c r="G805" s="2965"/>
      <c r="H805" s="2695"/>
      <c r="I805" s="2970"/>
      <c r="J805" s="899"/>
      <c r="K805" s="899"/>
      <c r="L805" s="899"/>
      <c r="M805" s="899"/>
      <c r="N805" s="2837"/>
    </row>
    <row r="806" spans="2:14" ht="14.25" hidden="1" customHeight="1" x14ac:dyDescent="0.25">
      <c r="B806" s="441"/>
      <c r="C806" s="2473" t="s">
        <v>4993</v>
      </c>
      <c r="D806" s="896">
        <v>200000000</v>
      </c>
      <c r="E806" s="2967">
        <f>D806/D633*100</f>
        <v>0.14471275837965558</v>
      </c>
      <c r="F806" s="3868"/>
      <c r="G806" s="2726"/>
      <c r="H806" s="2690"/>
      <c r="I806" s="2757"/>
      <c r="J806" s="898"/>
      <c r="K806" s="898"/>
      <c r="L806" s="898"/>
      <c r="M806" s="898"/>
      <c r="N806" s="2768"/>
    </row>
    <row r="807" spans="2:14" ht="14.25" hidden="1" customHeight="1" x14ac:dyDescent="0.25">
      <c r="B807" s="441"/>
      <c r="C807" s="2531"/>
      <c r="D807" s="2769"/>
      <c r="E807" s="3002"/>
      <c r="F807" s="3872"/>
      <c r="G807" s="2754"/>
      <c r="H807" s="2752"/>
      <c r="I807" s="2753"/>
      <c r="J807" s="2755"/>
      <c r="K807" s="2755"/>
      <c r="L807" s="2755"/>
      <c r="M807" s="2755"/>
      <c r="N807" s="2768"/>
    </row>
    <row r="808" spans="2:14" ht="20.25" hidden="1" customHeight="1" x14ac:dyDescent="0.25">
      <c r="B808" s="440"/>
      <c r="C808" s="2471" t="s">
        <v>4994</v>
      </c>
      <c r="D808" s="2744">
        <f>D809</f>
        <v>300000000</v>
      </c>
      <c r="E808" s="2670">
        <f>D808/D633*100</f>
        <v>0.2170691375694834</v>
      </c>
      <c r="F808" s="3850"/>
      <c r="G808" s="2674"/>
      <c r="H808" s="2674"/>
      <c r="I808" s="2674"/>
      <c r="J808" s="2887"/>
      <c r="K808" s="2887"/>
      <c r="L808" s="2744"/>
      <c r="M808" s="2744"/>
      <c r="N808" s="2768"/>
    </row>
    <row r="809" spans="2:14" ht="14.25" hidden="1" customHeight="1" x14ac:dyDescent="0.25">
      <c r="B809" s="441"/>
      <c r="C809" s="2478" t="s">
        <v>4995</v>
      </c>
      <c r="D809" s="2751">
        <f>SUM(D810:D810)</f>
        <v>300000000</v>
      </c>
      <c r="E809" s="2677">
        <f>D809/D633*100</f>
        <v>0.2170691375694834</v>
      </c>
      <c r="F809" s="3851"/>
      <c r="G809" s="3080"/>
      <c r="H809" s="3080"/>
      <c r="I809" s="3080"/>
      <c r="J809" s="2901"/>
      <c r="K809" s="2901"/>
      <c r="L809" s="2965"/>
      <c r="M809" s="2751"/>
      <c r="N809" s="2768"/>
    </row>
    <row r="810" spans="2:14" ht="14.25" hidden="1" customHeight="1" x14ac:dyDescent="0.25">
      <c r="B810" s="441"/>
      <c r="C810" s="2473" t="s">
        <v>4996</v>
      </c>
      <c r="D810" s="896">
        <v>300000000</v>
      </c>
      <c r="E810" s="2967">
        <f>D810/D633*100</f>
        <v>0.2170691375694834</v>
      </c>
      <c r="F810" s="3868"/>
      <c r="G810" s="2726"/>
      <c r="H810" s="2726"/>
      <c r="I810" s="2726"/>
      <c r="J810" s="2920"/>
      <c r="K810" s="2726"/>
      <c r="L810" s="2726"/>
      <c r="M810" s="2726"/>
      <c r="N810" s="2768"/>
    </row>
    <row r="811" spans="2:14" ht="14.25" hidden="1" customHeight="1" x14ac:dyDescent="0.25">
      <c r="B811" s="441"/>
      <c r="C811" s="2531"/>
      <c r="D811" s="2769"/>
      <c r="E811" s="3002"/>
      <c r="F811" s="3872"/>
      <c r="G811" s="2754"/>
      <c r="H811" s="2752"/>
      <c r="I811" s="2753"/>
      <c r="J811" s="2755"/>
      <c r="K811" s="2755"/>
      <c r="L811" s="2755"/>
      <c r="M811" s="2755"/>
      <c r="N811" s="2768"/>
    </row>
    <row r="812" spans="2:14" ht="16.5" hidden="1" customHeight="1" x14ac:dyDescent="0.25">
      <c r="B812" s="440"/>
      <c r="C812" s="2471" t="s">
        <v>4997</v>
      </c>
      <c r="D812" s="2744">
        <f>D813</f>
        <v>450000000</v>
      </c>
      <c r="E812" s="2670">
        <f>D812/D633*100</f>
        <v>0.32560370635422509</v>
      </c>
      <c r="F812" s="3850"/>
      <c r="G812" s="2886"/>
      <c r="H812" s="2672"/>
      <c r="I812" s="2987"/>
      <c r="J812" s="2887"/>
      <c r="K812" s="2887"/>
      <c r="L812" s="2744"/>
      <c r="M812" s="2744"/>
      <c r="N812" s="2768"/>
    </row>
    <row r="813" spans="2:14" ht="17.25" hidden="1" customHeight="1" x14ac:dyDescent="0.25">
      <c r="B813" s="441"/>
      <c r="C813" s="2478" t="s">
        <v>4998</v>
      </c>
      <c r="D813" s="2751">
        <f>SUM(D814:D814)</f>
        <v>450000000</v>
      </c>
      <c r="E813" s="2677">
        <f>D813/D633*100</f>
        <v>0.32560370635422509</v>
      </c>
      <c r="F813" s="3851"/>
      <c r="G813" s="2899"/>
      <c r="H813" s="2695"/>
      <c r="I813" s="3009"/>
      <c r="J813" s="2901"/>
      <c r="K813" s="2901"/>
      <c r="L813" s="2965"/>
      <c r="M813" s="2751"/>
      <c r="N813" s="2768"/>
    </row>
    <row r="814" spans="2:14" ht="18" hidden="1" customHeight="1" x14ac:dyDescent="0.25">
      <c r="B814" s="441"/>
      <c r="C814" s="2473" t="s">
        <v>4999</v>
      </c>
      <c r="D814" s="896">
        <v>450000000</v>
      </c>
      <c r="E814" s="2967">
        <f>D814/D633*100</f>
        <v>0.32560370635422509</v>
      </c>
      <c r="F814" s="3868"/>
      <c r="G814" s="2726"/>
      <c r="H814" s="2690"/>
      <c r="I814" s="2757"/>
      <c r="J814" s="2920"/>
      <c r="K814" s="896"/>
      <c r="L814" s="2690"/>
      <c r="M814" s="896"/>
      <c r="N814" s="2768"/>
    </row>
    <row r="815" spans="2:14" ht="14.25" hidden="1" customHeight="1" x14ac:dyDescent="0.25">
      <c r="B815" s="441"/>
      <c r="C815" s="2531"/>
      <c r="D815" s="2769"/>
      <c r="E815" s="3002"/>
      <c r="F815" s="3872"/>
      <c r="G815" s="2754"/>
      <c r="H815" s="2752"/>
      <c r="I815" s="2753"/>
      <c r="J815" s="2755"/>
      <c r="K815" s="2755"/>
      <c r="L815" s="2755"/>
      <c r="M815" s="2755"/>
      <c r="N815" s="2768"/>
    </row>
    <row r="816" spans="2:14" ht="16.5" hidden="1" customHeight="1" x14ac:dyDescent="0.25">
      <c r="B816" s="440"/>
      <c r="C816" s="2471" t="s">
        <v>5000</v>
      </c>
      <c r="D816" s="2744">
        <f>SUM(D817+D825)</f>
        <v>750000000</v>
      </c>
      <c r="E816" s="2670">
        <f>D816/D633*100</f>
        <v>0.54267284392370851</v>
      </c>
      <c r="F816" s="3850"/>
      <c r="G816" s="2674"/>
      <c r="H816" s="2674"/>
      <c r="I816" s="2674"/>
      <c r="J816" s="2887"/>
      <c r="K816" s="2887"/>
      <c r="L816" s="2744"/>
      <c r="M816" s="2987"/>
      <c r="N816" s="2837"/>
    </row>
    <row r="817" spans="2:14" ht="29.25" hidden="1" customHeight="1" x14ac:dyDescent="0.25">
      <c r="B817" s="441"/>
      <c r="C817" s="2472" t="s">
        <v>5001</v>
      </c>
      <c r="D817" s="2759">
        <f>SUM(D818:D823)</f>
        <v>500000000</v>
      </c>
      <c r="E817" s="2677">
        <f>D817/D633*100</f>
        <v>0.36178189594913895</v>
      </c>
      <c r="F817" s="3855"/>
      <c r="G817" s="3080"/>
      <c r="H817" s="3080"/>
      <c r="I817" s="3080"/>
      <c r="J817" s="2930"/>
      <c r="K817" s="2930"/>
      <c r="L817" s="2965"/>
      <c r="M817" s="3043"/>
      <c r="N817" s="2837"/>
    </row>
    <row r="818" spans="2:14" ht="17.25" hidden="1" customHeight="1" x14ac:dyDescent="0.25">
      <c r="B818" s="441"/>
      <c r="C818" s="2476" t="s">
        <v>5002</v>
      </c>
      <c r="D818" s="2709">
        <v>0</v>
      </c>
      <c r="E818" s="2683">
        <f>D818/D633*100</f>
        <v>0</v>
      </c>
      <c r="F818" s="4430"/>
      <c r="G818" s="2739"/>
      <c r="H818" s="2739"/>
      <c r="I818" s="2739"/>
      <c r="J818" s="911"/>
      <c r="K818" s="911"/>
      <c r="L818" s="911"/>
      <c r="M818" s="911"/>
      <c r="N818" s="2768"/>
    </row>
    <row r="819" spans="2:14" ht="15.75" hidden="1" customHeight="1" x14ac:dyDescent="0.25">
      <c r="B819" s="441"/>
      <c r="C819" s="2473" t="s">
        <v>5003</v>
      </c>
      <c r="D819" s="896">
        <v>150000000</v>
      </c>
      <c r="E819" s="2683">
        <f>D819/D633*100</f>
        <v>0.1085345687847417</v>
      </c>
      <c r="F819" s="3868"/>
      <c r="G819" s="2726"/>
      <c r="H819" s="2726"/>
      <c r="I819" s="2726"/>
      <c r="J819" s="898"/>
      <c r="K819" s="898"/>
      <c r="L819" s="898"/>
      <c r="M819" s="898"/>
      <c r="N819" s="2768"/>
    </row>
    <row r="820" spans="2:14" ht="15" hidden="1" customHeight="1" x14ac:dyDescent="0.25">
      <c r="B820" s="441"/>
      <c r="C820" s="2473" t="s">
        <v>5004</v>
      </c>
      <c r="D820" s="3661" t="s">
        <v>3317</v>
      </c>
      <c r="E820" s="2683">
        <v>0</v>
      </c>
      <c r="F820" s="3868"/>
      <c r="G820" s="2726"/>
      <c r="H820" s="2726"/>
      <c r="I820" s="2726"/>
      <c r="J820" s="898"/>
      <c r="K820" s="898"/>
      <c r="L820" s="898"/>
      <c r="M820" s="898"/>
      <c r="N820" s="2768"/>
    </row>
    <row r="821" spans="2:14" ht="14.25" hidden="1" customHeight="1" x14ac:dyDescent="0.25">
      <c r="B821" s="441"/>
      <c r="C821" s="2473" t="s">
        <v>5006</v>
      </c>
      <c r="D821" s="896">
        <v>0</v>
      </c>
      <c r="E821" s="2683">
        <f>D821/D633*100</f>
        <v>0</v>
      </c>
      <c r="F821" s="3868"/>
      <c r="G821" s="2726"/>
      <c r="H821" s="2726"/>
      <c r="I821" s="2726"/>
      <c r="J821" s="898"/>
      <c r="K821" s="898"/>
      <c r="L821" s="898"/>
      <c r="M821" s="898"/>
      <c r="N821" s="2768"/>
    </row>
    <row r="822" spans="2:14" ht="14.25" hidden="1" customHeight="1" x14ac:dyDescent="0.25">
      <c r="B822" s="441"/>
      <c r="C822" s="2473" t="s">
        <v>5005</v>
      </c>
      <c r="D822" s="896">
        <v>200000000</v>
      </c>
      <c r="E822" s="2683">
        <f>D822/D633*100</f>
        <v>0.14471275837965558</v>
      </c>
      <c r="F822" s="3868"/>
      <c r="G822" s="2726"/>
      <c r="H822" s="2726"/>
      <c r="I822" s="2726"/>
      <c r="J822" s="898"/>
      <c r="K822" s="898"/>
      <c r="L822" s="898"/>
      <c r="M822" s="898"/>
      <c r="N822" s="2768"/>
    </row>
    <row r="823" spans="2:14" ht="14.25" hidden="1" customHeight="1" x14ac:dyDescent="0.25">
      <c r="B823" s="441"/>
      <c r="C823" s="2473" t="s">
        <v>5007</v>
      </c>
      <c r="D823" s="896">
        <v>150000000</v>
      </c>
      <c r="E823" s="2683">
        <f>D823/D633*100</f>
        <v>0.1085345687847417</v>
      </c>
      <c r="F823" s="3868"/>
      <c r="G823" s="2726"/>
      <c r="H823" s="2726"/>
      <c r="I823" s="2726"/>
      <c r="J823" s="898"/>
      <c r="K823" s="898"/>
      <c r="L823" s="898"/>
      <c r="M823" s="898"/>
      <c r="N823" s="2768"/>
    </row>
    <row r="824" spans="2:14" ht="10.5" hidden="1" customHeight="1" x14ac:dyDescent="0.25">
      <c r="B824" s="441"/>
      <c r="C824" s="2517"/>
      <c r="D824" s="896"/>
      <c r="E824" s="2969"/>
      <c r="F824" s="3868"/>
      <c r="G824" s="2726"/>
      <c r="H824" s="2726"/>
      <c r="I824" s="2726"/>
      <c r="J824" s="898"/>
      <c r="K824" s="898"/>
      <c r="L824" s="898"/>
      <c r="M824" s="898"/>
      <c r="N824" s="2768"/>
    </row>
    <row r="825" spans="2:14" ht="16.5" hidden="1" customHeight="1" x14ac:dyDescent="0.25">
      <c r="B825" s="441"/>
      <c r="C825" s="2474" t="s">
        <v>5008</v>
      </c>
      <c r="D825" s="899">
        <f>D826</f>
        <v>250000000</v>
      </c>
      <c r="E825" s="2677">
        <f>D825/D633*100</f>
        <v>0.18089094797456948</v>
      </c>
      <c r="F825" s="3868"/>
      <c r="G825" s="2726"/>
      <c r="H825" s="2726"/>
      <c r="I825" s="2726"/>
      <c r="J825" s="898"/>
      <c r="K825" s="898"/>
      <c r="L825" s="898"/>
      <c r="M825" s="898"/>
      <c r="N825" s="2768"/>
    </row>
    <row r="826" spans="2:14" ht="16.5" hidden="1" customHeight="1" x14ac:dyDescent="0.25">
      <c r="B826" s="441"/>
      <c r="C826" s="2473" t="s">
        <v>5009</v>
      </c>
      <c r="D826" s="896">
        <v>250000000</v>
      </c>
      <c r="E826" s="2683">
        <f>D826/D633*100</f>
        <v>0.18089094797456948</v>
      </c>
      <c r="F826" s="3868"/>
      <c r="G826" s="2726"/>
      <c r="H826" s="2726"/>
      <c r="I826" s="2726"/>
      <c r="J826" s="898"/>
      <c r="K826" s="898"/>
      <c r="L826" s="898"/>
      <c r="M826" s="898"/>
      <c r="N826" s="2768"/>
    </row>
    <row r="827" spans="2:14" ht="14.25" hidden="1" customHeight="1" x14ac:dyDescent="0.25">
      <c r="B827" s="441"/>
      <c r="C827" s="2531"/>
      <c r="D827" s="2769"/>
      <c r="E827" s="3002"/>
      <c r="F827" s="3872"/>
      <c r="G827" s="2754"/>
      <c r="H827" s="2754"/>
      <c r="I827" s="2754"/>
      <c r="J827" s="2755"/>
      <c r="K827" s="2755"/>
      <c r="L827" s="2755"/>
      <c r="M827" s="2755"/>
      <c r="N827" s="2768"/>
    </row>
    <row r="828" spans="2:14" ht="18" hidden="1" customHeight="1" x14ac:dyDescent="0.25">
      <c r="B828" s="440"/>
      <c r="C828" s="2471" t="s">
        <v>5010</v>
      </c>
      <c r="D828" s="2744">
        <f>SUM(D829+D832)</f>
        <v>1600000000</v>
      </c>
      <c r="E828" s="2670">
        <f>D828/D633*100</f>
        <v>1.1577020670372447</v>
      </c>
      <c r="F828" s="3850"/>
      <c r="G828" s="2674"/>
      <c r="H828" s="2674"/>
      <c r="I828" s="2674"/>
      <c r="J828" s="2887"/>
      <c r="K828" s="2887"/>
      <c r="L828" s="2744"/>
      <c r="M828" s="2987"/>
      <c r="N828" s="2837"/>
    </row>
    <row r="829" spans="2:14" ht="16.5" hidden="1" customHeight="1" x14ac:dyDescent="0.25">
      <c r="B829" s="441"/>
      <c r="C829" s="2472" t="s">
        <v>5011</v>
      </c>
      <c r="D829" s="2759">
        <f>D830</f>
        <v>1200000000</v>
      </c>
      <c r="E829" s="2677">
        <f>D829/D633*100</f>
        <v>0.8682765502779336</v>
      </c>
      <c r="F829" s="3855"/>
      <c r="G829" s="3080"/>
      <c r="H829" s="3080"/>
      <c r="I829" s="3080"/>
      <c r="J829" s="2930"/>
      <c r="K829" s="2930"/>
      <c r="L829" s="2965"/>
      <c r="M829" s="3043"/>
      <c r="N829" s="2837"/>
    </row>
    <row r="830" spans="2:14" ht="18.75" hidden="1" customHeight="1" x14ac:dyDescent="0.25">
      <c r="B830" s="448"/>
      <c r="C830" s="2473" t="s">
        <v>5012</v>
      </c>
      <c r="D830" s="896">
        <v>1200000000</v>
      </c>
      <c r="E830" s="2967">
        <f>D830/D633*100</f>
        <v>0.8682765502779336</v>
      </c>
      <c r="F830" s="3868"/>
      <c r="G830" s="2726"/>
      <c r="H830" s="2726"/>
      <c r="I830" s="2726"/>
      <c r="J830" s="2920"/>
      <c r="K830" s="2920"/>
      <c r="L830" s="2690"/>
      <c r="M830" s="2757"/>
      <c r="N830" s="2951"/>
    </row>
    <row r="831" spans="2:14" ht="11.25" hidden="1" customHeight="1" x14ac:dyDescent="0.25">
      <c r="B831" s="448"/>
      <c r="C831" s="2476"/>
      <c r="D831" s="2709"/>
      <c r="E831" s="2985"/>
      <c r="F831" s="4430"/>
      <c r="G831" s="2739"/>
      <c r="H831" s="2739"/>
      <c r="I831" s="2739"/>
      <c r="J831" s="2920"/>
      <c r="K831" s="2920"/>
      <c r="L831" s="2690"/>
      <c r="M831" s="2757"/>
      <c r="N831" s="2951"/>
    </row>
    <row r="832" spans="2:14" ht="30" hidden="1" customHeight="1" x14ac:dyDescent="0.25">
      <c r="B832" s="441"/>
      <c r="C832" s="2474" t="s">
        <v>5013</v>
      </c>
      <c r="D832" s="899">
        <f>D833</f>
        <v>400000000</v>
      </c>
      <c r="E832" s="2969">
        <f>D832/D633*100</f>
        <v>0.28942551675931116</v>
      </c>
      <c r="F832" s="3868"/>
      <c r="G832" s="2726"/>
      <c r="H832" s="2726"/>
      <c r="I832" s="2726"/>
      <c r="J832" s="898"/>
      <c r="K832" s="898"/>
      <c r="L832" s="898"/>
      <c r="M832" s="898"/>
      <c r="N832" s="2768"/>
    </row>
    <row r="833" spans="2:14" ht="29.25" hidden="1" customHeight="1" x14ac:dyDescent="0.25">
      <c r="B833" s="441"/>
      <c r="C833" s="2473" t="s">
        <v>5014</v>
      </c>
      <c r="D833" s="896">
        <v>400000000</v>
      </c>
      <c r="E833" s="2967">
        <f>D833/D633*100</f>
        <v>0.28942551675931116</v>
      </c>
      <c r="F833" s="3868"/>
      <c r="G833" s="2726"/>
      <c r="H833" s="2726"/>
      <c r="I833" s="2726"/>
      <c r="J833" s="898"/>
      <c r="K833" s="898"/>
      <c r="L833" s="898"/>
      <c r="M833" s="898"/>
      <c r="N833" s="2768"/>
    </row>
    <row r="834" spans="2:14" ht="14.25" hidden="1" customHeight="1" x14ac:dyDescent="0.25">
      <c r="B834" s="441"/>
      <c r="C834" s="2531"/>
      <c r="D834" s="2769"/>
      <c r="E834" s="3002"/>
      <c r="F834" s="3872"/>
      <c r="G834" s="2754"/>
      <c r="H834" s="2754"/>
      <c r="I834" s="2754"/>
      <c r="J834" s="2755"/>
      <c r="K834" s="2755"/>
      <c r="L834" s="2755"/>
      <c r="M834" s="2755"/>
      <c r="N834" s="2768"/>
    </row>
    <row r="835" spans="2:14" ht="20.25" hidden="1" customHeight="1" x14ac:dyDescent="0.25">
      <c r="B835" s="440"/>
      <c r="C835" s="2471" t="s">
        <v>5015</v>
      </c>
      <c r="D835" s="2744">
        <f>D836</f>
        <v>850000000</v>
      </c>
      <c r="E835" s="2670">
        <f>D835/D633*100</f>
        <v>0.61502922311353625</v>
      </c>
      <c r="F835" s="3850"/>
      <c r="G835" s="2674"/>
      <c r="H835" s="2674"/>
      <c r="I835" s="2674"/>
      <c r="J835" s="2887"/>
      <c r="K835" s="2887"/>
      <c r="L835" s="2744"/>
      <c r="M835" s="2987"/>
      <c r="N835" s="2837"/>
    </row>
    <row r="836" spans="2:14" ht="15.75" hidden="1" customHeight="1" x14ac:dyDescent="0.25">
      <c r="B836" s="441"/>
      <c r="C836" s="2472" t="s">
        <v>5016</v>
      </c>
      <c r="D836" s="2759">
        <f>SUM(D837:D839)</f>
        <v>850000000</v>
      </c>
      <c r="E836" s="2677">
        <f>D836/D633*100</f>
        <v>0.61502922311353625</v>
      </c>
      <c r="F836" s="3855"/>
      <c r="G836" s="3080"/>
      <c r="H836" s="3080"/>
      <c r="I836" s="3080"/>
      <c r="J836" s="2930"/>
      <c r="K836" s="2930"/>
      <c r="L836" s="2965"/>
      <c r="M836" s="3043"/>
      <c r="N836" s="2837"/>
    </row>
    <row r="837" spans="2:14" ht="15.75" hidden="1" customHeight="1" x14ac:dyDescent="0.25">
      <c r="B837" s="448"/>
      <c r="C837" s="2473" t="s">
        <v>5017</v>
      </c>
      <c r="D837" s="896">
        <v>400000000</v>
      </c>
      <c r="E837" s="2967">
        <f>D837/D633*100</f>
        <v>0.28942551675931116</v>
      </c>
      <c r="F837" s="3868"/>
      <c r="G837" s="2726"/>
      <c r="H837" s="2726"/>
      <c r="I837" s="2726"/>
      <c r="J837" s="2920"/>
      <c r="K837" s="2920"/>
      <c r="L837" s="2690"/>
      <c r="M837" s="2757"/>
      <c r="N837" s="2951"/>
    </row>
    <row r="838" spans="2:14" ht="17.25" hidden="1" customHeight="1" x14ac:dyDescent="0.25">
      <c r="B838" s="448"/>
      <c r="C838" s="2476" t="s">
        <v>5018</v>
      </c>
      <c r="D838" s="2709">
        <v>250000000</v>
      </c>
      <c r="E838" s="2967">
        <f>D838/D633*100</f>
        <v>0.18089094797456948</v>
      </c>
      <c r="F838" s="4430"/>
      <c r="G838" s="2739"/>
      <c r="H838" s="2739"/>
      <c r="I838" s="2739"/>
      <c r="J838" s="2920"/>
      <c r="K838" s="2920"/>
      <c r="L838" s="2690"/>
      <c r="M838" s="2757"/>
      <c r="N838" s="2951"/>
    </row>
    <row r="839" spans="2:14" ht="16.5" hidden="1" customHeight="1" x14ac:dyDescent="0.25">
      <c r="B839" s="448"/>
      <c r="C839" s="2476" t="s">
        <v>5019</v>
      </c>
      <c r="D839" s="2709">
        <v>200000000</v>
      </c>
      <c r="E839" s="2967">
        <f>D839/D633*100</f>
        <v>0.14471275837965558</v>
      </c>
      <c r="F839" s="4430"/>
      <c r="G839" s="2739"/>
      <c r="H839" s="2739"/>
      <c r="I839" s="2739"/>
      <c r="J839" s="2920"/>
      <c r="K839" s="2920"/>
      <c r="L839" s="2690"/>
      <c r="M839" s="2757"/>
      <c r="N839" s="2951"/>
    </row>
    <row r="840" spans="2:14" ht="14.25" hidden="1" customHeight="1" x14ac:dyDescent="0.25">
      <c r="B840" s="441"/>
      <c r="C840" s="2519"/>
      <c r="D840" s="2709"/>
      <c r="E840" s="2976"/>
      <c r="F840" s="4430"/>
      <c r="G840" s="2739"/>
      <c r="H840" s="2739"/>
      <c r="I840" s="2739"/>
      <c r="J840" s="898"/>
      <c r="K840" s="898"/>
      <c r="L840" s="898"/>
      <c r="M840" s="898"/>
      <c r="N840" s="2768"/>
    </row>
    <row r="841" spans="2:14" ht="18" hidden="1" customHeight="1" x14ac:dyDescent="0.25">
      <c r="B841" s="440"/>
      <c r="C841" s="2471" t="s">
        <v>5020</v>
      </c>
      <c r="D841" s="2744">
        <f>D842</f>
        <v>300000000</v>
      </c>
      <c r="E841" s="2670">
        <f>D841/D633*100</f>
        <v>0.2170691375694834</v>
      </c>
      <c r="F841" s="3850"/>
      <c r="G841" s="2674"/>
      <c r="H841" s="2674"/>
      <c r="I841" s="2674"/>
      <c r="J841" s="2887"/>
      <c r="K841" s="2887"/>
      <c r="L841" s="2744"/>
      <c r="M841" s="2987"/>
      <c r="N841" s="2837"/>
    </row>
    <row r="842" spans="2:14" ht="14.25" hidden="1" customHeight="1" x14ac:dyDescent="0.25">
      <c r="B842" s="441"/>
      <c r="C842" s="2472" t="s">
        <v>5021</v>
      </c>
      <c r="D842" s="2759">
        <f>D843</f>
        <v>300000000</v>
      </c>
      <c r="E842" s="2677">
        <f>D842/D633*100</f>
        <v>0.2170691375694834</v>
      </c>
      <c r="F842" s="3855"/>
      <c r="G842" s="3080"/>
      <c r="H842" s="3080"/>
      <c r="I842" s="3080"/>
      <c r="J842" s="2930"/>
      <c r="K842" s="2930"/>
      <c r="L842" s="2965"/>
      <c r="M842" s="3043"/>
      <c r="N842" s="2837"/>
    </row>
    <row r="843" spans="2:14" ht="14.25" hidden="1" customHeight="1" x14ac:dyDescent="0.25">
      <c r="B843" s="448"/>
      <c r="C843" s="2473" t="s">
        <v>5022</v>
      </c>
      <c r="D843" s="896">
        <v>300000000</v>
      </c>
      <c r="E843" s="2967">
        <f>D843/D633*100</f>
        <v>0.2170691375694834</v>
      </c>
      <c r="F843" s="3868"/>
      <c r="G843" s="2726"/>
      <c r="H843" s="2726"/>
      <c r="I843" s="2726"/>
      <c r="J843" s="2920"/>
      <c r="K843" s="2920"/>
      <c r="L843" s="2690"/>
      <c r="M843" s="2757"/>
      <c r="N843" s="2951"/>
    </row>
    <row r="844" spans="2:14" ht="14.25" hidden="1" customHeight="1" x14ac:dyDescent="0.25">
      <c r="B844" s="441"/>
      <c r="C844" s="2519"/>
      <c r="D844" s="2709"/>
      <c r="E844" s="2976"/>
      <c r="F844" s="4430"/>
      <c r="G844" s="2739"/>
      <c r="H844" s="2739"/>
      <c r="I844" s="2739"/>
      <c r="J844" s="898"/>
      <c r="K844" s="898"/>
      <c r="L844" s="898"/>
      <c r="M844" s="898"/>
      <c r="N844" s="2768"/>
    </row>
    <row r="845" spans="2:14" ht="18" hidden="1" customHeight="1" x14ac:dyDescent="0.25">
      <c r="B845" s="440"/>
      <c r="C845" s="2471" t="s">
        <v>5023</v>
      </c>
      <c r="D845" s="2744">
        <f>SUM(D846+D850)</f>
        <v>1284000000</v>
      </c>
      <c r="E845" s="2670">
        <f>D845/D633*100</f>
        <v>0.92905590879738886</v>
      </c>
      <c r="F845" s="3850"/>
      <c r="G845" s="2674"/>
      <c r="H845" s="2674"/>
      <c r="I845" s="2674"/>
      <c r="J845" s="2886"/>
      <c r="K845" s="2674"/>
      <c r="L845" s="2674"/>
      <c r="M845" s="2674"/>
      <c r="N845" s="2837"/>
    </row>
    <row r="846" spans="2:14" ht="15.75" hidden="1" customHeight="1" x14ac:dyDescent="0.25">
      <c r="B846" s="441"/>
      <c r="C846" s="2472" t="s">
        <v>5024</v>
      </c>
      <c r="D846" s="2759">
        <f>SUM(D847:D848)</f>
        <v>655980000</v>
      </c>
      <c r="E846" s="2677">
        <f>D846/D633*100</f>
        <v>0.47464337620943237</v>
      </c>
      <c r="F846" s="3855"/>
      <c r="G846" s="3080"/>
      <c r="H846" s="3080"/>
      <c r="I846" s="3080"/>
      <c r="J846" s="2929"/>
      <c r="K846" s="3080"/>
      <c r="L846" s="3080"/>
      <c r="M846" s="3080"/>
      <c r="N846" s="2837"/>
    </row>
    <row r="847" spans="2:14" ht="16.5" hidden="1" customHeight="1" x14ac:dyDescent="0.25">
      <c r="B847" s="448"/>
      <c r="C847" s="2473" t="s">
        <v>5025</v>
      </c>
      <c r="D847" s="896">
        <v>400000000</v>
      </c>
      <c r="E847" s="2967">
        <f>D847/D633*100</f>
        <v>0.28942551675931116</v>
      </c>
      <c r="F847" s="3868"/>
      <c r="G847" s="2726"/>
      <c r="H847" s="2726"/>
      <c r="I847" s="2726"/>
      <c r="J847" s="2919"/>
      <c r="K847" s="2726"/>
      <c r="L847" s="2726"/>
      <c r="M847" s="2726"/>
      <c r="N847" s="2951"/>
    </row>
    <row r="848" spans="2:14" ht="15" hidden="1" customHeight="1" x14ac:dyDescent="0.25">
      <c r="B848" s="441"/>
      <c r="C848" s="2476" t="s">
        <v>5026</v>
      </c>
      <c r="D848" s="2709">
        <v>255980000</v>
      </c>
      <c r="E848" s="2967">
        <f>D848/D633*100</f>
        <v>0.18521785945012118</v>
      </c>
      <c r="F848" s="4430"/>
      <c r="G848" s="2739"/>
      <c r="H848" s="2739"/>
      <c r="I848" s="2739"/>
      <c r="J848" s="911"/>
      <c r="K848" s="911"/>
      <c r="L848" s="911"/>
      <c r="M848" s="911"/>
      <c r="N848" s="2768"/>
    </row>
    <row r="849" spans="2:14" ht="14.25" hidden="1" customHeight="1" x14ac:dyDescent="0.25">
      <c r="B849" s="441"/>
      <c r="C849" s="2517"/>
      <c r="D849" s="896"/>
      <c r="E849" s="2969"/>
      <c r="F849" s="3868"/>
      <c r="G849" s="2726"/>
      <c r="H849" s="2726"/>
      <c r="I849" s="2726"/>
      <c r="J849" s="898"/>
      <c r="K849" s="898"/>
      <c r="L849" s="898"/>
      <c r="M849" s="898"/>
      <c r="N849" s="2768"/>
    </row>
    <row r="850" spans="2:14" ht="14.25" hidden="1" customHeight="1" x14ac:dyDescent="0.25">
      <c r="B850" s="441"/>
      <c r="C850" s="2474" t="s">
        <v>5027</v>
      </c>
      <c r="D850" s="899">
        <v>628020000</v>
      </c>
      <c r="E850" s="2677">
        <f>D850/D633*100</f>
        <v>0.4544125325879565</v>
      </c>
      <c r="F850" s="3868"/>
      <c r="G850" s="3018"/>
      <c r="H850" s="3018"/>
      <c r="I850" s="3018"/>
      <c r="J850" s="899"/>
      <c r="K850" s="899"/>
      <c r="L850" s="899"/>
      <c r="M850" s="899"/>
      <c r="N850" s="2837"/>
    </row>
    <row r="851" spans="2:14" ht="14.25" hidden="1" customHeight="1" x14ac:dyDescent="0.25">
      <c r="B851" s="441"/>
      <c r="C851" s="2473" t="s">
        <v>5028</v>
      </c>
      <c r="D851" s="896">
        <v>263740000</v>
      </c>
      <c r="E851" s="2967">
        <f>D851/D633*100</f>
        <v>0.19083271447525182</v>
      </c>
      <c r="F851" s="3868"/>
      <c r="G851" s="2726"/>
      <c r="H851" s="2726"/>
      <c r="I851" s="2726"/>
      <c r="J851" s="898"/>
      <c r="K851" s="898"/>
      <c r="L851" s="898"/>
      <c r="M851" s="898"/>
      <c r="N851" s="2768"/>
    </row>
    <row r="852" spans="2:14" ht="14.25" hidden="1" customHeight="1" x14ac:dyDescent="0.25">
      <c r="B852" s="441"/>
      <c r="C852" s="2473" t="s">
        <v>5029</v>
      </c>
      <c r="D852" s="896">
        <v>150285000</v>
      </c>
      <c r="E852" s="2967">
        <f>D852/D633*100</f>
        <v>0.1087407844654327</v>
      </c>
      <c r="F852" s="3868"/>
      <c r="G852" s="2726"/>
      <c r="H852" s="2726"/>
      <c r="I852" s="2726"/>
      <c r="J852" s="898"/>
      <c r="K852" s="898"/>
      <c r="L852" s="898"/>
      <c r="M852" s="898"/>
      <c r="N852" s="2768"/>
    </row>
    <row r="853" spans="2:14" ht="14.25" hidden="1" customHeight="1" x14ac:dyDescent="0.25">
      <c r="B853" s="441"/>
      <c r="C853" s="2473" t="s">
        <v>5030</v>
      </c>
      <c r="D853" s="896">
        <v>213995000</v>
      </c>
      <c r="E853" s="2967">
        <f>D853/D633*100</f>
        <v>0.154839033647272</v>
      </c>
      <c r="F853" s="3868"/>
      <c r="G853" s="2726"/>
      <c r="H853" s="2726"/>
      <c r="I853" s="2726"/>
      <c r="J853" s="898"/>
      <c r="K853" s="898"/>
      <c r="L853" s="898"/>
      <c r="M853" s="898"/>
      <c r="N853" s="2768"/>
    </row>
    <row r="854" spans="2:14" ht="14.25" hidden="1" customHeight="1" x14ac:dyDescent="0.25">
      <c r="B854" s="441"/>
      <c r="C854" s="2531"/>
      <c r="D854" s="2769"/>
      <c r="E854" s="3002"/>
      <c r="F854" s="3872"/>
      <c r="G854" s="2754"/>
      <c r="H854" s="2754"/>
      <c r="I854" s="2754"/>
      <c r="J854" s="2755"/>
      <c r="K854" s="2755"/>
      <c r="L854" s="2755"/>
      <c r="M854" s="2755"/>
      <c r="N854" s="2768"/>
    </row>
    <row r="855" spans="2:14" ht="17.25" hidden="1" customHeight="1" x14ac:dyDescent="0.25">
      <c r="B855" s="440"/>
      <c r="C855" s="2471" t="s">
        <v>5031</v>
      </c>
      <c r="D855" s="2744">
        <f>D856</f>
        <v>1400000000</v>
      </c>
      <c r="E855" s="2670">
        <f>D855/D633*100</f>
        <v>1.0129893086575892</v>
      </c>
      <c r="F855" s="3850"/>
      <c r="G855" s="2674"/>
      <c r="H855" s="2674"/>
      <c r="I855" s="2674"/>
      <c r="J855" s="2887"/>
      <c r="K855" s="2887"/>
      <c r="L855" s="2744"/>
      <c r="M855" s="2987"/>
      <c r="N855" s="2837"/>
    </row>
    <row r="856" spans="2:14" ht="16.5" hidden="1" customHeight="1" x14ac:dyDescent="0.25">
      <c r="B856" s="441"/>
      <c r="C856" s="2472" t="s">
        <v>5032</v>
      </c>
      <c r="D856" s="2759">
        <f>SUM(D857:D860)</f>
        <v>1400000000</v>
      </c>
      <c r="E856" s="2677">
        <f>D856/D633*100</f>
        <v>1.0129893086575892</v>
      </c>
      <c r="F856" s="3855"/>
      <c r="G856" s="3080"/>
      <c r="H856" s="3080"/>
      <c r="I856" s="3080"/>
      <c r="J856" s="2930"/>
      <c r="K856" s="2930"/>
      <c r="L856" s="2965"/>
      <c r="M856" s="3043"/>
      <c r="N856" s="2837"/>
    </row>
    <row r="857" spans="2:14" ht="14.25" hidden="1" customHeight="1" x14ac:dyDescent="0.25">
      <c r="B857" s="448"/>
      <c r="C857" s="2473" t="s">
        <v>5033</v>
      </c>
      <c r="D857" s="896">
        <v>400000000</v>
      </c>
      <c r="E857" s="2967">
        <f>D857/D633*100</f>
        <v>0.28942551675931116</v>
      </c>
      <c r="F857" s="3868"/>
      <c r="G857" s="2726"/>
      <c r="H857" s="2726"/>
      <c r="I857" s="2726"/>
      <c r="J857" s="2920"/>
      <c r="K857" s="2920"/>
      <c r="L857" s="2690"/>
      <c r="M857" s="2757"/>
      <c r="N857" s="2951"/>
    </row>
    <row r="858" spans="2:14" ht="14.25" hidden="1" customHeight="1" x14ac:dyDescent="0.25">
      <c r="B858" s="441"/>
      <c r="C858" s="2473" t="s">
        <v>5034</v>
      </c>
      <c r="D858" s="896">
        <v>350000000</v>
      </c>
      <c r="E858" s="2967">
        <f>D858/D633*100</f>
        <v>0.2532473271643973</v>
      </c>
      <c r="F858" s="3868"/>
      <c r="G858" s="2726"/>
      <c r="H858" s="2726"/>
      <c r="I858" s="2726"/>
      <c r="J858" s="898"/>
      <c r="K858" s="898"/>
      <c r="L858" s="898"/>
      <c r="M858" s="898"/>
      <c r="N858" s="2768"/>
    </row>
    <row r="859" spans="2:14" ht="14.25" hidden="1" customHeight="1" x14ac:dyDescent="0.25">
      <c r="B859" s="441"/>
      <c r="C859" s="2473" t="s">
        <v>5035</v>
      </c>
      <c r="D859" s="896">
        <v>350000000</v>
      </c>
      <c r="E859" s="2967">
        <f>D859/D633*100</f>
        <v>0.2532473271643973</v>
      </c>
      <c r="F859" s="3868"/>
      <c r="G859" s="2726"/>
      <c r="H859" s="2726"/>
      <c r="I859" s="2726"/>
      <c r="J859" s="898"/>
      <c r="K859" s="898"/>
      <c r="L859" s="898"/>
      <c r="M859" s="898"/>
      <c r="N859" s="2768"/>
    </row>
    <row r="860" spans="2:14" ht="14.25" hidden="1" customHeight="1" x14ac:dyDescent="0.25">
      <c r="B860" s="441"/>
      <c r="C860" s="2473" t="s">
        <v>5036</v>
      </c>
      <c r="D860" s="896">
        <v>300000000</v>
      </c>
      <c r="E860" s="2967">
        <f>D860/D633*100</f>
        <v>0.2170691375694834</v>
      </c>
      <c r="F860" s="3868"/>
      <c r="G860" s="2726"/>
      <c r="H860" s="2726"/>
      <c r="I860" s="2726"/>
      <c r="J860" s="898"/>
      <c r="K860" s="898"/>
      <c r="L860" s="898"/>
      <c r="M860" s="898"/>
      <c r="N860" s="2768"/>
    </row>
    <row r="861" spans="2:14" ht="14.25" hidden="1" customHeight="1" x14ac:dyDescent="0.25">
      <c r="B861" s="441"/>
      <c r="C861" s="2475"/>
      <c r="D861" s="2769"/>
      <c r="E861" s="3002"/>
      <c r="F861" s="3872"/>
      <c r="G861" s="2754"/>
      <c r="H861" s="2754"/>
      <c r="I861" s="2754"/>
      <c r="J861" s="2755"/>
      <c r="K861" s="2755"/>
      <c r="L861" s="2755"/>
      <c r="M861" s="2755"/>
      <c r="N861" s="2768"/>
    </row>
    <row r="862" spans="2:14" ht="14.25" hidden="1" customHeight="1" x14ac:dyDescent="0.25">
      <c r="B862" s="440"/>
      <c r="C862" s="2471" t="s">
        <v>5037</v>
      </c>
      <c r="D862" s="2744">
        <f>D863</f>
        <v>300000000</v>
      </c>
      <c r="E862" s="2670">
        <f>D862/D633*100</f>
        <v>0.2170691375694834</v>
      </c>
      <c r="F862" s="3850"/>
      <c r="G862" s="2674"/>
      <c r="H862" s="2674"/>
      <c r="I862" s="2674"/>
      <c r="J862" s="2887"/>
      <c r="K862" s="2887"/>
      <c r="L862" s="2744"/>
      <c r="M862" s="2987"/>
      <c r="N862" s="2837"/>
    </row>
    <row r="863" spans="2:14" ht="14.25" hidden="1" customHeight="1" x14ac:dyDescent="0.25">
      <c r="B863" s="441"/>
      <c r="C863" s="2472" t="s">
        <v>5038</v>
      </c>
      <c r="D863" s="2759">
        <f>D864</f>
        <v>300000000</v>
      </c>
      <c r="E863" s="2677">
        <f>D863/D633*100</f>
        <v>0.2170691375694834</v>
      </c>
      <c r="F863" s="3855"/>
      <c r="G863" s="3080"/>
      <c r="H863" s="3080"/>
      <c r="I863" s="3080"/>
      <c r="J863" s="2930"/>
      <c r="K863" s="2930"/>
      <c r="L863" s="2965"/>
      <c r="M863" s="3043"/>
      <c r="N863" s="2837"/>
    </row>
    <row r="864" spans="2:14" ht="14.25" hidden="1" customHeight="1" x14ac:dyDescent="0.25">
      <c r="B864" s="448"/>
      <c r="C864" s="2473" t="s">
        <v>5039</v>
      </c>
      <c r="D864" s="896">
        <v>300000000</v>
      </c>
      <c r="E864" s="2967">
        <f>D864/D633*100</f>
        <v>0.2170691375694834</v>
      </c>
      <c r="F864" s="3868"/>
      <c r="G864" s="2726"/>
      <c r="H864" s="2726"/>
      <c r="I864" s="2726"/>
      <c r="J864" s="2920"/>
      <c r="K864" s="2920"/>
      <c r="L864" s="2690"/>
      <c r="M864" s="2757"/>
      <c r="N864" s="2951"/>
    </row>
    <row r="865" spans="2:14" ht="14.25" hidden="1" customHeight="1" x14ac:dyDescent="0.25">
      <c r="B865" s="441"/>
      <c r="C865" s="2519"/>
      <c r="D865" s="2709"/>
      <c r="E865" s="2976"/>
      <c r="F865" s="4430"/>
      <c r="G865" s="2739"/>
      <c r="H865" s="2739"/>
      <c r="I865" s="2739"/>
      <c r="J865" s="898"/>
      <c r="K865" s="898"/>
      <c r="L865" s="898"/>
      <c r="M865" s="898"/>
      <c r="N865" s="2768"/>
    </row>
    <row r="866" spans="2:14" ht="14.25" hidden="1" customHeight="1" x14ac:dyDescent="0.25">
      <c r="B866" s="440"/>
      <c r="C866" s="2471" t="s">
        <v>5040</v>
      </c>
      <c r="D866" s="2744">
        <f>D867</f>
        <v>300000000</v>
      </c>
      <c r="E866" s="2670">
        <f>D866/D633*100</f>
        <v>0.2170691375694834</v>
      </c>
      <c r="F866" s="3850"/>
      <c r="G866" s="2674"/>
      <c r="H866" s="2674"/>
      <c r="I866" s="2674"/>
      <c r="J866" s="2887"/>
      <c r="K866" s="2887"/>
      <c r="L866" s="2744"/>
      <c r="M866" s="2987"/>
      <c r="N866" s="2837"/>
    </row>
    <row r="867" spans="2:14" ht="14.25" hidden="1" customHeight="1" x14ac:dyDescent="0.25">
      <c r="B867" s="441"/>
      <c r="C867" s="2472" t="s">
        <v>1193</v>
      </c>
      <c r="D867" s="2759">
        <f>D868</f>
        <v>300000000</v>
      </c>
      <c r="E867" s="2677">
        <f>D867/D633*100</f>
        <v>0.2170691375694834</v>
      </c>
      <c r="F867" s="3855"/>
      <c r="G867" s="3080"/>
      <c r="H867" s="3080"/>
      <c r="I867" s="3080"/>
      <c r="J867" s="2930"/>
      <c r="K867" s="2930"/>
      <c r="L867" s="2965"/>
      <c r="M867" s="3043"/>
      <c r="N867" s="2837"/>
    </row>
    <row r="868" spans="2:14" ht="14.25" hidden="1" customHeight="1" x14ac:dyDescent="0.25">
      <c r="B868" s="448"/>
      <c r="C868" s="2473" t="s">
        <v>5041</v>
      </c>
      <c r="D868" s="896">
        <v>300000000</v>
      </c>
      <c r="E868" s="2967">
        <f>D868/D633*100</f>
        <v>0.2170691375694834</v>
      </c>
      <c r="F868" s="3868"/>
      <c r="G868" s="2726"/>
      <c r="H868" s="2726"/>
      <c r="I868" s="2726"/>
      <c r="J868" s="2920"/>
      <c r="K868" s="2920"/>
      <c r="L868" s="2690"/>
      <c r="M868" s="2757"/>
      <c r="N868" s="2951"/>
    </row>
    <row r="869" spans="2:14" ht="14.25" hidden="1" customHeight="1" x14ac:dyDescent="0.25">
      <c r="B869" s="441"/>
      <c r="C869" s="2519"/>
      <c r="D869" s="2709"/>
      <c r="E869" s="2976"/>
      <c r="F869" s="4430"/>
      <c r="G869" s="2739"/>
      <c r="H869" s="2739"/>
      <c r="I869" s="2739"/>
      <c r="J869" s="898"/>
      <c r="K869" s="898"/>
      <c r="L869" s="898"/>
      <c r="M869" s="898"/>
      <c r="N869" s="2768"/>
    </row>
    <row r="870" spans="2:14" ht="14.25" hidden="1" customHeight="1" x14ac:dyDescent="0.25">
      <c r="B870" s="440"/>
      <c r="C870" s="2471" t="s">
        <v>5042</v>
      </c>
      <c r="D870" s="2744">
        <f>D871</f>
        <v>300000000</v>
      </c>
      <c r="E870" s="2670">
        <f>D870/D633*100</f>
        <v>0.2170691375694834</v>
      </c>
      <c r="F870" s="3850"/>
      <c r="G870" s="2674"/>
      <c r="H870" s="2674"/>
      <c r="I870" s="2674"/>
      <c r="J870" s="2887"/>
      <c r="K870" s="2887"/>
      <c r="L870" s="2744"/>
      <c r="M870" s="2987"/>
      <c r="N870" s="2837"/>
    </row>
    <row r="871" spans="2:14" ht="14.25" hidden="1" customHeight="1" x14ac:dyDescent="0.25">
      <c r="B871" s="441"/>
      <c r="C871" s="2472" t="s">
        <v>1196</v>
      </c>
      <c r="D871" s="2759">
        <f>D872</f>
        <v>300000000</v>
      </c>
      <c r="E871" s="2677">
        <f>D871/D633*100</f>
        <v>0.2170691375694834</v>
      </c>
      <c r="F871" s="3855"/>
      <c r="G871" s="3080"/>
      <c r="H871" s="3080"/>
      <c r="I871" s="3080"/>
      <c r="J871" s="2930"/>
      <c r="K871" s="2930"/>
      <c r="L871" s="2965"/>
      <c r="M871" s="3043"/>
      <c r="N871" s="2837"/>
    </row>
    <row r="872" spans="2:14" ht="14.25" hidden="1" customHeight="1" x14ac:dyDescent="0.25">
      <c r="B872" s="448"/>
      <c r="C872" s="2473" t="s">
        <v>1197</v>
      </c>
      <c r="D872" s="896">
        <v>300000000</v>
      </c>
      <c r="E872" s="2967">
        <f>D872/D633*100</f>
        <v>0.2170691375694834</v>
      </c>
      <c r="F872" s="3868"/>
      <c r="G872" s="2726"/>
      <c r="H872" s="2726"/>
      <c r="I872" s="2726"/>
      <c r="J872" s="2920"/>
      <c r="K872" s="2920"/>
      <c r="L872" s="2690"/>
      <c r="M872" s="2757"/>
      <c r="N872" s="2951"/>
    </row>
    <row r="873" spans="2:14" ht="14.25" hidden="1" customHeight="1" x14ac:dyDescent="0.25">
      <c r="B873" s="441"/>
      <c r="C873" s="2519"/>
      <c r="D873" s="2709"/>
      <c r="E873" s="2976"/>
      <c r="F873" s="4430"/>
      <c r="G873" s="2739"/>
      <c r="H873" s="2739"/>
      <c r="I873" s="2739"/>
      <c r="J873" s="898"/>
      <c r="K873" s="898"/>
      <c r="L873" s="898"/>
      <c r="M873" s="898"/>
      <c r="N873" s="2768"/>
    </row>
    <row r="874" spans="2:14" ht="14.25" hidden="1" customHeight="1" x14ac:dyDescent="0.25">
      <c r="B874" s="440"/>
      <c r="C874" s="2471" t="s">
        <v>5043</v>
      </c>
      <c r="D874" s="2744">
        <f>D875</f>
        <v>300000000</v>
      </c>
      <c r="E874" s="2670">
        <f>D874/D633*100</f>
        <v>0.2170691375694834</v>
      </c>
      <c r="F874" s="3850"/>
      <c r="G874" s="2674"/>
      <c r="H874" s="2674"/>
      <c r="I874" s="2674"/>
      <c r="J874" s="2887"/>
      <c r="K874" s="2887"/>
      <c r="L874" s="2744"/>
      <c r="M874" s="2987"/>
      <c r="N874" s="2837"/>
    </row>
    <row r="875" spans="2:14" ht="14.25" hidden="1" customHeight="1" x14ac:dyDescent="0.25">
      <c r="B875" s="441"/>
      <c r="C875" s="2472" t="s">
        <v>1199</v>
      </c>
      <c r="D875" s="2759">
        <f>D876</f>
        <v>300000000</v>
      </c>
      <c r="E875" s="2677">
        <f>D875/D633*100</f>
        <v>0.2170691375694834</v>
      </c>
      <c r="F875" s="3855"/>
      <c r="G875" s="3080"/>
      <c r="H875" s="3080"/>
      <c r="I875" s="3080"/>
      <c r="J875" s="2930"/>
      <c r="K875" s="2930"/>
      <c r="L875" s="2965"/>
      <c r="M875" s="3043"/>
      <c r="N875" s="2837"/>
    </row>
    <row r="876" spans="2:14" ht="14.25" hidden="1" customHeight="1" x14ac:dyDescent="0.25">
      <c r="B876" s="448"/>
      <c r="C876" s="2473" t="s">
        <v>5044</v>
      </c>
      <c r="D876" s="896">
        <v>300000000</v>
      </c>
      <c r="E876" s="2967">
        <f>D876/D633*100</f>
        <v>0.2170691375694834</v>
      </c>
      <c r="F876" s="3868"/>
      <c r="G876" s="2726"/>
      <c r="H876" s="2726"/>
      <c r="I876" s="2726"/>
      <c r="J876" s="2920"/>
      <c r="K876" s="2920"/>
      <c r="L876" s="2690"/>
      <c r="M876" s="2757"/>
      <c r="N876" s="2951"/>
    </row>
    <row r="877" spans="2:14" ht="14.25" hidden="1" customHeight="1" x14ac:dyDescent="0.25">
      <c r="B877" s="441"/>
      <c r="C877" s="2519"/>
      <c r="D877" s="2709"/>
      <c r="E877" s="2976"/>
      <c r="F877" s="4430"/>
      <c r="G877" s="2739"/>
      <c r="H877" s="2739"/>
      <c r="I877" s="2739"/>
      <c r="J877" s="898"/>
      <c r="K877" s="898"/>
      <c r="L877" s="898"/>
      <c r="M877" s="898"/>
      <c r="N877" s="2768"/>
    </row>
    <row r="878" spans="2:14" ht="14.25" hidden="1" customHeight="1" x14ac:dyDescent="0.25">
      <c r="B878" s="440"/>
      <c r="C878" s="2471" t="s">
        <v>5045</v>
      </c>
      <c r="D878" s="2744">
        <f>D879</f>
        <v>300000000</v>
      </c>
      <c r="E878" s="2670">
        <f>D878/D633*100</f>
        <v>0.2170691375694834</v>
      </c>
      <c r="F878" s="3850"/>
      <c r="G878" s="2674"/>
      <c r="H878" s="2674"/>
      <c r="I878" s="2674"/>
      <c r="J878" s="2887"/>
      <c r="K878" s="2887"/>
      <c r="L878" s="2744"/>
      <c r="M878" s="2987"/>
      <c r="N878" s="2837"/>
    </row>
    <row r="879" spans="2:14" ht="18" hidden="1" customHeight="1" x14ac:dyDescent="0.25">
      <c r="B879" s="441"/>
      <c r="C879" s="2472" t="s">
        <v>5046</v>
      </c>
      <c r="D879" s="2759">
        <f>D880</f>
        <v>300000000</v>
      </c>
      <c r="E879" s="2677">
        <f>D879/D633*100</f>
        <v>0.2170691375694834</v>
      </c>
      <c r="F879" s="3855"/>
      <c r="G879" s="3080"/>
      <c r="H879" s="3080"/>
      <c r="I879" s="3080"/>
      <c r="J879" s="2930"/>
      <c r="K879" s="2930"/>
      <c r="L879" s="2965"/>
      <c r="M879" s="3005"/>
      <c r="N879" s="2837"/>
    </row>
    <row r="880" spans="2:14" ht="14.25" hidden="1" customHeight="1" x14ac:dyDescent="0.25">
      <c r="B880" s="448"/>
      <c r="C880" s="2473" t="s">
        <v>5047</v>
      </c>
      <c r="D880" s="896">
        <v>300000000</v>
      </c>
      <c r="E880" s="2967">
        <f>D880/D633*100</f>
        <v>0.2170691375694834</v>
      </c>
      <c r="F880" s="3868"/>
      <c r="G880" s="2726"/>
      <c r="H880" s="2726"/>
      <c r="I880" s="2726"/>
      <c r="J880" s="2920"/>
      <c r="K880" s="2726"/>
      <c r="L880" s="2690"/>
      <c r="M880" s="2757"/>
      <c r="N880" s="2951"/>
    </row>
    <row r="881" spans="2:14" ht="14.25" hidden="1" customHeight="1" x14ac:dyDescent="0.25">
      <c r="B881" s="441"/>
      <c r="C881" s="2519"/>
      <c r="D881" s="2709"/>
      <c r="E881" s="2976"/>
      <c r="F881" s="4430"/>
      <c r="G881" s="2739"/>
      <c r="H881" s="2710"/>
      <c r="I881" s="2742"/>
      <c r="J881" s="911"/>
      <c r="K881" s="911"/>
      <c r="L881" s="911"/>
      <c r="M881" s="911"/>
      <c r="N881" s="2768"/>
    </row>
    <row r="882" spans="2:14" ht="14.25" hidden="1" customHeight="1" x14ac:dyDescent="0.25">
      <c r="B882" s="440"/>
      <c r="C882" s="2471" t="s">
        <v>5048</v>
      </c>
      <c r="D882" s="2744">
        <f>D883</f>
        <v>350000000</v>
      </c>
      <c r="E882" s="2670">
        <f>D882/D633*100</f>
        <v>0.2532473271643973</v>
      </c>
      <c r="F882" s="3871"/>
      <c r="G882" s="3082"/>
      <c r="H882" s="2727"/>
      <c r="I882" s="3083"/>
      <c r="J882" s="2744"/>
      <c r="K882" s="2744"/>
      <c r="L882" s="2744"/>
      <c r="M882" s="2744"/>
      <c r="N882" s="2837"/>
    </row>
    <row r="883" spans="2:14" ht="19.5" hidden="1" customHeight="1" x14ac:dyDescent="0.25">
      <c r="B883" s="441"/>
      <c r="C883" s="2478" t="s">
        <v>5050</v>
      </c>
      <c r="D883" s="2751">
        <f>D884</f>
        <v>350000000</v>
      </c>
      <c r="E883" s="2677">
        <f>D883/D633*100</f>
        <v>0.2532473271643973</v>
      </c>
      <c r="F883" s="3872"/>
      <c r="G883" s="3044"/>
      <c r="H883" s="3084"/>
      <c r="I883" s="3085"/>
      <c r="J883" s="2751"/>
      <c r="K883" s="2751"/>
      <c r="L883" s="2751"/>
      <c r="M883" s="2751"/>
      <c r="N883" s="2837"/>
    </row>
    <row r="884" spans="2:14" ht="14.25" hidden="1" customHeight="1" x14ac:dyDescent="0.25">
      <c r="B884" s="441"/>
      <c r="C884" s="2473" t="s">
        <v>1206</v>
      </c>
      <c r="D884" s="896">
        <v>350000000</v>
      </c>
      <c r="E884" s="2967">
        <f>D884/D633*100</f>
        <v>0.2532473271643973</v>
      </c>
      <c r="F884" s="3868"/>
      <c r="G884" s="2726"/>
      <c r="H884" s="2690"/>
      <c r="I884" s="2757"/>
      <c r="J884" s="898"/>
      <c r="K884" s="898"/>
      <c r="L884" s="898"/>
      <c r="M884" s="898"/>
      <c r="N884" s="2768"/>
    </row>
    <row r="885" spans="2:14" ht="14.25" hidden="1" customHeight="1" x14ac:dyDescent="0.25">
      <c r="B885" s="441"/>
      <c r="C885" s="2531"/>
      <c r="D885" s="2769"/>
      <c r="E885" s="3002"/>
      <c r="F885" s="3872"/>
      <c r="G885" s="2754"/>
      <c r="H885" s="2752"/>
      <c r="I885" s="2753"/>
      <c r="J885" s="2755"/>
      <c r="K885" s="2755"/>
      <c r="L885" s="2755"/>
      <c r="M885" s="2755"/>
      <c r="N885" s="2768"/>
    </row>
    <row r="886" spans="2:14" ht="14.25" hidden="1" customHeight="1" x14ac:dyDescent="0.25">
      <c r="B886" s="440"/>
      <c r="C886" s="2471" t="s">
        <v>5051</v>
      </c>
      <c r="D886" s="2744">
        <f>D887</f>
        <v>300000000</v>
      </c>
      <c r="E886" s="2670">
        <f>D886/D633*100</f>
        <v>0.2170691375694834</v>
      </c>
      <c r="F886" s="3850"/>
      <c r="G886" s="2674"/>
      <c r="H886" s="2672"/>
      <c r="I886" s="2987"/>
      <c r="J886" s="2744"/>
      <c r="K886" s="2744"/>
      <c r="L886" s="2744"/>
      <c r="M886" s="2744"/>
      <c r="N886" s="2837"/>
    </row>
    <row r="887" spans="2:14" ht="14.25" hidden="1" customHeight="1" x14ac:dyDescent="0.25">
      <c r="B887" s="441"/>
      <c r="C887" s="2478" t="s">
        <v>1208</v>
      </c>
      <c r="D887" s="2751">
        <f>D888</f>
        <v>300000000</v>
      </c>
      <c r="E887" s="2677">
        <f>D887/D633*100</f>
        <v>0.2170691375694834</v>
      </c>
      <c r="F887" s="3851"/>
      <c r="G887" s="2994"/>
      <c r="H887" s="2785"/>
      <c r="I887" s="3009"/>
      <c r="J887" s="2751"/>
      <c r="K887" s="2751"/>
      <c r="L887" s="2751"/>
      <c r="M887" s="2751"/>
      <c r="N887" s="2837"/>
    </row>
    <row r="888" spans="2:14" ht="14.25" hidden="1" customHeight="1" x14ac:dyDescent="0.25">
      <c r="B888" s="441"/>
      <c r="C888" s="2473" t="s">
        <v>5052</v>
      </c>
      <c r="D888" s="896">
        <v>300000000</v>
      </c>
      <c r="E888" s="2967">
        <f>D888/D633*100</f>
        <v>0.2170691375694834</v>
      </c>
      <c r="F888" s="3868"/>
      <c r="G888" s="2726"/>
      <c r="H888" s="2690"/>
      <c r="I888" s="2757"/>
      <c r="J888" s="898"/>
      <c r="K888" s="898"/>
      <c r="L888" s="898"/>
      <c r="M888" s="898"/>
      <c r="N888" s="2768"/>
    </row>
    <row r="889" spans="2:14" ht="14.25" hidden="1" customHeight="1" x14ac:dyDescent="0.25">
      <c r="B889" s="441"/>
      <c r="C889" s="2531"/>
      <c r="D889" s="2769"/>
      <c r="E889" s="3002"/>
      <c r="F889" s="3872"/>
      <c r="G889" s="2754"/>
      <c r="H889" s="2752"/>
      <c r="I889" s="2753"/>
      <c r="J889" s="2755"/>
      <c r="K889" s="2755"/>
      <c r="L889" s="2755"/>
      <c r="M889" s="2755"/>
      <c r="N889" s="2768"/>
    </row>
    <row r="890" spans="2:14" ht="16.5" hidden="1" customHeight="1" x14ac:dyDescent="0.25">
      <c r="B890" s="440"/>
      <c r="C890" s="2471" t="s">
        <v>5053</v>
      </c>
      <c r="D890" s="2744">
        <f>D891</f>
        <v>300000000</v>
      </c>
      <c r="E890" s="2670">
        <f>D890/D633*100</f>
        <v>0.2170691375694834</v>
      </c>
      <c r="F890" s="3850"/>
      <c r="G890" s="2674"/>
      <c r="H890" s="2672"/>
      <c r="I890" s="2987"/>
      <c r="J890" s="2744"/>
      <c r="K890" s="2744"/>
      <c r="L890" s="2744"/>
      <c r="M890" s="2744"/>
      <c r="N890" s="2837"/>
    </row>
    <row r="891" spans="2:14" ht="14.25" hidden="1" customHeight="1" x14ac:dyDescent="0.25">
      <c r="B891" s="441"/>
      <c r="C891" s="2478" t="s">
        <v>1211</v>
      </c>
      <c r="D891" s="2751">
        <f>D892</f>
        <v>300000000</v>
      </c>
      <c r="E891" s="2677">
        <f>D891/D633*100</f>
        <v>0.2170691375694834</v>
      </c>
      <c r="F891" s="3851"/>
      <c r="G891" s="2994"/>
      <c r="H891" s="2785"/>
      <c r="I891" s="3009"/>
      <c r="J891" s="2751"/>
      <c r="K891" s="2751"/>
      <c r="L891" s="2751"/>
      <c r="M891" s="2751"/>
      <c r="N891" s="2837"/>
    </row>
    <row r="892" spans="2:14" ht="14.25" hidden="1" customHeight="1" x14ac:dyDescent="0.25">
      <c r="B892" s="448"/>
      <c r="C892" s="2473" t="s">
        <v>5054</v>
      </c>
      <c r="D892" s="896">
        <v>300000000</v>
      </c>
      <c r="E892" s="2967">
        <f>D892/D633*100</f>
        <v>0.2170691375694834</v>
      </c>
      <c r="F892" s="3868"/>
      <c r="G892" s="2726"/>
      <c r="H892" s="2690"/>
      <c r="I892" s="2757"/>
      <c r="J892" s="896"/>
      <c r="K892" s="896"/>
      <c r="L892" s="896"/>
      <c r="M892" s="896"/>
      <c r="N892" s="2951"/>
    </row>
    <row r="893" spans="2:14" ht="14.25" hidden="1" customHeight="1" x14ac:dyDescent="0.25">
      <c r="B893" s="441"/>
      <c r="C893" s="2531"/>
      <c r="D893" s="2769"/>
      <c r="E893" s="3002"/>
      <c r="F893" s="3872"/>
      <c r="G893" s="2754"/>
      <c r="H893" s="2752"/>
      <c r="I893" s="2753"/>
      <c r="J893" s="2755"/>
      <c r="K893" s="2755"/>
      <c r="L893" s="2755"/>
      <c r="M893" s="2755"/>
      <c r="N893" s="2768"/>
    </row>
    <row r="894" spans="2:14" ht="14.25" hidden="1" customHeight="1" x14ac:dyDescent="0.25">
      <c r="B894" s="440"/>
      <c r="C894" s="2471" t="s">
        <v>5055</v>
      </c>
      <c r="D894" s="2744">
        <f>D895</f>
        <v>300000000</v>
      </c>
      <c r="E894" s="2670">
        <f>D894/D633*100</f>
        <v>0.2170691375694834</v>
      </c>
      <c r="F894" s="3850"/>
      <c r="G894" s="2674"/>
      <c r="H894" s="2672"/>
      <c r="I894" s="2987"/>
      <c r="J894" s="2744"/>
      <c r="K894" s="2744"/>
      <c r="L894" s="2744"/>
      <c r="M894" s="2744"/>
      <c r="N894" s="2837"/>
    </row>
    <row r="895" spans="2:14" ht="14.25" hidden="1" customHeight="1" x14ac:dyDescent="0.25">
      <c r="B895" s="441"/>
      <c r="C895" s="2478" t="s">
        <v>1214</v>
      </c>
      <c r="D895" s="2751">
        <f>D896</f>
        <v>300000000</v>
      </c>
      <c r="E895" s="2677">
        <f>D895/D633*100</f>
        <v>0.2170691375694834</v>
      </c>
      <c r="F895" s="3851"/>
      <c r="G895" s="2994"/>
      <c r="H895" s="2785"/>
      <c r="I895" s="3009"/>
      <c r="J895" s="2751"/>
      <c r="K895" s="2751"/>
      <c r="L895" s="2751"/>
      <c r="M895" s="2751"/>
      <c r="N895" s="2837"/>
    </row>
    <row r="896" spans="2:14" ht="14.25" hidden="1" customHeight="1" x14ac:dyDescent="0.25">
      <c r="B896" s="441"/>
      <c r="C896" s="2473" t="s">
        <v>1215</v>
      </c>
      <c r="D896" s="896">
        <v>300000000</v>
      </c>
      <c r="E896" s="2967">
        <f>D896/D633*100</f>
        <v>0.2170691375694834</v>
      </c>
      <c r="F896" s="3868"/>
      <c r="G896" s="2726"/>
      <c r="H896" s="2690"/>
      <c r="I896" s="2757"/>
      <c r="J896" s="898"/>
      <c r="K896" s="898"/>
      <c r="L896" s="898"/>
      <c r="M896" s="898"/>
      <c r="N896" s="2768"/>
    </row>
    <row r="897" spans="2:14" ht="14.25" hidden="1" customHeight="1" x14ac:dyDescent="0.25">
      <c r="B897" s="441"/>
      <c r="C897" s="2531"/>
      <c r="D897" s="2769"/>
      <c r="E897" s="3002"/>
      <c r="F897" s="3872"/>
      <c r="G897" s="2754"/>
      <c r="H897" s="2752"/>
      <c r="I897" s="2753"/>
      <c r="J897" s="2755"/>
      <c r="K897" s="2755"/>
      <c r="L897" s="2755"/>
      <c r="M897" s="2755"/>
      <c r="N897" s="2768"/>
    </row>
    <row r="898" spans="2:14" ht="14.25" hidden="1" customHeight="1" x14ac:dyDescent="0.25">
      <c r="B898" s="440"/>
      <c r="C898" s="2471" t="s">
        <v>5056</v>
      </c>
      <c r="D898" s="2744">
        <f>D899</f>
        <v>300000000</v>
      </c>
      <c r="E898" s="2670">
        <f>D898/D633*100</f>
        <v>0.2170691375694834</v>
      </c>
      <c r="F898" s="3850"/>
      <c r="G898" s="2674"/>
      <c r="H898" s="2672"/>
      <c r="I898" s="2987"/>
      <c r="J898" s="2744"/>
      <c r="K898" s="2744"/>
      <c r="L898" s="2744"/>
      <c r="M898" s="2744"/>
      <c r="N898" s="2768"/>
    </row>
    <row r="899" spans="2:14" ht="14.25" hidden="1" customHeight="1" x14ac:dyDescent="0.25">
      <c r="B899" s="441"/>
      <c r="C899" s="2478" t="s">
        <v>1217</v>
      </c>
      <c r="D899" s="2751">
        <f>D900</f>
        <v>300000000</v>
      </c>
      <c r="E899" s="2677">
        <f>D899/D633*100</f>
        <v>0.2170691375694834</v>
      </c>
      <c r="F899" s="3851"/>
      <c r="G899" s="2994"/>
      <c r="H899" s="2785"/>
      <c r="I899" s="3009"/>
      <c r="J899" s="2751"/>
      <c r="K899" s="2751"/>
      <c r="L899" s="2751"/>
      <c r="M899" s="2751"/>
      <c r="N899" s="2837"/>
    </row>
    <row r="900" spans="2:14" ht="14.25" hidden="1" customHeight="1" x14ac:dyDescent="0.25">
      <c r="B900" s="448"/>
      <c r="C900" s="2473" t="s">
        <v>1218</v>
      </c>
      <c r="D900" s="896">
        <v>300000000</v>
      </c>
      <c r="E900" s="2967">
        <f>D900/D633*100</f>
        <v>0.2170691375694834</v>
      </c>
      <c r="F900" s="3868"/>
      <c r="G900" s="2726"/>
      <c r="H900" s="2690"/>
      <c r="I900" s="2757"/>
      <c r="J900" s="896"/>
      <c r="K900" s="896"/>
      <c r="L900" s="896"/>
      <c r="M900" s="896"/>
      <c r="N900" s="2951"/>
    </row>
    <row r="901" spans="2:14" ht="14.25" hidden="1" customHeight="1" x14ac:dyDescent="0.25">
      <c r="B901" s="441"/>
      <c r="C901" s="2531"/>
      <c r="D901" s="2769"/>
      <c r="E901" s="3002"/>
      <c r="F901" s="3872"/>
      <c r="G901" s="2754"/>
      <c r="H901" s="2752"/>
      <c r="I901" s="2753"/>
      <c r="J901" s="2755"/>
      <c r="K901" s="2755"/>
      <c r="L901" s="2755"/>
      <c r="M901" s="2755"/>
      <c r="N901" s="2768"/>
    </row>
    <row r="902" spans="2:14" ht="14.25" hidden="1" customHeight="1" x14ac:dyDescent="0.25">
      <c r="B902" s="440"/>
      <c r="C902" s="2471" t="s">
        <v>5057</v>
      </c>
      <c r="D902" s="2744">
        <f>D903</f>
        <v>250250000</v>
      </c>
      <c r="E902" s="2670">
        <f>D902/D633*100</f>
        <v>0.18107183892254405</v>
      </c>
      <c r="F902" s="3850"/>
      <c r="G902" s="2674"/>
      <c r="H902" s="2672"/>
      <c r="I902" s="2987"/>
      <c r="J902" s="2744"/>
      <c r="K902" s="2744"/>
      <c r="L902" s="2744"/>
      <c r="M902" s="2744"/>
      <c r="N902" s="2768"/>
    </row>
    <row r="903" spans="2:14" ht="29.25" hidden="1" customHeight="1" x14ac:dyDescent="0.25">
      <c r="B903" s="441"/>
      <c r="C903" s="2478" t="s">
        <v>5058</v>
      </c>
      <c r="D903" s="2751">
        <f>D904</f>
        <v>250250000</v>
      </c>
      <c r="E903" s="2677">
        <f>D903/D633*100</f>
        <v>0.18107183892254405</v>
      </c>
      <c r="F903" s="3851"/>
      <c r="G903" s="2994"/>
      <c r="H903" s="2785"/>
      <c r="I903" s="3009"/>
      <c r="J903" s="2751"/>
      <c r="K903" s="2751"/>
      <c r="L903" s="2751"/>
      <c r="M903" s="2751"/>
      <c r="N903" s="2837"/>
    </row>
    <row r="904" spans="2:14" ht="17.25" hidden="1" customHeight="1" x14ac:dyDescent="0.25">
      <c r="B904" s="441"/>
      <c r="C904" s="2473" t="s">
        <v>5059</v>
      </c>
      <c r="D904" s="896">
        <v>250250000</v>
      </c>
      <c r="E904" s="2967">
        <f>D904/D633*100</f>
        <v>0.18107183892254405</v>
      </c>
      <c r="F904" s="3868"/>
      <c r="G904" s="2726"/>
      <c r="H904" s="2690"/>
      <c r="I904" s="2757"/>
      <c r="J904" s="898"/>
      <c r="K904" s="898"/>
      <c r="L904" s="898"/>
      <c r="M904" s="898"/>
      <c r="N904" s="2768"/>
    </row>
    <row r="905" spans="2:14" ht="14.25" hidden="1" customHeight="1" x14ac:dyDescent="0.25">
      <c r="B905" s="441"/>
      <c r="C905" s="2519"/>
      <c r="D905" s="2709"/>
      <c r="E905" s="3002"/>
      <c r="F905" s="4430"/>
      <c r="G905" s="2739"/>
      <c r="H905" s="2710"/>
      <c r="I905" s="2742"/>
      <c r="J905" s="911"/>
      <c r="K905" s="911"/>
      <c r="L905" s="911"/>
      <c r="M905" s="911"/>
      <c r="N905" s="2768"/>
    </row>
    <row r="906" spans="2:14" ht="15" hidden="1" customHeight="1" x14ac:dyDescent="0.25">
      <c r="B906" s="440"/>
      <c r="C906" s="2471" t="s">
        <v>5060</v>
      </c>
      <c r="D906" s="2744">
        <f>SUM(D907+D912+D915)</f>
        <v>5350000000</v>
      </c>
      <c r="E906" s="2670">
        <f>D906/D633*100</f>
        <v>3.8710662866557866</v>
      </c>
      <c r="F906" s="3850"/>
      <c r="G906" s="2674"/>
      <c r="H906" s="2672"/>
      <c r="I906" s="2987"/>
      <c r="J906" s="2744"/>
      <c r="K906" s="2744"/>
      <c r="L906" s="2744"/>
      <c r="M906" s="2744"/>
      <c r="N906" s="2837"/>
    </row>
    <row r="907" spans="2:14" ht="17.25" hidden="1" customHeight="1" x14ac:dyDescent="0.25">
      <c r="B907" s="441"/>
      <c r="C907" s="2472" t="s">
        <v>5061</v>
      </c>
      <c r="D907" s="2759">
        <f>SUM(D908:D910)</f>
        <v>1800000000</v>
      </c>
      <c r="E907" s="2677">
        <f>D907/D633*100</f>
        <v>1.3024148254169003</v>
      </c>
      <c r="F907" s="3855"/>
      <c r="G907" s="2995"/>
      <c r="H907" s="2734"/>
      <c r="I907" s="3005"/>
      <c r="J907" s="2759"/>
      <c r="K907" s="2759"/>
      <c r="L907" s="2759"/>
      <c r="M907" s="2759"/>
      <c r="N907" s="2837"/>
    </row>
    <row r="908" spans="2:14" ht="29.25" hidden="1" customHeight="1" x14ac:dyDescent="0.25">
      <c r="B908" s="441"/>
      <c r="C908" s="2473" t="s">
        <v>5062</v>
      </c>
      <c r="D908" s="896">
        <v>1200000000</v>
      </c>
      <c r="E908" s="2967">
        <f>D908/D633*100</f>
        <v>0.8682765502779336</v>
      </c>
      <c r="F908" s="3868"/>
      <c r="G908" s="2726"/>
      <c r="H908" s="2690"/>
      <c r="I908" s="2757"/>
      <c r="J908" s="898"/>
      <c r="K908" s="898"/>
      <c r="L908" s="898"/>
      <c r="M908" s="898"/>
      <c r="N908" s="2768"/>
    </row>
    <row r="909" spans="2:14" ht="14.25" hidden="1" customHeight="1" x14ac:dyDescent="0.25">
      <c r="B909" s="441"/>
      <c r="C909" s="2473" t="s">
        <v>5063</v>
      </c>
      <c r="D909" s="896">
        <v>200000000</v>
      </c>
      <c r="E909" s="2967">
        <f>D909/D633*100</f>
        <v>0.14471275837965558</v>
      </c>
      <c r="F909" s="3868"/>
      <c r="G909" s="2726"/>
      <c r="H909" s="2690"/>
      <c r="I909" s="2757"/>
      <c r="J909" s="898"/>
      <c r="K909" s="898"/>
      <c r="L909" s="898"/>
      <c r="M909" s="898"/>
      <c r="N909" s="2768"/>
    </row>
    <row r="910" spans="2:14" ht="14.25" hidden="1" customHeight="1" x14ac:dyDescent="0.25">
      <c r="B910" s="441"/>
      <c r="C910" s="2473" t="s">
        <v>5064</v>
      </c>
      <c r="D910" s="896">
        <v>400000000</v>
      </c>
      <c r="E910" s="2967">
        <f>D910/D633*100</f>
        <v>0.28942551675931116</v>
      </c>
      <c r="F910" s="3868"/>
      <c r="G910" s="2726"/>
      <c r="H910" s="2690"/>
      <c r="I910" s="2757"/>
      <c r="J910" s="898"/>
      <c r="K910" s="898"/>
      <c r="L910" s="898"/>
      <c r="M910" s="898"/>
      <c r="N910" s="2768"/>
    </row>
    <row r="911" spans="2:14" ht="9.75" hidden="1" customHeight="1" x14ac:dyDescent="0.25">
      <c r="B911" s="441"/>
      <c r="C911" s="2517"/>
      <c r="D911" s="896"/>
      <c r="E911" s="2969"/>
      <c r="F911" s="3868"/>
      <c r="G911" s="2726"/>
      <c r="H911" s="2690"/>
      <c r="I911" s="2757"/>
      <c r="J911" s="898"/>
      <c r="K911" s="898"/>
      <c r="L911" s="898"/>
      <c r="M911" s="898"/>
      <c r="N911" s="2768"/>
    </row>
    <row r="912" spans="2:14" ht="17.25" hidden="1" customHeight="1" x14ac:dyDescent="0.25">
      <c r="B912" s="441"/>
      <c r="C912" s="2474" t="s">
        <v>5065</v>
      </c>
      <c r="D912" s="899">
        <f>D913</f>
        <v>200000000</v>
      </c>
      <c r="E912" s="2677">
        <f>D912/D633*100</f>
        <v>0.14471275837965558</v>
      </c>
      <c r="F912" s="3853"/>
      <c r="G912" s="2965"/>
      <c r="H912" s="2695"/>
      <c r="I912" s="2970"/>
      <c r="J912" s="899"/>
      <c r="K912" s="899"/>
      <c r="L912" s="899"/>
      <c r="M912" s="899"/>
      <c r="N912" s="2837"/>
    </row>
    <row r="913" spans="2:16" ht="14.25" hidden="1" customHeight="1" x14ac:dyDescent="0.25">
      <c r="B913" s="448"/>
      <c r="C913" s="2473" t="s">
        <v>5066</v>
      </c>
      <c r="D913" s="896">
        <v>200000000</v>
      </c>
      <c r="E913" s="2967">
        <f>D913/D633*100</f>
        <v>0.14471275837965558</v>
      </c>
      <c r="F913" s="3868"/>
      <c r="G913" s="2726"/>
      <c r="H913" s="2690"/>
      <c r="I913" s="2757"/>
      <c r="J913" s="896"/>
      <c r="K913" s="896"/>
      <c r="L913" s="896"/>
      <c r="M913" s="896"/>
      <c r="N913" s="2951"/>
    </row>
    <row r="914" spans="2:16" ht="11.25" hidden="1" customHeight="1" x14ac:dyDescent="0.25">
      <c r="B914" s="441"/>
      <c r="C914" s="2517"/>
      <c r="D914" s="896"/>
      <c r="E914" s="2969"/>
      <c r="F914" s="3868"/>
      <c r="G914" s="2726"/>
      <c r="H914" s="2690"/>
      <c r="I914" s="2757"/>
      <c r="J914" s="898"/>
      <c r="K914" s="898"/>
      <c r="L914" s="898"/>
      <c r="M914" s="898"/>
      <c r="N914" s="2768"/>
    </row>
    <row r="915" spans="2:16" ht="16.5" hidden="1" customHeight="1" x14ac:dyDescent="0.25">
      <c r="B915" s="441"/>
      <c r="C915" s="2474" t="s">
        <v>5067</v>
      </c>
      <c r="D915" s="899">
        <f>SUM(D916:D919)</f>
        <v>3350000000</v>
      </c>
      <c r="E915" s="2677">
        <f>D915/D633*100</f>
        <v>2.423938702859231</v>
      </c>
      <c r="F915" s="3853"/>
      <c r="G915" s="2965"/>
      <c r="H915" s="2695"/>
      <c r="I915" s="2970"/>
      <c r="J915" s="899"/>
      <c r="K915" s="899"/>
      <c r="L915" s="899"/>
      <c r="M915" s="899"/>
      <c r="N915" s="2837"/>
    </row>
    <row r="916" spans="2:16" ht="15.75" hidden="1" customHeight="1" x14ac:dyDescent="0.25">
      <c r="B916" s="441"/>
      <c r="C916" s="2473" t="s">
        <v>5068</v>
      </c>
      <c r="D916" s="896">
        <v>1300000000</v>
      </c>
      <c r="E916" s="2967">
        <f>D916/D633*100</f>
        <v>0.94063292946776134</v>
      </c>
      <c r="F916" s="3868"/>
      <c r="G916" s="2726"/>
      <c r="H916" s="2690"/>
      <c r="I916" s="2757"/>
      <c r="J916" s="898"/>
      <c r="K916" s="898"/>
      <c r="L916" s="898"/>
      <c r="M916" s="898"/>
      <c r="N916" s="2768"/>
    </row>
    <row r="917" spans="2:16" ht="15.75" hidden="1" customHeight="1" x14ac:dyDescent="0.25">
      <c r="B917" s="441"/>
      <c r="C917" s="2473" t="s">
        <v>5070</v>
      </c>
      <c r="D917" s="896">
        <v>350000000</v>
      </c>
      <c r="E917" s="2967">
        <f>D917/D633*100</f>
        <v>0.2532473271643973</v>
      </c>
      <c r="F917" s="3868"/>
      <c r="G917" s="2726"/>
      <c r="H917" s="2690"/>
      <c r="I917" s="2757"/>
      <c r="J917" s="898"/>
      <c r="K917" s="898"/>
      <c r="L917" s="898"/>
      <c r="M917" s="898"/>
      <c r="N917" s="2768"/>
    </row>
    <row r="918" spans="2:16" ht="16.5" hidden="1" customHeight="1" x14ac:dyDescent="0.25">
      <c r="B918" s="441"/>
      <c r="C918" s="2473" t="s">
        <v>5069</v>
      </c>
      <c r="D918" s="896">
        <v>1400000000</v>
      </c>
      <c r="E918" s="2967">
        <f>D918/D633*100</f>
        <v>1.0129893086575892</v>
      </c>
      <c r="F918" s="3868"/>
      <c r="G918" s="2726"/>
      <c r="H918" s="2690"/>
      <c r="I918" s="2757"/>
      <c r="J918" s="898"/>
      <c r="K918" s="898"/>
      <c r="L918" s="898"/>
      <c r="M918" s="898"/>
      <c r="N918" s="2768"/>
    </row>
    <row r="919" spans="2:16" ht="28.5" hidden="1" customHeight="1" x14ac:dyDescent="0.25">
      <c r="B919" s="441"/>
      <c r="C919" s="2473" t="s">
        <v>5071</v>
      </c>
      <c r="D919" s="896">
        <v>300000000</v>
      </c>
      <c r="E919" s="2967">
        <f>D919/D633*100</f>
        <v>0.2170691375694834</v>
      </c>
      <c r="F919" s="3868"/>
      <c r="G919" s="2726"/>
      <c r="H919" s="2690"/>
      <c r="I919" s="2757"/>
      <c r="J919" s="898"/>
      <c r="K919" s="898"/>
      <c r="L919" s="898"/>
      <c r="M919" s="898"/>
      <c r="N919" s="2768"/>
    </row>
    <row r="920" spans="2:16" ht="14.25" hidden="1" customHeight="1" x14ac:dyDescent="0.25">
      <c r="B920" s="441"/>
      <c r="C920" s="2531"/>
      <c r="D920" s="2769"/>
      <c r="E920" s="3002"/>
      <c r="F920" s="3872"/>
      <c r="G920" s="2754"/>
      <c r="H920" s="2752"/>
      <c r="I920" s="2753"/>
      <c r="J920" s="2755"/>
      <c r="K920" s="2755"/>
      <c r="L920" s="2755"/>
      <c r="M920" s="2755"/>
      <c r="N920" s="2768"/>
    </row>
    <row r="921" spans="2:16" ht="16.5" hidden="1" customHeight="1" x14ac:dyDescent="0.25">
      <c r="B921" s="440"/>
      <c r="C921" s="2471" t="s">
        <v>5072</v>
      </c>
      <c r="D921" s="2744">
        <f>SUM(D922:D925)</f>
        <v>4859758000</v>
      </c>
      <c r="E921" s="2670">
        <f>D921/D633*100</f>
        <v>3.5163449261879913</v>
      </c>
      <c r="F921" s="3850"/>
      <c r="G921" s="2886"/>
      <c r="H921" s="2672"/>
      <c r="I921" s="2987"/>
      <c r="J921" s="2887"/>
      <c r="K921" s="2887"/>
      <c r="L921" s="2744"/>
      <c r="M921" s="2987"/>
      <c r="N921" s="2837"/>
    </row>
    <row r="922" spans="2:16" ht="18" hidden="1" customHeight="1" x14ac:dyDescent="0.25">
      <c r="B922" s="448"/>
      <c r="C922" s="2479" t="s">
        <v>5073</v>
      </c>
      <c r="D922" s="940">
        <f>600000000-51054802+1054802-170</f>
        <v>549999830</v>
      </c>
      <c r="E922" s="2683">
        <f>D922/D633*100</f>
        <v>0.39795996253820826</v>
      </c>
      <c r="F922" s="4435"/>
      <c r="G922" s="2762"/>
      <c r="H922" s="2690"/>
      <c r="I922" s="2761"/>
      <c r="J922" s="943"/>
      <c r="K922" s="943"/>
      <c r="L922" s="2965"/>
      <c r="M922" s="3005"/>
      <c r="N922" s="2951"/>
    </row>
    <row r="923" spans="2:16" ht="14.25" hidden="1" customHeight="1" x14ac:dyDescent="0.25">
      <c r="B923" s="448"/>
      <c r="C923" s="2473" t="s">
        <v>5074</v>
      </c>
      <c r="D923" s="896">
        <f>850000000-75041830</f>
        <v>774958170</v>
      </c>
      <c r="E923" s="2967">
        <f>D923/D633*100</f>
        <v>0.56073167204775021</v>
      </c>
      <c r="F923" s="3868"/>
      <c r="G923" s="2726"/>
      <c r="H923" s="2690"/>
      <c r="I923" s="2757"/>
      <c r="J923" s="2920"/>
      <c r="K923" s="2920"/>
      <c r="L923" s="2690"/>
      <c r="M923" s="2757"/>
      <c r="N923" s="2951"/>
    </row>
    <row r="924" spans="2:16" ht="18" hidden="1" customHeight="1" x14ac:dyDescent="0.25">
      <c r="B924" s="448"/>
      <c r="C924" s="2473" t="s">
        <v>5075</v>
      </c>
      <c r="D924" s="896">
        <v>750000000</v>
      </c>
      <c r="E924" s="2967">
        <f>D924/D633*100</f>
        <v>0.54267284392370851</v>
      </c>
      <c r="F924" s="3868"/>
      <c r="G924" s="2726"/>
      <c r="H924" s="2690"/>
      <c r="I924" s="2757"/>
      <c r="J924" s="2920"/>
      <c r="K924" s="2920"/>
      <c r="L924" s="2690"/>
      <c r="M924" s="2757"/>
      <c r="N924" s="2951"/>
    </row>
    <row r="925" spans="2:16" ht="16.5" hidden="1" customHeight="1" x14ac:dyDescent="0.25">
      <c r="B925" s="441"/>
      <c r="C925" s="2473" t="s">
        <v>5076</v>
      </c>
      <c r="D925" s="896">
        <v>2784800000</v>
      </c>
      <c r="E925" s="2967">
        <f>D925/D633*100</f>
        <v>2.0149804476783246</v>
      </c>
      <c r="F925" s="4417"/>
      <c r="G925" s="2726"/>
      <c r="H925" s="3035"/>
      <c r="I925" s="2757"/>
      <c r="J925" s="898"/>
      <c r="K925" s="898"/>
      <c r="L925" s="898"/>
      <c r="M925" s="898"/>
      <c r="N925" s="2768"/>
    </row>
    <row r="926" spans="2:16" ht="15.75" hidden="1" customHeight="1" x14ac:dyDescent="0.25">
      <c r="B926" s="441"/>
      <c r="C926" s="2478"/>
      <c r="D926" s="2769"/>
      <c r="E926" s="2784"/>
      <c r="F926" s="3864"/>
      <c r="G926" s="2755"/>
      <c r="H926" s="2784"/>
      <c r="I926" s="2755"/>
      <c r="J926" s="2755"/>
      <c r="K926" s="2755"/>
      <c r="L926" s="2755"/>
      <c r="M926" s="2755"/>
      <c r="N926" s="2768"/>
    </row>
    <row r="927" spans="2:16" ht="16.5" hidden="1" customHeight="1" x14ac:dyDescent="0.25">
      <c r="B927" s="2779"/>
      <c r="C927" s="2481" t="s">
        <v>6997</v>
      </c>
      <c r="D927" s="2780">
        <f>SUM(D929+D994+D1031+D1036+D1043+D1060+D1090+D1108+D1125+D1195+D1199)</f>
        <v>137153760000</v>
      </c>
      <c r="E927" s="2781">
        <f>D927/2512247400000*100</f>
        <v>5.4594049933139548</v>
      </c>
      <c r="F927" s="4436"/>
      <c r="G927" s="2782"/>
      <c r="H927" s="2781"/>
      <c r="I927" s="2780"/>
      <c r="J927" s="2783"/>
      <c r="K927" s="2783"/>
      <c r="L927" s="2781"/>
      <c r="M927" s="2780"/>
      <c r="N927" s="2768"/>
      <c r="P927" s="617">
        <v>177268183965</v>
      </c>
    </row>
    <row r="928" spans="2:16" ht="6.75" hidden="1" customHeight="1" x14ac:dyDescent="0.25">
      <c r="B928" s="441"/>
      <c r="C928" s="2482"/>
      <c r="D928" s="2721"/>
      <c r="E928" s="2784"/>
      <c r="F928" s="3830"/>
      <c r="G928" s="2755"/>
      <c r="H928" s="2785"/>
      <c r="I928" s="2755"/>
      <c r="J928" s="898"/>
      <c r="K928" s="898"/>
      <c r="L928" s="898"/>
      <c r="M928" s="898"/>
      <c r="N928" s="2768"/>
    </row>
    <row r="929" spans="1:16" s="27" customFormat="1" ht="16.5" hidden="1" customHeight="1" x14ac:dyDescent="0.25">
      <c r="A929" s="6"/>
      <c r="B929" s="440"/>
      <c r="C929" s="2483" t="s">
        <v>242</v>
      </c>
      <c r="D929" s="2669">
        <f>SUM(D930+D945+D973+D978)</f>
        <v>67282760000</v>
      </c>
      <c r="E929" s="2786">
        <f>D929/D927*100</f>
        <v>49.056445845888582</v>
      </c>
      <c r="F929" s="3826"/>
      <c r="G929" s="2718"/>
      <c r="H929" s="2672"/>
      <c r="I929" s="2669"/>
      <c r="J929" s="2770"/>
      <c r="K929" s="2770"/>
      <c r="L929" s="2672"/>
      <c r="M929" s="2669"/>
      <c r="N929" s="2701"/>
      <c r="P929" s="80">
        <v>183431447000</v>
      </c>
    </row>
    <row r="930" spans="1:16" s="27" customFormat="1" ht="15.75" hidden="1" customHeight="1" x14ac:dyDescent="0.25">
      <c r="A930" s="6"/>
      <c r="B930" s="441"/>
      <c r="C930" s="2484" t="s">
        <v>243</v>
      </c>
      <c r="D930" s="2721">
        <f>SUM(D931:D943)</f>
        <v>10526000000</v>
      </c>
      <c r="E930" s="2787">
        <f>D930/D927*100</f>
        <v>7.6745982027762132</v>
      </c>
      <c r="F930" s="3828"/>
      <c r="G930" s="2722"/>
      <c r="H930" s="2722"/>
      <c r="I930" s="2722"/>
      <c r="J930" s="2723"/>
      <c r="K930" s="2788"/>
      <c r="L930" s="2751"/>
      <c r="M930" s="2751"/>
      <c r="N930" s="2701"/>
      <c r="P930" s="80">
        <f>SUM(P929-P927)</f>
        <v>6163263035</v>
      </c>
    </row>
    <row r="931" spans="1:16" s="27" customFormat="1" ht="16.5" hidden="1" customHeight="1" x14ac:dyDescent="0.25">
      <c r="A931" s="6"/>
      <c r="B931" s="441"/>
      <c r="C931" s="2485" t="s">
        <v>6439</v>
      </c>
      <c r="D931" s="896">
        <v>825000000</v>
      </c>
      <c r="E931" s="2789">
        <f>D931/D927*100</f>
        <v>0.60151467958297322</v>
      </c>
      <c r="F931" s="4437"/>
      <c r="G931" s="2685"/>
      <c r="H931" s="2685"/>
      <c r="I931" s="2685"/>
      <c r="J931" s="2700"/>
      <c r="K931" s="2790"/>
      <c r="L931" s="896"/>
      <c r="M931" s="896"/>
      <c r="N931" s="2701"/>
      <c r="P931" s="80"/>
    </row>
    <row r="932" spans="1:16" s="27" customFormat="1" ht="16.5" hidden="1" customHeight="1" x14ac:dyDescent="0.25">
      <c r="A932" s="6"/>
      <c r="B932" s="441"/>
      <c r="C932" s="2485" t="s">
        <v>6440</v>
      </c>
      <c r="D932" s="896">
        <v>1621000000</v>
      </c>
      <c r="E932" s="2789">
        <f>D932/D927*100</f>
        <v>1.1818852067927266</v>
      </c>
      <c r="F932" s="4437"/>
      <c r="G932" s="2685"/>
      <c r="H932" s="2685"/>
      <c r="I932" s="2685"/>
      <c r="J932" s="2700"/>
      <c r="K932" s="2700"/>
      <c r="L932" s="2685"/>
      <c r="M932" s="2685"/>
      <c r="N932" s="2701"/>
      <c r="P932" s="80"/>
    </row>
    <row r="933" spans="1:16" s="27" customFormat="1" ht="15" hidden="1" customHeight="1" x14ac:dyDescent="0.25">
      <c r="A933" s="6"/>
      <c r="B933" s="441"/>
      <c r="C933" s="2486" t="s">
        <v>6441</v>
      </c>
      <c r="D933" s="896">
        <v>1855000000</v>
      </c>
      <c r="E933" s="2789">
        <f>D933/D927*100</f>
        <v>1.3524966431835337</v>
      </c>
      <c r="F933" s="4437"/>
      <c r="G933" s="2685"/>
      <c r="H933" s="2685"/>
      <c r="I933" s="2685"/>
      <c r="J933" s="2700"/>
      <c r="K933" s="2700"/>
      <c r="L933" s="2685"/>
      <c r="M933" s="2685"/>
      <c r="N933" s="2701"/>
      <c r="P933" s="80"/>
    </row>
    <row r="934" spans="1:16" s="221" customFormat="1" ht="15" hidden="1" customHeight="1" x14ac:dyDescent="0.25">
      <c r="A934" s="9"/>
      <c r="B934" s="448"/>
      <c r="C934" s="2487" t="s">
        <v>6442</v>
      </c>
      <c r="D934" s="2724">
        <v>800000000</v>
      </c>
      <c r="E934" s="2789">
        <f>D934/D927*100</f>
        <v>0.58328696201985275</v>
      </c>
      <c r="F934" s="3833"/>
      <c r="G934" s="2791"/>
      <c r="H934" s="2792"/>
      <c r="I934" s="2793"/>
      <c r="J934" s="2794"/>
      <c r="K934" s="2795"/>
      <c r="L934" s="2796"/>
      <c r="M934" s="2793"/>
      <c r="N934" s="2797"/>
      <c r="P934" s="627"/>
    </row>
    <row r="935" spans="1:16" s="25" customFormat="1" ht="18" hidden="1" customHeight="1" x14ac:dyDescent="0.25">
      <c r="A935" s="4"/>
      <c r="B935" s="441"/>
      <c r="C935" s="2488" t="s">
        <v>6443</v>
      </c>
      <c r="D935" s="2698">
        <v>800000000</v>
      </c>
      <c r="E935" s="2789">
        <f>D935/D927*100</f>
        <v>0.58328696201985275</v>
      </c>
      <c r="F935" s="3827"/>
      <c r="G935" s="2798"/>
      <c r="H935" s="2695"/>
      <c r="I935" s="2692"/>
      <c r="J935" s="2694"/>
      <c r="K935" s="2799"/>
      <c r="L935" s="899"/>
      <c r="M935" s="2692"/>
      <c r="N935" s="2697"/>
      <c r="P935" s="629"/>
    </row>
    <row r="936" spans="1:16" s="25" customFormat="1" ht="17.25" hidden="1" customHeight="1" x14ac:dyDescent="0.25">
      <c r="A936" s="4"/>
      <c r="B936" s="441"/>
      <c r="C936" s="2489" t="s">
        <v>6444</v>
      </c>
      <c r="D936" s="2698">
        <v>800000000</v>
      </c>
      <c r="E936" s="2789">
        <f>D936/D927*100</f>
        <v>0.58328696201985275</v>
      </c>
      <c r="F936" s="3827"/>
      <c r="G936" s="2798"/>
      <c r="H936" s="2695"/>
      <c r="I936" s="2692"/>
      <c r="J936" s="2694"/>
      <c r="K936" s="2799"/>
      <c r="L936" s="899"/>
      <c r="M936" s="2692"/>
      <c r="N936" s="2697"/>
      <c r="P936" s="629"/>
    </row>
    <row r="937" spans="1:16" s="25" customFormat="1" ht="17.25" hidden="1" customHeight="1" x14ac:dyDescent="0.25">
      <c r="A937" s="4"/>
      <c r="B937" s="441"/>
      <c r="C937" s="2489" t="s">
        <v>6445</v>
      </c>
      <c r="D937" s="2698">
        <v>800000000</v>
      </c>
      <c r="E937" s="2789">
        <f>D937/D927*100</f>
        <v>0.58328696201985275</v>
      </c>
      <c r="F937" s="3827"/>
      <c r="G937" s="2798"/>
      <c r="H937" s="2695"/>
      <c r="I937" s="2692"/>
      <c r="J937" s="2694"/>
      <c r="K937" s="2799"/>
      <c r="L937" s="899"/>
      <c r="M937" s="2692"/>
      <c r="N937" s="2697"/>
      <c r="P937" s="629"/>
    </row>
    <row r="938" spans="1:16" s="25" customFormat="1" ht="17.25" hidden="1" customHeight="1" x14ac:dyDescent="0.25">
      <c r="A938" s="4"/>
      <c r="B938" s="441"/>
      <c r="C938" s="2489" t="s">
        <v>6446</v>
      </c>
      <c r="D938" s="2698">
        <v>525000000</v>
      </c>
      <c r="E938" s="2789">
        <f>D938/D927*100</f>
        <v>0.38278206882552834</v>
      </c>
      <c r="F938" s="3827"/>
      <c r="G938" s="2798"/>
      <c r="H938" s="2695"/>
      <c r="I938" s="2692"/>
      <c r="J938" s="2694"/>
      <c r="K938" s="2799"/>
      <c r="L938" s="899"/>
      <c r="M938" s="2692"/>
      <c r="N938" s="2697"/>
      <c r="P938" s="629"/>
    </row>
    <row r="939" spans="1:16" s="25" customFormat="1" ht="17.25" hidden="1" customHeight="1" x14ac:dyDescent="0.25">
      <c r="A939" s="4"/>
      <c r="B939" s="441"/>
      <c r="C939" s="2489" t="s">
        <v>6447</v>
      </c>
      <c r="D939" s="2698">
        <v>400000000</v>
      </c>
      <c r="E939" s="2789">
        <f>D939/D927*100</f>
        <v>0.29164348100992638</v>
      </c>
      <c r="F939" s="3827"/>
      <c r="G939" s="2798"/>
      <c r="H939" s="2695"/>
      <c r="I939" s="2692"/>
      <c r="J939" s="2694"/>
      <c r="K939" s="2799"/>
      <c r="L939" s="899"/>
      <c r="M939" s="2692"/>
      <c r="N939" s="2697"/>
      <c r="P939" s="629"/>
    </row>
    <row r="940" spans="1:16" s="25" customFormat="1" ht="17.25" hidden="1" customHeight="1" x14ac:dyDescent="0.25">
      <c r="A940" s="4"/>
      <c r="B940" s="441"/>
      <c r="C940" s="2489" t="s">
        <v>6448</v>
      </c>
      <c r="D940" s="2698">
        <v>1680000000</v>
      </c>
      <c r="E940" s="2789">
        <f>D940/D927*100</f>
        <v>1.2249026202416908</v>
      </c>
      <c r="F940" s="3827"/>
      <c r="G940" s="2798"/>
      <c r="H940" s="2695"/>
      <c r="I940" s="2692"/>
      <c r="J940" s="2694"/>
      <c r="K940" s="2799"/>
      <c r="L940" s="899"/>
      <c r="M940" s="2692"/>
      <c r="N940" s="2697"/>
      <c r="P940" s="629"/>
    </row>
    <row r="941" spans="1:16" s="25" customFormat="1" ht="17.25" hidden="1" customHeight="1" x14ac:dyDescent="0.25">
      <c r="A941" s="4"/>
      <c r="B941" s="441"/>
      <c r="C941" s="2489" t="s">
        <v>6449</v>
      </c>
      <c r="D941" s="2698">
        <v>140000000</v>
      </c>
      <c r="E941" s="2789">
        <f>D941/D927*100</f>
        <v>0.10207521835347423</v>
      </c>
      <c r="F941" s="3827"/>
      <c r="G941" s="2798"/>
      <c r="H941" s="2695"/>
      <c r="I941" s="2692"/>
      <c r="J941" s="2694"/>
      <c r="K941" s="2799"/>
      <c r="L941" s="899"/>
      <c r="M941" s="2692"/>
      <c r="N941" s="2697"/>
      <c r="P941" s="629"/>
    </row>
    <row r="942" spans="1:16" s="25" customFormat="1" ht="17.25" hidden="1" customHeight="1" x14ac:dyDescent="0.25">
      <c r="A942" s="4"/>
      <c r="B942" s="441"/>
      <c r="C942" s="2489" t="s">
        <v>6450</v>
      </c>
      <c r="D942" s="2698">
        <v>140000000</v>
      </c>
      <c r="E942" s="2789">
        <f>D942/D927*100</f>
        <v>0.10207521835347423</v>
      </c>
      <c r="F942" s="3827"/>
      <c r="G942" s="2798"/>
      <c r="H942" s="2695"/>
      <c r="I942" s="2692"/>
      <c r="J942" s="2694"/>
      <c r="K942" s="2799"/>
      <c r="L942" s="899"/>
      <c r="M942" s="2692"/>
      <c r="N942" s="2697"/>
      <c r="P942" s="629"/>
    </row>
    <row r="943" spans="1:16" s="25" customFormat="1" ht="17.25" hidden="1" customHeight="1" x14ac:dyDescent="0.25">
      <c r="A943" s="4"/>
      <c r="B943" s="441"/>
      <c r="C943" s="2489" t="s">
        <v>6451</v>
      </c>
      <c r="D943" s="2698">
        <v>140000000</v>
      </c>
      <c r="E943" s="2789">
        <f>D943/D927*100</f>
        <v>0.10207521835347423</v>
      </c>
      <c r="F943" s="3827"/>
      <c r="G943" s="2798"/>
      <c r="H943" s="2695"/>
      <c r="I943" s="2692"/>
      <c r="J943" s="2694"/>
      <c r="K943" s="2799"/>
      <c r="L943" s="899"/>
      <c r="M943" s="2692"/>
      <c r="N943" s="2697"/>
      <c r="P943" s="629"/>
    </row>
    <row r="944" spans="1:16" s="27" customFormat="1" ht="15" hidden="1" customHeight="1" x14ac:dyDescent="0.25">
      <c r="A944" s="6"/>
      <c r="B944" s="441"/>
      <c r="C944" s="2484"/>
      <c r="D944" s="2721"/>
      <c r="E944" s="2801"/>
      <c r="F944" s="3828"/>
      <c r="G944" s="2802"/>
      <c r="H944" s="2734"/>
      <c r="I944" s="2692"/>
      <c r="J944" s="2694"/>
      <c r="K944" s="2799"/>
      <c r="L944" s="899"/>
      <c r="M944" s="2692"/>
      <c r="N944" s="2701"/>
      <c r="P944" s="80"/>
    </row>
    <row r="945" spans="1:16" s="27" customFormat="1" ht="15.75" hidden="1" customHeight="1" x14ac:dyDescent="0.25">
      <c r="A945" s="6"/>
      <c r="B945" s="441"/>
      <c r="C945" s="2491" t="s">
        <v>1247</v>
      </c>
      <c r="D945" s="2692">
        <f>SUM(D946:D971)</f>
        <v>41441750000</v>
      </c>
      <c r="E945" s="2800">
        <f>D945/D927*100</f>
        <v>30.21554057285779</v>
      </c>
      <c r="F945" s="3834"/>
      <c r="G945" s="2722"/>
      <c r="H945" s="2695"/>
      <c r="I945" s="2692"/>
      <c r="J945" s="2723"/>
      <c r="K945" s="2723"/>
      <c r="L945" s="2751"/>
      <c r="M945" s="2692"/>
      <c r="N945" s="2701"/>
      <c r="P945" s="80"/>
    </row>
    <row r="946" spans="1:16" s="27" customFormat="1" hidden="1" x14ac:dyDescent="0.25">
      <c r="A946" s="6"/>
      <c r="B946" s="441"/>
      <c r="C946" s="2492" t="s">
        <v>6452</v>
      </c>
      <c r="D946" s="896">
        <v>8597500000</v>
      </c>
      <c r="E946" s="2789">
        <f>D946/D927*100</f>
        <v>6.2685120699571053</v>
      </c>
      <c r="F946" s="4437"/>
      <c r="G946" s="2685"/>
      <c r="H946" s="2685"/>
      <c r="I946" s="2685"/>
      <c r="J946" s="2700"/>
      <c r="K946" s="2700"/>
      <c r="L946" s="896"/>
      <c r="M946" s="896"/>
      <c r="N946" s="2701"/>
      <c r="P946" s="80"/>
    </row>
    <row r="947" spans="1:16" s="27" customFormat="1" ht="15.75" hidden="1" customHeight="1" x14ac:dyDescent="0.25">
      <c r="A947" s="6"/>
      <c r="B947" s="441"/>
      <c r="C947" s="2492" t="s">
        <v>6453</v>
      </c>
      <c r="D947" s="896">
        <v>7405000000</v>
      </c>
      <c r="E947" s="2789">
        <f>D947/D927*100</f>
        <v>5.3990499421962621</v>
      </c>
      <c r="F947" s="4437"/>
      <c r="G947" s="2685"/>
      <c r="H947" s="2690"/>
      <c r="I947" s="896"/>
      <c r="J947" s="2700"/>
      <c r="K947" s="2700"/>
      <c r="L947" s="896"/>
      <c r="M947" s="896"/>
      <c r="N947" s="2701"/>
      <c r="P947" s="80"/>
    </row>
    <row r="948" spans="1:16" s="27" customFormat="1" ht="14.25" hidden="1" customHeight="1" x14ac:dyDescent="0.25">
      <c r="A948" s="6"/>
      <c r="B948" s="441"/>
      <c r="C948" s="2486" t="s">
        <v>6454</v>
      </c>
      <c r="D948" s="896">
        <v>5658750000</v>
      </c>
      <c r="E948" s="2789">
        <f>D948/D927*100</f>
        <v>4.1258438704123028</v>
      </c>
      <c r="F948" s="4437"/>
      <c r="G948" s="2685"/>
      <c r="H948" s="2685"/>
      <c r="I948" s="2685"/>
      <c r="J948" s="2700"/>
      <c r="K948" s="2700"/>
      <c r="L948" s="896"/>
      <c r="M948" s="896"/>
      <c r="N948" s="2701"/>
      <c r="P948" s="80"/>
    </row>
    <row r="949" spans="1:16" s="27" customFormat="1" ht="20.25" hidden="1" customHeight="1" x14ac:dyDescent="0.25">
      <c r="A949" s="6"/>
      <c r="B949" s="441"/>
      <c r="C949" s="2486" t="s">
        <v>6455</v>
      </c>
      <c r="D949" s="896">
        <v>2582500000</v>
      </c>
      <c r="E949" s="2789">
        <f>D949/D927*100</f>
        <v>1.8829232242703373</v>
      </c>
      <c r="F949" s="4437"/>
      <c r="G949" s="2685"/>
      <c r="H949" s="2685"/>
      <c r="I949" s="2685"/>
      <c r="J949" s="2700"/>
      <c r="K949" s="2700"/>
      <c r="L949" s="896"/>
      <c r="M949" s="896"/>
      <c r="N949" s="2701"/>
      <c r="P949" s="80"/>
    </row>
    <row r="950" spans="1:16" s="27" customFormat="1" ht="17.25" hidden="1" customHeight="1" x14ac:dyDescent="0.25">
      <c r="A950" s="6"/>
      <c r="B950" s="441"/>
      <c r="C950" s="2486" t="s">
        <v>6456</v>
      </c>
      <c r="D950" s="896">
        <v>1200000000</v>
      </c>
      <c r="E950" s="2789">
        <f>D949/D927*100</f>
        <v>1.8829232242703373</v>
      </c>
      <c r="F950" s="4437"/>
      <c r="G950" s="2685"/>
      <c r="H950" s="2685"/>
      <c r="I950" s="2685"/>
      <c r="J950" s="2700"/>
      <c r="K950" s="2700"/>
      <c r="L950" s="2685"/>
      <c r="M950" s="2685"/>
      <c r="N950" s="2701"/>
      <c r="P950" s="80"/>
    </row>
    <row r="951" spans="1:16" s="27" customFormat="1" ht="15" hidden="1" customHeight="1" x14ac:dyDescent="0.25">
      <c r="A951" s="6"/>
      <c r="B951" s="441"/>
      <c r="C951" s="2493" t="s">
        <v>6457</v>
      </c>
      <c r="D951" s="940">
        <v>400000000</v>
      </c>
      <c r="E951" s="2789">
        <f>D951/D927*100</f>
        <v>0.29164348100992638</v>
      </c>
      <c r="F951" s="4438"/>
      <c r="G951" s="2685"/>
      <c r="H951" s="2685"/>
      <c r="I951" s="2685"/>
      <c r="J951" s="2700"/>
      <c r="K951" s="2700"/>
      <c r="L951" s="2685"/>
      <c r="M951" s="2685"/>
      <c r="N951" s="2701"/>
      <c r="P951" s="80"/>
    </row>
    <row r="952" spans="1:16" s="27" customFormat="1" ht="15.75" hidden="1" customHeight="1" x14ac:dyDescent="0.25">
      <c r="A952" s="6"/>
      <c r="B952" s="441"/>
      <c r="C952" s="2493" t="s">
        <v>6458</v>
      </c>
      <c r="D952" s="940">
        <v>400000000</v>
      </c>
      <c r="E952" s="2789">
        <f>D952/D927*100</f>
        <v>0.29164348100992638</v>
      </c>
      <c r="F952" s="4438"/>
      <c r="G952" s="2685"/>
      <c r="H952" s="2685"/>
      <c r="I952" s="2685"/>
      <c r="J952" s="2700"/>
      <c r="K952" s="2700"/>
      <c r="L952" s="2685"/>
      <c r="M952" s="2685"/>
      <c r="N952" s="2701"/>
      <c r="P952" s="80"/>
    </row>
    <row r="953" spans="1:16" s="27" customFormat="1" ht="17.25" hidden="1" customHeight="1" x14ac:dyDescent="0.25">
      <c r="A953" s="6"/>
      <c r="B953" s="441"/>
      <c r="C953" s="2493" t="s">
        <v>6459</v>
      </c>
      <c r="D953" s="940">
        <v>1350000000</v>
      </c>
      <c r="E953" s="2789">
        <f>D953/D927*100</f>
        <v>0.98429674840850145</v>
      </c>
      <c r="F953" s="4438"/>
      <c r="G953" s="2685"/>
      <c r="H953" s="2685"/>
      <c r="I953" s="2685"/>
      <c r="J953" s="2700"/>
      <c r="K953" s="2700"/>
      <c r="L953" s="2685"/>
      <c r="M953" s="2685"/>
      <c r="N953" s="2701"/>
      <c r="P953" s="80"/>
    </row>
    <row r="954" spans="1:16" s="27" customFormat="1" ht="17.25" hidden="1" customHeight="1" x14ac:dyDescent="0.25">
      <c r="A954" s="6"/>
      <c r="B954" s="441"/>
      <c r="C954" s="2493" t="s">
        <v>6460</v>
      </c>
      <c r="D954" s="940">
        <v>1860000000</v>
      </c>
      <c r="E954" s="2789">
        <f>D954/D927*100</f>
        <v>1.3561421866961576</v>
      </c>
      <c r="F954" s="4438"/>
      <c r="G954" s="2685"/>
      <c r="H954" s="2685"/>
      <c r="I954" s="2685"/>
      <c r="J954" s="2700"/>
      <c r="K954" s="2700"/>
      <c r="L954" s="2685"/>
      <c r="M954" s="2685"/>
      <c r="N954" s="2701"/>
      <c r="P954" s="80"/>
    </row>
    <row r="955" spans="1:16" s="27" customFormat="1" ht="13.5" hidden="1" customHeight="1" x14ac:dyDescent="0.25">
      <c r="A955" s="6"/>
      <c r="B955" s="441"/>
      <c r="C955" s="2493" t="s">
        <v>6461</v>
      </c>
      <c r="D955" s="940">
        <v>1728000000</v>
      </c>
      <c r="E955" s="2789">
        <f>D955/D927*100</f>
        <v>1.2598998379628821</v>
      </c>
      <c r="F955" s="4438"/>
      <c r="G955" s="2685"/>
      <c r="H955" s="2685"/>
      <c r="I955" s="2685"/>
      <c r="J955" s="2700"/>
      <c r="K955" s="2700"/>
      <c r="L955" s="2685"/>
      <c r="M955" s="2685"/>
      <c r="N955" s="2701"/>
      <c r="P955" s="80"/>
    </row>
    <row r="956" spans="1:16" s="27" customFormat="1" ht="17.25" hidden="1" customHeight="1" x14ac:dyDescent="0.25">
      <c r="A956" s="6"/>
      <c r="B956" s="441"/>
      <c r="C956" s="2493" t="s">
        <v>6462</v>
      </c>
      <c r="D956" s="940">
        <v>950000000</v>
      </c>
      <c r="E956" s="2789">
        <f>D956/D927*100</f>
        <v>0.69265326739857513</v>
      </c>
      <c r="F956" s="4438"/>
      <c r="G956" s="2685"/>
      <c r="H956" s="2685"/>
      <c r="I956" s="2685"/>
      <c r="J956" s="2700"/>
      <c r="K956" s="2700"/>
      <c r="L956" s="2685"/>
      <c r="M956" s="2685"/>
      <c r="N956" s="2701"/>
      <c r="P956" s="80"/>
    </row>
    <row r="957" spans="1:16" s="27" customFormat="1" ht="14.25" hidden="1" customHeight="1" x14ac:dyDescent="0.25">
      <c r="A957" s="6"/>
      <c r="B957" s="441"/>
      <c r="C957" s="2493" t="s">
        <v>6463</v>
      </c>
      <c r="D957" s="940">
        <v>1500000000</v>
      </c>
      <c r="E957" s="2789">
        <f>D957/D927*100</f>
        <v>1.0936630537872238</v>
      </c>
      <c r="F957" s="4438"/>
      <c r="G957" s="2685"/>
      <c r="H957" s="2685"/>
      <c r="I957" s="2685"/>
      <c r="J957" s="2700"/>
      <c r="K957" s="2700"/>
      <c r="L957" s="2685"/>
      <c r="M957" s="2685"/>
      <c r="N957" s="2701"/>
      <c r="P957" s="80"/>
    </row>
    <row r="958" spans="1:16" s="27" customFormat="1" ht="17.25" hidden="1" customHeight="1" x14ac:dyDescent="0.25">
      <c r="A958" s="6"/>
      <c r="B958" s="441"/>
      <c r="C958" s="2493" t="s">
        <v>6464</v>
      </c>
      <c r="D958" s="940">
        <v>1425000000</v>
      </c>
      <c r="E958" s="2789">
        <f>D958/D927*100</f>
        <v>1.0389799010978629</v>
      </c>
      <c r="F958" s="4438"/>
      <c r="G958" s="2685"/>
      <c r="H958" s="2685"/>
      <c r="I958" s="2685"/>
      <c r="J958" s="2700"/>
      <c r="K958" s="2700"/>
      <c r="L958" s="2685"/>
      <c r="M958" s="2685"/>
      <c r="N958" s="2701"/>
      <c r="P958" s="80"/>
    </row>
    <row r="959" spans="1:16" s="27" customFormat="1" ht="17.25" hidden="1" customHeight="1" x14ac:dyDescent="0.25">
      <c r="A959" s="6"/>
      <c r="B959" s="441"/>
      <c r="C959" s="2493" t="s">
        <v>6465</v>
      </c>
      <c r="D959" s="940">
        <v>750000000</v>
      </c>
      <c r="E959" s="2789">
        <f>D959/D927*100</f>
        <v>0.54683152689361192</v>
      </c>
      <c r="F959" s="4438"/>
      <c r="G959" s="2685"/>
      <c r="H959" s="2685"/>
      <c r="I959" s="2685"/>
      <c r="J959" s="2700"/>
      <c r="K959" s="2700"/>
      <c r="L959" s="2685"/>
      <c r="M959" s="2685"/>
      <c r="N959" s="2701"/>
      <c r="P959" s="80"/>
    </row>
    <row r="960" spans="1:16" s="27" customFormat="1" ht="18" hidden="1" customHeight="1" x14ac:dyDescent="0.25">
      <c r="A960" s="6"/>
      <c r="B960" s="441"/>
      <c r="C960" s="2493" t="s">
        <v>6466</v>
      </c>
      <c r="D960" s="940">
        <v>750000000</v>
      </c>
      <c r="E960" s="2789">
        <f>D960/D927*100</f>
        <v>0.54683152689361192</v>
      </c>
      <c r="F960" s="4439"/>
      <c r="G960" s="2685"/>
      <c r="H960" s="2690"/>
      <c r="I960" s="2805"/>
      <c r="J960" s="2700"/>
      <c r="K960" s="2700"/>
      <c r="L960" s="896"/>
      <c r="M960" s="2805"/>
      <c r="N960" s="2701"/>
      <c r="P960" s="80"/>
    </row>
    <row r="961" spans="1:16" s="27" customFormat="1" ht="18" hidden="1" customHeight="1" x14ac:dyDescent="0.25">
      <c r="A961" s="6"/>
      <c r="B961" s="441"/>
      <c r="C961" s="2493" t="s">
        <v>6467</v>
      </c>
      <c r="D961" s="940">
        <v>1250000000</v>
      </c>
      <c r="E961" s="2789">
        <f>D961/D927*100</f>
        <v>0.9113858781560199</v>
      </c>
      <c r="F961" s="4439"/>
      <c r="G961" s="2685"/>
      <c r="H961" s="2690"/>
      <c r="I961" s="2805"/>
      <c r="J961" s="2700"/>
      <c r="K961" s="2700"/>
      <c r="L961" s="2769"/>
      <c r="M961" s="2806"/>
      <c r="N961" s="2701"/>
      <c r="P961" s="80"/>
    </row>
    <row r="962" spans="1:16" s="27" customFormat="1" ht="18" hidden="1" customHeight="1" x14ac:dyDescent="0.25">
      <c r="A962" s="6"/>
      <c r="B962" s="441"/>
      <c r="C962" s="2493" t="s">
        <v>6468</v>
      </c>
      <c r="D962" s="940">
        <v>1250000000</v>
      </c>
      <c r="E962" s="2789">
        <f>D962/D927*100</f>
        <v>0.9113858781560199</v>
      </c>
      <c r="F962" s="4439"/>
      <c r="G962" s="2685"/>
      <c r="H962" s="2690"/>
      <c r="I962" s="2805"/>
      <c r="J962" s="2700"/>
      <c r="K962" s="2700"/>
      <c r="L962" s="2769"/>
      <c r="M962" s="2806"/>
      <c r="N962" s="2701"/>
      <c r="P962" s="80"/>
    </row>
    <row r="963" spans="1:16" s="27" customFormat="1" ht="18" hidden="1" customHeight="1" x14ac:dyDescent="0.25">
      <c r="A963" s="6"/>
      <c r="B963" s="441"/>
      <c r="C963" s="2493" t="s">
        <v>6469</v>
      </c>
      <c r="D963" s="940">
        <v>210000000</v>
      </c>
      <c r="E963" s="2789">
        <f>D963/D927*100</f>
        <v>0.15311282753021135</v>
      </c>
      <c r="F963" s="4439"/>
      <c r="G963" s="2685"/>
      <c r="H963" s="2690"/>
      <c r="I963" s="2805"/>
      <c r="J963" s="2700"/>
      <c r="K963" s="2700"/>
      <c r="L963" s="2769"/>
      <c r="M963" s="2806"/>
      <c r="N963" s="2701"/>
      <c r="P963" s="80"/>
    </row>
    <row r="964" spans="1:16" s="27" customFormat="1" ht="18" hidden="1" customHeight="1" x14ac:dyDescent="0.25">
      <c r="A964" s="6"/>
      <c r="B964" s="441"/>
      <c r="C964" s="2493" t="s">
        <v>6470</v>
      </c>
      <c r="D964" s="940">
        <v>675000000</v>
      </c>
      <c r="E964" s="2789">
        <f>D964/D927*100</f>
        <v>0.49214837420425073</v>
      </c>
      <c r="F964" s="4439"/>
      <c r="G964" s="2685"/>
      <c r="H964" s="2690"/>
      <c r="I964" s="2805"/>
      <c r="J964" s="2700"/>
      <c r="K964" s="2700"/>
      <c r="L964" s="2769"/>
      <c r="M964" s="2806"/>
      <c r="N964" s="2701"/>
      <c r="P964" s="80"/>
    </row>
    <row r="965" spans="1:16" s="27" customFormat="1" ht="18" hidden="1" customHeight="1" x14ac:dyDescent="0.25">
      <c r="A965" s="6"/>
      <c r="B965" s="441"/>
      <c r="C965" s="2493" t="s">
        <v>6471</v>
      </c>
      <c r="D965" s="940">
        <v>225000000</v>
      </c>
      <c r="E965" s="2789">
        <f>D965/D927*100</f>
        <v>0.16404945806808358</v>
      </c>
      <c r="F965" s="4439"/>
      <c r="G965" s="2685"/>
      <c r="H965" s="2690"/>
      <c r="I965" s="2805"/>
      <c r="J965" s="2700"/>
      <c r="K965" s="2700"/>
      <c r="L965" s="2769"/>
      <c r="M965" s="2806"/>
      <c r="N965" s="2701"/>
      <c r="P965" s="80"/>
    </row>
    <row r="966" spans="1:16" s="27" customFormat="1" ht="18" hidden="1" customHeight="1" x14ac:dyDescent="0.25">
      <c r="A966" s="6"/>
      <c r="B966" s="441"/>
      <c r="C966" s="2493" t="s">
        <v>6472</v>
      </c>
      <c r="D966" s="940">
        <v>270000000</v>
      </c>
      <c r="E966" s="2789">
        <f>D966/D927*100</f>
        <v>0.19685934968170032</v>
      </c>
      <c r="F966" s="4439"/>
      <c r="G966" s="2685"/>
      <c r="H966" s="2690"/>
      <c r="I966" s="2805"/>
      <c r="J966" s="2700"/>
      <c r="K966" s="2700"/>
      <c r="L966" s="2769"/>
      <c r="M966" s="2806"/>
      <c r="N966" s="2701"/>
      <c r="P966" s="80"/>
    </row>
    <row r="967" spans="1:16" s="27" customFormat="1" ht="18" hidden="1" customHeight="1" x14ac:dyDescent="0.25">
      <c r="A967" s="6"/>
      <c r="B967" s="441"/>
      <c r="C967" s="2493" t="s">
        <v>6473</v>
      </c>
      <c r="D967" s="940">
        <v>225000000</v>
      </c>
      <c r="E967" s="2789">
        <f>D967/D927*100</f>
        <v>0.16404945806808358</v>
      </c>
      <c r="F967" s="4439"/>
      <c r="G967" s="2685"/>
      <c r="H967" s="2690"/>
      <c r="I967" s="2805"/>
      <c r="J967" s="2700"/>
      <c r="K967" s="2700"/>
      <c r="L967" s="2769"/>
      <c r="M967" s="2806"/>
      <c r="N967" s="2701"/>
      <c r="P967" s="80"/>
    </row>
    <row r="968" spans="1:16" s="27" customFormat="1" ht="18" hidden="1" customHeight="1" x14ac:dyDescent="0.25">
      <c r="A968" s="6"/>
      <c r="B968" s="441"/>
      <c r="C968" s="2493" t="s">
        <v>6474</v>
      </c>
      <c r="D968" s="940">
        <v>240000000</v>
      </c>
      <c r="E968" s="2789">
        <f>D968/D927*100</f>
        <v>0.17498608860595583</v>
      </c>
      <c r="F968" s="4439"/>
      <c r="G968" s="2685"/>
      <c r="H968" s="2690"/>
      <c r="I968" s="2805"/>
      <c r="J968" s="2700"/>
      <c r="K968" s="2700"/>
      <c r="L968" s="2769"/>
      <c r="M968" s="2806"/>
      <c r="N968" s="2701"/>
      <c r="P968" s="80"/>
    </row>
    <row r="969" spans="1:16" s="27" customFormat="1" ht="18" hidden="1" customHeight="1" x14ac:dyDescent="0.25">
      <c r="A969" s="6"/>
      <c r="B969" s="441"/>
      <c r="C969" s="2493" t="s">
        <v>6475</v>
      </c>
      <c r="D969" s="940">
        <v>240000000</v>
      </c>
      <c r="E969" s="2789">
        <f>D969/D927*100</f>
        <v>0.17498608860595583</v>
      </c>
      <c r="F969" s="4439"/>
      <c r="G969" s="2685"/>
      <c r="H969" s="2690"/>
      <c r="I969" s="2805"/>
      <c r="J969" s="2700"/>
      <c r="K969" s="2700"/>
      <c r="L969" s="2769"/>
      <c r="M969" s="2806"/>
      <c r="N969" s="2701"/>
      <c r="P969" s="80"/>
    </row>
    <row r="970" spans="1:16" s="27" customFormat="1" ht="18" hidden="1" customHeight="1" x14ac:dyDescent="0.25">
      <c r="A970" s="6"/>
      <c r="B970" s="441"/>
      <c r="C970" s="2493" t="s">
        <v>6476</v>
      </c>
      <c r="D970" s="940">
        <v>225000000</v>
      </c>
      <c r="E970" s="2789">
        <f>D970/D927*100</f>
        <v>0.16404945806808358</v>
      </c>
      <c r="F970" s="4439"/>
      <c r="G970" s="2685"/>
      <c r="H970" s="2690"/>
      <c r="I970" s="2805"/>
      <c r="J970" s="2700"/>
      <c r="K970" s="2700"/>
      <c r="L970" s="2769"/>
      <c r="M970" s="2806"/>
      <c r="N970" s="2701"/>
      <c r="P970" s="80"/>
    </row>
    <row r="971" spans="1:16" s="27" customFormat="1" ht="15" hidden="1" customHeight="1" x14ac:dyDescent="0.25">
      <c r="A971" s="6"/>
      <c r="B971" s="441"/>
      <c r="C971" s="2493" t="s">
        <v>6477</v>
      </c>
      <c r="D971" s="940">
        <v>75000000</v>
      </c>
      <c r="E971" s="2789">
        <f>D971/D927*100</f>
        <v>5.4683152689361199E-2</v>
      </c>
      <c r="F971" s="4439"/>
      <c r="G971" s="2685"/>
      <c r="H971" s="2690"/>
      <c r="I971" s="2805"/>
      <c r="J971" s="2700"/>
      <c r="K971" s="2700"/>
      <c r="L971" s="2769"/>
      <c r="M971" s="2806"/>
      <c r="N971" s="2701"/>
      <c r="P971" s="80"/>
    </row>
    <row r="972" spans="1:16" s="27" customFormat="1" ht="10.5" hidden="1" customHeight="1" x14ac:dyDescent="0.25">
      <c r="A972" s="6"/>
      <c r="B972" s="441"/>
      <c r="C972" s="2493"/>
      <c r="D972" s="940"/>
      <c r="E972" s="2789"/>
      <c r="F972" s="4439"/>
      <c r="G972" s="2685"/>
      <c r="H972" s="2690"/>
      <c r="I972" s="2805"/>
      <c r="J972" s="2700"/>
      <c r="K972" s="2700"/>
      <c r="L972" s="2769"/>
      <c r="M972" s="2806"/>
      <c r="N972" s="2701"/>
      <c r="P972" s="80"/>
    </row>
    <row r="973" spans="1:16" s="27" customFormat="1" ht="16.5" hidden="1" customHeight="1" x14ac:dyDescent="0.25">
      <c r="A973" s="6"/>
      <c r="B973" s="441"/>
      <c r="C973" s="2491" t="s">
        <v>6438</v>
      </c>
      <c r="D973" s="2692">
        <f>SUM(D974:D976)</f>
        <v>2497500000</v>
      </c>
      <c r="E973" s="2800">
        <f>D973/D927*100</f>
        <v>1.8209489845557278</v>
      </c>
      <c r="F973" s="3834"/>
      <c r="G973" s="2679"/>
      <c r="H973" s="2695"/>
      <c r="I973" s="899"/>
      <c r="J973" s="2694"/>
      <c r="K973" s="2694"/>
      <c r="L973" s="2751"/>
      <c r="M973" s="2751"/>
      <c r="N973" s="2701"/>
      <c r="P973" s="80"/>
    </row>
    <row r="974" spans="1:16" s="27" customFormat="1" ht="18" hidden="1" customHeight="1" x14ac:dyDescent="0.25">
      <c r="A974" s="6"/>
      <c r="B974" s="441"/>
      <c r="C974" s="2494" t="s">
        <v>6478</v>
      </c>
      <c r="D974" s="896">
        <v>840000000</v>
      </c>
      <c r="E974" s="2789">
        <f>D974/D927*100</f>
        <v>0.61245131012084542</v>
      </c>
      <c r="F974" s="4437"/>
      <c r="G974" s="2685"/>
      <c r="H974" s="2690"/>
      <c r="I974" s="896"/>
      <c r="J974" s="2700"/>
      <c r="K974" s="2700"/>
      <c r="L974" s="896"/>
      <c r="M974" s="896"/>
      <c r="N974" s="2701"/>
      <c r="P974" s="80"/>
    </row>
    <row r="975" spans="1:16" s="27" customFormat="1" ht="15.75" hidden="1" customHeight="1" x14ac:dyDescent="0.25">
      <c r="A975" s="6"/>
      <c r="B975" s="441"/>
      <c r="C975" s="2495" t="s">
        <v>6479</v>
      </c>
      <c r="D975" s="2709">
        <v>157500000</v>
      </c>
      <c r="E975" s="2789">
        <f>D975/D927*100</f>
        <v>0.11483462064765851</v>
      </c>
      <c r="F975" s="4440"/>
      <c r="G975" s="2708"/>
      <c r="H975" s="2710"/>
      <c r="I975" s="2709"/>
      <c r="J975" s="2700"/>
      <c r="K975" s="2700"/>
      <c r="L975" s="896"/>
      <c r="M975" s="896"/>
      <c r="N975" s="2701"/>
      <c r="P975" s="80"/>
    </row>
    <row r="976" spans="1:16" s="27" customFormat="1" ht="18" hidden="1" customHeight="1" x14ac:dyDescent="0.25">
      <c r="A976" s="6"/>
      <c r="B976" s="441"/>
      <c r="C976" s="2495" t="s">
        <v>6480</v>
      </c>
      <c r="D976" s="2709">
        <v>1500000000</v>
      </c>
      <c r="E976" s="2789">
        <f>D976/D927*100</f>
        <v>1.0936630537872238</v>
      </c>
      <c r="F976" s="4440"/>
      <c r="G976" s="2708"/>
      <c r="H976" s="2710"/>
      <c r="I976" s="2709"/>
      <c r="J976" s="2700"/>
      <c r="K976" s="2700"/>
      <c r="L976" s="896"/>
      <c r="M976" s="896"/>
      <c r="N976" s="2701"/>
      <c r="P976" s="80"/>
    </row>
    <row r="977" spans="1:16" s="27" customFormat="1" ht="9.75" hidden="1" customHeight="1" x14ac:dyDescent="0.25">
      <c r="A977" s="6"/>
      <c r="B977" s="441"/>
      <c r="C977" s="2495"/>
      <c r="D977" s="2709"/>
      <c r="E977" s="2789"/>
      <c r="F977" s="4440"/>
      <c r="G977" s="2708"/>
      <c r="H977" s="2710"/>
      <c r="I977" s="2709"/>
      <c r="J977" s="2700"/>
      <c r="K977" s="2700"/>
      <c r="L977" s="896"/>
      <c r="M977" s="896"/>
      <c r="N977" s="2701"/>
      <c r="P977" s="80"/>
    </row>
    <row r="978" spans="1:16" s="27" customFormat="1" ht="18" hidden="1" customHeight="1" x14ac:dyDescent="0.25">
      <c r="A978" s="6"/>
      <c r="B978" s="441"/>
      <c r="C978" s="2496" t="s">
        <v>2116</v>
      </c>
      <c r="D978" s="2767">
        <f>SUM(D979:D992)</f>
        <v>12817510000</v>
      </c>
      <c r="E978" s="2800">
        <f>D978/D927*100</f>
        <v>9.3453580856988534</v>
      </c>
      <c r="F978" s="4440"/>
      <c r="G978" s="2708"/>
      <c r="H978" s="2710"/>
      <c r="I978" s="2709"/>
      <c r="J978" s="2700"/>
      <c r="K978" s="2700"/>
      <c r="L978" s="896"/>
      <c r="M978" s="896"/>
      <c r="N978" s="2701"/>
      <c r="P978" s="80"/>
    </row>
    <row r="979" spans="1:16" s="27" customFormat="1" ht="18" hidden="1" customHeight="1" x14ac:dyDescent="0.25">
      <c r="A979" s="6"/>
      <c r="B979" s="441"/>
      <c r="C979" s="2495" t="s">
        <v>6481</v>
      </c>
      <c r="D979" s="2709">
        <v>200000000</v>
      </c>
      <c r="E979" s="2789">
        <f>D979/D927*100</f>
        <v>0.14582174050496319</v>
      </c>
      <c r="F979" s="4440"/>
      <c r="G979" s="2708"/>
      <c r="H979" s="2710"/>
      <c r="I979" s="2709"/>
      <c r="J979" s="2700"/>
      <c r="K979" s="2700"/>
      <c r="L979" s="896"/>
      <c r="M979" s="896"/>
      <c r="N979" s="2701"/>
      <c r="P979" s="80"/>
    </row>
    <row r="980" spans="1:16" s="27" customFormat="1" ht="18" hidden="1" customHeight="1" x14ac:dyDescent="0.25">
      <c r="A980" s="6"/>
      <c r="B980" s="441"/>
      <c r="C980" s="2495" t="s">
        <v>6482</v>
      </c>
      <c r="D980" s="2709">
        <v>240000000</v>
      </c>
      <c r="E980" s="2789">
        <f>D980/D927*100</f>
        <v>0.17498608860595583</v>
      </c>
      <c r="F980" s="4440"/>
      <c r="G980" s="2708"/>
      <c r="H980" s="2710"/>
      <c r="I980" s="2709"/>
      <c r="J980" s="2700"/>
      <c r="K980" s="2700"/>
      <c r="L980" s="896"/>
      <c r="M980" s="896"/>
      <c r="N980" s="2701"/>
      <c r="P980" s="80"/>
    </row>
    <row r="981" spans="1:16" s="27" customFormat="1" ht="18" hidden="1" customHeight="1" x14ac:dyDescent="0.25">
      <c r="A981" s="6"/>
      <c r="B981" s="441"/>
      <c r="C981" s="2495" t="s">
        <v>6483</v>
      </c>
      <c r="D981" s="2709">
        <v>160000000</v>
      </c>
      <c r="E981" s="2789">
        <f>D981/D927*100</f>
        <v>0.11665739240397056</v>
      </c>
      <c r="F981" s="4440"/>
      <c r="G981" s="2708"/>
      <c r="H981" s="2710"/>
      <c r="I981" s="2709"/>
      <c r="J981" s="2700"/>
      <c r="K981" s="2700"/>
      <c r="L981" s="896"/>
      <c r="M981" s="896"/>
      <c r="N981" s="2701"/>
      <c r="P981" s="80"/>
    </row>
    <row r="982" spans="1:16" s="27" customFormat="1" ht="18" hidden="1" customHeight="1" x14ac:dyDescent="0.25">
      <c r="A982" s="6"/>
      <c r="B982" s="441"/>
      <c r="C982" s="2495" t="s">
        <v>6484</v>
      </c>
      <c r="D982" s="2709">
        <v>360000000</v>
      </c>
      <c r="E982" s="2789">
        <f>D982/D927*100</f>
        <v>0.26247913290893377</v>
      </c>
      <c r="F982" s="4440"/>
      <c r="G982" s="2708"/>
      <c r="H982" s="2710"/>
      <c r="I982" s="2709"/>
      <c r="J982" s="2700"/>
      <c r="K982" s="2700"/>
      <c r="L982" s="896"/>
      <c r="M982" s="896"/>
      <c r="N982" s="2701"/>
      <c r="P982" s="80"/>
    </row>
    <row r="983" spans="1:16" s="27" customFormat="1" ht="18" hidden="1" customHeight="1" x14ac:dyDescent="0.25">
      <c r="A983" s="6"/>
      <c r="B983" s="441"/>
      <c r="C983" s="2495" t="s">
        <v>6485</v>
      </c>
      <c r="D983" s="2709">
        <v>150000000</v>
      </c>
      <c r="E983" s="2789">
        <f>D983/D927*100</f>
        <v>0.1093663053787224</v>
      </c>
      <c r="F983" s="4440"/>
      <c r="G983" s="2708"/>
      <c r="H983" s="2710"/>
      <c r="I983" s="2709"/>
      <c r="J983" s="2700"/>
      <c r="K983" s="2700"/>
      <c r="L983" s="896"/>
      <c r="M983" s="896"/>
      <c r="N983" s="2701"/>
      <c r="P983" s="80"/>
    </row>
    <row r="984" spans="1:16" s="27" customFormat="1" ht="18" hidden="1" customHeight="1" x14ac:dyDescent="0.25">
      <c r="A984" s="6"/>
      <c r="B984" s="441"/>
      <c r="C984" s="2495" t="s">
        <v>6486</v>
      </c>
      <c r="D984" s="2709">
        <v>150000000</v>
      </c>
      <c r="E984" s="2789">
        <f>D984/D927*100</f>
        <v>0.1093663053787224</v>
      </c>
      <c r="F984" s="4440"/>
      <c r="G984" s="2708"/>
      <c r="H984" s="2710"/>
      <c r="I984" s="2709"/>
      <c r="J984" s="2700"/>
      <c r="K984" s="2700"/>
      <c r="L984" s="896"/>
      <c r="M984" s="896"/>
      <c r="N984" s="2701"/>
      <c r="P984" s="80"/>
    </row>
    <row r="985" spans="1:16" s="27" customFormat="1" ht="16.5" hidden="1" customHeight="1" x14ac:dyDescent="0.25">
      <c r="A985" s="6"/>
      <c r="B985" s="441"/>
      <c r="C985" s="2495" t="s">
        <v>6487</v>
      </c>
      <c r="D985" s="2709">
        <v>1200000000</v>
      </c>
      <c r="E985" s="2789">
        <f>D985/D927*100</f>
        <v>0.87493044302977918</v>
      </c>
      <c r="F985" s="4440"/>
      <c r="G985" s="2708"/>
      <c r="H985" s="2710"/>
      <c r="I985" s="2709"/>
      <c r="J985" s="2700"/>
      <c r="K985" s="2700"/>
      <c r="L985" s="896"/>
      <c r="M985" s="896"/>
      <c r="N985" s="2701"/>
      <c r="P985" s="80"/>
    </row>
    <row r="986" spans="1:16" s="27" customFormat="1" ht="18" hidden="1" customHeight="1" x14ac:dyDescent="0.25">
      <c r="A986" s="6"/>
      <c r="B986" s="441"/>
      <c r="C986" s="2495" t="s">
        <v>6488</v>
      </c>
      <c r="D986" s="2709">
        <v>700000000</v>
      </c>
      <c r="E986" s="2789">
        <f>D986/D927*100</f>
        <v>0.5103760917673712</v>
      </c>
      <c r="F986" s="4440"/>
      <c r="G986" s="2708"/>
      <c r="H986" s="2710"/>
      <c r="I986" s="2709"/>
      <c r="J986" s="2700"/>
      <c r="K986" s="2700"/>
      <c r="L986" s="896"/>
      <c r="M986" s="896"/>
      <c r="N986" s="2701"/>
      <c r="P986" s="80"/>
    </row>
    <row r="987" spans="1:16" s="27" customFormat="1" ht="15" hidden="1" customHeight="1" x14ac:dyDescent="0.25">
      <c r="A987" s="6"/>
      <c r="B987" s="441"/>
      <c r="C987" s="2495" t="s">
        <v>6489</v>
      </c>
      <c r="D987" s="2709">
        <v>1575000000</v>
      </c>
      <c r="E987" s="2789">
        <f>D987/D927*100</f>
        <v>1.148346206476585</v>
      </c>
      <c r="F987" s="4440"/>
      <c r="G987" s="2708"/>
      <c r="H987" s="2710"/>
      <c r="I987" s="2709"/>
      <c r="J987" s="2700"/>
      <c r="K987" s="2700"/>
      <c r="L987" s="896"/>
      <c r="M987" s="896"/>
      <c r="N987" s="2701"/>
      <c r="P987" s="80"/>
    </row>
    <row r="988" spans="1:16" s="27" customFormat="1" ht="18" hidden="1" customHeight="1" x14ac:dyDescent="0.25">
      <c r="A988" s="6"/>
      <c r="B988" s="441"/>
      <c r="C988" s="2495" t="s">
        <v>6490</v>
      </c>
      <c r="D988" s="2709">
        <v>840000000</v>
      </c>
      <c r="E988" s="2789">
        <f>D988/D927*100</f>
        <v>0.61245131012084542</v>
      </c>
      <c r="F988" s="4440"/>
      <c r="G988" s="2708"/>
      <c r="H988" s="2710"/>
      <c r="I988" s="2709"/>
      <c r="J988" s="2700"/>
      <c r="K988" s="2700"/>
      <c r="L988" s="896"/>
      <c r="M988" s="896"/>
      <c r="N988" s="2701"/>
      <c r="P988" s="80"/>
    </row>
    <row r="989" spans="1:16" s="27" customFormat="1" ht="18" hidden="1" customHeight="1" x14ac:dyDescent="0.25">
      <c r="A989" s="6"/>
      <c r="B989" s="441"/>
      <c r="C989" s="2495" t="s">
        <v>6491</v>
      </c>
      <c r="D989" s="2709">
        <v>700000000</v>
      </c>
      <c r="E989" s="2789">
        <f>D989/D927*100</f>
        <v>0.5103760917673712</v>
      </c>
      <c r="F989" s="4440"/>
      <c r="G989" s="2708"/>
      <c r="H989" s="2710"/>
      <c r="I989" s="2709"/>
      <c r="J989" s="2700"/>
      <c r="K989" s="2700"/>
      <c r="L989" s="896"/>
      <c r="M989" s="896"/>
      <c r="N989" s="2701"/>
      <c r="P989" s="80"/>
    </row>
    <row r="990" spans="1:16" s="27" customFormat="1" ht="18" hidden="1" customHeight="1" x14ac:dyDescent="0.25">
      <c r="A990" s="6"/>
      <c r="B990" s="441"/>
      <c r="C990" s="2495" t="s">
        <v>6492</v>
      </c>
      <c r="D990" s="2709">
        <v>750000000</v>
      </c>
      <c r="E990" s="2789">
        <f>D990/D927*100</f>
        <v>0.54683152689361192</v>
      </c>
      <c r="F990" s="4440"/>
      <c r="G990" s="2708"/>
      <c r="H990" s="2710"/>
      <c r="I990" s="2709"/>
      <c r="J990" s="2700"/>
      <c r="K990" s="2700"/>
      <c r="L990" s="896"/>
      <c r="M990" s="896"/>
      <c r="N990" s="2701"/>
      <c r="P990" s="80"/>
    </row>
    <row r="991" spans="1:16" s="27" customFormat="1" ht="18" hidden="1" customHeight="1" x14ac:dyDescent="0.25">
      <c r="A991" s="6"/>
      <c r="B991" s="441"/>
      <c r="C991" s="2495" t="s">
        <v>6493</v>
      </c>
      <c r="D991" s="2709">
        <v>550000000</v>
      </c>
      <c r="E991" s="2789">
        <f>D991/D927*100</f>
        <v>0.4010097863886487</v>
      </c>
      <c r="F991" s="4440"/>
      <c r="G991" s="2708"/>
      <c r="H991" s="2710"/>
      <c r="I991" s="2709"/>
      <c r="J991" s="2700"/>
      <c r="K991" s="2700"/>
      <c r="L991" s="896"/>
      <c r="M991" s="896"/>
      <c r="N991" s="2701"/>
      <c r="P991" s="80"/>
    </row>
    <row r="992" spans="1:16" s="27" customFormat="1" ht="18" hidden="1" customHeight="1" x14ac:dyDescent="0.25">
      <c r="A992" s="6"/>
      <c r="B992" s="441"/>
      <c r="C992" s="2495" t="s">
        <v>6494</v>
      </c>
      <c r="D992" s="2709">
        <v>5242510000</v>
      </c>
      <c r="E992" s="2789">
        <f>D992/D927*100</f>
        <v>3.8223596640733728</v>
      </c>
      <c r="F992" s="4440"/>
      <c r="G992" s="2708"/>
      <c r="H992" s="2710"/>
      <c r="I992" s="2709"/>
      <c r="J992" s="2700"/>
      <c r="K992" s="2700"/>
      <c r="L992" s="896"/>
      <c r="M992" s="896"/>
      <c r="N992" s="2701"/>
      <c r="P992" s="80"/>
    </row>
    <row r="993" spans="1:16" ht="13.5" hidden="1" customHeight="1" x14ac:dyDescent="0.25">
      <c r="B993" s="441"/>
      <c r="C993" s="2496"/>
      <c r="D993" s="2706"/>
      <c r="E993" s="2807"/>
      <c r="F993" s="4431"/>
      <c r="G993" s="2728"/>
      <c r="H993" s="2710"/>
      <c r="I993" s="2728"/>
      <c r="J993" s="898"/>
      <c r="K993" s="898"/>
      <c r="L993" s="898"/>
      <c r="M993" s="898"/>
      <c r="N993" s="2768"/>
    </row>
    <row r="994" spans="1:16" s="27" customFormat="1" ht="18.75" hidden="1" customHeight="1" x14ac:dyDescent="0.25">
      <c r="A994" s="6"/>
      <c r="B994" s="440"/>
      <c r="C994" s="2497" t="s">
        <v>252</v>
      </c>
      <c r="D994" s="2669">
        <f>SUM(D995+D998+D1026)</f>
        <v>14215595540</v>
      </c>
      <c r="E994" s="2786">
        <f>D994/D927*100</f>
        <v>10.36471441978696</v>
      </c>
      <c r="F994" s="3835"/>
      <c r="G994" s="2719"/>
      <c r="H994" s="2672"/>
      <c r="I994" s="2669"/>
      <c r="J994" s="2720"/>
      <c r="K994" s="2720"/>
      <c r="L994" s="2672"/>
      <c r="M994" s="2669"/>
      <c r="N994" s="2701"/>
      <c r="P994" s="80"/>
    </row>
    <row r="995" spans="1:16" s="27" customFormat="1" ht="18.75" hidden="1" customHeight="1" x14ac:dyDescent="0.25">
      <c r="A995" s="6"/>
      <c r="B995" s="441"/>
      <c r="C995" s="2498" t="s">
        <v>253</v>
      </c>
      <c r="D995" s="2808">
        <f>SUM(D996)</f>
        <v>5242515540</v>
      </c>
      <c r="E995" s="2801">
        <f>D995/D927*100</f>
        <v>3.8223637033355851</v>
      </c>
      <c r="F995" s="3836"/>
      <c r="G995" s="2722"/>
      <c r="H995" s="2722"/>
      <c r="I995" s="2722"/>
      <c r="J995" s="2809"/>
      <c r="K995" s="2723"/>
      <c r="L995" s="2722"/>
      <c r="M995" s="2722"/>
      <c r="N995" s="2701"/>
      <c r="P995" s="80"/>
    </row>
    <row r="996" spans="1:16" s="27" customFormat="1" ht="18" hidden="1" customHeight="1" x14ac:dyDescent="0.25">
      <c r="A996" s="6"/>
      <c r="B996" s="441"/>
      <c r="C996" s="2489" t="s">
        <v>254</v>
      </c>
      <c r="D996" s="896">
        <v>5242515540</v>
      </c>
      <c r="E996" s="2810">
        <f>D996/D927*100</f>
        <v>3.8223637033355851</v>
      </c>
      <c r="F996" s="4437"/>
      <c r="G996" s="2685"/>
      <c r="H996" s="2685"/>
      <c r="I996" s="2685"/>
      <c r="J996" s="2811"/>
      <c r="K996" s="2700"/>
      <c r="L996" s="2685"/>
      <c r="M996" s="2685"/>
      <c r="N996" s="2701"/>
      <c r="P996" s="80"/>
    </row>
    <row r="997" spans="1:16" s="27" customFormat="1" ht="9.75" hidden="1" customHeight="1" x14ac:dyDescent="0.25">
      <c r="A997" s="6"/>
      <c r="B997" s="441"/>
      <c r="C997" s="2494"/>
      <c r="D997" s="2698"/>
      <c r="E997" s="2810"/>
      <c r="F997" s="4384"/>
      <c r="G997" s="2685"/>
      <c r="H997" s="2695"/>
      <c r="I997" s="899"/>
      <c r="J997" s="2700"/>
      <c r="K997" s="2700"/>
      <c r="L997" s="899"/>
      <c r="M997" s="899"/>
      <c r="N997" s="2701"/>
      <c r="P997" s="80"/>
    </row>
    <row r="998" spans="1:16" s="27" customFormat="1" ht="16.5" hidden="1" customHeight="1" x14ac:dyDescent="0.25">
      <c r="A998" s="6"/>
      <c r="B998" s="441"/>
      <c r="C998" s="2499" t="s">
        <v>255</v>
      </c>
      <c r="D998" s="2812">
        <f>SUM(D999:D1024)</f>
        <v>7093440000</v>
      </c>
      <c r="E998" s="2813">
        <f>D998/D927*100</f>
        <v>5.1718888348376302</v>
      </c>
      <c r="F998" s="3837"/>
      <c r="G998" s="2814"/>
      <c r="H998" s="2695"/>
      <c r="I998" s="899"/>
      <c r="J998" s="2814"/>
      <c r="K998" s="2814"/>
      <c r="L998" s="2751"/>
      <c r="M998" s="899"/>
      <c r="N998" s="2701"/>
      <c r="P998" s="80"/>
    </row>
    <row r="999" spans="1:16" s="27" customFormat="1" ht="16.5" hidden="1" customHeight="1" x14ac:dyDescent="0.25">
      <c r="A999" s="6"/>
      <c r="B999" s="441"/>
      <c r="C999" s="2492" t="s">
        <v>6498</v>
      </c>
      <c r="D999" s="896">
        <v>483620000</v>
      </c>
      <c r="E999" s="2810">
        <f>D999/D927*100</f>
        <v>0.35261155071505151</v>
      </c>
      <c r="F999" s="4437"/>
      <c r="G999" s="2685"/>
      <c r="H999" s="2685"/>
      <c r="I999" s="2685"/>
      <c r="J999" s="2815"/>
      <c r="K999" s="2700"/>
      <c r="L999" s="896"/>
      <c r="M999" s="896"/>
      <c r="N999" s="2701"/>
      <c r="P999" s="80"/>
    </row>
    <row r="1000" spans="1:16" s="27" customFormat="1" ht="15.75" hidden="1" customHeight="1" x14ac:dyDescent="0.25">
      <c r="A1000" s="6"/>
      <c r="B1000" s="441"/>
      <c r="C1000" s="2492" t="s">
        <v>6497</v>
      </c>
      <c r="D1000" s="2698">
        <v>498200000</v>
      </c>
      <c r="E1000" s="2810">
        <f>D1000/D927*100</f>
        <v>0.36324195559786332</v>
      </c>
      <c r="F1000" s="4441"/>
      <c r="G1000" s="2685"/>
      <c r="H1000" s="2685"/>
      <c r="I1000" s="2685"/>
      <c r="J1000" s="2816"/>
      <c r="K1000" s="2700"/>
      <c r="L1000" s="896"/>
      <c r="M1000" s="896"/>
      <c r="N1000" s="2701"/>
      <c r="P1000" s="80"/>
    </row>
    <row r="1001" spans="1:16" s="27" customFormat="1" ht="16.5" hidden="1" customHeight="1" x14ac:dyDescent="0.25">
      <c r="A1001" s="6"/>
      <c r="B1001" s="441"/>
      <c r="C1001" s="2492" t="s">
        <v>6496</v>
      </c>
      <c r="D1001" s="2698">
        <v>604000000</v>
      </c>
      <c r="E1001" s="2810">
        <f>D1001/D927*100</f>
        <v>0.44038165632498882</v>
      </c>
      <c r="F1001" s="4441"/>
      <c r="G1001" s="2685"/>
      <c r="H1001" s="2685"/>
      <c r="I1001" s="2685"/>
      <c r="J1001" s="2816"/>
      <c r="K1001" s="2700"/>
      <c r="L1001" s="2685"/>
      <c r="M1001" s="2685"/>
      <c r="N1001" s="2701"/>
      <c r="P1001" s="80"/>
    </row>
    <row r="1002" spans="1:16" s="27" customFormat="1" ht="28.5" hidden="1" customHeight="1" x14ac:dyDescent="0.25">
      <c r="A1002" s="6"/>
      <c r="B1002" s="441"/>
      <c r="C1002" s="2492" t="s">
        <v>6499</v>
      </c>
      <c r="D1002" s="2698">
        <v>144800000</v>
      </c>
      <c r="E1002" s="2810">
        <f>D1002/D927*100</f>
        <v>0.10557494012559336</v>
      </c>
      <c r="F1002" s="4441"/>
      <c r="G1002" s="2685"/>
      <c r="H1002" s="2690"/>
      <c r="I1002" s="896"/>
      <c r="J1002" s="2816"/>
      <c r="K1002" s="2700"/>
      <c r="L1002" s="896"/>
      <c r="M1002" s="896"/>
      <c r="N1002" s="2701"/>
      <c r="P1002" s="80"/>
    </row>
    <row r="1003" spans="1:16" s="27" customFormat="1" ht="18.75" hidden="1" customHeight="1" x14ac:dyDescent="0.25">
      <c r="A1003" s="6"/>
      <c r="B1003" s="441"/>
      <c r="C1003" s="2492" t="s">
        <v>6500</v>
      </c>
      <c r="D1003" s="2698">
        <v>319760000</v>
      </c>
      <c r="E1003" s="2810">
        <f>D1003/D927*100</f>
        <v>0.23313979871933516</v>
      </c>
      <c r="F1003" s="4441"/>
      <c r="G1003" s="2685"/>
      <c r="H1003" s="2690"/>
      <c r="I1003" s="896"/>
      <c r="J1003" s="2816"/>
      <c r="K1003" s="2700"/>
      <c r="L1003" s="896"/>
      <c r="M1003" s="896"/>
      <c r="N1003" s="2701"/>
      <c r="P1003" s="80"/>
    </row>
    <row r="1004" spans="1:16" s="27" customFormat="1" ht="16.5" hidden="1" customHeight="1" x14ac:dyDescent="0.25">
      <c r="A1004" s="6"/>
      <c r="B1004" s="441"/>
      <c r="C1004" s="2492" t="s">
        <v>6501</v>
      </c>
      <c r="D1004" s="2698">
        <v>273300000</v>
      </c>
      <c r="E1004" s="2810">
        <f>D1004/D927*100</f>
        <v>0.19926540840003218</v>
      </c>
      <c r="F1004" s="4441"/>
      <c r="G1004" s="2685"/>
      <c r="H1004" s="2690"/>
      <c r="I1004" s="896"/>
      <c r="J1004" s="2816"/>
      <c r="K1004" s="2700"/>
      <c r="L1004" s="896"/>
      <c r="M1004" s="896"/>
      <c r="N1004" s="2701"/>
      <c r="P1004" s="80"/>
    </row>
    <row r="1005" spans="1:16" s="27" customFormat="1" ht="16.5" hidden="1" customHeight="1" x14ac:dyDescent="0.25">
      <c r="A1005" s="6"/>
      <c r="B1005" s="441"/>
      <c r="C1005" s="2492" t="s">
        <v>6502</v>
      </c>
      <c r="D1005" s="2698">
        <v>193920000</v>
      </c>
      <c r="E1005" s="2810">
        <f>D1005/D927*100</f>
        <v>0.1413887595936123</v>
      </c>
      <c r="F1005" s="4441"/>
      <c r="G1005" s="2685"/>
      <c r="H1005" s="2690"/>
      <c r="I1005" s="896"/>
      <c r="J1005" s="2816"/>
      <c r="K1005" s="2700"/>
      <c r="L1005" s="896"/>
      <c r="M1005" s="896"/>
      <c r="N1005" s="2701"/>
      <c r="P1005" s="80"/>
    </row>
    <row r="1006" spans="1:16" s="27" customFormat="1" ht="16.5" hidden="1" customHeight="1" x14ac:dyDescent="0.25">
      <c r="A1006" s="6"/>
      <c r="B1006" s="441"/>
      <c r="C1006" s="2492" t="s">
        <v>6503</v>
      </c>
      <c r="D1006" s="2698">
        <v>258920000</v>
      </c>
      <c r="E1006" s="2810">
        <f>D1006/D927*100</f>
        <v>0.18878082525772535</v>
      </c>
      <c r="F1006" s="4441"/>
      <c r="G1006" s="2685"/>
      <c r="H1006" s="2690"/>
      <c r="I1006" s="896"/>
      <c r="J1006" s="2816"/>
      <c r="K1006" s="2700"/>
      <c r="L1006" s="896"/>
      <c r="M1006" s="896"/>
      <c r="N1006" s="2701"/>
      <c r="P1006" s="80"/>
    </row>
    <row r="1007" spans="1:16" s="27" customFormat="1" ht="16.5" hidden="1" customHeight="1" x14ac:dyDescent="0.25">
      <c r="A1007" s="6"/>
      <c r="B1007" s="441"/>
      <c r="C1007" s="2492" t="s">
        <v>6504</v>
      </c>
      <c r="D1007" s="2698">
        <v>266920000</v>
      </c>
      <c r="E1007" s="2810">
        <f>D1007/D927*100</f>
        <v>0.19461369487792388</v>
      </c>
      <c r="F1007" s="4441"/>
      <c r="G1007" s="2685"/>
      <c r="H1007" s="2690"/>
      <c r="I1007" s="896"/>
      <c r="J1007" s="2816"/>
      <c r="K1007" s="2700"/>
      <c r="L1007" s="896"/>
      <c r="M1007" s="896"/>
      <c r="N1007" s="2701"/>
      <c r="P1007" s="80"/>
    </row>
    <row r="1008" spans="1:16" s="27" customFormat="1" ht="16.5" hidden="1" customHeight="1" x14ac:dyDescent="0.25">
      <c r="A1008" s="6"/>
      <c r="B1008" s="441"/>
      <c r="C1008" s="2492" t="s">
        <v>6505</v>
      </c>
      <c r="D1008" s="2698">
        <v>434120000</v>
      </c>
      <c r="E1008" s="2810">
        <f>D1008/D927*100</f>
        <v>0.31652066994007311</v>
      </c>
      <c r="F1008" s="4441"/>
      <c r="G1008" s="2685"/>
      <c r="H1008" s="2690"/>
      <c r="I1008" s="896"/>
      <c r="J1008" s="2816"/>
      <c r="K1008" s="2700"/>
      <c r="L1008" s="896"/>
      <c r="M1008" s="896"/>
      <c r="N1008" s="2701"/>
      <c r="P1008" s="80"/>
    </row>
    <row r="1009" spans="1:16" s="27" customFormat="1" ht="16.5" hidden="1" customHeight="1" x14ac:dyDescent="0.25">
      <c r="A1009" s="6"/>
      <c r="B1009" s="441"/>
      <c r="C1009" s="2492" t="s">
        <v>6506</v>
      </c>
      <c r="D1009" s="2698">
        <v>234700000</v>
      </c>
      <c r="E1009" s="2810">
        <f>D1009/D927*100</f>
        <v>0.1711218124825743</v>
      </c>
      <c r="F1009" s="4441"/>
      <c r="G1009" s="2685"/>
      <c r="H1009" s="2690"/>
      <c r="I1009" s="896"/>
      <c r="J1009" s="2816"/>
      <c r="K1009" s="2700"/>
      <c r="L1009" s="896"/>
      <c r="M1009" s="896"/>
      <c r="N1009" s="2701"/>
      <c r="P1009" s="80"/>
    </row>
    <row r="1010" spans="1:16" s="27" customFormat="1" ht="16.5" hidden="1" customHeight="1" x14ac:dyDescent="0.25">
      <c r="A1010" s="6"/>
      <c r="B1010" s="441"/>
      <c r="C1010" s="2492" t="s">
        <v>6507</v>
      </c>
      <c r="D1010" s="2698">
        <v>271800000</v>
      </c>
      <c r="E1010" s="2810">
        <f>D1010/D927*100</f>
        <v>0.19817174534624499</v>
      </c>
      <c r="F1010" s="4441"/>
      <c r="G1010" s="2685"/>
      <c r="H1010" s="2690"/>
      <c r="I1010" s="896"/>
      <c r="J1010" s="2816"/>
      <c r="K1010" s="2700"/>
      <c r="L1010" s="896"/>
      <c r="M1010" s="896"/>
      <c r="N1010" s="2701"/>
      <c r="P1010" s="80"/>
    </row>
    <row r="1011" spans="1:16" s="27" customFormat="1" ht="16.5" hidden="1" customHeight="1" x14ac:dyDescent="0.25">
      <c r="A1011" s="6"/>
      <c r="B1011" s="441"/>
      <c r="C1011" s="2492" t="s">
        <v>6508</v>
      </c>
      <c r="D1011" s="2698">
        <v>253300000</v>
      </c>
      <c r="E1011" s="2810">
        <f>D1011/D927*100</f>
        <v>0.18468323434953587</v>
      </c>
      <c r="F1011" s="4441"/>
      <c r="G1011" s="2685"/>
      <c r="H1011" s="2690"/>
      <c r="I1011" s="896"/>
      <c r="J1011" s="2816"/>
      <c r="K1011" s="2700"/>
      <c r="L1011" s="896"/>
      <c r="M1011" s="896"/>
      <c r="N1011" s="2701"/>
      <c r="P1011" s="80"/>
    </row>
    <row r="1012" spans="1:16" s="27" customFormat="1" ht="16.5" hidden="1" customHeight="1" x14ac:dyDescent="0.25">
      <c r="A1012" s="6"/>
      <c r="B1012" s="441"/>
      <c r="C1012" s="2492" t="s">
        <v>6509</v>
      </c>
      <c r="D1012" s="2698">
        <v>418120000</v>
      </c>
      <c r="E1012" s="2810">
        <f>D1012/D927*100</f>
        <v>0.30485493069967601</v>
      </c>
      <c r="F1012" s="4441"/>
      <c r="G1012" s="2685"/>
      <c r="H1012" s="2690"/>
      <c r="I1012" s="896"/>
      <c r="J1012" s="2816"/>
      <c r="K1012" s="2700"/>
      <c r="L1012" s="896"/>
      <c r="M1012" s="896"/>
      <c r="N1012" s="2701"/>
      <c r="P1012" s="80"/>
    </row>
    <row r="1013" spans="1:16" s="27" customFormat="1" ht="16.5" hidden="1" customHeight="1" x14ac:dyDescent="0.25">
      <c r="A1013" s="6"/>
      <c r="B1013" s="441"/>
      <c r="C1013" s="2492" t="s">
        <v>6510</v>
      </c>
      <c r="D1013" s="2698">
        <v>155920000</v>
      </c>
      <c r="E1013" s="2810">
        <f>D1013/D927*100</f>
        <v>0.11368262889766931</v>
      </c>
      <c r="F1013" s="4441"/>
      <c r="G1013" s="2685"/>
      <c r="H1013" s="2690"/>
      <c r="I1013" s="896"/>
      <c r="J1013" s="2816"/>
      <c r="K1013" s="2700"/>
      <c r="L1013" s="896"/>
      <c r="M1013" s="896"/>
      <c r="N1013" s="2701"/>
      <c r="P1013" s="80"/>
    </row>
    <row r="1014" spans="1:16" s="27" customFormat="1" ht="16.5" hidden="1" customHeight="1" x14ac:dyDescent="0.25">
      <c r="A1014" s="6"/>
      <c r="B1014" s="441"/>
      <c r="C1014" s="2492" t="s">
        <v>6511</v>
      </c>
      <c r="D1014" s="2698">
        <v>222000000</v>
      </c>
      <c r="E1014" s="2810">
        <f>D1014/D927*100</f>
        <v>0.16186213196050914</v>
      </c>
      <c r="F1014" s="4441"/>
      <c r="G1014" s="2685"/>
      <c r="H1014" s="2690"/>
      <c r="I1014" s="896"/>
      <c r="J1014" s="2816"/>
      <c r="K1014" s="2700"/>
      <c r="L1014" s="896"/>
      <c r="M1014" s="896"/>
      <c r="N1014" s="2701"/>
      <c r="P1014" s="80"/>
    </row>
    <row r="1015" spans="1:16" s="27" customFormat="1" ht="16.5" hidden="1" customHeight="1" x14ac:dyDescent="0.25">
      <c r="A1015" s="6"/>
      <c r="B1015" s="441"/>
      <c r="C1015" s="2492" t="s">
        <v>6512</v>
      </c>
      <c r="D1015" s="2698">
        <v>418120000</v>
      </c>
      <c r="E1015" s="2810">
        <f>D1015/D927*100</f>
        <v>0.30485493069967601</v>
      </c>
      <c r="F1015" s="4441"/>
      <c r="G1015" s="2685"/>
      <c r="H1015" s="2690"/>
      <c r="I1015" s="896"/>
      <c r="J1015" s="2816"/>
      <c r="K1015" s="2700"/>
      <c r="L1015" s="896"/>
      <c r="M1015" s="896"/>
      <c r="N1015" s="2701"/>
      <c r="P1015" s="80"/>
    </row>
    <row r="1016" spans="1:16" s="27" customFormat="1" ht="16.5" hidden="1" customHeight="1" x14ac:dyDescent="0.25">
      <c r="A1016" s="6"/>
      <c r="B1016" s="441"/>
      <c r="C1016" s="2492" t="s">
        <v>6513</v>
      </c>
      <c r="D1016" s="2698">
        <v>164920000</v>
      </c>
      <c r="E1016" s="2810">
        <f>D1016/D927*100</f>
        <v>0.12024460722039265</v>
      </c>
      <c r="F1016" s="4441"/>
      <c r="G1016" s="2685"/>
      <c r="H1016" s="2690"/>
      <c r="I1016" s="896"/>
      <c r="J1016" s="2816"/>
      <c r="K1016" s="2700"/>
      <c r="L1016" s="896"/>
      <c r="M1016" s="896"/>
      <c r="N1016" s="2701"/>
      <c r="P1016" s="80"/>
    </row>
    <row r="1017" spans="1:16" s="27" customFormat="1" ht="30.75" hidden="1" customHeight="1" x14ac:dyDescent="0.25">
      <c r="A1017" s="6"/>
      <c r="B1017" s="441"/>
      <c r="C1017" s="2492" t="s">
        <v>6514</v>
      </c>
      <c r="D1017" s="2698">
        <v>229800000</v>
      </c>
      <c r="E1017" s="2810">
        <f>D1017/D927*100</f>
        <v>0.16754917984020271</v>
      </c>
      <c r="F1017" s="4441"/>
      <c r="G1017" s="2685"/>
      <c r="H1017" s="2690"/>
      <c r="I1017" s="896"/>
      <c r="J1017" s="2816"/>
      <c r="K1017" s="2700"/>
      <c r="L1017" s="896"/>
      <c r="M1017" s="896"/>
      <c r="N1017" s="2701"/>
      <c r="P1017" s="80"/>
    </row>
    <row r="1018" spans="1:16" s="27" customFormat="1" ht="27" hidden="1" customHeight="1" x14ac:dyDescent="0.25">
      <c r="A1018" s="6"/>
      <c r="B1018" s="441"/>
      <c r="C1018" s="2492" t="s">
        <v>6515</v>
      </c>
      <c r="D1018" s="2698">
        <v>173300000</v>
      </c>
      <c r="E1018" s="2810">
        <f>D1018/D927*100</f>
        <v>0.1263545381475506</v>
      </c>
      <c r="F1018" s="4441"/>
      <c r="G1018" s="2685"/>
      <c r="H1018" s="2690"/>
      <c r="I1018" s="896"/>
      <c r="J1018" s="2816"/>
      <c r="K1018" s="2700"/>
      <c r="L1018" s="896"/>
      <c r="M1018" s="896"/>
      <c r="N1018" s="2701"/>
      <c r="P1018" s="80"/>
    </row>
    <row r="1019" spans="1:16" s="27" customFormat="1" ht="16.5" hidden="1" customHeight="1" x14ac:dyDescent="0.25">
      <c r="A1019" s="6"/>
      <c r="B1019" s="441"/>
      <c r="C1019" s="2492" t="s">
        <v>6516</v>
      </c>
      <c r="D1019" s="2698">
        <v>322000000</v>
      </c>
      <c r="E1019" s="2810">
        <f>D1019/D927*100</f>
        <v>0.23477300221299074</v>
      </c>
      <c r="F1019" s="4441"/>
      <c r="G1019" s="2685"/>
      <c r="H1019" s="2690"/>
      <c r="I1019" s="896"/>
      <c r="J1019" s="2816"/>
      <c r="K1019" s="2700"/>
      <c r="L1019" s="896"/>
      <c r="M1019" s="896"/>
      <c r="N1019" s="2701"/>
      <c r="P1019" s="80"/>
    </row>
    <row r="1020" spans="1:16" s="27" customFormat="1" ht="28.5" hidden="1" customHeight="1" x14ac:dyDescent="0.25">
      <c r="A1020" s="6"/>
      <c r="B1020" s="441"/>
      <c r="C1020" s="2492" t="s">
        <v>6517</v>
      </c>
      <c r="D1020" s="2698">
        <v>108800000</v>
      </c>
      <c r="E1020" s="2810">
        <f>D1020/D927*100</f>
        <v>7.9327026834699985E-2</v>
      </c>
      <c r="F1020" s="4441"/>
      <c r="G1020" s="2685"/>
      <c r="H1020" s="2690"/>
      <c r="I1020" s="896"/>
      <c r="J1020" s="2816"/>
      <c r="K1020" s="2700"/>
      <c r="L1020" s="896"/>
      <c r="M1020" s="896"/>
      <c r="N1020" s="2701"/>
      <c r="P1020" s="80"/>
    </row>
    <row r="1021" spans="1:16" s="27" customFormat="1" ht="16.5" hidden="1" customHeight="1" x14ac:dyDescent="0.25">
      <c r="A1021" s="6"/>
      <c r="B1021" s="441"/>
      <c r="C1021" s="2492" t="s">
        <v>6518</v>
      </c>
      <c r="D1021" s="2698">
        <v>220300000</v>
      </c>
      <c r="E1021" s="2810">
        <f>D1021/D927*100</f>
        <v>0.16062264716621694</v>
      </c>
      <c r="F1021" s="4441"/>
      <c r="G1021" s="2685"/>
      <c r="H1021" s="2690"/>
      <c r="I1021" s="896"/>
      <c r="J1021" s="2816"/>
      <c r="K1021" s="2700"/>
      <c r="L1021" s="896"/>
      <c r="M1021" s="896"/>
      <c r="N1021" s="2701"/>
      <c r="P1021" s="80"/>
    </row>
    <row r="1022" spans="1:16" s="27" customFormat="1" ht="19.5" hidden="1" customHeight="1" x14ac:dyDescent="0.25">
      <c r="A1022" s="6"/>
      <c r="B1022" s="441"/>
      <c r="C1022" s="2492" t="s">
        <v>6519</v>
      </c>
      <c r="D1022" s="2698">
        <v>100000000</v>
      </c>
      <c r="E1022" s="2810">
        <f>D1022/D927*100</f>
        <v>7.2910870252481594E-2</v>
      </c>
      <c r="F1022" s="4441"/>
      <c r="G1022" s="2685"/>
      <c r="H1022" s="2690"/>
      <c r="I1022" s="896"/>
      <c r="J1022" s="2816"/>
      <c r="K1022" s="2700"/>
      <c r="L1022" s="896"/>
      <c r="M1022" s="896"/>
      <c r="N1022" s="2701"/>
      <c r="P1022" s="80"/>
    </row>
    <row r="1023" spans="1:16" s="27" customFormat="1" ht="16.5" hidden="1" customHeight="1" x14ac:dyDescent="0.25">
      <c r="A1023" s="6"/>
      <c r="B1023" s="441"/>
      <c r="C1023" s="2492" t="s">
        <v>6520</v>
      </c>
      <c r="D1023" s="2698">
        <v>100000000</v>
      </c>
      <c r="E1023" s="2810">
        <f>D1023/D927*100</f>
        <v>7.2910870252481594E-2</v>
      </c>
      <c r="F1023" s="4441"/>
      <c r="G1023" s="2685"/>
      <c r="H1023" s="2690"/>
      <c r="I1023" s="896"/>
      <c r="J1023" s="2816"/>
      <c r="K1023" s="2700"/>
      <c r="L1023" s="896"/>
      <c r="M1023" s="896"/>
      <c r="N1023" s="2701"/>
      <c r="P1023" s="80"/>
    </row>
    <row r="1024" spans="1:16" s="27" customFormat="1" ht="16.5" hidden="1" customHeight="1" x14ac:dyDescent="0.25">
      <c r="A1024" s="6"/>
      <c r="B1024" s="441"/>
      <c r="C1024" s="2492" t="s">
        <v>6521</v>
      </c>
      <c r="D1024" s="2698">
        <v>222800000</v>
      </c>
      <c r="E1024" s="2810">
        <f>D1024/D927*100</f>
        <v>0.16244541892252901</v>
      </c>
      <c r="F1024" s="4441"/>
      <c r="G1024" s="2685"/>
      <c r="H1024" s="2690"/>
      <c r="I1024" s="896"/>
      <c r="J1024" s="2816"/>
      <c r="K1024" s="2700"/>
      <c r="L1024" s="896"/>
      <c r="M1024" s="896"/>
      <c r="N1024" s="2701"/>
      <c r="P1024" s="80"/>
    </row>
    <row r="1025" spans="1:16" s="27" customFormat="1" ht="13.5" hidden="1" customHeight="1" x14ac:dyDescent="0.25">
      <c r="A1025" s="6"/>
      <c r="B1025" s="441"/>
      <c r="C1025" s="2494"/>
      <c r="D1025" s="2698"/>
      <c r="E1025" s="2810"/>
      <c r="F1025" s="4384"/>
      <c r="G1025" s="2685"/>
      <c r="H1025" s="2695"/>
      <c r="I1025" s="899"/>
      <c r="J1025" s="2700"/>
      <c r="K1025" s="2700"/>
      <c r="L1025" s="899"/>
      <c r="M1025" s="899"/>
      <c r="N1025" s="2701"/>
      <c r="P1025" s="80"/>
    </row>
    <row r="1026" spans="1:16" s="27" customFormat="1" ht="19.5" hidden="1" customHeight="1" x14ac:dyDescent="0.25">
      <c r="A1026" s="6"/>
      <c r="B1026" s="441"/>
      <c r="C1026" s="2490" t="s">
        <v>6495</v>
      </c>
      <c r="D1026" s="2812">
        <f>SUM(D1027:D1029)</f>
        <v>1879640000</v>
      </c>
      <c r="E1026" s="2813">
        <f>D1026/D927*100</f>
        <v>1.370461881613745</v>
      </c>
      <c r="F1026" s="3837"/>
      <c r="G1026" s="2722"/>
      <c r="H1026" s="2722"/>
      <c r="I1026" s="2722"/>
      <c r="J1026" s="2817"/>
      <c r="K1026" s="2817"/>
      <c r="L1026" s="2751"/>
      <c r="M1026" s="2679"/>
      <c r="N1026" s="2701"/>
      <c r="P1026" s="80"/>
    </row>
    <row r="1027" spans="1:16" s="27" customFormat="1" ht="16.5" hidden="1" customHeight="1" x14ac:dyDescent="0.25">
      <c r="A1027" s="6"/>
      <c r="B1027" s="441"/>
      <c r="C1027" s="2500" t="s">
        <v>6522</v>
      </c>
      <c r="D1027" s="2698">
        <v>621640000</v>
      </c>
      <c r="E1027" s="2810">
        <f>D1027/D927*100</f>
        <v>0.45324313383752662</v>
      </c>
      <c r="F1027" s="4441"/>
      <c r="G1027" s="2685"/>
      <c r="H1027" s="2685"/>
      <c r="I1027" s="2685"/>
      <c r="J1027" s="2816"/>
      <c r="K1027" s="2700"/>
      <c r="L1027" s="896"/>
      <c r="M1027" s="896"/>
      <c r="N1027" s="2701"/>
      <c r="P1027" s="80"/>
    </row>
    <row r="1028" spans="1:16" s="27" customFormat="1" ht="15" hidden="1" customHeight="1" x14ac:dyDescent="0.25">
      <c r="A1028" s="6"/>
      <c r="B1028" s="441"/>
      <c r="C1028" s="2500" t="s">
        <v>6523</v>
      </c>
      <c r="D1028" s="2698">
        <v>486000000</v>
      </c>
      <c r="E1028" s="2810">
        <f>D1028/D927*100</f>
        <v>0.35434682942706053</v>
      </c>
      <c r="F1028" s="4441"/>
      <c r="G1028" s="2685"/>
      <c r="H1028" s="2685"/>
      <c r="I1028" s="2685"/>
      <c r="J1028" s="2816"/>
      <c r="K1028" s="2700"/>
      <c r="L1028" s="2685"/>
      <c r="M1028" s="2685"/>
      <c r="N1028" s="2701"/>
      <c r="P1028" s="80"/>
    </row>
    <row r="1029" spans="1:16" s="27" customFormat="1" ht="15.75" hidden="1" customHeight="1" x14ac:dyDescent="0.25">
      <c r="A1029" s="6"/>
      <c r="B1029" s="441"/>
      <c r="C1029" s="2501" t="s">
        <v>6524</v>
      </c>
      <c r="D1029" s="2724">
        <v>772000000</v>
      </c>
      <c r="E1029" s="2818">
        <f>D1029/D927*100</f>
        <v>0.56287191834915795</v>
      </c>
      <c r="F1029" s="4442"/>
      <c r="G1029" s="2685"/>
      <c r="H1029" s="2685"/>
      <c r="I1029" s="2685"/>
      <c r="J1029" s="2819"/>
      <c r="K1029" s="2700"/>
      <c r="L1029" s="2685"/>
      <c r="M1029" s="2685"/>
      <c r="N1029" s="2701"/>
      <c r="P1029" s="80"/>
    </row>
    <row r="1030" spans="1:16" ht="12" hidden="1" customHeight="1" x14ac:dyDescent="0.25">
      <c r="B1030" s="441"/>
      <c r="C1030" s="2496"/>
      <c r="D1030" s="2706"/>
      <c r="E1030" s="2820"/>
      <c r="F1030" s="4431"/>
      <c r="G1030" s="2728"/>
      <c r="H1030" s="2821"/>
      <c r="I1030" s="2728"/>
      <c r="J1030" s="911"/>
      <c r="K1030" s="911"/>
      <c r="L1030" s="911"/>
      <c r="M1030" s="911"/>
      <c r="N1030" s="2768"/>
    </row>
    <row r="1031" spans="1:16" s="27" customFormat="1" ht="15.75" hidden="1" customHeight="1" x14ac:dyDescent="0.25">
      <c r="A1031" s="6"/>
      <c r="B1031" s="440"/>
      <c r="C1031" s="2497" t="s">
        <v>286</v>
      </c>
      <c r="D1031" s="2669">
        <f>D1032</f>
        <v>4500000000</v>
      </c>
      <c r="E1031" s="2786">
        <f>D1031/D927*100</f>
        <v>3.280989161361672</v>
      </c>
      <c r="F1031" s="3826"/>
      <c r="G1031" s="2718"/>
      <c r="H1031" s="2672"/>
      <c r="I1031" s="2669"/>
      <c r="J1031" s="2770"/>
      <c r="K1031" s="2770"/>
      <c r="L1031" s="2672"/>
      <c r="M1031" s="2744"/>
      <c r="N1031" s="2701"/>
      <c r="P1031" s="80"/>
    </row>
    <row r="1032" spans="1:16" s="27" customFormat="1" ht="31.5" hidden="1" customHeight="1" x14ac:dyDescent="0.25">
      <c r="A1032" s="6"/>
      <c r="B1032" s="441"/>
      <c r="C1032" s="2502" t="s">
        <v>287</v>
      </c>
      <c r="D1032" s="2822">
        <f>D1033+D1034</f>
        <v>4500000000</v>
      </c>
      <c r="E1032" s="2813">
        <f>D1032/D927*100</f>
        <v>3.280989161361672</v>
      </c>
      <c r="F1032" s="3838"/>
      <c r="G1032" s="2823"/>
      <c r="H1032" s="2824"/>
      <c r="I1032" s="2825"/>
      <c r="J1032" s="2823"/>
      <c r="K1032" s="2823"/>
      <c r="L1032" s="2751"/>
      <c r="M1032" s="2826"/>
      <c r="N1032" s="2701"/>
      <c r="P1032" s="80"/>
    </row>
    <row r="1033" spans="1:16" s="27" customFormat="1" ht="19.5" hidden="1" customHeight="1" x14ac:dyDescent="0.25">
      <c r="A1033" s="6"/>
      <c r="B1033" s="441"/>
      <c r="C1033" s="2489" t="s">
        <v>6525</v>
      </c>
      <c r="D1033" s="896">
        <v>2500000000</v>
      </c>
      <c r="E1033" s="2810">
        <f>D1033/D927*100</f>
        <v>1.8227717563120398</v>
      </c>
      <c r="F1033" s="4437"/>
      <c r="G1033" s="2698"/>
      <c r="H1033" s="2690"/>
      <c r="I1033" s="2698"/>
      <c r="J1033" s="896"/>
      <c r="K1033" s="896"/>
      <c r="L1033" s="896"/>
      <c r="M1033" s="896"/>
      <c r="N1033" s="2701"/>
      <c r="P1033" s="80"/>
    </row>
    <row r="1034" spans="1:16" ht="15.75" hidden="1" customHeight="1" x14ac:dyDescent="0.25">
      <c r="B1034" s="441"/>
      <c r="C1034" s="2494" t="s">
        <v>6526</v>
      </c>
      <c r="D1034" s="2698">
        <v>2000000000</v>
      </c>
      <c r="E1034" s="2810">
        <f>D1034/D927*100</f>
        <v>1.4582174050496319</v>
      </c>
      <c r="F1034" s="3876"/>
      <c r="G1034" s="2805"/>
      <c r="H1034" s="2695"/>
      <c r="I1034" s="2805"/>
      <c r="J1034" s="898"/>
      <c r="K1034" s="898"/>
      <c r="L1034" s="898"/>
      <c r="M1034" s="898"/>
      <c r="N1034" s="2768"/>
    </row>
    <row r="1035" spans="1:16" ht="17.25" hidden="1" customHeight="1" x14ac:dyDescent="0.25">
      <c r="B1035" s="441"/>
      <c r="C1035" s="2503"/>
      <c r="D1035" s="2827"/>
      <c r="E1035" s="2828"/>
      <c r="F1035" s="4443"/>
      <c r="G1035" s="2806"/>
      <c r="H1035" s="2785"/>
      <c r="I1035" s="2806"/>
      <c r="J1035" s="2755"/>
      <c r="K1035" s="2755"/>
      <c r="L1035" s="2755"/>
      <c r="M1035" s="2755"/>
      <c r="N1035" s="2768"/>
    </row>
    <row r="1036" spans="1:16" s="27" customFormat="1" ht="16.5" hidden="1" customHeight="1" x14ac:dyDescent="0.25">
      <c r="A1036" s="6"/>
      <c r="B1036" s="440"/>
      <c r="C1036" s="2497" t="s">
        <v>289</v>
      </c>
      <c r="D1036" s="2669">
        <f>SUM(D1037+D1040)</f>
        <v>9000000000</v>
      </c>
      <c r="E1036" s="2786">
        <f>D1036/D927*100</f>
        <v>6.5619783227233439</v>
      </c>
      <c r="F1036" s="3835"/>
      <c r="G1036" s="2719"/>
      <c r="H1036" s="2719"/>
      <c r="I1036" s="2719"/>
      <c r="J1036" s="2720"/>
      <c r="K1036" s="2720"/>
      <c r="L1036" s="2672"/>
      <c r="M1036" s="2719"/>
      <c r="N1036" s="2701"/>
      <c r="P1036" s="80"/>
    </row>
    <row r="1037" spans="1:16" s="27" customFormat="1" ht="28.5" hidden="1" customHeight="1" x14ac:dyDescent="0.25">
      <c r="A1037" s="6"/>
      <c r="B1037" s="441"/>
      <c r="C1037" s="2482" t="s">
        <v>6527</v>
      </c>
      <c r="D1037" s="2721">
        <f>D1038</f>
        <v>6500000000</v>
      </c>
      <c r="E1037" s="2801">
        <f>D1037/D927*100</f>
        <v>4.7392065664113039</v>
      </c>
      <c r="F1037" s="3839"/>
      <c r="G1037" s="2722"/>
      <c r="H1037" s="2722"/>
      <c r="I1037" s="2722"/>
      <c r="J1037" s="2723"/>
      <c r="K1037" s="2723"/>
      <c r="L1037" s="2722"/>
      <c r="M1037" s="2722"/>
      <c r="N1037" s="2701"/>
      <c r="P1037" s="80"/>
    </row>
    <row r="1038" spans="1:16" s="27" customFormat="1" ht="30.75" hidden="1" customHeight="1" x14ac:dyDescent="0.25">
      <c r="A1038" s="6"/>
      <c r="B1038" s="441"/>
      <c r="C1038" s="2500" t="s">
        <v>6528</v>
      </c>
      <c r="D1038" s="896">
        <v>6500000000</v>
      </c>
      <c r="E1038" s="2810">
        <f>D1038/D927*100</f>
        <v>4.7392065664113039</v>
      </c>
      <c r="F1038" s="4437"/>
      <c r="G1038" s="2685"/>
      <c r="H1038" s="2685"/>
      <c r="I1038" s="2685"/>
      <c r="J1038" s="2815"/>
      <c r="K1038" s="2700"/>
      <c r="L1038" s="2685"/>
      <c r="M1038" s="2685"/>
      <c r="N1038" s="2701"/>
      <c r="P1038" s="80"/>
    </row>
    <row r="1039" spans="1:16" s="27" customFormat="1" ht="9.75" hidden="1" customHeight="1" x14ac:dyDescent="0.25">
      <c r="A1039" s="6"/>
      <c r="B1039" s="441"/>
      <c r="C1039" s="2504"/>
      <c r="D1039" s="940"/>
      <c r="E1039" s="2810"/>
      <c r="F1039" s="4438"/>
      <c r="G1039" s="2685"/>
      <c r="H1039" s="2685"/>
      <c r="I1039" s="2685"/>
      <c r="J1039" s="2829"/>
      <c r="K1039" s="2700"/>
      <c r="L1039" s="2685"/>
      <c r="M1039" s="2685"/>
      <c r="N1039" s="2701"/>
      <c r="P1039" s="80"/>
    </row>
    <row r="1040" spans="1:16" s="27" customFormat="1" ht="18" hidden="1" customHeight="1" x14ac:dyDescent="0.25">
      <c r="A1040" s="6"/>
      <c r="B1040" s="441"/>
      <c r="C1040" s="2505" t="s">
        <v>292</v>
      </c>
      <c r="D1040" s="2692">
        <f>D1041</f>
        <v>2500000000</v>
      </c>
      <c r="E1040" s="2801">
        <f>D1040/D927*100</f>
        <v>1.8227717563120398</v>
      </c>
      <c r="F1040" s="3834"/>
      <c r="G1040" s="2679"/>
      <c r="H1040" s="2679"/>
      <c r="I1040" s="2679"/>
      <c r="J1040" s="2694"/>
      <c r="K1040" s="2694"/>
      <c r="L1040" s="2751"/>
      <c r="M1040" s="2679"/>
      <c r="N1040" s="2701"/>
      <c r="P1040" s="80"/>
    </row>
    <row r="1041" spans="1:16" s="27" customFormat="1" ht="18" hidden="1" customHeight="1" x14ac:dyDescent="0.25">
      <c r="A1041" s="6"/>
      <c r="B1041" s="441"/>
      <c r="C1041" s="2500" t="s">
        <v>6529</v>
      </c>
      <c r="D1041" s="896">
        <v>2500000000</v>
      </c>
      <c r="E1041" s="2810">
        <f>D1041/D927*100</f>
        <v>1.8227717563120398</v>
      </c>
      <c r="F1041" s="4437"/>
      <c r="G1041" s="2685"/>
      <c r="H1041" s="2685"/>
      <c r="I1041" s="2685"/>
      <c r="J1041" s="2815"/>
      <c r="K1041" s="2700"/>
      <c r="L1041" s="2685"/>
      <c r="M1041" s="2685"/>
      <c r="N1041" s="2701"/>
      <c r="P1041" s="80"/>
    </row>
    <row r="1042" spans="1:16" ht="12.75" hidden="1" customHeight="1" x14ac:dyDescent="0.25">
      <c r="B1042" s="441"/>
      <c r="C1042" s="2506"/>
      <c r="D1042" s="2724"/>
      <c r="E1042" s="2820"/>
      <c r="F1042" s="4380"/>
      <c r="G1042" s="2708"/>
      <c r="H1042" s="2708"/>
      <c r="I1042" s="2708"/>
      <c r="J1042" s="2831"/>
      <c r="K1042" s="2831"/>
      <c r="L1042" s="2767"/>
      <c r="M1042" s="2767"/>
      <c r="N1042" s="2768"/>
    </row>
    <row r="1043" spans="1:16" s="27" customFormat="1" ht="17.25" hidden="1" customHeight="1" x14ac:dyDescent="0.25">
      <c r="A1043" s="6"/>
      <c r="B1043" s="440"/>
      <c r="C1043" s="2507" t="s">
        <v>294</v>
      </c>
      <c r="D1043" s="2669">
        <f>SUM(D1044+D1049)</f>
        <v>0</v>
      </c>
      <c r="E1043" s="2786">
        <f>D1043/D927*100</f>
        <v>0</v>
      </c>
      <c r="F1043" s="3835"/>
      <c r="G1043" s="2719"/>
      <c r="H1043" s="2719"/>
      <c r="I1043" s="2719"/>
      <c r="J1043" s="2832"/>
      <c r="K1043" s="2832"/>
      <c r="L1043" s="2672"/>
      <c r="M1043" s="2744"/>
      <c r="N1043" s="2701"/>
      <c r="P1043" s="80"/>
    </row>
    <row r="1044" spans="1:16" s="27" customFormat="1" ht="17.25" hidden="1" customHeight="1" x14ac:dyDescent="0.25">
      <c r="A1044" s="6"/>
      <c r="B1044" s="441"/>
      <c r="C1044" s="2508" t="s">
        <v>295</v>
      </c>
      <c r="D1044" s="2808">
        <f>SUM(D1045:D1047)</f>
        <v>0</v>
      </c>
      <c r="E1044" s="2801">
        <f>D1044/D927*100</f>
        <v>0</v>
      </c>
      <c r="F1044" s="3840"/>
      <c r="G1044" s="2830"/>
      <c r="H1044" s="2830"/>
      <c r="I1044" s="2830"/>
      <c r="J1044" s="2833"/>
      <c r="K1044" s="2833"/>
      <c r="L1044" s="2751"/>
      <c r="M1044" s="2751"/>
      <c r="N1044" s="2701"/>
      <c r="P1044" s="80"/>
    </row>
    <row r="1045" spans="1:16" s="27" customFormat="1" ht="15" hidden="1" customHeight="1" x14ac:dyDescent="0.25">
      <c r="A1045" s="6"/>
      <c r="B1045" s="441"/>
      <c r="C1045" s="2492" t="s">
        <v>6531</v>
      </c>
      <c r="D1045" s="896">
        <v>0</v>
      </c>
      <c r="E1045" s="2810">
        <f>D1045/D927*100</f>
        <v>0</v>
      </c>
      <c r="F1045" s="4437"/>
      <c r="G1045" s="2685"/>
      <c r="H1045" s="2685"/>
      <c r="I1045" s="2685"/>
      <c r="J1045" s="2811"/>
      <c r="K1045" s="2700"/>
      <c r="L1045" s="2685"/>
      <c r="M1045" s="2685"/>
      <c r="N1045" s="2701"/>
      <c r="P1045" s="80"/>
    </row>
    <row r="1046" spans="1:16" s="27" customFormat="1" ht="15.75" hidden="1" customHeight="1" x14ac:dyDescent="0.25">
      <c r="A1046" s="6"/>
      <c r="B1046" s="441"/>
      <c r="C1046" s="2492" t="s">
        <v>6532</v>
      </c>
      <c r="D1046" s="896">
        <v>0</v>
      </c>
      <c r="E1046" s="2810">
        <f>D1046/D927*100</f>
        <v>0</v>
      </c>
      <c r="F1046" s="4437"/>
      <c r="G1046" s="2685"/>
      <c r="H1046" s="2685"/>
      <c r="I1046" s="2685"/>
      <c r="J1046" s="2815"/>
      <c r="K1046" s="2815"/>
      <c r="L1046" s="2769"/>
      <c r="M1046" s="2769"/>
      <c r="N1046" s="2701"/>
      <c r="P1046" s="80"/>
    </row>
    <row r="1047" spans="1:16" s="27" customFormat="1" ht="15" hidden="1" customHeight="1" x14ac:dyDescent="0.25">
      <c r="A1047" s="6"/>
      <c r="B1047" s="441"/>
      <c r="C1047" s="2492" t="s">
        <v>6533</v>
      </c>
      <c r="D1047" s="896">
        <v>0</v>
      </c>
      <c r="E1047" s="2810">
        <f>D1047/D927*100</f>
        <v>0</v>
      </c>
      <c r="F1047" s="4437"/>
      <c r="G1047" s="2685"/>
      <c r="H1047" s="2685"/>
      <c r="I1047" s="2685"/>
      <c r="J1047" s="2815"/>
      <c r="K1047" s="2700"/>
      <c r="L1047" s="2685"/>
      <c r="M1047" s="2685"/>
      <c r="N1047" s="2701"/>
      <c r="P1047" s="80"/>
    </row>
    <row r="1048" spans="1:16" s="27" customFormat="1" ht="13.5" hidden="1" customHeight="1" x14ac:dyDescent="0.25">
      <c r="A1048" s="6"/>
      <c r="B1048" s="441"/>
      <c r="C1048" s="2492"/>
      <c r="D1048" s="896"/>
      <c r="E1048" s="2810"/>
      <c r="F1048" s="4437"/>
      <c r="G1048" s="2685"/>
      <c r="H1048" s="2708"/>
      <c r="I1048" s="2708"/>
      <c r="J1048" s="2815"/>
      <c r="K1048" s="2700"/>
      <c r="L1048" s="2685"/>
      <c r="M1048" s="2685"/>
      <c r="N1048" s="2701"/>
      <c r="P1048" s="80"/>
    </row>
    <row r="1049" spans="1:16" s="27" customFormat="1" ht="18" hidden="1" customHeight="1" x14ac:dyDescent="0.25">
      <c r="A1049" s="6"/>
      <c r="B1049" s="441"/>
      <c r="C1049" s="2499" t="s">
        <v>6530</v>
      </c>
      <c r="D1049" s="899">
        <f>SUM(D1050:D1058)</f>
        <v>0</v>
      </c>
      <c r="E1049" s="2813">
        <f>D1049/D927*100</f>
        <v>0</v>
      </c>
      <c r="F1049" s="4437"/>
      <c r="G1049" s="2685"/>
      <c r="H1049" s="2708"/>
      <c r="I1049" s="2708"/>
      <c r="J1049" s="2815"/>
      <c r="K1049" s="2700"/>
      <c r="L1049" s="2685"/>
      <c r="M1049" s="2685"/>
      <c r="N1049" s="2701"/>
      <c r="P1049" s="80"/>
    </row>
    <row r="1050" spans="1:16" s="27" customFormat="1" ht="18" hidden="1" customHeight="1" x14ac:dyDescent="0.25">
      <c r="A1050" s="6"/>
      <c r="B1050" s="441"/>
      <c r="C1050" s="2492" t="s">
        <v>6534</v>
      </c>
      <c r="D1050" s="896">
        <v>0</v>
      </c>
      <c r="E1050" s="2810">
        <f>D1050/D927*100</f>
        <v>0</v>
      </c>
      <c r="F1050" s="4437"/>
      <c r="G1050" s="2685"/>
      <c r="H1050" s="2708"/>
      <c r="I1050" s="2708"/>
      <c r="J1050" s="2815"/>
      <c r="K1050" s="2700"/>
      <c r="L1050" s="2685"/>
      <c r="M1050" s="2685"/>
      <c r="N1050" s="2701"/>
      <c r="P1050" s="80"/>
    </row>
    <row r="1051" spans="1:16" s="27" customFormat="1" ht="15.75" hidden="1" customHeight="1" x14ac:dyDescent="0.25">
      <c r="A1051" s="6"/>
      <c r="B1051" s="441"/>
      <c r="C1051" s="2492" t="s">
        <v>6535</v>
      </c>
      <c r="D1051" s="896">
        <v>0</v>
      </c>
      <c r="E1051" s="2810">
        <f>D1051/D927*100</f>
        <v>0</v>
      </c>
      <c r="F1051" s="4437"/>
      <c r="G1051" s="2685"/>
      <c r="H1051" s="2708"/>
      <c r="I1051" s="2708"/>
      <c r="J1051" s="2815"/>
      <c r="K1051" s="2700"/>
      <c r="L1051" s="2685"/>
      <c r="M1051" s="2685"/>
      <c r="N1051" s="2701"/>
      <c r="P1051" s="80"/>
    </row>
    <row r="1052" spans="1:16" s="27" customFormat="1" ht="14.25" hidden="1" customHeight="1" x14ac:dyDescent="0.25">
      <c r="A1052" s="6"/>
      <c r="B1052" s="441"/>
      <c r="C1052" s="2492" t="s">
        <v>6536</v>
      </c>
      <c r="D1052" s="896">
        <v>0</v>
      </c>
      <c r="E1052" s="2810">
        <f>D1052/D927*100</f>
        <v>0</v>
      </c>
      <c r="F1052" s="4437"/>
      <c r="G1052" s="2685"/>
      <c r="H1052" s="2708"/>
      <c r="I1052" s="2708"/>
      <c r="J1052" s="2815"/>
      <c r="K1052" s="2700"/>
      <c r="L1052" s="2685"/>
      <c r="M1052" s="2685"/>
      <c r="N1052" s="2701"/>
      <c r="P1052" s="80"/>
    </row>
    <row r="1053" spans="1:16" s="27" customFormat="1" ht="16.5" hidden="1" customHeight="1" x14ac:dyDescent="0.25">
      <c r="A1053" s="6"/>
      <c r="B1053" s="441"/>
      <c r="C1053" s="2492" t="s">
        <v>6537</v>
      </c>
      <c r="D1053" s="896">
        <v>0</v>
      </c>
      <c r="E1053" s="2810">
        <f>D1053/D927*100</f>
        <v>0</v>
      </c>
      <c r="F1053" s="4437"/>
      <c r="G1053" s="2685"/>
      <c r="H1053" s="2708"/>
      <c r="I1053" s="2708"/>
      <c r="J1053" s="2815"/>
      <c r="K1053" s="2700"/>
      <c r="L1053" s="2685"/>
      <c r="M1053" s="2685"/>
      <c r="N1053" s="2701"/>
      <c r="P1053" s="80"/>
    </row>
    <row r="1054" spans="1:16" s="27" customFormat="1" ht="18" hidden="1" customHeight="1" x14ac:dyDescent="0.25">
      <c r="A1054" s="6"/>
      <c r="B1054" s="441"/>
      <c r="C1054" s="2492" t="s">
        <v>6538</v>
      </c>
      <c r="D1054" s="896">
        <v>0</v>
      </c>
      <c r="E1054" s="2810">
        <f>D1054/D927*100</f>
        <v>0</v>
      </c>
      <c r="F1054" s="4437"/>
      <c r="G1054" s="2685"/>
      <c r="H1054" s="2708"/>
      <c r="I1054" s="2708"/>
      <c r="J1054" s="2815"/>
      <c r="K1054" s="2700"/>
      <c r="L1054" s="2685"/>
      <c r="M1054" s="2685"/>
      <c r="N1054" s="2701"/>
      <c r="P1054" s="80"/>
    </row>
    <row r="1055" spans="1:16" s="27" customFormat="1" ht="15" hidden="1" customHeight="1" x14ac:dyDescent="0.25">
      <c r="A1055" s="6"/>
      <c r="B1055" s="441"/>
      <c r="C1055" s="2492" t="s">
        <v>6539</v>
      </c>
      <c r="D1055" s="896">
        <v>0</v>
      </c>
      <c r="E1055" s="2810">
        <f>D1055/D927*100</f>
        <v>0</v>
      </c>
      <c r="F1055" s="4437"/>
      <c r="G1055" s="2685"/>
      <c r="H1055" s="2708"/>
      <c r="I1055" s="2708"/>
      <c r="J1055" s="2815"/>
      <c r="K1055" s="2700"/>
      <c r="L1055" s="2685"/>
      <c r="M1055" s="2685"/>
      <c r="N1055" s="2701"/>
      <c r="P1055" s="80"/>
    </row>
    <row r="1056" spans="1:16" s="27" customFormat="1" ht="15" hidden="1" customHeight="1" x14ac:dyDescent="0.25">
      <c r="A1056" s="6"/>
      <c r="B1056" s="441"/>
      <c r="C1056" s="2492" t="s">
        <v>6540</v>
      </c>
      <c r="D1056" s="896">
        <v>0</v>
      </c>
      <c r="E1056" s="2810">
        <f>D1056/D927*100</f>
        <v>0</v>
      </c>
      <c r="F1056" s="4437"/>
      <c r="G1056" s="2685"/>
      <c r="H1056" s="2685"/>
      <c r="I1056" s="2708"/>
      <c r="J1056" s="2815"/>
      <c r="K1056" s="2700"/>
      <c r="L1056" s="2685"/>
      <c r="M1056" s="2685"/>
      <c r="N1056" s="2701"/>
      <c r="P1056" s="80"/>
    </row>
    <row r="1057" spans="1:16" s="27" customFormat="1" ht="29.25" hidden="1" customHeight="1" x14ac:dyDescent="0.25">
      <c r="A1057" s="6"/>
      <c r="B1057" s="441"/>
      <c r="C1057" s="2492" t="s">
        <v>6541</v>
      </c>
      <c r="D1057" s="896">
        <v>0</v>
      </c>
      <c r="E1057" s="2810">
        <f>D1057/D927*100</f>
        <v>0</v>
      </c>
      <c r="F1057" s="4437"/>
      <c r="G1057" s="2685"/>
      <c r="H1057" s="2685"/>
      <c r="I1057" s="2708"/>
      <c r="J1057" s="2815"/>
      <c r="K1057" s="2700"/>
      <c r="L1057" s="2685"/>
      <c r="M1057" s="2685"/>
      <c r="N1057" s="2701"/>
      <c r="P1057" s="80"/>
    </row>
    <row r="1058" spans="1:16" s="27" customFormat="1" ht="18" hidden="1" customHeight="1" x14ac:dyDescent="0.25">
      <c r="A1058" s="6"/>
      <c r="B1058" s="441"/>
      <c r="C1058" s="2492" t="s">
        <v>6542</v>
      </c>
      <c r="D1058" s="896">
        <v>0</v>
      </c>
      <c r="E1058" s="2810">
        <f>D1058/D927*100</f>
        <v>0</v>
      </c>
      <c r="F1058" s="4437"/>
      <c r="G1058" s="2685"/>
      <c r="H1058" s="2685"/>
      <c r="I1058" s="2708"/>
      <c r="J1058" s="2815"/>
      <c r="K1058" s="2700"/>
      <c r="L1058" s="2685"/>
      <c r="M1058" s="2685"/>
      <c r="N1058" s="2701"/>
      <c r="P1058" s="80"/>
    </row>
    <row r="1059" spans="1:16" ht="17.25" hidden="1" customHeight="1" x14ac:dyDescent="0.25">
      <c r="B1059" s="441"/>
      <c r="C1059" s="3948"/>
      <c r="D1059" s="2724"/>
      <c r="E1059" s="2828"/>
      <c r="F1059" s="3833"/>
      <c r="G1059" s="2806"/>
      <c r="H1059" s="2820"/>
      <c r="I1059" s="2728"/>
      <c r="J1059" s="898"/>
      <c r="K1059" s="898"/>
      <c r="L1059" s="898"/>
      <c r="M1059" s="898"/>
      <c r="N1059" s="2768"/>
    </row>
    <row r="1060" spans="1:16" s="27" customFormat="1" ht="18.75" hidden="1" customHeight="1" x14ac:dyDescent="0.25">
      <c r="A1060" s="6"/>
      <c r="B1060" s="440"/>
      <c r="C1060" s="2497" t="s">
        <v>4139</v>
      </c>
      <c r="D1060" s="2669">
        <f>SUM(D1061+D1066+D1071+D1079+D1084+D1087)</f>
        <v>6934761632</v>
      </c>
      <c r="E1060" s="2786">
        <f>D1060/D927*100</f>
        <v>5.0561950558263948</v>
      </c>
      <c r="F1060" s="3835"/>
      <c r="G1060" s="2719"/>
      <c r="H1060" s="2719"/>
      <c r="I1060" s="2719"/>
      <c r="J1060" s="2720"/>
      <c r="K1060" s="2720"/>
      <c r="L1060" s="2719"/>
      <c r="M1060" s="2719"/>
      <c r="N1060" s="2701"/>
      <c r="P1060" s="80"/>
    </row>
    <row r="1061" spans="1:16" s="27" customFormat="1" ht="30.75" hidden="1" customHeight="1" x14ac:dyDescent="0.25">
      <c r="A1061" s="6"/>
      <c r="B1061" s="441"/>
      <c r="C1061" s="2482" t="s">
        <v>6543</v>
      </c>
      <c r="D1061" s="2721">
        <f>SUM(D1062:D1064)</f>
        <v>284547000</v>
      </c>
      <c r="E1061" s="2801">
        <f>D1061/D927*100</f>
        <v>0.20746569397732881</v>
      </c>
      <c r="F1061" s="3839"/>
      <c r="G1061" s="2830"/>
      <c r="H1061" s="2830"/>
      <c r="I1061" s="2830"/>
      <c r="J1061" s="2723"/>
      <c r="K1061" s="2834"/>
      <c r="L1061" s="2830"/>
      <c r="M1061" s="2830"/>
      <c r="N1061" s="2701"/>
      <c r="P1061" s="80"/>
    </row>
    <row r="1062" spans="1:16" s="27" customFormat="1" ht="31.5" hidden="1" customHeight="1" x14ac:dyDescent="0.25">
      <c r="A1062" s="6"/>
      <c r="B1062" s="441"/>
      <c r="C1062" s="2494" t="s">
        <v>6546</v>
      </c>
      <c r="D1062" s="896">
        <v>284547000</v>
      </c>
      <c r="E1062" s="2810">
        <f>D1062/D927*100</f>
        <v>0.20746569397732881</v>
      </c>
      <c r="F1062" s="4437"/>
      <c r="G1062" s="2685"/>
      <c r="H1062" s="2685"/>
      <c r="I1062" s="2685"/>
      <c r="J1062" s="2815"/>
      <c r="K1062" s="2700"/>
      <c r="L1062" s="2685"/>
      <c r="M1062" s="2685"/>
      <c r="N1062" s="2701"/>
      <c r="P1062" s="80"/>
    </row>
    <row r="1063" spans="1:16" s="27" customFormat="1" ht="15.75" hidden="1" customHeight="1" x14ac:dyDescent="0.25">
      <c r="A1063" s="6"/>
      <c r="B1063" s="441"/>
      <c r="C1063" s="2494" t="s">
        <v>6547</v>
      </c>
      <c r="D1063" s="896">
        <v>0</v>
      </c>
      <c r="E1063" s="2810">
        <f>D1063/D927*100</f>
        <v>0</v>
      </c>
      <c r="F1063" s="4437"/>
      <c r="G1063" s="2685"/>
      <c r="H1063" s="2685"/>
      <c r="I1063" s="2685"/>
      <c r="J1063" s="2835"/>
      <c r="K1063" s="2700"/>
      <c r="L1063" s="2685"/>
      <c r="M1063" s="2685"/>
      <c r="N1063" s="2701"/>
      <c r="P1063" s="80"/>
    </row>
    <row r="1064" spans="1:16" s="27" customFormat="1" ht="28.5" hidden="1" customHeight="1" x14ac:dyDescent="0.25">
      <c r="A1064" s="6"/>
      <c r="B1064" s="441"/>
      <c r="C1064" s="2494" t="s">
        <v>6548</v>
      </c>
      <c r="D1064" s="896">
        <v>0</v>
      </c>
      <c r="E1064" s="2810">
        <f>D1064/D927*100</f>
        <v>0</v>
      </c>
      <c r="F1064" s="4437"/>
      <c r="G1064" s="2685"/>
      <c r="H1064" s="2685"/>
      <c r="I1064" s="2685"/>
      <c r="J1064" s="2835"/>
      <c r="K1064" s="2700"/>
      <c r="L1064" s="2685"/>
      <c r="M1064" s="2685"/>
      <c r="N1064" s="2701"/>
      <c r="P1064" s="80"/>
    </row>
    <row r="1065" spans="1:16" s="27" customFormat="1" ht="11.25" hidden="1" customHeight="1" x14ac:dyDescent="0.25">
      <c r="A1065" s="6"/>
      <c r="B1065" s="441"/>
      <c r="C1065" s="2494"/>
      <c r="D1065" s="898"/>
      <c r="E1065" s="2810"/>
      <c r="F1065" s="4444"/>
      <c r="G1065" s="2685"/>
      <c r="H1065" s="2685"/>
      <c r="I1065" s="2685"/>
      <c r="J1065" s="2836"/>
      <c r="K1065" s="2700"/>
      <c r="L1065" s="2685"/>
      <c r="M1065" s="2685"/>
      <c r="N1065" s="2701"/>
      <c r="P1065" s="80"/>
    </row>
    <row r="1066" spans="1:16" s="27" customFormat="1" ht="15.75" hidden="1" customHeight="1" x14ac:dyDescent="0.25">
      <c r="A1066" s="6"/>
      <c r="B1066" s="441"/>
      <c r="C1066" s="2509" t="s">
        <v>314</v>
      </c>
      <c r="D1066" s="2676">
        <f>SUM(D1067:D1069)</f>
        <v>1307700000</v>
      </c>
      <c r="E1066" s="2801">
        <f>D1066/D927*100</f>
        <v>0.95345545029170176</v>
      </c>
      <c r="F1066" s="3841"/>
      <c r="G1066" s="2685"/>
      <c r="H1066" s="2685"/>
      <c r="I1066" s="2685"/>
      <c r="J1066" s="2680"/>
      <c r="K1066" s="2700"/>
      <c r="L1066" s="2685"/>
      <c r="M1066" s="2685"/>
      <c r="N1066" s="2701"/>
      <c r="P1066" s="80"/>
    </row>
    <row r="1067" spans="1:16" s="27" customFormat="1" ht="18.75" hidden="1" customHeight="1" x14ac:dyDescent="0.25">
      <c r="A1067" s="6"/>
      <c r="B1067" s="441"/>
      <c r="C1067" s="2492" t="s">
        <v>6549</v>
      </c>
      <c r="D1067" s="896">
        <v>459200000</v>
      </c>
      <c r="E1067" s="2810">
        <f>D1067/D927*100</f>
        <v>0.3348067161993955</v>
      </c>
      <c r="F1067" s="4437"/>
      <c r="G1067" s="2685"/>
      <c r="H1067" s="2685"/>
      <c r="I1067" s="2685"/>
      <c r="J1067" s="2815"/>
      <c r="K1067" s="2700"/>
      <c r="L1067" s="2685"/>
      <c r="M1067" s="2685"/>
      <c r="N1067" s="2701"/>
      <c r="P1067" s="80"/>
    </row>
    <row r="1068" spans="1:16" s="27" customFormat="1" ht="15.75" hidden="1" customHeight="1" x14ac:dyDescent="0.25">
      <c r="A1068" s="6"/>
      <c r="B1068" s="441"/>
      <c r="C1068" s="2492" t="s">
        <v>6550</v>
      </c>
      <c r="D1068" s="896">
        <v>450000000</v>
      </c>
      <c r="E1068" s="2810">
        <f>D1068/D927*100</f>
        <v>0.32809891613616715</v>
      </c>
      <c r="F1068" s="4437"/>
      <c r="G1068" s="2685"/>
      <c r="H1068" s="2685"/>
      <c r="I1068" s="2685"/>
      <c r="J1068" s="2815"/>
      <c r="K1068" s="2700"/>
      <c r="L1068" s="2685"/>
      <c r="M1068" s="2685"/>
      <c r="N1068" s="2701"/>
      <c r="P1068" s="80"/>
    </row>
    <row r="1069" spans="1:16" s="27" customFormat="1" ht="30.75" hidden="1" customHeight="1" x14ac:dyDescent="0.25">
      <c r="A1069" s="6"/>
      <c r="B1069" s="441"/>
      <c r="C1069" s="2485" t="s">
        <v>6551</v>
      </c>
      <c r="D1069" s="896">
        <v>398500000</v>
      </c>
      <c r="E1069" s="2810">
        <f>D1069/D927*100</f>
        <v>0.29054981795613916</v>
      </c>
      <c r="F1069" s="4437"/>
      <c r="G1069" s="2685"/>
      <c r="H1069" s="2685"/>
      <c r="I1069" s="2685"/>
      <c r="J1069" s="2815"/>
      <c r="K1069" s="2700"/>
      <c r="L1069" s="2685"/>
      <c r="M1069" s="2685"/>
      <c r="N1069" s="2701"/>
      <c r="P1069" s="80"/>
    </row>
    <row r="1070" spans="1:16" ht="12" hidden="1" customHeight="1" x14ac:dyDescent="0.25">
      <c r="B1070" s="441"/>
      <c r="C1070" s="2506"/>
      <c r="D1070" s="2724"/>
      <c r="E1070" s="2810"/>
      <c r="F1070" s="4380"/>
      <c r="G1070" s="2830"/>
      <c r="H1070" s="2830"/>
      <c r="I1070" s="2830"/>
      <c r="J1070" s="911"/>
      <c r="K1070" s="911"/>
      <c r="L1070" s="911"/>
      <c r="M1070" s="911"/>
      <c r="N1070" s="2768"/>
    </row>
    <row r="1071" spans="1:16" ht="18.75" hidden="1" customHeight="1" x14ac:dyDescent="0.25">
      <c r="B1071" s="441"/>
      <c r="C1071" s="2491" t="s">
        <v>6544</v>
      </c>
      <c r="D1071" s="2692">
        <f>SUM(D1072:D1077)</f>
        <v>2467890000</v>
      </c>
      <c r="E1071" s="2813">
        <f>D1071/D927*100</f>
        <v>1.7993600758739681</v>
      </c>
      <c r="F1071" s="4384"/>
      <c r="G1071" s="2685"/>
      <c r="H1071" s="2685"/>
      <c r="I1071" s="2685"/>
      <c r="J1071" s="898"/>
      <c r="K1071" s="898"/>
      <c r="L1071" s="898"/>
      <c r="M1071" s="898"/>
      <c r="N1071" s="2768"/>
    </row>
    <row r="1072" spans="1:16" ht="28.5" hidden="1" customHeight="1" x14ac:dyDescent="0.25">
      <c r="B1072" s="441"/>
      <c r="C1072" s="2494" t="s">
        <v>6552</v>
      </c>
      <c r="D1072" s="2698">
        <v>349690000</v>
      </c>
      <c r="E1072" s="2810">
        <f>D1072/D927*100</f>
        <v>0.25496202218590286</v>
      </c>
      <c r="F1072" s="4384"/>
      <c r="G1072" s="2685"/>
      <c r="H1072" s="2685"/>
      <c r="I1072" s="2685"/>
      <c r="J1072" s="898"/>
      <c r="K1072" s="898"/>
      <c r="L1072" s="898"/>
      <c r="M1072" s="898"/>
      <c r="N1072" s="2768"/>
    </row>
    <row r="1073" spans="1:16" ht="16.5" hidden="1" customHeight="1" x14ac:dyDescent="0.25">
      <c r="B1073" s="441"/>
      <c r="C1073" s="2494" t="s">
        <v>6553</v>
      </c>
      <c r="D1073" s="2698">
        <v>338800000</v>
      </c>
      <c r="E1073" s="2810">
        <f>D1073/D927*100</f>
        <v>0.24702202841540766</v>
      </c>
      <c r="F1073" s="4384"/>
      <c r="G1073" s="2685"/>
      <c r="H1073" s="2685"/>
      <c r="I1073" s="2685"/>
      <c r="J1073" s="898"/>
      <c r="K1073" s="898"/>
      <c r="L1073" s="898"/>
      <c r="M1073" s="898"/>
      <c r="N1073" s="2768"/>
    </row>
    <row r="1074" spans="1:16" ht="30" hidden="1" customHeight="1" x14ac:dyDescent="0.25">
      <c r="B1074" s="441"/>
      <c r="C1074" s="2494" t="s">
        <v>6554</v>
      </c>
      <c r="D1074" s="2698">
        <v>660150000</v>
      </c>
      <c r="E1074" s="2810">
        <f>D1074/D927*100</f>
        <v>0.48132110997175725</v>
      </c>
      <c r="F1074" s="4384"/>
      <c r="G1074" s="2685"/>
      <c r="H1074" s="2685"/>
      <c r="I1074" s="2685"/>
      <c r="J1074" s="898"/>
      <c r="K1074" s="898"/>
      <c r="L1074" s="898"/>
      <c r="M1074" s="898"/>
      <c r="N1074" s="2768"/>
    </row>
    <row r="1075" spans="1:16" ht="16.5" hidden="1" customHeight="1" x14ac:dyDescent="0.25">
      <c r="B1075" s="441"/>
      <c r="C1075" s="2494" t="s">
        <v>6654</v>
      </c>
      <c r="D1075" s="2698">
        <v>356950000</v>
      </c>
      <c r="E1075" s="2810">
        <f>D1075/D927*100</f>
        <v>0.26025535136623307</v>
      </c>
      <c r="F1075" s="4384"/>
      <c r="G1075" s="2685"/>
      <c r="H1075" s="2685"/>
      <c r="I1075" s="2685"/>
      <c r="J1075" s="898"/>
      <c r="K1075" s="898"/>
      <c r="L1075" s="898"/>
      <c r="M1075" s="898"/>
      <c r="N1075" s="2768"/>
    </row>
    <row r="1076" spans="1:16" ht="19.5" hidden="1" customHeight="1" x14ac:dyDescent="0.25">
      <c r="B1076" s="441"/>
      <c r="C1076" s="2494" t="s">
        <v>6655</v>
      </c>
      <c r="D1076" s="2698">
        <v>344850000</v>
      </c>
      <c r="E1076" s="2810">
        <f>D1076/D927*100</f>
        <v>0.25143313606568274</v>
      </c>
      <c r="F1076" s="4384"/>
      <c r="G1076" s="2685"/>
      <c r="H1076" s="2685"/>
      <c r="I1076" s="2685"/>
      <c r="J1076" s="898"/>
      <c r="K1076" s="898"/>
      <c r="L1076" s="898"/>
      <c r="M1076" s="898"/>
      <c r="N1076" s="2768"/>
    </row>
    <row r="1077" spans="1:16" ht="16.5" hidden="1" customHeight="1" x14ac:dyDescent="0.25">
      <c r="B1077" s="441"/>
      <c r="C1077" s="2494" t="s">
        <v>6656</v>
      </c>
      <c r="D1077" s="2698">
        <v>417450000</v>
      </c>
      <c r="E1077" s="2810">
        <f>D1077/D927*100</f>
        <v>0.30436642786898438</v>
      </c>
      <c r="F1077" s="4384"/>
      <c r="G1077" s="2685"/>
      <c r="H1077" s="2685"/>
      <c r="I1077" s="2685"/>
      <c r="J1077" s="898"/>
      <c r="K1077" s="898"/>
      <c r="L1077" s="898"/>
      <c r="M1077" s="898"/>
      <c r="N1077" s="2768"/>
    </row>
    <row r="1078" spans="1:16" ht="12.75" hidden="1" customHeight="1" x14ac:dyDescent="0.25">
      <c r="B1078" s="441"/>
      <c r="C1078" s="2494"/>
      <c r="D1078" s="2698"/>
      <c r="E1078" s="2810"/>
      <c r="F1078" s="4384"/>
      <c r="G1078" s="2685"/>
      <c r="H1078" s="2685"/>
      <c r="I1078" s="2685"/>
      <c r="J1078" s="898"/>
      <c r="K1078" s="898"/>
      <c r="L1078" s="898"/>
      <c r="M1078" s="898"/>
      <c r="N1078" s="2768"/>
    </row>
    <row r="1079" spans="1:16" s="32" customFormat="1" ht="30.75" hidden="1" customHeight="1" x14ac:dyDescent="0.25">
      <c r="A1079" s="1"/>
      <c r="B1079" s="441"/>
      <c r="C1079" s="2491" t="s">
        <v>6545</v>
      </c>
      <c r="D1079" s="2692">
        <f>SUM(D1080:D1082)</f>
        <v>1690676450</v>
      </c>
      <c r="E1079" s="2813">
        <f>D1079/D927*100</f>
        <v>1.2326869128487619</v>
      </c>
      <c r="F1079" s="3834"/>
      <c r="G1079" s="2679"/>
      <c r="H1079" s="2679"/>
      <c r="I1079" s="2679"/>
      <c r="J1079" s="899"/>
      <c r="K1079" s="899"/>
      <c r="L1079" s="899"/>
      <c r="M1079" s="899"/>
      <c r="N1079" s="2837"/>
      <c r="P1079" s="630"/>
    </row>
    <row r="1080" spans="1:16" ht="15.75" hidden="1" customHeight="1" x14ac:dyDescent="0.25">
      <c r="B1080" s="441"/>
      <c r="C1080" s="2494" t="s">
        <v>6555</v>
      </c>
      <c r="D1080" s="2698">
        <v>326700000</v>
      </c>
      <c r="E1080" s="2810">
        <f>D1080/D927*100</f>
        <v>0.23819981311485736</v>
      </c>
      <c r="F1080" s="4384"/>
      <c r="G1080" s="2685"/>
      <c r="H1080" s="2685"/>
      <c r="I1080" s="2685"/>
      <c r="J1080" s="898"/>
      <c r="K1080" s="898"/>
      <c r="L1080" s="898"/>
      <c r="M1080" s="898"/>
      <c r="N1080" s="2768"/>
    </row>
    <row r="1081" spans="1:16" ht="15.75" hidden="1" customHeight="1" x14ac:dyDescent="0.25">
      <c r="B1081" s="441"/>
      <c r="C1081" s="2494" t="s">
        <v>6556</v>
      </c>
      <c r="D1081" s="2698">
        <v>1014386450</v>
      </c>
      <c r="E1081" s="2810">
        <f>D1081/D927*100</f>
        <v>0.73959798841825408</v>
      </c>
      <c r="F1081" s="4384"/>
      <c r="G1081" s="2685"/>
      <c r="H1081" s="2685"/>
      <c r="I1081" s="2685"/>
      <c r="J1081" s="898"/>
      <c r="K1081" s="898"/>
      <c r="L1081" s="898"/>
      <c r="M1081" s="898"/>
      <c r="N1081" s="2768"/>
    </row>
    <row r="1082" spans="1:16" ht="30" hidden="1" customHeight="1" x14ac:dyDescent="0.25">
      <c r="B1082" s="441"/>
      <c r="C1082" s="2494" t="s">
        <v>6557</v>
      </c>
      <c r="D1082" s="2698">
        <v>349590000</v>
      </c>
      <c r="E1082" s="2810">
        <f>D1082/D927*100</f>
        <v>0.2548891113156504</v>
      </c>
      <c r="F1082" s="4384"/>
      <c r="G1082" s="2685"/>
      <c r="H1082" s="2685"/>
      <c r="I1082" s="2685"/>
      <c r="J1082" s="898"/>
      <c r="K1082" s="898"/>
      <c r="L1082" s="898"/>
      <c r="M1082" s="898"/>
      <c r="N1082" s="2768"/>
    </row>
    <row r="1083" spans="1:16" ht="8.25" hidden="1" customHeight="1" x14ac:dyDescent="0.25">
      <c r="B1083" s="441"/>
      <c r="C1083" s="2494"/>
      <c r="D1083" s="2698"/>
      <c r="E1083" s="2810"/>
      <c r="F1083" s="4384"/>
      <c r="G1083" s="2685"/>
      <c r="H1083" s="2685"/>
      <c r="I1083" s="2685"/>
      <c r="J1083" s="898"/>
      <c r="K1083" s="898"/>
      <c r="L1083" s="898"/>
      <c r="M1083" s="898"/>
      <c r="N1083" s="2768"/>
    </row>
    <row r="1084" spans="1:16" ht="18" hidden="1" customHeight="1" x14ac:dyDescent="0.25">
      <c r="B1084" s="441"/>
      <c r="C1084" s="2491" t="s">
        <v>6558</v>
      </c>
      <c r="D1084" s="2692">
        <f>D1085</f>
        <v>760448182</v>
      </c>
      <c r="E1084" s="2813">
        <f>D1084/D927*100</f>
        <v>0.55444938731537508</v>
      </c>
      <c r="F1084" s="4384"/>
      <c r="G1084" s="2685"/>
      <c r="H1084" s="2685"/>
      <c r="I1084" s="2685"/>
      <c r="J1084" s="898"/>
      <c r="K1084" s="898"/>
      <c r="L1084" s="898"/>
      <c r="M1084" s="898"/>
      <c r="N1084" s="2768"/>
    </row>
    <row r="1085" spans="1:16" ht="32.25" hidden="1" customHeight="1" x14ac:dyDescent="0.25">
      <c r="B1085" s="441"/>
      <c r="C1085" s="2494" t="s">
        <v>6559</v>
      </c>
      <c r="D1085" s="2698">
        <f>760448550-368</f>
        <v>760448182</v>
      </c>
      <c r="E1085" s="2810">
        <f>D1085/D927*100</f>
        <v>0.55444938731537508</v>
      </c>
      <c r="F1085" s="4384"/>
      <c r="G1085" s="2685"/>
      <c r="H1085" s="2685"/>
      <c r="I1085" s="2685"/>
      <c r="J1085" s="898"/>
      <c r="K1085" s="898"/>
      <c r="L1085" s="898"/>
      <c r="M1085" s="898"/>
      <c r="N1085" s="2768"/>
    </row>
    <row r="1086" spans="1:16" ht="9" hidden="1" customHeight="1" x14ac:dyDescent="0.25">
      <c r="B1086" s="441"/>
      <c r="C1086" s="2494"/>
      <c r="D1086" s="2698"/>
      <c r="E1086" s="2810"/>
      <c r="F1086" s="4384"/>
      <c r="G1086" s="2685"/>
      <c r="H1086" s="2685"/>
      <c r="I1086" s="2685"/>
      <c r="J1086" s="898"/>
      <c r="K1086" s="898"/>
      <c r="L1086" s="898"/>
      <c r="M1086" s="898"/>
      <c r="N1086" s="2768"/>
    </row>
    <row r="1087" spans="1:16" ht="18.75" hidden="1" customHeight="1" x14ac:dyDescent="0.25">
      <c r="B1087" s="441"/>
      <c r="C1087" s="2491" t="s">
        <v>6560</v>
      </c>
      <c r="D1087" s="2692">
        <f>D1088</f>
        <v>423500000</v>
      </c>
      <c r="E1087" s="2813">
        <f>D1087/D927*100</f>
        <v>0.30877753551925957</v>
      </c>
      <c r="F1087" s="4384"/>
      <c r="G1087" s="2685"/>
      <c r="H1087" s="2685"/>
      <c r="I1087" s="2685"/>
      <c r="J1087" s="898"/>
      <c r="K1087" s="898"/>
      <c r="L1087" s="898"/>
      <c r="M1087" s="898"/>
      <c r="N1087" s="2768"/>
    </row>
    <row r="1088" spans="1:16" ht="30.75" hidden="1" customHeight="1" x14ac:dyDescent="0.25">
      <c r="B1088" s="441"/>
      <c r="C1088" s="2494" t="s">
        <v>6561</v>
      </c>
      <c r="D1088" s="2698">
        <v>423500000</v>
      </c>
      <c r="E1088" s="2810">
        <f>D1088/D927*100</f>
        <v>0.30877753551925957</v>
      </c>
      <c r="F1088" s="4384"/>
      <c r="G1088" s="2685"/>
      <c r="H1088" s="2685"/>
      <c r="I1088" s="2685"/>
      <c r="J1088" s="898"/>
      <c r="K1088" s="898"/>
      <c r="L1088" s="898"/>
      <c r="M1088" s="898"/>
      <c r="N1088" s="2768"/>
    </row>
    <row r="1089" spans="1:16" ht="12" hidden="1" customHeight="1" x14ac:dyDescent="0.25">
      <c r="B1089" s="441"/>
      <c r="C1089" s="2506"/>
      <c r="D1089" s="2838"/>
      <c r="E1089" s="2828"/>
      <c r="F1089" s="4380"/>
      <c r="G1089" s="2830"/>
      <c r="H1089" s="2830"/>
      <c r="I1089" s="2830"/>
      <c r="J1089" s="2755"/>
      <c r="K1089" s="2755"/>
      <c r="L1089" s="2755"/>
      <c r="M1089" s="2755"/>
      <c r="N1089" s="2768"/>
    </row>
    <row r="1090" spans="1:16" s="27" customFormat="1" ht="18.75" hidden="1" customHeight="1" x14ac:dyDescent="0.25">
      <c r="A1090" s="6"/>
      <c r="B1090" s="440"/>
      <c r="C1090" s="2507" t="s">
        <v>329</v>
      </c>
      <c r="D1090" s="2669">
        <f>SUM(D1091+D1094+D1097+D1101+D1105)</f>
        <v>1300000000</v>
      </c>
      <c r="E1090" s="2786">
        <f>D1090/D927*100</f>
        <v>0.94784131328226073</v>
      </c>
      <c r="F1090" s="3835"/>
      <c r="G1090" s="2719"/>
      <c r="H1090" s="2719"/>
      <c r="I1090" s="2719"/>
      <c r="J1090" s="2720"/>
      <c r="K1090" s="2720"/>
      <c r="L1090" s="2672"/>
      <c r="M1090" s="2744"/>
      <c r="N1090" s="2701"/>
      <c r="P1090" s="80"/>
    </row>
    <row r="1091" spans="1:16" s="27" customFormat="1" ht="30" hidden="1" customHeight="1" x14ac:dyDescent="0.25">
      <c r="A1091" s="6"/>
      <c r="B1091" s="441"/>
      <c r="C1091" s="2508" t="s">
        <v>6562</v>
      </c>
      <c r="D1091" s="2808">
        <f>D1092</f>
        <v>0</v>
      </c>
      <c r="E1091" s="2801">
        <f>D1091/D927*100</f>
        <v>0</v>
      </c>
      <c r="F1091" s="3840"/>
      <c r="G1091" s="2830"/>
      <c r="H1091" s="2830"/>
      <c r="I1091" s="2830"/>
      <c r="J1091" s="2833"/>
      <c r="K1091" s="2833"/>
      <c r="L1091" s="2751"/>
      <c r="M1091" s="3188"/>
      <c r="N1091" s="2701"/>
      <c r="P1091" s="80"/>
    </row>
    <row r="1092" spans="1:16" s="27" customFormat="1" ht="30.75" hidden="1" customHeight="1" x14ac:dyDescent="0.25">
      <c r="A1092" s="6"/>
      <c r="B1092" s="441"/>
      <c r="C1092" s="2485" t="s">
        <v>6563</v>
      </c>
      <c r="D1092" s="896">
        <v>0</v>
      </c>
      <c r="E1092" s="2810">
        <f>D1092/D927*100</f>
        <v>0</v>
      </c>
      <c r="F1092" s="4437"/>
      <c r="G1092" s="2685"/>
      <c r="H1092" s="2685"/>
      <c r="I1092" s="2685"/>
      <c r="J1092" s="2815"/>
      <c r="K1092" s="896"/>
      <c r="L1092" s="896"/>
      <c r="M1092" s="896"/>
      <c r="N1092" s="2701"/>
      <c r="P1092" s="80"/>
    </row>
    <row r="1093" spans="1:16" s="27" customFormat="1" ht="12.75" hidden="1" customHeight="1" x14ac:dyDescent="0.25">
      <c r="A1093" s="6"/>
      <c r="B1093" s="441"/>
      <c r="C1093" s="3734"/>
      <c r="D1093" s="2769"/>
      <c r="E1093" s="2810"/>
      <c r="F1093" s="4445"/>
      <c r="G1093" s="2830"/>
      <c r="H1093" s="2830"/>
      <c r="I1093" s="2830"/>
      <c r="J1093" s="2835"/>
      <c r="K1093" s="2769"/>
      <c r="L1093" s="896"/>
      <c r="M1093" s="896"/>
      <c r="N1093" s="2701"/>
      <c r="P1093" s="80"/>
    </row>
    <row r="1094" spans="1:16" s="27" customFormat="1" ht="32.25" hidden="1" customHeight="1" x14ac:dyDescent="0.25">
      <c r="A1094" s="6"/>
      <c r="B1094" s="441"/>
      <c r="C1094" s="3949" t="s">
        <v>6564</v>
      </c>
      <c r="D1094" s="2767">
        <f>D1095</f>
        <v>0</v>
      </c>
      <c r="E1094" s="2813">
        <f>D1094/D927*100</f>
        <v>0</v>
      </c>
      <c r="F1094" s="4440"/>
      <c r="G1094" s="2708"/>
      <c r="H1094" s="2708"/>
      <c r="I1094" s="2708"/>
      <c r="J1094" s="2841"/>
      <c r="K1094" s="2709"/>
      <c r="L1094" s="2709"/>
      <c r="M1094" s="2709"/>
      <c r="N1094" s="2701"/>
      <c r="P1094" s="80"/>
    </row>
    <row r="1095" spans="1:16" s="27" customFormat="1" ht="30" hidden="1" customHeight="1" x14ac:dyDescent="0.25">
      <c r="A1095" s="6"/>
      <c r="B1095" s="441"/>
      <c r="C1095" s="3734" t="s">
        <v>6565</v>
      </c>
      <c r="D1095" s="896">
        <v>0</v>
      </c>
      <c r="E1095" s="2810">
        <f>D1095/D927*100</f>
        <v>0</v>
      </c>
      <c r="F1095" s="4437"/>
      <c r="G1095" s="2685"/>
      <c r="H1095" s="2685"/>
      <c r="I1095" s="2685"/>
      <c r="J1095" s="2815"/>
      <c r="K1095" s="896"/>
      <c r="L1095" s="896"/>
      <c r="M1095" s="896"/>
      <c r="N1095" s="2701"/>
      <c r="P1095" s="80"/>
    </row>
    <row r="1096" spans="1:16" s="27" customFormat="1" ht="10.5" hidden="1" customHeight="1" x14ac:dyDescent="0.25">
      <c r="A1096" s="6"/>
      <c r="B1096" s="441"/>
      <c r="C1096" s="3734"/>
      <c r="D1096" s="896"/>
      <c r="E1096" s="2810"/>
      <c r="F1096" s="4437"/>
      <c r="G1096" s="2685"/>
      <c r="H1096" s="2685"/>
      <c r="I1096" s="2685"/>
      <c r="J1096" s="2815"/>
      <c r="K1096" s="896"/>
      <c r="L1096" s="896"/>
      <c r="M1096" s="896"/>
      <c r="N1096" s="2701"/>
      <c r="P1096" s="80"/>
    </row>
    <row r="1097" spans="1:16" s="27" customFormat="1" ht="29.25" hidden="1" customHeight="1" x14ac:dyDescent="0.25">
      <c r="A1097" s="6"/>
      <c r="B1097" s="441"/>
      <c r="C1097" s="3949" t="s">
        <v>6566</v>
      </c>
      <c r="D1097" s="899">
        <f>SUM(D1098:D1099)</f>
        <v>0</v>
      </c>
      <c r="E1097" s="2813">
        <f>D1097/D927*100</f>
        <v>0</v>
      </c>
      <c r="F1097" s="4437"/>
      <c r="G1097" s="2685"/>
      <c r="H1097" s="2685"/>
      <c r="I1097" s="2685"/>
      <c r="J1097" s="2815"/>
      <c r="K1097" s="896"/>
      <c r="L1097" s="896"/>
      <c r="M1097" s="896"/>
      <c r="N1097" s="2701"/>
      <c r="P1097" s="80"/>
    </row>
    <row r="1098" spans="1:16" s="27" customFormat="1" ht="18" hidden="1" customHeight="1" x14ac:dyDescent="0.25">
      <c r="A1098" s="6"/>
      <c r="B1098" s="441"/>
      <c r="C1098" s="3734" t="s">
        <v>6567</v>
      </c>
      <c r="D1098" s="896">
        <v>0</v>
      </c>
      <c r="E1098" s="2810">
        <f>D1098/D927*100</f>
        <v>0</v>
      </c>
      <c r="F1098" s="4437"/>
      <c r="G1098" s="2685"/>
      <c r="H1098" s="2685"/>
      <c r="I1098" s="2685"/>
      <c r="J1098" s="2815"/>
      <c r="K1098" s="896"/>
      <c r="L1098" s="896"/>
      <c r="M1098" s="896"/>
      <c r="N1098" s="2701"/>
      <c r="P1098" s="80"/>
    </row>
    <row r="1099" spans="1:16" s="27" customFormat="1" ht="15" hidden="1" customHeight="1" x14ac:dyDescent="0.25">
      <c r="A1099" s="6"/>
      <c r="B1099" s="441"/>
      <c r="C1099" s="3734" t="s">
        <v>6568</v>
      </c>
      <c r="D1099" s="896">
        <v>0</v>
      </c>
      <c r="E1099" s="2810">
        <f>D1099/D927*100</f>
        <v>0</v>
      </c>
      <c r="F1099" s="4437"/>
      <c r="G1099" s="2685"/>
      <c r="H1099" s="2685"/>
      <c r="I1099" s="2685"/>
      <c r="J1099" s="2815"/>
      <c r="K1099" s="896"/>
      <c r="L1099" s="896"/>
      <c r="M1099" s="896"/>
      <c r="N1099" s="2701"/>
      <c r="P1099" s="80"/>
    </row>
    <row r="1100" spans="1:16" s="27" customFormat="1" ht="13.5" hidden="1" customHeight="1" x14ac:dyDescent="0.25">
      <c r="A1100" s="6"/>
      <c r="B1100" s="441"/>
      <c r="C1100" s="3734"/>
      <c r="D1100" s="896"/>
      <c r="E1100" s="2810"/>
      <c r="F1100" s="4437"/>
      <c r="G1100" s="2685"/>
      <c r="H1100" s="2685"/>
      <c r="I1100" s="2685"/>
      <c r="J1100" s="2815"/>
      <c r="K1100" s="896"/>
      <c r="L1100" s="896"/>
      <c r="M1100" s="896"/>
      <c r="N1100" s="2701"/>
      <c r="P1100" s="80"/>
    </row>
    <row r="1101" spans="1:16" s="27" customFormat="1" ht="18.75" hidden="1" customHeight="1" x14ac:dyDescent="0.25">
      <c r="A1101" s="6"/>
      <c r="B1101" s="441"/>
      <c r="C1101" s="3949" t="s">
        <v>6569</v>
      </c>
      <c r="D1101" s="899">
        <f>SUM(D1102:D1103)</f>
        <v>1300000000</v>
      </c>
      <c r="E1101" s="2813">
        <f>D1101/D927*100</f>
        <v>0.94784131328226073</v>
      </c>
      <c r="F1101" s="4437"/>
      <c r="G1101" s="2685"/>
      <c r="H1101" s="2685"/>
      <c r="I1101" s="2685"/>
      <c r="J1101" s="2815"/>
      <c r="K1101" s="896"/>
      <c r="L1101" s="896"/>
      <c r="M1101" s="896"/>
      <c r="N1101" s="2701"/>
      <c r="P1101" s="80"/>
    </row>
    <row r="1102" spans="1:16" s="27" customFormat="1" ht="15" hidden="1" customHeight="1" x14ac:dyDescent="0.25">
      <c r="A1102" s="6"/>
      <c r="B1102" s="441"/>
      <c r="C1102" s="3734" t="s">
        <v>6570</v>
      </c>
      <c r="D1102" s="896">
        <v>650000000</v>
      </c>
      <c r="E1102" s="2810">
        <f>D1102/D927*100</f>
        <v>0.47392065664113037</v>
      </c>
      <c r="F1102" s="4437"/>
      <c r="G1102" s="2685"/>
      <c r="H1102" s="2685"/>
      <c r="I1102" s="2685"/>
      <c r="J1102" s="2815"/>
      <c r="K1102" s="896"/>
      <c r="L1102" s="896"/>
      <c r="M1102" s="896"/>
      <c r="N1102" s="2701"/>
      <c r="P1102" s="80"/>
    </row>
    <row r="1103" spans="1:16" s="27" customFormat="1" ht="15" hidden="1" customHeight="1" x14ac:dyDescent="0.25">
      <c r="A1103" s="6"/>
      <c r="B1103" s="441"/>
      <c r="C1103" s="3734" t="s">
        <v>6571</v>
      </c>
      <c r="D1103" s="896">
        <v>650000000</v>
      </c>
      <c r="E1103" s="2810">
        <f>D1103/D927*100</f>
        <v>0.47392065664113037</v>
      </c>
      <c r="F1103" s="4437"/>
      <c r="G1103" s="2685"/>
      <c r="H1103" s="2685"/>
      <c r="I1103" s="2685"/>
      <c r="J1103" s="2815"/>
      <c r="K1103" s="896"/>
      <c r="L1103" s="896"/>
      <c r="M1103" s="896"/>
      <c r="N1103" s="2701"/>
      <c r="P1103" s="80"/>
    </row>
    <row r="1104" spans="1:16" s="27" customFormat="1" ht="10.5" hidden="1" customHeight="1" x14ac:dyDescent="0.25">
      <c r="A1104" s="6"/>
      <c r="B1104" s="441"/>
      <c r="C1104" s="3734"/>
      <c r="D1104" s="896"/>
      <c r="E1104" s="2810"/>
      <c r="F1104" s="4437"/>
      <c r="G1104" s="2685"/>
      <c r="H1104" s="2685"/>
      <c r="I1104" s="2685"/>
      <c r="J1104" s="2815"/>
      <c r="K1104" s="896"/>
      <c r="L1104" s="896"/>
      <c r="M1104" s="896"/>
      <c r="N1104" s="2701"/>
      <c r="P1104" s="80"/>
    </row>
    <row r="1105" spans="1:16" s="27" customFormat="1" ht="28.5" hidden="1" customHeight="1" x14ac:dyDescent="0.25">
      <c r="A1105" s="6"/>
      <c r="B1105" s="441"/>
      <c r="C1105" s="3949" t="s">
        <v>6572</v>
      </c>
      <c r="D1105" s="899">
        <f>D1106</f>
        <v>0</v>
      </c>
      <c r="E1105" s="2813">
        <f>D1105/D927*100</f>
        <v>0</v>
      </c>
      <c r="F1105" s="4437"/>
      <c r="G1105" s="2685"/>
      <c r="H1105" s="2685"/>
      <c r="I1105" s="2685"/>
      <c r="J1105" s="2815"/>
      <c r="K1105" s="896"/>
      <c r="L1105" s="896"/>
      <c r="M1105" s="896"/>
      <c r="N1105" s="2701"/>
      <c r="P1105" s="80"/>
    </row>
    <row r="1106" spans="1:16" s="27" customFormat="1" ht="30" hidden="1" customHeight="1" x14ac:dyDescent="0.25">
      <c r="A1106" s="6"/>
      <c r="B1106" s="441"/>
      <c r="C1106" s="3734" t="s">
        <v>6573</v>
      </c>
      <c r="D1106" s="940">
        <v>0</v>
      </c>
      <c r="E1106" s="2810">
        <f>D1106/D927*100</f>
        <v>0</v>
      </c>
      <c r="F1106" s="4438"/>
      <c r="G1106" s="2804"/>
      <c r="H1106" s="2804"/>
      <c r="I1106" s="2804"/>
      <c r="J1106" s="2829"/>
      <c r="K1106" s="940"/>
      <c r="L1106" s="940"/>
      <c r="M1106" s="940"/>
      <c r="N1106" s="2701"/>
      <c r="P1106" s="80"/>
    </row>
    <row r="1107" spans="1:16" ht="12" hidden="1" customHeight="1" x14ac:dyDescent="0.25">
      <c r="B1107" s="441"/>
      <c r="C1107" s="2510"/>
      <c r="D1107" s="2724"/>
      <c r="E1107" s="2840"/>
      <c r="F1107" s="4380"/>
      <c r="G1107" s="2830"/>
      <c r="H1107" s="2785"/>
      <c r="I1107" s="2806"/>
      <c r="J1107" s="2755"/>
      <c r="K1107" s="2755"/>
      <c r="L1107" s="2755"/>
      <c r="M1107" s="2755"/>
      <c r="N1107" s="2768"/>
    </row>
    <row r="1108" spans="1:16" ht="15.75" hidden="1" customHeight="1" x14ac:dyDescent="0.25">
      <c r="B1108" s="440"/>
      <c r="C1108" s="2497" t="s">
        <v>332</v>
      </c>
      <c r="D1108" s="2669">
        <f>SUM(D1109+D1113+D1117+D1120)</f>
        <v>22456869518</v>
      </c>
      <c r="E1108" s="2786">
        <f>D1108/D927*100</f>
        <v>16.37349899703807</v>
      </c>
      <c r="F1108" s="3835"/>
      <c r="G1108" s="2719"/>
      <c r="H1108" s="2672"/>
      <c r="I1108" s="2669"/>
      <c r="J1108" s="2720"/>
      <c r="K1108" s="2720"/>
      <c r="L1108" s="2672"/>
      <c r="M1108" s="2744"/>
      <c r="N1108" s="2768"/>
    </row>
    <row r="1109" spans="1:16" ht="31.5" hidden="1" customHeight="1" x14ac:dyDescent="0.25">
      <c r="B1109" s="441"/>
      <c r="C1109" s="2505" t="s">
        <v>6574</v>
      </c>
      <c r="D1109" s="2822">
        <f>SUM(D1110:D1111)</f>
        <v>2500000000</v>
      </c>
      <c r="E1109" s="2801">
        <f>D1109/D927*100</f>
        <v>1.8227717563120398</v>
      </c>
      <c r="F1109" s="3838"/>
      <c r="G1109" s="2839"/>
      <c r="H1109" s="2785"/>
      <c r="I1109" s="2721"/>
      <c r="J1109" s="2839"/>
      <c r="K1109" s="2839"/>
      <c r="L1109" s="2751"/>
      <c r="M1109" s="2751"/>
      <c r="N1109" s="2768"/>
    </row>
    <row r="1110" spans="1:16" s="27" customFormat="1" ht="18" hidden="1" customHeight="1" x14ac:dyDescent="0.25">
      <c r="A1110" s="6"/>
      <c r="B1110" s="441"/>
      <c r="C1110" s="2486" t="s">
        <v>6575</v>
      </c>
      <c r="D1110" s="896">
        <v>1500000000</v>
      </c>
      <c r="E1110" s="2810">
        <f>D1110/D927*100</f>
        <v>1.0936630537872238</v>
      </c>
      <c r="F1110" s="4437"/>
      <c r="G1110" s="2685"/>
      <c r="H1110" s="2690"/>
      <c r="I1110" s="2698"/>
      <c r="J1110" s="2815"/>
      <c r="K1110" s="896"/>
      <c r="L1110" s="896"/>
      <c r="M1110" s="896"/>
      <c r="N1110" s="2701"/>
      <c r="P1110" s="80"/>
    </row>
    <row r="1111" spans="1:16" s="27" customFormat="1" ht="17.25" hidden="1" customHeight="1" x14ac:dyDescent="0.25">
      <c r="A1111" s="6"/>
      <c r="B1111" s="441"/>
      <c r="C1111" s="2486" t="s">
        <v>6576</v>
      </c>
      <c r="D1111" s="896">
        <v>1000000000</v>
      </c>
      <c r="E1111" s="2810">
        <f>D1111/D927*100</f>
        <v>0.72910870252481597</v>
      </c>
      <c r="F1111" s="4437"/>
      <c r="G1111" s="2685"/>
      <c r="H1111" s="2690"/>
      <c r="I1111" s="2698"/>
      <c r="J1111" s="2815"/>
      <c r="K1111" s="896"/>
      <c r="L1111" s="896"/>
      <c r="M1111" s="896"/>
      <c r="N1111" s="2701"/>
      <c r="P1111" s="80"/>
    </row>
    <row r="1112" spans="1:16" s="27" customFormat="1" ht="11.25" hidden="1" customHeight="1" x14ac:dyDescent="0.25">
      <c r="A1112" s="6"/>
      <c r="B1112" s="441"/>
      <c r="C1112" s="2486"/>
      <c r="D1112" s="896"/>
      <c r="E1112" s="2810"/>
      <c r="F1112" s="4437"/>
      <c r="G1112" s="2685"/>
      <c r="H1112" s="2690"/>
      <c r="I1112" s="2698"/>
      <c r="J1112" s="2815"/>
      <c r="K1112" s="896"/>
      <c r="L1112" s="896"/>
      <c r="M1112" s="896"/>
      <c r="N1112" s="2701"/>
      <c r="P1112" s="80"/>
    </row>
    <row r="1113" spans="1:16" s="27" customFormat="1" ht="17.25" hidden="1" customHeight="1" x14ac:dyDescent="0.25">
      <c r="A1113" s="6"/>
      <c r="B1113" s="441"/>
      <c r="C1113" s="3950" t="s">
        <v>6577</v>
      </c>
      <c r="D1113" s="899">
        <f>SUM(D1114:D1115)</f>
        <v>1000000000</v>
      </c>
      <c r="E1113" s="2813">
        <f>D1113/D927*100</f>
        <v>0.72910870252481597</v>
      </c>
      <c r="F1113" s="4437"/>
      <c r="G1113" s="2685"/>
      <c r="H1113" s="2690"/>
      <c r="I1113" s="2698"/>
      <c r="J1113" s="2815"/>
      <c r="K1113" s="896"/>
      <c r="L1113" s="896"/>
      <c r="M1113" s="896"/>
      <c r="N1113" s="2701"/>
      <c r="P1113" s="80"/>
    </row>
    <row r="1114" spans="1:16" s="27" customFormat="1" ht="17.25" hidden="1" customHeight="1" x14ac:dyDescent="0.25">
      <c r="A1114" s="6"/>
      <c r="B1114" s="441"/>
      <c r="C1114" s="2486" t="s">
        <v>6578</v>
      </c>
      <c r="D1114" s="896">
        <v>500000000</v>
      </c>
      <c r="E1114" s="2840">
        <f>D1114/D927*100</f>
        <v>0.36455435126240798</v>
      </c>
      <c r="F1114" s="4437"/>
      <c r="G1114" s="2685"/>
      <c r="H1114" s="2690"/>
      <c r="I1114" s="2698"/>
      <c r="J1114" s="2815"/>
      <c r="K1114" s="896"/>
      <c r="L1114" s="896"/>
      <c r="M1114" s="896"/>
      <c r="N1114" s="2701"/>
      <c r="P1114" s="80"/>
    </row>
    <row r="1115" spans="1:16" s="27" customFormat="1" ht="15.75" hidden="1" customHeight="1" x14ac:dyDescent="0.25">
      <c r="A1115" s="6"/>
      <c r="B1115" s="441"/>
      <c r="C1115" s="2511" t="s">
        <v>6579</v>
      </c>
      <c r="D1115" s="2709">
        <v>500000000</v>
      </c>
      <c r="E1115" s="2810">
        <f>D1115/D927*100</f>
        <v>0.36455435126240798</v>
      </c>
      <c r="F1115" s="4440"/>
      <c r="G1115" s="2708"/>
      <c r="H1115" s="2710"/>
      <c r="I1115" s="2706"/>
      <c r="J1115" s="2841"/>
      <c r="K1115" s="2709"/>
      <c r="L1115" s="2769"/>
      <c r="M1115" s="2709"/>
      <c r="N1115" s="2701"/>
      <c r="P1115" s="80"/>
    </row>
    <row r="1116" spans="1:16" s="27" customFormat="1" ht="9" hidden="1" customHeight="1" x14ac:dyDescent="0.25">
      <c r="A1116" s="6"/>
      <c r="B1116" s="441"/>
      <c r="C1116" s="2511"/>
      <c r="D1116" s="2709"/>
      <c r="E1116" s="2810"/>
      <c r="F1116" s="4440"/>
      <c r="G1116" s="2708"/>
      <c r="H1116" s="2710"/>
      <c r="I1116" s="2706"/>
      <c r="J1116" s="2841"/>
      <c r="K1116" s="2709"/>
      <c r="L1116" s="2769"/>
      <c r="M1116" s="2709"/>
      <c r="N1116" s="2701"/>
      <c r="P1116" s="80"/>
    </row>
    <row r="1117" spans="1:16" s="27" customFormat="1" ht="15.75" hidden="1" customHeight="1" x14ac:dyDescent="0.25">
      <c r="A1117" s="6"/>
      <c r="B1117" s="441"/>
      <c r="C1117" s="3951" t="s">
        <v>6580</v>
      </c>
      <c r="D1117" s="2767">
        <f>D1118</f>
        <v>738638368</v>
      </c>
      <c r="E1117" s="2813">
        <f>D1117/D927*100</f>
        <v>0.53854766212752758</v>
      </c>
      <c r="F1117" s="4440"/>
      <c r="G1117" s="2708"/>
      <c r="H1117" s="2710"/>
      <c r="I1117" s="2706"/>
      <c r="J1117" s="2841"/>
      <c r="K1117" s="2709"/>
      <c r="L1117" s="2769"/>
      <c r="M1117" s="2709"/>
      <c r="N1117" s="2701"/>
      <c r="P1117" s="80"/>
    </row>
    <row r="1118" spans="1:16" s="27" customFormat="1" ht="18.75" hidden="1" customHeight="1" x14ac:dyDescent="0.25">
      <c r="A1118" s="6"/>
      <c r="B1118" s="441"/>
      <c r="C1118" s="2486" t="s">
        <v>6581</v>
      </c>
      <c r="D1118" s="896">
        <f>850000000-111361632</f>
        <v>738638368</v>
      </c>
      <c r="E1118" s="2810">
        <f>D1118/D927*100</f>
        <v>0.53854766212752758</v>
      </c>
      <c r="F1118" s="4437"/>
      <c r="G1118" s="2685"/>
      <c r="H1118" s="2690"/>
      <c r="I1118" s="2698"/>
      <c r="J1118" s="2815"/>
      <c r="K1118" s="896"/>
      <c r="L1118" s="896"/>
      <c r="M1118" s="896"/>
      <c r="N1118" s="2701"/>
      <c r="P1118" s="80"/>
    </row>
    <row r="1119" spans="1:16" s="27" customFormat="1" ht="9" hidden="1" customHeight="1" x14ac:dyDescent="0.25">
      <c r="A1119" s="6"/>
      <c r="B1119" s="441"/>
      <c r="C1119" s="2486"/>
      <c r="D1119" s="896"/>
      <c r="E1119" s="2810"/>
      <c r="F1119" s="4437"/>
      <c r="G1119" s="2685"/>
      <c r="H1119" s="2690"/>
      <c r="I1119" s="2698"/>
      <c r="J1119" s="2815"/>
      <c r="K1119" s="896"/>
      <c r="L1119" s="896"/>
      <c r="M1119" s="896"/>
      <c r="N1119" s="2701"/>
      <c r="P1119" s="80"/>
    </row>
    <row r="1120" spans="1:16" s="27" customFormat="1" ht="15.75" hidden="1" customHeight="1" x14ac:dyDescent="0.25">
      <c r="A1120" s="6"/>
      <c r="B1120" s="441"/>
      <c r="C1120" s="3950" t="s">
        <v>6582</v>
      </c>
      <c r="D1120" s="899">
        <f>SUM(D1121:D1123)</f>
        <v>18218231150</v>
      </c>
      <c r="E1120" s="2813">
        <f>D1120/D927*100</f>
        <v>13.283070876073685</v>
      </c>
      <c r="F1120" s="4437"/>
      <c r="G1120" s="2685"/>
      <c r="H1120" s="2690"/>
      <c r="I1120" s="2698"/>
      <c r="J1120" s="2815"/>
      <c r="K1120" s="896"/>
      <c r="L1120" s="896"/>
      <c r="M1120" s="896"/>
      <c r="N1120" s="2701"/>
      <c r="P1120" s="80"/>
    </row>
    <row r="1121" spans="1:16" s="27" customFormat="1" ht="15.75" hidden="1" customHeight="1" x14ac:dyDescent="0.25">
      <c r="A1121" s="6"/>
      <c r="B1121" s="441"/>
      <c r="C1121" s="2486" t="s">
        <v>6583</v>
      </c>
      <c r="D1121" s="896">
        <v>7574296690</v>
      </c>
      <c r="E1121" s="2810">
        <f>D1121/D927*100</f>
        <v>5.5224856321839075</v>
      </c>
      <c r="F1121" s="4437"/>
      <c r="G1121" s="2685"/>
      <c r="H1121" s="2690"/>
      <c r="I1121" s="2698"/>
      <c r="J1121" s="2815"/>
      <c r="K1121" s="896"/>
      <c r="L1121" s="896"/>
      <c r="M1121" s="896"/>
      <c r="N1121" s="2701"/>
      <c r="P1121" s="80"/>
    </row>
    <row r="1122" spans="1:16" s="27" customFormat="1" ht="15.75" hidden="1" customHeight="1" x14ac:dyDescent="0.25">
      <c r="A1122" s="6"/>
      <c r="B1122" s="441"/>
      <c r="C1122" s="2486" t="s">
        <v>6584</v>
      </c>
      <c r="D1122" s="896">
        <v>1937002000</v>
      </c>
      <c r="E1122" s="2810">
        <f>D1122/D927*100</f>
        <v>1.4122850150079735</v>
      </c>
      <c r="F1122" s="4437"/>
      <c r="G1122" s="2685"/>
      <c r="H1122" s="2690"/>
      <c r="I1122" s="2698"/>
      <c r="J1122" s="2815"/>
      <c r="K1122" s="896"/>
      <c r="L1122" s="896"/>
      <c r="M1122" s="896"/>
      <c r="N1122" s="2701"/>
      <c r="P1122" s="80"/>
    </row>
    <row r="1123" spans="1:16" s="27" customFormat="1" ht="15.75" hidden="1" customHeight="1" x14ac:dyDescent="0.25">
      <c r="A1123" s="6"/>
      <c r="B1123" s="441"/>
      <c r="C1123" s="2486" t="s">
        <v>6585</v>
      </c>
      <c r="D1123" s="896">
        <v>8706932460</v>
      </c>
      <c r="E1123" s="2810">
        <f>D1123/D927*100</f>
        <v>6.3483002288818033</v>
      </c>
      <c r="F1123" s="4437"/>
      <c r="G1123" s="2685"/>
      <c r="H1123" s="2690"/>
      <c r="I1123" s="2698"/>
      <c r="J1123" s="2815"/>
      <c r="K1123" s="896"/>
      <c r="L1123" s="896"/>
      <c r="M1123" s="896"/>
      <c r="N1123" s="2701"/>
      <c r="P1123" s="80"/>
    </row>
    <row r="1124" spans="1:16" ht="12" hidden="1" customHeight="1" x14ac:dyDescent="0.25">
      <c r="B1124" s="441"/>
      <c r="C1124" s="2506"/>
      <c r="D1124" s="2724"/>
      <c r="E1124" s="2840"/>
      <c r="F1124" s="4380"/>
      <c r="G1124" s="2830"/>
      <c r="H1124" s="2785"/>
      <c r="I1124" s="2806"/>
      <c r="J1124" s="2755"/>
      <c r="K1124" s="2755"/>
      <c r="L1124" s="2755"/>
      <c r="M1124" s="2755"/>
      <c r="N1124" s="2768"/>
    </row>
    <row r="1125" spans="1:16" s="27" customFormat="1" ht="16.5" hidden="1" customHeight="1" x14ac:dyDescent="0.25">
      <c r="A1125" s="6"/>
      <c r="B1125" s="440"/>
      <c r="C1125" s="2497" t="s">
        <v>339</v>
      </c>
      <c r="D1125" s="2669">
        <f>SUM(D1126+D1163+D1177+D1180+D1186+D1189+D1192)</f>
        <v>0</v>
      </c>
      <c r="E1125" s="2786">
        <f>D1125/D927*100</f>
        <v>0</v>
      </c>
      <c r="F1125" s="3826"/>
      <c r="G1125" s="2719"/>
      <c r="H1125" s="2719"/>
      <c r="I1125" s="2719"/>
      <c r="J1125" s="2770"/>
      <c r="K1125" s="2770"/>
      <c r="L1125" s="2672"/>
      <c r="M1125" s="2744"/>
      <c r="N1125" s="2701"/>
      <c r="P1125" s="80"/>
    </row>
    <row r="1126" spans="1:16" s="27" customFormat="1" ht="17.25" hidden="1" customHeight="1" x14ac:dyDescent="0.25">
      <c r="A1126" s="6"/>
      <c r="B1126" s="441"/>
      <c r="C1126" s="2499" t="s">
        <v>6586</v>
      </c>
      <c r="D1126" s="2822">
        <f>SUM(D1127:D1161)</f>
        <v>0</v>
      </c>
      <c r="E1126" s="2801">
        <f>D1126/D927*100</f>
        <v>0</v>
      </c>
      <c r="F1126" s="3842"/>
      <c r="G1126" s="2830"/>
      <c r="H1126" s="2830"/>
      <c r="I1126" s="2830"/>
      <c r="J1126" s="2842"/>
      <c r="K1126" s="2842"/>
      <c r="L1126" s="2751"/>
      <c r="M1126" s="2751"/>
      <c r="N1126" s="2701"/>
      <c r="P1126" s="80"/>
    </row>
    <row r="1127" spans="1:16" s="27" customFormat="1" ht="16.5" hidden="1" customHeight="1" x14ac:dyDescent="0.25">
      <c r="A1127" s="6"/>
      <c r="B1127" s="441"/>
      <c r="C1127" s="2492" t="s">
        <v>6587</v>
      </c>
      <c r="D1127" s="896">
        <v>0</v>
      </c>
      <c r="E1127" s="2810">
        <f>D1127/D927*100</f>
        <v>0</v>
      </c>
      <c r="F1127" s="4446"/>
      <c r="G1127" s="2685"/>
      <c r="H1127" s="2685"/>
      <c r="I1127" s="2685"/>
      <c r="J1127" s="2843"/>
      <c r="K1127" s="896"/>
      <c r="L1127" s="896"/>
      <c r="M1127" s="898"/>
      <c r="N1127" s="2701"/>
      <c r="P1127" s="80"/>
    </row>
    <row r="1128" spans="1:16" s="27" customFormat="1" ht="14.25" hidden="1" customHeight="1" x14ac:dyDescent="0.25">
      <c r="A1128" s="6"/>
      <c r="B1128" s="441"/>
      <c r="C1128" s="2492" t="s">
        <v>6588</v>
      </c>
      <c r="D1128" s="896">
        <v>0</v>
      </c>
      <c r="E1128" s="2810">
        <f>D1128/D927*100</f>
        <v>0</v>
      </c>
      <c r="F1128" s="4437"/>
      <c r="G1128" s="2685"/>
      <c r="H1128" s="2685"/>
      <c r="I1128" s="2685"/>
      <c r="J1128" s="2843"/>
      <c r="K1128" s="896"/>
      <c r="L1128" s="2769"/>
      <c r="M1128" s="898"/>
      <c r="N1128" s="2701"/>
      <c r="P1128" s="80"/>
    </row>
    <row r="1129" spans="1:16" s="27" customFormat="1" ht="17.25" hidden="1" customHeight="1" x14ac:dyDescent="0.25">
      <c r="A1129" s="6"/>
      <c r="B1129" s="441"/>
      <c r="C1129" s="2492" t="s">
        <v>6589</v>
      </c>
      <c r="D1129" s="896">
        <v>0</v>
      </c>
      <c r="E1129" s="2810">
        <f>D1129/D927*100</f>
        <v>0</v>
      </c>
      <c r="F1129" s="4437"/>
      <c r="G1129" s="2685"/>
      <c r="H1129" s="2685"/>
      <c r="I1129" s="2685"/>
      <c r="J1129" s="2843"/>
      <c r="K1129" s="896"/>
      <c r="L1129" s="2769"/>
      <c r="M1129" s="898"/>
      <c r="N1129" s="2701"/>
      <c r="P1129" s="80"/>
    </row>
    <row r="1130" spans="1:16" s="27" customFormat="1" ht="17.25" hidden="1" customHeight="1" x14ac:dyDescent="0.25">
      <c r="A1130" s="6"/>
      <c r="B1130" s="441"/>
      <c r="C1130" s="2492" t="s">
        <v>6590</v>
      </c>
      <c r="D1130" s="896">
        <v>0</v>
      </c>
      <c r="E1130" s="2810">
        <f>D1130/D927*100</f>
        <v>0</v>
      </c>
      <c r="F1130" s="4437"/>
      <c r="G1130" s="2685"/>
      <c r="H1130" s="2685"/>
      <c r="I1130" s="2685"/>
      <c r="J1130" s="2843"/>
      <c r="K1130" s="896"/>
      <c r="L1130" s="2769"/>
      <c r="M1130" s="898"/>
      <c r="N1130" s="2701"/>
      <c r="P1130" s="80"/>
    </row>
    <row r="1131" spans="1:16" s="27" customFormat="1" ht="14.25" hidden="1" customHeight="1" x14ac:dyDescent="0.25">
      <c r="A1131" s="6"/>
      <c r="B1131" s="441"/>
      <c r="C1131" s="2492" t="s">
        <v>6591</v>
      </c>
      <c r="D1131" s="896">
        <v>0</v>
      </c>
      <c r="E1131" s="2810">
        <f>D1131/D927*100</f>
        <v>0</v>
      </c>
      <c r="F1131" s="4437"/>
      <c r="G1131" s="2685"/>
      <c r="H1131" s="2685"/>
      <c r="I1131" s="2685"/>
      <c r="J1131" s="2843"/>
      <c r="K1131" s="896"/>
      <c r="L1131" s="2769"/>
      <c r="M1131" s="898"/>
      <c r="N1131" s="2701"/>
      <c r="P1131" s="80"/>
    </row>
    <row r="1132" spans="1:16" s="27" customFormat="1" ht="14.25" hidden="1" customHeight="1" x14ac:dyDescent="0.25">
      <c r="A1132" s="6"/>
      <c r="B1132" s="441"/>
      <c r="C1132" s="2492" t="s">
        <v>6592</v>
      </c>
      <c r="D1132" s="896">
        <v>0</v>
      </c>
      <c r="E1132" s="2810">
        <f>D1132/D927*100</f>
        <v>0</v>
      </c>
      <c r="F1132" s="4437"/>
      <c r="G1132" s="2685"/>
      <c r="H1132" s="2685"/>
      <c r="I1132" s="2685"/>
      <c r="J1132" s="2843"/>
      <c r="K1132" s="896"/>
      <c r="L1132" s="2769"/>
      <c r="M1132" s="898"/>
      <c r="N1132" s="2701"/>
      <c r="P1132" s="80"/>
    </row>
    <row r="1133" spans="1:16" s="27" customFormat="1" ht="14.25" hidden="1" customHeight="1" x14ac:dyDescent="0.25">
      <c r="A1133" s="6"/>
      <c r="B1133" s="441"/>
      <c r="C1133" s="2492" t="s">
        <v>6593</v>
      </c>
      <c r="D1133" s="896">
        <v>0</v>
      </c>
      <c r="E1133" s="2810">
        <f>D1133/D927*100</f>
        <v>0</v>
      </c>
      <c r="F1133" s="4437"/>
      <c r="G1133" s="2685"/>
      <c r="H1133" s="2685"/>
      <c r="I1133" s="2685"/>
      <c r="J1133" s="2843"/>
      <c r="K1133" s="896"/>
      <c r="L1133" s="2769"/>
      <c r="M1133" s="898"/>
      <c r="N1133" s="2701"/>
      <c r="P1133" s="80"/>
    </row>
    <row r="1134" spans="1:16" s="27" customFormat="1" ht="14.25" hidden="1" customHeight="1" x14ac:dyDescent="0.25">
      <c r="A1134" s="6"/>
      <c r="B1134" s="441"/>
      <c r="C1134" s="2492" t="s">
        <v>6594</v>
      </c>
      <c r="D1134" s="896">
        <v>0</v>
      </c>
      <c r="E1134" s="2810">
        <f>D1134/D927*100</f>
        <v>0</v>
      </c>
      <c r="F1134" s="4437"/>
      <c r="G1134" s="2685"/>
      <c r="H1134" s="2685"/>
      <c r="I1134" s="2685"/>
      <c r="J1134" s="2843"/>
      <c r="K1134" s="896"/>
      <c r="L1134" s="2769"/>
      <c r="M1134" s="898"/>
      <c r="N1134" s="2701"/>
      <c r="P1134" s="80"/>
    </row>
    <row r="1135" spans="1:16" s="27" customFormat="1" ht="14.25" hidden="1" customHeight="1" x14ac:dyDescent="0.25">
      <c r="A1135" s="6"/>
      <c r="B1135" s="441"/>
      <c r="C1135" s="2492" t="s">
        <v>6595</v>
      </c>
      <c r="D1135" s="896">
        <v>0</v>
      </c>
      <c r="E1135" s="2810">
        <f>D1135/D927*100</f>
        <v>0</v>
      </c>
      <c r="F1135" s="4437"/>
      <c r="G1135" s="2685"/>
      <c r="H1135" s="2685"/>
      <c r="I1135" s="2685"/>
      <c r="J1135" s="2843"/>
      <c r="K1135" s="896"/>
      <c r="L1135" s="2769"/>
      <c r="M1135" s="898"/>
      <c r="N1135" s="2701"/>
      <c r="P1135" s="80"/>
    </row>
    <row r="1136" spans="1:16" s="27" customFormat="1" ht="14.25" hidden="1" customHeight="1" x14ac:dyDescent="0.25">
      <c r="A1136" s="6"/>
      <c r="B1136" s="441"/>
      <c r="C1136" s="2492" t="s">
        <v>6596</v>
      </c>
      <c r="D1136" s="896">
        <v>0</v>
      </c>
      <c r="E1136" s="2810">
        <f>D1136/D927*100</f>
        <v>0</v>
      </c>
      <c r="F1136" s="4437"/>
      <c r="G1136" s="2685"/>
      <c r="H1136" s="2685"/>
      <c r="I1136" s="2685"/>
      <c r="J1136" s="2843"/>
      <c r="K1136" s="896"/>
      <c r="L1136" s="2769"/>
      <c r="M1136" s="898"/>
      <c r="N1136" s="2701"/>
      <c r="P1136" s="80"/>
    </row>
    <row r="1137" spans="1:16" s="27" customFormat="1" ht="14.25" hidden="1" customHeight="1" x14ac:dyDescent="0.25">
      <c r="A1137" s="6"/>
      <c r="B1137" s="441"/>
      <c r="C1137" s="2492" t="s">
        <v>6597</v>
      </c>
      <c r="D1137" s="896">
        <v>0</v>
      </c>
      <c r="E1137" s="2810">
        <f>D1137/D927*100</f>
        <v>0</v>
      </c>
      <c r="F1137" s="4437"/>
      <c r="G1137" s="2685"/>
      <c r="H1137" s="2685"/>
      <c r="I1137" s="2685"/>
      <c r="J1137" s="2843"/>
      <c r="K1137" s="896"/>
      <c r="L1137" s="2769"/>
      <c r="M1137" s="898"/>
      <c r="N1137" s="2701"/>
      <c r="P1137" s="80"/>
    </row>
    <row r="1138" spans="1:16" s="27" customFormat="1" ht="14.25" hidden="1" customHeight="1" x14ac:dyDescent="0.25">
      <c r="A1138" s="6"/>
      <c r="B1138" s="441"/>
      <c r="C1138" s="2492" t="s">
        <v>6598</v>
      </c>
      <c r="D1138" s="896">
        <v>0</v>
      </c>
      <c r="E1138" s="2810">
        <f>D1138/D927*100</f>
        <v>0</v>
      </c>
      <c r="F1138" s="4437"/>
      <c r="G1138" s="2685"/>
      <c r="H1138" s="2685"/>
      <c r="I1138" s="2685"/>
      <c r="J1138" s="2843"/>
      <c r="K1138" s="896"/>
      <c r="L1138" s="2769"/>
      <c r="M1138" s="898"/>
      <c r="N1138" s="2701"/>
      <c r="P1138" s="80"/>
    </row>
    <row r="1139" spans="1:16" s="27" customFormat="1" ht="14.25" hidden="1" customHeight="1" x14ac:dyDescent="0.25">
      <c r="A1139" s="6"/>
      <c r="B1139" s="441"/>
      <c r="C1139" s="2492" t="s">
        <v>6599</v>
      </c>
      <c r="D1139" s="896">
        <v>0</v>
      </c>
      <c r="E1139" s="2810">
        <f>D1139/D927*100</f>
        <v>0</v>
      </c>
      <c r="F1139" s="4437"/>
      <c r="G1139" s="2685"/>
      <c r="H1139" s="2685"/>
      <c r="I1139" s="2685"/>
      <c r="J1139" s="2843"/>
      <c r="K1139" s="896"/>
      <c r="L1139" s="2769"/>
      <c r="M1139" s="898"/>
      <c r="N1139" s="2701"/>
      <c r="P1139" s="80"/>
    </row>
    <row r="1140" spans="1:16" s="27" customFormat="1" ht="14.25" hidden="1" customHeight="1" x14ac:dyDescent="0.25">
      <c r="A1140" s="6"/>
      <c r="B1140" s="441"/>
      <c r="C1140" s="2492" t="s">
        <v>6600</v>
      </c>
      <c r="D1140" s="896">
        <v>0</v>
      </c>
      <c r="E1140" s="2810">
        <f>D1140/D927*100</f>
        <v>0</v>
      </c>
      <c r="F1140" s="4437"/>
      <c r="G1140" s="2685"/>
      <c r="H1140" s="2685"/>
      <c r="I1140" s="2685"/>
      <c r="J1140" s="2843"/>
      <c r="K1140" s="896"/>
      <c r="L1140" s="2769"/>
      <c r="M1140" s="898"/>
      <c r="N1140" s="2701"/>
      <c r="P1140" s="80"/>
    </row>
    <row r="1141" spans="1:16" s="27" customFormat="1" ht="14.25" hidden="1" customHeight="1" x14ac:dyDescent="0.25">
      <c r="A1141" s="6"/>
      <c r="B1141" s="441"/>
      <c r="C1141" s="2492" t="s">
        <v>6601</v>
      </c>
      <c r="D1141" s="896">
        <v>0</v>
      </c>
      <c r="E1141" s="2810">
        <f>D1141/D927*100</f>
        <v>0</v>
      </c>
      <c r="F1141" s="4437"/>
      <c r="G1141" s="2685"/>
      <c r="H1141" s="2685"/>
      <c r="I1141" s="2685"/>
      <c r="J1141" s="2843"/>
      <c r="K1141" s="896"/>
      <c r="L1141" s="2769"/>
      <c r="M1141" s="898"/>
      <c r="N1141" s="2701"/>
      <c r="P1141" s="80"/>
    </row>
    <row r="1142" spans="1:16" s="27" customFormat="1" ht="16.5" hidden="1" customHeight="1" x14ac:dyDescent="0.25">
      <c r="A1142" s="6"/>
      <c r="B1142" s="441"/>
      <c r="C1142" s="2489" t="s">
        <v>6602</v>
      </c>
      <c r="D1142" s="896">
        <v>0</v>
      </c>
      <c r="E1142" s="2810">
        <f>D1142/D927*100</f>
        <v>0</v>
      </c>
      <c r="F1142" s="4437"/>
      <c r="G1142" s="2805"/>
      <c r="H1142" s="2844"/>
      <c r="I1142" s="2805"/>
      <c r="J1142" s="2845"/>
      <c r="K1142" s="898"/>
      <c r="L1142" s="898"/>
      <c r="M1142" s="898"/>
      <c r="N1142" s="2701"/>
      <c r="P1142" s="80"/>
    </row>
    <row r="1143" spans="1:16" s="27" customFormat="1" ht="16.5" hidden="1" customHeight="1" x14ac:dyDescent="0.25">
      <c r="A1143" s="6"/>
      <c r="B1143" s="441"/>
      <c r="C1143" s="2489" t="s">
        <v>6603</v>
      </c>
      <c r="D1143" s="896">
        <v>0</v>
      </c>
      <c r="E1143" s="2810">
        <f>D1143/D927*100</f>
        <v>0</v>
      </c>
      <c r="F1143" s="4437"/>
      <c r="G1143" s="2805"/>
      <c r="H1143" s="2844"/>
      <c r="I1143" s="2805"/>
      <c r="J1143" s="2845"/>
      <c r="K1143" s="898"/>
      <c r="L1143" s="898"/>
      <c r="M1143" s="898"/>
      <c r="N1143" s="2701"/>
      <c r="P1143" s="80"/>
    </row>
    <row r="1144" spans="1:16" s="27" customFormat="1" ht="16.5" hidden="1" customHeight="1" x14ac:dyDescent="0.25">
      <c r="A1144" s="6"/>
      <c r="B1144" s="441"/>
      <c r="C1144" s="2489" t="s">
        <v>6604</v>
      </c>
      <c r="D1144" s="896">
        <v>0</v>
      </c>
      <c r="E1144" s="2810">
        <f>D1144/D927*100</f>
        <v>0</v>
      </c>
      <c r="F1144" s="4437"/>
      <c r="G1144" s="2805"/>
      <c r="H1144" s="2844"/>
      <c r="I1144" s="2805"/>
      <c r="J1144" s="2845"/>
      <c r="K1144" s="898"/>
      <c r="L1144" s="898"/>
      <c r="M1144" s="898"/>
      <c r="N1144" s="2701"/>
      <c r="P1144" s="80"/>
    </row>
    <row r="1145" spans="1:16" s="27" customFormat="1" ht="16.5" hidden="1" customHeight="1" x14ac:dyDescent="0.25">
      <c r="A1145" s="6"/>
      <c r="B1145" s="441"/>
      <c r="C1145" s="2489" t="s">
        <v>6605</v>
      </c>
      <c r="D1145" s="896">
        <v>0</v>
      </c>
      <c r="E1145" s="2810">
        <f>D1145/D927*100</f>
        <v>0</v>
      </c>
      <c r="F1145" s="4437"/>
      <c r="G1145" s="2805"/>
      <c r="H1145" s="2844"/>
      <c r="I1145" s="2805"/>
      <c r="J1145" s="2845"/>
      <c r="K1145" s="898"/>
      <c r="L1145" s="898"/>
      <c r="M1145" s="898"/>
      <c r="N1145" s="2701"/>
      <c r="P1145" s="80"/>
    </row>
    <row r="1146" spans="1:16" s="27" customFormat="1" ht="16.5" hidden="1" customHeight="1" x14ac:dyDescent="0.25">
      <c r="A1146" s="6"/>
      <c r="B1146" s="441"/>
      <c r="C1146" s="2489" t="s">
        <v>6606</v>
      </c>
      <c r="D1146" s="896">
        <v>0</v>
      </c>
      <c r="E1146" s="2810">
        <f>D1146/D927*100</f>
        <v>0</v>
      </c>
      <c r="F1146" s="4437"/>
      <c r="G1146" s="2805"/>
      <c r="H1146" s="2844"/>
      <c r="I1146" s="2805"/>
      <c r="J1146" s="2845"/>
      <c r="K1146" s="898"/>
      <c r="L1146" s="898"/>
      <c r="M1146" s="898"/>
      <c r="N1146" s="2701"/>
      <c r="P1146" s="80"/>
    </row>
    <row r="1147" spans="1:16" s="27" customFormat="1" ht="16.5" hidden="1" customHeight="1" x14ac:dyDescent="0.25">
      <c r="A1147" s="6"/>
      <c r="B1147" s="441"/>
      <c r="C1147" s="2489" t="s">
        <v>6607</v>
      </c>
      <c r="D1147" s="896">
        <v>0</v>
      </c>
      <c r="E1147" s="2810">
        <f>D1147/D927*100</f>
        <v>0</v>
      </c>
      <c r="F1147" s="4437"/>
      <c r="G1147" s="2805"/>
      <c r="H1147" s="2844"/>
      <c r="I1147" s="2805"/>
      <c r="J1147" s="2845"/>
      <c r="K1147" s="898"/>
      <c r="L1147" s="898"/>
      <c r="M1147" s="898"/>
      <c r="N1147" s="2701"/>
      <c r="P1147" s="80"/>
    </row>
    <row r="1148" spans="1:16" s="27" customFormat="1" ht="16.5" hidden="1" customHeight="1" x14ac:dyDescent="0.25">
      <c r="A1148" s="6"/>
      <c r="B1148" s="441"/>
      <c r="C1148" s="2489" t="s">
        <v>6608</v>
      </c>
      <c r="D1148" s="896">
        <v>0</v>
      </c>
      <c r="E1148" s="2810">
        <f>D1148/D927*100</f>
        <v>0</v>
      </c>
      <c r="F1148" s="4437"/>
      <c r="G1148" s="2805"/>
      <c r="H1148" s="2844"/>
      <c r="I1148" s="2805"/>
      <c r="J1148" s="2845"/>
      <c r="K1148" s="898"/>
      <c r="L1148" s="898"/>
      <c r="M1148" s="898"/>
      <c r="N1148" s="2701"/>
      <c r="P1148" s="80"/>
    </row>
    <row r="1149" spans="1:16" s="27" customFormat="1" ht="16.5" hidden="1" customHeight="1" x14ac:dyDescent="0.25">
      <c r="A1149" s="6"/>
      <c r="B1149" s="441"/>
      <c r="C1149" s="2489" t="s">
        <v>6609</v>
      </c>
      <c r="D1149" s="896">
        <v>0</v>
      </c>
      <c r="E1149" s="2810">
        <f>D1149/D927*100</f>
        <v>0</v>
      </c>
      <c r="F1149" s="4437"/>
      <c r="G1149" s="2805"/>
      <c r="H1149" s="2844"/>
      <c r="I1149" s="2805"/>
      <c r="J1149" s="2845"/>
      <c r="K1149" s="898"/>
      <c r="L1149" s="898"/>
      <c r="M1149" s="898"/>
      <c r="N1149" s="2701"/>
      <c r="P1149" s="80"/>
    </row>
    <row r="1150" spans="1:16" s="27" customFormat="1" ht="16.5" hidden="1" customHeight="1" x14ac:dyDescent="0.25">
      <c r="A1150" s="6"/>
      <c r="B1150" s="441"/>
      <c r="C1150" s="2489" t="s">
        <v>6610</v>
      </c>
      <c r="D1150" s="896">
        <v>0</v>
      </c>
      <c r="E1150" s="2810">
        <f>D1150/D927*100</f>
        <v>0</v>
      </c>
      <c r="F1150" s="4437"/>
      <c r="G1150" s="2805"/>
      <c r="H1150" s="2844"/>
      <c r="I1150" s="2805"/>
      <c r="J1150" s="2845"/>
      <c r="K1150" s="898"/>
      <c r="L1150" s="898"/>
      <c r="M1150" s="898"/>
      <c r="N1150" s="2701"/>
      <c r="P1150" s="80"/>
    </row>
    <row r="1151" spans="1:16" s="27" customFormat="1" ht="16.5" hidden="1" customHeight="1" x14ac:dyDescent="0.25">
      <c r="A1151" s="6"/>
      <c r="B1151" s="441"/>
      <c r="C1151" s="2489" t="s">
        <v>6611</v>
      </c>
      <c r="D1151" s="896">
        <v>0</v>
      </c>
      <c r="E1151" s="2810">
        <f>D1151/D927*100</f>
        <v>0</v>
      </c>
      <c r="F1151" s="4437"/>
      <c r="G1151" s="2805"/>
      <c r="H1151" s="2844"/>
      <c r="I1151" s="2805"/>
      <c r="J1151" s="2845"/>
      <c r="K1151" s="898"/>
      <c r="L1151" s="898"/>
      <c r="M1151" s="898"/>
      <c r="N1151" s="2701"/>
      <c r="P1151" s="80"/>
    </row>
    <row r="1152" spans="1:16" s="27" customFormat="1" ht="16.5" hidden="1" customHeight="1" x14ac:dyDescent="0.25">
      <c r="A1152" s="6"/>
      <c r="B1152" s="441"/>
      <c r="C1152" s="2489" t="s">
        <v>6612</v>
      </c>
      <c r="D1152" s="896">
        <v>0</v>
      </c>
      <c r="E1152" s="2810">
        <f>D1152/D927*100</f>
        <v>0</v>
      </c>
      <c r="F1152" s="4437"/>
      <c r="G1152" s="2805"/>
      <c r="H1152" s="2844"/>
      <c r="I1152" s="2805"/>
      <c r="J1152" s="2845"/>
      <c r="K1152" s="898"/>
      <c r="L1152" s="898"/>
      <c r="M1152" s="898"/>
      <c r="N1152" s="2701"/>
      <c r="P1152" s="80"/>
    </row>
    <row r="1153" spans="1:16" s="27" customFormat="1" ht="16.5" hidden="1" customHeight="1" x14ac:dyDescent="0.25">
      <c r="A1153" s="6"/>
      <c r="B1153" s="441"/>
      <c r="C1153" s="2489" t="s">
        <v>6613</v>
      </c>
      <c r="D1153" s="896">
        <v>0</v>
      </c>
      <c r="E1153" s="2810">
        <f>D1153/D927*100</f>
        <v>0</v>
      </c>
      <c r="F1153" s="4437"/>
      <c r="G1153" s="2805"/>
      <c r="H1153" s="2844"/>
      <c r="I1153" s="2805"/>
      <c r="J1153" s="2845"/>
      <c r="K1153" s="898"/>
      <c r="L1153" s="898"/>
      <c r="M1153" s="898"/>
      <c r="N1153" s="2701"/>
      <c r="P1153" s="80"/>
    </row>
    <row r="1154" spans="1:16" s="27" customFormat="1" ht="16.5" hidden="1" customHeight="1" x14ac:dyDescent="0.25">
      <c r="A1154" s="6"/>
      <c r="B1154" s="441"/>
      <c r="C1154" s="2489" t="s">
        <v>6614</v>
      </c>
      <c r="D1154" s="896">
        <v>0</v>
      </c>
      <c r="E1154" s="2810">
        <f>D1154/D927*100</f>
        <v>0</v>
      </c>
      <c r="F1154" s="4437"/>
      <c r="G1154" s="2805"/>
      <c r="H1154" s="2844"/>
      <c r="I1154" s="2805"/>
      <c r="J1154" s="2845"/>
      <c r="K1154" s="898"/>
      <c r="L1154" s="898"/>
      <c r="M1154" s="898"/>
      <c r="N1154" s="2701"/>
      <c r="P1154" s="80"/>
    </row>
    <row r="1155" spans="1:16" s="27" customFormat="1" ht="16.5" hidden="1" customHeight="1" x14ac:dyDescent="0.25">
      <c r="A1155" s="6"/>
      <c r="B1155" s="441"/>
      <c r="C1155" s="2489" t="s">
        <v>6615</v>
      </c>
      <c r="D1155" s="896">
        <v>0</v>
      </c>
      <c r="E1155" s="2810">
        <f>D1155/D927*100</f>
        <v>0</v>
      </c>
      <c r="F1155" s="4437"/>
      <c r="G1155" s="2805"/>
      <c r="H1155" s="2844"/>
      <c r="I1155" s="2805"/>
      <c r="J1155" s="2845"/>
      <c r="K1155" s="898"/>
      <c r="L1155" s="898"/>
      <c r="M1155" s="898"/>
      <c r="N1155" s="2701"/>
      <c r="P1155" s="80"/>
    </row>
    <row r="1156" spans="1:16" s="27" customFormat="1" ht="16.5" hidden="1" customHeight="1" x14ac:dyDescent="0.25">
      <c r="A1156" s="6"/>
      <c r="B1156" s="441"/>
      <c r="C1156" s="2489" t="s">
        <v>6616</v>
      </c>
      <c r="D1156" s="896">
        <v>0</v>
      </c>
      <c r="E1156" s="2810">
        <f>D1156/D927*100</f>
        <v>0</v>
      </c>
      <c r="F1156" s="4437"/>
      <c r="G1156" s="2805"/>
      <c r="H1156" s="2844"/>
      <c r="I1156" s="2805"/>
      <c r="J1156" s="2845"/>
      <c r="K1156" s="898"/>
      <c r="L1156" s="898"/>
      <c r="M1156" s="898"/>
      <c r="N1156" s="2701"/>
      <c r="P1156" s="80"/>
    </row>
    <row r="1157" spans="1:16" s="27" customFormat="1" ht="16.5" hidden="1" customHeight="1" x14ac:dyDescent="0.25">
      <c r="A1157" s="6"/>
      <c r="B1157" s="441"/>
      <c r="C1157" s="2489" t="s">
        <v>6617</v>
      </c>
      <c r="D1157" s="896">
        <v>0</v>
      </c>
      <c r="E1157" s="2810">
        <f>D1157/D927*100</f>
        <v>0</v>
      </c>
      <c r="F1157" s="4437"/>
      <c r="G1157" s="2805"/>
      <c r="H1157" s="2844"/>
      <c r="I1157" s="2805"/>
      <c r="J1157" s="2845"/>
      <c r="K1157" s="898"/>
      <c r="L1157" s="898"/>
      <c r="M1157" s="898"/>
      <c r="N1157" s="2701"/>
      <c r="P1157" s="80"/>
    </row>
    <row r="1158" spans="1:16" s="27" customFormat="1" ht="16.5" hidden="1" customHeight="1" x14ac:dyDescent="0.25">
      <c r="A1158" s="6"/>
      <c r="B1158" s="441"/>
      <c r="C1158" s="2489" t="s">
        <v>6618</v>
      </c>
      <c r="D1158" s="896">
        <v>0</v>
      </c>
      <c r="E1158" s="2810">
        <f>D1158/D927*100</f>
        <v>0</v>
      </c>
      <c r="F1158" s="4437"/>
      <c r="G1158" s="2805"/>
      <c r="H1158" s="2844"/>
      <c r="I1158" s="2805"/>
      <c r="J1158" s="2845"/>
      <c r="K1158" s="898"/>
      <c r="L1158" s="898"/>
      <c r="M1158" s="898"/>
      <c r="N1158" s="2701"/>
      <c r="P1158" s="80"/>
    </row>
    <row r="1159" spans="1:16" s="27" customFormat="1" ht="16.5" hidden="1" customHeight="1" x14ac:dyDescent="0.25">
      <c r="A1159" s="6"/>
      <c r="B1159" s="441"/>
      <c r="C1159" s="2489" t="s">
        <v>6619</v>
      </c>
      <c r="D1159" s="896">
        <v>0</v>
      </c>
      <c r="E1159" s="2810">
        <f>D1159/D927*100</f>
        <v>0</v>
      </c>
      <c r="F1159" s="4437"/>
      <c r="G1159" s="2805"/>
      <c r="H1159" s="2844"/>
      <c r="I1159" s="2805"/>
      <c r="J1159" s="2845"/>
      <c r="K1159" s="898"/>
      <c r="L1159" s="898"/>
      <c r="M1159" s="898"/>
      <c r="N1159" s="2701"/>
      <c r="P1159" s="80"/>
    </row>
    <row r="1160" spans="1:16" s="27" customFormat="1" ht="16.5" hidden="1" customHeight="1" x14ac:dyDescent="0.25">
      <c r="A1160" s="6"/>
      <c r="B1160" s="441"/>
      <c r="C1160" s="2489" t="s">
        <v>6620</v>
      </c>
      <c r="D1160" s="896">
        <v>0</v>
      </c>
      <c r="E1160" s="2810">
        <f>D1160/D927*100</f>
        <v>0</v>
      </c>
      <c r="F1160" s="4437"/>
      <c r="G1160" s="2805"/>
      <c r="H1160" s="2844"/>
      <c r="I1160" s="2805"/>
      <c r="J1160" s="2845"/>
      <c r="K1160" s="898"/>
      <c r="L1160" s="898"/>
      <c r="M1160" s="898"/>
      <c r="N1160" s="2701"/>
      <c r="P1160" s="80"/>
    </row>
    <row r="1161" spans="1:16" s="27" customFormat="1" ht="16.5" hidden="1" customHeight="1" x14ac:dyDescent="0.25">
      <c r="A1161" s="6"/>
      <c r="B1161" s="441"/>
      <c r="C1161" s="2489" t="s">
        <v>6621</v>
      </c>
      <c r="D1161" s="896">
        <v>0</v>
      </c>
      <c r="E1161" s="2810">
        <f>D1161/D927*100</f>
        <v>0</v>
      </c>
      <c r="F1161" s="4437"/>
      <c r="G1161" s="2805"/>
      <c r="H1161" s="2844"/>
      <c r="I1161" s="2805"/>
      <c r="J1161" s="2845"/>
      <c r="K1161" s="898"/>
      <c r="L1161" s="898"/>
      <c r="M1161" s="898"/>
      <c r="N1161" s="2701"/>
      <c r="P1161" s="80"/>
    </row>
    <row r="1162" spans="1:16" s="27" customFormat="1" ht="11.25" hidden="1" customHeight="1" x14ac:dyDescent="0.25">
      <c r="A1162" s="6"/>
      <c r="B1162" s="441"/>
      <c r="C1162" s="2489"/>
      <c r="D1162" s="896"/>
      <c r="E1162" s="2810"/>
      <c r="F1162" s="4437"/>
      <c r="G1162" s="2805"/>
      <c r="H1162" s="2844"/>
      <c r="I1162" s="2805"/>
      <c r="J1162" s="2845"/>
      <c r="K1162" s="898"/>
      <c r="L1162" s="898"/>
      <c r="M1162" s="898"/>
      <c r="N1162" s="2701"/>
      <c r="P1162" s="80"/>
    </row>
    <row r="1163" spans="1:16" s="27" customFormat="1" ht="16.5" hidden="1" customHeight="1" x14ac:dyDescent="0.25">
      <c r="A1163" s="6"/>
      <c r="B1163" s="441"/>
      <c r="C1163" s="2490" t="s">
        <v>6628</v>
      </c>
      <c r="D1163" s="899">
        <f>SUM(D1164:D1175)</f>
        <v>0</v>
      </c>
      <c r="E1163" s="2813">
        <f>D1163/D927*100</f>
        <v>0</v>
      </c>
      <c r="F1163" s="4437"/>
      <c r="G1163" s="2805"/>
      <c r="H1163" s="2844"/>
      <c r="I1163" s="2805"/>
      <c r="J1163" s="2845"/>
      <c r="K1163" s="898"/>
      <c r="L1163" s="898"/>
      <c r="M1163" s="898"/>
      <c r="N1163" s="2701"/>
      <c r="P1163" s="80"/>
    </row>
    <row r="1164" spans="1:16" s="27" customFormat="1" ht="32.25" hidden="1" customHeight="1" x14ac:dyDescent="0.25">
      <c r="A1164" s="6"/>
      <c r="B1164" s="441"/>
      <c r="C1164" s="2489" t="s">
        <v>6629</v>
      </c>
      <c r="D1164" s="896">
        <v>0</v>
      </c>
      <c r="E1164" s="2810">
        <f>D1164/D927*100</f>
        <v>0</v>
      </c>
      <c r="F1164" s="4437"/>
      <c r="G1164" s="2805"/>
      <c r="H1164" s="2844"/>
      <c r="I1164" s="2805"/>
      <c r="J1164" s="2845"/>
      <c r="K1164" s="898"/>
      <c r="L1164" s="898"/>
      <c r="M1164" s="898"/>
      <c r="N1164" s="2701"/>
      <c r="P1164" s="80"/>
    </row>
    <row r="1165" spans="1:16" s="27" customFormat="1" ht="16.5" hidden="1" customHeight="1" x14ac:dyDescent="0.25">
      <c r="A1165" s="6"/>
      <c r="B1165" s="441"/>
      <c r="C1165" s="2489" t="s">
        <v>6630</v>
      </c>
      <c r="D1165" s="896">
        <v>0</v>
      </c>
      <c r="E1165" s="2810">
        <f>D1165/D927*100</f>
        <v>0</v>
      </c>
      <c r="F1165" s="4437"/>
      <c r="G1165" s="2805"/>
      <c r="H1165" s="2844"/>
      <c r="I1165" s="2805"/>
      <c r="J1165" s="2845"/>
      <c r="K1165" s="898"/>
      <c r="L1165" s="898"/>
      <c r="M1165" s="898"/>
      <c r="N1165" s="2701"/>
      <c r="P1165" s="80"/>
    </row>
    <row r="1166" spans="1:16" s="27" customFormat="1" ht="16.5" hidden="1" customHeight="1" x14ac:dyDescent="0.25">
      <c r="A1166" s="6"/>
      <c r="B1166" s="441"/>
      <c r="C1166" s="2489" t="s">
        <v>6631</v>
      </c>
      <c r="D1166" s="896">
        <v>0</v>
      </c>
      <c r="E1166" s="2810">
        <f>D1166/D927*100</f>
        <v>0</v>
      </c>
      <c r="F1166" s="4437"/>
      <c r="G1166" s="2805"/>
      <c r="H1166" s="2844"/>
      <c r="I1166" s="2805"/>
      <c r="J1166" s="2845"/>
      <c r="K1166" s="898"/>
      <c r="L1166" s="898"/>
      <c r="M1166" s="898"/>
      <c r="N1166" s="2701"/>
      <c r="P1166" s="80"/>
    </row>
    <row r="1167" spans="1:16" s="27" customFormat="1" ht="16.5" hidden="1" customHeight="1" x14ac:dyDescent="0.25">
      <c r="A1167" s="6"/>
      <c r="B1167" s="441"/>
      <c r="C1167" s="2489" t="s">
        <v>6632</v>
      </c>
      <c r="D1167" s="896">
        <v>0</v>
      </c>
      <c r="E1167" s="2810">
        <f>D1167/D927*100</f>
        <v>0</v>
      </c>
      <c r="F1167" s="4437"/>
      <c r="G1167" s="2805"/>
      <c r="H1167" s="2844"/>
      <c r="I1167" s="2805"/>
      <c r="J1167" s="2845"/>
      <c r="K1167" s="898"/>
      <c r="L1167" s="898"/>
      <c r="M1167" s="898"/>
      <c r="N1167" s="2701"/>
      <c r="P1167" s="80"/>
    </row>
    <row r="1168" spans="1:16" s="27" customFormat="1" ht="16.5" hidden="1" customHeight="1" x14ac:dyDescent="0.25">
      <c r="A1168" s="6"/>
      <c r="B1168" s="441"/>
      <c r="C1168" s="2489" t="s">
        <v>6633</v>
      </c>
      <c r="D1168" s="896">
        <v>0</v>
      </c>
      <c r="E1168" s="2810">
        <f>D1168/D927*100</f>
        <v>0</v>
      </c>
      <c r="F1168" s="4437"/>
      <c r="G1168" s="2805"/>
      <c r="H1168" s="2844"/>
      <c r="I1168" s="2805"/>
      <c r="J1168" s="2845"/>
      <c r="K1168" s="898"/>
      <c r="L1168" s="898"/>
      <c r="M1168" s="898"/>
      <c r="N1168" s="2701"/>
      <c r="P1168" s="80"/>
    </row>
    <row r="1169" spans="1:16" s="27" customFormat="1" ht="16.5" hidden="1" customHeight="1" x14ac:dyDescent="0.25">
      <c r="A1169" s="6"/>
      <c r="B1169" s="441"/>
      <c r="C1169" s="2489" t="s">
        <v>6634</v>
      </c>
      <c r="D1169" s="896">
        <v>0</v>
      </c>
      <c r="E1169" s="2810">
        <f>D1169/D927*100</f>
        <v>0</v>
      </c>
      <c r="F1169" s="4437"/>
      <c r="G1169" s="2805"/>
      <c r="H1169" s="2844"/>
      <c r="I1169" s="2805"/>
      <c r="J1169" s="2845"/>
      <c r="K1169" s="898"/>
      <c r="L1169" s="898"/>
      <c r="M1169" s="898"/>
      <c r="N1169" s="2701"/>
      <c r="P1169" s="80"/>
    </row>
    <row r="1170" spans="1:16" s="27" customFormat="1" ht="16.5" hidden="1" customHeight="1" x14ac:dyDescent="0.25">
      <c r="A1170" s="6"/>
      <c r="B1170" s="441"/>
      <c r="C1170" s="2489" t="s">
        <v>6635</v>
      </c>
      <c r="D1170" s="896">
        <v>0</v>
      </c>
      <c r="E1170" s="2810">
        <f>D1170/D927*100</f>
        <v>0</v>
      </c>
      <c r="F1170" s="4437"/>
      <c r="G1170" s="2805"/>
      <c r="H1170" s="2844"/>
      <c r="I1170" s="2805"/>
      <c r="J1170" s="2845"/>
      <c r="K1170" s="898"/>
      <c r="L1170" s="898"/>
      <c r="M1170" s="898"/>
      <c r="N1170" s="2701"/>
      <c r="P1170" s="80"/>
    </row>
    <row r="1171" spans="1:16" s="27" customFormat="1" ht="16.5" hidden="1" customHeight="1" x14ac:dyDescent="0.25">
      <c r="A1171" s="6"/>
      <c r="B1171" s="441"/>
      <c r="C1171" s="2489" t="s">
        <v>6636</v>
      </c>
      <c r="D1171" s="896">
        <v>0</v>
      </c>
      <c r="E1171" s="2810">
        <f>D1171/D927*100</f>
        <v>0</v>
      </c>
      <c r="F1171" s="4437"/>
      <c r="G1171" s="2805"/>
      <c r="H1171" s="2844"/>
      <c r="I1171" s="2805"/>
      <c r="J1171" s="2845"/>
      <c r="K1171" s="898"/>
      <c r="L1171" s="898"/>
      <c r="M1171" s="898"/>
      <c r="N1171" s="2701"/>
      <c r="P1171" s="80"/>
    </row>
    <row r="1172" spans="1:16" s="27" customFormat="1" ht="16.5" hidden="1" customHeight="1" x14ac:dyDescent="0.25">
      <c r="A1172" s="6"/>
      <c r="B1172" s="441"/>
      <c r="C1172" s="2489" t="s">
        <v>6637</v>
      </c>
      <c r="D1172" s="896">
        <v>0</v>
      </c>
      <c r="E1172" s="2810">
        <f>D1172/D927*100</f>
        <v>0</v>
      </c>
      <c r="F1172" s="4437"/>
      <c r="G1172" s="2805"/>
      <c r="H1172" s="2844"/>
      <c r="I1172" s="2805"/>
      <c r="J1172" s="2845"/>
      <c r="K1172" s="898"/>
      <c r="L1172" s="898"/>
      <c r="M1172" s="898"/>
      <c r="N1172" s="2701"/>
      <c r="P1172" s="80"/>
    </row>
    <row r="1173" spans="1:16" s="27" customFormat="1" ht="16.5" hidden="1" customHeight="1" x14ac:dyDescent="0.25">
      <c r="A1173" s="6"/>
      <c r="B1173" s="441"/>
      <c r="C1173" s="2489" t="s">
        <v>6638</v>
      </c>
      <c r="D1173" s="896">
        <v>0</v>
      </c>
      <c r="E1173" s="2810">
        <f>D1173/D927*100</f>
        <v>0</v>
      </c>
      <c r="F1173" s="4437"/>
      <c r="G1173" s="2805"/>
      <c r="H1173" s="2844"/>
      <c r="I1173" s="2805"/>
      <c r="J1173" s="2845"/>
      <c r="K1173" s="898"/>
      <c r="L1173" s="898"/>
      <c r="M1173" s="898"/>
      <c r="N1173" s="2701"/>
      <c r="P1173" s="80"/>
    </row>
    <row r="1174" spans="1:16" s="27" customFormat="1" ht="16.5" hidden="1" customHeight="1" x14ac:dyDescent="0.25">
      <c r="A1174" s="6"/>
      <c r="B1174" s="441"/>
      <c r="C1174" s="2489" t="s">
        <v>6639</v>
      </c>
      <c r="D1174" s="896">
        <v>0</v>
      </c>
      <c r="E1174" s="2810">
        <f>D1174/D927*100</f>
        <v>0</v>
      </c>
      <c r="F1174" s="4437"/>
      <c r="G1174" s="2805"/>
      <c r="H1174" s="2844"/>
      <c r="I1174" s="2805"/>
      <c r="J1174" s="2845"/>
      <c r="K1174" s="898"/>
      <c r="L1174" s="898"/>
      <c r="M1174" s="898"/>
      <c r="N1174" s="2701"/>
      <c r="P1174" s="80"/>
    </row>
    <row r="1175" spans="1:16" s="27" customFormat="1" ht="16.5" hidden="1" customHeight="1" x14ac:dyDescent="0.25">
      <c r="A1175" s="6"/>
      <c r="B1175" s="441"/>
      <c r="C1175" s="2489" t="s">
        <v>6640</v>
      </c>
      <c r="D1175" s="896">
        <v>0</v>
      </c>
      <c r="E1175" s="2810">
        <f>D1175/D927*100</f>
        <v>0</v>
      </c>
      <c r="F1175" s="4437"/>
      <c r="G1175" s="2805"/>
      <c r="H1175" s="2844"/>
      <c r="I1175" s="2805"/>
      <c r="J1175" s="2845"/>
      <c r="K1175" s="898"/>
      <c r="L1175" s="898"/>
      <c r="M1175" s="898"/>
      <c r="N1175" s="2701"/>
      <c r="P1175" s="80"/>
    </row>
    <row r="1176" spans="1:16" s="27" customFormat="1" ht="10.5" hidden="1" customHeight="1" x14ac:dyDescent="0.25">
      <c r="A1176" s="6"/>
      <c r="B1176" s="441"/>
      <c r="C1176" s="2489"/>
      <c r="D1176" s="896"/>
      <c r="E1176" s="2810"/>
      <c r="F1176" s="4437"/>
      <c r="G1176" s="2805"/>
      <c r="H1176" s="2844"/>
      <c r="I1176" s="2805"/>
      <c r="J1176" s="2845"/>
      <c r="K1176" s="898"/>
      <c r="L1176" s="898"/>
      <c r="M1176" s="898"/>
      <c r="N1176" s="2701"/>
      <c r="P1176" s="80"/>
    </row>
    <row r="1177" spans="1:16" s="27" customFormat="1" ht="16.5" hidden="1" customHeight="1" x14ac:dyDescent="0.25">
      <c r="A1177" s="6"/>
      <c r="B1177" s="441"/>
      <c r="C1177" s="2490" t="s">
        <v>6641</v>
      </c>
      <c r="D1177" s="2767">
        <f>D1178</f>
        <v>0</v>
      </c>
      <c r="E1177" s="2813">
        <f>D1177/D927*100</f>
        <v>0</v>
      </c>
      <c r="F1177" s="4437"/>
      <c r="G1177" s="2805"/>
      <c r="H1177" s="2844"/>
      <c r="I1177" s="2805"/>
      <c r="J1177" s="2845"/>
      <c r="K1177" s="898"/>
      <c r="L1177" s="898"/>
      <c r="M1177" s="898"/>
      <c r="N1177" s="2701"/>
      <c r="P1177" s="80"/>
    </row>
    <row r="1178" spans="1:16" s="27" customFormat="1" ht="15.75" hidden="1" customHeight="1" x14ac:dyDescent="0.25">
      <c r="A1178" s="6"/>
      <c r="B1178" s="441"/>
      <c r="C1178" s="2489" t="s">
        <v>6642</v>
      </c>
      <c r="D1178" s="4188">
        <v>0</v>
      </c>
      <c r="E1178" s="2810">
        <f>D1178/D927*100</f>
        <v>0</v>
      </c>
      <c r="F1178" s="4437"/>
      <c r="G1178" s="2805"/>
      <c r="H1178" s="2844"/>
      <c r="I1178" s="2805"/>
      <c r="J1178" s="2845"/>
      <c r="K1178" s="898"/>
      <c r="L1178" s="898"/>
      <c r="M1178" s="898"/>
      <c r="N1178" s="2701"/>
      <c r="P1178" s="80"/>
    </row>
    <row r="1179" spans="1:16" s="27" customFormat="1" ht="10.5" hidden="1" customHeight="1" x14ac:dyDescent="0.25">
      <c r="A1179" s="6"/>
      <c r="B1179" s="441"/>
      <c r="C1179" s="2489"/>
      <c r="D1179" s="940"/>
      <c r="E1179" s="2810"/>
      <c r="F1179" s="4437"/>
      <c r="G1179" s="2805"/>
      <c r="H1179" s="2844"/>
      <c r="I1179" s="2805"/>
      <c r="J1179" s="2845"/>
      <c r="K1179" s="898"/>
      <c r="L1179" s="898"/>
      <c r="M1179" s="898"/>
      <c r="N1179" s="2701"/>
      <c r="P1179" s="80"/>
    </row>
    <row r="1180" spans="1:16" s="27" customFormat="1" ht="30.75" hidden="1" customHeight="1" x14ac:dyDescent="0.25">
      <c r="A1180" s="6"/>
      <c r="B1180" s="441"/>
      <c r="C1180" s="2490" t="s">
        <v>6643</v>
      </c>
      <c r="D1180" s="899">
        <f>SUM(D1181:D1184)</f>
        <v>0</v>
      </c>
      <c r="E1180" s="2813">
        <f>D1180/D927*100</f>
        <v>0</v>
      </c>
      <c r="F1180" s="4437"/>
      <c r="G1180" s="2805"/>
      <c r="H1180" s="2844"/>
      <c r="I1180" s="2805"/>
      <c r="J1180" s="2845"/>
      <c r="K1180" s="898"/>
      <c r="L1180" s="898"/>
      <c r="M1180" s="898"/>
      <c r="N1180" s="2701"/>
      <c r="P1180" s="80"/>
    </row>
    <row r="1181" spans="1:16" s="27" customFormat="1" ht="16.5" hidden="1" customHeight="1" x14ac:dyDescent="0.25">
      <c r="A1181" s="6"/>
      <c r="B1181" s="441"/>
      <c r="C1181" s="2489" t="s">
        <v>6644</v>
      </c>
      <c r="D1181" s="896">
        <v>0</v>
      </c>
      <c r="E1181" s="2810">
        <f>D1181/D927*100</f>
        <v>0</v>
      </c>
      <c r="F1181" s="4437"/>
      <c r="G1181" s="2805"/>
      <c r="H1181" s="2844"/>
      <c r="I1181" s="2805"/>
      <c r="J1181" s="2845"/>
      <c r="K1181" s="898"/>
      <c r="L1181" s="898"/>
      <c r="M1181" s="898"/>
      <c r="N1181" s="2701"/>
      <c r="P1181" s="80"/>
    </row>
    <row r="1182" spans="1:16" s="27" customFormat="1" ht="16.5" hidden="1" customHeight="1" x14ac:dyDescent="0.25">
      <c r="A1182" s="6"/>
      <c r="B1182" s="441"/>
      <c r="C1182" s="2489" t="s">
        <v>6645</v>
      </c>
      <c r="D1182" s="896">
        <v>0</v>
      </c>
      <c r="E1182" s="2810">
        <f>D1182/D927*100</f>
        <v>0</v>
      </c>
      <c r="F1182" s="4437"/>
      <c r="G1182" s="2805"/>
      <c r="H1182" s="2844"/>
      <c r="I1182" s="2805"/>
      <c r="J1182" s="2845"/>
      <c r="K1182" s="898"/>
      <c r="L1182" s="898"/>
      <c r="M1182" s="898"/>
      <c r="N1182" s="2701"/>
      <c r="P1182" s="80"/>
    </row>
    <row r="1183" spans="1:16" s="27" customFormat="1" ht="16.5" hidden="1" customHeight="1" x14ac:dyDescent="0.25">
      <c r="A1183" s="6"/>
      <c r="B1183" s="441"/>
      <c r="C1183" s="2489" t="s">
        <v>6646</v>
      </c>
      <c r="D1183" s="896">
        <v>0</v>
      </c>
      <c r="E1183" s="2810">
        <f>D1183/D927*100</f>
        <v>0</v>
      </c>
      <c r="F1183" s="4437"/>
      <c r="G1183" s="2805"/>
      <c r="H1183" s="2844"/>
      <c r="I1183" s="2805"/>
      <c r="J1183" s="2845"/>
      <c r="K1183" s="898"/>
      <c r="L1183" s="898"/>
      <c r="M1183" s="898"/>
      <c r="N1183" s="2701"/>
      <c r="P1183" s="80"/>
    </row>
    <row r="1184" spans="1:16" s="27" customFormat="1" ht="16.5" hidden="1" customHeight="1" x14ac:dyDescent="0.25">
      <c r="A1184" s="6"/>
      <c r="B1184" s="441"/>
      <c r="C1184" s="2489" t="s">
        <v>6647</v>
      </c>
      <c r="D1184" s="896">
        <v>0</v>
      </c>
      <c r="E1184" s="2810">
        <f>D1184/D927*100</f>
        <v>0</v>
      </c>
      <c r="F1184" s="4437"/>
      <c r="G1184" s="2805"/>
      <c r="H1184" s="2844"/>
      <c r="I1184" s="2805"/>
      <c r="J1184" s="2845"/>
      <c r="K1184" s="898"/>
      <c r="L1184" s="898"/>
      <c r="M1184" s="898"/>
      <c r="N1184" s="2701"/>
      <c r="P1184" s="80"/>
    </row>
    <row r="1185" spans="1:16" s="27" customFormat="1" ht="12" hidden="1" customHeight="1" x14ac:dyDescent="0.25">
      <c r="A1185" s="6"/>
      <c r="B1185" s="441"/>
      <c r="C1185" s="2489"/>
      <c r="D1185" s="896"/>
      <c r="E1185" s="2810"/>
      <c r="F1185" s="4437"/>
      <c r="G1185" s="2805"/>
      <c r="H1185" s="2844"/>
      <c r="I1185" s="2805"/>
      <c r="J1185" s="2845"/>
      <c r="K1185" s="898"/>
      <c r="L1185" s="898"/>
      <c r="M1185" s="898"/>
      <c r="N1185" s="2701"/>
      <c r="P1185" s="80"/>
    </row>
    <row r="1186" spans="1:16" s="27" customFormat="1" ht="16.5" hidden="1" customHeight="1" x14ac:dyDescent="0.25">
      <c r="A1186" s="6"/>
      <c r="B1186" s="441"/>
      <c r="C1186" s="2490" t="s">
        <v>6648</v>
      </c>
      <c r="D1186" s="899">
        <f>D1187</f>
        <v>0</v>
      </c>
      <c r="E1186" s="2813">
        <f>D1186/D927*100</f>
        <v>0</v>
      </c>
      <c r="F1186" s="4437"/>
      <c r="G1186" s="2805"/>
      <c r="H1186" s="2844"/>
      <c r="I1186" s="2805"/>
      <c r="J1186" s="2845"/>
      <c r="K1186" s="898"/>
      <c r="L1186" s="898"/>
      <c r="M1186" s="898"/>
      <c r="N1186" s="2701"/>
      <c r="P1186" s="80"/>
    </row>
    <row r="1187" spans="1:16" s="27" customFormat="1" ht="16.5" hidden="1" customHeight="1" x14ac:dyDescent="0.25">
      <c r="A1187" s="6"/>
      <c r="B1187" s="441"/>
      <c r="C1187" s="2489" t="s">
        <v>6649</v>
      </c>
      <c r="D1187" s="896">
        <v>0</v>
      </c>
      <c r="E1187" s="2810">
        <f>D1187/D927*100</f>
        <v>0</v>
      </c>
      <c r="F1187" s="4437"/>
      <c r="G1187" s="2805"/>
      <c r="H1187" s="2844"/>
      <c r="I1187" s="2805"/>
      <c r="J1187" s="2845"/>
      <c r="K1187" s="898"/>
      <c r="L1187" s="898"/>
      <c r="M1187" s="898"/>
      <c r="N1187" s="2701"/>
      <c r="P1187" s="80"/>
    </row>
    <row r="1188" spans="1:16" s="27" customFormat="1" ht="11.25" hidden="1" customHeight="1" x14ac:dyDescent="0.25">
      <c r="A1188" s="6"/>
      <c r="B1188" s="441"/>
      <c r="C1188" s="2489"/>
      <c r="D1188" s="896"/>
      <c r="E1188" s="2810"/>
      <c r="F1188" s="4437"/>
      <c r="G1188" s="2805"/>
      <c r="H1188" s="2844"/>
      <c r="I1188" s="2805"/>
      <c r="J1188" s="2845"/>
      <c r="K1188" s="898"/>
      <c r="L1188" s="898"/>
      <c r="M1188" s="898"/>
      <c r="N1188" s="2701"/>
      <c r="P1188" s="80"/>
    </row>
    <row r="1189" spans="1:16" s="27" customFormat="1" ht="16.5" hidden="1" customHeight="1" x14ac:dyDescent="0.25">
      <c r="A1189" s="6"/>
      <c r="B1189" s="441"/>
      <c r="C1189" s="2490" t="s">
        <v>6650</v>
      </c>
      <c r="D1189" s="899">
        <f>D1190</f>
        <v>0</v>
      </c>
      <c r="E1189" s="2813">
        <f>D1189/D927*100</f>
        <v>0</v>
      </c>
      <c r="F1189" s="4437"/>
      <c r="G1189" s="2805"/>
      <c r="H1189" s="2844"/>
      <c r="I1189" s="2805"/>
      <c r="J1189" s="2845"/>
      <c r="K1189" s="898"/>
      <c r="L1189" s="898"/>
      <c r="M1189" s="898"/>
      <c r="N1189" s="2701"/>
      <c r="P1189" s="80"/>
    </row>
    <row r="1190" spans="1:16" s="27" customFormat="1" ht="16.5" hidden="1" customHeight="1" x14ac:dyDescent="0.25">
      <c r="A1190" s="6"/>
      <c r="B1190" s="441"/>
      <c r="C1190" s="2489" t="s">
        <v>6651</v>
      </c>
      <c r="D1190" s="896">
        <v>0</v>
      </c>
      <c r="E1190" s="2810">
        <f>D1190/D927*100</f>
        <v>0</v>
      </c>
      <c r="F1190" s="4437"/>
      <c r="G1190" s="2805"/>
      <c r="H1190" s="2844"/>
      <c r="I1190" s="2805"/>
      <c r="J1190" s="2845"/>
      <c r="K1190" s="898"/>
      <c r="L1190" s="898"/>
      <c r="M1190" s="898"/>
      <c r="N1190" s="2701"/>
      <c r="P1190" s="80"/>
    </row>
    <row r="1191" spans="1:16" s="27" customFormat="1" ht="9.75" hidden="1" customHeight="1" x14ac:dyDescent="0.25">
      <c r="A1191" s="6"/>
      <c r="B1191" s="441"/>
      <c r="C1191" s="2489"/>
      <c r="D1191" s="896"/>
      <c r="E1191" s="2810"/>
      <c r="F1191" s="4437"/>
      <c r="G1191" s="2805"/>
      <c r="H1191" s="2844"/>
      <c r="I1191" s="2805"/>
      <c r="J1191" s="2845"/>
      <c r="K1191" s="898"/>
      <c r="L1191" s="898"/>
      <c r="M1191" s="898"/>
      <c r="N1191" s="2701"/>
      <c r="P1191" s="80"/>
    </row>
    <row r="1192" spans="1:16" s="27" customFormat="1" ht="16.5" hidden="1" customHeight="1" x14ac:dyDescent="0.25">
      <c r="A1192" s="6"/>
      <c r="B1192" s="441"/>
      <c r="C1192" s="4183" t="s">
        <v>6652</v>
      </c>
      <c r="D1192" s="899">
        <f>D1193</f>
        <v>0</v>
      </c>
      <c r="E1192" s="2813">
        <f>D1192/D927*100</f>
        <v>0</v>
      </c>
      <c r="F1192" s="4437"/>
      <c r="G1192" s="2805"/>
      <c r="H1192" s="2844"/>
      <c r="I1192" s="2805"/>
      <c r="J1192" s="2845"/>
      <c r="K1192" s="898"/>
      <c r="L1192" s="898"/>
      <c r="M1192" s="898"/>
      <c r="N1192" s="2701"/>
      <c r="P1192" s="80"/>
    </row>
    <row r="1193" spans="1:16" s="27" customFormat="1" ht="16.5" hidden="1" customHeight="1" x14ac:dyDescent="0.25">
      <c r="A1193" s="6"/>
      <c r="B1193" s="441"/>
      <c r="C1193" s="2489" t="s">
        <v>6653</v>
      </c>
      <c r="D1193" s="896">
        <v>0</v>
      </c>
      <c r="E1193" s="2810">
        <f>D1193/D927*100</f>
        <v>0</v>
      </c>
      <c r="F1193" s="4437"/>
      <c r="G1193" s="2805"/>
      <c r="H1193" s="2844"/>
      <c r="I1193" s="2805"/>
      <c r="J1193" s="2845"/>
      <c r="K1193" s="898"/>
      <c r="L1193" s="898"/>
      <c r="M1193" s="898"/>
      <c r="N1193" s="2701"/>
      <c r="P1193" s="80"/>
    </row>
    <row r="1194" spans="1:16" ht="12" hidden="1" customHeight="1" x14ac:dyDescent="0.25">
      <c r="B1194" s="441"/>
      <c r="C1194" s="2506"/>
      <c r="D1194" s="2724"/>
      <c r="E1194" s="2840"/>
      <c r="F1194" s="4380"/>
      <c r="G1194" s="2830"/>
      <c r="H1194" s="2830"/>
      <c r="I1194" s="2830"/>
      <c r="J1194" s="2755"/>
      <c r="K1194" s="2755"/>
      <c r="L1194" s="2755"/>
      <c r="M1194" s="2755"/>
      <c r="N1194" s="2768"/>
    </row>
    <row r="1195" spans="1:16" s="27" customFormat="1" ht="19.5" hidden="1" customHeight="1" x14ac:dyDescent="0.25">
      <c r="A1195" s="6"/>
      <c r="B1195" s="440"/>
      <c r="C1195" s="2497" t="s">
        <v>6622</v>
      </c>
      <c r="D1195" s="2669">
        <f>SUM(D1196)</f>
        <v>7863773310</v>
      </c>
      <c r="E1195" s="2786">
        <f>D1195/D927*100</f>
        <v>5.7335455550033769</v>
      </c>
      <c r="F1195" s="3835"/>
      <c r="G1195" s="2719"/>
      <c r="H1195" s="2719"/>
      <c r="I1195" s="2719"/>
      <c r="J1195" s="2720"/>
      <c r="K1195" s="2720"/>
      <c r="L1195" s="2672"/>
      <c r="M1195" s="2669"/>
      <c r="N1195" s="2701"/>
      <c r="P1195" s="80"/>
    </row>
    <row r="1196" spans="1:16" s="27" customFormat="1" ht="20.25" hidden="1" customHeight="1" x14ac:dyDescent="0.25">
      <c r="A1196" s="6"/>
      <c r="B1196" s="441"/>
      <c r="C1196" s="2499" t="s">
        <v>6626</v>
      </c>
      <c r="D1196" s="2822">
        <f>D1197</f>
        <v>7863773310</v>
      </c>
      <c r="E1196" s="2801">
        <f>D1196/D927*100</f>
        <v>5.7335455550033769</v>
      </c>
      <c r="F1196" s="3838"/>
      <c r="G1196" s="2830"/>
      <c r="H1196" s="2830"/>
      <c r="I1196" s="2830"/>
      <c r="J1196" s="2846"/>
      <c r="K1196" s="2846"/>
      <c r="L1196" s="2751"/>
      <c r="M1196" s="2751"/>
      <c r="N1196" s="2701"/>
      <c r="P1196" s="80"/>
    </row>
    <row r="1197" spans="1:16" s="27" customFormat="1" ht="17.25" hidden="1" customHeight="1" x14ac:dyDescent="0.25">
      <c r="A1197" s="6"/>
      <c r="B1197" s="441"/>
      <c r="C1197" s="2492" t="s">
        <v>6627</v>
      </c>
      <c r="D1197" s="896">
        <v>7863773310</v>
      </c>
      <c r="E1197" s="2810">
        <f>D1197/D927*100</f>
        <v>5.7335455550033769</v>
      </c>
      <c r="F1197" s="4437"/>
      <c r="G1197" s="2685"/>
      <c r="H1197" s="2685"/>
      <c r="I1197" s="2685"/>
      <c r="J1197" s="2811"/>
      <c r="K1197" s="2700"/>
      <c r="L1197" s="2769"/>
      <c r="M1197" s="896"/>
      <c r="N1197" s="2701"/>
      <c r="P1197" s="80"/>
    </row>
    <row r="1198" spans="1:16" s="27" customFormat="1" ht="12" hidden="1" customHeight="1" x14ac:dyDescent="0.25">
      <c r="A1198" s="6"/>
      <c r="B1198" s="441"/>
      <c r="C1198" s="2482"/>
      <c r="D1198" s="2724"/>
      <c r="E1198" s="2818"/>
      <c r="F1198" s="3833"/>
      <c r="G1198" s="2708"/>
      <c r="H1198" s="2708"/>
      <c r="I1198" s="2708"/>
      <c r="J1198" s="2847"/>
      <c r="K1198" s="911"/>
      <c r="L1198" s="911"/>
      <c r="M1198" s="911"/>
      <c r="N1198" s="2701"/>
      <c r="P1198" s="80"/>
    </row>
    <row r="1199" spans="1:16" s="27" customFormat="1" ht="15.75" hidden="1" customHeight="1" x14ac:dyDescent="0.25">
      <c r="A1199" s="6"/>
      <c r="B1199" s="440"/>
      <c r="C1199" s="2507" t="s">
        <v>6623</v>
      </c>
      <c r="D1199" s="2530">
        <f>D1200</f>
        <v>3600000000</v>
      </c>
      <c r="E1199" s="2786">
        <f>D1199/D927*100</f>
        <v>2.6247913290893372</v>
      </c>
      <c r="F1199" s="3843"/>
      <c r="G1199" s="2741"/>
      <c r="H1199" s="2741"/>
      <c r="I1199" s="2741"/>
      <c r="J1199" s="2848"/>
      <c r="K1199" s="2848"/>
      <c r="L1199" s="2744"/>
      <c r="M1199" s="2744"/>
      <c r="N1199" s="2701"/>
      <c r="P1199" s="80"/>
    </row>
    <row r="1200" spans="1:16" s="27" customFormat="1" ht="21.75" hidden="1" customHeight="1" x14ac:dyDescent="0.25">
      <c r="A1200" s="6"/>
      <c r="B1200" s="441"/>
      <c r="C1200" s="2514" t="s">
        <v>6624</v>
      </c>
      <c r="D1200" s="2751">
        <f>D1201</f>
        <v>3600000000</v>
      </c>
      <c r="E1200" s="2801">
        <f>D1200/D927*100</f>
        <v>2.6247913290893372</v>
      </c>
      <c r="F1200" s="4445"/>
      <c r="G1200" s="2830"/>
      <c r="H1200" s="2830"/>
      <c r="I1200" s="2830"/>
      <c r="J1200" s="2849"/>
      <c r="K1200" s="2769"/>
      <c r="L1200" s="2769"/>
      <c r="M1200" s="2769"/>
      <c r="N1200" s="2701"/>
      <c r="P1200" s="80"/>
    </row>
    <row r="1201" spans="1:16" s="27" customFormat="1" ht="15" hidden="1" customHeight="1" x14ac:dyDescent="0.25">
      <c r="A1201" s="6"/>
      <c r="B1201" s="441"/>
      <c r="C1201" s="2492" t="s">
        <v>6625</v>
      </c>
      <c r="D1201" s="896">
        <v>3600000000</v>
      </c>
      <c r="E1201" s="2810">
        <f>D1201/D927*100</f>
        <v>2.6247913290893372</v>
      </c>
      <c r="F1201" s="4437"/>
      <c r="G1201" s="2685"/>
      <c r="H1201" s="2685"/>
      <c r="I1201" s="2685"/>
      <c r="J1201" s="2811"/>
      <c r="K1201" s="896"/>
      <c r="L1201" s="896"/>
      <c r="M1201" s="896"/>
      <c r="N1201" s="2701"/>
      <c r="P1201" s="80"/>
    </row>
    <row r="1202" spans="1:16" ht="12" hidden="1" customHeight="1" x14ac:dyDescent="0.25">
      <c r="B1202" s="441"/>
      <c r="C1202" s="2476"/>
      <c r="D1202" s="2709"/>
      <c r="E1202" s="2943"/>
      <c r="F1202" s="4447"/>
      <c r="G1202" s="2708"/>
      <c r="H1202" s="2708"/>
      <c r="I1202" s="2708"/>
      <c r="J1202" s="2871"/>
      <c r="K1202" s="2894"/>
      <c r="L1202" s="896"/>
      <c r="M1202" s="896"/>
      <c r="N1202" s="2768"/>
    </row>
    <row r="1203" spans="1:16" s="12" customFormat="1" ht="18.75" hidden="1" customHeight="1" x14ac:dyDescent="0.3">
      <c r="B1203" s="2944"/>
      <c r="C1203" s="2522" t="s">
        <v>6998</v>
      </c>
      <c r="D1203" s="2945">
        <f>SUM(D1205+D1239+D1303+D1307+D1318+D1336+D1340+D1363+D1379+D1425+D1438+D1443+D1462+D1475+D1491+D1506+D1531+D1544+D1577+D1593+D1607+D1621+D1625+D1629+D1633+D1637+D1641+D1645+D1649+D1653+D1657+D1661+D1665+D1669+D1676+D1681+D1685+D1689+D1693+D1701)</f>
        <v>128986258000</v>
      </c>
      <c r="E1203" s="2946">
        <f>D1203/2512247400000*100</f>
        <v>5.134297601422535</v>
      </c>
      <c r="F1203" s="4448"/>
      <c r="G1203" s="2947"/>
      <c r="H1203" s="2948"/>
      <c r="I1203" s="2949"/>
      <c r="J1203" s="2950"/>
      <c r="K1203" s="2950"/>
      <c r="L1203" s="2948"/>
      <c r="M1203" s="2949"/>
      <c r="N1203" s="2951"/>
      <c r="P1203" s="635"/>
    </row>
    <row r="1204" spans="1:16" s="13" customFormat="1" ht="6.75" hidden="1" customHeight="1" x14ac:dyDescent="0.25">
      <c r="B1204" s="452"/>
      <c r="C1204" s="2503"/>
      <c r="D1204" s="2952"/>
      <c r="E1204" s="2953"/>
      <c r="F1204" s="4401"/>
      <c r="G1204" s="2954"/>
      <c r="H1204" s="2955"/>
      <c r="I1204" s="2956"/>
      <c r="J1204" s="2957"/>
      <c r="K1204" s="2957"/>
      <c r="L1204" s="2955"/>
      <c r="M1204" s="2956"/>
      <c r="N1204" s="2958"/>
      <c r="P1204" s="636"/>
    </row>
    <row r="1205" spans="1:16" s="5" customFormat="1" ht="17.25" hidden="1" customHeight="1" x14ac:dyDescent="0.25">
      <c r="B1205" s="453"/>
      <c r="C1205" s="2523" t="s">
        <v>630</v>
      </c>
      <c r="D1205" s="2959">
        <f>SUM(D1206+D1209+D1216+D1228+D1232+D1236)</f>
        <v>36874339497</v>
      </c>
      <c r="E1205" s="2960">
        <f>D1205/D1203*100</f>
        <v>28.587804676836193</v>
      </c>
      <c r="F1205" s="3858"/>
      <c r="G1205" s="2961"/>
      <c r="H1205" s="2962"/>
      <c r="I1205" s="2963"/>
      <c r="J1205" s="2964"/>
      <c r="K1205" s="2964"/>
      <c r="L1205" s="2959"/>
      <c r="M1205" s="2963"/>
      <c r="N1205" s="2687"/>
      <c r="P1205" s="621"/>
    </row>
    <row r="1206" spans="1:16" s="5" customFormat="1" ht="18" hidden="1" customHeight="1" x14ac:dyDescent="0.25">
      <c r="B1206" s="448"/>
      <c r="C1206" s="2521" t="s">
        <v>36</v>
      </c>
      <c r="D1206" s="2759">
        <f>D1207</f>
        <v>1891970000</v>
      </c>
      <c r="E1206" s="2677">
        <f>D1206/D1203*100</f>
        <v>1.4667996648139061</v>
      </c>
      <c r="F1206" s="3855"/>
      <c r="G1206" s="2965"/>
      <c r="H1206" s="2966"/>
      <c r="I1206" s="2965"/>
      <c r="J1206" s="2930"/>
      <c r="K1206" s="2965"/>
      <c r="L1206" s="2965"/>
      <c r="M1206" s="2965"/>
      <c r="N1206" s="2687"/>
      <c r="P1206" s="621"/>
    </row>
    <row r="1207" spans="1:16" s="5" customFormat="1" ht="16.5" hidden="1" customHeight="1" x14ac:dyDescent="0.25">
      <c r="B1207" s="448"/>
      <c r="C1207" s="2524" t="s">
        <v>6692</v>
      </c>
      <c r="D1207" s="2698">
        <v>1891970000</v>
      </c>
      <c r="E1207" s="2967">
        <f>D1207/D1203*100</f>
        <v>1.4667996648139061</v>
      </c>
      <c r="F1207" s="4417"/>
      <c r="G1207" s="2726"/>
      <c r="H1207" s="2968"/>
      <c r="I1207" s="2726"/>
      <c r="J1207" s="2698"/>
      <c r="K1207" s="2726"/>
      <c r="L1207" s="2726"/>
      <c r="M1207" s="2726"/>
      <c r="N1207" s="2687"/>
      <c r="P1207" s="621"/>
    </row>
    <row r="1208" spans="1:16" s="5" customFormat="1" ht="10.5" hidden="1" customHeight="1" x14ac:dyDescent="0.25">
      <c r="B1208" s="448"/>
      <c r="C1208" s="2473"/>
      <c r="D1208" s="896"/>
      <c r="E1208" s="2967"/>
      <c r="F1208" s="3868"/>
      <c r="G1208" s="2726"/>
      <c r="H1208" s="2690"/>
      <c r="I1208" s="2757"/>
      <c r="J1208" s="2920"/>
      <c r="K1208" s="2726"/>
      <c r="L1208" s="896"/>
      <c r="M1208" s="2757"/>
      <c r="N1208" s="2687"/>
      <c r="P1208" s="621"/>
    </row>
    <row r="1209" spans="1:16" s="5" customFormat="1" ht="17.25" hidden="1" customHeight="1" x14ac:dyDescent="0.25">
      <c r="B1209" s="448"/>
      <c r="C1209" s="2525" t="s">
        <v>632</v>
      </c>
      <c r="D1209" s="899">
        <f>SUM(D1210:D1214)</f>
        <v>929044000</v>
      </c>
      <c r="E1209" s="2969">
        <f>D1209/D1203*100</f>
        <v>0.72026587514462204</v>
      </c>
      <c r="F1209" s="3853"/>
      <c r="G1209" s="2921"/>
      <c r="H1209" s="2695"/>
      <c r="I1209" s="2970"/>
      <c r="J1209" s="915"/>
      <c r="K1209" s="915"/>
      <c r="L1209" s="2695"/>
      <c r="M1209" s="2970"/>
      <c r="N1209" s="2687"/>
      <c r="P1209" s="621"/>
    </row>
    <row r="1210" spans="1:16" s="5" customFormat="1" ht="18.75" hidden="1" customHeight="1" x14ac:dyDescent="0.25">
      <c r="B1210" s="448"/>
      <c r="C1210" s="2524" t="s">
        <v>6693</v>
      </c>
      <c r="D1210" s="2698">
        <v>161750000</v>
      </c>
      <c r="E1210" s="2967">
        <f>D1210/D1203*100</f>
        <v>0.12540095550333744</v>
      </c>
      <c r="F1210" s="4417"/>
      <c r="G1210" s="2726"/>
      <c r="H1210" s="2968"/>
      <c r="I1210" s="2726"/>
      <c r="J1210" s="2698"/>
      <c r="K1210" s="2726"/>
      <c r="L1210" s="2690"/>
      <c r="M1210" s="2757"/>
      <c r="N1210" s="2687"/>
      <c r="P1210" s="621"/>
    </row>
    <row r="1211" spans="1:16" s="5" customFormat="1" ht="13.5" hidden="1" customHeight="1" x14ac:dyDescent="0.25">
      <c r="B1211" s="448"/>
      <c r="C1211" s="2524" t="s">
        <v>6694</v>
      </c>
      <c r="D1211" s="2698">
        <v>131400000</v>
      </c>
      <c r="E1211" s="2967">
        <f>D1211/D1203*100</f>
        <v>0.10187131717550872</v>
      </c>
      <c r="F1211" s="4417"/>
      <c r="G1211" s="2726"/>
      <c r="H1211" s="2968"/>
      <c r="I1211" s="2726"/>
      <c r="J1211" s="2698"/>
      <c r="K1211" s="2726"/>
      <c r="L1211" s="2726"/>
      <c r="M1211" s="2726"/>
      <c r="N1211" s="2687"/>
      <c r="P1211" s="621"/>
    </row>
    <row r="1212" spans="1:16" s="5" customFormat="1" ht="16.5" hidden="1" customHeight="1" x14ac:dyDescent="0.25">
      <c r="B1212" s="448"/>
      <c r="C1212" s="2524" t="s">
        <v>6695</v>
      </c>
      <c r="D1212" s="2698">
        <v>106520000</v>
      </c>
      <c r="E1212" s="2967">
        <f>D1212/D1203*100</f>
        <v>8.2582440681394129E-2</v>
      </c>
      <c r="F1212" s="4417"/>
      <c r="G1212" s="2726"/>
      <c r="H1212" s="2690"/>
      <c r="I1212" s="2757"/>
      <c r="J1212" s="2698"/>
      <c r="K1212" s="2726"/>
      <c r="L1212" s="2690"/>
      <c r="M1212" s="2757"/>
      <c r="N1212" s="2687"/>
      <c r="P1212" s="621"/>
    </row>
    <row r="1213" spans="1:16" s="5" customFormat="1" ht="17.25" hidden="1" customHeight="1" x14ac:dyDescent="0.25">
      <c r="B1213" s="448"/>
      <c r="C1213" s="2524" t="s">
        <v>6696</v>
      </c>
      <c r="D1213" s="2698">
        <v>232564000</v>
      </c>
      <c r="E1213" s="2967">
        <f>D1213/D1203*100</f>
        <v>0.18030137753124059</v>
      </c>
      <c r="F1213" s="4417"/>
      <c r="G1213" s="2726"/>
      <c r="H1213" s="2968"/>
      <c r="I1213" s="2726"/>
      <c r="J1213" s="2698"/>
      <c r="K1213" s="2726"/>
      <c r="L1213" s="2690"/>
      <c r="M1213" s="2757"/>
      <c r="N1213" s="2687"/>
      <c r="P1213" s="621"/>
    </row>
    <row r="1214" spans="1:16" s="5" customFormat="1" ht="18.75" hidden="1" customHeight="1" x14ac:dyDescent="0.25">
      <c r="B1214" s="448"/>
      <c r="C1214" s="2524" t="s">
        <v>6697</v>
      </c>
      <c r="D1214" s="2698">
        <v>296810000</v>
      </c>
      <c r="E1214" s="2967">
        <f>D1214/D1203*100</f>
        <v>0.2301097842531411</v>
      </c>
      <c r="F1214" s="4417"/>
      <c r="G1214" s="2726"/>
      <c r="H1214" s="2968"/>
      <c r="I1214" s="2726"/>
      <c r="J1214" s="2698"/>
      <c r="K1214" s="2726"/>
      <c r="L1214" s="2690"/>
      <c r="M1214" s="2757"/>
      <c r="N1214" s="2687"/>
      <c r="P1214" s="621"/>
    </row>
    <row r="1215" spans="1:16" s="5" customFormat="1" ht="11.25" hidden="1" customHeight="1" x14ac:dyDescent="0.25">
      <c r="B1215" s="448"/>
      <c r="C1215" s="2473"/>
      <c r="D1215" s="896"/>
      <c r="E1215" s="2967"/>
      <c r="F1215" s="3868"/>
      <c r="G1215" s="2726"/>
      <c r="H1215" s="2968"/>
      <c r="I1215" s="2757"/>
      <c r="J1215" s="2920"/>
      <c r="K1215" s="2726"/>
      <c r="L1215" s="896"/>
      <c r="M1215" s="2757"/>
      <c r="N1215" s="2687"/>
      <c r="P1215" s="621"/>
    </row>
    <row r="1216" spans="1:16" s="5" customFormat="1" ht="17.25" hidden="1" customHeight="1" x14ac:dyDescent="0.25">
      <c r="B1216" s="448"/>
      <c r="C1216" s="2521" t="s">
        <v>248</v>
      </c>
      <c r="D1216" s="899">
        <f>SUM(D1217:D1226)</f>
        <v>27377922997</v>
      </c>
      <c r="E1216" s="2969">
        <f>D1216/D1203*100</f>
        <v>21.225457208782661</v>
      </c>
      <c r="F1216" s="3853"/>
      <c r="G1216" s="2921"/>
      <c r="H1216" s="2695"/>
      <c r="I1216" s="2970"/>
      <c r="J1216" s="915"/>
      <c r="K1216" s="915"/>
      <c r="L1216" s="2695"/>
      <c r="M1216" s="2970"/>
      <c r="N1216" s="2687"/>
      <c r="P1216" s="621"/>
    </row>
    <row r="1217" spans="2:16" s="5" customFormat="1" ht="17.25" hidden="1" customHeight="1" x14ac:dyDescent="0.25">
      <c r="B1217" s="448"/>
      <c r="C1217" s="2473" t="s">
        <v>6698</v>
      </c>
      <c r="D1217" s="896">
        <v>6794625000</v>
      </c>
      <c r="E1217" s="2967">
        <f>D1217/D1203*100</f>
        <v>5.2677123170748938</v>
      </c>
      <c r="F1217" s="4449"/>
      <c r="G1217" s="2726"/>
      <c r="H1217" s="2968"/>
      <c r="I1217" s="2726"/>
      <c r="J1217" s="2972"/>
      <c r="K1217" s="2726"/>
      <c r="L1217" s="2690"/>
      <c r="M1217" s="2757"/>
      <c r="N1217" s="2687"/>
      <c r="P1217" s="621"/>
    </row>
    <row r="1218" spans="2:16" s="5" customFormat="1" ht="16.5" hidden="1" customHeight="1" x14ac:dyDescent="0.25">
      <c r="B1218" s="448"/>
      <c r="C1218" s="2526" t="s">
        <v>6699</v>
      </c>
      <c r="D1218" s="896">
        <v>3332990000</v>
      </c>
      <c r="E1218" s="2967">
        <f>D1218/D1203*100</f>
        <v>2.5839884431719851</v>
      </c>
      <c r="F1218" s="4449"/>
      <c r="G1218" s="2726"/>
      <c r="H1218" s="2968"/>
      <c r="I1218" s="2726"/>
      <c r="J1218" s="896"/>
      <c r="K1218" s="2726"/>
      <c r="L1218" s="2690"/>
      <c r="M1218" s="2757"/>
      <c r="N1218" s="2687"/>
      <c r="P1218" s="621"/>
    </row>
    <row r="1219" spans="2:16" s="5" customFormat="1" ht="15.75" hidden="1" customHeight="1" x14ac:dyDescent="0.25">
      <c r="B1219" s="448"/>
      <c r="C1219" s="2473" t="s">
        <v>6700</v>
      </c>
      <c r="D1219" s="896">
        <v>2524280000</v>
      </c>
      <c r="E1219" s="2967">
        <f>D1219/D1203*100</f>
        <v>1.9570146767107548</v>
      </c>
      <c r="F1219" s="4449"/>
      <c r="G1219" s="2726"/>
      <c r="H1219" s="2968"/>
      <c r="I1219" s="2726"/>
      <c r="J1219" s="896"/>
      <c r="K1219" s="2726"/>
      <c r="L1219" s="2690"/>
      <c r="M1219" s="2757"/>
      <c r="N1219" s="2687"/>
      <c r="P1219" s="621"/>
    </row>
    <row r="1220" spans="2:16" s="5" customFormat="1" ht="15.75" hidden="1" customHeight="1" x14ac:dyDescent="0.25">
      <c r="B1220" s="448"/>
      <c r="C1220" s="2526" t="s">
        <v>6701</v>
      </c>
      <c r="D1220" s="896">
        <v>2084400000</v>
      </c>
      <c r="E1220" s="2967">
        <f>D1220/D1203*100</f>
        <v>1.6159860998525906</v>
      </c>
      <c r="F1220" s="4449"/>
      <c r="G1220" s="2726"/>
      <c r="H1220" s="2968"/>
      <c r="I1220" s="2726"/>
      <c r="J1220" s="896"/>
      <c r="K1220" s="2726"/>
      <c r="L1220" s="2726"/>
      <c r="M1220" s="2726"/>
      <c r="N1220" s="2687"/>
      <c r="P1220" s="621"/>
    </row>
    <row r="1221" spans="2:16" s="5" customFormat="1" ht="15.75" hidden="1" customHeight="1" x14ac:dyDescent="0.25">
      <c r="B1221" s="448"/>
      <c r="C1221" s="2473" t="s">
        <v>6702</v>
      </c>
      <c r="D1221" s="896">
        <v>1645362000</v>
      </c>
      <c r="E1221" s="2967">
        <f>D1221/D1203*100</f>
        <v>1.2756103057117913</v>
      </c>
      <c r="F1221" s="4449"/>
      <c r="G1221" s="2726"/>
      <c r="H1221" s="2968"/>
      <c r="I1221" s="2726"/>
      <c r="J1221" s="2972"/>
      <c r="K1221" s="2726"/>
      <c r="L1221" s="2726"/>
      <c r="M1221" s="2726"/>
      <c r="N1221" s="2687"/>
      <c r="P1221" s="621"/>
    </row>
    <row r="1222" spans="2:16" s="5" customFormat="1" ht="13.5" hidden="1" customHeight="1" x14ac:dyDescent="0.25">
      <c r="B1222" s="448"/>
      <c r="C1222" s="2473" t="s">
        <v>6703</v>
      </c>
      <c r="D1222" s="896">
        <v>3336299997</v>
      </c>
      <c r="E1222" s="2967">
        <f>D1222/D1203*100</f>
        <v>2.5865546056852038</v>
      </c>
      <c r="F1222" s="4449"/>
      <c r="G1222" s="2726"/>
      <c r="H1222" s="2968"/>
      <c r="I1222" s="2726"/>
      <c r="J1222" s="2972"/>
      <c r="K1222" s="2726"/>
      <c r="L1222" s="2690"/>
      <c r="M1222" s="2757"/>
      <c r="N1222" s="2687"/>
      <c r="P1222" s="621"/>
    </row>
    <row r="1223" spans="2:16" s="5" customFormat="1" ht="17.25" hidden="1" customHeight="1" x14ac:dyDescent="0.25">
      <c r="B1223" s="448"/>
      <c r="C1223" s="2473" t="s">
        <v>6704</v>
      </c>
      <c r="D1223" s="896">
        <v>250545000</v>
      </c>
      <c r="E1223" s="2967">
        <f>D1223/D1203*100</f>
        <v>0.19424162223544775</v>
      </c>
      <c r="F1223" s="4449"/>
      <c r="G1223" s="2726"/>
      <c r="H1223" s="2690"/>
      <c r="I1223" s="2757"/>
      <c r="J1223" s="2972"/>
      <c r="K1223" s="2726"/>
      <c r="L1223" s="2690"/>
      <c r="M1223" s="2757"/>
      <c r="N1223" s="2687"/>
      <c r="P1223" s="621"/>
    </row>
    <row r="1224" spans="2:16" s="5" customFormat="1" ht="27.75" hidden="1" customHeight="1" x14ac:dyDescent="0.25">
      <c r="B1224" s="448"/>
      <c r="C1224" s="2473" t="s">
        <v>6705</v>
      </c>
      <c r="D1224" s="896">
        <v>370910000</v>
      </c>
      <c r="E1224" s="2967">
        <f>D1224/D1203*100</f>
        <v>0.28755776448681841</v>
      </c>
      <c r="F1224" s="4449"/>
      <c r="G1224" s="2726"/>
      <c r="H1224" s="2690"/>
      <c r="I1224" s="2757"/>
      <c r="J1224" s="2972"/>
      <c r="K1224" s="2726"/>
      <c r="L1224" s="2690"/>
      <c r="M1224" s="2757"/>
      <c r="N1224" s="2687"/>
      <c r="P1224" s="621"/>
    </row>
    <row r="1225" spans="2:16" s="5" customFormat="1" ht="15" hidden="1" customHeight="1" x14ac:dyDescent="0.25">
      <c r="B1225" s="448"/>
      <c r="C1225" s="2473" t="s">
        <v>6706</v>
      </c>
      <c r="D1225" s="896">
        <v>6162211000</v>
      </c>
      <c r="E1225" s="2967">
        <f>D1225/D1203*100</f>
        <v>4.777416676433857</v>
      </c>
      <c r="F1225" s="4449"/>
      <c r="G1225" s="2726"/>
      <c r="H1225" s="2968"/>
      <c r="I1225" s="2726"/>
      <c r="J1225" s="2972"/>
      <c r="K1225" s="2726"/>
      <c r="L1225" s="2690"/>
      <c r="M1225" s="2757"/>
      <c r="N1225" s="2687"/>
      <c r="P1225" s="621"/>
    </row>
    <row r="1226" spans="2:16" s="5" customFormat="1" ht="15.75" hidden="1" customHeight="1" x14ac:dyDescent="0.25">
      <c r="B1226" s="448"/>
      <c r="C1226" s="2473" t="s">
        <v>6707</v>
      </c>
      <c r="D1226" s="896">
        <v>876300000</v>
      </c>
      <c r="E1226" s="2967">
        <f>D1226/D1203*100</f>
        <v>0.67937469741931733</v>
      </c>
      <c r="F1226" s="4449"/>
      <c r="G1226" s="2726"/>
      <c r="H1226" s="2968"/>
      <c r="I1226" s="2726"/>
      <c r="J1226" s="2972"/>
      <c r="K1226" s="2972"/>
      <c r="L1226" s="2690"/>
      <c r="M1226" s="2757"/>
      <c r="N1226" s="2687"/>
      <c r="P1226" s="621"/>
    </row>
    <row r="1227" spans="2:16" s="5" customFormat="1" ht="9.75" hidden="1" customHeight="1" x14ac:dyDescent="0.25">
      <c r="B1227" s="448"/>
      <c r="C1227" s="2473"/>
      <c r="D1227" s="2709"/>
      <c r="E1227" s="2967"/>
      <c r="F1227" s="4430"/>
      <c r="G1227" s="2739"/>
      <c r="H1227" s="2690"/>
      <c r="I1227" s="2757"/>
      <c r="J1227" s="2709"/>
      <c r="K1227" s="2739"/>
      <c r="L1227" s="896"/>
      <c r="M1227" s="2757"/>
      <c r="N1227" s="2687"/>
      <c r="P1227" s="621"/>
    </row>
    <row r="1228" spans="2:16" s="5" customFormat="1" ht="16.5" hidden="1" customHeight="1" x14ac:dyDescent="0.25">
      <c r="B1228" s="448"/>
      <c r="C1228" s="2521" t="s">
        <v>658</v>
      </c>
      <c r="D1228" s="2767">
        <f>SUM(D1229:D1230)</f>
        <v>1613920000</v>
      </c>
      <c r="E1228" s="2969">
        <f>D1228/D1203*100</f>
        <v>1.2512340655699927</v>
      </c>
      <c r="F1228" s="3859"/>
      <c r="G1228" s="2973"/>
      <c r="H1228" s="2695"/>
      <c r="I1228" s="2970"/>
      <c r="J1228" s="2974"/>
      <c r="K1228" s="2974"/>
      <c r="L1228" s="2695"/>
      <c r="M1228" s="2970"/>
      <c r="N1228" s="2687"/>
      <c r="P1228" s="621"/>
    </row>
    <row r="1229" spans="2:16" s="5" customFormat="1" ht="15" hidden="1" customHeight="1" x14ac:dyDescent="0.25">
      <c r="B1229" s="448"/>
      <c r="C1229" s="2524" t="s">
        <v>6708</v>
      </c>
      <c r="D1229" s="896">
        <v>587450000</v>
      </c>
      <c r="E1229" s="2967">
        <f>D1229/D1203*100</f>
        <v>0.45543611320207456</v>
      </c>
      <c r="F1229" s="4414"/>
      <c r="G1229" s="2726"/>
      <c r="H1229" s="2968"/>
      <c r="I1229" s="2726"/>
      <c r="J1229" s="2975"/>
      <c r="K1229" s="2726"/>
      <c r="L1229" s="2690"/>
      <c r="M1229" s="2757"/>
      <c r="N1229" s="2687"/>
      <c r="P1229" s="621"/>
    </row>
    <row r="1230" spans="2:16" s="5" customFormat="1" ht="15" hidden="1" customHeight="1" x14ac:dyDescent="0.25">
      <c r="B1230" s="448"/>
      <c r="C1230" s="2524" t="s">
        <v>6709</v>
      </c>
      <c r="D1230" s="896">
        <v>1026470000</v>
      </c>
      <c r="E1230" s="2967">
        <f>D1230/D1203*100</f>
        <v>0.79579795236791817</v>
      </c>
      <c r="F1230" s="4414"/>
      <c r="G1230" s="2726"/>
      <c r="H1230" s="2690"/>
      <c r="I1230" s="2757"/>
      <c r="J1230" s="2975"/>
      <c r="K1230" s="2726"/>
      <c r="L1230" s="2690"/>
      <c r="M1230" s="2757"/>
      <c r="N1230" s="2687"/>
      <c r="P1230" s="621"/>
    </row>
    <row r="1231" spans="2:16" s="5" customFormat="1" ht="9.75" hidden="1" customHeight="1" x14ac:dyDescent="0.25">
      <c r="B1231" s="448"/>
      <c r="C1231" s="2473"/>
      <c r="D1231" s="896"/>
      <c r="E1231" s="2967"/>
      <c r="F1231" s="3868"/>
      <c r="G1231" s="2726"/>
      <c r="H1231" s="2690"/>
      <c r="I1231" s="2757"/>
      <c r="J1231" s="896"/>
      <c r="K1231" s="2726"/>
      <c r="L1231" s="896"/>
      <c r="M1231" s="2757"/>
      <c r="N1231" s="2687"/>
      <c r="P1231" s="621"/>
    </row>
    <row r="1232" spans="2:16" s="5" customFormat="1" ht="19.5" hidden="1" customHeight="1" x14ac:dyDescent="0.25">
      <c r="B1232" s="448"/>
      <c r="C1232" s="2521" t="s">
        <v>1267</v>
      </c>
      <c r="D1232" s="2751">
        <f>SUM(D1233:D1234)</f>
        <v>3268750000</v>
      </c>
      <c r="E1232" s="2976">
        <f>D1232/D1203*100</f>
        <v>2.5341846881084029</v>
      </c>
      <c r="F1232" s="3860"/>
      <c r="G1232" s="2965"/>
      <c r="H1232" s="2966"/>
      <c r="I1232" s="2965"/>
      <c r="J1232" s="2978"/>
      <c r="K1232" s="2965"/>
      <c r="L1232" s="2965"/>
      <c r="M1232" s="2965"/>
      <c r="N1232" s="2687"/>
      <c r="P1232" s="621"/>
    </row>
    <row r="1233" spans="2:16" s="5" customFormat="1" ht="17.25" hidden="1" customHeight="1" x14ac:dyDescent="0.25">
      <c r="B1233" s="448"/>
      <c r="C1233" s="2524" t="s">
        <v>6712</v>
      </c>
      <c r="D1233" s="896">
        <v>2112850000</v>
      </c>
      <c r="E1233" s="2967">
        <f>D1233/D1203*100</f>
        <v>1.6380427130462223</v>
      </c>
      <c r="F1233" s="4414"/>
      <c r="G1233" s="2726"/>
      <c r="H1233" s="2968"/>
      <c r="I1233" s="2726"/>
      <c r="J1233" s="2975"/>
      <c r="K1233" s="2726"/>
      <c r="L1233" s="2726"/>
      <c r="M1233" s="2726"/>
      <c r="N1233" s="2687"/>
      <c r="P1233" s="621"/>
    </row>
    <row r="1234" spans="2:16" s="5" customFormat="1" ht="16.5" hidden="1" customHeight="1" x14ac:dyDescent="0.25">
      <c r="B1234" s="448"/>
      <c r="C1234" s="2524" t="s">
        <v>6710</v>
      </c>
      <c r="D1234" s="896">
        <v>1155900000</v>
      </c>
      <c r="E1234" s="2967">
        <f>D1234/D1203*100</f>
        <v>0.89614197506218063</v>
      </c>
      <c r="F1234" s="3862"/>
      <c r="G1234" s="2965"/>
      <c r="H1234" s="2966"/>
      <c r="I1234" s="2965"/>
      <c r="J1234" s="2981"/>
      <c r="K1234" s="2965"/>
      <c r="L1234" s="2965"/>
      <c r="M1234" s="2965"/>
      <c r="N1234" s="2687"/>
      <c r="P1234" s="621"/>
    </row>
    <row r="1235" spans="2:16" s="5" customFormat="1" ht="11.25" hidden="1" customHeight="1" x14ac:dyDescent="0.25">
      <c r="B1235" s="448"/>
      <c r="C1235" s="2527"/>
      <c r="D1235" s="898"/>
      <c r="E1235" s="2969"/>
      <c r="F1235" s="3862"/>
      <c r="G1235" s="2965"/>
      <c r="H1235" s="2966"/>
      <c r="I1235" s="2965"/>
      <c r="J1235" s="2981"/>
      <c r="K1235" s="2965"/>
      <c r="L1235" s="2965"/>
      <c r="M1235" s="2965"/>
      <c r="N1235" s="2687"/>
      <c r="P1235" s="621"/>
    </row>
    <row r="1236" spans="2:16" s="5" customFormat="1" ht="16.5" hidden="1" customHeight="1" x14ac:dyDescent="0.25">
      <c r="B1236" s="448"/>
      <c r="C1236" s="2525" t="s">
        <v>2520</v>
      </c>
      <c r="D1236" s="899">
        <f>SUM(D1237:D1237)</f>
        <v>1792732500</v>
      </c>
      <c r="E1236" s="2969">
        <f>D1236/D1203*100</f>
        <v>1.389863174416611</v>
      </c>
      <c r="F1236" s="3861"/>
      <c r="G1236" s="899"/>
      <c r="H1236" s="2695"/>
      <c r="I1236" s="2965"/>
      <c r="J1236" s="899"/>
      <c r="K1236" s="899"/>
      <c r="L1236" s="2695"/>
      <c r="M1236" s="2965"/>
      <c r="N1236" s="2687"/>
      <c r="P1236" s="621"/>
    </row>
    <row r="1237" spans="2:16" s="5" customFormat="1" ht="15" hidden="1" customHeight="1" x14ac:dyDescent="0.25">
      <c r="B1237" s="448"/>
      <c r="C1237" s="2524" t="s">
        <v>6711</v>
      </c>
      <c r="D1237" s="896">
        <v>1792732500</v>
      </c>
      <c r="E1237" s="2967">
        <f>D1237/D1203*100</f>
        <v>1.389863174416611</v>
      </c>
      <c r="F1237" s="4446"/>
      <c r="G1237" s="2726"/>
      <c r="H1237" s="2968"/>
      <c r="I1237" s="2726"/>
      <c r="J1237" s="896"/>
      <c r="K1237" s="2726"/>
      <c r="L1237" s="2690"/>
      <c r="M1237" s="2757"/>
      <c r="N1237" s="2687"/>
      <c r="P1237" s="621"/>
    </row>
    <row r="1238" spans="2:16" s="5" customFormat="1" ht="12" hidden="1" customHeight="1" x14ac:dyDescent="0.25">
      <c r="B1238" s="448"/>
      <c r="C1238" s="4181"/>
      <c r="D1238" s="2709"/>
      <c r="E1238" s="2985"/>
      <c r="F1238" s="4418"/>
      <c r="G1238" s="2739"/>
      <c r="H1238" s="2710"/>
      <c r="I1238" s="2742"/>
      <c r="J1238" s="2706"/>
      <c r="K1238" s="2739"/>
      <c r="L1238" s="2709"/>
      <c r="M1238" s="2742"/>
      <c r="N1238" s="2687"/>
      <c r="P1238" s="621"/>
    </row>
    <row r="1239" spans="2:16" s="5" customFormat="1" ht="17.25" hidden="1" customHeight="1" x14ac:dyDescent="0.25">
      <c r="B1239" s="453"/>
      <c r="C1239" s="2530" t="s">
        <v>398</v>
      </c>
      <c r="D1239" s="2744">
        <f>D1240+D1243+D1247+D1250+D1263+D1266+D1269+D1274+D1278+D1285+D1290+D1293+D1297+D1300</f>
        <v>10965047510</v>
      </c>
      <c r="E1239" s="2670">
        <f>D1239/D1203*100</f>
        <v>8.5009424104698041</v>
      </c>
      <c r="F1239" s="3863"/>
      <c r="G1239" s="2986"/>
      <c r="H1239" s="2672"/>
      <c r="I1239" s="2987"/>
      <c r="J1239" s="2988"/>
      <c r="K1239" s="2988"/>
      <c r="L1239" s="2672"/>
      <c r="M1239" s="2987"/>
      <c r="N1239" s="2687"/>
      <c r="P1239" s="621"/>
    </row>
    <row r="1240" spans="2:16" s="5" customFormat="1" ht="19.5" hidden="1" customHeight="1" x14ac:dyDescent="0.25">
      <c r="B1240" s="448"/>
      <c r="C1240" s="2521" t="s">
        <v>2126</v>
      </c>
      <c r="D1240" s="2751">
        <f>D1241</f>
        <v>11000000</v>
      </c>
      <c r="E1240" s="2677">
        <f>D1240/D1203*100</f>
        <v>8.528040250613364E-3</v>
      </c>
      <c r="F1240" s="3860"/>
      <c r="G1240" s="2989"/>
      <c r="H1240" s="2990"/>
      <c r="I1240" s="2989"/>
      <c r="J1240" s="2978"/>
      <c r="K1240" s="2989"/>
      <c r="L1240" s="2990"/>
      <c r="M1240" s="2989"/>
      <c r="N1240" s="2687"/>
      <c r="P1240" s="621"/>
    </row>
    <row r="1241" spans="2:16" s="5" customFormat="1" ht="15.75" hidden="1" customHeight="1" x14ac:dyDescent="0.25">
      <c r="B1241" s="448"/>
      <c r="C1241" s="2524" t="s">
        <v>6713</v>
      </c>
      <c r="D1241" s="896">
        <v>11000000</v>
      </c>
      <c r="E1241" s="2683">
        <f>D1241/D1203*100</f>
        <v>8.528040250613364E-3</v>
      </c>
      <c r="F1241" s="4414"/>
      <c r="G1241" s="2726"/>
      <c r="H1241" s="2968"/>
      <c r="I1241" s="2726"/>
      <c r="J1241" s="2975"/>
      <c r="K1241" s="2726"/>
      <c r="L1241" s="2968"/>
      <c r="M1241" s="2726"/>
      <c r="N1241" s="2687"/>
      <c r="P1241" s="621"/>
    </row>
    <row r="1242" spans="2:16" s="5" customFormat="1" ht="11.25" hidden="1" customHeight="1" x14ac:dyDescent="0.25">
      <c r="B1242" s="448"/>
      <c r="C1242" s="2527"/>
      <c r="D1242" s="898"/>
      <c r="E1242" s="2677"/>
      <c r="F1242" s="3862"/>
      <c r="G1242" s="2726"/>
      <c r="H1242" s="2690"/>
      <c r="I1242" s="2757"/>
      <c r="J1242" s="2981"/>
      <c r="K1242" s="2726"/>
      <c r="L1242" s="896"/>
      <c r="M1242" s="2757"/>
      <c r="N1242" s="2687"/>
      <c r="P1242" s="621"/>
    </row>
    <row r="1243" spans="2:16" s="5" customFormat="1" ht="18" hidden="1" customHeight="1" x14ac:dyDescent="0.25">
      <c r="B1243" s="448"/>
      <c r="C1243" s="2521" t="s">
        <v>678</v>
      </c>
      <c r="D1243" s="899">
        <f>D1244+D1245</f>
        <v>299612828</v>
      </c>
      <c r="E1243" s="2677">
        <f>D1243/D1203*100</f>
        <v>0.23228275061673623</v>
      </c>
      <c r="F1243" s="3862"/>
      <c r="G1243" s="2982"/>
      <c r="H1243" s="2695"/>
      <c r="I1243" s="2970"/>
      <c r="J1243" s="2983"/>
      <c r="K1243" s="2983"/>
      <c r="L1243" s="2695"/>
      <c r="M1243" s="2970"/>
      <c r="N1243" s="2687"/>
      <c r="P1243" s="621"/>
    </row>
    <row r="1244" spans="2:16" s="5" customFormat="1" ht="15" hidden="1" customHeight="1" x14ac:dyDescent="0.25">
      <c r="B1244" s="448"/>
      <c r="C1244" s="2524" t="s">
        <v>6714</v>
      </c>
      <c r="D1244" s="896">
        <v>195200000</v>
      </c>
      <c r="E1244" s="2683">
        <f>D1244/D1203*100</f>
        <v>0.15133395062906624</v>
      </c>
      <c r="F1244" s="4414"/>
      <c r="G1244" s="2726"/>
      <c r="H1244" s="2968"/>
      <c r="I1244" s="2726"/>
      <c r="J1244" s="2975"/>
      <c r="K1244" s="2975"/>
      <c r="L1244" s="2690"/>
      <c r="M1244" s="2757"/>
      <c r="N1244" s="2687"/>
      <c r="P1244" s="621"/>
    </row>
    <row r="1245" spans="2:16" s="5" customFormat="1" ht="15" hidden="1" customHeight="1" x14ac:dyDescent="0.25">
      <c r="B1245" s="448"/>
      <c r="C1245" s="2524" t="s">
        <v>6715</v>
      </c>
      <c r="D1245" s="896">
        <v>104412828</v>
      </c>
      <c r="E1245" s="2683">
        <f>D1245/D1203*100</f>
        <v>8.0948799987670003E-2</v>
      </c>
      <c r="F1245" s="4414"/>
      <c r="G1245" s="2726"/>
      <c r="H1245" s="2968"/>
      <c r="I1245" s="2726"/>
      <c r="J1245" s="2975"/>
      <c r="K1245" s="2975"/>
      <c r="L1245" s="2690"/>
      <c r="M1245" s="2757"/>
      <c r="N1245" s="2687"/>
      <c r="P1245" s="621"/>
    </row>
    <row r="1246" spans="2:16" s="5" customFormat="1" ht="12" hidden="1" customHeight="1" x14ac:dyDescent="0.25">
      <c r="B1246" s="448"/>
      <c r="C1246" s="2524"/>
      <c r="D1246" s="896"/>
      <c r="E1246" s="2967"/>
      <c r="F1246" s="4414"/>
      <c r="G1246" s="2726"/>
      <c r="H1246" s="2690"/>
      <c r="I1246" s="2757"/>
      <c r="J1246" s="2975"/>
      <c r="K1246" s="2726"/>
      <c r="L1246" s="896"/>
      <c r="M1246" s="2757"/>
      <c r="N1246" s="2687"/>
      <c r="P1246" s="621"/>
    </row>
    <row r="1247" spans="2:16" s="5" customFormat="1" ht="16.5" hidden="1" customHeight="1" x14ac:dyDescent="0.25">
      <c r="B1247" s="448"/>
      <c r="C1247" s="2525" t="s">
        <v>680</v>
      </c>
      <c r="D1247" s="899">
        <f>SUM(D1248)</f>
        <v>1539364000</v>
      </c>
      <c r="E1247" s="2677">
        <f>D1247/D1203*100</f>
        <v>1.1934325593041082</v>
      </c>
      <c r="F1247" s="3862"/>
      <c r="G1247" s="2982"/>
      <c r="H1247" s="2695"/>
      <c r="I1247" s="2970"/>
      <c r="J1247" s="2983"/>
      <c r="K1247" s="2983"/>
      <c r="L1247" s="2695"/>
      <c r="M1247" s="2970"/>
      <c r="N1247" s="2687"/>
      <c r="P1247" s="621"/>
    </row>
    <row r="1248" spans="2:16" s="5" customFormat="1" ht="17.25" hidden="1" customHeight="1" x14ac:dyDescent="0.25">
      <c r="B1248" s="448"/>
      <c r="C1248" s="2524" t="s">
        <v>6716</v>
      </c>
      <c r="D1248" s="896">
        <v>1539364000</v>
      </c>
      <c r="E1248" s="2683">
        <f>D1248/D1203*100</f>
        <v>1.1934325593041082</v>
      </c>
      <c r="F1248" s="4414"/>
      <c r="G1248" s="2726"/>
      <c r="H1248" s="2968"/>
      <c r="I1248" s="2726"/>
      <c r="J1248" s="2975"/>
      <c r="K1248" s="2726"/>
      <c r="L1248" s="2968"/>
      <c r="M1248" s="2726"/>
      <c r="N1248" s="2687"/>
      <c r="P1248" s="621"/>
    </row>
    <row r="1249" spans="2:16" s="5" customFormat="1" ht="9.75" hidden="1" customHeight="1" x14ac:dyDescent="0.25">
      <c r="B1249" s="448"/>
      <c r="C1249" s="2531"/>
      <c r="D1249" s="2755"/>
      <c r="E1249" s="2967"/>
      <c r="F1249" s="3860"/>
      <c r="G1249" s="2726"/>
      <c r="H1249" s="2690"/>
      <c r="I1249" s="2757"/>
      <c r="J1249" s="2992"/>
      <c r="K1249" s="2726"/>
      <c r="L1249" s="896"/>
      <c r="M1249" s="2757"/>
      <c r="N1249" s="2687"/>
      <c r="P1249" s="621"/>
    </row>
    <row r="1250" spans="2:16" s="5" customFormat="1" ht="15.75" hidden="1" customHeight="1" x14ac:dyDescent="0.25">
      <c r="B1250" s="448"/>
      <c r="C1250" s="2525" t="s">
        <v>682</v>
      </c>
      <c r="D1250" s="899">
        <f>SUM(D1251:D1261)</f>
        <v>3873376926</v>
      </c>
      <c r="E1250" s="2677">
        <f>D1250/D1203*100</f>
        <v>3.0029376664295513</v>
      </c>
      <c r="F1250" s="3862"/>
      <c r="G1250" s="2982"/>
      <c r="H1250" s="2695"/>
      <c r="I1250" s="2970"/>
      <c r="J1250" s="2983"/>
      <c r="K1250" s="2983"/>
      <c r="L1250" s="2695"/>
      <c r="M1250" s="2970"/>
      <c r="N1250" s="2687"/>
      <c r="P1250" s="621"/>
    </row>
    <row r="1251" spans="2:16" s="5" customFormat="1" ht="15.75" hidden="1" customHeight="1" x14ac:dyDescent="0.25">
      <c r="B1251" s="448"/>
      <c r="C1251" s="2526" t="s">
        <v>6717</v>
      </c>
      <c r="D1251" s="940">
        <v>665800000</v>
      </c>
      <c r="E1251" s="2683">
        <f>D1251/D1203*100</f>
        <v>0.51617901807803435</v>
      </c>
      <c r="F1251" s="4450"/>
      <c r="G1251" s="2726"/>
      <c r="H1251" s="2690"/>
      <c r="I1251" s="2757"/>
      <c r="J1251" s="940"/>
      <c r="K1251" s="2726"/>
      <c r="L1251" s="2690"/>
      <c r="M1251" s="2757"/>
      <c r="N1251" s="2687"/>
      <c r="P1251" s="621"/>
    </row>
    <row r="1252" spans="2:16" s="5" customFormat="1" ht="14.25" hidden="1" customHeight="1" x14ac:dyDescent="0.25">
      <c r="B1252" s="448"/>
      <c r="C1252" s="2524" t="s">
        <v>6718</v>
      </c>
      <c r="D1252" s="896">
        <v>501100000</v>
      </c>
      <c r="E1252" s="2683">
        <f>D1252/D1203*100</f>
        <v>0.38849099723475966</v>
      </c>
      <c r="F1252" s="4414"/>
      <c r="G1252" s="2726"/>
      <c r="H1252" s="2690"/>
      <c r="I1252" s="2757"/>
      <c r="J1252" s="2975"/>
      <c r="K1252" s="2726"/>
      <c r="L1252" s="896"/>
      <c r="M1252" s="2757"/>
      <c r="N1252" s="2687"/>
      <c r="P1252" s="621"/>
    </row>
    <row r="1253" spans="2:16" s="5" customFormat="1" ht="15.75" hidden="1" customHeight="1" x14ac:dyDescent="0.25">
      <c r="B1253" s="448"/>
      <c r="C1253" s="2526" t="s">
        <v>6719</v>
      </c>
      <c r="D1253" s="2769">
        <v>321430000</v>
      </c>
      <c r="E1253" s="2683">
        <f>D1253/D1203*100</f>
        <v>0.24919708888678668</v>
      </c>
      <c r="F1253" s="4426"/>
      <c r="G1253" s="2726"/>
      <c r="H1253" s="2690"/>
      <c r="I1253" s="2757"/>
      <c r="J1253" s="2863"/>
      <c r="K1253" s="2754"/>
      <c r="L1253" s="896"/>
      <c r="M1253" s="2757"/>
      <c r="N1253" s="2687"/>
      <c r="P1253" s="621"/>
    </row>
    <row r="1254" spans="2:16" s="5" customFormat="1" ht="15.75" hidden="1" customHeight="1" x14ac:dyDescent="0.25">
      <c r="B1254" s="448"/>
      <c r="C1254" s="2524" t="s">
        <v>6720</v>
      </c>
      <c r="D1254" s="896">
        <v>312347906</v>
      </c>
      <c r="E1254" s="2683">
        <f>D1254/D1203*100</f>
        <v>0.24215595586934541</v>
      </c>
      <c r="F1254" s="4414"/>
      <c r="G1254" s="2726"/>
      <c r="H1254" s="2690"/>
      <c r="I1254" s="2757"/>
      <c r="J1254" s="2975"/>
      <c r="K1254" s="2726"/>
      <c r="L1254" s="896"/>
      <c r="M1254" s="2757"/>
      <c r="N1254" s="2687"/>
      <c r="P1254" s="621"/>
    </row>
    <row r="1255" spans="2:16" s="5" customFormat="1" ht="15" hidden="1" customHeight="1" x14ac:dyDescent="0.25">
      <c r="B1255" s="448"/>
      <c r="C1255" s="2524" t="s">
        <v>6721</v>
      </c>
      <c r="D1255" s="896">
        <v>230546400</v>
      </c>
      <c r="E1255" s="2683">
        <f>D1255/D1203*100</f>
        <v>0.17873717989400079</v>
      </c>
      <c r="F1255" s="4414"/>
      <c r="G1255" s="2726"/>
      <c r="H1255" s="2690"/>
      <c r="I1255" s="2757"/>
      <c r="J1255" s="2975"/>
      <c r="K1255" s="2726"/>
      <c r="L1255" s="896"/>
      <c r="M1255" s="2757"/>
      <c r="N1255" s="2687"/>
      <c r="P1255" s="621"/>
    </row>
    <row r="1256" spans="2:16" s="5" customFormat="1" ht="15.75" hidden="1" customHeight="1" x14ac:dyDescent="0.25">
      <c r="B1256" s="448"/>
      <c r="C1256" s="2524" t="s">
        <v>6722</v>
      </c>
      <c r="D1256" s="896">
        <v>261720000</v>
      </c>
      <c r="E1256" s="2683">
        <f>D1256/D1203*100</f>
        <v>0.2029053358536845</v>
      </c>
      <c r="F1256" s="4414"/>
      <c r="G1256" s="2726"/>
      <c r="H1256" s="2690"/>
      <c r="I1256" s="2757"/>
      <c r="J1256" s="2975"/>
      <c r="K1256" s="2726"/>
      <c r="L1256" s="896"/>
      <c r="M1256" s="2757"/>
      <c r="N1256" s="2687"/>
      <c r="P1256" s="621"/>
    </row>
    <row r="1257" spans="2:16" s="5" customFormat="1" ht="15" hidden="1" customHeight="1" x14ac:dyDescent="0.25">
      <c r="B1257" s="448"/>
      <c r="C1257" s="2524" t="s">
        <v>6723</v>
      </c>
      <c r="D1257" s="896">
        <v>280010000</v>
      </c>
      <c r="E1257" s="2683">
        <f>D1257/D1203*100</f>
        <v>0.21708514096129528</v>
      </c>
      <c r="F1257" s="4414"/>
      <c r="G1257" s="2726"/>
      <c r="H1257" s="2690"/>
      <c r="I1257" s="2757"/>
      <c r="J1257" s="2975"/>
      <c r="K1257" s="2726"/>
      <c r="L1257" s="896"/>
      <c r="M1257" s="2757"/>
      <c r="N1257" s="2687"/>
      <c r="P1257" s="621"/>
    </row>
    <row r="1258" spans="2:16" s="5" customFormat="1" ht="14.25" hidden="1" customHeight="1" x14ac:dyDescent="0.25">
      <c r="B1258" s="448"/>
      <c r="C1258" s="2524" t="s">
        <v>6724</v>
      </c>
      <c r="D1258" s="896">
        <v>250893832</v>
      </c>
      <c r="E1258" s="2683">
        <f>D1258/D1203*100</f>
        <v>0.19451206344787519</v>
      </c>
      <c r="F1258" s="4414"/>
      <c r="G1258" s="2726"/>
      <c r="H1258" s="2690"/>
      <c r="I1258" s="2757"/>
      <c r="J1258" s="2975"/>
      <c r="K1258" s="2726"/>
      <c r="L1258" s="896"/>
      <c r="M1258" s="2757"/>
      <c r="N1258" s="2687"/>
      <c r="P1258" s="621"/>
    </row>
    <row r="1259" spans="2:16" s="5" customFormat="1" ht="15.75" hidden="1" customHeight="1" x14ac:dyDescent="0.25">
      <c r="B1259" s="448"/>
      <c r="C1259" s="2524" t="s">
        <v>6725</v>
      </c>
      <c r="D1259" s="896">
        <v>267719388</v>
      </c>
      <c r="E1259" s="2683">
        <f>D1259/D1203*100</f>
        <v>0.20755651970305239</v>
      </c>
      <c r="F1259" s="4414"/>
      <c r="G1259" s="2726"/>
      <c r="H1259" s="2690"/>
      <c r="I1259" s="2757"/>
      <c r="J1259" s="2975"/>
      <c r="K1259" s="2726"/>
      <c r="L1259" s="896"/>
      <c r="M1259" s="2757"/>
      <c r="N1259" s="2687"/>
      <c r="P1259" s="621"/>
    </row>
    <row r="1260" spans="2:16" s="5" customFormat="1" ht="13.5" hidden="1" customHeight="1" x14ac:dyDescent="0.25">
      <c r="B1260" s="448"/>
      <c r="C1260" s="2524" t="s">
        <v>6726</v>
      </c>
      <c r="D1260" s="896">
        <v>394008400</v>
      </c>
      <c r="E1260" s="2683">
        <f>D1260/D1203*100</f>
        <v>0.30546540857088822</v>
      </c>
      <c r="F1260" s="3862"/>
      <c r="G1260" s="2726"/>
      <c r="H1260" s="2690"/>
      <c r="I1260" s="2757"/>
      <c r="J1260" s="2981"/>
      <c r="K1260" s="2726"/>
      <c r="L1260" s="896"/>
      <c r="M1260" s="2757"/>
      <c r="N1260" s="2687"/>
      <c r="P1260" s="621"/>
    </row>
    <row r="1261" spans="2:16" s="5" customFormat="1" ht="15" hidden="1" customHeight="1" x14ac:dyDescent="0.25">
      <c r="B1261" s="448"/>
      <c r="C1261" s="2524" t="s">
        <v>6727</v>
      </c>
      <c r="D1261" s="896">
        <v>387801000</v>
      </c>
      <c r="E1261" s="2683">
        <f>D1261/D1203*100</f>
        <v>0.30065295792982849</v>
      </c>
      <c r="F1261" s="3862"/>
      <c r="G1261" s="2726"/>
      <c r="H1261" s="2690"/>
      <c r="I1261" s="2757"/>
      <c r="J1261" s="2981"/>
      <c r="K1261" s="2726"/>
      <c r="L1261" s="896"/>
      <c r="M1261" s="2757"/>
      <c r="N1261" s="2687"/>
      <c r="P1261" s="621"/>
    </row>
    <row r="1262" spans="2:16" s="5" customFormat="1" ht="12" hidden="1" customHeight="1" x14ac:dyDescent="0.25">
      <c r="B1262" s="448"/>
      <c r="C1262" s="2528"/>
      <c r="D1262" s="2755"/>
      <c r="E1262" s="2993"/>
      <c r="F1262" s="3860"/>
      <c r="G1262" s="2726"/>
      <c r="H1262" s="2690"/>
      <c r="I1262" s="2757"/>
      <c r="J1262" s="2981"/>
      <c r="K1262" s="2726"/>
      <c r="L1262" s="896"/>
      <c r="M1262" s="2757"/>
      <c r="N1262" s="2687"/>
      <c r="P1262" s="621"/>
    </row>
    <row r="1263" spans="2:16" s="5" customFormat="1" ht="15.75" hidden="1" customHeight="1" x14ac:dyDescent="0.25">
      <c r="B1263" s="448"/>
      <c r="C1263" s="2525" t="s">
        <v>696</v>
      </c>
      <c r="D1263" s="899">
        <f>D1264</f>
        <v>50800000</v>
      </c>
      <c r="E1263" s="2969">
        <f>D1263/D1203*100</f>
        <v>3.9384040430105356E-2</v>
      </c>
      <c r="F1263" s="3862"/>
      <c r="G1263" s="2965"/>
      <c r="H1263" s="2966"/>
      <c r="I1263" s="2965"/>
      <c r="J1263" s="2983"/>
      <c r="K1263" s="2983"/>
      <c r="L1263" s="2695"/>
      <c r="M1263" s="2695"/>
      <c r="N1263" s="2687"/>
      <c r="P1263" s="621"/>
    </row>
    <row r="1264" spans="2:16" s="5" customFormat="1" ht="30" hidden="1" customHeight="1" x14ac:dyDescent="0.25">
      <c r="B1264" s="448"/>
      <c r="C1264" s="2524" t="s">
        <v>6728</v>
      </c>
      <c r="D1264" s="896">
        <v>50800000</v>
      </c>
      <c r="E1264" s="2683">
        <f>D1264/D1203*100</f>
        <v>3.9384040430105356E-2</v>
      </c>
      <c r="F1264" s="4414"/>
      <c r="G1264" s="2726"/>
      <c r="H1264" s="2968"/>
      <c r="I1264" s="2726"/>
      <c r="J1264" s="2975"/>
      <c r="K1264" s="2726"/>
      <c r="L1264" s="2690"/>
      <c r="M1264" s="2690"/>
      <c r="N1264" s="2687"/>
      <c r="P1264" s="621"/>
    </row>
    <row r="1265" spans="2:16" s="5" customFormat="1" ht="12" hidden="1" customHeight="1" x14ac:dyDescent="0.25">
      <c r="B1265" s="448"/>
      <c r="C1265" s="2527"/>
      <c r="D1265" s="898"/>
      <c r="E1265" s="2967"/>
      <c r="F1265" s="3862"/>
      <c r="G1265" s="2726"/>
      <c r="H1265" s="2690"/>
      <c r="I1265" s="2757"/>
      <c r="J1265" s="2981"/>
      <c r="K1265" s="2726"/>
      <c r="L1265" s="896"/>
      <c r="M1265" s="2757"/>
      <c r="N1265" s="2687"/>
      <c r="P1265" s="621"/>
    </row>
    <row r="1266" spans="2:16" s="5" customFormat="1" ht="18" hidden="1" customHeight="1" x14ac:dyDescent="0.25">
      <c r="B1266" s="448"/>
      <c r="C1266" s="2521" t="s">
        <v>698</v>
      </c>
      <c r="D1266" s="2751">
        <f>D1267</f>
        <v>70100000</v>
      </c>
      <c r="E1266" s="2677">
        <f>D1266/D1203*100</f>
        <v>5.4346874687999702E-2</v>
      </c>
      <c r="F1266" s="3860"/>
      <c r="G1266" s="2977"/>
      <c r="H1266" s="2695"/>
      <c r="I1266" s="2970"/>
      <c r="J1266" s="2978"/>
      <c r="K1266" s="2978"/>
      <c r="L1266" s="2695"/>
      <c r="M1266" s="2970"/>
      <c r="N1266" s="2687"/>
      <c r="P1266" s="621"/>
    </row>
    <row r="1267" spans="2:16" s="5" customFormat="1" ht="16.5" hidden="1" customHeight="1" x14ac:dyDescent="0.25">
      <c r="B1267" s="448"/>
      <c r="C1267" s="2524" t="s">
        <v>6729</v>
      </c>
      <c r="D1267" s="896">
        <v>70100000</v>
      </c>
      <c r="E1267" s="2683">
        <f>D1267/D1203*100</f>
        <v>5.4346874687999702E-2</v>
      </c>
      <c r="F1267" s="4449"/>
      <c r="G1267" s="2726"/>
      <c r="H1267" s="2968"/>
      <c r="I1267" s="2726"/>
      <c r="J1267" s="896"/>
      <c r="K1267" s="2726"/>
      <c r="L1267" s="2690"/>
      <c r="M1267" s="2757"/>
      <c r="N1267" s="2687"/>
      <c r="P1267" s="621"/>
    </row>
    <row r="1268" spans="2:16" s="5" customFormat="1" ht="12" hidden="1" customHeight="1" x14ac:dyDescent="0.25">
      <c r="B1268" s="448"/>
      <c r="C1268" s="2527"/>
      <c r="D1268" s="898"/>
      <c r="E1268" s="2967"/>
      <c r="F1268" s="3862"/>
      <c r="G1268" s="2726"/>
      <c r="H1268" s="2690"/>
      <c r="I1268" s="2757"/>
      <c r="J1268" s="2981"/>
      <c r="K1268" s="2726"/>
      <c r="L1268" s="896"/>
      <c r="M1268" s="2757"/>
      <c r="N1268" s="2687"/>
      <c r="P1268" s="621"/>
    </row>
    <row r="1269" spans="2:16" s="5" customFormat="1" ht="21" hidden="1" customHeight="1" x14ac:dyDescent="0.25">
      <c r="B1269" s="448"/>
      <c r="C1269" s="2525" t="s">
        <v>700</v>
      </c>
      <c r="D1269" s="899">
        <f>SUM(D1270:D1272)</f>
        <v>248750000</v>
      </c>
      <c r="E1269" s="2677">
        <f>D1269/D1203*100</f>
        <v>0.19285000112182493</v>
      </c>
      <c r="F1269" s="3862"/>
      <c r="G1269" s="2965"/>
      <c r="H1269" s="2966"/>
      <c r="I1269" s="2965"/>
      <c r="J1269" s="2983"/>
      <c r="K1269" s="2983"/>
      <c r="L1269" s="2695"/>
      <c r="M1269" s="2970"/>
      <c r="N1269" s="2687"/>
      <c r="P1269" s="621"/>
    </row>
    <row r="1270" spans="2:16" s="5" customFormat="1" ht="15" hidden="1" customHeight="1" x14ac:dyDescent="0.25">
      <c r="B1270" s="448"/>
      <c r="C1270" s="2526" t="s">
        <v>6730</v>
      </c>
      <c r="D1270" s="2769">
        <v>69750000</v>
      </c>
      <c r="E1270" s="2993">
        <f>D1270/D1203*100</f>
        <v>5.4075527952752923E-2</v>
      </c>
      <c r="F1270" s="4451"/>
      <c r="G1270" s="2739"/>
      <c r="H1270" s="2968"/>
      <c r="I1270" s="2726"/>
      <c r="J1270" s="2769"/>
      <c r="K1270" s="2726"/>
      <c r="L1270" s="2690"/>
      <c r="M1270" s="2757"/>
      <c r="N1270" s="2687"/>
      <c r="P1270" s="621"/>
    </row>
    <row r="1271" spans="2:16" s="5" customFormat="1" ht="18" hidden="1" customHeight="1" x14ac:dyDescent="0.25">
      <c r="B1271" s="448"/>
      <c r="C1271" s="2524" t="s">
        <v>6731</v>
      </c>
      <c r="D1271" s="896">
        <v>60950000</v>
      </c>
      <c r="E1271" s="2993">
        <f>D1271/D1203*100</f>
        <v>4.7253095752262234E-2</v>
      </c>
      <c r="F1271" s="4449"/>
      <c r="G1271" s="2726"/>
      <c r="H1271" s="2968"/>
      <c r="I1271" s="2726"/>
      <c r="J1271" s="896"/>
      <c r="K1271" s="2726"/>
      <c r="L1271" s="2690"/>
      <c r="M1271" s="2757"/>
      <c r="N1271" s="2687"/>
      <c r="P1271" s="621"/>
    </row>
    <row r="1272" spans="2:16" s="5" customFormat="1" ht="16.5" hidden="1" customHeight="1" x14ac:dyDescent="0.25">
      <c r="B1272" s="448"/>
      <c r="C1272" s="2526" t="s">
        <v>6732</v>
      </c>
      <c r="D1272" s="2769">
        <v>118050000</v>
      </c>
      <c r="E1272" s="2993">
        <f>D1272/D1203*100</f>
        <v>9.1521377416809782E-2</v>
      </c>
      <c r="F1272" s="4451"/>
      <c r="G1272" s="2762"/>
      <c r="H1272" s="2968"/>
      <c r="I1272" s="2726"/>
      <c r="J1272" s="2769"/>
      <c r="K1272" s="2726"/>
      <c r="L1272" s="2690"/>
      <c r="M1272" s="2757"/>
      <c r="N1272" s="2687"/>
      <c r="P1272" s="621"/>
    </row>
    <row r="1273" spans="2:16" s="5" customFormat="1" ht="9" hidden="1" customHeight="1" x14ac:dyDescent="0.25">
      <c r="B1273" s="448"/>
      <c r="C1273" s="2527"/>
      <c r="D1273" s="898"/>
      <c r="E1273" s="2967"/>
      <c r="F1273" s="3862"/>
      <c r="G1273" s="2726"/>
      <c r="H1273" s="2690"/>
      <c r="I1273" s="2757"/>
      <c r="J1273" s="2981"/>
      <c r="K1273" s="2726"/>
      <c r="L1273" s="896"/>
      <c r="M1273" s="2757"/>
      <c r="N1273" s="2687"/>
      <c r="P1273" s="621"/>
    </row>
    <row r="1274" spans="2:16" s="5" customFormat="1" ht="15.75" hidden="1" customHeight="1" x14ac:dyDescent="0.25">
      <c r="B1274" s="448"/>
      <c r="C1274" s="2525" t="s">
        <v>4168</v>
      </c>
      <c r="D1274" s="899">
        <f>D1275+D1276</f>
        <v>211950000</v>
      </c>
      <c r="E1274" s="2677">
        <f>D1274/D1203*100</f>
        <v>0.16431983010159115</v>
      </c>
      <c r="F1274" s="3862"/>
      <c r="G1274" s="2982"/>
      <c r="H1274" s="2695"/>
      <c r="I1274" s="2970"/>
      <c r="J1274" s="2983"/>
      <c r="K1274" s="2983"/>
      <c r="L1274" s="2695"/>
      <c r="M1274" s="2970"/>
      <c r="N1274" s="2687"/>
      <c r="P1274" s="621"/>
    </row>
    <row r="1275" spans="2:16" s="5" customFormat="1" ht="18.75" hidden="1" customHeight="1" x14ac:dyDescent="0.25">
      <c r="B1275" s="448"/>
      <c r="C1275" s="2524" t="s">
        <v>6733</v>
      </c>
      <c r="D1275" s="896">
        <v>144650000</v>
      </c>
      <c r="E1275" s="2683">
        <f>D1275/D1203*100</f>
        <v>0.11214372929556574</v>
      </c>
      <c r="F1275" s="4449"/>
      <c r="G1275" s="2726"/>
      <c r="H1275" s="2690"/>
      <c r="I1275" s="2757"/>
      <c r="J1275" s="896"/>
      <c r="K1275" s="2726"/>
      <c r="L1275" s="2690"/>
      <c r="M1275" s="2757"/>
      <c r="N1275" s="2687"/>
      <c r="P1275" s="621"/>
    </row>
    <row r="1276" spans="2:16" s="5" customFormat="1" ht="17.25" hidden="1" customHeight="1" x14ac:dyDescent="0.25">
      <c r="B1276" s="448"/>
      <c r="C1276" s="2526" t="s">
        <v>6734</v>
      </c>
      <c r="D1276" s="2769">
        <v>67300000</v>
      </c>
      <c r="E1276" s="2683">
        <f>D1276/D1203*100</f>
        <v>5.2176100806025402E-2</v>
      </c>
      <c r="F1276" s="4426"/>
      <c r="G1276" s="2726"/>
      <c r="H1276" s="2968"/>
      <c r="I1276" s="2726"/>
      <c r="J1276" s="2863"/>
      <c r="K1276" s="2726"/>
      <c r="L1276" s="2690"/>
      <c r="M1276" s="2757"/>
      <c r="N1276" s="2687"/>
      <c r="P1276" s="621"/>
    </row>
    <row r="1277" spans="2:16" s="5" customFormat="1" ht="11.25" hidden="1" customHeight="1" x14ac:dyDescent="0.25">
      <c r="B1277" s="448"/>
      <c r="C1277" s="2527"/>
      <c r="D1277" s="898"/>
      <c r="E1277" s="2967"/>
      <c r="F1277" s="3862"/>
      <c r="G1277" s="2726"/>
      <c r="H1277" s="2690"/>
      <c r="I1277" s="2757"/>
      <c r="J1277" s="2981"/>
      <c r="K1277" s="2726"/>
      <c r="L1277" s="896"/>
      <c r="M1277" s="2757"/>
      <c r="N1277" s="2687"/>
      <c r="P1277" s="621"/>
    </row>
    <row r="1278" spans="2:16" s="5" customFormat="1" ht="18" hidden="1" customHeight="1" x14ac:dyDescent="0.25">
      <c r="B1278" s="448"/>
      <c r="C1278" s="2521" t="s">
        <v>4169</v>
      </c>
      <c r="D1278" s="2751">
        <f>SUM(D1279:D1283)</f>
        <v>611452128</v>
      </c>
      <c r="E1278" s="2677">
        <f>D1278/D1203*100</f>
        <v>0.4740443962642904</v>
      </c>
      <c r="F1278" s="3860"/>
      <c r="G1278" s="2977"/>
      <c r="H1278" s="2695"/>
      <c r="I1278" s="2970"/>
      <c r="J1278" s="2978"/>
      <c r="K1278" s="2978"/>
      <c r="L1278" s="2695"/>
      <c r="M1278" s="2970"/>
      <c r="N1278" s="2687"/>
      <c r="P1278" s="621"/>
    </row>
    <row r="1279" spans="2:16" s="5" customFormat="1" ht="17.25" hidden="1" customHeight="1" x14ac:dyDescent="0.25">
      <c r="B1279" s="448"/>
      <c r="C1279" s="2524" t="s">
        <v>6735</v>
      </c>
      <c r="D1279" s="896">
        <v>65000000</v>
      </c>
      <c r="E1279" s="2683">
        <f>D1279/D1203*100</f>
        <v>5.0392965117260789E-2</v>
      </c>
      <c r="F1279" s="4414"/>
      <c r="G1279" s="2726"/>
      <c r="H1279" s="2690"/>
      <c r="I1279" s="2757"/>
      <c r="J1279" s="2975"/>
      <c r="K1279" s="2726"/>
      <c r="L1279" s="2690"/>
      <c r="M1279" s="2757"/>
      <c r="N1279" s="2687"/>
      <c r="P1279" s="621"/>
    </row>
    <row r="1280" spans="2:16" s="5" customFormat="1" ht="17.25" hidden="1" customHeight="1" x14ac:dyDescent="0.25">
      <c r="B1280" s="448"/>
      <c r="C1280" s="2524" t="s">
        <v>6736</v>
      </c>
      <c r="D1280" s="896">
        <v>170692128</v>
      </c>
      <c r="E1280" s="2683">
        <f>D1280/D1203*100</f>
        <v>0.13233357618607713</v>
      </c>
      <c r="F1280" s="4414"/>
      <c r="G1280" s="2726"/>
      <c r="H1280" s="2690"/>
      <c r="I1280" s="2757"/>
      <c r="J1280" s="2975"/>
      <c r="K1280" s="2726"/>
      <c r="L1280" s="2690"/>
      <c r="M1280" s="2757"/>
      <c r="N1280" s="2687"/>
      <c r="P1280" s="621"/>
    </row>
    <row r="1281" spans="2:16" s="5" customFormat="1" ht="17.25" hidden="1" customHeight="1" x14ac:dyDescent="0.25">
      <c r="B1281" s="448"/>
      <c r="C1281" s="2524" t="s">
        <v>6737</v>
      </c>
      <c r="D1281" s="896">
        <v>113200000</v>
      </c>
      <c r="E1281" s="2683">
        <f>D1281/D1203*100</f>
        <v>8.7761286942675709E-2</v>
      </c>
      <c r="F1281" s="4414"/>
      <c r="G1281" s="2726"/>
      <c r="H1281" s="2690"/>
      <c r="I1281" s="2757"/>
      <c r="J1281" s="2975"/>
      <c r="K1281" s="2726"/>
      <c r="L1281" s="2690"/>
      <c r="M1281" s="2757"/>
      <c r="N1281" s="2687"/>
      <c r="P1281" s="621"/>
    </row>
    <row r="1282" spans="2:16" s="5" customFormat="1" ht="17.25" hidden="1" customHeight="1" x14ac:dyDescent="0.25">
      <c r="B1282" s="448"/>
      <c r="C1282" s="2524" t="s">
        <v>6738</v>
      </c>
      <c r="D1282" s="896">
        <v>83200000</v>
      </c>
      <c r="E1282" s="2683">
        <f>D1282/D1203*100</f>
        <v>6.4502995350093795E-2</v>
      </c>
      <c r="F1282" s="4414"/>
      <c r="G1282" s="2726"/>
      <c r="H1282" s="2690"/>
      <c r="I1282" s="2757"/>
      <c r="J1282" s="2975"/>
      <c r="K1282" s="2726"/>
      <c r="L1282" s="2690"/>
      <c r="M1282" s="2757"/>
      <c r="N1282" s="2687"/>
      <c r="P1282" s="621"/>
    </row>
    <row r="1283" spans="2:16" s="5" customFormat="1" ht="17.25" hidden="1" customHeight="1" x14ac:dyDescent="0.25">
      <c r="B1283" s="448"/>
      <c r="C1283" s="2524" t="s">
        <v>6739</v>
      </c>
      <c r="D1283" s="896">
        <v>179360000</v>
      </c>
      <c r="E1283" s="2683">
        <f>D1283/D1203*100</f>
        <v>0.139053572668183</v>
      </c>
      <c r="F1283" s="4414"/>
      <c r="G1283" s="2726"/>
      <c r="H1283" s="2690"/>
      <c r="I1283" s="2757"/>
      <c r="J1283" s="2975"/>
      <c r="K1283" s="2726"/>
      <c r="L1283" s="2690"/>
      <c r="M1283" s="2757"/>
      <c r="N1283" s="2687"/>
      <c r="P1283" s="621"/>
    </row>
    <row r="1284" spans="2:16" s="5" customFormat="1" ht="10.5" hidden="1" customHeight="1" x14ac:dyDescent="0.25">
      <c r="B1284" s="448"/>
      <c r="C1284" s="2524"/>
      <c r="D1284" s="896"/>
      <c r="E1284" s="2683"/>
      <c r="F1284" s="4414"/>
      <c r="G1284" s="2726"/>
      <c r="H1284" s="2690"/>
      <c r="I1284" s="2757"/>
      <c r="J1284" s="2975"/>
      <c r="K1284" s="2726"/>
      <c r="L1284" s="2690"/>
      <c r="M1284" s="2757"/>
      <c r="N1284" s="2687"/>
      <c r="P1284" s="621"/>
    </row>
    <row r="1285" spans="2:16" s="5" customFormat="1" ht="17.25" hidden="1" customHeight="1" x14ac:dyDescent="0.25">
      <c r="B1285" s="448"/>
      <c r="C1285" s="2525" t="s">
        <v>6740</v>
      </c>
      <c r="D1285" s="899">
        <f>SUM(D1286:D1288)</f>
        <v>608376768</v>
      </c>
      <c r="E1285" s="2677">
        <f>D1285/D1203*100</f>
        <v>0.47166014227655167</v>
      </c>
      <c r="F1285" s="4414"/>
      <c r="G1285" s="2726"/>
      <c r="H1285" s="2690"/>
      <c r="I1285" s="2757"/>
      <c r="J1285" s="2975"/>
      <c r="K1285" s="2726"/>
      <c r="L1285" s="2690"/>
      <c r="M1285" s="2757"/>
      <c r="N1285" s="2687"/>
      <c r="P1285" s="621"/>
    </row>
    <row r="1286" spans="2:16" s="5" customFormat="1" ht="17.25" hidden="1" customHeight="1" x14ac:dyDescent="0.25">
      <c r="B1286" s="448"/>
      <c r="C1286" s="2524" t="s">
        <v>6741</v>
      </c>
      <c r="D1286" s="896">
        <v>124000000</v>
      </c>
      <c r="E1286" s="2683">
        <f>D1286/D1203*100</f>
        <v>9.6134271916005196E-2</v>
      </c>
      <c r="F1286" s="4414"/>
      <c r="G1286" s="2726"/>
      <c r="H1286" s="2690"/>
      <c r="I1286" s="2757"/>
      <c r="J1286" s="2975"/>
      <c r="K1286" s="2726"/>
      <c r="L1286" s="2690"/>
      <c r="M1286" s="2757"/>
      <c r="N1286" s="2687"/>
      <c r="P1286" s="621"/>
    </row>
    <row r="1287" spans="2:16" s="5" customFormat="1" ht="17.25" hidden="1" customHeight="1" x14ac:dyDescent="0.25">
      <c r="B1287" s="448"/>
      <c r="C1287" s="2524" t="s">
        <v>6742</v>
      </c>
      <c r="D1287" s="896">
        <v>317941128</v>
      </c>
      <c r="E1287" s="2683">
        <f>D1287/D1203*100</f>
        <v>0.24649224880994688</v>
      </c>
      <c r="F1287" s="4414"/>
      <c r="G1287" s="2726"/>
      <c r="H1287" s="2690"/>
      <c r="I1287" s="2757"/>
      <c r="J1287" s="2975"/>
      <c r="K1287" s="2726"/>
      <c r="L1287" s="2690"/>
      <c r="M1287" s="2757"/>
      <c r="N1287" s="2687"/>
      <c r="P1287" s="621"/>
    </row>
    <row r="1288" spans="2:16" s="5" customFormat="1" ht="17.25" hidden="1" customHeight="1" x14ac:dyDescent="0.25">
      <c r="B1288" s="448"/>
      <c r="C1288" s="2524" t="s">
        <v>6743</v>
      </c>
      <c r="D1288" s="896">
        <v>166435640</v>
      </c>
      <c r="E1288" s="2683">
        <f>D1288/D1203*100</f>
        <v>0.12903362155059961</v>
      </c>
      <c r="F1288" s="4414"/>
      <c r="G1288" s="2726"/>
      <c r="H1288" s="2690"/>
      <c r="I1288" s="2757"/>
      <c r="J1288" s="2975"/>
      <c r="K1288" s="2726"/>
      <c r="L1288" s="2690"/>
      <c r="M1288" s="2757"/>
      <c r="N1288" s="2687"/>
      <c r="P1288" s="621"/>
    </row>
    <row r="1289" spans="2:16" s="5" customFormat="1" ht="13.5" hidden="1" customHeight="1" x14ac:dyDescent="0.25">
      <c r="B1289" s="448"/>
      <c r="C1289" s="2527"/>
      <c r="D1289" s="898"/>
      <c r="E1289" s="2967"/>
      <c r="F1289" s="3862"/>
      <c r="G1289" s="2726"/>
      <c r="H1289" s="2690"/>
      <c r="I1289" s="2757"/>
      <c r="J1289" s="2981"/>
      <c r="K1289" s="2726"/>
      <c r="L1289" s="896"/>
      <c r="M1289" s="2757"/>
      <c r="N1289" s="2687"/>
      <c r="P1289" s="621"/>
    </row>
    <row r="1290" spans="2:16" s="4" customFormat="1" ht="17.25" hidden="1" customHeight="1" x14ac:dyDescent="0.25">
      <c r="B1290" s="441"/>
      <c r="C1290" s="2525" t="s">
        <v>6746</v>
      </c>
      <c r="D1290" s="899">
        <f>SUM(D1291:D1291)</f>
        <v>95800000</v>
      </c>
      <c r="E1290" s="2677">
        <f>D1290/D1203*100</f>
        <v>7.4271477818978207E-2</v>
      </c>
      <c r="F1290" s="3862"/>
      <c r="G1290" s="2965"/>
      <c r="H1290" s="2966"/>
      <c r="I1290" s="2965"/>
      <c r="J1290" s="2983"/>
      <c r="K1290" s="2965"/>
      <c r="L1290" s="2966"/>
      <c r="M1290" s="2965"/>
      <c r="N1290" s="2697"/>
      <c r="P1290" s="620"/>
    </row>
    <row r="1291" spans="2:16" s="5" customFormat="1" ht="17.25" hidden="1" customHeight="1" x14ac:dyDescent="0.25">
      <c r="B1291" s="448"/>
      <c r="C1291" s="2524" t="s">
        <v>6744</v>
      </c>
      <c r="D1291" s="896">
        <v>95800000</v>
      </c>
      <c r="E1291" s="2683">
        <f>D1291/D1203*100</f>
        <v>7.4271477818978207E-2</v>
      </c>
      <c r="F1291" s="4414"/>
      <c r="G1291" s="2726"/>
      <c r="H1291" s="2968"/>
      <c r="I1291" s="2726"/>
      <c r="J1291" s="2975"/>
      <c r="K1291" s="2726"/>
      <c r="L1291" s="2968"/>
      <c r="M1291" s="2726"/>
      <c r="N1291" s="2687"/>
      <c r="P1291" s="621"/>
    </row>
    <row r="1292" spans="2:16" s="5" customFormat="1" ht="9.75" hidden="1" customHeight="1" x14ac:dyDescent="0.25">
      <c r="B1292" s="448"/>
      <c r="C1292" s="2473"/>
      <c r="D1292" s="898"/>
      <c r="E1292" s="2967"/>
      <c r="F1292" s="3862"/>
      <c r="G1292" s="2726"/>
      <c r="H1292" s="2690"/>
      <c r="I1292" s="2757"/>
      <c r="J1292" s="2981"/>
      <c r="K1292" s="2726"/>
      <c r="L1292" s="896"/>
      <c r="M1292" s="2757"/>
      <c r="N1292" s="2687"/>
      <c r="P1292" s="621"/>
    </row>
    <row r="1293" spans="2:16" s="5" customFormat="1" ht="32.25" hidden="1" customHeight="1" x14ac:dyDescent="0.25">
      <c r="B1293" s="448"/>
      <c r="C1293" s="2525" t="s">
        <v>6745</v>
      </c>
      <c r="D1293" s="899">
        <f>D1294+D1295</f>
        <v>3052747360</v>
      </c>
      <c r="E1293" s="2677">
        <f>D1293/D1203*100</f>
        <v>2.3667229419121529</v>
      </c>
      <c r="F1293" s="3862"/>
      <c r="G1293" s="2982"/>
      <c r="H1293" s="2695"/>
      <c r="I1293" s="2970"/>
      <c r="J1293" s="2983"/>
      <c r="K1293" s="2983"/>
      <c r="L1293" s="2695"/>
      <c r="M1293" s="2970"/>
      <c r="N1293" s="2687"/>
      <c r="P1293" s="621"/>
    </row>
    <row r="1294" spans="2:16" s="5" customFormat="1" ht="18" hidden="1" customHeight="1" x14ac:dyDescent="0.25">
      <c r="B1294" s="448"/>
      <c r="C1294" s="2524" t="s">
        <v>6747</v>
      </c>
      <c r="D1294" s="896">
        <v>47400000</v>
      </c>
      <c r="E1294" s="2683">
        <f>D1294/D1203*100</f>
        <v>3.6748100716279403E-2</v>
      </c>
      <c r="F1294" s="4414"/>
      <c r="G1294" s="2726"/>
      <c r="H1294" s="2690"/>
      <c r="I1294" s="2757"/>
      <c r="J1294" s="2975"/>
      <c r="K1294" s="2975"/>
      <c r="L1294" s="2690"/>
      <c r="M1294" s="2757"/>
      <c r="N1294" s="2687"/>
      <c r="P1294" s="621"/>
    </row>
    <row r="1295" spans="2:16" s="5" customFormat="1" ht="15" hidden="1" customHeight="1" x14ac:dyDescent="0.25">
      <c r="B1295" s="448"/>
      <c r="C1295" s="2526" t="s">
        <v>6748</v>
      </c>
      <c r="D1295" s="2769">
        <v>3005347360</v>
      </c>
      <c r="E1295" s="2993">
        <f>D1295/D1203*100</f>
        <v>2.3299748411958738</v>
      </c>
      <c r="F1295" s="4426"/>
      <c r="G1295" s="2726"/>
      <c r="H1295" s="2968"/>
      <c r="I1295" s="2726"/>
      <c r="J1295" s="2863"/>
      <c r="K1295" s="2726"/>
      <c r="L1295" s="2690"/>
      <c r="M1295" s="2757"/>
      <c r="N1295" s="2687"/>
      <c r="P1295" s="621"/>
    </row>
    <row r="1296" spans="2:16" s="5" customFormat="1" ht="12" hidden="1" customHeight="1" x14ac:dyDescent="0.25">
      <c r="B1296" s="448"/>
      <c r="C1296" s="2527"/>
      <c r="D1296" s="898"/>
      <c r="E1296" s="2967"/>
      <c r="F1296" s="3862"/>
      <c r="G1296" s="2726"/>
      <c r="H1296" s="2690"/>
      <c r="I1296" s="2757"/>
      <c r="J1296" s="2981"/>
      <c r="K1296" s="2726"/>
      <c r="L1296" s="896"/>
      <c r="M1296" s="2757"/>
      <c r="N1296" s="2687"/>
      <c r="P1296" s="621"/>
    </row>
    <row r="1297" spans="2:16" s="4" customFormat="1" ht="16.5" hidden="1" customHeight="1" x14ac:dyDescent="0.25">
      <c r="B1297" s="441"/>
      <c r="C1297" s="2521" t="s">
        <v>6749</v>
      </c>
      <c r="D1297" s="2751">
        <f>D1298</f>
        <v>110100000</v>
      </c>
      <c r="E1297" s="2976">
        <f>D1297/D1203*100</f>
        <v>8.5357930144775579E-2</v>
      </c>
      <c r="F1297" s="3860"/>
      <c r="G1297" s="2766"/>
      <c r="H1297" s="2695"/>
      <c r="I1297" s="2970"/>
      <c r="J1297" s="2983"/>
      <c r="K1297" s="2965"/>
      <c r="L1297" s="899"/>
      <c r="M1297" s="2970"/>
      <c r="N1297" s="2697"/>
      <c r="P1297" s="620"/>
    </row>
    <row r="1298" spans="2:16" s="5" customFormat="1" ht="15.75" hidden="1" customHeight="1" x14ac:dyDescent="0.25">
      <c r="B1298" s="448"/>
      <c r="C1298" s="2524" t="s">
        <v>6750</v>
      </c>
      <c r="D1298" s="896">
        <v>110100000</v>
      </c>
      <c r="E1298" s="2967">
        <f>D1298/D1203*100</f>
        <v>8.5357930144775579E-2</v>
      </c>
      <c r="F1298" s="4414"/>
      <c r="G1298" s="2726"/>
      <c r="H1298" s="2690"/>
      <c r="I1298" s="2757"/>
      <c r="J1298" s="2975"/>
      <c r="K1298" s="2726"/>
      <c r="L1298" s="896"/>
      <c r="M1298" s="2757"/>
      <c r="N1298" s="2687"/>
      <c r="P1298" s="621"/>
    </row>
    <row r="1299" spans="2:16" s="5" customFormat="1" ht="12" hidden="1" customHeight="1" x14ac:dyDescent="0.25">
      <c r="B1299" s="448"/>
      <c r="C1299" s="2527"/>
      <c r="D1299" s="898"/>
      <c r="E1299" s="2967"/>
      <c r="F1299" s="3862"/>
      <c r="G1299" s="2726"/>
      <c r="H1299" s="2690"/>
      <c r="I1299" s="2757"/>
      <c r="J1299" s="2981"/>
      <c r="K1299" s="2726"/>
      <c r="L1299" s="896"/>
      <c r="M1299" s="2757"/>
      <c r="N1299" s="2687"/>
      <c r="P1299" s="621"/>
    </row>
    <row r="1300" spans="2:16" s="5" customFormat="1" ht="15" hidden="1" customHeight="1" x14ac:dyDescent="0.25">
      <c r="B1300" s="448"/>
      <c r="C1300" s="4184" t="s">
        <v>6751</v>
      </c>
      <c r="D1300" s="4189">
        <f>D1301</f>
        <v>181617500</v>
      </c>
      <c r="E1300" s="2677">
        <f>D1300/D1203*100</f>
        <v>0.14080375911052478</v>
      </c>
      <c r="F1300" s="3864"/>
      <c r="G1300" s="2995"/>
      <c r="H1300" s="2966"/>
      <c r="I1300" s="2965"/>
      <c r="J1300" s="2751"/>
      <c r="K1300" s="2751"/>
      <c r="L1300" s="2695"/>
      <c r="M1300" s="2970"/>
      <c r="N1300" s="2687"/>
      <c r="P1300" s="621"/>
    </row>
    <row r="1301" spans="2:16" s="5" customFormat="1" ht="20.25" hidden="1" customHeight="1" x14ac:dyDescent="0.25">
      <c r="B1301" s="448"/>
      <c r="C1301" s="3672" t="s">
        <v>6752</v>
      </c>
      <c r="D1301" s="4190">
        <v>181617500</v>
      </c>
      <c r="E1301" s="2683">
        <f>D1301/D1203*100</f>
        <v>0.14080375911052478</v>
      </c>
      <c r="F1301" s="4414"/>
      <c r="G1301" s="2726"/>
      <c r="H1301" s="2968"/>
      <c r="I1301" s="2726"/>
      <c r="J1301" s="2975"/>
      <c r="K1301" s="2726"/>
      <c r="L1301" s="2690"/>
      <c r="M1301" s="2757"/>
      <c r="N1301" s="2687"/>
      <c r="P1301" s="621"/>
    </row>
    <row r="1302" spans="2:16" s="12" customFormat="1" ht="12" hidden="1" customHeight="1" x14ac:dyDescent="0.25">
      <c r="B1302" s="448"/>
      <c r="C1302" s="2475"/>
      <c r="D1302" s="2769"/>
      <c r="E1302" s="2993"/>
      <c r="F1302" s="4420"/>
      <c r="G1302" s="2754"/>
      <c r="H1302" s="2752"/>
      <c r="I1302" s="2754"/>
      <c r="J1302" s="2724"/>
      <c r="K1302" s="2754"/>
      <c r="L1302" s="2769"/>
      <c r="M1302" s="2753"/>
      <c r="N1302" s="2951"/>
      <c r="P1302" s="635"/>
    </row>
    <row r="1303" spans="2:16" s="5" customFormat="1" ht="16.5" hidden="1" customHeight="1" x14ac:dyDescent="0.25">
      <c r="B1303" s="453"/>
      <c r="C1303" s="2532" t="s">
        <v>730</v>
      </c>
      <c r="D1303" s="2744">
        <f>D1304</f>
        <v>9195995880</v>
      </c>
      <c r="E1303" s="2670">
        <f>D1303/D1203*100</f>
        <v>7.1294384553740597</v>
      </c>
      <c r="F1303" s="3863"/>
      <c r="G1303" s="2674"/>
      <c r="H1303" s="2996"/>
      <c r="I1303" s="2674"/>
      <c r="J1303" s="2988"/>
      <c r="K1303" s="2988"/>
      <c r="L1303" s="2672"/>
      <c r="M1303" s="2987"/>
      <c r="N1303" s="2687"/>
      <c r="P1303" s="621"/>
    </row>
    <row r="1304" spans="2:16" s="5" customFormat="1" ht="18" hidden="1" customHeight="1" x14ac:dyDescent="0.25">
      <c r="B1304" s="448"/>
      <c r="C1304" s="2521" t="s">
        <v>6753</v>
      </c>
      <c r="D1304" s="2759">
        <f>D1305</f>
        <v>9195995880</v>
      </c>
      <c r="E1304" s="2677">
        <f>D1304/D1203*100</f>
        <v>7.1294384553740597</v>
      </c>
      <c r="F1304" s="3865"/>
      <c r="G1304" s="2995"/>
      <c r="H1304" s="2997"/>
      <c r="I1304" s="2995"/>
      <c r="J1304" s="2759"/>
      <c r="K1304" s="2759"/>
      <c r="L1304" s="2760"/>
      <c r="M1304" s="899"/>
      <c r="N1304" s="2687"/>
      <c r="P1304" s="621"/>
    </row>
    <row r="1305" spans="2:16" s="5" customFormat="1" ht="17.25" hidden="1" customHeight="1" x14ac:dyDescent="0.25">
      <c r="B1305" s="448"/>
      <c r="C1305" s="2524" t="s">
        <v>6754</v>
      </c>
      <c r="D1305" s="2709">
        <v>9195995880</v>
      </c>
      <c r="E1305" s="2967">
        <f>D1305/D1203*100</f>
        <v>7.1294384553740597</v>
      </c>
      <c r="F1305" s="4452"/>
      <c r="G1305" s="2726"/>
      <c r="H1305" s="2968"/>
      <c r="I1305" s="2726"/>
      <c r="J1305" s="2998"/>
      <c r="K1305" s="2726"/>
      <c r="L1305" s="2690"/>
      <c r="M1305" s="2757"/>
      <c r="N1305" s="2687"/>
      <c r="P1305" s="621"/>
    </row>
    <row r="1306" spans="2:16" s="12" customFormat="1" ht="12" hidden="1" customHeight="1" x14ac:dyDescent="0.25">
      <c r="B1306" s="448"/>
      <c r="C1306" s="2476"/>
      <c r="D1306" s="2709"/>
      <c r="E1306" s="2985"/>
      <c r="F1306" s="4430"/>
      <c r="G1306" s="2739"/>
      <c r="H1306" s="2710"/>
      <c r="I1306" s="2742"/>
      <c r="J1306" s="2706"/>
      <c r="K1306" s="2739"/>
      <c r="L1306" s="2709"/>
      <c r="M1306" s="2742"/>
      <c r="N1306" s="2951"/>
      <c r="P1306" s="635"/>
    </row>
    <row r="1307" spans="2:16" s="5" customFormat="1" ht="30.75" hidden="1" customHeight="1" x14ac:dyDescent="0.25">
      <c r="B1307" s="453"/>
      <c r="C1307" s="2532" t="s">
        <v>735</v>
      </c>
      <c r="D1307" s="2744">
        <f>D1308+D1311+D1314</f>
        <v>0</v>
      </c>
      <c r="E1307" s="2670">
        <f>D1307/D1203*100</f>
        <v>0</v>
      </c>
      <c r="F1307" s="3844"/>
      <c r="G1307" s="2744"/>
      <c r="H1307" s="2672"/>
      <c r="I1307" s="2987"/>
      <c r="J1307" s="2744"/>
      <c r="K1307" s="2744"/>
      <c r="L1307" s="2672"/>
      <c r="M1307" s="2987"/>
      <c r="N1307" s="2687"/>
      <c r="P1307" s="621"/>
    </row>
    <row r="1308" spans="2:16" s="5" customFormat="1" ht="18" hidden="1" customHeight="1" x14ac:dyDescent="0.25">
      <c r="B1308" s="448"/>
      <c r="C1308" s="2521" t="s">
        <v>6755</v>
      </c>
      <c r="D1308" s="2751">
        <f>D1309</f>
        <v>0</v>
      </c>
      <c r="E1308" s="3002">
        <f>D1308/D1203*100</f>
        <v>0</v>
      </c>
      <c r="F1308" s="3860"/>
      <c r="G1308" s="2977"/>
      <c r="H1308" s="3003"/>
      <c r="I1308" s="3004"/>
      <c r="J1308" s="2978"/>
      <c r="K1308" s="2978"/>
      <c r="L1308" s="2734"/>
      <c r="M1308" s="3004"/>
      <c r="N1308" s="2687"/>
      <c r="P1308" s="621"/>
    </row>
    <row r="1309" spans="2:16" s="5" customFormat="1" ht="18" hidden="1" customHeight="1" x14ac:dyDescent="0.25">
      <c r="B1309" s="448"/>
      <c r="C1309" s="2524" t="s">
        <v>6756</v>
      </c>
      <c r="D1309" s="896">
        <v>0</v>
      </c>
      <c r="E1309" s="2967">
        <f>D1309/D1203*100</f>
        <v>0</v>
      </c>
      <c r="F1309" s="4414"/>
      <c r="G1309" s="2919"/>
      <c r="H1309" s="2690"/>
      <c r="I1309" s="2761"/>
      <c r="J1309" s="2863"/>
      <c r="K1309" s="2930"/>
      <c r="L1309" s="2690"/>
      <c r="M1309" s="2761"/>
      <c r="N1309" s="2687"/>
      <c r="P1309" s="621"/>
    </row>
    <row r="1310" spans="2:16" s="5" customFormat="1" ht="11.25" hidden="1" customHeight="1" x14ac:dyDescent="0.25">
      <c r="B1310" s="448"/>
      <c r="C1310" s="2525"/>
      <c r="D1310" s="898"/>
      <c r="E1310" s="2967"/>
      <c r="F1310" s="3862"/>
      <c r="G1310" s="2726"/>
      <c r="H1310" s="2760"/>
      <c r="I1310" s="2757"/>
      <c r="J1310" s="2981"/>
      <c r="K1310" s="2726"/>
      <c r="L1310" s="940"/>
      <c r="M1310" s="2757"/>
      <c r="N1310" s="2687"/>
      <c r="P1310" s="621"/>
    </row>
    <row r="1311" spans="2:16" s="5" customFormat="1" ht="12.75" hidden="1" customHeight="1" x14ac:dyDescent="0.25">
      <c r="B1311" s="448"/>
      <c r="C1311" s="2525" t="s">
        <v>738</v>
      </c>
      <c r="D1311" s="2751">
        <f>D1312</f>
        <v>0</v>
      </c>
      <c r="E1311" s="2677">
        <f>D1311/D1203*100</f>
        <v>0</v>
      </c>
      <c r="F1311" s="3860"/>
      <c r="G1311" s="2965"/>
      <c r="H1311" s="2966"/>
      <c r="I1311" s="2965"/>
      <c r="J1311" s="2978"/>
      <c r="K1311" s="2978"/>
      <c r="L1311" s="2695"/>
      <c r="M1311" s="2970"/>
      <c r="N1311" s="2687"/>
      <c r="P1311" s="621"/>
    </row>
    <row r="1312" spans="2:16" s="5" customFormat="1" ht="17.25" hidden="1" customHeight="1" x14ac:dyDescent="0.25">
      <c r="B1312" s="448"/>
      <c r="C1312" s="2524" t="s">
        <v>7602</v>
      </c>
      <c r="D1312" s="896">
        <v>0</v>
      </c>
      <c r="E1312" s="2967">
        <f>D1312/D1203*100</f>
        <v>0</v>
      </c>
      <c r="F1312" s="4414"/>
      <c r="G1312" s="2726"/>
      <c r="H1312" s="2968"/>
      <c r="I1312" s="2726"/>
      <c r="J1312" s="2975"/>
      <c r="K1312" s="2920"/>
      <c r="L1312" s="2690"/>
      <c r="M1312" s="2757"/>
      <c r="N1312" s="2687"/>
      <c r="P1312" s="621"/>
    </row>
    <row r="1313" spans="2:16" s="5" customFormat="1" ht="10.5" hidden="1" customHeight="1" x14ac:dyDescent="0.25">
      <c r="B1313" s="448"/>
      <c r="C1313" s="2528"/>
      <c r="D1313" s="911"/>
      <c r="E1313" s="2985"/>
      <c r="F1313" s="3859"/>
      <c r="G1313" s="2726"/>
      <c r="H1313" s="2752"/>
      <c r="I1313" s="2757"/>
      <c r="J1313" s="2981"/>
      <c r="K1313" s="2726"/>
      <c r="L1313" s="940"/>
      <c r="M1313" s="2757"/>
      <c r="N1313" s="2687"/>
      <c r="P1313" s="621"/>
    </row>
    <row r="1314" spans="2:16" s="5" customFormat="1" ht="18.75" hidden="1" customHeight="1" x14ac:dyDescent="0.25">
      <c r="B1314" s="448"/>
      <c r="C1314" s="2525" t="s">
        <v>1336</v>
      </c>
      <c r="D1314" s="899">
        <f>D1315+D1316</f>
        <v>0</v>
      </c>
      <c r="E1314" s="2969">
        <f>D1314/D1203*100</f>
        <v>0</v>
      </c>
      <c r="F1314" s="3862"/>
      <c r="G1314" s="2977"/>
      <c r="H1314" s="2695"/>
      <c r="I1314" s="2970"/>
      <c r="J1314" s="2983"/>
      <c r="K1314" s="2978"/>
      <c r="L1314" s="2695"/>
      <c r="M1314" s="2970"/>
      <c r="N1314" s="2687"/>
      <c r="P1314" s="621"/>
    </row>
    <row r="1315" spans="2:16" s="5" customFormat="1" ht="14.25" hidden="1" customHeight="1" x14ac:dyDescent="0.25">
      <c r="B1315" s="448"/>
      <c r="C1315" s="2526" t="s">
        <v>6757</v>
      </c>
      <c r="D1315" s="2769">
        <v>0</v>
      </c>
      <c r="E1315" s="2993">
        <f>D1315/D1203*100</f>
        <v>0</v>
      </c>
      <c r="F1315" s="4426"/>
      <c r="G1315" s="2919"/>
      <c r="H1315" s="2690"/>
      <c r="I1315" s="896"/>
      <c r="J1315" s="2975"/>
      <c r="K1315" s="2920"/>
      <c r="L1315" s="2690"/>
      <c r="M1315" s="2757"/>
      <c r="N1315" s="2687"/>
      <c r="P1315" s="621"/>
    </row>
    <row r="1316" spans="2:16" s="5" customFormat="1" ht="18.75" hidden="1" customHeight="1" x14ac:dyDescent="0.25">
      <c r="B1316" s="448"/>
      <c r="C1316" s="2524" t="s">
        <v>6758</v>
      </c>
      <c r="D1316" s="896">
        <v>0</v>
      </c>
      <c r="E1316" s="2993">
        <f>D1316/D1203*100</f>
        <v>0</v>
      </c>
      <c r="F1316" s="4414"/>
      <c r="G1316" s="2902"/>
      <c r="H1316" s="2710"/>
      <c r="I1316" s="2709"/>
      <c r="J1316" s="2863"/>
      <c r="K1316" s="2903"/>
      <c r="L1316" s="2710"/>
      <c r="M1316" s="2742"/>
      <c r="N1316" s="2687"/>
      <c r="P1316" s="621"/>
    </row>
    <row r="1317" spans="2:16" s="12" customFormat="1" ht="12" hidden="1" customHeight="1" x14ac:dyDescent="0.25">
      <c r="B1317" s="448"/>
      <c r="C1317" s="2476"/>
      <c r="D1317" s="2709"/>
      <c r="E1317" s="2985"/>
      <c r="F1317" s="4430"/>
      <c r="G1317" s="2739"/>
      <c r="H1317" s="2710"/>
      <c r="I1317" s="2742"/>
      <c r="J1317" s="2903"/>
      <c r="K1317" s="2739"/>
      <c r="L1317" s="2709"/>
      <c r="M1317" s="2742"/>
      <c r="N1317" s="2951"/>
      <c r="P1317" s="635"/>
    </row>
    <row r="1318" spans="2:16" s="5" customFormat="1" ht="20.25" hidden="1" customHeight="1" x14ac:dyDescent="0.25">
      <c r="B1318" s="453"/>
      <c r="C1318" s="2532" t="s">
        <v>425</v>
      </c>
      <c r="D1318" s="2744">
        <f>D1319+D1322+D1325+D1328+D1333</f>
        <v>973380000</v>
      </c>
      <c r="E1318" s="2670">
        <f>D1318/D1203*100</f>
        <v>0.7546385290129124</v>
      </c>
      <c r="F1318" s="3863"/>
      <c r="G1318" s="2674"/>
      <c r="H1318" s="2996"/>
      <c r="I1318" s="2674"/>
      <c r="J1318" s="2988"/>
      <c r="K1318" s="2674"/>
      <c r="L1318" s="2674"/>
      <c r="M1318" s="2674"/>
      <c r="N1318" s="2687"/>
      <c r="P1318" s="621"/>
    </row>
    <row r="1319" spans="2:16" s="5" customFormat="1" ht="16.5" hidden="1" customHeight="1" x14ac:dyDescent="0.25">
      <c r="B1319" s="448"/>
      <c r="C1319" s="2521" t="s">
        <v>6759</v>
      </c>
      <c r="D1319" s="2751">
        <f>D1320</f>
        <v>0</v>
      </c>
      <c r="E1319" s="3002">
        <f>D1319/D1203*100</f>
        <v>0</v>
      </c>
      <c r="F1319" s="3860"/>
      <c r="G1319" s="2995"/>
      <c r="H1319" s="2997"/>
      <c r="I1319" s="2995"/>
      <c r="J1319" s="2978"/>
      <c r="K1319" s="2995"/>
      <c r="L1319" s="2995"/>
      <c r="M1319" s="2995"/>
      <c r="N1319" s="2687"/>
      <c r="P1319" s="621"/>
    </row>
    <row r="1320" spans="2:16" s="5" customFormat="1" ht="15.75" hidden="1" customHeight="1" x14ac:dyDescent="0.25">
      <c r="B1320" s="448"/>
      <c r="C1320" s="2524" t="s">
        <v>6763</v>
      </c>
      <c r="D1320" s="896">
        <v>0</v>
      </c>
      <c r="E1320" s="2967">
        <f>D1320/D1203*100</f>
        <v>0</v>
      </c>
      <c r="F1320" s="4414"/>
      <c r="G1320" s="2726"/>
      <c r="H1320" s="2968"/>
      <c r="I1320" s="2726"/>
      <c r="J1320" s="2979"/>
      <c r="K1320" s="2726"/>
      <c r="L1320" s="2726"/>
      <c r="M1320" s="2726"/>
      <c r="N1320" s="2687"/>
      <c r="P1320" s="621"/>
    </row>
    <row r="1321" spans="2:16" s="5" customFormat="1" ht="12" hidden="1" customHeight="1" x14ac:dyDescent="0.25">
      <c r="B1321" s="448"/>
      <c r="C1321" s="2527"/>
      <c r="D1321" s="898"/>
      <c r="E1321" s="2677"/>
      <c r="F1321" s="3862"/>
      <c r="G1321" s="2726"/>
      <c r="H1321" s="2968"/>
      <c r="I1321" s="2726"/>
      <c r="J1321" s="2981"/>
      <c r="K1321" s="2726"/>
      <c r="L1321" s="2726"/>
      <c r="M1321" s="2726"/>
      <c r="N1321" s="2687"/>
      <c r="P1321" s="621"/>
    </row>
    <row r="1322" spans="2:16" s="5" customFormat="1" ht="15.75" hidden="1" customHeight="1" x14ac:dyDescent="0.25">
      <c r="B1322" s="448"/>
      <c r="C1322" s="2521" t="s">
        <v>6760</v>
      </c>
      <c r="D1322" s="2767">
        <f>D1323</f>
        <v>570285000</v>
      </c>
      <c r="E1322" s="2677">
        <f>D1322/D1203*100</f>
        <v>0.44212849402918569</v>
      </c>
      <c r="F1322" s="3859"/>
      <c r="G1322" s="2965"/>
      <c r="H1322" s="2966"/>
      <c r="I1322" s="2965"/>
      <c r="J1322" s="2974"/>
      <c r="K1322" s="2965"/>
      <c r="L1322" s="2965"/>
      <c r="M1322" s="2965"/>
      <c r="N1322" s="2687"/>
      <c r="P1322" s="621"/>
    </row>
    <row r="1323" spans="2:16" s="5" customFormat="1" ht="18" hidden="1" customHeight="1" x14ac:dyDescent="0.25">
      <c r="B1323" s="448"/>
      <c r="C1323" s="2526" t="s">
        <v>6764</v>
      </c>
      <c r="D1323" s="2769">
        <v>570285000</v>
      </c>
      <c r="E1323" s="2683">
        <f>D1323/D1203*100</f>
        <v>0.44212849402918569</v>
      </c>
      <c r="F1323" s="4414"/>
      <c r="G1323" s="2726"/>
      <c r="H1323" s="2968"/>
      <c r="I1323" s="2726"/>
      <c r="J1323" s="2863"/>
      <c r="K1323" s="2726"/>
      <c r="L1323" s="2726"/>
      <c r="M1323" s="2726"/>
      <c r="N1323" s="2687"/>
      <c r="P1323" s="621"/>
    </row>
    <row r="1324" spans="2:16" s="5" customFormat="1" ht="14.25" hidden="1" customHeight="1" x14ac:dyDescent="0.25">
      <c r="B1324" s="448"/>
      <c r="C1324" s="2535"/>
      <c r="D1324" s="898"/>
      <c r="E1324" s="2677"/>
      <c r="F1324" s="3862"/>
      <c r="G1324" s="2726"/>
      <c r="H1324" s="2968"/>
      <c r="I1324" s="2726"/>
      <c r="J1324" s="2981"/>
      <c r="K1324" s="2726"/>
      <c r="L1324" s="2726"/>
      <c r="M1324" s="2726"/>
      <c r="N1324" s="2687"/>
      <c r="P1324" s="621"/>
    </row>
    <row r="1325" spans="2:16" s="5" customFormat="1" ht="16.5" hidden="1" customHeight="1" x14ac:dyDescent="0.25">
      <c r="B1325" s="448"/>
      <c r="C1325" s="2525" t="s">
        <v>6761</v>
      </c>
      <c r="D1325" s="2751">
        <f>D1326</f>
        <v>0</v>
      </c>
      <c r="E1325" s="2677">
        <f>D1325/D1203*100</f>
        <v>0</v>
      </c>
      <c r="F1325" s="3862"/>
      <c r="G1325" s="2965"/>
      <c r="H1325" s="2966"/>
      <c r="I1325" s="2965"/>
      <c r="J1325" s="2978"/>
      <c r="K1325" s="2965"/>
      <c r="L1325" s="2965"/>
      <c r="M1325" s="2965"/>
      <c r="N1325" s="2687"/>
      <c r="P1325" s="621"/>
    </row>
    <row r="1326" spans="2:16" s="5" customFormat="1" ht="20.25" hidden="1" customHeight="1" x14ac:dyDescent="0.25">
      <c r="B1326" s="448"/>
      <c r="C1326" s="2526" t="s">
        <v>6765</v>
      </c>
      <c r="D1326" s="896">
        <v>0</v>
      </c>
      <c r="E1326" s="2683">
        <f>D1326/D1203*100</f>
        <v>0</v>
      </c>
      <c r="F1326" s="4426"/>
      <c r="G1326" s="2726"/>
      <c r="H1326" s="2968"/>
      <c r="I1326" s="2726"/>
      <c r="J1326" s="2863"/>
      <c r="K1326" s="2726"/>
      <c r="L1326" s="2726"/>
      <c r="M1326" s="2726"/>
      <c r="N1326" s="2687"/>
      <c r="P1326" s="621"/>
    </row>
    <row r="1327" spans="2:16" s="12" customFormat="1" ht="12" hidden="1" customHeight="1" x14ac:dyDescent="0.25">
      <c r="B1327" s="448"/>
      <c r="C1327" s="2476"/>
      <c r="D1327" s="2709"/>
      <c r="E1327" s="2993"/>
      <c r="F1327" s="4418"/>
      <c r="G1327" s="2739"/>
      <c r="H1327" s="2710"/>
      <c r="I1327" s="2742"/>
      <c r="J1327" s="2706"/>
      <c r="K1327" s="2739"/>
      <c r="L1327" s="2709"/>
      <c r="M1327" s="2742"/>
      <c r="N1327" s="2951"/>
      <c r="P1327" s="635"/>
    </row>
    <row r="1328" spans="2:16" s="1" customFormat="1" ht="16.5" hidden="1" customHeight="1" x14ac:dyDescent="0.25">
      <c r="B1328" s="441"/>
      <c r="C1328" s="2474" t="s">
        <v>6762</v>
      </c>
      <c r="D1328" s="899">
        <f>D1329+D1330+D1331</f>
        <v>403095000</v>
      </c>
      <c r="E1328" s="2969">
        <f>D1328/D1203*100</f>
        <v>0.3125100349837267</v>
      </c>
      <c r="F1328" s="3832"/>
      <c r="G1328" s="2965"/>
      <c r="H1328" s="2695"/>
      <c r="I1328" s="2970"/>
      <c r="J1328" s="2692"/>
      <c r="K1328" s="2965"/>
      <c r="L1328" s="899"/>
      <c r="M1328" s="2970"/>
      <c r="N1328" s="2837"/>
      <c r="P1328" s="220"/>
    </row>
    <row r="1329" spans="2:16" s="12" customFormat="1" ht="18.75" hidden="1" customHeight="1" x14ac:dyDescent="0.25">
      <c r="B1329" s="448"/>
      <c r="C1329" s="2473" t="s">
        <v>6766</v>
      </c>
      <c r="D1329" s="896">
        <v>0</v>
      </c>
      <c r="E1329" s="2967">
        <f>D1329/D1203*100</f>
        <v>0</v>
      </c>
      <c r="F1329" s="4417"/>
      <c r="G1329" s="2726"/>
      <c r="H1329" s="2690"/>
      <c r="I1329" s="2757"/>
      <c r="J1329" s="2698"/>
      <c r="K1329" s="2726"/>
      <c r="L1329" s="896"/>
      <c r="M1329" s="2757"/>
      <c r="N1329" s="2951"/>
      <c r="P1329" s="635"/>
    </row>
    <row r="1330" spans="2:16" s="12" customFormat="1" ht="18.75" hidden="1" customHeight="1" x14ac:dyDescent="0.25">
      <c r="B1330" s="448"/>
      <c r="C1330" s="2473" t="s">
        <v>6767</v>
      </c>
      <c r="D1330" s="896">
        <v>153190000</v>
      </c>
      <c r="E1330" s="2967">
        <f>D1330/D1203*100</f>
        <v>0.11876458963558738</v>
      </c>
      <c r="F1330" s="4417"/>
      <c r="G1330" s="2726"/>
      <c r="H1330" s="2690"/>
      <c r="I1330" s="2757"/>
      <c r="J1330" s="2698"/>
      <c r="K1330" s="2726"/>
      <c r="L1330" s="896"/>
      <c r="M1330" s="2757"/>
      <c r="N1330" s="2951"/>
      <c r="P1330" s="635"/>
    </row>
    <row r="1331" spans="2:16" s="12" customFormat="1" ht="18.75" hidden="1" customHeight="1" x14ac:dyDescent="0.25">
      <c r="B1331" s="448"/>
      <c r="C1331" s="2473" t="s">
        <v>6768</v>
      </c>
      <c r="D1331" s="896">
        <v>249905000</v>
      </c>
      <c r="E1331" s="2967">
        <f>D1331/D1203*100</f>
        <v>0.19374544534813934</v>
      </c>
      <c r="F1331" s="4417"/>
      <c r="G1331" s="2726"/>
      <c r="H1331" s="2690"/>
      <c r="I1331" s="2757"/>
      <c r="J1331" s="2698"/>
      <c r="K1331" s="2726"/>
      <c r="L1331" s="896"/>
      <c r="M1331" s="2757"/>
      <c r="N1331" s="2951"/>
      <c r="P1331" s="635"/>
    </row>
    <row r="1332" spans="2:16" s="12" customFormat="1" ht="11.25" hidden="1" customHeight="1" x14ac:dyDescent="0.25">
      <c r="B1332" s="448"/>
      <c r="C1332" s="2473"/>
      <c r="D1332" s="896"/>
      <c r="E1332" s="2967"/>
      <c r="F1332" s="4417"/>
      <c r="G1332" s="2726"/>
      <c r="H1332" s="2690"/>
      <c r="I1332" s="2757"/>
      <c r="J1332" s="2698"/>
      <c r="K1332" s="2726"/>
      <c r="L1332" s="896"/>
      <c r="M1332" s="2757"/>
      <c r="N1332" s="2951"/>
      <c r="P1332" s="635"/>
    </row>
    <row r="1333" spans="2:16" s="12" customFormat="1" ht="18.75" hidden="1" customHeight="1" x14ac:dyDescent="0.25">
      <c r="B1333" s="448"/>
      <c r="C1333" s="2474" t="s">
        <v>6769</v>
      </c>
      <c r="D1333" s="899">
        <f>D1334</f>
        <v>0</v>
      </c>
      <c r="E1333" s="2969">
        <f>D1333/D1203*100</f>
        <v>0</v>
      </c>
      <c r="F1333" s="4417"/>
      <c r="G1333" s="2726"/>
      <c r="H1333" s="2690"/>
      <c r="I1333" s="2757"/>
      <c r="J1333" s="2698"/>
      <c r="K1333" s="2726"/>
      <c r="L1333" s="896"/>
      <c r="M1333" s="2757"/>
      <c r="N1333" s="2951"/>
      <c r="P1333" s="635"/>
    </row>
    <row r="1334" spans="2:16" s="12" customFormat="1" ht="27.75" hidden="1" customHeight="1" x14ac:dyDescent="0.25">
      <c r="B1334" s="448"/>
      <c r="C1334" s="2473" t="s">
        <v>6770</v>
      </c>
      <c r="D1334" s="896">
        <v>0</v>
      </c>
      <c r="E1334" s="2967">
        <f>D1334/D1203*100</f>
        <v>0</v>
      </c>
      <c r="F1334" s="4417"/>
      <c r="G1334" s="2726"/>
      <c r="H1334" s="2690"/>
      <c r="I1334" s="2757"/>
      <c r="J1334" s="2698"/>
      <c r="K1334" s="2726"/>
      <c r="L1334" s="896"/>
      <c r="M1334" s="2757"/>
      <c r="N1334" s="2951"/>
      <c r="P1334" s="635"/>
    </row>
    <row r="1335" spans="2:16" s="12" customFormat="1" ht="12" hidden="1" customHeight="1" x14ac:dyDescent="0.25">
      <c r="B1335" s="448"/>
      <c r="C1335" s="2475"/>
      <c r="D1335" s="2769"/>
      <c r="E1335" s="2993"/>
      <c r="F1335" s="4420"/>
      <c r="G1335" s="2754"/>
      <c r="H1335" s="2752"/>
      <c r="I1335" s="2753"/>
      <c r="J1335" s="2724"/>
      <c r="K1335" s="2754"/>
      <c r="L1335" s="2769"/>
      <c r="M1335" s="2753"/>
      <c r="N1335" s="2951"/>
      <c r="P1335" s="635"/>
    </row>
    <row r="1336" spans="2:16" s="12" customFormat="1" ht="15.75" hidden="1" customHeight="1" x14ac:dyDescent="0.25">
      <c r="B1336" s="453"/>
      <c r="C1336" s="2471" t="s">
        <v>755</v>
      </c>
      <c r="D1336" s="2744">
        <f>SUM(D1337)</f>
        <v>787345623</v>
      </c>
      <c r="E1336" s="2670">
        <f>D1336/D1203*100</f>
        <v>0.61041046946256872</v>
      </c>
      <c r="F1336" s="3863"/>
      <c r="G1336" s="2986"/>
      <c r="H1336" s="2672"/>
      <c r="I1336" s="2987"/>
      <c r="J1336" s="2988"/>
      <c r="K1336" s="2988"/>
      <c r="L1336" s="2672"/>
      <c r="M1336" s="2987"/>
      <c r="N1336" s="2951"/>
      <c r="P1336" s="635"/>
    </row>
    <row r="1337" spans="2:16" s="5" customFormat="1" ht="29.25" hidden="1" customHeight="1" x14ac:dyDescent="0.25">
      <c r="B1337" s="448"/>
      <c r="C1337" s="2525" t="s">
        <v>6771</v>
      </c>
      <c r="D1337" s="2751">
        <f>SUM(D1338:D1338)</f>
        <v>787345623</v>
      </c>
      <c r="E1337" s="2677">
        <f>D1337/D1203*100</f>
        <v>0.61041046946256872</v>
      </c>
      <c r="F1337" s="3864"/>
      <c r="G1337" s="2965"/>
      <c r="H1337" s="2966"/>
      <c r="I1337" s="2965"/>
      <c r="J1337" s="2751"/>
      <c r="K1337" s="2751"/>
      <c r="L1337" s="2695"/>
      <c r="M1337" s="3005"/>
      <c r="N1337" s="2687"/>
      <c r="P1337" s="621"/>
    </row>
    <row r="1338" spans="2:16" s="5" customFormat="1" ht="17.25" hidden="1" customHeight="1" x14ac:dyDescent="0.25">
      <c r="B1338" s="448"/>
      <c r="C1338" s="2524" t="s">
        <v>757</v>
      </c>
      <c r="D1338" s="896">
        <v>787345623</v>
      </c>
      <c r="E1338" s="2683">
        <f>D1338/D1203*100</f>
        <v>0.61041046946256872</v>
      </c>
      <c r="F1338" s="4446"/>
      <c r="G1338" s="2726"/>
      <c r="H1338" s="2968"/>
      <c r="I1338" s="2726"/>
      <c r="J1338" s="896"/>
      <c r="K1338" s="2726"/>
      <c r="L1338" s="2690"/>
      <c r="M1338" s="2757"/>
      <c r="N1338" s="2687"/>
      <c r="P1338" s="621"/>
    </row>
    <row r="1339" spans="2:16" s="5" customFormat="1" ht="12" hidden="1" customHeight="1" x14ac:dyDescent="0.25">
      <c r="B1339" s="448"/>
      <c r="C1339" s="2518"/>
      <c r="D1339" s="3006"/>
      <c r="E1339" s="2993"/>
      <c r="F1339" s="4420"/>
      <c r="G1339" s="3007"/>
      <c r="H1339" s="2752"/>
      <c r="I1339" s="3008"/>
      <c r="J1339" s="2724"/>
      <c r="K1339" s="2754"/>
      <c r="L1339" s="2769"/>
      <c r="M1339" s="2742"/>
      <c r="N1339" s="2687"/>
      <c r="P1339" s="621"/>
    </row>
    <row r="1340" spans="2:16" s="5" customFormat="1" ht="18" hidden="1" customHeight="1" x14ac:dyDescent="0.25">
      <c r="B1340" s="453"/>
      <c r="C1340" s="2471" t="s">
        <v>329</v>
      </c>
      <c r="D1340" s="2744">
        <f>SUM(D1341+D1344+D1347+D1351+D1357+D1360)</f>
        <v>3637489750</v>
      </c>
      <c r="E1340" s="2670">
        <f>D1340/D1203*100</f>
        <v>2.8200599090175946</v>
      </c>
      <c r="F1340" s="3863"/>
      <c r="G1340" s="2986"/>
      <c r="H1340" s="2672"/>
      <c r="I1340" s="2987"/>
      <c r="J1340" s="2988"/>
      <c r="K1340" s="2988"/>
      <c r="L1340" s="2672"/>
      <c r="M1340" s="2987"/>
      <c r="N1340" s="2687"/>
      <c r="P1340" s="621"/>
    </row>
    <row r="1341" spans="2:16" s="5" customFormat="1" ht="18" hidden="1" customHeight="1" x14ac:dyDescent="0.25">
      <c r="B1341" s="448"/>
      <c r="C1341" s="2521" t="s">
        <v>758</v>
      </c>
      <c r="D1341" s="2751">
        <f>D1342</f>
        <v>299581170</v>
      </c>
      <c r="E1341" s="2677">
        <f>D1341/D1203*100</f>
        <v>0.23225820691689497</v>
      </c>
      <c r="F1341" s="3860"/>
      <c r="G1341" s="2977"/>
      <c r="H1341" s="2695"/>
      <c r="I1341" s="3004"/>
      <c r="J1341" s="2978"/>
      <c r="K1341" s="2978"/>
      <c r="L1341" s="2695"/>
      <c r="M1341" s="3009"/>
      <c r="N1341" s="2687"/>
      <c r="P1341" s="621"/>
    </row>
    <row r="1342" spans="2:16" s="5" customFormat="1" ht="17.25" hidden="1" customHeight="1" x14ac:dyDescent="0.25">
      <c r="B1342" s="448"/>
      <c r="C1342" s="2524" t="s">
        <v>759</v>
      </c>
      <c r="D1342" s="896">
        <v>299581170</v>
      </c>
      <c r="E1342" s="2683">
        <f>D1342/D1203*100</f>
        <v>0.23225820691689497</v>
      </c>
      <c r="F1342" s="4414"/>
      <c r="G1342" s="2919"/>
      <c r="H1342" s="2690"/>
      <c r="I1342" s="2757"/>
      <c r="J1342" s="2975"/>
      <c r="K1342" s="2920"/>
      <c r="L1342" s="2690"/>
      <c r="M1342" s="2757"/>
      <c r="N1342" s="2687"/>
      <c r="P1342" s="621"/>
    </row>
    <row r="1343" spans="2:16" s="5" customFormat="1" ht="10.5" hidden="1" customHeight="1" x14ac:dyDescent="0.25">
      <c r="B1343" s="448"/>
      <c r="C1343" s="2527"/>
      <c r="D1343" s="898"/>
      <c r="E1343" s="2683"/>
      <c r="F1343" s="3862"/>
      <c r="G1343" s="2726"/>
      <c r="H1343" s="2690"/>
      <c r="I1343" s="2757"/>
      <c r="J1343" s="2981"/>
      <c r="K1343" s="2726"/>
      <c r="L1343" s="896"/>
      <c r="M1343" s="2757"/>
      <c r="N1343" s="2687"/>
      <c r="P1343" s="621"/>
    </row>
    <row r="1344" spans="2:16" s="5" customFormat="1" ht="17.25" hidden="1" customHeight="1" x14ac:dyDescent="0.25">
      <c r="B1344" s="448"/>
      <c r="C1344" s="2521" t="s">
        <v>760</v>
      </c>
      <c r="D1344" s="2751">
        <f>D1345</f>
        <v>880750000</v>
      </c>
      <c r="E1344" s="2677">
        <f>D1344/D1203*100</f>
        <v>0.68282467733888363</v>
      </c>
      <c r="F1344" s="3860"/>
      <c r="G1344" s="2965"/>
      <c r="H1344" s="2966"/>
      <c r="I1344" s="2965"/>
      <c r="J1344" s="2978"/>
      <c r="K1344" s="2978"/>
      <c r="L1344" s="2695"/>
      <c r="M1344" s="2970"/>
      <c r="N1344" s="2687"/>
      <c r="P1344" s="621"/>
    </row>
    <row r="1345" spans="2:16" s="5" customFormat="1" ht="14.25" hidden="1" customHeight="1" x14ac:dyDescent="0.25">
      <c r="B1345" s="448"/>
      <c r="C1345" s="2524" t="s">
        <v>761</v>
      </c>
      <c r="D1345" s="896">
        <v>880750000</v>
      </c>
      <c r="E1345" s="2683">
        <f>D1345/D1203*100</f>
        <v>0.68282467733888363</v>
      </c>
      <c r="F1345" s="4414"/>
      <c r="G1345" s="2726"/>
      <c r="H1345" s="2968"/>
      <c r="I1345" s="2726"/>
      <c r="J1345" s="2975"/>
      <c r="K1345" s="2920"/>
      <c r="L1345" s="2690"/>
      <c r="M1345" s="2757"/>
      <c r="N1345" s="2687"/>
      <c r="P1345" s="621"/>
    </row>
    <row r="1346" spans="2:16" s="5" customFormat="1" ht="11.25" hidden="1" customHeight="1" x14ac:dyDescent="0.25">
      <c r="B1346" s="448"/>
      <c r="C1346" s="2533"/>
      <c r="D1346" s="2709"/>
      <c r="E1346" s="2683"/>
      <c r="F1346" s="4452"/>
      <c r="G1346" s="2739"/>
      <c r="H1346" s="2999"/>
      <c r="I1346" s="2739"/>
      <c r="J1346" s="2998"/>
      <c r="K1346" s="2903"/>
      <c r="L1346" s="2710"/>
      <c r="M1346" s="2742"/>
      <c r="N1346" s="2687"/>
      <c r="P1346" s="621"/>
    </row>
    <row r="1347" spans="2:16" s="4" customFormat="1" ht="30" hidden="1" customHeight="1" x14ac:dyDescent="0.25">
      <c r="B1347" s="441"/>
      <c r="C1347" s="2534" t="s">
        <v>762</v>
      </c>
      <c r="D1347" s="2767">
        <f>SUM(D1348:D1349)</f>
        <v>384083000</v>
      </c>
      <c r="E1347" s="2677">
        <f>D1347/D1203*100</f>
        <v>0.29777048032512116</v>
      </c>
      <c r="F1347" s="3859"/>
      <c r="G1347" s="2766"/>
      <c r="H1347" s="3000"/>
      <c r="I1347" s="2766"/>
      <c r="J1347" s="2974"/>
      <c r="K1347" s="2905"/>
      <c r="L1347" s="2821"/>
      <c r="M1347" s="3001"/>
      <c r="N1347" s="2697"/>
      <c r="P1347" s="620"/>
    </row>
    <row r="1348" spans="2:16" s="5" customFormat="1" ht="21.75" hidden="1" customHeight="1" x14ac:dyDescent="0.25">
      <c r="B1348" s="448"/>
      <c r="C1348" s="2533" t="s">
        <v>6773</v>
      </c>
      <c r="D1348" s="2709">
        <v>194033000</v>
      </c>
      <c r="E1348" s="2683">
        <f>D1348/D1203*100</f>
        <v>0.15042920308611479</v>
      </c>
      <c r="F1348" s="4452"/>
      <c r="G1348" s="2739"/>
      <c r="H1348" s="2999"/>
      <c r="I1348" s="2739"/>
      <c r="J1348" s="2998"/>
      <c r="K1348" s="2903"/>
      <c r="L1348" s="2710"/>
      <c r="M1348" s="2742"/>
      <c r="N1348" s="2687"/>
      <c r="P1348" s="621"/>
    </row>
    <row r="1349" spans="2:16" s="5" customFormat="1" ht="17.25" hidden="1" customHeight="1" x14ac:dyDescent="0.25">
      <c r="B1349" s="448"/>
      <c r="C1349" s="2533" t="s">
        <v>6774</v>
      </c>
      <c r="D1349" s="2709">
        <v>190050000</v>
      </c>
      <c r="E1349" s="2683">
        <f>D1349/D1203*100</f>
        <v>0.14734127723900634</v>
      </c>
      <c r="F1349" s="4452"/>
      <c r="G1349" s="2739"/>
      <c r="H1349" s="2999"/>
      <c r="I1349" s="2739"/>
      <c r="J1349" s="2998"/>
      <c r="K1349" s="2903"/>
      <c r="L1349" s="2710"/>
      <c r="M1349" s="2742"/>
      <c r="N1349" s="2687"/>
      <c r="P1349" s="621"/>
    </row>
    <row r="1350" spans="2:16" s="5" customFormat="1" ht="9" hidden="1" customHeight="1" x14ac:dyDescent="0.25">
      <c r="B1350" s="448"/>
      <c r="C1350" s="2533"/>
      <c r="D1350" s="2709"/>
      <c r="E1350" s="2683"/>
      <c r="F1350" s="4452"/>
      <c r="G1350" s="2739"/>
      <c r="H1350" s="2999"/>
      <c r="I1350" s="2739"/>
      <c r="J1350" s="2998"/>
      <c r="K1350" s="2903"/>
      <c r="L1350" s="2710"/>
      <c r="M1350" s="2742"/>
      <c r="N1350" s="2687"/>
      <c r="P1350" s="621"/>
    </row>
    <row r="1351" spans="2:16" s="4" customFormat="1" ht="18.75" hidden="1" customHeight="1" x14ac:dyDescent="0.25">
      <c r="B1351" s="441"/>
      <c r="C1351" s="2534" t="s">
        <v>765</v>
      </c>
      <c r="D1351" s="2767">
        <f>SUM(D1352:D1355)</f>
        <v>1968075580</v>
      </c>
      <c r="E1351" s="3010">
        <f>D1351/D1203*100</f>
        <v>1.5258025238626582</v>
      </c>
      <c r="F1351" s="3859"/>
      <c r="G1351" s="2766"/>
      <c r="H1351" s="3000"/>
      <c r="I1351" s="2766"/>
      <c r="J1351" s="2974"/>
      <c r="K1351" s="2905"/>
      <c r="L1351" s="2821"/>
      <c r="M1351" s="3001"/>
      <c r="N1351" s="2697"/>
      <c r="P1351" s="620"/>
    </row>
    <row r="1352" spans="2:16" s="5" customFormat="1" ht="30.75" hidden="1" customHeight="1" x14ac:dyDescent="0.25">
      <c r="B1352" s="448"/>
      <c r="C1352" s="2533" t="s">
        <v>6775</v>
      </c>
      <c r="D1352" s="2709">
        <v>16800000</v>
      </c>
      <c r="E1352" s="2683">
        <f>D1352/D1203*100</f>
        <v>1.3024643291845864E-2</v>
      </c>
      <c r="F1352" s="4452"/>
      <c r="G1352" s="2739"/>
      <c r="H1352" s="2999"/>
      <c r="I1352" s="2739"/>
      <c r="J1352" s="2998"/>
      <c r="K1352" s="2903"/>
      <c r="L1352" s="2710"/>
      <c r="M1352" s="2742"/>
      <c r="N1352" s="2687"/>
      <c r="P1352" s="621"/>
    </row>
    <row r="1353" spans="2:16" s="5" customFormat="1" ht="30" hidden="1" customHeight="1" x14ac:dyDescent="0.25">
      <c r="B1353" s="448"/>
      <c r="C1353" s="2533" t="s">
        <v>6776</v>
      </c>
      <c r="D1353" s="2709">
        <v>1289872000</v>
      </c>
      <c r="E1353" s="2683">
        <f>D1353/D1203*100</f>
        <v>1.0000073031035601</v>
      </c>
      <c r="F1353" s="4452"/>
      <c r="G1353" s="2739"/>
      <c r="H1353" s="2999"/>
      <c r="I1353" s="2739"/>
      <c r="J1353" s="2998"/>
      <c r="K1353" s="2903"/>
      <c r="L1353" s="2710"/>
      <c r="M1353" s="2742"/>
      <c r="N1353" s="2687"/>
      <c r="P1353" s="621"/>
    </row>
    <row r="1354" spans="2:16" s="5" customFormat="1" ht="16.5" hidden="1" customHeight="1" x14ac:dyDescent="0.25">
      <c r="B1354" s="448"/>
      <c r="C1354" s="2533" t="s">
        <v>3426</v>
      </c>
      <c r="D1354" s="2709">
        <v>259745580</v>
      </c>
      <c r="E1354" s="2683">
        <f>D1354/D1203*100</f>
        <v>0.20137461465081033</v>
      </c>
      <c r="F1354" s="4452"/>
      <c r="G1354" s="2739"/>
      <c r="H1354" s="2999"/>
      <c r="I1354" s="2739"/>
      <c r="J1354" s="2998"/>
      <c r="K1354" s="2903"/>
      <c r="L1354" s="2710"/>
      <c r="M1354" s="2742"/>
      <c r="N1354" s="2687"/>
      <c r="P1354" s="621"/>
    </row>
    <row r="1355" spans="2:16" s="5" customFormat="1" ht="18" hidden="1" customHeight="1" x14ac:dyDescent="0.25">
      <c r="B1355" s="448"/>
      <c r="C1355" s="2533" t="s">
        <v>6777</v>
      </c>
      <c r="D1355" s="2709">
        <v>401658000</v>
      </c>
      <c r="E1355" s="2683">
        <f>D1355/D1203*100</f>
        <v>0.31139596281644205</v>
      </c>
      <c r="F1355" s="4452"/>
      <c r="G1355" s="2739"/>
      <c r="H1355" s="2999"/>
      <c r="I1355" s="2739"/>
      <c r="J1355" s="2998"/>
      <c r="K1355" s="2903"/>
      <c r="L1355" s="2710"/>
      <c r="M1355" s="2742"/>
      <c r="N1355" s="2687"/>
      <c r="P1355" s="621"/>
    </row>
    <row r="1356" spans="2:16" s="5" customFormat="1" ht="12" hidden="1" customHeight="1" x14ac:dyDescent="0.25">
      <c r="B1356" s="448"/>
      <c r="C1356" s="2533"/>
      <c r="D1356" s="2709"/>
      <c r="E1356" s="2683"/>
      <c r="F1356" s="4452"/>
      <c r="G1356" s="2739"/>
      <c r="H1356" s="2999"/>
      <c r="I1356" s="2739"/>
      <c r="J1356" s="2998"/>
      <c r="K1356" s="2903"/>
      <c r="L1356" s="2710"/>
      <c r="M1356" s="2742"/>
      <c r="N1356" s="2687"/>
      <c r="P1356" s="621"/>
    </row>
    <row r="1357" spans="2:16" s="4" customFormat="1" ht="17.25" hidden="1" customHeight="1" x14ac:dyDescent="0.25">
      <c r="B1357" s="441"/>
      <c r="C1357" s="2534" t="s">
        <v>768</v>
      </c>
      <c r="D1357" s="2767">
        <f>D1358</f>
        <v>105000000</v>
      </c>
      <c r="E1357" s="2677">
        <f>D1357/D1203*100</f>
        <v>8.1404020574036645E-2</v>
      </c>
      <c r="F1357" s="3859"/>
      <c r="G1357" s="2766"/>
      <c r="H1357" s="3000"/>
      <c r="I1357" s="2766"/>
      <c r="J1357" s="2974"/>
      <c r="K1357" s="2905"/>
      <c r="L1357" s="2821"/>
      <c r="M1357" s="3001"/>
      <c r="N1357" s="2697"/>
      <c r="P1357" s="620"/>
    </row>
    <row r="1358" spans="2:16" s="5" customFormat="1" ht="15.75" hidden="1" customHeight="1" x14ac:dyDescent="0.25">
      <c r="B1358" s="448"/>
      <c r="C1358" s="2533" t="s">
        <v>769</v>
      </c>
      <c r="D1358" s="2709">
        <v>105000000</v>
      </c>
      <c r="E1358" s="2683">
        <f>D1358/D1203*100</f>
        <v>8.1404020574036645E-2</v>
      </c>
      <c r="F1358" s="4452"/>
      <c r="G1358" s="2739"/>
      <c r="H1358" s="2999"/>
      <c r="I1358" s="2739"/>
      <c r="J1358" s="2998"/>
      <c r="K1358" s="2903"/>
      <c r="L1358" s="2710"/>
      <c r="M1358" s="2742"/>
      <c r="N1358" s="2687"/>
      <c r="P1358" s="621"/>
    </row>
    <row r="1359" spans="2:16" s="5" customFormat="1" ht="10.5" hidden="1" customHeight="1" x14ac:dyDescent="0.25">
      <c r="B1359" s="448"/>
      <c r="C1359" s="2533"/>
      <c r="D1359" s="2709"/>
      <c r="E1359" s="2683"/>
      <c r="F1359" s="4452"/>
      <c r="G1359" s="2739"/>
      <c r="H1359" s="2999"/>
      <c r="I1359" s="2739"/>
      <c r="J1359" s="2998"/>
      <c r="K1359" s="2903"/>
      <c r="L1359" s="2710"/>
      <c r="M1359" s="2742"/>
      <c r="N1359" s="2687"/>
      <c r="P1359" s="621"/>
    </row>
    <row r="1360" spans="2:16" s="4" customFormat="1" ht="30" hidden="1" customHeight="1" x14ac:dyDescent="0.25">
      <c r="B1360" s="441"/>
      <c r="C1360" s="2534" t="s">
        <v>6772</v>
      </c>
      <c r="D1360" s="2767">
        <f>D1361</f>
        <v>0</v>
      </c>
      <c r="E1360" s="2677">
        <f>D1360/D1203*100</f>
        <v>0</v>
      </c>
      <c r="F1360" s="3859"/>
      <c r="G1360" s="2766"/>
      <c r="H1360" s="3000"/>
      <c r="I1360" s="2766"/>
      <c r="J1360" s="2974"/>
      <c r="K1360" s="2905"/>
      <c r="L1360" s="2821"/>
      <c r="M1360" s="3001"/>
      <c r="N1360" s="2697"/>
      <c r="P1360" s="620"/>
    </row>
    <row r="1361" spans="2:16" s="5" customFormat="1" ht="30.75" hidden="1" customHeight="1" x14ac:dyDescent="0.25">
      <c r="B1361" s="448"/>
      <c r="C1361" s="2533" t="s">
        <v>6778</v>
      </c>
      <c r="D1361" s="2709">
        <v>0</v>
      </c>
      <c r="E1361" s="2683">
        <f>D1361/D1203*100</f>
        <v>0</v>
      </c>
      <c r="F1361" s="4452"/>
      <c r="G1361" s="2739"/>
      <c r="H1361" s="2999"/>
      <c r="I1361" s="2739"/>
      <c r="J1361" s="2998"/>
      <c r="K1361" s="2903"/>
      <c r="L1361" s="2710"/>
      <c r="M1361" s="2742"/>
      <c r="N1361" s="2687"/>
      <c r="P1361" s="621"/>
    </row>
    <row r="1362" spans="2:16" s="12" customFormat="1" ht="12" hidden="1" customHeight="1" x14ac:dyDescent="0.25">
      <c r="B1362" s="448"/>
      <c r="C1362" s="2476"/>
      <c r="D1362" s="2709"/>
      <c r="E1362" s="2985"/>
      <c r="F1362" s="4418"/>
      <c r="G1362" s="2739"/>
      <c r="H1362" s="2710"/>
      <c r="I1362" s="2742"/>
      <c r="J1362" s="2706"/>
      <c r="K1362" s="2739"/>
      <c r="L1362" s="2709"/>
      <c r="M1362" s="2742"/>
      <c r="N1362" s="2951"/>
      <c r="P1362" s="635"/>
    </row>
    <row r="1363" spans="2:16" s="5" customFormat="1" ht="17.25" hidden="1" customHeight="1" x14ac:dyDescent="0.25">
      <c r="B1363" s="453"/>
      <c r="C1363" s="2532" t="s">
        <v>774</v>
      </c>
      <c r="D1363" s="2744">
        <f>SUM(D1364+D1372+D1375)</f>
        <v>0</v>
      </c>
      <c r="E1363" s="2670">
        <f>D1363/D1203*100</f>
        <v>0</v>
      </c>
      <c r="F1363" s="3866"/>
      <c r="G1363" s="3011"/>
      <c r="H1363" s="2672"/>
      <c r="I1363" s="2674"/>
      <c r="J1363" s="2744"/>
      <c r="K1363" s="2744"/>
      <c r="L1363" s="2672"/>
      <c r="M1363" s="2674"/>
      <c r="N1363" s="2687"/>
      <c r="P1363" s="621"/>
    </row>
    <row r="1364" spans="2:16" s="5" customFormat="1" ht="21" hidden="1" customHeight="1" x14ac:dyDescent="0.25">
      <c r="B1364" s="448"/>
      <c r="C1364" s="2521" t="s">
        <v>6779</v>
      </c>
      <c r="D1364" s="2759">
        <f>SUM(D1365:D1370)</f>
        <v>0</v>
      </c>
      <c r="E1364" s="2677">
        <f>D1364/D1203*100</f>
        <v>0</v>
      </c>
      <c r="F1364" s="3865"/>
      <c r="G1364" s="2759"/>
      <c r="H1364" s="2734"/>
      <c r="I1364" s="2995"/>
      <c r="J1364" s="2759"/>
      <c r="K1364" s="2759"/>
      <c r="L1364" s="2695"/>
      <c r="M1364" s="2995"/>
      <c r="N1364" s="2687"/>
      <c r="P1364" s="621"/>
    </row>
    <row r="1365" spans="2:16" s="5" customFormat="1" ht="14.25" hidden="1" customHeight="1" x14ac:dyDescent="0.25">
      <c r="B1365" s="448"/>
      <c r="C1365" s="2473" t="s">
        <v>6782</v>
      </c>
      <c r="D1365" s="2769">
        <v>0</v>
      </c>
      <c r="E1365" s="2683">
        <f>D1365/D1203*100</f>
        <v>0</v>
      </c>
      <c r="F1365" s="4414"/>
      <c r="G1365" s="2726"/>
      <c r="H1365" s="2968"/>
      <c r="I1365" s="2726"/>
      <c r="J1365" s="2975"/>
      <c r="K1365" s="2726"/>
      <c r="L1365" s="2690"/>
      <c r="M1365" s="2726"/>
      <c r="N1365" s="2687"/>
      <c r="P1365" s="621"/>
    </row>
    <row r="1366" spans="2:16" s="5" customFormat="1" ht="16.5" hidden="1" customHeight="1" x14ac:dyDescent="0.25">
      <c r="B1366" s="448"/>
      <c r="C1366" s="2473" t="s">
        <v>6783</v>
      </c>
      <c r="D1366" s="896">
        <v>0</v>
      </c>
      <c r="E1366" s="2683">
        <f>D1366/D1203*100</f>
        <v>0</v>
      </c>
      <c r="F1366" s="4414"/>
      <c r="G1366" s="2726"/>
      <c r="H1366" s="2968"/>
      <c r="I1366" s="2726"/>
      <c r="J1366" s="2975"/>
      <c r="K1366" s="2726"/>
      <c r="L1366" s="2690"/>
      <c r="M1366" s="2726"/>
      <c r="N1366" s="2687"/>
      <c r="P1366" s="621"/>
    </row>
    <row r="1367" spans="2:16" s="5" customFormat="1" ht="14.25" hidden="1" customHeight="1" x14ac:dyDescent="0.25">
      <c r="B1367" s="448"/>
      <c r="C1367" s="2473" t="s">
        <v>6784</v>
      </c>
      <c r="D1367" s="896">
        <v>0</v>
      </c>
      <c r="E1367" s="2683">
        <f>D1367/D1203*100</f>
        <v>0</v>
      </c>
      <c r="F1367" s="4414"/>
      <c r="G1367" s="2726"/>
      <c r="H1367" s="2968"/>
      <c r="I1367" s="2726"/>
      <c r="J1367" s="2975"/>
      <c r="K1367" s="2726"/>
      <c r="L1367" s="2690"/>
      <c r="M1367" s="2726"/>
      <c r="N1367" s="2687"/>
      <c r="P1367" s="621"/>
    </row>
    <row r="1368" spans="2:16" s="5" customFormat="1" ht="14.25" hidden="1" customHeight="1" x14ac:dyDescent="0.25">
      <c r="B1368" s="448"/>
      <c r="C1368" s="2473" t="s">
        <v>6785</v>
      </c>
      <c r="D1368" s="896">
        <v>0</v>
      </c>
      <c r="E1368" s="2683">
        <f>D1368/D1203*100</f>
        <v>0</v>
      </c>
      <c r="F1368" s="4414"/>
      <c r="G1368" s="2726"/>
      <c r="H1368" s="2968"/>
      <c r="I1368" s="2726"/>
      <c r="J1368" s="2975"/>
      <c r="K1368" s="2726"/>
      <c r="L1368" s="2690"/>
      <c r="M1368" s="2726"/>
      <c r="N1368" s="2687"/>
      <c r="P1368" s="621"/>
    </row>
    <row r="1369" spans="2:16" s="5" customFormat="1" ht="14.25" hidden="1" customHeight="1" x14ac:dyDescent="0.25">
      <c r="B1369" s="448"/>
      <c r="C1369" s="2473" t="s">
        <v>6786</v>
      </c>
      <c r="D1369" s="896">
        <v>0</v>
      </c>
      <c r="E1369" s="2683">
        <f>D1369/D1203*100</f>
        <v>0</v>
      </c>
      <c r="F1369" s="4414"/>
      <c r="G1369" s="2726"/>
      <c r="H1369" s="2968"/>
      <c r="I1369" s="2726"/>
      <c r="J1369" s="2975"/>
      <c r="K1369" s="2726"/>
      <c r="L1369" s="2690"/>
      <c r="M1369" s="2726"/>
      <c r="N1369" s="2687"/>
      <c r="P1369" s="621"/>
    </row>
    <row r="1370" spans="2:16" s="5" customFormat="1" ht="14.25" hidden="1" customHeight="1" x14ac:dyDescent="0.25">
      <c r="B1370" s="448"/>
      <c r="C1370" s="2473" t="s">
        <v>6787</v>
      </c>
      <c r="D1370" s="896">
        <v>0</v>
      </c>
      <c r="E1370" s="2683">
        <f>D1370/D1203*100</f>
        <v>0</v>
      </c>
      <c r="F1370" s="4414"/>
      <c r="G1370" s="2726"/>
      <c r="H1370" s="2968"/>
      <c r="I1370" s="2726"/>
      <c r="J1370" s="2975"/>
      <c r="K1370" s="2726"/>
      <c r="L1370" s="2690"/>
      <c r="M1370" s="2726"/>
      <c r="N1370" s="2687"/>
      <c r="P1370" s="621"/>
    </row>
    <row r="1371" spans="2:16" s="5" customFormat="1" ht="11.25" hidden="1" customHeight="1" x14ac:dyDescent="0.25">
      <c r="B1371" s="448"/>
      <c r="C1371" s="2527"/>
      <c r="D1371" s="898"/>
      <c r="E1371" s="2683"/>
      <c r="F1371" s="3862"/>
      <c r="G1371" s="2726"/>
      <c r="H1371" s="2690"/>
      <c r="I1371" s="2726"/>
      <c r="J1371" s="2981"/>
      <c r="K1371" s="2726"/>
      <c r="L1371" s="2726"/>
      <c r="M1371" s="2726"/>
      <c r="N1371" s="2687"/>
      <c r="P1371" s="621"/>
    </row>
    <row r="1372" spans="2:16" s="5" customFormat="1" ht="18" hidden="1" customHeight="1" x14ac:dyDescent="0.25">
      <c r="B1372" s="448"/>
      <c r="C1372" s="2521" t="s">
        <v>6780</v>
      </c>
      <c r="D1372" s="899">
        <f>D1373</f>
        <v>0</v>
      </c>
      <c r="E1372" s="2677">
        <f>D1372/D1203*100</f>
        <v>0</v>
      </c>
      <c r="F1372" s="3862"/>
      <c r="G1372" s="2977"/>
      <c r="H1372" s="2695"/>
      <c r="I1372" s="2965"/>
      <c r="J1372" s="2983"/>
      <c r="K1372" s="2983"/>
      <c r="L1372" s="2695"/>
      <c r="M1372" s="2965"/>
      <c r="N1372" s="2687"/>
      <c r="P1372" s="621"/>
    </row>
    <row r="1373" spans="2:16" s="5" customFormat="1" ht="15" hidden="1" customHeight="1" x14ac:dyDescent="0.25">
      <c r="B1373" s="448"/>
      <c r="C1373" s="2524" t="s">
        <v>6788</v>
      </c>
      <c r="D1373" s="896">
        <v>0</v>
      </c>
      <c r="E1373" s="2683">
        <f>D1373/D1203*100</f>
        <v>0</v>
      </c>
      <c r="F1373" s="4453"/>
      <c r="G1373" s="2726"/>
      <c r="H1373" s="2690"/>
      <c r="I1373" s="2726"/>
      <c r="J1373" s="2769"/>
      <c r="K1373" s="2769"/>
      <c r="L1373" s="2690"/>
      <c r="M1373" s="2726"/>
      <c r="N1373" s="2687"/>
      <c r="P1373" s="621"/>
    </row>
    <row r="1374" spans="2:16" s="5" customFormat="1" ht="8.25" hidden="1" customHeight="1" x14ac:dyDescent="0.25">
      <c r="B1374" s="448"/>
      <c r="C1374" s="2524"/>
      <c r="D1374" s="896"/>
      <c r="E1374" s="2683"/>
      <c r="F1374" s="4446"/>
      <c r="G1374" s="2726"/>
      <c r="H1374" s="2690"/>
      <c r="I1374" s="2726"/>
      <c r="J1374" s="896"/>
      <c r="K1374" s="2726"/>
      <c r="L1374" s="2690"/>
      <c r="M1374" s="2726"/>
      <c r="N1374" s="2687"/>
      <c r="P1374" s="621"/>
    </row>
    <row r="1375" spans="2:16" s="4" customFormat="1" ht="18.75" hidden="1" customHeight="1" x14ac:dyDescent="0.25">
      <c r="B1375" s="441"/>
      <c r="C1375" s="2521" t="s">
        <v>6781</v>
      </c>
      <c r="D1375" s="2751">
        <f>D1376+D1377</f>
        <v>0</v>
      </c>
      <c r="E1375" s="2677">
        <f>D1375/D1203*100</f>
        <v>0</v>
      </c>
      <c r="F1375" s="3860"/>
      <c r="G1375" s="2965"/>
      <c r="H1375" s="2966"/>
      <c r="I1375" s="2965"/>
      <c r="J1375" s="2978"/>
      <c r="K1375" s="2965"/>
      <c r="L1375" s="2966"/>
      <c r="M1375" s="2965"/>
      <c r="N1375" s="2697"/>
      <c r="P1375" s="620"/>
    </row>
    <row r="1376" spans="2:16" s="5" customFormat="1" ht="16.5" hidden="1" customHeight="1" x14ac:dyDescent="0.25">
      <c r="B1376" s="448"/>
      <c r="C1376" s="2524" t="s">
        <v>6789</v>
      </c>
      <c r="D1376" s="896">
        <v>0</v>
      </c>
      <c r="E1376" s="2683">
        <f>D1376/D1203*100</f>
        <v>0</v>
      </c>
      <c r="F1376" s="4414"/>
      <c r="G1376" s="2726"/>
      <c r="H1376" s="2968"/>
      <c r="I1376" s="2726"/>
      <c r="J1376" s="2975"/>
      <c r="K1376" s="2726"/>
      <c r="L1376" s="2968"/>
      <c r="M1376" s="2726"/>
      <c r="N1376" s="2687"/>
      <c r="P1376" s="621"/>
    </row>
    <row r="1377" spans="2:16" s="5" customFormat="1" ht="17.25" hidden="1" customHeight="1" x14ac:dyDescent="0.25">
      <c r="B1377" s="448"/>
      <c r="C1377" s="2524" t="s">
        <v>6790</v>
      </c>
      <c r="D1377" s="896">
        <v>0</v>
      </c>
      <c r="E1377" s="2683">
        <f>D1377/D1203*100</f>
        <v>0</v>
      </c>
      <c r="F1377" s="4414"/>
      <c r="G1377" s="2726"/>
      <c r="H1377" s="2690"/>
      <c r="I1377" s="2726"/>
      <c r="J1377" s="2975"/>
      <c r="K1377" s="2726"/>
      <c r="L1377" s="2690"/>
      <c r="M1377" s="2726"/>
      <c r="N1377" s="2687"/>
      <c r="P1377" s="621"/>
    </row>
    <row r="1378" spans="2:16" s="12" customFormat="1" ht="12" hidden="1" customHeight="1" x14ac:dyDescent="0.25">
      <c r="B1378" s="448"/>
      <c r="C1378" s="2476"/>
      <c r="D1378" s="2709"/>
      <c r="E1378" s="2985"/>
      <c r="F1378" s="4418"/>
      <c r="G1378" s="2739"/>
      <c r="H1378" s="2710"/>
      <c r="I1378" s="2742"/>
      <c r="J1378" s="2706"/>
      <c r="K1378" s="2739"/>
      <c r="L1378" s="2709"/>
      <c r="M1378" s="2742"/>
      <c r="N1378" s="2951"/>
      <c r="P1378" s="635"/>
    </row>
    <row r="1379" spans="2:16" s="5" customFormat="1" ht="30" hidden="1" customHeight="1" x14ac:dyDescent="0.25">
      <c r="B1379" s="453"/>
      <c r="C1379" s="2471" t="s">
        <v>784</v>
      </c>
      <c r="D1379" s="3011">
        <f>SUM(D1380+D1389+D1392+D1395+D1400+D1404+D1407+D1410+D1413+D1416+D1419+D1422)</f>
        <v>3753959882</v>
      </c>
      <c r="E1379" s="2670">
        <f>D1379/D1203*100</f>
        <v>2.9103564520803449</v>
      </c>
      <c r="F1379" s="3863"/>
      <c r="G1379" s="2674"/>
      <c r="H1379" s="2996"/>
      <c r="I1379" s="2674"/>
      <c r="J1379" s="2988"/>
      <c r="K1379" s="2988"/>
      <c r="L1379" s="2672"/>
      <c r="M1379" s="2987"/>
      <c r="N1379" s="2687"/>
      <c r="P1379" s="621"/>
    </row>
    <row r="1380" spans="2:16" s="5" customFormat="1" ht="24" hidden="1" customHeight="1" x14ac:dyDescent="0.25">
      <c r="B1380" s="448"/>
      <c r="C1380" s="2536" t="s">
        <v>6791</v>
      </c>
      <c r="D1380" s="2826">
        <f>SUM(D1381:D1387)</f>
        <v>1604742252</v>
      </c>
      <c r="E1380" s="2677">
        <f>D1380/D1203*100</f>
        <v>1.2441187742650848</v>
      </c>
      <c r="F1380" s="3867"/>
      <c r="G1380" s="2995"/>
      <c r="H1380" s="2997"/>
      <c r="I1380" s="2995"/>
      <c r="J1380" s="3013"/>
      <c r="K1380" s="3013"/>
      <c r="L1380" s="2695"/>
      <c r="M1380" s="2965"/>
      <c r="N1380" s="2687"/>
      <c r="P1380" s="621"/>
    </row>
    <row r="1381" spans="2:16" s="5" customFormat="1" ht="30" hidden="1" customHeight="1" x14ac:dyDescent="0.25">
      <c r="B1381" s="448"/>
      <c r="C1381" s="2524" t="s">
        <v>6795</v>
      </c>
      <c r="D1381" s="896">
        <v>185812500</v>
      </c>
      <c r="E1381" s="2683">
        <f>D1381/D1203*100</f>
        <v>0.14405604355155416</v>
      </c>
      <c r="F1381" s="4414"/>
      <c r="G1381" s="2762"/>
      <c r="H1381" s="3014"/>
      <c r="I1381" s="2762"/>
      <c r="J1381" s="2975"/>
      <c r="K1381" s="2762"/>
      <c r="L1381" s="2690"/>
      <c r="M1381" s="2762"/>
      <c r="N1381" s="2687"/>
      <c r="P1381" s="621"/>
    </row>
    <row r="1382" spans="2:16" s="5" customFormat="1" ht="30" hidden="1" customHeight="1" x14ac:dyDescent="0.25">
      <c r="B1382" s="448"/>
      <c r="C1382" s="2524" t="s">
        <v>6796</v>
      </c>
      <c r="D1382" s="896">
        <v>211377400</v>
      </c>
      <c r="E1382" s="2683">
        <f>D1382/D1203*100</f>
        <v>0.16387590684272738</v>
      </c>
      <c r="F1382" s="3862"/>
      <c r="G1382" s="2726"/>
      <c r="H1382" s="2690"/>
      <c r="I1382" s="2757"/>
      <c r="J1382" s="2981"/>
      <c r="K1382" s="2726"/>
      <c r="L1382" s="896"/>
      <c r="M1382" s="2757"/>
      <c r="N1382" s="2687"/>
      <c r="P1382" s="621"/>
    </row>
    <row r="1383" spans="2:16" s="5" customFormat="1" ht="29.25" hidden="1" customHeight="1" x14ac:dyDescent="0.25">
      <c r="B1383" s="448"/>
      <c r="C1383" s="2524" t="s">
        <v>6797</v>
      </c>
      <c r="D1383" s="896">
        <v>167628500</v>
      </c>
      <c r="E1383" s="2683">
        <f>D1383/D1203*100</f>
        <v>0.12995841774090383</v>
      </c>
      <c r="F1383" s="3862"/>
      <c r="G1383" s="2762"/>
      <c r="H1383" s="2760"/>
      <c r="I1383" s="2761"/>
      <c r="J1383" s="2981"/>
      <c r="K1383" s="2726"/>
      <c r="L1383" s="896"/>
      <c r="M1383" s="2757"/>
      <c r="N1383" s="2687"/>
      <c r="P1383" s="621"/>
    </row>
    <row r="1384" spans="2:16" s="5" customFormat="1" ht="18" hidden="1" customHeight="1" x14ac:dyDescent="0.25">
      <c r="B1384" s="448"/>
      <c r="C1384" s="2524" t="s">
        <v>6798</v>
      </c>
      <c r="D1384" s="896">
        <v>626031700</v>
      </c>
      <c r="E1384" s="2683">
        <f>D1384/D1203*100</f>
        <v>0.48534759415999179</v>
      </c>
      <c r="F1384" s="3862"/>
      <c r="G1384" s="2762"/>
      <c r="H1384" s="2760"/>
      <c r="I1384" s="2761"/>
      <c r="J1384" s="2981"/>
      <c r="K1384" s="2726"/>
      <c r="L1384" s="896"/>
      <c r="M1384" s="2757"/>
      <c r="N1384" s="2687"/>
      <c r="P1384" s="621"/>
    </row>
    <row r="1385" spans="2:16" s="5" customFormat="1" ht="17.25" hidden="1" customHeight="1" x14ac:dyDescent="0.25">
      <c r="B1385" s="448"/>
      <c r="C1385" s="2524" t="s">
        <v>6799</v>
      </c>
      <c r="D1385" s="896">
        <v>308839252</v>
      </c>
      <c r="E1385" s="2683">
        <f>D1385/D1203*100</f>
        <v>0.23943577927502943</v>
      </c>
      <c r="F1385" s="3862"/>
      <c r="G1385" s="2762"/>
      <c r="H1385" s="2760"/>
      <c r="I1385" s="2761"/>
      <c r="J1385" s="2981"/>
      <c r="K1385" s="2726"/>
      <c r="L1385" s="896"/>
      <c r="M1385" s="2757"/>
      <c r="N1385" s="2687"/>
      <c r="P1385" s="621"/>
    </row>
    <row r="1386" spans="2:16" s="5" customFormat="1" ht="16.5" hidden="1" customHeight="1" x14ac:dyDescent="0.25">
      <c r="B1386" s="448"/>
      <c r="C1386" s="2524" t="s">
        <v>6800</v>
      </c>
      <c r="D1386" s="896">
        <v>37788000</v>
      </c>
      <c r="E1386" s="2683">
        <f>D1386/D1203*100</f>
        <v>2.9296144090016164E-2</v>
      </c>
      <c r="F1386" s="3862"/>
      <c r="G1386" s="2762"/>
      <c r="H1386" s="2760"/>
      <c r="I1386" s="2761"/>
      <c r="J1386" s="2981"/>
      <c r="K1386" s="2726"/>
      <c r="L1386" s="896"/>
      <c r="M1386" s="2757"/>
      <c r="N1386" s="2687"/>
      <c r="P1386" s="621"/>
    </row>
    <row r="1387" spans="2:16" s="5" customFormat="1" ht="19.5" hidden="1" customHeight="1" x14ac:dyDescent="0.25">
      <c r="B1387" s="448"/>
      <c r="C1387" s="2524" t="s">
        <v>6801</v>
      </c>
      <c r="D1387" s="896">
        <v>67264900</v>
      </c>
      <c r="E1387" s="2683">
        <f>D1387/D1203*100</f>
        <v>5.2148888604862075E-2</v>
      </c>
      <c r="F1387" s="3862"/>
      <c r="G1387" s="2762"/>
      <c r="H1387" s="2760"/>
      <c r="I1387" s="2761"/>
      <c r="J1387" s="2981"/>
      <c r="K1387" s="2726"/>
      <c r="L1387" s="896"/>
      <c r="M1387" s="2757"/>
      <c r="N1387" s="2687"/>
      <c r="P1387" s="621"/>
    </row>
    <row r="1388" spans="2:16" s="5" customFormat="1" ht="11.25" hidden="1" customHeight="1" x14ac:dyDescent="0.25">
      <c r="B1388" s="448"/>
      <c r="C1388" s="2527"/>
      <c r="D1388" s="898"/>
      <c r="E1388" s="3010"/>
      <c r="F1388" s="3862"/>
      <c r="G1388" s="2762"/>
      <c r="H1388" s="2760"/>
      <c r="I1388" s="2761"/>
      <c r="J1388" s="2981"/>
      <c r="K1388" s="2726"/>
      <c r="L1388" s="896"/>
      <c r="M1388" s="2757"/>
      <c r="N1388" s="2687"/>
      <c r="P1388" s="621"/>
    </row>
    <row r="1389" spans="2:16" s="5" customFormat="1" ht="16.5" hidden="1" customHeight="1" x14ac:dyDescent="0.25">
      <c r="B1389" s="448"/>
      <c r="C1389" s="2525" t="s">
        <v>450</v>
      </c>
      <c r="D1389" s="899">
        <f>D1390</f>
        <v>152112500</v>
      </c>
      <c r="E1389" s="2677">
        <f>D1389/D1203*100</f>
        <v>0.11792922932922047</v>
      </c>
      <c r="F1389" s="3862"/>
      <c r="G1389" s="2995"/>
      <c r="H1389" s="2997"/>
      <c r="I1389" s="2995"/>
      <c r="J1389" s="2983"/>
      <c r="K1389" s="2983"/>
      <c r="L1389" s="2695"/>
      <c r="M1389" s="2970"/>
      <c r="N1389" s="2687"/>
      <c r="P1389" s="621"/>
    </row>
    <row r="1390" spans="2:16" s="5" customFormat="1" ht="30.75" hidden="1" customHeight="1" x14ac:dyDescent="0.25">
      <c r="B1390" s="448"/>
      <c r="C1390" s="2473" t="s">
        <v>793</v>
      </c>
      <c r="D1390" s="896">
        <v>152112500</v>
      </c>
      <c r="E1390" s="2683">
        <f>D1390/D1203*100</f>
        <v>0.11792922932922047</v>
      </c>
      <c r="F1390" s="4414"/>
      <c r="G1390" s="2762"/>
      <c r="H1390" s="3014"/>
      <c r="I1390" s="2762"/>
      <c r="J1390" s="2975"/>
      <c r="K1390" s="2920"/>
      <c r="L1390" s="2690"/>
      <c r="M1390" s="2757"/>
      <c r="N1390" s="2687"/>
      <c r="P1390" s="621"/>
    </row>
    <row r="1391" spans="2:16" s="5" customFormat="1" ht="10.5" hidden="1" customHeight="1" x14ac:dyDescent="0.25">
      <c r="B1391" s="448"/>
      <c r="C1391" s="2528"/>
      <c r="D1391" s="898"/>
      <c r="E1391" s="3010"/>
      <c r="F1391" s="3861"/>
      <c r="G1391" s="2726"/>
      <c r="H1391" s="2690"/>
      <c r="I1391" s="2757"/>
      <c r="J1391" s="898"/>
      <c r="K1391" s="2726"/>
      <c r="L1391" s="896"/>
      <c r="M1391" s="2757"/>
      <c r="N1391" s="2687"/>
      <c r="P1391" s="621"/>
    </row>
    <row r="1392" spans="2:16" s="5" customFormat="1" ht="18" hidden="1" customHeight="1" x14ac:dyDescent="0.25">
      <c r="B1392" s="448"/>
      <c r="C1392" s="2525" t="s">
        <v>455</v>
      </c>
      <c r="D1392" s="2751">
        <f>D1393</f>
        <v>0</v>
      </c>
      <c r="E1392" s="2677">
        <f>D1392/D1203*100</f>
        <v>0</v>
      </c>
      <c r="F1392" s="3864"/>
      <c r="G1392" s="2995"/>
      <c r="H1392" s="2997"/>
      <c r="I1392" s="2995"/>
      <c r="J1392" s="2751"/>
      <c r="K1392" s="2751"/>
      <c r="L1392" s="3015"/>
      <c r="M1392" s="2970"/>
      <c r="N1392" s="2687"/>
      <c r="P1392" s="621"/>
    </row>
    <row r="1393" spans="2:16" s="5" customFormat="1" ht="19.5" hidden="1" customHeight="1" x14ac:dyDescent="0.25">
      <c r="B1393" s="448"/>
      <c r="C1393" s="2524" t="s">
        <v>6802</v>
      </c>
      <c r="D1393" s="896">
        <v>0</v>
      </c>
      <c r="E1393" s="2683">
        <f>D1393/D1203*100</f>
        <v>0</v>
      </c>
      <c r="F1393" s="4414"/>
      <c r="G1393" s="2762"/>
      <c r="H1393" s="3014"/>
      <c r="I1393" s="2762"/>
      <c r="J1393" s="2975"/>
      <c r="K1393" s="2726"/>
      <c r="L1393" s="2690"/>
      <c r="M1393" s="2757"/>
      <c r="N1393" s="2687"/>
      <c r="P1393" s="621"/>
    </row>
    <row r="1394" spans="2:16" s="5" customFormat="1" ht="9.75" hidden="1" customHeight="1" x14ac:dyDescent="0.25">
      <c r="B1394" s="448"/>
      <c r="C1394" s="2527"/>
      <c r="D1394" s="898"/>
      <c r="E1394" s="3010"/>
      <c r="F1394" s="3861"/>
      <c r="G1394" s="2726"/>
      <c r="H1394" s="2690"/>
      <c r="I1394" s="2757"/>
      <c r="J1394" s="898"/>
      <c r="K1394" s="2726"/>
      <c r="L1394" s="896"/>
      <c r="M1394" s="2757"/>
      <c r="N1394" s="2687"/>
      <c r="P1394" s="621"/>
    </row>
    <row r="1395" spans="2:16" s="5" customFormat="1" ht="30.75" hidden="1" customHeight="1" x14ac:dyDescent="0.25">
      <c r="B1395" s="448"/>
      <c r="C1395" s="2525" t="s">
        <v>795</v>
      </c>
      <c r="D1395" s="899">
        <f>SUM(D1396:D1398)</f>
        <v>432981400</v>
      </c>
      <c r="E1395" s="2677">
        <f>D1395/D1203*100</f>
        <v>0.33568025517881139</v>
      </c>
      <c r="F1395" s="3862"/>
      <c r="G1395" s="2995"/>
      <c r="H1395" s="2997"/>
      <c r="I1395" s="2995"/>
      <c r="J1395" s="2983"/>
      <c r="K1395" s="2983"/>
      <c r="L1395" s="2695"/>
      <c r="M1395" s="2965"/>
      <c r="N1395" s="2687"/>
      <c r="P1395" s="621"/>
    </row>
    <row r="1396" spans="2:16" s="5" customFormat="1" ht="22.5" hidden="1" customHeight="1" x14ac:dyDescent="0.25">
      <c r="B1396" s="448"/>
      <c r="C1396" s="2473" t="s">
        <v>6803</v>
      </c>
      <c r="D1396" s="896">
        <v>116532400</v>
      </c>
      <c r="E1396" s="2683">
        <f>D1396/D1203*100</f>
        <v>9.0344817972779698E-2</v>
      </c>
      <c r="F1396" s="4414"/>
      <c r="G1396" s="2762"/>
      <c r="H1396" s="3014"/>
      <c r="I1396" s="2762"/>
      <c r="J1396" s="2975"/>
      <c r="K1396" s="2762"/>
      <c r="L1396" s="2690"/>
      <c r="M1396" s="2762"/>
      <c r="N1396" s="2687"/>
      <c r="P1396" s="621"/>
    </row>
    <row r="1397" spans="2:16" s="5" customFormat="1" ht="28.5" hidden="1" customHeight="1" x14ac:dyDescent="0.25">
      <c r="B1397" s="448"/>
      <c r="C1397" s="2524" t="s">
        <v>6804</v>
      </c>
      <c r="D1397" s="896">
        <v>176189400</v>
      </c>
      <c r="E1397" s="2683">
        <f>D1397/D1203*100</f>
        <v>0.13659548135740165</v>
      </c>
      <c r="F1397" s="4414"/>
      <c r="G1397" s="2739"/>
      <c r="H1397" s="2710"/>
      <c r="I1397" s="2742"/>
      <c r="J1397" s="2998"/>
      <c r="K1397" s="2739"/>
      <c r="L1397" s="2709"/>
      <c r="M1397" s="2742"/>
      <c r="N1397" s="2687"/>
      <c r="P1397" s="621"/>
    </row>
    <row r="1398" spans="2:16" s="5" customFormat="1" ht="27.75" hidden="1" customHeight="1" x14ac:dyDescent="0.25">
      <c r="B1398" s="448"/>
      <c r="C1398" s="2524" t="s">
        <v>798</v>
      </c>
      <c r="D1398" s="896">
        <v>140259600</v>
      </c>
      <c r="E1398" s="2683">
        <f>D1398/D1203*100</f>
        <v>0.10873995584863001</v>
      </c>
      <c r="F1398" s="4414"/>
      <c r="G1398" s="2726"/>
      <c r="H1398" s="2690"/>
      <c r="I1398" s="2757"/>
      <c r="J1398" s="2975"/>
      <c r="K1398" s="2726"/>
      <c r="L1398" s="896"/>
      <c r="M1398" s="2742"/>
      <c r="N1398" s="2687"/>
      <c r="P1398" s="621"/>
    </row>
    <row r="1399" spans="2:16" s="5" customFormat="1" ht="11.25" hidden="1" customHeight="1" x14ac:dyDescent="0.25">
      <c r="B1399" s="448"/>
      <c r="C1399" s="2527"/>
      <c r="D1399" s="898"/>
      <c r="E1399" s="2985"/>
      <c r="F1399" s="3862"/>
      <c r="G1399" s="2754"/>
      <c r="H1399" s="2752"/>
      <c r="I1399" s="2753"/>
      <c r="J1399" s="3016"/>
      <c r="K1399" s="2754"/>
      <c r="L1399" s="2769"/>
      <c r="M1399" s="2742"/>
      <c r="N1399" s="2687"/>
      <c r="P1399" s="621"/>
    </row>
    <row r="1400" spans="2:16" s="5" customFormat="1" ht="17.25" hidden="1" customHeight="1" x14ac:dyDescent="0.25">
      <c r="B1400" s="448"/>
      <c r="C1400" s="2525" t="s">
        <v>799</v>
      </c>
      <c r="D1400" s="899">
        <f>D1401+D1402</f>
        <v>271223700</v>
      </c>
      <c r="E1400" s="2969">
        <f>D1400/D1203*100</f>
        <v>0.21027333004729853</v>
      </c>
      <c r="F1400" s="3862"/>
      <c r="G1400" s="2995"/>
      <c r="H1400" s="2997"/>
      <c r="I1400" s="2995"/>
      <c r="J1400" s="2983"/>
      <c r="K1400" s="2983"/>
      <c r="L1400" s="2695"/>
      <c r="M1400" s="2965"/>
      <c r="N1400" s="2687"/>
      <c r="P1400" s="621"/>
    </row>
    <row r="1401" spans="2:16" s="5" customFormat="1" ht="18" hidden="1" customHeight="1" x14ac:dyDescent="0.25">
      <c r="B1401" s="448"/>
      <c r="C1401" s="2524" t="s">
        <v>800</v>
      </c>
      <c r="D1401" s="896">
        <v>146174500</v>
      </c>
      <c r="E1401" s="2967">
        <f>D1401/D1203*100</f>
        <v>0.11332563814666211</v>
      </c>
      <c r="F1401" s="4414"/>
      <c r="G1401" s="2726"/>
      <c r="H1401" s="2968"/>
      <c r="I1401" s="2726"/>
      <c r="J1401" s="2975"/>
      <c r="K1401" s="2726"/>
      <c r="L1401" s="2690"/>
      <c r="M1401" s="2726"/>
      <c r="N1401" s="2687"/>
      <c r="P1401" s="621"/>
    </row>
    <row r="1402" spans="2:16" s="5" customFormat="1" ht="18" hidden="1" customHeight="1" x14ac:dyDescent="0.25">
      <c r="B1402" s="448"/>
      <c r="C1402" s="2524" t="s">
        <v>6805</v>
      </c>
      <c r="D1402" s="896">
        <v>125049200</v>
      </c>
      <c r="E1402" s="2967">
        <f>D1402/D1203*100</f>
        <v>9.6947691900636415E-2</v>
      </c>
      <c r="F1402" s="4414"/>
      <c r="G1402" s="2726"/>
      <c r="H1402" s="2968"/>
      <c r="I1402" s="2726"/>
      <c r="J1402" s="2975"/>
      <c r="K1402" s="2726"/>
      <c r="L1402" s="2690"/>
      <c r="M1402" s="2726"/>
      <c r="N1402" s="2687"/>
      <c r="P1402" s="621"/>
    </row>
    <row r="1403" spans="2:16" s="5" customFormat="1" ht="12" hidden="1" customHeight="1" x14ac:dyDescent="0.25">
      <c r="B1403" s="448"/>
      <c r="C1403" s="2524"/>
      <c r="D1403" s="898"/>
      <c r="E1403" s="2967"/>
      <c r="F1403" s="4414"/>
      <c r="G1403" s="2726"/>
      <c r="H1403" s="2968"/>
      <c r="I1403" s="2726"/>
      <c r="J1403" s="2975"/>
      <c r="K1403" s="2726"/>
      <c r="L1403" s="2690"/>
      <c r="M1403" s="2726"/>
      <c r="N1403" s="2687"/>
      <c r="P1403" s="621"/>
    </row>
    <row r="1404" spans="2:16" s="4" customFormat="1" ht="18" hidden="1" customHeight="1" x14ac:dyDescent="0.25">
      <c r="B1404" s="441"/>
      <c r="C1404" s="2525" t="s">
        <v>801</v>
      </c>
      <c r="D1404" s="899">
        <f>D1405</f>
        <v>229044530</v>
      </c>
      <c r="E1404" s="2969">
        <f>D1404/D1203*100</f>
        <v>0.1775728155475291</v>
      </c>
      <c r="F1404" s="3862"/>
      <c r="G1404" s="2965"/>
      <c r="H1404" s="2966"/>
      <c r="I1404" s="2965"/>
      <c r="J1404" s="2983"/>
      <c r="K1404" s="2965"/>
      <c r="L1404" s="2695"/>
      <c r="M1404" s="2965"/>
      <c r="N1404" s="2697"/>
      <c r="P1404" s="620"/>
    </row>
    <row r="1405" spans="2:16" s="5" customFormat="1" ht="18" hidden="1" customHeight="1" x14ac:dyDescent="0.25">
      <c r="B1405" s="448"/>
      <c r="C1405" s="2524" t="s">
        <v>802</v>
      </c>
      <c r="D1405" s="896">
        <v>229044530</v>
      </c>
      <c r="E1405" s="2967">
        <f>D1405/D1203*100</f>
        <v>0.1775728155475291</v>
      </c>
      <c r="F1405" s="4414"/>
      <c r="G1405" s="2726"/>
      <c r="H1405" s="2968"/>
      <c r="I1405" s="2726"/>
      <c r="J1405" s="2975"/>
      <c r="K1405" s="2726"/>
      <c r="L1405" s="2690"/>
      <c r="M1405" s="2726"/>
      <c r="N1405" s="2687"/>
      <c r="P1405" s="621"/>
    </row>
    <row r="1406" spans="2:16" s="5" customFormat="1" ht="9.75" hidden="1" customHeight="1" x14ac:dyDescent="0.25">
      <c r="B1406" s="448"/>
      <c r="C1406" s="2524"/>
      <c r="D1406" s="898"/>
      <c r="E1406" s="2967"/>
      <c r="F1406" s="4414"/>
      <c r="G1406" s="2726"/>
      <c r="H1406" s="2968"/>
      <c r="I1406" s="2726"/>
      <c r="J1406" s="2975"/>
      <c r="K1406" s="2726"/>
      <c r="L1406" s="2690"/>
      <c r="M1406" s="2726"/>
      <c r="N1406" s="2687"/>
      <c r="P1406" s="621"/>
    </row>
    <row r="1407" spans="2:16" s="4" customFormat="1" ht="18" hidden="1" customHeight="1" x14ac:dyDescent="0.25">
      <c r="B1407" s="441"/>
      <c r="C1407" s="2525" t="s">
        <v>803</v>
      </c>
      <c r="D1407" s="899">
        <f>D1408</f>
        <v>127300000</v>
      </c>
      <c r="E1407" s="2969">
        <f>D1407/D1203*100</f>
        <v>9.869268399118919E-2</v>
      </c>
      <c r="F1407" s="3862"/>
      <c r="G1407" s="2965"/>
      <c r="H1407" s="2966"/>
      <c r="I1407" s="2965"/>
      <c r="J1407" s="2983"/>
      <c r="K1407" s="2965"/>
      <c r="L1407" s="2695"/>
      <c r="M1407" s="2965"/>
      <c r="N1407" s="2697"/>
      <c r="P1407" s="620"/>
    </row>
    <row r="1408" spans="2:16" s="5" customFormat="1" ht="18" hidden="1" customHeight="1" x14ac:dyDescent="0.25">
      <c r="B1408" s="448"/>
      <c r="C1408" s="2524" t="s">
        <v>6806</v>
      </c>
      <c r="D1408" s="896">
        <v>127300000</v>
      </c>
      <c r="E1408" s="2967">
        <f>D1408/D1203*100</f>
        <v>9.869268399118919E-2</v>
      </c>
      <c r="F1408" s="4414"/>
      <c r="G1408" s="2726"/>
      <c r="H1408" s="2968"/>
      <c r="I1408" s="2726"/>
      <c r="J1408" s="2975"/>
      <c r="K1408" s="2726"/>
      <c r="L1408" s="2690"/>
      <c r="M1408" s="2726"/>
      <c r="N1408" s="2687"/>
      <c r="P1408" s="621"/>
    </row>
    <row r="1409" spans="2:16" s="5" customFormat="1" ht="9.75" hidden="1" customHeight="1" x14ac:dyDescent="0.25">
      <c r="B1409" s="448"/>
      <c r="C1409" s="2524"/>
      <c r="D1409" s="898"/>
      <c r="E1409" s="2967"/>
      <c r="F1409" s="4414"/>
      <c r="G1409" s="2726"/>
      <c r="H1409" s="2968"/>
      <c r="I1409" s="2726"/>
      <c r="J1409" s="2975"/>
      <c r="K1409" s="2726"/>
      <c r="L1409" s="2690"/>
      <c r="M1409" s="2726"/>
      <c r="N1409" s="2687"/>
      <c r="P1409" s="621"/>
    </row>
    <row r="1410" spans="2:16" s="4" customFormat="1" ht="28.5" hidden="1" customHeight="1" x14ac:dyDescent="0.25">
      <c r="B1410" s="441"/>
      <c r="C1410" s="2525" t="s">
        <v>805</v>
      </c>
      <c r="D1410" s="899">
        <f>D1411</f>
        <v>145500000</v>
      </c>
      <c r="E1410" s="2969">
        <f>D1410/D1203*100</f>
        <v>0.11280271422402222</v>
      </c>
      <c r="F1410" s="3862"/>
      <c r="G1410" s="2965"/>
      <c r="H1410" s="2966"/>
      <c r="I1410" s="2965"/>
      <c r="J1410" s="2983"/>
      <c r="K1410" s="2965"/>
      <c r="L1410" s="2695"/>
      <c r="M1410" s="2965"/>
      <c r="N1410" s="2697"/>
      <c r="P1410" s="620"/>
    </row>
    <row r="1411" spans="2:16" s="5" customFormat="1" ht="18" hidden="1" customHeight="1" x14ac:dyDescent="0.25">
      <c r="B1411" s="448"/>
      <c r="C1411" s="2524" t="s">
        <v>6807</v>
      </c>
      <c r="D1411" s="896">
        <v>145500000</v>
      </c>
      <c r="E1411" s="2967">
        <f>D1411/D1203*100</f>
        <v>0.11280271422402222</v>
      </c>
      <c r="F1411" s="4414"/>
      <c r="G1411" s="2726"/>
      <c r="H1411" s="2968"/>
      <c r="I1411" s="2726"/>
      <c r="J1411" s="2975"/>
      <c r="K1411" s="2726"/>
      <c r="L1411" s="2690"/>
      <c r="M1411" s="2726"/>
      <c r="N1411" s="2687"/>
      <c r="P1411" s="621"/>
    </row>
    <row r="1412" spans="2:16" s="5" customFormat="1" ht="12" hidden="1" customHeight="1" x14ac:dyDescent="0.25">
      <c r="B1412" s="448"/>
      <c r="C1412" s="2524"/>
      <c r="D1412" s="898"/>
      <c r="E1412" s="2967"/>
      <c r="F1412" s="4414"/>
      <c r="G1412" s="2726"/>
      <c r="H1412" s="2968"/>
      <c r="I1412" s="2726"/>
      <c r="J1412" s="2975"/>
      <c r="K1412" s="2726"/>
      <c r="L1412" s="2690"/>
      <c r="M1412" s="2726"/>
      <c r="N1412" s="2687"/>
      <c r="P1412" s="621"/>
    </row>
    <row r="1413" spans="2:16" s="4" customFormat="1" ht="31.5" hidden="1" customHeight="1" x14ac:dyDescent="0.25">
      <c r="B1413" s="441"/>
      <c r="C1413" s="2525" t="s">
        <v>807</v>
      </c>
      <c r="D1413" s="899">
        <f>D1414</f>
        <v>184889400</v>
      </c>
      <c r="E1413" s="2969">
        <f>D1413/D1206*100</f>
        <v>9.7723219712786147</v>
      </c>
      <c r="F1413" s="3862"/>
      <c r="G1413" s="2965"/>
      <c r="H1413" s="2966"/>
      <c r="I1413" s="2965"/>
      <c r="J1413" s="2983"/>
      <c r="K1413" s="2965"/>
      <c r="L1413" s="2695"/>
      <c r="M1413" s="2965"/>
      <c r="N1413" s="2697"/>
      <c r="P1413" s="620"/>
    </row>
    <row r="1414" spans="2:16" s="5" customFormat="1" ht="19.5" hidden="1" customHeight="1" x14ac:dyDescent="0.25">
      <c r="B1414" s="448"/>
      <c r="C1414" s="2524" t="s">
        <v>6808</v>
      </c>
      <c r="D1414" s="896">
        <v>184889400</v>
      </c>
      <c r="E1414" s="2967">
        <f>D1414/D1207*100</f>
        <v>9.7723219712786147</v>
      </c>
      <c r="F1414" s="4414"/>
      <c r="G1414" s="2726"/>
      <c r="H1414" s="2968"/>
      <c r="I1414" s="2726"/>
      <c r="J1414" s="2975"/>
      <c r="K1414" s="2726"/>
      <c r="L1414" s="2690"/>
      <c r="M1414" s="2726"/>
      <c r="N1414" s="2687"/>
      <c r="P1414" s="621"/>
    </row>
    <row r="1415" spans="2:16" s="5" customFormat="1" ht="10.5" hidden="1" customHeight="1" x14ac:dyDescent="0.25">
      <c r="B1415" s="448"/>
      <c r="C1415" s="2524"/>
      <c r="D1415" s="898" t="s">
        <v>809</v>
      </c>
      <c r="E1415" s="2967"/>
      <c r="F1415" s="4414"/>
      <c r="G1415" s="2726"/>
      <c r="H1415" s="2968"/>
      <c r="I1415" s="2726"/>
      <c r="J1415" s="2975"/>
      <c r="K1415" s="2726"/>
      <c r="L1415" s="2690"/>
      <c r="M1415" s="2726"/>
      <c r="N1415" s="2687"/>
      <c r="P1415" s="621"/>
    </row>
    <row r="1416" spans="2:16" s="4" customFormat="1" ht="15.75" hidden="1" customHeight="1" x14ac:dyDescent="0.25">
      <c r="B1416" s="441"/>
      <c r="C1416" s="2525" t="s">
        <v>6792</v>
      </c>
      <c r="D1416" s="899">
        <f>D1417</f>
        <v>209204300</v>
      </c>
      <c r="E1416" s="2969">
        <f>D1416/D1203*100</f>
        <v>0.1621911537273994</v>
      </c>
      <c r="F1416" s="3862"/>
      <c r="G1416" s="2965"/>
      <c r="H1416" s="2966"/>
      <c r="I1416" s="2965"/>
      <c r="J1416" s="2983"/>
      <c r="K1416" s="2965"/>
      <c r="L1416" s="2695"/>
      <c r="M1416" s="2965"/>
      <c r="N1416" s="2697"/>
      <c r="P1416" s="620"/>
    </row>
    <row r="1417" spans="2:16" s="5" customFormat="1" ht="32.25" hidden="1" customHeight="1" x14ac:dyDescent="0.25">
      <c r="B1417" s="448"/>
      <c r="C1417" s="2524" t="s">
        <v>6809</v>
      </c>
      <c r="D1417" s="896">
        <v>209204300</v>
      </c>
      <c r="E1417" s="2967">
        <f>D1417/D1203*100</f>
        <v>0.1621911537273994</v>
      </c>
      <c r="F1417" s="4414"/>
      <c r="G1417" s="2726"/>
      <c r="H1417" s="2968"/>
      <c r="I1417" s="2726"/>
      <c r="J1417" s="2975"/>
      <c r="K1417" s="2726"/>
      <c r="L1417" s="2690"/>
      <c r="M1417" s="2726"/>
      <c r="N1417" s="2687"/>
      <c r="P1417" s="621"/>
    </row>
    <row r="1418" spans="2:16" s="5" customFormat="1" ht="9.75" hidden="1" customHeight="1" x14ac:dyDescent="0.25">
      <c r="B1418" s="448"/>
      <c r="C1418" s="2524"/>
      <c r="D1418" s="898"/>
      <c r="E1418" s="2967"/>
      <c r="F1418" s="4414"/>
      <c r="G1418" s="2726"/>
      <c r="H1418" s="2968"/>
      <c r="I1418" s="2726"/>
      <c r="J1418" s="2975"/>
      <c r="K1418" s="2726"/>
      <c r="L1418" s="2690"/>
      <c r="M1418" s="2726"/>
      <c r="N1418" s="2687"/>
      <c r="P1418" s="621"/>
    </row>
    <row r="1419" spans="2:16" s="4" customFormat="1" ht="29.25" hidden="1" customHeight="1" x14ac:dyDescent="0.25">
      <c r="B1419" s="441"/>
      <c r="C1419" s="2525" t="s">
        <v>6793</v>
      </c>
      <c r="D1419" s="899">
        <f>D1420</f>
        <v>177600000</v>
      </c>
      <c r="E1419" s="2969">
        <f>D1419/D1203*100</f>
        <v>0.13768908622808484</v>
      </c>
      <c r="F1419" s="3862"/>
      <c r="G1419" s="2965"/>
      <c r="H1419" s="2966"/>
      <c r="I1419" s="2965"/>
      <c r="J1419" s="2983"/>
      <c r="K1419" s="2965"/>
      <c r="L1419" s="2695"/>
      <c r="M1419" s="2965"/>
      <c r="N1419" s="2697"/>
      <c r="P1419" s="620"/>
    </row>
    <row r="1420" spans="2:16" s="5" customFormat="1" ht="21" hidden="1" customHeight="1" x14ac:dyDescent="0.25">
      <c r="B1420" s="448"/>
      <c r="C1420" s="2524" t="s">
        <v>6810</v>
      </c>
      <c r="D1420" s="896">
        <v>177600000</v>
      </c>
      <c r="E1420" s="2967">
        <f>D1420/D1203*100</f>
        <v>0.13768908622808484</v>
      </c>
      <c r="F1420" s="3868"/>
      <c r="G1420" s="3018"/>
      <c r="H1420" s="3019"/>
      <c r="I1420" s="3018"/>
      <c r="J1420" s="3020"/>
      <c r="K1420" s="3018"/>
      <c r="L1420" s="3018"/>
      <c r="M1420" s="3018"/>
      <c r="N1420" s="2687"/>
      <c r="P1420" s="621"/>
    </row>
    <row r="1421" spans="2:16" s="5" customFormat="1" ht="9" hidden="1" customHeight="1" x14ac:dyDescent="0.25">
      <c r="B1421" s="448"/>
      <c r="C1421" s="2527"/>
      <c r="D1421" s="898"/>
      <c r="E1421" s="2967"/>
      <c r="F1421" s="3853"/>
      <c r="G1421" s="2965"/>
      <c r="H1421" s="2966"/>
      <c r="I1421" s="2965"/>
      <c r="J1421" s="915"/>
      <c r="K1421" s="2965"/>
      <c r="L1421" s="2965"/>
      <c r="M1421" s="2965"/>
      <c r="N1421" s="2687"/>
      <c r="P1421" s="621"/>
    </row>
    <row r="1422" spans="2:16" s="4" customFormat="1" ht="16.5" hidden="1" customHeight="1" x14ac:dyDescent="0.25">
      <c r="B1422" s="441"/>
      <c r="C1422" s="2525" t="s">
        <v>6794</v>
      </c>
      <c r="D1422" s="899">
        <f>D1423</f>
        <v>219361800</v>
      </c>
      <c r="E1422" s="2969">
        <f>D1422/D1203*100</f>
        <v>0.1700660236224544</v>
      </c>
      <c r="F1422" s="3853"/>
      <c r="G1422" s="2965"/>
      <c r="H1422" s="2966"/>
      <c r="I1422" s="2965"/>
      <c r="J1422" s="915"/>
      <c r="K1422" s="2965"/>
      <c r="L1422" s="2965"/>
      <c r="M1422" s="2965"/>
      <c r="N1422" s="2697"/>
      <c r="P1422" s="620"/>
    </row>
    <row r="1423" spans="2:16" s="5" customFormat="1" ht="16.5" hidden="1" customHeight="1" x14ac:dyDescent="0.25">
      <c r="B1423" s="448"/>
      <c r="C1423" s="2524" t="s">
        <v>6811</v>
      </c>
      <c r="D1423" s="896">
        <v>219361800</v>
      </c>
      <c r="E1423" s="2967">
        <f>D1423/D1203*100</f>
        <v>0.1700660236224544</v>
      </c>
      <c r="F1423" s="3868"/>
      <c r="G1423" s="3018"/>
      <c r="H1423" s="3019"/>
      <c r="I1423" s="3018"/>
      <c r="J1423" s="3020"/>
      <c r="K1423" s="3018"/>
      <c r="L1423" s="3018"/>
      <c r="M1423" s="3018"/>
      <c r="N1423" s="2687"/>
      <c r="P1423" s="621"/>
    </row>
    <row r="1424" spans="2:16" s="5" customFormat="1" ht="12.75" hidden="1" customHeight="1" x14ac:dyDescent="0.25">
      <c r="B1424" s="448"/>
      <c r="C1424" s="2528"/>
      <c r="D1424" s="2755"/>
      <c r="E1424" s="3002"/>
      <c r="F1424" s="3851"/>
      <c r="G1424" s="2994"/>
      <c r="H1424" s="3021"/>
      <c r="I1424" s="2994"/>
      <c r="J1424" s="2901"/>
      <c r="K1424" s="2994"/>
      <c r="L1424" s="2994"/>
      <c r="M1424" s="2994"/>
      <c r="N1424" s="2687"/>
      <c r="P1424" s="621"/>
    </row>
    <row r="1425" spans="2:16" s="5" customFormat="1" ht="18" hidden="1" customHeight="1" x14ac:dyDescent="0.25">
      <c r="B1425" s="453"/>
      <c r="C1425" s="2532" t="s">
        <v>6812</v>
      </c>
      <c r="D1425" s="2744">
        <f>D1426+D1429+D1432+D1435</f>
        <v>2370935635</v>
      </c>
      <c r="E1425" s="2670">
        <f>D1425/D1203*100</f>
        <v>1.8381304115357777</v>
      </c>
      <c r="F1425" s="3863"/>
      <c r="G1425" s="2674"/>
      <c r="H1425" s="2996"/>
      <c r="I1425" s="2674"/>
      <c r="J1425" s="2988"/>
      <c r="K1425" s="2988"/>
      <c r="L1425" s="2672"/>
      <c r="M1425" s="2674"/>
      <c r="N1425" s="2687"/>
      <c r="P1425" s="621"/>
    </row>
    <row r="1426" spans="2:16" s="5" customFormat="1" ht="16.5" hidden="1" customHeight="1" x14ac:dyDescent="0.25">
      <c r="B1426" s="448"/>
      <c r="C1426" s="2521" t="s">
        <v>817</v>
      </c>
      <c r="D1426" s="2751">
        <f>D1427</f>
        <v>565250000</v>
      </c>
      <c r="E1426" s="2677">
        <f>D1426/D1203*100</f>
        <v>0.43822497742356398</v>
      </c>
      <c r="F1426" s="3860"/>
      <c r="G1426" s="2995"/>
      <c r="H1426" s="2997"/>
      <c r="I1426" s="2995"/>
      <c r="J1426" s="2978"/>
      <c r="K1426" s="2978"/>
      <c r="L1426" s="2695"/>
      <c r="M1426" s="2995"/>
      <c r="N1426" s="2687"/>
      <c r="P1426" s="621"/>
    </row>
    <row r="1427" spans="2:16" s="5" customFormat="1" ht="17.25" hidden="1" customHeight="1" x14ac:dyDescent="0.25">
      <c r="B1427" s="448"/>
      <c r="C1427" s="2524" t="s">
        <v>818</v>
      </c>
      <c r="D1427" s="896">
        <v>565250000</v>
      </c>
      <c r="E1427" s="2683">
        <f>D1427/D1203*100</f>
        <v>0.43822497742356398</v>
      </c>
      <c r="F1427" s="4449"/>
      <c r="G1427" s="2762"/>
      <c r="H1427" s="3014"/>
      <c r="I1427" s="2762"/>
      <c r="J1427" s="896"/>
      <c r="K1427" s="2726"/>
      <c r="L1427" s="2690"/>
      <c r="M1427" s="2726"/>
      <c r="N1427" s="2687"/>
      <c r="P1427" s="621"/>
    </row>
    <row r="1428" spans="2:16" s="5" customFormat="1" ht="10.5" hidden="1" customHeight="1" x14ac:dyDescent="0.25">
      <c r="B1428" s="448"/>
      <c r="C1428" s="2526"/>
      <c r="D1428" s="2769"/>
      <c r="E1428" s="2683"/>
      <c r="F1428" s="4454"/>
      <c r="G1428" s="2754"/>
      <c r="H1428" s="3022"/>
      <c r="I1428" s="2754"/>
      <c r="J1428" s="2709"/>
      <c r="K1428" s="2739"/>
      <c r="L1428" s="2710"/>
      <c r="M1428" s="2739"/>
      <c r="N1428" s="2687"/>
      <c r="P1428" s="621"/>
    </row>
    <row r="1429" spans="2:16" s="4" customFormat="1" ht="15.75" hidden="1" customHeight="1" x14ac:dyDescent="0.25">
      <c r="B1429" s="441"/>
      <c r="C1429" s="2525" t="s">
        <v>819</v>
      </c>
      <c r="D1429" s="899">
        <f>SUM(D1430:D1430)</f>
        <v>895724385</v>
      </c>
      <c r="E1429" s="2677">
        <f>D1429/D1203*100</f>
        <v>0.69443396443053651</v>
      </c>
      <c r="F1429" s="3852"/>
      <c r="G1429" s="2965"/>
      <c r="H1429" s="2966"/>
      <c r="I1429" s="2965"/>
      <c r="J1429" s="899"/>
      <c r="K1429" s="2965"/>
      <c r="L1429" s="2695"/>
      <c r="M1429" s="2766"/>
      <c r="N1429" s="2697"/>
      <c r="P1429" s="620"/>
    </row>
    <row r="1430" spans="2:16" s="5" customFormat="1" ht="30.75" hidden="1" customHeight="1" x14ac:dyDescent="0.25">
      <c r="B1430" s="448"/>
      <c r="C1430" s="2524" t="s">
        <v>6814</v>
      </c>
      <c r="D1430" s="896">
        <v>895724385</v>
      </c>
      <c r="E1430" s="2683">
        <f>D1430/D1203*100</f>
        <v>0.69443396443053651</v>
      </c>
      <c r="F1430" s="4449"/>
      <c r="G1430" s="2726"/>
      <c r="H1430" s="2968"/>
      <c r="I1430" s="2726"/>
      <c r="J1430" s="896"/>
      <c r="K1430" s="2726"/>
      <c r="L1430" s="2690"/>
      <c r="M1430" s="2739"/>
      <c r="N1430" s="2687"/>
      <c r="P1430" s="621"/>
    </row>
    <row r="1431" spans="2:16" s="5" customFormat="1" ht="10.5" hidden="1" customHeight="1" x14ac:dyDescent="0.25">
      <c r="B1431" s="448"/>
      <c r="C1431" s="2524"/>
      <c r="D1431" s="896"/>
      <c r="E1431" s="2683"/>
      <c r="F1431" s="4449"/>
      <c r="G1431" s="2726"/>
      <c r="H1431" s="2968"/>
      <c r="I1431" s="2726"/>
      <c r="J1431" s="896"/>
      <c r="K1431" s="2726"/>
      <c r="L1431" s="2690"/>
      <c r="M1431" s="2739"/>
      <c r="N1431" s="2687"/>
      <c r="P1431" s="621"/>
    </row>
    <row r="1432" spans="2:16" s="4" customFormat="1" ht="18" hidden="1" customHeight="1" x14ac:dyDescent="0.25">
      <c r="B1432" s="441"/>
      <c r="C1432" s="2525" t="s">
        <v>821</v>
      </c>
      <c r="D1432" s="899">
        <f>D1433</f>
        <v>457981250</v>
      </c>
      <c r="E1432" s="2677">
        <f>D1432/D1203*100</f>
        <v>0.35506204854783829</v>
      </c>
      <c r="F1432" s="3852"/>
      <c r="G1432" s="2965"/>
      <c r="H1432" s="2966"/>
      <c r="I1432" s="2965"/>
      <c r="J1432" s="899"/>
      <c r="K1432" s="2965"/>
      <c r="L1432" s="2695"/>
      <c r="M1432" s="2766"/>
      <c r="N1432" s="2697"/>
      <c r="P1432" s="620"/>
    </row>
    <row r="1433" spans="2:16" s="5" customFormat="1" ht="17.25" hidden="1" customHeight="1" x14ac:dyDescent="0.25">
      <c r="B1433" s="448"/>
      <c r="C1433" s="2524" t="s">
        <v>822</v>
      </c>
      <c r="D1433" s="896">
        <v>457981250</v>
      </c>
      <c r="E1433" s="2683">
        <f>D1433/D1203*100</f>
        <v>0.35506204854783829</v>
      </c>
      <c r="F1433" s="4449"/>
      <c r="G1433" s="2726"/>
      <c r="H1433" s="2968"/>
      <c r="I1433" s="2726"/>
      <c r="J1433" s="896"/>
      <c r="K1433" s="2726"/>
      <c r="L1433" s="2690"/>
      <c r="M1433" s="2739"/>
      <c r="N1433" s="2687"/>
      <c r="P1433" s="621"/>
    </row>
    <row r="1434" spans="2:16" s="5" customFormat="1" ht="12.75" hidden="1" customHeight="1" x14ac:dyDescent="0.25">
      <c r="B1434" s="448"/>
      <c r="C1434" s="2524"/>
      <c r="D1434" s="896"/>
      <c r="E1434" s="2683"/>
      <c r="F1434" s="4449"/>
      <c r="G1434" s="2726"/>
      <c r="H1434" s="2968"/>
      <c r="I1434" s="2726"/>
      <c r="J1434" s="896"/>
      <c r="K1434" s="2726"/>
      <c r="L1434" s="2690"/>
      <c r="M1434" s="2739"/>
      <c r="N1434" s="2687"/>
      <c r="P1434" s="621"/>
    </row>
    <row r="1435" spans="2:16" s="4" customFormat="1" ht="18" hidden="1" customHeight="1" x14ac:dyDescent="0.25">
      <c r="B1435" s="441"/>
      <c r="C1435" s="2525" t="s">
        <v>6813</v>
      </c>
      <c r="D1435" s="899">
        <f>D1436</f>
        <v>451980000</v>
      </c>
      <c r="E1435" s="2677">
        <f>D1435/D1203*100</f>
        <v>0.35040942113383894</v>
      </c>
      <c r="F1435" s="3852"/>
      <c r="G1435" s="2965"/>
      <c r="H1435" s="2966"/>
      <c r="I1435" s="2965"/>
      <c r="J1435" s="899"/>
      <c r="K1435" s="2965"/>
      <c r="L1435" s="2695"/>
      <c r="M1435" s="2766"/>
      <c r="N1435" s="2697"/>
      <c r="P1435" s="620"/>
    </row>
    <row r="1436" spans="2:16" s="5" customFormat="1" ht="18" hidden="1" customHeight="1" x14ac:dyDescent="0.25">
      <c r="B1436" s="448"/>
      <c r="C1436" s="2524" t="s">
        <v>6815</v>
      </c>
      <c r="D1436" s="896">
        <v>451980000</v>
      </c>
      <c r="E1436" s="2683">
        <f>D1436/D1203*100</f>
        <v>0.35040942113383894</v>
      </c>
      <c r="F1436" s="4449"/>
      <c r="G1436" s="2726"/>
      <c r="H1436" s="2968"/>
      <c r="I1436" s="2726"/>
      <c r="J1436" s="896"/>
      <c r="K1436" s="2726"/>
      <c r="L1436" s="2690"/>
      <c r="M1436" s="2739"/>
      <c r="N1436" s="2687"/>
      <c r="P1436" s="621"/>
    </row>
    <row r="1437" spans="2:16" s="12" customFormat="1" ht="12" hidden="1" customHeight="1" x14ac:dyDescent="0.25">
      <c r="B1437" s="448"/>
      <c r="C1437" s="2475"/>
      <c r="D1437" s="2769"/>
      <c r="E1437" s="3023"/>
      <c r="F1437" s="4455"/>
      <c r="G1437" s="3007"/>
      <c r="H1437" s="3024"/>
      <c r="I1437" s="3008"/>
      <c r="J1437" s="2827"/>
      <c r="K1437" s="3007"/>
      <c r="L1437" s="3025"/>
      <c r="M1437" s="3026"/>
      <c r="N1437" s="2951"/>
      <c r="P1437" s="635"/>
    </row>
    <row r="1438" spans="2:16" s="5" customFormat="1" ht="16.5" hidden="1" customHeight="1" x14ac:dyDescent="0.25">
      <c r="B1438" s="453"/>
      <c r="C1438" s="2471" t="s">
        <v>827</v>
      </c>
      <c r="D1438" s="2744">
        <f>D1439</f>
        <v>2532243470</v>
      </c>
      <c r="E1438" s="2670">
        <f>D1438/D1203*100</f>
        <v>1.9631885669557141</v>
      </c>
      <c r="F1438" s="3850"/>
      <c r="G1438" s="2886"/>
      <c r="H1438" s="2996"/>
      <c r="I1438" s="2674"/>
      <c r="J1438" s="2887"/>
      <c r="K1438" s="2887"/>
      <c r="L1438" s="2672"/>
      <c r="M1438" s="2987"/>
      <c r="N1438" s="2687"/>
      <c r="P1438" s="621"/>
    </row>
    <row r="1439" spans="2:16" s="5" customFormat="1" ht="18" hidden="1" customHeight="1" x14ac:dyDescent="0.25">
      <c r="B1439" s="448"/>
      <c r="C1439" s="2537" t="s">
        <v>6816</v>
      </c>
      <c r="D1439" s="2751">
        <f>SUM(D1440:D1441)</f>
        <v>2532243470</v>
      </c>
      <c r="E1439" s="3002">
        <f>D1439/D1203*100</f>
        <v>1.9631885669557141</v>
      </c>
      <c r="F1439" s="3860"/>
      <c r="G1439" s="2995"/>
      <c r="H1439" s="2997"/>
      <c r="I1439" s="2995"/>
      <c r="J1439" s="2978"/>
      <c r="K1439" s="2978"/>
      <c r="L1439" s="2695"/>
      <c r="M1439" s="3005"/>
      <c r="N1439" s="2687"/>
      <c r="P1439" s="621"/>
    </row>
    <row r="1440" spans="2:16" s="5" customFormat="1" ht="14.25" hidden="1" customHeight="1" x14ac:dyDescent="0.25">
      <c r="B1440" s="448"/>
      <c r="C1440" s="2526" t="s">
        <v>6817</v>
      </c>
      <c r="D1440" s="896">
        <v>2125259517</v>
      </c>
      <c r="E1440" s="2683">
        <f>D1440/D1203*100</f>
        <v>1.6476635185431923</v>
      </c>
      <c r="F1440" s="4449"/>
      <c r="G1440" s="2762"/>
      <c r="H1440" s="3014"/>
      <c r="I1440" s="2762"/>
      <c r="J1440" s="896"/>
      <c r="K1440" s="2726"/>
      <c r="L1440" s="2690"/>
      <c r="M1440" s="2761"/>
      <c r="N1440" s="2687"/>
      <c r="P1440" s="621"/>
    </row>
    <row r="1441" spans="1:16" s="5" customFormat="1" ht="18" hidden="1" customHeight="1" x14ac:dyDescent="0.25">
      <c r="B1441" s="448"/>
      <c r="C1441" s="2524" t="s">
        <v>6818</v>
      </c>
      <c r="D1441" s="896">
        <v>406983953</v>
      </c>
      <c r="E1441" s="2683">
        <f>D1441/D1203*100</f>
        <v>0.31552504841252155</v>
      </c>
      <c r="F1441" s="4449"/>
      <c r="G1441" s="2762"/>
      <c r="H1441" s="3014"/>
      <c r="I1441" s="2762"/>
      <c r="J1441" s="896"/>
      <c r="K1441" s="2762"/>
      <c r="L1441" s="3014"/>
      <c r="M1441" s="2762"/>
      <c r="N1441" s="2687"/>
      <c r="P1441" s="621"/>
    </row>
    <row r="1442" spans="1:16" ht="12" hidden="1" customHeight="1" x14ac:dyDescent="0.25">
      <c r="B1442" s="441"/>
      <c r="C1442" s="2528"/>
      <c r="D1442" s="2709"/>
      <c r="E1442" s="3027"/>
      <c r="F1442" s="4418"/>
      <c r="G1442" s="2739"/>
      <c r="H1442" s="2778"/>
      <c r="I1442" s="2742"/>
      <c r="J1442" s="2706"/>
      <c r="K1442" s="2739"/>
      <c r="L1442" s="911"/>
      <c r="M1442" s="2742"/>
      <c r="N1442" s="2768"/>
    </row>
    <row r="1443" spans="1:16" s="27" customFormat="1" ht="16.5" hidden="1" customHeight="1" x14ac:dyDescent="0.25">
      <c r="A1443" s="6"/>
      <c r="B1443" s="440"/>
      <c r="C1443" s="2471" t="s">
        <v>831</v>
      </c>
      <c r="D1443" s="2744">
        <f>SUM(D1444+D1449+D1454+D1458)</f>
        <v>3222647524</v>
      </c>
      <c r="E1443" s="2670">
        <f>D1443/D1203*100</f>
        <v>2.4984425271101363</v>
      </c>
      <c r="F1443" s="3850"/>
      <c r="G1443" s="3028"/>
      <c r="H1443" s="2672"/>
      <c r="I1443" s="2674"/>
      <c r="J1443" s="2887"/>
      <c r="K1443" s="2887"/>
      <c r="L1443" s="2672"/>
      <c r="M1443" s="2987"/>
      <c r="N1443" s="2701"/>
      <c r="P1443" s="80"/>
    </row>
    <row r="1444" spans="1:16" s="27" customFormat="1" ht="16.5" hidden="1" customHeight="1" x14ac:dyDescent="0.25">
      <c r="A1444" s="6"/>
      <c r="B1444" s="441"/>
      <c r="C1444" s="2525" t="s">
        <v>832</v>
      </c>
      <c r="D1444" s="2751">
        <f>SUM(D1445:D1447)</f>
        <v>777615000</v>
      </c>
      <c r="E1444" s="2677">
        <f>D1444/D1203*100</f>
        <v>0.60286654722551913</v>
      </c>
      <c r="F1444" s="3860"/>
      <c r="G1444" s="3029"/>
      <c r="H1444" s="2734"/>
      <c r="I1444" s="2970"/>
      <c r="J1444" s="2978"/>
      <c r="K1444" s="2978"/>
      <c r="L1444" s="2695"/>
      <c r="M1444" s="2970"/>
      <c r="N1444" s="2701"/>
      <c r="P1444" s="80"/>
    </row>
    <row r="1445" spans="1:16" s="27" customFormat="1" ht="15.75" hidden="1" customHeight="1" x14ac:dyDescent="0.25">
      <c r="A1445" s="6"/>
      <c r="B1445" s="441"/>
      <c r="C1445" s="2524" t="s">
        <v>833</v>
      </c>
      <c r="D1445" s="896">
        <v>227465000</v>
      </c>
      <c r="E1445" s="2683">
        <f>D1445/D1203*100</f>
        <v>0.17634824323688808</v>
      </c>
      <c r="F1445" s="4414"/>
      <c r="G1445" s="2811"/>
      <c r="H1445" s="2690"/>
      <c r="I1445" s="2757"/>
      <c r="J1445" s="2975"/>
      <c r="K1445" s="2726"/>
      <c r="L1445" s="2690"/>
      <c r="M1445" s="2757"/>
      <c r="N1445" s="2701"/>
      <c r="P1445" s="80"/>
    </row>
    <row r="1446" spans="1:16" s="31" customFormat="1" ht="15.75" hidden="1" customHeight="1" x14ac:dyDescent="0.25">
      <c r="A1446" s="5"/>
      <c r="B1446" s="448"/>
      <c r="C1446" s="2526" t="s">
        <v>6819</v>
      </c>
      <c r="D1446" s="2709">
        <v>0</v>
      </c>
      <c r="E1446" s="2967">
        <f>D1446/D1203*100</f>
        <v>0</v>
      </c>
      <c r="F1446" s="4452"/>
      <c r="G1446" s="4191"/>
      <c r="H1446" s="2710"/>
      <c r="I1446" s="3030"/>
      <c r="J1446" s="2975"/>
      <c r="K1446" s="3018"/>
      <c r="L1446" s="3031"/>
      <c r="M1446" s="2757"/>
      <c r="N1446" s="2687"/>
      <c r="P1446" s="637"/>
    </row>
    <row r="1447" spans="1:16" s="31" customFormat="1" ht="15.75" hidden="1" customHeight="1" x14ac:dyDescent="0.25">
      <c r="A1447" s="5"/>
      <c r="B1447" s="448"/>
      <c r="C1447" s="2524" t="s">
        <v>6820</v>
      </c>
      <c r="D1447" s="896">
        <v>550150000</v>
      </c>
      <c r="E1447" s="2993">
        <f>D1447/D1203*100</f>
        <v>0.42651830398863111</v>
      </c>
      <c r="F1447" s="4414"/>
      <c r="G1447" s="2811"/>
      <c r="H1447" s="2690"/>
      <c r="I1447" s="4192"/>
      <c r="J1447" s="2975"/>
      <c r="K1447" s="3018"/>
      <c r="L1447" s="2796"/>
      <c r="M1447" s="2757"/>
      <c r="N1447" s="2687"/>
      <c r="P1447" s="637"/>
    </row>
    <row r="1448" spans="1:16" s="27" customFormat="1" ht="10.5" hidden="1" customHeight="1" x14ac:dyDescent="0.25">
      <c r="A1448" s="6"/>
      <c r="B1448" s="441"/>
      <c r="C1448" s="2527"/>
      <c r="D1448" s="898"/>
      <c r="E1448" s="2969"/>
      <c r="F1448" s="3862"/>
      <c r="G1448" s="3032"/>
      <c r="H1448" s="2690"/>
      <c r="I1448" s="4193"/>
      <c r="J1448" s="2981"/>
      <c r="K1448" s="2965"/>
      <c r="L1448" s="899"/>
      <c r="M1448" s="2757"/>
      <c r="N1448" s="2701"/>
      <c r="P1448" s="80"/>
    </row>
    <row r="1449" spans="1:16" s="27" customFormat="1" ht="16.5" hidden="1" customHeight="1" x14ac:dyDescent="0.25">
      <c r="A1449" s="6"/>
      <c r="B1449" s="441"/>
      <c r="C1449" s="2538" t="s">
        <v>6821</v>
      </c>
      <c r="D1449" s="2759">
        <f>SUM(D1450:D1452)</f>
        <v>1129800000</v>
      </c>
      <c r="E1449" s="2677">
        <f>D1449/D1203*100</f>
        <v>0.87590726137663444</v>
      </c>
      <c r="F1449" s="3870"/>
      <c r="G1449" s="2995"/>
      <c r="H1449" s="2997"/>
      <c r="I1449" s="2995"/>
      <c r="J1449" s="2983"/>
      <c r="K1449" s="2983"/>
      <c r="L1449" s="2695"/>
      <c r="M1449" s="2970"/>
      <c r="N1449" s="2701"/>
      <c r="P1449" s="80"/>
    </row>
    <row r="1450" spans="1:16" s="27" customFormat="1" ht="16.5" hidden="1" customHeight="1" x14ac:dyDescent="0.25">
      <c r="A1450" s="6"/>
      <c r="B1450" s="441"/>
      <c r="C1450" s="2524" t="s">
        <v>6822</v>
      </c>
      <c r="D1450" s="896">
        <v>429150000</v>
      </c>
      <c r="E1450" s="2967">
        <f>D1450/D1203*100</f>
        <v>0.33270986123188412</v>
      </c>
      <c r="F1450" s="4414"/>
      <c r="G1450" s="2762"/>
      <c r="H1450" s="3014"/>
      <c r="I1450" s="2762"/>
      <c r="J1450" s="2975"/>
      <c r="K1450" s="2726"/>
      <c r="L1450" s="2690"/>
      <c r="M1450" s="2757"/>
      <c r="N1450" s="2701"/>
      <c r="P1450" s="80"/>
    </row>
    <row r="1451" spans="1:16" s="31" customFormat="1" ht="15" hidden="1" customHeight="1" x14ac:dyDescent="0.25">
      <c r="A1451" s="5"/>
      <c r="B1451" s="448"/>
      <c r="C1451" s="2524" t="s">
        <v>6823</v>
      </c>
      <c r="D1451" s="896">
        <v>308150000</v>
      </c>
      <c r="E1451" s="2967">
        <f>D1451/D1203*100</f>
        <v>0.2389014184751371</v>
      </c>
      <c r="F1451" s="4446"/>
      <c r="G1451" s="2811"/>
      <c r="H1451" s="2690"/>
      <c r="I1451" s="3030"/>
      <c r="J1451" s="896"/>
      <c r="K1451" s="2920"/>
      <c r="L1451" s="2796"/>
      <c r="M1451" s="2757"/>
      <c r="N1451" s="2687"/>
      <c r="P1451" s="637"/>
    </row>
    <row r="1452" spans="1:16" s="31" customFormat="1" ht="16.5" hidden="1" customHeight="1" x14ac:dyDescent="0.25">
      <c r="A1452" s="5"/>
      <c r="B1452" s="442"/>
      <c r="C1452" s="2524" t="s">
        <v>6824</v>
      </c>
      <c r="D1452" s="896">
        <v>392500000</v>
      </c>
      <c r="E1452" s="2967">
        <f>D1452/D1203*100</f>
        <v>0.30429598166961325</v>
      </c>
      <c r="F1452" s="4446"/>
      <c r="G1452" s="2811"/>
      <c r="H1452" s="2690"/>
      <c r="I1452" s="3030"/>
      <c r="J1452" s="896"/>
      <c r="K1452" s="2920"/>
      <c r="L1452" s="896"/>
      <c r="M1452" s="2757"/>
      <c r="N1452" s="2687"/>
      <c r="P1452" s="637"/>
    </row>
    <row r="1453" spans="1:16" s="27" customFormat="1" ht="9" hidden="1" customHeight="1" x14ac:dyDescent="0.25">
      <c r="A1453" s="6"/>
      <c r="B1453" s="441"/>
      <c r="C1453" s="2527"/>
      <c r="D1453" s="898"/>
      <c r="E1453" s="2969"/>
      <c r="F1453" s="3861"/>
      <c r="G1453" s="3032"/>
      <c r="H1453" s="2690"/>
      <c r="I1453" s="3033"/>
      <c r="J1453" s="898"/>
      <c r="K1453" s="2920"/>
      <c r="L1453" s="899"/>
      <c r="M1453" s="2757"/>
      <c r="N1453" s="2701"/>
      <c r="P1453" s="80"/>
    </row>
    <row r="1454" spans="1:16" s="27" customFormat="1" ht="16.5" hidden="1" customHeight="1" x14ac:dyDescent="0.25">
      <c r="A1454" s="6"/>
      <c r="B1454" s="441"/>
      <c r="C1454" s="2538" t="s">
        <v>6825</v>
      </c>
      <c r="D1454" s="2751">
        <f>SUM(D1455:D1456)</f>
        <v>235226632</v>
      </c>
      <c r="E1454" s="2677">
        <f>D1454/D1203*100</f>
        <v>0.18236565324656523</v>
      </c>
      <c r="F1454" s="3860"/>
      <c r="G1454" s="3034"/>
      <c r="H1454" s="2695"/>
      <c r="I1454" s="2970"/>
      <c r="J1454" s="2983"/>
      <c r="K1454" s="2983"/>
      <c r="L1454" s="2695"/>
      <c r="M1454" s="2970"/>
      <c r="N1454" s="2701"/>
      <c r="P1454" s="80"/>
    </row>
    <row r="1455" spans="1:16" s="27" customFormat="1" ht="16.5" hidden="1" customHeight="1" x14ac:dyDescent="0.25">
      <c r="A1455" s="6"/>
      <c r="B1455" s="441"/>
      <c r="C1455" s="2524" t="s">
        <v>6826</v>
      </c>
      <c r="D1455" s="896">
        <v>121920482</v>
      </c>
      <c r="E1455" s="2683">
        <f>D1455/D1203*100</f>
        <v>9.4522070715471099E-2</v>
      </c>
      <c r="F1455" s="4414"/>
      <c r="G1455" s="2811"/>
      <c r="H1455" s="2690"/>
      <c r="I1455" s="2757"/>
      <c r="J1455" s="2975"/>
      <c r="K1455" s="2726"/>
      <c r="L1455" s="2690"/>
      <c r="M1455" s="2757"/>
      <c r="N1455" s="2701"/>
      <c r="P1455" s="80"/>
    </row>
    <row r="1456" spans="1:16" ht="15" hidden="1" customHeight="1" x14ac:dyDescent="0.25">
      <c r="B1456" s="441"/>
      <c r="C1456" s="2473" t="s">
        <v>840</v>
      </c>
      <c r="D1456" s="896">
        <v>113306150</v>
      </c>
      <c r="E1456" s="2683">
        <f>D1456/D1203*100</f>
        <v>8.7843582531094117E-2</v>
      </c>
      <c r="F1456" s="3868"/>
      <c r="G1456" s="2726"/>
      <c r="H1456" s="3035"/>
      <c r="I1456" s="2757"/>
      <c r="J1456" s="2920"/>
      <c r="K1456" s="2726"/>
      <c r="L1456" s="898"/>
      <c r="M1456" s="2757"/>
      <c r="N1456" s="2768"/>
    </row>
    <row r="1457" spans="1:16" ht="12" hidden="1" customHeight="1" x14ac:dyDescent="0.25">
      <c r="B1457" s="441"/>
      <c r="C1457" s="2473"/>
      <c r="D1457" s="896"/>
      <c r="E1457" s="2683"/>
      <c r="F1457" s="3868"/>
      <c r="G1457" s="2726"/>
      <c r="H1457" s="3035"/>
      <c r="I1457" s="2757"/>
      <c r="J1457" s="2920"/>
      <c r="K1457" s="2726"/>
      <c r="L1457" s="898"/>
      <c r="M1457" s="2757"/>
      <c r="N1457" s="2768"/>
    </row>
    <row r="1458" spans="1:16" s="32" customFormat="1" ht="19.5" hidden="1" customHeight="1" x14ac:dyDescent="0.25">
      <c r="A1458" s="1"/>
      <c r="B1458" s="441"/>
      <c r="C1458" s="2474" t="s">
        <v>6827</v>
      </c>
      <c r="D1458" s="899">
        <f>SUM(D1459:D1460)</f>
        <v>1080005892</v>
      </c>
      <c r="E1458" s="2677">
        <f>D1458/D1203*100</f>
        <v>0.83730306526141729</v>
      </c>
      <c r="F1458" s="3853"/>
      <c r="G1458" s="2965"/>
      <c r="H1458" s="2695"/>
      <c r="I1458" s="2970"/>
      <c r="J1458" s="915"/>
      <c r="K1458" s="2965"/>
      <c r="L1458" s="899"/>
      <c r="M1458" s="2970"/>
      <c r="N1458" s="2837"/>
      <c r="P1458" s="630"/>
    </row>
    <row r="1459" spans="1:16" ht="30.75" hidden="1" customHeight="1" x14ac:dyDescent="0.25">
      <c r="B1459" s="441"/>
      <c r="C1459" s="2473" t="s">
        <v>6828</v>
      </c>
      <c r="D1459" s="896">
        <v>221344892</v>
      </c>
      <c r="E1459" s="2683">
        <f>D1459/D1203*100</f>
        <v>0.17160346802215162</v>
      </c>
      <c r="F1459" s="3868"/>
      <c r="G1459" s="2726"/>
      <c r="H1459" s="3035"/>
      <c r="I1459" s="2757"/>
      <c r="J1459" s="2920"/>
      <c r="K1459" s="2726"/>
      <c r="L1459" s="898"/>
      <c r="M1459" s="2757"/>
      <c r="N1459" s="2768"/>
    </row>
    <row r="1460" spans="1:16" ht="17.25" hidden="1" customHeight="1" x14ac:dyDescent="0.25">
      <c r="B1460" s="441"/>
      <c r="C1460" s="2473" t="s">
        <v>6829</v>
      </c>
      <c r="D1460" s="896">
        <v>858661000</v>
      </c>
      <c r="E1460" s="2683">
        <f>D1460/D1203*100</f>
        <v>0.66569959723926553</v>
      </c>
      <c r="F1460" s="3868"/>
      <c r="G1460" s="2726"/>
      <c r="H1460" s="3035"/>
      <c r="I1460" s="2757"/>
      <c r="J1460" s="2920"/>
      <c r="K1460" s="2726"/>
      <c r="L1460" s="898"/>
      <c r="M1460" s="2757"/>
      <c r="N1460" s="2768"/>
    </row>
    <row r="1461" spans="1:16" ht="12" hidden="1" customHeight="1" x14ac:dyDescent="0.25">
      <c r="B1461" s="441"/>
      <c r="C1461" s="2475"/>
      <c r="D1461" s="2769"/>
      <c r="E1461" s="3036"/>
      <c r="F1461" s="3872"/>
      <c r="G1461" s="2754"/>
      <c r="H1461" s="2784"/>
      <c r="I1461" s="2753"/>
      <c r="J1461" s="2891"/>
      <c r="K1461" s="2754"/>
      <c r="L1461" s="2755"/>
      <c r="M1461" s="2753"/>
      <c r="N1461" s="2768"/>
    </row>
    <row r="1462" spans="1:16" s="27" customFormat="1" ht="16.5" hidden="1" customHeight="1" x14ac:dyDescent="0.25">
      <c r="A1462" s="6"/>
      <c r="B1462" s="440"/>
      <c r="C1462" s="2471" t="s">
        <v>846</v>
      </c>
      <c r="D1462" s="2744">
        <f>SUM(D1463+D1467+D1470)</f>
        <v>0</v>
      </c>
      <c r="E1462" s="2670">
        <f>D1462/D1203*100</f>
        <v>0</v>
      </c>
      <c r="F1462" s="3850"/>
      <c r="G1462" s="2674"/>
      <c r="H1462" s="2996"/>
      <c r="I1462" s="2674"/>
      <c r="J1462" s="2887"/>
      <c r="K1462" s="2887"/>
      <c r="L1462" s="2672"/>
      <c r="M1462" s="2987"/>
      <c r="N1462" s="2701"/>
      <c r="P1462" s="80"/>
    </row>
    <row r="1463" spans="1:16" s="27" customFormat="1" ht="18.75" hidden="1" customHeight="1" x14ac:dyDescent="0.25">
      <c r="A1463" s="6"/>
      <c r="B1463" s="441"/>
      <c r="C1463" s="2521" t="s">
        <v>847</v>
      </c>
      <c r="D1463" s="2751">
        <f>D1464+D1465</f>
        <v>0</v>
      </c>
      <c r="E1463" s="2677">
        <f>D1463/D1203*100</f>
        <v>0</v>
      </c>
      <c r="F1463" s="3860"/>
      <c r="G1463" s="2995"/>
      <c r="H1463" s="2997"/>
      <c r="I1463" s="2995"/>
      <c r="J1463" s="2978"/>
      <c r="K1463" s="2978"/>
      <c r="L1463" s="2695"/>
      <c r="M1463" s="2995"/>
      <c r="N1463" s="2701"/>
      <c r="P1463" s="80"/>
    </row>
    <row r="1464" spans="1:16" s="27" customFormat="1" ht="21" hidden="1" customHeight="1" x14ac:dyDescent="0.25">
      <c r="A1464" s="6"/>
      <c r="B1464" s="441"/>
      <c r="C1464" s="2524" t="s">
        <v>6830</v>
      </c>
      <c r="D1464" s="896">
        <v>0</v>
      </c>
      <c r="E1464" s="2967">
        <f>D1464/D1203*100</f>
        <v>0</v>
      </c>
      <c r="F1464" s="4414"/>
      <c r="G1464" s="2762"/>
      <c r="H1464" s="3014"/>
      <c r="I1464" s="2762"/>
      <c r="J1464" s="2975"/>
      <c r="K1464" s="2726"/>
      <c r="L1464" s="2690"/>
      <c r="M1464" s="2726"/>
      <c r="N1464" s="2701"/>
      <c r="P1464" s="80"/>
    </row>
    <row r="1465" spans="1:16" s="31" customFormat="1" ht="18" hidden="1" customHeight="1" x14ac:dyDescent="0.25">
      <c r="A1465" s="5"/>
      <c r="B1465" s="442"/>
      <c r="C1465" s="2524" t="s">
        <v>6831</v>
      </c>
      <c r="D1465" s="896">
        <v>0</v>
      </c>
      <c r="E1465" s="2967">
        <f>D1465/D1203*100</f>
        <v>0</v>
      </c>
      <c r="F1465" s="4414"/>
      <c r="G1465" s="2726"/>
      <c r="H1465" s="2968"/>
      <c r="I1465" s="2726"/>
      <c r="J1465" s="2975"/>
      <c r="K1465" s="2726"/>
      <c r="L1465" s="2726"/>
      <c r="M1465" s="2726"/>
      <c r="N1465" s="2687"/>
      <c r="P1465" s="637"/>
    </row>
    <row r="1466" spans="1:16" s="27" customFormat="1" ht="12" hidden="1" customHeight="1" x14ac:dyDescent="0.25">
      <c r="A1466" s="6"/>
      <c r="B1466" s="441"/>
      <c r="C1466" s="2528"/>
      <c r="D1466" s="2755"/>
      <c r="E1466" s="3027"/>
      <c r="F1466" s="3860"/>
      <c r="G1466" s="2762"/>
      <c r="H1466" s="3014"/>
      <c r="I1466" s="2762"/>
      <c r="J1466" s="2881"/>
      <c r="K1466" s="2754"/>
      <c r="L1466" s="2726"/>
      <c r="M1466" s="2726"/>
      <c r="N1466" s="2701"/>
      <c r="P1466" s="80"/>
    </row>
    <row r="1467" spans="1:16" s="27" customFormat="1" ht="17.25" hidden="1" customHeight="1" x14ac:dyDescent="0.25">
      <c r="A1467" s="6"/>
      <c r="B1467" s="441"/>
      <c r="C1467" s="2525" t="s">
        <v>849</v>
      </c>
      <c r="D1467" s="899">
        <f>D1468</f>
        <v>0</v>
      </c>
      <c r="E1467" s="2969">
        <f>D1467/D1205*100</f>
        <v>0</v>
      </c>
      <c r="F1467" s="3861"/>
      <c r="G1467" s="2995"/>
      <c r="H1467" s="2997"/>
      <c r="I1467" s="2995"/>
      <c r="J1467" s="2751"/>
      <c r="K1467" s="2751"/>
      <c r="L1467" s="2695"/>
      <c r="M1467" s="2970"/>
      <c r="N1467" s="2701"/>
      <c r="P1467" s="80"/>
    </row>
    <row r="1468" spans="1:16" s="27" customFormat="1" ht="31.5" hidden="1" customHeight="1" x14ac:dyDescent="0.25">
      <c r="A1468" s="6"/>
      <c r="B1468" s="441"/>
      <c r="C1468" s="2524" t="s">
        <v>6832</v>
      </c>
      <c r="D1468" s="896">
        <v>0</v>
      </c>
      <c r="E1468" s="2967">
        <f>D1468/D1203*100</f>
        <v>0</v>
      </c>
      <c r="F1468" s="4414"/>
      <c r="G1468" s="2762"/>
      <c r="H1468" s="3014"/>
      <c r="I1468" s="2762"/>
      <c r="J1468" s="2975"/>
      <c r="K1468" s="2920"/>
      <c r="L1468" s="2690"/>
      <c r="M1468" s="2757"/>
      <c r="N1468" s="2701"/>
      <c r="P1468" s="80"/>
    </row>
    <row r="1469" spans="1:16" s="27" customFormat="1" ht="11.25" hidden="1" customHeight="1" x14ac:dyDescent="0.25">
      <c r="A1469" s="6"/>
      <c r="B1469" s="441"/>
      <c r="C1469" s="2528"/>
      <c r="D1469" s="898"/>
      <c r="E1469" s="3037"/>
      <c r="F1469" s="3861"/>
      <c r="G1469" s="2726"/>
      <c r="H1469" s="3035"/>
      <c r="I1469" s="2757"/>
      <c r="J1469" s="898"/>
      <c r="K1469" s="2726"/>
      <c r="L1469" s="898"/>
      <c r="M1469" s="2757"/>
      <c r="N1469" s="2701"/>
      <c r="P1469" s="80"/>
    </row>
    <row r="1470" spans="1:16" s="27" customFormat="1" ht="17.25" hidden="1" customHeight="1" x14ac:dyDescent="0.25">
      <c r="A1470" s="6"/>
      <c r="B1470" s="441"/>
      <c r="C1470" s="2525" t="s">
        <v>6833</v>
      </c>
      <c r="D1470" s="899">
        <f>SUM(D1471:D1473)</f>
        <v>0</v>
      </c>
      <c r="E1470" s="2969">
        <f>D1470/D1203*100</f>
        <v>0</v>
      </c>
      <c r="F1470" s="3861"/>
      <c r="G1470" s="2995"/>
      <c r="H1470" s="2997"/>
      <c r="I1470" s="2995"/>
      <c r="J1470" s="899"/>
      <c r="K1470" s="899"/>
      <c r="L1470" s="2695"/>
      <c r="M1470" s="2965"/>
      <c r="N1470" s="2701"/>
      <c r="P1470" s="80"/>
    </row>
    <row r="1471" spans="1:16" s="27" customFormat="1" ht="15.75" hidden="1" customHeight="1" x14ac:dyDescent="0.25">
      <c r="A1471" s="6"/>
      <c r="B1471" s="441"/>
      <c r="C1471" s="2524" t="s">
        <v>6834</v>
      </c>
      <c r="D1471" s="896">
        <v>0</v>
      </c>
      <c r="E1471" s="2967">
        <f>D1471/D1203*100</f>
        <v>0</v>
      </c>
      <c r="F1471" s="4446"/>
      <c r="G1471" s="2762"/>
      <c r="H1471" s="3014"/>
      <c r="I1471" s="2762"/>
      <c r="J1471" s="896"/>
      <c r="K1471" s="2726"/>
      <c r="L1471" s="2690"/>
      <c r="M1471" s="2726"/>
      <c r="N1471" s="2701"/>
      <c r="P1471" s="80"/>
    </row>
    <row r="1472" spans="1:16" s="27" customFormat="1" ht="15" hidden="1" customHeight="1" x14ac:dyDescent="0.25">
      <c r="A1472" s="6"/>
      <c r="B1472" s="441"/>
      <c r="C1472" s="2526" t="s">
        <v>6835</v>
      </c>
      <c r="D1472" s="896">
        <v>0</v>
      </c>
      <c r="E1472" s="2967">
        <f>D1472/D1203*100</f>
        <v>0</v>
      </c>
      <c r="F1472" s="4446"/>
      <c r="G1472" s="2762"/>
      <c r="H1472" s="3014"/>
      <c r="I1472" s="2762"/>
      <c r="J1472" s="896"/>
      <c r="K1472" s="2762"/>
      <c r="L1472" s="3014"/>
      <c r="M1472" s="2762"/>
      <c r="N1472" s="2701"/>
      <c r="P1472" s="80"/>
    </row>
    <row r="1473" spans="1:16" ht="18" hidden="1" customHeight="1" x14ac:dyDescent="0.25">
      <c r="B1473" s="441"/>
      <c r="C1473" s="2473" t="s">
        <v>6836</v>
      </c>
      <c r="D1473" s="896">
        <v>0</v>
      </c>
      <c r="E1473" s="2967">
        <f>D1473/D1203*100</f>
        <v>0</v>
      </c>
      <c r="F1473" s="3868"/>
      <c r="G1473" s="2726"/>
      <c r="H1473" s="3035"/>
      <c r="I1473" s="2757"/>
      <c r="J1473" s="2920"/>
      <c r="K1473" s="2726"/>
      <c r="L1473" s="898"/>
      <c r="M1473" s="2757"/>
      <c r="N1473" s="2768"/>
    </row>
    <row r="1474" spans="1:16" ht="10.5" hidden="1" customHeight="1" x14ac:dyDescent="0.25">
      <c r="B1474" s="441"/>
      <c r="C1474" s="2475"/>
      <c r="D1474" s="2769"/>
      <c r="E1474" s="3036"/>
      <c r="F1474" s="3872"/>
      <c r="G1474" s="2754"/>
      <c r="H1474" s="2784"/>
      <c r="I1474" s="2753"/>
      <c r="J1474" s="2891"/>
      <c r="K1474" s="2754"/>
      <c r="L1474" s="2755"/>
      <c r="M1474" s="2753"/>
      <c r="N1474" s="2768"/>
    </row>
    <row r="1475" spans="1:16" ht="17.25" hidden="1" customHeight="1" x14ac:dyDescent="0.25">
      <c r="B1475" s="440"/>
      <c r="C1475" s="2471" t="s">
        <v>854</v>
      </c>
      <c r="D1475" s="2744">
        <f>SUM(D1476+D1479+D1483+D1488)</f>
        <v>3175488676</v>
      </c>
      <c r="E1475" s="2670">
        <f>D1475/D1203*100</f>
        <v>2.4618813858449942</v>
      </c>
      <c r="F1475" s="3850"/>
      <c r="G1475" s="3038"/>
      <c r="H1475" s="2996"/>
      <c r="I1475" s="2674"/>
      <c r="J1475" s="2887"/>
      <c r="K1475" s="2887"/>
      <c r="L1475" s="2672"/>
      <c r="M1475" s="2674"/>
      <c r="N1475" s="2768"/>
    </row>
    <row r="1476" spans="1:16" s="27" customFormat="1" ht="16.5" hidden="1" customHeight="1" x14ac:dyDescent="0.25">
      <c r="A1476" s="6"/>
      <c r="B1476" s="441"/>
      <c r="C1476" s="2521" t="s">
        <v>6837</v>
      </c>
      <c r="D1476" s="2751">
        <f>D1477</f>
        <v>820090000</v>
      </c>
      <c r="E1476" s="2677">
        <f>D1476/D1203*100</f>
        <v>0.63579641173868295</v>
      </c>
      <c r="F1476" s="3860"/>
      <c r="G1476" s="3039"/>
      <c r="H1476" s="2997"/>
      <c r="I1476" s="2995"/>
      <c r="J1476" s="2978"/>
      <c r="K1476" s="2978"/>
      <c r="L1476" s="2695"/>
      <c r="M1476" s="2995"/>
      <c r="N1476" s="2701"/>
      <c r="P1476" s="80"/>
    </row>
    <row r="1477" spans="1:16" s="27" customFormat="1" ht="16.5" hidden="1" customHeight="1" x14ac:dyDescent="0.25">
      <c r="A1477" s="6"/>
      <c r="B1477" s="441"/>
      <c r="C1477" s="2524" t="s">
        <v>6838</v>
      </c>
      <c r="D1477" s="896">
        <v>820090000</v>
      </c>
      <c r="E1477" s="2683">
        <f>D1477/D1203*100</f>
        <v>0.63579641173868295</v>
      </c>
      <c r="F1477" s="4414"/>
      <c r="G1477" s="2811"/>
      <c r="H1477" s="2968"/>
      <c r="I1477" s="2726"/>
      <c r="J1477" s="2975"/>
      <c r="K1477" s="2726"/>
      <c r="L1477" s="2690"/>
      <c r="M1477" s="2726"/>
      <c r="N1477" s="2701"/>
      <c r="P1477" s="80"/>
    </row>
    <row r="1478" spans="1:16" ht="11.25" hidden="1" customHeight="1" x14ac:dyDescent="0.25">
      <c r="B1478" s="441"/>
      <c r="C1478" s="2527"/>
      <c r="D1478" s="898"/>
      <c r="E1478" s="2677"/>
      <c r="F1478" s="3862"/>
      <c r="G1478" s="2726"/>
      <c r="H1478" s="2968"/>
      <c r="I1478" s="2726"/>
      <c r="J1478" s="2981"/>
      <c r="K1478" s="2726"/>
      <c r="L1478" s="2726"/>
      <c r="M1478" s="2726"/>
      <c r="N1478" s="2768"/>
    </row>
    <row r="1479" spans="1:16" s="27" customFormat="1" ht="29.25" hidden="1" customHeight="1" x14ac:dyDescent="0.25">
      <c r="A1479" s="6"/>
      <c r="B1479" s="441"/>
      <c r="C1479" s="2525" t="s">
        <v>6839</v>
      </c>
      <c r="D1479" s="899">
        <f>SUM(D1480:D1481)</f>
        <v>1105855926</v>
      </c>
      <c r="E1479" s="2677">
        <f>D1479/D1203*100</f>
        <v>0.85734398620975572</v>
      </c>
      <c r="F1479" s="3861"/>
      <c r="G1479" s="2995"/>
      <c r="H1479" s="2997"/>
      <c r="I1479" s="2995"/>
      <c r="J1479" s="899"/>
      <c r="K1479" s="899"/>
      <c r="L1479" s="2695"/>
      <c r="M1479" s="2965"/>
      <c r="N1479" s="2701"/>
      <c r="P1479" s="80"/>
    </row>
    <row r="1480" spans="1:16" s="27" customFormat="1" ht="18" hidden="1" customHeight="1" x14ac:dyDescent="0.25">
      <c r="A1480" s="6"/>
      <c r="B1480" s="441"/>
      <c r="C1480" s="2524" t="s">
        <v>6840</v>
      </c>
      <c r="D1480" s="896">
        <v>369426500</v>
      </c>
      <c r="E1480" s="2683">
        <f>D1480/D1203*100</f>
        <v>0.28640764196756524</v>
      </c>
      <c r="F1480" s="4414"/>
      <c r="G1480" s="2762"/>
      <c r="H1480" s="3014"/>
      <c r="I1480" s="2762"/>
      <c r="J1480" s="2975"/>
      <c r="K1480" s="2726"/>
      <c r="L1480" s="2690"/>
      <c r="M1480" s="2726"/>
      <c r="N1480" s="2701"/>
      <c r="P1480" s="80"/>
    </row>
    <row r="1481" spans="1:16" ht="16.5" hidden="1" customHeight="1" x14ac:dyDescent="0.25">
      <c r="B1481" s="441"/>
      <c r="C1481" s="2476" t="s">
        <v>6841</v>
      </c>
      <c r="D1481" s="2709">
        <v>736429426</v>
      </c>
      <c r="E1481" s="2683">
        <f>D1481/D1203*100</f>
        <v>0.57093634424219053</v>
      </c>
      <c r="F1481" s="4430"/>
      <c r="G1481" s="2739"/>
      <c r="H1481" s="2778"/>
      <c r="I1481" s="2742"/>
      <c r="J1481" s="2903"/>
      <c r="K1481" s="2739"/>
      <c r="L1481" s="911"/>
      <c r="M1481" s="2742"/>
      <c r="N1481" s="2768"/>
    </row>
    <row r="1482" spans="1:16" ht="12" hidden="1" customHeight="1" x14ac:dyDescent="0.25">
      <c r="B1482" s="441"/>
      <c r="C1482" s="2473"/>
      <c r="D1482" s="896"/>
      <c r="E1482" s="2683"/>
      <c r="F1482" s="3868"/>
      <c r="G1482" s="2726"/>
      <c r="H1482" s="3035"/>
      <c r="I1482" s="2757"/>
      <c r="J1482" s="2920"/>
      <c r="K1482" s="2726"/>
      <c r="L1482" s="898"/>
      <c r="M1482" s="2757"/>
      <c r="N1482" s="2768"/>
    </row>
    <row r="1483" spans="1:16" s="32" customFormat="1" ht="28.5" hidden="1" customHeight="1" x14ac:dyDescent="0.25">
      <c r="A1483" s="1"/>
      <c r="B1483" s="441"/>
      <c r="C1483" s="2474" t="s">
        <v>861</v>
      </c>
      <c r="D1483" s="899">
        <f>SUM(D1484:D1486)</f>
        <v>609592750</v>
      </c>
      <c r="E1483" s="2677">
        <f>D1483/D1203*100</f>
        <v>0.47260286440746269</v>
      </c>
      <c r="F1483" s="3853"/>
      <c r="G1483" s="2965"/>
      <c r="H1483" s="2695"/>
      <c r="I1483" s="2970"/>
      <c r="J1483" s="915"/>
      <c r="K1483" s="2965"/>
      <c r="L1483" s="899"/>
      <c r="M1483" s="2970"/>
      <c r="N1483" s="2837"/>
      <c r="P1483" s="630"/>
    </row>
    <row r="1484" spans="1:16" ht="15" hidden="1" customHeight="1" x14ac:dyDescent="0.25">
      <c r="B1484" s="441"/>
      <c r="C1484" s="2473" t="s">
        <v>6842</v>
      </c>
      <c r="D1484" s="896">
        <v>278000000</v>
      </c>
      <c r="E1484" s="2683">
        <f>D1484/D1203*100</f>
        <v>0.21552683542459228</v>
      </c>
      <c r="F1484" s="3868"/>
      <c r="G1484" s="2726"/>
      <c r="H1484" s="3035"/>
      <c r="I1484" s="2757"/>
      <c r="J1484" s="2920"/>
      <c r="K1484" s="2726"/>
      <c r="L1484" s="898"/>
      <c r="M1484" s="2757"/>
      <c r="N1484" s="2768"/>
    </row>
    <row r="1485" spans="1:16" ht="31.5" hidden="1" customHeight="1" x14ac:dyDescent="0.25">
      <c r="B1485" s="441"/>
      <c r="C1485" s="2473" t="s">
        <v>6843</v>
      </c>
      <c r="D1485" s="896">
        <v>90822750</v>
      </c>
      <c r="E1485" s="2683">
        <f>D1485/D1203*100</f>
        <v>7.0412733424672261E-2</v>
      </c>
      <c r="F1485" s="3868"/>
      <c r="G1485" s="2726"/>
      <c r="H1485" s="3035"/>
      <c r="I1485" s="2757"/>
      <c r="J1485" s="2920"/>
      <c r="K1485" s="2726"/>
      <c r="L1485" s="898"/>
      <c r="M1485" s="2757"/>
      <c r="N1485" s="2768"/>
    </row>
    <row r="1486" spans="1:16" ht="15" hidden="1" customHeight="1" x14ac:dyDescent="0.25">
      <c r="B1486" s="441"/>
      <c r="C1486" s="2473" t="s">
        <v>6844</v>
      </c>
      <c r="D1486" s="896">
        <v>240770000</v>
      </c>
      <c r="E1486" s="2683">
        <f>D1486/D1203*100</f>
        <v>0.18666329555819813</v>
      </c>
      <c r="F1486" s="3868"/>
      <c r="G1486" s="2726"/>
      <c r="H1486" s="3035"/>
      <c r="I1486" s="2757"/>
      <c r="J1486" s="2920"/>
      <c r="K1486" s="2726"/>
      <c r="L1486" s="898"/>
      <c r="M1486" s="2757"/>
      <c r="N1486" s="2768"/>
    </row>
    <row r="1487" spans="1:16" ht="12" hidden="1" customHeight="1" x14ac:dyDescent="0.25">
      <c r="B1487" s="441"/>
      <c r="C1487" s="2473"/>
      <c r="D1487" s="896"/>
      <c r="E1487" s="2683"/>
      <c r="F1487" s="3868"/>
      <c r="G1487" s="2726"/>
      <c r="H1487" s="3035"/>
      <c r="I1487" s="2757"/>
      <c r="J1487" s="2920"/>
      <c r="K1487" s="2726"/>
      <c r="L1487" s="898"/>
      <c r="M1487" s="2757"/>
      <c r="N1487" s="2768"/>
    </row>
    <row r="1488" spans="1:16" s="32" customFormat="1" ht="16.5" hidden="1" customHeight="1" x14ac:dyDescent="0.25">
      <c r="A1488" s="1"/>
      <c r="B1488" s="441"/>
      <c r="C1488" s="2474" t="s">
        <v>863</v>
      </c>
      <c r="D1488" s="899">
        <f>D1489</f>
        <v>639950000</v>
      </c>
      <c r="E1488" s="2677">
        <f>D1488/D1203*100</f>
        <v>0.49613812348909297</v>
      </c>
      <c r="F1488" s="3853"/>
      <c r="G1488" s="2965"/>
      <c r="H1488" s="2695"/>
      <c r="I1488" s="2970"/>
      <c r="J1488" s="915"/>
      <c r="K1488" s="2965"/>
      <c r="L1488" s="899"/>
      <c r="M1488" s="2970"/>
      <c r="N1488" s="2837"/>
      <c r="P1488" s="630"/>
    </row>
    <row r="1489" spans="1:16" ht="18" hidden="1" customHeight="1" x14ac:dyDescent="0.25">
      <c r="B1489" s="441"/>
      <c r="C1489" s="2473" t="s">
        <v>6845</v>
      </c>
      <c r="D1489" s="896">
        <v>639950000</v>
      </c>
      <c r="E1489" s="2683">
        <f>D1489/D1203*100</f>
        <v>0.49613812348909297</v>
      </c>
      <c r="F1489" s="3868"/>
      <c r="G1489" s="2726"/>
      <c r="H1489" s="3035"/>
      <c r="I1489" s="2757"/>
      <c r="J1489" s="2920"/>
      <c r="K1489" s="2726"/>
      <c r="L1489" s="898"/>
      <c r="M1489" s="2757"/>
      <c r="N1489" s="2768"/>
    </row>
    <row r="1490" spans="1:16" ht="12" hidden="1" customHeight="1" x14ac:dyDescent="0.25">
      <c r="B1490" s="441"/>
      <c r="C1490" s="2475"/>
      <c r="D1490" s="2769"/>
      <c r="E1490" s="3036"/>
      <c r="F1490" s="3872"/>
      <c r="G1490" s="2754"/>
      <c r="H1490" s="2784"/>
      <c r="I1490" s="2753"/>
      <c r="J1490" s="2891"/>
      <c r="K1490" s="2754"/>
      <c r="L1490" s="2755"/>
      <c r="M1490" s="2753"/>
      <c r="N1490" s="2768"/>
    </row>
    <row r="1491" spans="1:16" s="27" customFormat="1" ht="18" hidden="1" customHeight="1" x14ac:dyDescent="0.25">
      <c r="A1491" s="6"/>
      <c r="B1491" s="440"/>
      <c r="C1491" s="2471" t="s">
        <v>865</v>
      </c>
      <c r="D1491" s="2744">
        <f>SUM(D1492+D1500+D1503)</f>
        <v>1326121734</v>
      </c>
      <c r="E1491" s="2670">
        <f>D1491/D1203*100</f>
        <v>1.0281108658877445</v>
      </c>
      <c r="F1491" s="3850"/>
      <c r="G1491" s="2886"/>
      <c r="H1491" s="2996"/>
      <c r="I1491" s="2674"/>
      <c r="J1491" s="2887"/>
      <c r="K1491" s="2887"/>
      <c r="L1491" s="2672"/>
      <c r="M1491" s="2987"/>
      <c r="N1491" s="2701"/>
      <c r="P1491" s="80"/>
    </row>
    <row r="1492" spans="1:16" s="27" customFormat="1" ht="21.75" hidden="1" customHeight="1" x14ac:dyDescent="0.25">
      <c r="A1492" s="6"/>
      <c r="B1492" s="441"/>
      <c r="C1492" s="2525" t="s">
        <v>866</v>
      </c>
      <c r="D1492" s="2751">
        <f>SUM(D1493:D1498)</f>
        <v>936780530</v>
      </c>
      <c r="E1492" s="3002">
        <f>D1492/D1203*100</f>
        <v>0.72626382416644719</v>
      </c>
      <c r="F1492" s="3860"/>
      <c r="G1492" s="2995"/>
      <c r="H1492" s="2997"/>
      <c r="I1492" s="2995"/>
      <c r="J1492" s="2978"/>
      <c r="K1492" s="2978"/>
      <c r="L1492" s="2695"/>
      <c r="M1492" s="2970"/>
      <c r="N1492" s="2701"/>
      <c r="P1492" s="80"/>
    </row>
    <row r="1493" spans="1:16" s="27" customFormat="1" ht="32.25" hidden="1" customHeight="1" x14ac:dyDescent="0.25">
      <c r="A1493" s="6"/>
      <c r="B1493" s="441"/>
      <c r="C1493" s="2473" t="s">
        <v>6846</v>
      </c>
      <c r="D1493" s="896">
        <v>79920000</v>
      </c>
      <c r="E1493" s="2967">
        <f>D1493/D1203*100</f>
        <v>6.1960088802638182E-2</v>
      </c>
      <c r="F1493" s="4414"/>
      <c r="G1493" s="2762"/>
      <c r="H1493" s="3014"/>
      <c r="I1493" s="2762"/>
      <c r="J1493" s="2863"/>
      <c r="K1493" s="2920"/>
      <c r="L1493" s="2690"/>
      <c r="M1493" s="2757"/>
      <c r="N1493" s="2701"/>
      <c r="P1493" s="80"/>
    </row>
    <row r="1494" spans="1:16" s="31" customFormat="1" ht="31.5" hidden="1" customHeight="1" x14ac:dyDescent="0.25">
      <c r="A1494" s="5"/>
      <c r="B1494" s="448"/>
      <c r="C1494" s="2526" t="s">
        <v>6847</v>
      </c>
      <c r="D1494" s="2709">
        <v>174900000</v>
      </c>
      <c r="E1494" s="2967">
        <f>D1494/D1203*100</f>
        <v>0.1355958399847525</v>
      </c>
      <c r="F1494" s="4452"/>
      <c r="G1494" s="3040"/>
      <c r="H1494" s="3041"/>
      <c r="I1494" s="3042"/>
      <c r="J1494" s="2975"/>
      <c r="K1494" s="3018"/>
      <c r="L1494" s="3031"/>
      <c r="M1494" s="3042"/>
      <c r="N1494" s="2687"/>
      <c r="P1494" s="637"/>
    </row>
    <row r="1495" spans="1:16" s="31" customFormat="1" ht="30" hidden="1" customHeight="1" x14ac:dyDescent="0.25">
      <c r="A1495" s="5"/>
      <c r="B1495" s="448"/>
      <c r="C1495" s="2524" t="s">
        <v>6848</v>
      </c>
      <c r="D1495" s="896">
        <v>396831030</v>
      </c>
      <c r="E1495" s="2967">
        <f>D1495/D1203*100</f>
        <v>0.30765372695748722</v>
      </c>
      <c r="F1495" s="4414"/>
      <c r="G1495" s="3018"/>
      <c r="H1495" s="3041"/>
      <c r="I1495" s="3043"/>
      <c r="J1495" s="2863"/>
      <c r="K1495" s="3044"/>
      <c r="L1495" s="3031"/>
      <c r="M1495" s="3042"/>
      <c r="N1495" s="2687"/>
      <c r="P1495" s="637"/>
    </row>
    <row r="1496" spans="1:16" s="31" customFormat="1" ht="15" hidden="1" customHeight="1" x14ac:dyDescent="0.25">
      <c r="A1496" s="5"/>
      <c r="B1496" s="448"/>
      <c r="C1496" s="2524" t="s">
        <v>6849</v>
      </c>
      <c r="D1496" s="896">
        <v>123560000</v>
      </c>
      <c r="E1496" s="2967">
        <f>D1496/D1203*100</f>
        <v>9.5793150305980651E-2</v>
      </c>
      <c r="F1496" s="4414"/>
      <c r="G1496" s="3018"/>
      <c r="H1496" s="3041"/>
      <c r="I1496" s="3043"/>
      <c r="J1496" s="2975"/>
      <c r="K1496" s="3018"/>
      <c r="L1496" s="3031"/>
      <c r="M1496" s="3042"/>
      <c r="N1496" s="2687"/>
      <c r="P1496" s="637"/>
    </row>
    <row r="1497" spans="1:16" s="31" customFormat="1" ht="15" hidden="1" customHeight="1" x14ac:dyDescent="0.25">
      <c r="A1497" s="5"/>
      <c r="B1497" s="448"/>
      <c r="C1497" s="2524" t="s">
        <v>6850</v>
      </c>
      <c r="D1497" s="896">
        <v>73649500</v>
      </c>
      <c r="E1497" s="2967">
        <f>D1497/D1203*100</f>
        <v>5.709871822159536E-2</v>
      </c>
      <c r="F1497" s="4414"/>
      <c r="G1497" s="3018"/>
      <c r="H1497" s="3041"/>
      <c r="I1497" s="3043"/>
      <c r="J1497" s="2975"/>
      <c r="K1497" s="3018"/>
      <c r="L1497" s="3031"/>
      <c r="M1497" s="3042"/>
      <c r="N1497" s="2687"/>
      <c r="P1497" s="637"/>
    </row>
    <row r="1498" spans="1:16" s="31" customFormat="1" ht="15" hidden="1" customHeight="1" x14ac:dyDescent="0.25">
      <c r="A1498" s="5"/>
      <c r="B1498" s="448"/>
      <c r="C1498" s="2524" t="s">
        <v>6851</v>
      </c>
      <c r="D1498" s="896">
        <v>87920000</v>
      </c>
      <c r="E1498" s="2967">
        <f>D1498/D1203*100</f>
        <v>6.8162299893993361E-2</v>
      </c>
      <c r="F1498" s="4414"/>
      <c r="G1498" s="3018"/>
      <c r="H1498" s="3041"/>
      <c r="I1498" s="3043"/>
      <c r="J1498" s="2975"/>
      <c r="K1498" s="3018"/>
      <c r="L1498" s="3031"/>
      <c r="M1498" s="3042"/>
      <c r="N1498" s="2687"/>
      <c r="P1498" s="637"/>
    </row>
    <row r="1499" spans="1:16" s="27" customFormat="1" ht="10.5" hidden="1" customHeight="1" x14ac:dyDescent="0.25">
      <c r="A1499" s="6"/>
      <c r="B1499" s="441"/>
      <c r="C1499" s="2527"/>
      <c r="D1499" s="898"/>
      <c r="E1499" s="2969"/>
      <c r="F1499" s="3862"/>
      <c r="G1499" s="2965"/>
      <c r="H1499" s="2734"/>
      <c r="I1499" s="3005"/>
      <c r="J1499" s="2981"/>
      <c r="K1499" s="2965"/>
      <c r="L1499" s="2759"/>
      <c r="M1499" s="2970"/>
      <c r="N1499" s="2701"/>
      <c r="P1499" s="80"/>
    </row>
    <row r="1500" spans="1:16" s="27" customFormat="1" ht="18" hidden="1" customHeight="1" x14ac:dyDescent="0.25">
      <c r="A1500" s="6"/>
      <c r="B1500" s="441"/>
      <c r="C1500" s="2538" t="s">
        <v>6852</v>
      </c>
      <c r="D1500" s="2751">
        <f>D1501</f>
        <v>189341204</v>
      </c>
      <c r="E1500" s="3002">
        <f>D1500/D1203*100</f>
        <v>0.14679176443741782</v>
      </c>
      <c r="F1500" s="3860"/>
      <c r="G1500" s="2995"/>
      <c r="H1500" s="2997"/>
      <c r="I1500" s="2995"/>
      <c r="J1500" s="2978"/>
      <c r="K1500" s="2978"/>
      <c r="L1500" s="2695"/>
      <c r="M1500" s="3045"/>
      <c r="N1500" s="2701"/>
      <c r="P1500" s="80"/>
    </row>
    <row r="1501" spans="1:16" s="27" customFormat="1" ht="28.5" hidden="1" customHeight="1" x14ac:dyDescent="0.25">
      <c r="A1501" s="6"/>
      <c r="B1501" s="441"/>
      <c r="C1501" s="2524" t="s">
        <v>6853</v>
      </c>
      <c r="D1501" s="896">
        <v>189341204</v>
      </c>
      <c r="E1501" s="2967">
        <f>D1501/D1203*100</f>
        <v>0.14679176443741782</v>
      </c>
      <c r="F1501" s="4414"/>
      <c r="G1501" s="2762"/>
      <c r="H1501" s="3014"/>
      <c r="I1501" s="2762"/>
      <c r="J1501" s="2979"/>
      <c r="K1501" s="2726"/>
      <c r="L1501" s="2690"/>
      <c r="M1501" s="940"/>
      <c r="N1501" s="2701"/>
      <c r="P1501" s="80"/>
    </row>
    <row r="1502" spans="1:16" s="27" customFormat="1" ht="9.75" hidden="1" customHeight="1" x14ac:dyDescent="0.25">
      <c r="A1502" s="6"/>
      <c r="B1502" s="441"/>
      <c r="C1502" s="2528"/>
      <c r="D1502" s="898"/>
      <c r="E1502" s="2683"/>
      <c r="F1502" s="3861"/>
      <c r="G1502" s="2726"/>
      <c r="H1502" s="2968"/>
      <c r="I1502" s="2757"/>
      <c r="J1502" s="898"/>
      <c r="K1502" s="2726"/>
      <c r="L1502" s="2726"/>
      <c r="M1502" s="2757"/>
      <c r="N1502" s="2701"/>
      <c r="P1502" s="80"/>
    </row>
    <row r="1503" spans="1:16" s="27" customFormat="1" ht="19.5" hidden="1" customHeight="1" x14ac:dyDescent="0.25">
      <c r="A1503" s="6"/>
      <c r="B1503" s="441"/>
      <c r="C1503" s="2525" t="s">
        <v>6854</v>
      </c>
      <c r="D1503" s="899">
        <f>D1504</f>
        <v>200000000</v>
      </c>
      <c r="E1503" s="2677">
        <f>D1503/D1203*100</f>
        <v>0.15505527728387933</v>
      </c>
      <c r="F1503" s="3861"/>
      <c r="G1503" s="2995"/>
      <c r="H1503" s="2997"/>
      <c r="I1503" s="2995"/>
      <c r="J1503" s="899"/>
      <c r="K1503" s="2995"/>
      <c r="L1503" s="2997"/>
      <c r="M1503" s="2995"/>
      <c r="N1503" s="2701"/>
      <c r="P1503" s="80"/>
    </row>
    <row r="1504" spans="1:16" s="27" customFormat="1" ht="15" hidden="1" customHeight="1" x14ac:dyDescent="0.25">
      <c r="A1504" s="6"/>
      <c r="B1504" s="441"/>
      <c r="C1504" s="2473" t="s">
        <v>6855</v>
      </c>
      <c r="D1504" s="2769">
        <v>200000000</v>
      </c>
      <c r="E1504" s="2683">
        <f>D1504/D1203*100</f>
        <v>0.15505527728387933</v>
      </c>
      <c r="F1504" s="4426"/>
      <c r="G1504" s="2762"/>
      <c r="H1504" s="3014"/>
      <c r="I1504" s="2762"/>
      <c r="J1504" s="2863"/>
      <c r="K1504" s="2762"/>
      <c r="L1504" s="3014"/>
      <c r="M1504" s="2762"/>
      <c r="N1504" s="2701"/>
      <c r="P1504" s="80"/>
    </row>
    <row r="1505" spans="1:16" ht="12" hidden="1" customHeight="1" x14ac:dyDescent="0.25">
      <c r="B1505" s="441"/>
      <c r="C1505" s="2476"/>
      <c r="D1505" s="2709"/>
      <c r="E1505" s="2967"/>
      <c r="F1505" s="4430"/>
      <c r="G1505" s="2739"/>
      <c r="H1505" s="2999"/>
      <c r="I1505" s="2739"/>
      <c r="J1505" s="2903"/>
      <c r="K1505" s="2739"/>
      <c r="L1505" s="2739"/>
      <c r="M1505" s="2739"/>
      <c r="N1505" s="2768"/>
    </row>
    <row r="1506" spans="1:16" ht="17.25" hidden="1" customHeight="1" x14ac:dyDescent="0.25">
      <c r="B1506" s="440"/>
      <c r="C1506" s="2471" t="s">
        <v>874</v>
      </c>
      <c r="D1506" s="2744">
        <f>SUM(D1507+D1510+D1513+D1520+D1525+D1528)</f>
        <v>0</v>
      </c>
      <c r="E1506" s="2670">
        <f>D1506/D1203*100</f>
        <v>0</v>
      </c>
      <c r="F1506" s="3850"/>
      <c r="G1506" s="2886"/>
      <c r="H1506" s="2996"/>
      <c r="I1506" s="2674"/>
      <c r="J1506" s="2887"/>
      <c r="K1506" s="2887"/>
      <c r="L1506" s="2672"/>
      <c r="M1506" s="2987"/>
      <c r="N1506" s="2768"/>
    </row>
    <row r="1507" spans="1:16" s="27" customFormat="1" ht="21" hidden="1" customHeight="1" x14ac:dyDescent="0.25">
      <c r="A1507" s="6"/>
      <c r="B1507" s="441"/>
      <c r="C1507" s="2521" t="s">
        <v>6856</v>
      </c>
      <c r="D1507" s="2751">
        <f>D1508</f>
        <v>0</v>
      </c>
      <c r="E1507" s="2677">
        <f>D1507/D1203*100</f>
        <v>0</v>
      </c>
      <c r="F1507" s="3860"/>
      <c r="G1507" s="2995"/>
      <c r="H1507" s="2997"/>
      <c r="I1507" s="2995"/>
      <c r="J1507" s="2978"/>
      <c r="K1507" s="2995"/>
      <c r="L1507" s="2997"/>
      <c r="M1507" s="2995"/>
      <c r="N1507" s="2701"/>
      <c r="P1507" s="80"/>
    </row>
    <row r="1508" spans="1:16" s="27" customFormat="1" ht="17.25" hidden="1" customHeight="1" x14ac:dyDescent="0.25">
      <c r="A1508" s="6"/>
      <c r="B1508" s="441"/>
      <c r="C1508" s="2524" t="s">
        <v>6857</v>
      </c>
      <c r="D1508" s="896">
        <v>0</v>
      </c>
      <c r="E1508" s="2683">
        <f>D1508/D1203*100</f>
        <v>0</v>
      </c>
      <c r="F1508" s="4446"/>
      <c r="G1508" s="2762"/>
      <c r="H1508" s="3014"/>
      <c r="I1508" s="2762"/>
      <c r="J1508" s="896"/>
      <c r="K1508" s="2762"/>
      <c r="L1508" s="3014"/>
      <c r="M1508" s="2762"/>
      <c r="N1508" s="2701"/>
      <c r="P1508" s="80"/>
    </row>
    <row r="1509" spans="1:16" s="27" customFormat="1" ht="12" hidden="1" customHeight="1" x14ac:dyDescent="0.25">
      <c r="A1509" s="6"/>
      <c r="B1509" s="441"/>
      <c r="C1509" s="2527"/>
      <c r="D1509" s="2755"/>
      <c r="E1509" s="3002"/>
      <c r="F1509" s="3860"/>
      <c r="G1509" s="2965"/>
      <c r="H1509" s="2734"/>
      <c r="I1509" s="2757"/>
      <c r="J1509" s="2992"/>
      <c r="K1509" s="2965"/>
      <c r="L1509" s="2734"/>
      <c r="M1509" s="2757"/>
      <c r="N1509" s="2701"/>
      <c r="P1509" s="80"/>
    </row>
    <row r="1510" spans="1:16" s="27" customFormat="1" ht="34.5" hidden="1" customHeight="1" x14ac:dyDescent="0.25">
      <c r="A1510" s="6"/>
      <c r="B1510" s="441"/>
      <c r="C1510" s="2521" t="s">
        <v>6858</v>
      </c>
      <c r="D1510" s="899">
        <f>D1511</f>
        <v>0</v>
      </c>
      <c r="E1510" s="2969">
        <f>D1510/D1203*100</f>
        <v>0</v>
      </c>
      <c r="F1510" s="3862"/>
      <c r="G1510" s="2995"/>
      <c r="H1510" s="2997"/>
      <c r="I1510" s="2995"/>
      <c r="J1510" s="2978"/>
      <c r="K1510" s="2978"/>
      <c r="L1510" s="2695"/>
      <c r="M1510" s="2965"/>
      <c r="N1510" s="2701"/>
      <c r="P1510" s="80"/>
    </row>
    <row r="1511" spans="1:16" s="27" customFormat="1" ht="17.25" hidden="1" customHeight="1" x14ac:dyDescent="0.25">
      <c r="A1511" s="6"/>
      <c r="B1511" s="441"/>
      <c r="C1511" s="2524" t="s">
        <v>6859</v>
      </c>
      <c r="D1511" s="896">
        <v>0</v>
      </c>
      <c r="E1511" s="2683">
        <f>D1511/D1203*100</f>
        <v>0</v>
      </c>
      <c r="F1511" s="4449"/>
      <c r="G1511" s="2762"/>
      <c r="H1511" s="3014"/>
      <c r="I1511" s="2762"/>
      <c r="J1511" s="896"/>
      <c r="K1511" s="2726"/>
      <c r="L1511" s="2690"/>
      <c r="M1511" s="2726"/>
      <c r="N1511" s="2701"/>
      <c r="P1511" s="80"/>
    </row>
    <row r="1512" spans="1:16" ht="10.5" hidden="1" customHeight="1" x14ac:dyDescent="0.25">
      <c r="B1512" s="441"/>
      <c r="C1512" s="2535"/>
      <c r="D1512" s="2755"/>
      <c r="E1512" s="2677"/>
      <c r="F1512" s="3860"/>
      <c r="G1512" s="2726"/>
      <c r="H1512" s="2734"/>
      <c r="I1512" s="2757"/>
      <c r="J1512" s="2992"/>
      <c r="K1512" s="2726"/>
      <c r="L1512" s="2759"/>
      <c r="M1512" s="2757"/>
      <c r="N1512" s="2768"/>
    </row>
    <row r="1513" spans="1:16" s="27" customFormat="1" ht="19.5" hidden="1" customHeight="1" x14ac:dyDescent="0.25">
      <c r="A1513" s="6"/>
      <c r="B1513" s="441"/>
      <c r="C1513" s="2525" t="s">
        <v>6860</v>
      </c>
      <c r="D1513" s="899">
        <f>SUM(D1514:D1518)</f>
        <v>0</v>
      </c>
      <c r="E1513" s="2677">
        <f>D1513/D1203*100</f>
        <v>0</v>
      </c>
      <c r="F1513" s="3862"/>
      <c r="G1513" s="2995"/>
      <c r="H1513" s="2997"/>
      <c r="I1513" s="2995"/>
      <c r="J1513" s="2983"/>
      <c r="K1513" s="2983"/>
      <c r="L1513" s="2695"/>
      <c r="M1513" s="2759"/>
      <c r="N1513" s="2701"/>
      <c r="P1513" s="80"/>
    </row>
    <row r="1514" spans="1:16" s="27" customFormat="1" ht="17.25" hidden="1" customHeight="1" x14ac:dyDescent="0.25">
      <c r="A1514" s="6"/>
      <c r="B1514" s="441"/>
      <c r="C1514" s="2524" t="s">
        <v>6861</v>
      </c>
      <c r="D1514" s="896">
        <v>0</v>
      </c>
      <c r="E1514" s="2683">
        <f>D1514/D1203*100</f>
        <v>0</v>
      </c>
      <c r="F1514" s="4449"/>
      <c r="G1514" s="2762"/>
      <c r="H1514" s="3014"/>
      <c r="I1514" s="2762"/>
      <c r="J1514" s="896"/>
      <c r="K1514" s="2726"/>
      <c r="L1514" s="2690"/>
      <c r="M1514" s="940"/>
      <c r="N1514" s="2701"/>
      <c r="P1514" s="80"/>
    </row>
    <row r="1515" spans="1:16" s="27" customFormat="1" ht="17.25" hidden="1" customHeight="1" x14ac:dyDescent="0.25">
      <c r="A1515" s="6"/>
      <c r="B1515" s="441"/>
      <c r="C1515" s="2524" t="s">
        <v>6862</v>
      </c>
      <c r="D1515" s="896">
        <v>0</v>
      </c>
      <c r="E1515" s="2993">
        <f>D1515/D1203*100</f>
        <v>0</v>
      </c>
      <c r="F1515" s="4451"/>
      <c r="G1515" s="2762"/>
      <c r="H1515" s="3014"/>
      <c r="I1515" s="2762"/>
      <c r="J1515" s="2769"/>
      <c r="K1515" s="2726"/>
      <c r="L1515" s="2690"/>
      <c r="M1515" s="940"/>
      <c r="N1515" s="2701"/>
      <c r="P1515" s="80"/>
    </row>
    <row r="1516" spans="1:16" s="27" customFormat="1" ht="21" hidden="1" customHeight="1" x14ac:dyDescent="0.25">
      <c r="A1516" s="6"/>
      <c r="B1516" s="441"/>
      <c r="C1516" s="2524" t="s">
        <v>6863</v>
      </c>
      <c r="D1516" s="896">
        <v>0</v>
      </c>
      <c r="E1516" s="2967">
        <f>D1516/D1203*100</f>
        <v>0</v>
      </c>
      <c r="F1516" s="4449"/>
      <c r="G1516" s="2762"/>
      <c r="H1516" s="3014"/>
      <c r="I1516" s="2762"/>
      <c r="J1516" s="896"/>
      <c r="K1516" s="2726"/>
      <c r="L1516" s="2690"/>
      <c r="M1516" s="940"/>
      <c r="N1516" s="2701"/>
      <c r="P1516" s="80"/>
    </row>
    <row r="1517" spans="1:16" s="27" customFormat="1" ht="28.5" hidden="1" customHeight="1" x14ac:dyDescent="0.25">
      <c r="A1517" s="6"/>
      <c r="B1517" s="441"/>
      <c r="C1517" s="2524" t="s">
        <v>6864</v>
      </c>
      <c r="D1517" s="896">
        <v>0</v>
      </c>
      <c r="E1517" s="2967">
        <f>D1517/D1203*100</f>
        <v>0</v>
      </c>
      <c r="F1517" s="4449"/>
      <c r="G1517" s="2762"/>
      <c r="H1517" s="3014"/>
      <c r="I1517" s="2762"/>
      <c r="J1517" s="896"/>
      <c r="K1517" s="2726"/>
      <c r="L1517" s="2690"/>
      <c r="M1517" s="940"/>
      <c r="N1517" s="2701"/>
      <c r="P1517" s="80"/>
    </row>
    <row r="1518" spans="1:16" s="27" customFormat="1" ht="17.25" hidden="1" customHeight="1" x14ac:dyDescent="0.25">
      <c r="A1518" s="6"/>
      <c r="B1518" s="441"/>
      <c r="C1518" s="2524" t="s">
        <v>6865</v>
      </c>
      <c r="D1518" s="896">
        <v>0</v>
      </c>
      <c r="E1518" s="2967">
        <f>D1518/D1203*100</f>
        <v>0</v>
      </c>
      <c r="F1518" s="4449"/>
      <c r="G1518" s="2762"/>
      <c r="H1518" s="3014"/>
      <c r="I1518" s="2762"/>
      <c r="J1518" s="896"/>
      <c r="K1518" s="2726"/>
      <c r="L1518" s="2690"/>
      <c r="M1518" s="940"/>
      <c r="N1518" s="2701"/>
      <c r="P1518" s="80"/>
    </row>
    <row r="1519" spans="1:16" ht="13.5" hidden="1" customHeight="1" x14ac:dyDescent="0.25">
      <c r="B1519" s="441"/>
      <c r="C1519" s="2527"/>
      <c r="D1519" s="898"/>
      <c r="E1519" s="2967"/>
      <c r="F1519" s="3862"/>
      <c r="G1519" s="2726"/>
      <c r="H1519" s="3035"/>
      <c r="I1519" s="898"/>
      <c r="J1519" s="4206"/>
      <c r="K1519" s="2726"/>
      <c r="L1519" s="898"/>
      <c r="M1519" s="898"/>
      <c r="N1519" s="2768"/>
    </row>
    <row r="1520" spans="1:16" s="27" customFormat="1" ht="22.5" hidden="1" customHeight="1" x14ac:dyDescent="0.25">
      <c r="A1520" s="6"/>
      <c r="B1520" s="441"/>
      <c r="C1520" s="2521" t="s">
        <v>6866</v>
      </c>
      <c r="D1520" s="899">
        <f>SUM(D1521:D1523)</f>
        <v>0</v>
      </c>
      <c r="E1520" s="2969">
        <f>D1520/D1203*100</f>
        <v>0</v>
      </c>
      <c r="F1520" s="3862"/>
      <c r="G1520" s="2977"/>
      <c r="H1520" s="2695"/>
      <c r="I1520" s="899"/>
      <c r="J1520" s="2983"/>
      <c r="K1520" s="2978"/>
      <c r="L1520" s="2695"/>
      <c r="M1520" s="899"/>
      <c r="N1520" s="2701"/>
      <c r="P1520" s="80"/>
    </row>
    <row r="1521" spans="1:16" s="27" customFormat="1" ht="16.5" hidden="1" customHeight="1" x14ac:dyDescent="0.25">
      <c r="A1521" s="6"/>
      <c r="B1521" s="441"/>
      <c r="C1521" s="2524" t="s">
        <v>6867</v>
      </c>
      <c r="D1521" s="896">
        <v>0</v>
      </c>
      <c r="E1521" s="2683">
        <f>D1521/D1203*100</f>
        <v>0</v>
      </c>
      <c r="F1521" s="4449"/>
      <c r="G1521" s="2726"/>
      <c r="H1521" s="2690"/>
      <c r="I1521" s="896"/>
      <c r="J1521" s="896"/>
      <c r="K1521" s="2726"/>
      <c r="L1521" s="2690"/>
      <c r="M1521" s="896"/>
      <c r="N1521" s="2701"/>
      <c r="P1521" s="80"/>
    </row>
    <row r="1522" spans="1:16" s="27" customFormat="1" ht="16.5" hidden="1" customHeight="1" x14ac:dyDescent="0.25">
      <c r="A1522" s="6"/>
      <c r="B1522" s="441"/>
      <c r="C1522" s="2524" t="s">
        <v>6868</v>
      </c>
      <c r="D1522" s="896">
        <v>0</v>
      </c>
      <c r="E1522" s="2683">
        <f>D1522/D1203*100</f>
        <v>0</v>
      </c>
      <c r="F1522" s="4449"/>
      <c r="G1522" s="2726"/>
      <c r="H1522" s="2690"/>
      <c r="I1522" s="896"/>
      <c r="J1522" s="896"/>
      <c r="K1522" s="2726"/>
      <c r="L1522" s="2690"/>
      <c r="M1522" s="896"/>
      <c r="N1522" s="2701"/>
      <c r="P1522" s="80"/>
    </row>
    <row r="1523" spans="1:16" s="27" customFormat="1" ht="16.5" hidden="1" customHeight="1" x14ac:dyDescent="0.25">
      <c r="A1523" s="6"/>
      <c r="B1523" s="441"/>
      <c r="C1523" s="2524" t="s">
        <v>6869</v>
      </c>
      <c r="D1523" s="896">
        <v>0</v>
      </c>
      <c r="E1523" s="2683">
        <f>D1523/D1203*100</f>
        <v>0</v>
      </c>
      <c r="F1523" s="4449"/>
      <c r="G1523" s="2726"/>
      <c r="H1523" s="2690"/>
      <c r="I1523" s="896"/>
      <c r="J1523" s="896"/>
      <c r="K1523" s="2726"/>
      <c r="L1523" s="2690"/>
      <c r="M1523" s="896"/>
      <c r="N1523" s="2701"/>
      <c r="P1523" s="80"/>
    </row>
    <row r="1524" spans="1:16" ht="9" hidden="1" customHeight="1" x14ac:dyDescent="0.25">
      <c r="B1524" s="441"/>
      <c r="C1524" s="2527"/>
      <c r="D1524" s="898"/>
      <c r="E1524" s="2683"/>
      <c r="F1524" s="3868"/>
      <c r="G1524" s="3046"/>
      <c r="H1524" s="3035"/>
      <c r="I1524" s="2757"/>
      <c r="J1524" s="2920"/>
      <c r="K1524" s="3047"/>
      <c r="L1524" s="898"/>
      <c r="M1524" s="2757"/>
      <c r="N1524" s="2768"/>
    </row>
    <row r="1525" spans="1:16" s="32" customFormat="1" ht="17.25" hidden="1" customHeight="1" x14ac:dyDescent="0.25">
      <c r="A1525" s="1"/>
      <c r="B1525" s="441"/>
      <c r="C1525" s="2525" t="s">
        <v>6870</v>
      </c>
      <c r="D1525" s="899">
        <f>SUM(D1526:D1526)</f>
        <v>0</v>
      </c>
      <c r="E1525" s="2677">
        <f>D1525/D1203*100</f>
        <v>0</v>
      </c>
      <c r="F1525" s="3868"/>
      <c r="G1525" s="3048"/>
      <c r="H1525" s="2695"/>
      <c r="I1525" s="3042"/>
      <c r="J1525" s="3020"/>
      <c r="K1525" s="3049"/>
      <c r="L1525" s="899"/>
      <c r="M1525" s="3042"/>
      <c r="N1525" s="2837"/>
      <c r="P1525" s="630"/>
    </row>
    <row r="1526" spans="1:16" s="196" customFormat="1" ht="16.5" hidden="1" customHeight="1" x14ac:dyDescent="0.25">
      <c r="A1526" s="12"/>
      <c r="B1526" s="448"/>
      <c r="C1526" s="2524" t="s">
        <v>6871</v>
      </c>
      <c r="D1526" s="896">
        <v>0</v>
      </c>
      <c r="E1526" s="2683">
        <f>D1526/D1203*100</f>
        <v>0</v>
      </c>
      <c r="F1526" s="3868"/>
      <c r="G1526" s="3050"/>
      <c r="H1526" s="2690"/>
      <c r="I1526" s="2757"/>
      <c r="J1526" s="2920"/>
      <c r="K1526" s="3051"/>
      <c r="L1526" s="896"/>
      <c r="M1526" s="2757"/>
      <c r="N1526" s="2951"/>
      <c r="P1526" s="631"/>
    </row>
    <row r="1527" spans="1:16" ht="9" hidden="1" customHeight="1" x14ac:dyDescent="0.25">
      <c r="B1527" s="441"/>
      <c r="C1527" s="2527"/>
      <c r="D1527" s="898"/>
      <c r="E1527" s="2683"/>
      <c r="F1527" s="3868"/>
      <c r="G1527" s="3046"/>
      <c r="H1527" s="3035"/>
      <c r="I1527" s="2757"/>
      <c r="J1527" s="2920"/>
      <c r="K1527" s="3047"/>
      <c r="L1527" s="898"/>
      <c r="M1527" s="2757"/>
      <c r="N1527" s="2768"/>
    </row>
    <row r="1528" spans="1:16" s="32" customFormat="1" ht="30.75" hidden="1" customHeight="1" x14ac:dyDescent="0.25">
      <c r="A1528" s="1"/>
      <c r="B1528" s="441"/>
      <c r="C1528" s="2525" t="s">
        <v>6872</v>
      </c>
      <c r="D1528" s="899">
        <f>D1529</f>
        <v>0</v>
      </c>
      <c r="E1528" s="2677">
        <f>D1528/D1203*100</f>
        <v>0</v>
      </c>
      <c r="F1528" s="3868"/>
      <c r="G1528" s="3048"/>
      <c r="H1528" s="2695"/>
      <c r="I1528" s="3042"/>
      <c r="J1528" s="3020"/>
      <c r="K1528" s="3049"/>
      <c r="L1528" s="899"/>
      <c r="M1528" s="3042"/>
      <c r="N1528" s="2837"/>
      <c r="P1528" s="630"/>
    </row>
    <row r="1529" spans="1:16" s="196" customFormat="1" ht="15" hidden="1" customHeight="1" x14ac:dyDescent="0.25">
      <c r="A1529" s="12"/>
      <c r="B1529" s="448"/>
      <c r="C1529" s="2524" t="s">
        <v>6873</v>
      </c>
      <c r="D1529" s="896">
        <v>0</v>
      </c>
      <c r="E1529" s="2683">
        <f>D1529/D1203*100</f>
        <v>0</v>
      </c>
      <c r="F1529" s="3868"/>
      <c r="G1529" s="3050"/>
      <c r="H1529" s="2690"/>
      <c r="I1529" s="2757"/>
      <c r="J1529" s="2920"/>
      <c r="K1529" s="3051"/>
      <c r="L1529" s="896"/>
      <c r="M1529" s="2757"/>
      <c r="N1529" s="2951"/>
      <c r="P1529" s="631"/>
    </row>
    <row r="1530" spans="1:16" s="196" customFormat="1" ht="12" hidden="1" customHeight="1" x14ac:dyDescent="0.25">
      <c r="A1530" s="12"/>
      <c r="B1530" s="448"/>
      <c r="C1530" s="2539"/>
      <c r="D1530" s="2894"/>
      <c r="E1530" s="3052"/>
      <c r="F1530" s="4433"/>
      <c r="G1530" s="3053"/>
      <c r="H1530" s="3054"/>
      <c r="I1530" s="3026"/>
      <c r="J1530" s="2925"/>
      <c r="K1530" s="3055"/>
      <c r="L1530" s="2894"/>
      <c r="M1530" s="3026"/>
      <c r="N1530" s="2951"/>
      <c r="P1530" s="631"/>
    </row>
    <row r="1531" spans="1:16" ht="16.5" hidden="1" customHeight="1" x14ac:dyDescent="0.25">
      <c r="B1531" s="440"/>
      <c r="C1531" s="2471" t="s">
        <v>897</v>
      </c>
      <c r="D1531" s="2744">
        <f>SUM(D1532+D1536+D1541)</f>
        <v>2827566084</v>
      </c>
      <c r="E1531" s="2670">
        <f>D1531/D1203*100</f>
        <v>2.1921452159655646</v>
      </c>
      <c r="F1531" s="3850"/>
      <c r="G1531" s="2886"/>
      <c r="H1531" s="2672"/>
      <c r="I1531" s="2987"/>
      <c r="J1531" s="2887"/>
      <c r="K1531" s="2887"/>
      <c r="L1531" s="2672"/>
      <c r="M1531" s="2987"/>
      <c r="N1531" s="2768"/>
    </row>
    <row r="1532" spans="1:16" s="27" customFormat="1" ht="18" hidden="1" customHeight="1" x14ac:dyDescent="0.25">
      <c r="A1532" s="6"/>
      <c r="B1532" s="441"/>
      <c r="C1532" s="2521" t="s">
        <v>898</v>
      </c>
      <c r="D1532" s="2751">
        <f>SUM(D1533:D1534)</f>
        <v>199722580</v>
      </c>
      <c r="E1532" s="2677">
        <f>D1532/D1203*100</f>
        <v>0.15484020010875887</v>
      </c>
      <c r="F1532" s="3860"/>
      <c r="G1532" s="2995"/>
      <c r="H1532" s="2997"/>
      <c r="I1532" s="2995"/>
      <c r="J1532" s="2978"/>
      <c r="K1532" s="2978"/>
      <c r="L1532" s="2695"/>
      <c r="M1532" s="3005"/>
      <c r="N1532" s="2701"/>
      <c r="P1532" s="80"/>
    </row>
    <row r="1533" spans="1:16" s="31" customFormat="1" ht="16.5" hidden="1" customHeight="1" x14ac:dyDescent="0.25">
      <c r="A1533" s="5"/>
      <c r="B1533" s="448"/>
      <c r="C1533" s="2524" t="s">
        <v>6874</v>
      </c>
      <c r="D1533" s="896">
        <v>0</v>
      </c>
      <c r="E1533" s="2683">
        <f>D1533/D1203*100</f>
        <v>0</v>
      </c>
      <c r="F1533" s="4414"/>
      <c r="G1533" s="2762"/>
      <c r="H1533" s="3014"/>
      <c r="I1533" s="2762"/>
      <c r="J1533" s="2975"/>
      <c r="K1533" s="2726"/>
      <c r="L1533" s="2690"/>
      <c r="M1533" s="2757"/>
      <c r="N1533" s="2687"/>
      <c r="P1533" s="637"/>
    </row>
    <row r="1534" spans="1:16" s="196" customFormat="1" ht="15.75" hidden="1" customHeight="1" x14ac:dyDescent="0.25">
      <c r="A1534" s="12"/>
      <c r="B1534" s="448"/>
      <c r="C1534" s="2526" t="s">
        <v>6875</v>
      </c>
      <c r="D1534" s="2769">
        <v>199722580</v>
      </c>
      <c r="E1534" s="2683">
        <f>D1534/D1203*100</f>
        <v>0.15484020010875887</v>
      </c>
      <c r="F1534" s="4414"/>
      <c r="G1534" s="2726"/>
      <c r="H1534" s="2968"/>
      <c r="I1534" s="2757"/>
      <c r="J1534" s="3074"/>
      <c r="K1534" s="2726"/>
      <c r="L1534" s="2726"/>
      <c r="M1534" s="2757"/>
      <c r="N1534" s="2951"/>
      <c r="P1534" s="631"/>
    </row>
    <row r="1535" spans="1:16" s="196" customFormat="1" ht="11.25" hidden="1" customHeight="1" x14ac:dyDescent="0.25">
      <c r="A1535" s="12"/>
      <c r="B1535" s="448"/>
      <c r="C1535" s="2524"/>
      <c r="D1535" s="896"/>
      <c r="E1535" s="2683"/>
      <c r="F1535" s="4414"/>
      <c r="G1535" s="2726"/>
      <c r="H1535" s="2968"/>
      <c r="I1535" s="2757"/>
      <c r="J1535" s="3074"/>
      <c r="K1535" s="2726"/>
      <c r="L1535" s="2726"/>
      <c r="M1535" s="2757"/>
      <c r="N1535" s="2951"/>
      <c r="P1535" s="631"/>
    </row>
    <row r="1536" spans="1:16" s="27" customFormat="1" ht="20.25" hidden="1" customHeight="1" x14ac:dyDescent="0.25">
      <c r="A1536" s="6"/>
      <c r="B1536" s="441"/>
      <c r="C1536" s="2525" t="s">
        <v>902</v>
      </c>
      <c r="D1536" s="899">
        <f>SUM(D1537:D1539)</f>
        <v>2005085002</v>
      </c>
      <c r="E1536" s="2677">
        <f>D1536/D1203*100</f>
        <v>1.5544950548142888</v>
      </c>
      <c r="F1536" s="3861"/>
      <c r="G1536" s="899"/>
      <c r="H1536" s="2695"/>
      <c r="I1536" s="2970"/>
      <c r="J1536" s="899"/>
      <c r="K1536" s="899"/>
      <c r="L1536" s="2695"/>
      <c r="M1536" s="2970"/>
      <c r="N1536" s="2701"/>
      <c r="P1536" s="80"/>
    </row>
    <row r="1537" spans="1:16" s="27" customFormat="1" ht="17.25" hidden="1" customHeight="1" x14ac:dyDescent="0.25">
      <c r="A1537" s="6"/>
      <c r="B1537" s="441"/>
      <c r="C1537" s="2526" t="s">
        <v>6876</v>
      </c>
      <c r="D1537" s="896">
        <v>1235266226</v>
      </c>
      <c r="E1537" s="2683">
        <f>D1537/D1203*100</f>
        <v>0.95767273595920577</v>
      </c>
      <c r="F1537" s="4414"/>
      <c r="G1537" s="2726"/>
      <c r="H1537" s="2968"/>
      <c r="I1537" s="2726"/>
      <c r="J1537" s="2975"/>
      <c r="K1537" s="2726"/>
      <c r="L1537" s="2690"/>
      <c r="M1537" s="2757"/>
      <c r="N1537" s="2701"/>
      <c r="P1537" s="80"/>
    </row>
    <row r="1538" spans="1:16" s="27" customFormat="1" ht="21" hidden="1" customHeight="1" x14ac:dyDescent="0.25">
      <c r="A1538" s="6"/>
      <c r="B1538" s="441"/>
      <c r="C1538" s="2473" t="s">
        <v>6877</v>
      </c>
      <c r="D1538" s="896">
        <v>521700000</v>
      </c>
      <c r="E1538" s="2683">
        <f>D1538/D1203*100</f>
        <v>0.40446169079499927</v>
      </c>
      <c r="F1538" s="4414"/>
      <c r="G1538" s="2726"/>
      <c r="H1538" s="2968"/>
      <c r="I1538" s="2726"/>
      <c r="J1538" s="2975"/>
      <c r="K1538" s="2762"/>
      <c r="L1538" s="3014"/>
      <c r="M1538" s="2762"/>
      <c r="N1538" s="2701"/>
      <c r="P1538" s="80"/>
    </row>
    <row r="1539" spans="1:16" s="196" customFormat="1" ht="16.5" hidden="1" customHeight="1" x14ac:dyDescent="0.25">
      <c r="A1539" s="12"/>
      <c r="B1539" s="442"/>
      <c r="C1539" s="2524" t="s">
        <v>6878</v>
      </c>
      <c r="D1539" s="896">
        <v>248118776</v>
      </c>
      <c r="E1539" s="2683">
        <f>D1539/D1203*100</f>
        <v>0.19236062806008372</v>
      </c>
      <c r="F1539" s="4414"/>
      <c r="G1539" s="2726"/>
      <c r="H1539" s="2690"/>
      <c r="I1539" s="2757"/>
      <c r="J1539" s="2975"/>
      <c r="K1539" s="2739"/>
      <c r="L1539" s="2709"/>
      <c r="M1539" s="2742"/>
      <c r="N1539" s="2951"/>
      <c r="P1539" s="631"/>
    </row>
    <row r="1540" spans="1:16" ht="12" hidden="1" customHeight="1" x14ac:dyDescent="0.25">
      <c r="B1540" s="441"/>
      <c r="C1540" s="2527"/>
      <c r="D1540" s="898"/>
      <c r="E1540" s="2683"/>
      <c r="F1540" s="3862"/>
      <c r="G1540" s="2726"/>
      <c r="H1540" s="3035"/>
      <c r="I1540" s="2757"/>
      <c r="J1540" s="2981"/>
      <c r="K1540" s="2739"/>
      <c r="L1540" s="911"/>
      <c r="M1540" s="2742"/>
      <c r="N1540" s="2768"/>
    </row>
    <row r="1541" spans="1:16" s="27" customFormat="1" ht="18.75" hidden="1" customHeight="1" x14ac:dyDescent="0.25">
      <c r="A1541" s="6"/>
      <c r="B1541" s="441"/>
      <c r="C1541" s="2474" t="s">
        <v>6879</v>
      </c>
      <c r="D1541" s="899">
        <f>D1542</f>
        <v>622758502</v>
      </c>
      <c r="E1541" s="2677">
        <f>D1541/D1203*100</f>
        <v>0.48280996104251667</v>
      </c>
      <c r="F1541" s="3861"/>
      <c r="G1541" s="2965"/>
      <c r="H1541" s="2966"/>
      <c r="I1541" s="2965"/>
      <c r="J1541" s="899"/>
      <c r="K1541" s="899"/>
      <c r="L1541" s="2695"/>
      <c r="M1541" s="2742"/>
      <c r="N1541" s="2701"/>
      <c r="P1541" s="80"/>
    </row>
    <row r="1542" spans="1:16" s="27" customFormat="1" ht="30.75" hidden="1" customHeight="1" x14ac:dyDescent="0.25">
      <c r="A1542" s="6"/>
      <c r="B1542" s="441"/>
      <c r="C1542" s="2524" t="s">
        <v>6880</v>
      </c>
      <c r="D1542" s="896">
        <v>622758502</v>
      </c>
      <c r="E1542" s="2683">
        <f>D1542/D1203*100</f>
        <v>0.48280996104251667</v>
      </c>
      <c r="F1542" s="4414"/>
      <c r="G1542" s="2762"/>
      <c r="H1542" s="3014"/>
      <c r="I1542" s="2762"/>
      <c r="J1542" s="2975"/>
      <c r="K1542" s="2739"/>
      <c r="L1542" s="2690"/>
      <c r="M1542" s="2742"/>
      <c r="N1542" s="2701"/>
      <c r="P1542" s="80"/>
    </row>
    <row r="1543" spans="1:16" ht="12" hidden="1" customHeight="1" x14ac:dyDescent="0.25">
      <c r="B1543" s="441"/>
      <c r="C1543" s="2528"/>
      <c r="D1543" s="2755"/>
      <c r="E1543" s="3058"/>
      <c r="F1543" s="4433"/>
      <c r="G1543" s="3059"/>
      <c r="H1543" s="3060"/>
      <c r="I1543" s="3026"/>
      <c r="J1543" s="2925"/>
      <c r="K1543" s="3059"/>
      <c r="L1543" s="3006"/>
      <c r="M1543" s="3026"/>
      <c r="N1543" s="2768"/>
    </row>
    <row r="1544" spans="1:16" s="27" customFormat="1" ht="18" hidden="1" customHeight="1" x14ac:dyDescent="0.25">
      <c r="A1544" s="6"/>
      <c r="B1544" s="440"/>
      <c r="C1544" s="2532" t="s">
        <v>915</v>
      </c>
      <c r="D1544" s="2744">
        <f>SUM(D1545+D1551+D1563+D1567+D1570+D1573)</f>
        <v>10820125174</v>
      </c>
      <c r="E1544" s="2670">
        <f>D1544/D1203*100</f>
        <v>8.3885875455042651</v>
      </c>
      <c r="F1544" s="3863"/>
      <c r="G1544" s="3061"/>
      <c r="H1544" s="2672"/>
      <c r="I1544" s="2987"/>
      <c r="J1544" s="2988"/>
      <c r="K1544" s="2988"/>
      <c r="L1544" s="2672"/>
      <c r="M1544" s="2987"/>
      <c r="N1544" s="2701"/>
      <c r="P1544" s="80"/>
    </row>
    <row r="1545" spans="1:16" s="27" customFormat="1" ht="18" hidden="1" customHeight="1" x14ac:dyDescent="0.25">
      <c r="A1545" s="6"/>
      <c r="B1545" s="441"/>
      <c r="C1545" s="2521" t="s">
        <v>916</v>
      </c>
      <c r="D1545" s="2751">
        <f>SUM(D1546:D1549)</f>
        <v>1410585250</v>
      </c>
      <c r="E1545" s="2677">
        <f>D1545/D1203*100</f>
        <v>1.0935934353565013</v>
      </c>
      <c r="F1545" s="3860"/>
      <c r="G1545" s="3062"/>
      <c r="H1545" s="2785"/>
      <c r="I1545" s="3009"/>
      <c r="J1545" s="2978"/>
      <c r="K1545" s="2978"/>
      <c r="L1545" s="2695"/>
      <c r="M1545" s="3009"/>
      <c r="N1545" s="2701"/>
      <c r="P1545" s="80"/>
    </row>
    <row r="1546" spans="1:16" s="27" customFormat="1" ht="18" hidden="1" customHeight="1" x14ac:dyDescent="0.25">
      <c r="A1546" s="6"/>
      <c r="B1546" s="441"/>
      <c r="C1546" s="2473" t="s">
        <v>6881</v>
      </c>
      <c r="D1546" s="896">
        <v>219477000</v>
      </c>
      <c r="E1546" s="2683">
        <f>D1546/D1203*100</f>
        <v>0.17015533546216993</v>
      </c>
      <c r="F1546" s="4449"/>
      <c r="G1546" s="2811"/>
      <c r="H1546" s="2690"/>
      <c r="I1546" s="2757"/>
      <c r="J1546" s="896"/>
      <c r="K1546" s="2726"/>
      <c r="L1546" s="2690"/>
      <c r="M1546" s="2757"/>
      <c r="N1546" s="2701"/>
      <c r="P1546" s="80"/>
    </row>
    <row r="1547" spans="1:16" s="27" customFormat="1" ht="15.75" hidden="1" customHeight="1" x14ac:dyDescent="0.25">
      <c r="A1547" s="6"/>
      <c r="B1547" s="441"/>
      <c r="C1547" s="2475" t="s">
        <v>6882</v>
      </c>
      <c r="D1547" s="2769">
        <v>431271750</v>
      </c>
      <c r="E1547" s="2993">
        <f>D1547/D1203*100</f>
        <v>0.33435480390476946</v>
      </c>
      <c r="F1547" s="4451"/>
      <c r="G1547" s="2811"/>
      <c r="H1547" s="2690"/>
      <c r="I1547" s="2757"/>
      <c r="J1547" s="2769"/>
      <c r="K1547" s="2726"/>
      <c r="L1547" s="2690"/>
      <c r="M1547" s="2757"/>
      <c r="N1547" s="2701"/>
      <c r="P1547" s="80"/>
    </row>
    <row r="1548" spans="1:16" s="27" customFormat="1" ht="15.75" hidden="1" customHeight="1" x14ac:dyDescent="0.25">
      <c r="A1548" s="6"/>
      <c r="B1548" s="441"/>
      <c r="C1548" s="2473" t="s">
        <v>6883</v>
      </c>
      <c r="D1548" s="896">
        <v>109448000</v>
      </c>
      <c r="E1548" s="2967">
        <f>D1548/D1203*100</f>
        <v>8.4852449940830132E-2</v>
      </c>
      <c r="F1548" s="4449"/>
      <c r="G1548" s="2811"/>
      <c r="H1548" s="2690"/>
      <c r="I1548" s="2757"/>
      <c r="J1548" s="2769"/>
      <c r="K1548" s="2726"/>
      <c r="L1548" s="2690"/>
      <c r="M1548" s="2757"/>
      <c r="N1548" s="2701"/>
      <c r="P1548" s="80"/>
    </row>
    <row r="1549" spans="1:16" s="27" customFormat="1" ht="15.75" hidden="1" customHeight="1" x14ac:dyDescent="0.25">
      <c r="A1549" s="6"/>
      <c r="B1549" s="441"/>
      <c r="C1549" s="2473" t="s">
        <v>6884</v>
      </c>
      <c r="D1549" s="896">
        <v>650388500</v>
      </c>
      <c r="E1549" s="2967">
        <f>D1549/D1203*100</f>
        <v>0.50423084604873181</v>
      </c>
      <c r="F1549" s="4449"/>
      <c r="G1549" s="2811"/>
      <c r="H1549" s="2690"/>
      <c r="I1549" s="2757"/>
      <c r="J1549" s="2769"/>
      <c r="K1549" s="2726"/>
      <c r="L1549" s="2690"/>
      <c r="M1549" s="2757"/>
      <c r="N1549" s="2701"/>
      <c r="P1549" s="80"/>
    </row>
    <row r="1550" spans="1:16" s="27" customFormat="1" ht="9.75" hidden="1" customHeight="1" x14ac:dyDescent="0.25">
      <c r="A1550" s="6"/>
      <c r="B1550" s="441"/>
      <c r="C1550" s="2527"/>
      <c r="D1550" s="898"/>
      <c r="E1550" s="3037"/>
      <c r="F1550" s="3862"/>
      <c r="G1550" s="3032"/>
      <c r="H1550" s="3035"/>
      <c r="I1550" s="2757"/>
      <c r="J1550" s="2992"/>
      <c r="K1550" s="2726"/>
      <c r="L1550" s="898"/>
      <c r="M1550" s="2757"/>
      <c r="N1550" s="2701"/>
      <c r="P1550" s="80"/>
    </row>
    <row r="1551" spans="1:16" s="27" customFormat="1" ht="15.75" hidden="1" customHeight="1" x14ac:dyDescent="0.25">
      <c r="A1551" s="6"/>
      <c r="B1551" s="441"/>
      <c r="C1551" s="2538" t="s">
        <v>6885</v>
      </c>
      <c r="D1551" s="2751">
        <f>SUM(D1552:D1561)</f>
        <v>5771048874</v>
      </c>
      <c r="E1551" s="2677">
        <f>D1551/D1203*100</f>
        <v>4.4741579168844483</v>
      </c>
      <c r="F1551" s="3860"/>
      <c r="G1551" s="3063"/>
      <c r="H1551" s="2695"/>
      <c r="I1551" s="2970"/>
      <c r="J1551" s="2978"/>
      <c r="K1551" s="2978"/>
      <c r="L1551" s="2695"/>
      <c r="M1551" s="2970"/>
      <c r="N1551" s="2701"/>
      <c r="P1551" s="80"/>
    </row>
    <row r="1552" spans="1:16" s="27" customFormat="1" ht="16.5" hidden="1" customHeight="1" x14ac:dyDescent="0.25">
      <c r="A1552" s="6"/>
      <c r="B1552" s="441"/>
      <c r="C1552" s="2524" t="s">
        <v>6886</v>
      </c>
      <c r="D1552" s="896">
        <v>749040400</v>
      </c>
      <c r="E1552" s="2683">
        <f>D1552/D1203*100</f>
        <v>0.58071333459413943</v>
      </c>
      <c r="F1552" s="4414"/>
      <c r="G1552" s="2811"/>
      <c r="H1552" s="2690"/>
      <c r="I1552" s="2757"/>
      <c r="J1552" s="2975"/>
      <c r="K1552" s="2726"/>
      <c r="L1552" s="2690"/>
      <c r="M1552" s="2757"/>
      <c r="N1552" s="2701"/>
      <c r="P1552" s="80"/>
    </row>
    <row r="1553" spans="1:16" s="31" customFormat="1" ht="17.25" hidden="1" customHeight="1" x14ac:dyDescent="0.25">
      <c r="A1553" s="5"/>
      <c r="B1553" s="448"/>
      <c r="C1553" s="2524" t="s">
        <v>6887</v>
      </c>
      <c r="D1553" s="896">
        <v>153958248</v>
      </c>
      <c r="E1553" s="2683">
        <f>D1553/D1203*100</f>
        <v>0.11936019416890131</v>
      </c>
      <c r="F1553" s="4414"/>
      <c r="G1553" s="2811"/>
      <c r="H1553" s="2690"/>
      <c r="I1553" s="2757"/>
      <c r="J1553" s="2975"/>
      <c r="K1553" s="2726"/>
      <c r="L1553" s="2690"/>
      <c r="M1553" s="2757"/>
      <c r="N1553" s="2687"/>
      <c r="P1553" s="637"/>
    </row>
    <row r="1554" spans="1:16" s="31" customFormat="1" ht="15" hidden="1" customHeight="1" x14ac:dyDescent="0.25">
      <c r="A1554" s="5"/>
      <c r="B1554" s="448"/>
      <c r="C1554" s="2526" t="s">
        <v>6888</v>
      </c>
      <c r="D1554" s="896">
        <v>399221210</v>
      </c>
      <c r="E1554" s="2683">
        <f>D1554/D1203*100</f>
        <v>0.30950677707077912</v>
      </c>
      <c r="F1554" s="4414"/>
      <c r="G1554" s="2811"/>
      <c r="H1554" s="2690"/>
      <c r="I1554" s="2757"/>
      <c r="J1554" s="2975"/>
      <c r="K1554" s="2726"/>
      <c r="L1554" s="896"/>
      <c r="M1554" s="2757"/>
      <c r="N1554" s="2687"/>
      <c r="P1554" s="637"/>
    </row>
    <row r="1555" spans="1:16" s="31" customFormat="1" ht="15.75" hidden="1" customHeight="1" x14ac:dyDescent="0.25">
      <c r="A1555" s="5"/>
      <c r="B1555" s="448"/>
      <c r="C1555" s="2524" t="s">
        <v>6889</v>
      </c>
      <c r="D1555" s="896">
        <v>881529072</v>
      </c>
      <c r="E1555" s="2683">
        <f>D1555/D1203*100</f>
        <v>0.6834286734638042</v>
      </c>
      <c r="F1555" s="4414"/>
      <c r="G1555" s="2811"/>
      <c r="H1555" s="2690"/>
      <c r="I1555" s="2757"/>
      <c r="J1555" s="2975"/>
      <c r="K1555" s="2726"/>
      <c r="L1555" s="896"/>
      <c r="M1555" s="2757"/>
      <c r="N1555" s="2687"/>
      <c r="P1555" s="637"/>
    </row>
    <row r="1556" spans="1:16" s="31" customFormat="1" ht="16.5" hidden="1" customHeight="1" x14ac:dyDescent="0.25">
      <c r="A1556" s="5"/>
      <c r="B1556" s="448"/>
      <c r="C1556" s="2524" t="s">
        <v>6890</v>
      </c>
      <c r="D1556" s="896">
        <v>182716500</v>
      </c>
      <c r="E1556" s="2683">
        <f>D1556/D1203*100</f>
        <v>0.14165578785919972</v>
      </c>
      <c r="F1556" s="4414"/>
      <c r="G1556" s="2811"/>
      <c r="H1556" s="2690"/>
      <c r="I1556" s="2757"/>
      <c r="J1556" s="2975"/>
      <c r="K1556" s="2726"/>
      <c r="L1556" s="896"/>
      <c r="M1556" s="2757"/>
      <c r="N1556" s="2687"/>
      <c r="P1556" s="637"/>
    </row>
    <row r="1557" spans="1:16" s="31" customFormat="1" ht="15" hidden="1" customHeight="1" x14ac:dyDescent="0.25">
      <c r="A1557" s="5"/>
      <c r="B1557" s="448"/>
      <c r="C1557" s="2524" t="s">
        <v>6891</v>
      </c>
      <c r="D1557" s="896">
        <v>300077500</v>
      </c>
      <c r="E1557" s="2683">
        <f>D1557/D1203*100</f>
        <v>0.23264299984576653</v>
      </c>
      <c r="F1557" s="4414"/>
      <c r="G1557" s="2811"/>
      <c r="H1557" s="2690"/>
      <c r="I1557" s="2757"/>
      <c r="J1557" s="2975"/>
      <c r="K1557" s="2726"/>
      <c r="L1557" s="896"/>
      <c r="M1557" s="2757"/>
      <c r="N1557" s="2687"/>
      <c r="P1557" s="637"/>
    </row>
    <row r="1558" spans="1:16" s="31" customFormat="1" ht="15.75" hidden="1" customHeight="1" x14ac:dyDescent="0.25">
      <c r="A1558" s="5"/>
      <c r="B1558" s="448"/>
      <c r="C1558" s="2524" t="s">
        <v>6892</v>
      </c>
      <c r="D1558" s="896">
        <v>923919256</v>
      </c>
      <c r="E1558" s="2683">
        <f>D1558/D1203*100</f>
        <v>0.71629278213497749</v>
      </c>
      <c r="F1558" s="4414"/>
      <c r="G1558" s="2811"/>
      <c r="H1558" s="2690"/>
      <c r="I1558" s="2757"/>
      <c r="J1558" s="2975"/>
      <c r="K1558" s="2726"/>
      <c r="L1558" s="896"/>
      <c r="M1558" s="2757"/>
      <c r="N1558" s="2687"/>
      <c r="P1558" s="637"/>
    </row>
    <row r="1559" spans="1:16" s="31" customFormat="1" ht="14.25" hidden="1" customHeight="1" x14ac:dyDescent="0.25">
      <c r="A1559" s="5"/>
      <c r="B1559" s="448"/>
      <c r="C1559" s="2524" t="s">
        <v>6893</v>
      </c>
      <c r="D1559" s="896">
        <v>604827699</v>
      </c>
      <c r="E1559" s="2683">
        <f>D1559/D1203*100</f>
        <v>0.46890863288707857</v>
      </c>
      <c r="F1559" s="4414"/>
      <c r="G1559" s="2811"/>
      <c r="H1559" s="2690"/>
      <c r="I1559" s="2757"/>
      <c r="J1559" s="2975"/>
      <c r="K1559" s="2726"/>
      <c r="L1559" s="896"/>
      <c r="M1559" s="2757"/>
      <c r="N1559" s="2687"/>
      <c r="P1559" s="637"/>
    </row>
    <row r="1560" spans="1:16" s="31" customFormat="1" ht="15" hidden="1" customHeight="1" x14ac:dyDescent="0.25">
      <c r="A1560" s="5"/>
      <c r="B1560" s="448"/>
      <c r="C1560" s="2524" t="s">
        <v>6894</v>
      </c>
      <c r="D1560" s="896">
        <v>1361082791</v>
      </c>
      <c r="E1560" s="2683">
        <f>D1560/D1203*100</f>
        <v>1.0552153478241071</v>
      </c>
      <c r="F1560" s="4414"/>
      <c r="G1560" s="2811"/>
      <c r="H1560" s="2690"/>
      <c r="I1560" s="2757"/>
      <c r="J1560" s="2975"/>
      <c r="K1560" s="2726"/>
      <c r="L1560" s="896"/>
      <c r="M1560" s="2757"/>
      <c r="N1560" s="2687"/>
      <c r="P1560" s="637"/>
    </row>
    <row r="1561" spans="1:16" s="31" customFormat="1" ht="17.25" hidden="1" customHeight="1" x14ac:dyDescent="0.25">
      <c r="A1561" s="5"/>
      <c r="B1561" s="448"/>
      <c r="C1561" s="2524" t="s">
        <v>6895</v>
      </c>
      <c r="D1561" s="896">
        <v>214676198</v>
      </c>
      <c r="E1561" s="2683">
        <f>D1561/D1203*100</f>
        <v>0.16643338703569491</v>
      </c>
      <c r="F1561" s="4414"/>
      <c r="G1561" s="2811"/>
      <c r="H1561" s="2690"/>
      <c r="I1561" s="2757"/>
      <c r="J1561" s="2975"/>
      <c r="K1561" s="2726"/>
      <c r="L1561" s="896"/>
      <c r="M1561" s="2757"/>
      <c r="N1561" s="2687"/>
      <c r="P1561" s="637"/>
    </row>
    <row r="1562" spans="1:16" s="27" customFormat="1" ht="12" hidden="1" customHeight="1" x14ac:dyDescent="0.25">
      <c r="A1562" s="6"/>
      <c r="B1562" s="441"/>
      <c r="C1562" s="2528"/>
      <c r="D1562" s="898"/>
      <c r="E1562" s="2683"/>
      <c r="F1562" s="3862"/>
      <c r="G1562" s="3032"/>
      <c r="H1562" s="2690"/>
      <c r="I1562" s="2757"/>
      <c r="J1562" s="2981"/>
      <c r="K1562" s="2726"/>
      <c r="L1562" s="898"/>
      <c r="M1562" s="2757"/>
      <c r="N1562" s="2701"/>
      <c r="P1562" s="80"/>
    </row>
    <row r="1563" spans="1:16" s="25" customFormat="1" ht="18.75" hidden="1" customHeight="1" x14ac:dyDescent="0.25">
      <c r="A1563" s="4"/>
      <c r="B1563" s="441"/>
      <c r="C1563" s="2525" t="s">
        <v>6896</v>
      </c>
      <c r="D1563" s="899">
        <f>SUM(D1564:D1565)</f>
        <v>406897880</v>
      </c>
      <c r="E1563" s="2677">
        <f>D1563/D1203*100</f>
        <v>0.31545831804811331</v>
      </c>
      <c r="F1563" s="3862"/>
      <c r="G1563" s="3064"/>
      <c r="H1563" s="2702"/>
      <c r="I1563" s="3042"/>
      <c r="J1563" s="2983"/>
      <c r="K1563" s="3018"/>
      <c r="L1563" s="899"/>
      <c r="M1563" s="3042"/>
      <c r="N1563" s="2697"/>
      <c r="P1563" s="629"/>
    </row>
    <row r="1564" spans="1:16" s="31" customFormat="1" ht="29.25" hidden="1" customHeight="1" x14ac:dyDescent="0.25">
      <c r="A1564" s="5"/>
      <c r="B1564" s="448"/>
      <c r="C1564" s="2524" t="s">
        <v>932</v>
      </c>
      <c r="D1564" s="896">
        <v>168647880</v>
      </c>
      <c r="E1564" s="2683">
        <f>D1564/D1203*100</f>
        <v>0.13074871898369206</v>
      </c>
      <c r="F1564" s="4414"/>
      <c r="G1564" s="2811"/>
      <c r="H1564" s="2690"/>
      <c r="I1564" s="2757"/>
      <c r="J1564" s="2975"/>
      <c r="K1564" s="2726"/>
      <c r="L1564" s="896"/>
      <c r="M1564" s="2757"/>
      <c r="N1564" s="2687"/>
      <c r="P1564" s="637"/>
    </row>
    <row r="1565" spans="1:16" s="31" customFormat="1" ht="28.5" hidden="1" customHeight="1" x14ac:dyDescent="0.25">
      <c r="A1565" s="5"/>
      <c r="B1565" s="448"/>
      <c r="C1565" s="2524" t="s">
        <v>6897</v>
      </c>
      <c r="D1565" s="896">
        <v>238250000</v>
      </c>
      <c r="E1565" s="2683">
        <f>D1565/D1203*100</f>
        <v>0.18470959906442128</v>
      </c>
      <c r="F1565" s="4414"/>
      <c r="G1565" s="2811"/>
      <c r="H1565" s="2690"/>
      <c r="I1565" s="2757"/>
      <c r="J1565" s="2975"/>
      <c r="K1565" s="2726"/>
      <c r="L1565" s="896"/>
      <c r="M1565" s="2757"/>
      <c r="N1565" s="2687"/>
      <c r="P1565" s="637"/>
    </row>
    <row r="1566" spans="1:16" s="27" customFormat="1" ht="11.25" hidden="1" customHeight="1" x14ac:dyDescent="0.25">
      <c r="A1566" s="6"/>
      <c r="B1566" s="441"/>
      <c r="C1566" s="2528"/>
      <c r="D1566" s="898"/>
      <c r="E1566" s="3065"/>
      <c r="F1566" s="3862"/>
      <c r="G1566" s="3032"/>
      <c r="H1566" s="2690"/>
      <c r="I1566" s="2757"/>
      <c r="J1566" s="2981"/>
      <c r="K1566" s="2726"/>
      <c r="L1566" s="898"/>
      <c r="M1566" s="2757"/>
      <c r="N1566" s="2701"/>
      <c r="P1566" s="80"/>
    </row>
    <row r="1567" spans="1:16" s="27" customFormat="1" ht="18" hidden="1" customHeight="1" x14ac:dyDescent="0.25">
      <c r="A1567" s="6"/>
      <c r="B1567" s="441"/>
      <c r="C1567" s="2525" t="s">
        <v>6898</v>
      </c>
      <c r="D1567" s="899">
        <f>D1568</f>
        <v>109522960</v>
      </c>
      <c r="E1567" s="2677">
        <f>D1567/D1203*100</f>
        <v>8.4910564658756127E-2</v>
      </c>
      <c r="F1567" s="3862"/>
      <c r="G1567" s="3066"/>
      <c r="H1567" s="2695"/>
      <c r="I1567" s="2970"/>
      <c r="J1567" s="2983"/>
      <c r="K1567" s="2983"/>
      <c r="L1567" s="2695"/>
      <c r="M1567" s="2970"/>
      <c r="N1567" s="2701"/>
      <c r="P1567" s="80"/>
    </row>
    <row r="1568" spans="1:16" s="27" customFormat="1" ht="17.25" hidden="1" customHeight="1" x14ac:dyDescent="0.25">
      <c r="A1568" s="6"/>
      <c r="B1568" s="441"/>
      <c r="C1568" s="2524" t="s">
        <v>6899</v>
      </c>
      <c r="D1568" s="896">
        <v>109522960</v>
      </c>
      <c r="E1568" s="2683">
        <f>D1568/D1203*100</f>
        <v>8.4910564658756127E-2</v>
      </c>
      <c r="F1568" s="4414"/>
      <c r="G1568" s="2762"/>
      <c r="H1568" s="3014"/>
      <c r="I1568" s="2762"/>
      <c r="J1568" s="2975"/>
      <c r="K1568" s="2726"/>
      <c r="L1568" s="2690"/>
      <c r="M1568" s="2757"/>
      <c r="N1568" s="2701"/>
      <c r="P1568" s="80"/>
    </row>
    <row r="1569" spans="1:16" s="27" customFormat="1" ht="9.75" hidden="1" customHeight="1" x14ac:dyDescent="0.25">
      <c r="A1569" s="6"/>
      <c r="B1569" s="441"/>
      <c r="C1569" s="2524"/>
      <c r="D1569" s="896"/>
      <c r="E1569" s="2683"/>
      <c r="F1569" s="4414"/>
      <c r="G1569" s="2762"/>
      <c r="H1569" s="3014"/>
      <c r="I1569" s="2762"/>
      <c r="J1569" s="2975"/>
      <c r="K1569" s="2726"/>
      <c r="L1569" s="2690"/>
      <c r="M1569" s="2757"/>
      <c r="N1569" s="2701"/>
      <c r="P1569" s="80"/>
    </row>
    <row r="1570" spans="1:16" s="25" customFormat="1" ht="15.75" hidden="1" customHeight="1" x14ac:dyDescent="0.25">
      <c r="A1570" s="4"/>
      <c r="B1570" s="441"/>
      <c r="C1570" s="2525" t="s">
        <v>6900</v>
      </c>
      <c r="D1570" s="899">
        <f>D1571</f>
        <v>908244267</v>
      </c>
      <c r="E1570" s="2677">
        <f>D1570/D1203*100</f>
        <v>0.70414033330589376</v>
      </c>
      <c r="F1570" s="3862"/>
      <c r="G1570" s="2995"/>
      <c r="H1570" s="2997"/>
      <c r="I1570" s="2995"/>
      <c r="J1570" s="2983"/>
      <c r="K1570" s="2965"/>
      <c r="L1570" s="2695"/>
      <c r="M1570" s="2970"/>
      <c r="N1570" s="2697"/>
      <c r="P1570" s="629"/>
    </row>
    <row r="1571" spans="1:16" s="27" customFormat="1" ht="21" hidden="1" customHeight="1" x14ac:dyDescent="0.25">
      <c r="A1571" s="6"/>
      <c r="B1571" s="441"/>
      <c r="C1571" s="2524" t="s">
        <v>6901</v>
      </c>
      <c r="D1571" s="896">
        <v>908244267</v>
      </c>
      <c r="E1571" s="2683">
        <f>D1571/D1203*100</f>
        <v>0.70414033330589376</v>
      </c>
      <c r="F1571" s="4446"/>
      <c r="G1571" s="2811"/>
      <c r="H1571" s="2752"/>
      <c r="I1571" s="2757"/>
      <c r="J1571" s="896"/>
      <c r="K1571" s="2726"/>
      <c r="L1571" s="2690"/>
      <c r="M1571" s="2757"/>
      <c r="N1571" s="2701"/>
      <c r="P1571" s="80"/>
    </row>
    <row r="1572" spans="1:16" s="27" customFormat="1" ht="11.25" hidden="1" customHeight="1" x14ac:dyDescent="0.25">
      <c r="A1572" s="6"/>
      <c r="B1572" s="441"/>
      <c r="C1572" s="2526"/>
      <c r="D1572" s="2769"/>
      <c r="E1572" s="2683"/>
      <c r="F1572" s="4453"/>
      <c r="G1572" s="2849"/>
      <c r="H1572" s="2752"/>
      <c r="I1572" s="2753"/>
      <c r="J1572" s="2769"/>
      <c r="K1572" s="2754"/>
      <c r="L1572" s="2752"/>
      <c r="M1572" s="2753"/>
      <c r="N1572" s="2701"/>
      <c r="P1572" s="80"/>
    </row>
    <row r="1573" spans="1:16" s="25" customFormat="1" ht="18.75" hidden="1" customHeight="1" x14ac:dyDescent="0.25">
      <c r="A1573" s="4"/>
      <c r="B1573" s="441"/>
      <c r="C1573" s="2525" t="s">
        <v>6902</v>
      </c>
      <c r="D1573" s="899">
        <f>D1574+D1575</f>
        <v>2213825943</v>
      </c>
      <c r="E1573" s="2677">
        <f>D1573/D1203*100</f>
        <v>1.7163269772505534</v>
      </c>
      <c r="F1573" s="3861"/>
      <c r="G1573" s="3064"/>
      <c r="H1573" s="2695"/>
      <c r="I1573" s="2970"/>
      <c r="J1573" s="899"/>
      <c r="K1573" s="2965"/>
      <c r="L1573" s="2695"/>
      <c r="M1573" s="2970"/>
      <c r="N1573" s="2697"/>
      <c r="P1573" s="629"/>
    </row>
    <row r="1574" spans="1:16" s="27" customFormat="1" ht="16.5" hidden="1" customHeight="1" x14ac:dyDescent="0.25">
      <c r="A1574" s="6"/>
      <c r="B1574" s="441"/>
      <c r="C1574" s="2524" t="s">
        <v>6903</v>
      </c>
      <c r="D1574" s="896">
        <v>281615980</v>
      </c>
      <c r="E1574" s="2683">
        <f>D1574/D1203*100</f>
        <v>0.21833021933235711</v>
      </c>
      <c r="F1574" s="4446"/>
      <c r="G1574" s="2811"/>
      <c r="H1574" s="2690"/>
      <c r="I1574" s="2757"/>
      <c r="J1574" s="896"/>
      <c r="K1574" s="2726"/>
      <c r="L1574" s="2690"/>
      <c r="M1574" s="2757"/>
      <c r="N1574" s="2701"/>
      <c r="P1574" s="80"/>
    </row>
    <row r="1575" spans="1:16" s="196" customFormat="1" ht="18" hidden="1" customHeight="1" x14ac:dyDescent="0.25">
      <c r="A1575" s="12"/>
      <c r="B1575" s="442"/>
      <c r="C1575" s="2524" t="s">
        <v>6904</v>
      </c>
      <c r="D1575" s="896">
        <v>1932209963</v>
      </c>
      <c r="E1575" s="2967">
        <f>D1575/D1203*100</f>
        <v>1.4979967579181961</v>
      </c>
      <c r="F1575" s="3868"/>
      <c r="G1575" s="2726"/>
      <c r="H1575" s="2690"/>
      <c r="I1575" s="2757"/>
      <c r="J1575" s="2920"/>
      <c r="K1575" s="2726"/>
      <c r="L1575" s="896"/>
      <c r="M1575" s="2757"/>
      <c r="N1575" s="2951"/>
      <c r="P1575" s="631"/>
    </row>
    <row r="1576" spans="1:16" ht="12" hidden="1" customHeight="1" x14ac:dyDescent="0.25">
      <c r="B1576" s="441"/>
      <c r="C1576" s="2528"/>
      <c r="D1576" s="2755"/>
      <c r="E1576" s="3036"/>
      <c r="F1576" s="3872"/>
      <c r="G1576" s="2754"/>
      <c r="H1576" s="2784"/>
      <c r="I1576" s="2753"/>
      <c r="J1576" s="2891"/>
      <c r="K1576" s="2754"/>
      <c r="L1576" s="2755"/>
      <c r="M1576" s="2753"/>
      <c r="N1576" s="2768"/>
    </row>
    <row r="1577" spans="1:16" s="27" customFormat="1" ht="18" hidden="1" customHeight="1" x14ac:dyDescent="0.25">
      <c r="A1577" s="6"/>
      <c r="B1577" s="440"/>
      <c r="C1577" s="2471" t="s">
        <v>940</v>
      </c>
      <c r="D1577" s="2744">
        <f>SUM(D1578+D1581+D1585+D1588)</f>
        <v>4692177642</v>
      </c>
      <c r="E1577" s="2670">
        <f>D1577/D1203*100</f>
        <v>3.6377345267276455</v>
      </c>
      <c r="F1577" s="3850"/>
      <c r="G1577" s="2674"/>
      <c r="H1577" s="2996"/>
      <c r="I1577" s="2674"/>
      <c r="J1577" s="2887"/>
      <c r="K1577" s="2887"/>
      <c r="L1577" s="2672"/>
      <c r="M1577" s="2987"/>
      <c r="N1577" s="2701"/>
      <c r="P1577" s="80"/>
    </row>
    <row r="1578" spans="1:16" s="27" customFormat="1" ht="17.25" hidden="1" customHeight="1" x14ac:dyDescent="0.25">
      <c r="A1578" s="6"/>
      <c r="B1578" s="441"/>
      <c r="C1578" s="2525" t="s">
        <v>941</v>
      </c>
      <c r="D1578" s="2751">
        <f>D1579</f>
        <v>738550000</v>
      </c>
      <c r="E1578" s="2677">
        <f>D1578/D1203*100</f>
        <v>0.57258037519004545</v>
      </c>
      <c r="F1578" s="3860"/>
      <c r="G1578" s="2995"/>
      <c r="H1578" s="2997"/>
      <c r="I1578" s="2995"/>
      <c r="J1578" s="2978"/>
      <c r="K1578" s="2978"/>
      <c r="L1578" s="2695"/>
      <c r="M1578" s="2759"/>
      <c r="N1578" s="2701"/>
      <c r="P1578" s="80"/>
    </row>
    <row r="1579" spans="1:16" s="27" customFormat="1" ht="16.5" hidden="1" customHeight="1" x14ac:dyDescent="0.25">
      <c r="A1579" s="6"/>
      <c r="B1579" s="441"/>
      <c r="C1579" s="2524" t="s">
        <v>6905</v>
      </c>
      <c r="D1579" s="896">
        <v>738550000</v>
      </c>
      <c r="E1579" s="2683">
        <f>D1579/D1203*100</f>
        <v>0.57258037519004545</v>
      </c>
      <c r="F1579" s="4446"/>
      <c r="G1579" s="2762"/>
      <c r="H1579" s="3014"/>
      <c r="I1579" s="2762"/>
      <c r="J1579" s="896"/>
      <c r="K1579" s="2726"/>
      <c r="L1579" s="2690"/>
      <c r="M1579" s="896"/>
      <c r="N1579" s="2701"/>
      <c r="P1579" s="80"/>
    </row>
    <row r="1580" spans="1:16" s="27" customFormat="1" ht="9.75" hidden="1" customHeight="1" x14ac:dyDescent="0.25">
      <c r="A1580" s="6"/>
      <c r="B1580" s="441"/>
      <c r="C1580" s="2528"/>
      <c r="D1580" s="2755"/>
      <c r="E1580" s="2677"/>
      <c r="F1580" s="3860"/>
      <c r="G1580" s="2965"/>
      <c r="H1580" s="2695"/>
      <c r="I1580" s="2757"/>
      <c r="J1580" s="2992"/>
      <c r="K1580" s="2965"/>
      <c r="L1580" s="899"/>
      <c r="M1580" s="2757"/>
      <c r="N1580" s="2701"/>
      <c r="P1580" s="80"/>
    </row>
    <row r="1581" spans="1:16" s="27" customFormat="1" ht="15.75" hidden="1" customHeight="1" x14ac:dyDescent="0.25">
      <c r="A1581" s="6"/>
      <c r="B1581" s="441"/>
      <c r="C1581" s="2525" t="s">
        <v>943</v>
      </c>
      <c r="D1581" s="899">
        <f>SUM(D1582:D1583)</f>
        <v>1435862000</v>
      </c>
      <c r="E1581" s="2677">
        <f>D1581/D1203*100</f>
        <v>1.1131899027569276</v>
      </c>
      <c r="F1581" s="3862"/>
      <c r="G1581" s="2995"/>
      <c r="H1581" s="2997"/>
      <c r="I1581" s="2995"/>
      <c r="J1581" s="2983"/>
      <c r="K1581" s="2983"/>
      <c r="L1581" s="2695"/>
      <c r="M1581" s="2965"/>
      <c r="N1581" s="2701"/>
      <c r="P1581" s="80"/>
    </row>
    <row r="1582" spans="1:16" s="27" customFormat="1" ht="17.25" hidden="1" customHeight="1" x14ac:dyDescent="0.25">
      <c r="A1582" s="6"/>
      <c r="B1582" s="441"/>
      <c r="C1582" s="2524" t="s">
        <v>6906</v>
      </c>
      <c r="D1582" s="940">
        <v>1106700000</v>
      </c>
      <c r="E1582" s="2683">
        <f>D1582/D1203*100</f>
        <v>0.8579983768503463</v>
      </c>
      <c r="F1582" s="3869"/>
      <c r="G1582" s="2762"/>
      <c r="H1582" s="3014"/>
      <c r="I1582" s="2762"/>
      <c r="J1582" s="2979"/>
      <c r="K1582" s="2726"/>
      <c r="L1582" s="2690"/>
      <c r="M1582" s="2726"/>
      <c r="N1582" s="2701"/>
      <c r="P1582" s="80"/>
    </row>
    <row r="1583" spans="1:16" ht="18" hidden="1" customHeight="1" x14ac:dyDescent="0.25">
      <c r="B1583" s="441"/>
      <c r="C1583" s="2473" t="s">
        <v>6907</v>
      </c>
      <c r="D1583" s="896">
        <v>329162000</v>
      </c>
      <c r="E1583" s="2683">
        <f>D1583/D1203*100</f>
        <v>0.25519152590658145</v>
      </c>
      <c r="F1583" s="3868"/>
      <c r="G1583" s="2726"/>
      <c r="H1583" s="3035"/>
      <c r="I1583" s="2757"/>
      <c r="J1583" s="2920"/>
      <c r="K1583" s="2726"/>
      <c r="L1583" s="898"/>
      <c r="M1583" s="2757"/>
      <c r="N1583" s="2768"/>
    </row>
    <row r="1584" spans="1:16" ht="10.5" hidden="1" customHeight="1" x14ac:dyDescent="0.25">
      <c r="B1584" s="441"/>
      <c r="C1584" s="2475"/>
      <c r="D1584" s="2769"/>
      <c r="E1584" s="2683"/>
      <c r="F1584" s="3872"/>
      <c r="G1584" s="2754"/>
      <c r="H1584" s="2784"/>
      <c r="I1584" s="2753"/>
      <c r="J1584" s="2891"/>
      <c r="K1584" s="2754"/>
      <c r="L1584" s="2755"/>
      <c r="M1584" s="2757"/>
      <c r="N1584" s="2768"/>
    </row>
    <row r="1585" spans="1:16" s="32" customFormat="1" ht="18" hidden="1" customHeight="1" x14ac:dyDescent="0.25">
      <c r="A1585" s="1"/>
      <c r="B1585" s="441"/>
      <c r="C1585" s="2474" t="s">
        <v>6908</v>
      </c>
      <c r="D1585" s="899">
        <f>SUM(D1586:D1586)</f>
        <v>306500000</v>
      </c>
      <c r="E1585" s="2677">
        <f>D1585/D1203*100</f>
        <v>0.23762221243754508</v>
      </c>
      <c r="F1585" s="3853"/>
      <c r="G1585" s="2965"/>
      <c r="H1585" s="2695"/>
      <c r="I1585" s="2970"/>
      <c r="J1585" s="915"/>
      <c r="K1585" s="2965"/>
      <c r="L1585" s="899"/>
      <c r="M1585" s="2970"/>
      <c r="N1585" s="2837"/>
      <c r="P1585" s="630"/>
    </row>
    <row r="1586" spans="1:16" ht="16.5" hidden="1" customHeight="1" x14ac:dyDescent="0.25">
      <c r="B1586" s="441"/>
      <c r="C1586" s="2473" t="s">
        <v>6909</v>
      </c>
      <c r="D1586" s="896">
        <v>306500000</v>
      </c>
      <c r="E1586" s="2683">
        <f>D1586/D1203*100</f>
        <v>0.23762221243754508</v>
      </c>
      <c r="F1586" s="3868"/>
      <c r="G1586" s="2726"/>
      <c r="H1586" s="3035"/>
      <c r="I1586" s="2757"/>
      <c r="J1586" s="2920"/>
      <c r="K1586" s="2726"/>
      <c r="L1586" s="898"/>
      <c r="M1586" s="2757"/>
      <c r="N1586" s="2768"/>
    </row>
    <row r="1587" spans="1:16" ht="12.75" hidden="1" customHeight="1" x14ac:dyDescent="0.25">
      <c r="B1587" s="441"/>
      <c r="C1587" s="2475"/>
      <c r="D1587" s="2769"/>
      <c r="E1587" s="2683"/>
      <c r="F1587" s="3872"/>
      <c r="G1587" s="2754"/>
      <c r="H1587" s="2784"/>
      <c r="I1587" s="2753"/>
      <c r="J1587" s="2891"/>
      <c r="K1587" s="2754"/>
      <c r="L1587" s="2755"/>
      <c r="M1587" s="2753"/>
      <c r="N1587" s="2768"/>
    </row>
    <row r="1588" spans="1:16" s="32" customFormat="1" ht="16.5" hidden="1" customHeight="1" x14ac:dyDescent="0.25">
      <c r="A1588" s="1"/>
      <c r="B1588" s="441"/>
      <c r="C1588" s="2474" t="s">
        <v>6910</v>
      </c>
      <c r="D1588" s="899">
        <f>SUM(D1589:D1591)</f>
        <v>2211265642</v>
      </c>
      <c r="E1588" s="2677">
        <f>D1588/D1203*100</f>
        <v>1.7143420363431274</v>
      </c>
      <c r="F1588" s="3853"/>
      <c r="G1588" s="2965"/>
      <c r="H1588" s="2695"/>
      <c r="I1588" s="2970"/>
      <c r="J1588" s="915"/>
      <c r="K1588" s="2965"/>
      <c r="L1588" s="899"/>
      <c r="M1588" s="2970"/>
      <c r="N1588" s="2837"/>
      <c r="P1588" s="630"/>
    </row>
    <row r="1589" spans="1:16" ht="16.5" hidden="1" customHeight="1" x14ac:dyDescent="0.25">
      <c r="B1589" s="441"/>
      <c r="C1589" s="2473" t="s">
        <v>6911</v>
      </c>
      <c r="D1589" s="896">
        <v>83250000</v>
      </c>
      <c r="E1589" s="2683">
        <f>D1589/D1203*100</f>
        <v>6.4541759169414778E-2</v>
      </c>
      <c r="F1589" s="3868"/>
      <c r="G1589" s="2726"/>
      <c r="H1589" s="3035"/>
      <c r="I1589" s="2757"/>
      <c r="J1589" s="2920"/>
      <c r="K1589" s="2726"/>
      <c r="L1589" s="898"/>
      <c r="M1589" s="2757"/>
      <c r="N1589" s="2768"/>
    </row>
    <row r="1590" spans="1:16" ht="16.5" hidden="1" customHeight="1" x14ac:dyDescent="0.25">
      <c r="B1590" s="441"/>
      <c r="C1590" s="2473" t="s">
        <v>6912</v>
      </c>
      <c r="D1590" s="896">
        <v>160615642</v>
      </c>
      <c r="E1590" s="2683">
        <f>D1590/D1203*100</f>
        <v>0.12452151453219149</v>
      </c>
      <c r="F1590" s="3868"/>
      <c r="G1590" s="2726"/>
      <c r="H1590" s="3035"/>
      <c r="I1590" s="2757"/>
      <c r="J1590" s="2920"/>
      <c r="K1590" s="2726"/>
      <c r="L1590" s="898"/>
      <c r="M1590" s="2757"/>
      <c r="N1590" s="2768"/>
    </row>
    <row r="1591" spans="1:16" ht="32.25" hidden="1" customHeight="1" x14ac:dyDescent="0.25">
      <c r="B1591" s="441"/>
      <c r="C1591" s="2473" t="s">
        <v>6913</v>
      </c>
      <c r="D1591" s="896">
        <v>1967400000</v>
      </c>
      <c r="E1591" s="2683">
        <f>D1591/D1203*100</f>
        <v>1.5252787626415212</v>
      </c>
      <c r="F1591" s="3868"/>
      <c r="G1591" s="2726"/>
      <c r="H1591" s="3035"/>
      <c r="I1591" s="2757"/>
      <c r="J1591" s="2920"/>
      <c r="K1591" s="2726"/>
      <c r="L1591" s="898"/>
      <c r="M1591" s="2757"/>
      <c r="N1591" s="2768"/>
    </row>
    <row r="1592" spans="1:16" ht="15.75" hidden="1" customHeight="1" x14ac:dyDescent="0.25">
      <c r="B1592" s="441"/>
      <c r="C1592" s="2475"/>
      <c r="D1592" s="2769"/>
      <c r="E1592" s="3002"/>
      <c r="F1592" s="3872"/>
      <c r="G1592" s="2754"/>
      <c r="H1592" s="2784"/>
      <c r="I1592" s="2753"/>
      <c r="J1592" s="2891"/>
      <c r="K1592" s="2754"/>
      <c r="L1592" s="2755"/>
      <c r="M1592" s="2753"/>
      <c r="N1592" s="2768"/>
    </row>
    <row r="1593" spans="1:16" ht="15.75" hidden="1" customHeight="1" x14ac:dyDescent="0.25">
      <c r="B1593" s="440"/>
      <c r="C1593" s="2471" t="s">
        <v>949</v>
      </c>
      <c r="D1593" s="2744">
        <f>D1594+D1597+D1600+D1604</f>
        <v>3037345800</v>
      </c>
      <c r="E1593" s="2670">
        <f>D1593/D1203*100</f>
        <v>2.3547824761301315</v>
      </c>
      <c r="F1593" s="3850"/>
      <c r="G1593" s="2886"/>
      <c r="H1593" s="2672"/>
      <c r="I1593" s="2987"/>
      <c r="J1593" s="2887"/>
      <c r="K1593" s="2887"/>
      <c r="L1593" s="2672"/>
      <c r="M1593" s="2987"/>
      <c r="N1593" s="2768"/>
    </row>
    <row r="1594" spans="1:16" s="27" customFormat="1" ht="18.75" hidden="1" customHeight="1" x14ac:dyDescent="0.25">
      <c r="A1594" s="6"/>
      <c r="B1594" s="441"/>
      <c r="C1594" s="2537" t="s">
        <v>6914</v>
      </c>
      <c r="D1594" s="899">
        <f>D1595</f>
        <v>359849950</v>
      </c>
      <c r="E1594" s="2677">
        <f>D1594/D1203*100</f>
        <v>0.27898316888920061</v>
      </c>
      <c r="F1594" s="3861"/>
      <c r="G1594" s="2995"/>
      <c r="H1594" s="2997"/>
      <c r="I1594" s="2995"/>
      <c r="J1594" s="899"/>
      <c r="K1594" s="2995"/>
      <c r="L1594" s="2997"/>
      <c r="M1594" s="2995"/>
      <c r="N1594" s="2701"/>
      <c r="P1594" s="80"/>
    </row>
    <row r="1595" spans="1:16" s="27" customFormat="1" ht="17.25" hidden="1" customHeight="1" x14ac:dyDescent="0.25">
      <c r="A1595" s="6"/>
      <c r="B1595" s="441"/>
      <c r="C1595" s="2526" t="s">
        <v>6915</v>
      </c>
      <c r="D1595" s="896">
        <v>359849950</v>
      </c>
      <c r="E1595" s="2683">
        <f>D1595/D1203*100</f>
        <v>0.27898316888920061</v>
      </c>
      <c r="F1595" s="4446"/>
      <c r="G1595" s="2762"/>
      <c r="H1595" s="3014"/>
      <c r="I1595" s="2762"/>
      <c r="J1595" s="896"/>
      <c r="K1595" s="2762"/>
      <c r="L1595" s="3014"/>
      <c r="M1595" s="2762"/>
      <c r="N1595" s="2701"/>
      <c r="P1595" s="80"/>
    </row>
    <row r="1596" spans="1:16" ht="10.5" hidden="1" customHeight="1" x14ac:dyDescent="0.25">
      <c r="B1596" s="441"/>
      <c r="C1596" s="2527"/>
      <c r="D1596" s="898"/>
      <c r="E1596" s="2683"/>
      <c r="F1596" s="3861"/>
      <c r="G1596" s="2726"/>
      <c r="H1596" s="3035"/>
      <c r="I1596" s="2757"/>
      <c r="J1596" s="898"/>
      <c r="K1596" s="2726"/>
      <c r="L1596" s="898"/>
      <c r="M1596" s="2757"/>
      <c r="N1596" s="2768"/>
    </row>
    <row r="1597" spans="1:16" s="27" customFormat="1" ht="18" hidden="1" customHeight="1" x14ac:dyDescent="0.25">
      <c r="A1597" s="6"/>
      <c r="B1597" s="441"/>
      <c r="C1597" s="2537" t="s">
        <v>6916</v>
      </c>
      <c r="D1597" s="899">
        <f>D1598</f>
        <v>269206540</v>
      </c>
      <c r="E1597" s="2677">
        <f>D1597/D1203*100</f>
        <v>0.20870947353166877</v>
      </c>
      <c r="F1597" s="3861"/>
      <c r="G1597" s="899"/>
      <c r="H1597" s="2785"/>
      <c r="I1597" s="3001"/>
      <c r="J1597" s="899"/>
      <c r="K1597" s="899"/>
      <c r="L1597" s="2695"/>
      <c r="M1597" s="3001"/>
      <c r="N1597" s="2701"/>
      <c r="P1597" s="80"/>
    </row>
    <row r="1598" spans="1:16" s="27" customFormat="1" ht="29.25" hidden="1" customHeight="1" x14ac:dyDescent="0.25">
      <c r="A1598" s="6"/>
      <c r="B1598" s="441"/>
      <c r="C1598" s="2524" t="s">
        <v>6917</v>
      </c>
      <c r="D1598" s="2769">
        <v>269206540</v>
      </c>
      <c r="E1598" s="2993">
        <f>D1598/D1203*100</f>
        <v>0.20870947353166877</v>
      </c>
      <c r="F1598" s="4426"/>
      <c r="G1598" s="2754"/>
      <c r="H1598" s="3022"/>
      <c r="I1598" s="2754"/>
      <c r="J1598" s="2863"/>
      <c r="K1598" s="2739"/>
      <c r="L1598" s="2710"/>
      <c r="M1598" s="2742"/>
      <c r="N1598" s="2701"/>
      <c r="P1598" s="80"/>
    </row>
    <row r="1599" spans="1:16" s="27" customFormat="1" ht="11.25" hidden="1" customHeight="1" x14ac:dyDescent="0.25">
      <c r="A1599" s="6"/>
      <c r="B1599" s="441"/>
      <c r="C1599" s="2533"/>
      <c r="D1599" s="896"/>
      <c r="E1599" s="2967"/>
      <c r="F1599" s="4414"/>
      <c r="G1599" s="2726"/>
      <c r="H1599" s="2968"/>
      <c r="I1599" s="2726"/>
      <c r="J1599" s="2975"/>
      <c r="K1599" s="2726"/>
      <c r="L1599" s="2690"/>
      <c r="M1599" s="2742"/>
      <c r="N1599" s="2701"/>
      <c r="P1599" s="80"/>
    </row>
    <row r="1600" spans="1:16" s="27" customFormat="1" ht="18.75" hidden="1" customHeight="1" x14ac:dyDescent="0.25">
      <c r="A1600" s="6"/>
      <c r="B1600" s="441"/>
      <c r="C1600" s="4184" t="s">
        <v>6918</v>
      </c>
      <c r="D1600" s="899">
        <f>SUM(D1601:D1602)</f>
        <v>2181961063</v>
      </c>
      <c r="E1600" s="2969">
        <f>D1600/D1203*100</f>
        <v>1.6916228882304656</v>
      </c>
      <c r="F1600" s="4414"/>
      <c r="G1600" s="2726"/>
      <c r="H1600" s="2968"/>
      <c r="I1600" s="2726"/>
      <c r="J1600" s="2975"/>
      <c r="K1600" s="2726"/>
      <c r="L1600" s="2690"/>
      <c r="M1600" s="2742"/>
      <c r="N1600" s="2701"/>
      <c r="P1600" s="80"/>
    </row>
    <row r="1601" spans="1:16" s="31" customFormat="1" ht="29.25" hidden="1" customHeight="1" x14ac:dyDescent="0.25">
      <c r="A1601" s="5"/>
      <c r="B1601" s="442"/>
      <c r="C1601" s="3672" t="s">
        <v>6919</v>
      </c>
      <c r="D1601" s="896">
        <v>1948424253</v>
      </c>
      <c r="E1601" s="2967">
        <f>D1601/D1203*100</f>
        <v>1.5105673140777522</v>
      </c>
      <c r="F1601" s="4414"/>
      <c r="G1601" s="2726"/>
      <c r="H1601" s="2968"/>
      <c r="I1601" s="2726"/>
      <c r="J1601" s="2975"/>
      <c r="K1601" s="2726"/>
      <c r="L1601" s="2690"/>
      <c r="M1601" s="2742"/>
      <c r="N1601" s="2687"/>
      <c r="P1601" s="637"/>
    </row>
    <row r="1602" spans="1:16" s="31" customFormat="1" ht="31.5" hidden="1" customHeight="1" x14ac:dyDescent="0.25">
      <c r="A1602" s="5"/>
      <c r="B1602" s="442"/>
      <c r="C1602" s="3672" t="s">
        <v>6920</v>
      </c>
      <c r="D1602" s="896">
        <v>233536810</v>
      </c>
      <c r="E1602" s="2967">
        <f>D1602/D1203*100</f>
        <v>0.18105557415271323</v>
      </c>
      <c r="F1602" s="4414"/>
      <c r="G1602" s="2726"/>
      <c r="H1602" s="2968"/>
      <c r="I1602" s="2726"/>
      <c r="J1602" s="2975"/>
      <c r="K1602" s="2726"/>
      <c r="L1602" s="2690"/>
      <c r="M1602" s="2742"/>
      <c r="N1602" s="2687"/>
      <c r="P1602" s="637"/>
    </row>
    <row r="1603" spans="1:16" s="27" customFormat="1" ht="8.25" hidden="1" customHeight="1" x14ac:dyDescent="0.25">
      <c r="A1603" s="6"/>
      <c r="B1603" s="441"/>
      <c r="C1603" s="4195"/>
      <c r="D1603" s="896"/>
      <c r="E1603" s="2967"/>
      <c r="F1603" s="4414"/>
      <c r="G1603" s="2726"/>
      <c r="H1603" s="2968"/>
      <c r="I1603" s="2726"/>
      <c r="J1603" s="2975"/>
      <c r="K1603" s="2726"/>
      <c r="L1603" s="2690"/>
      <c r="M1603" s="2742"/>
      <c r="N1603" s="2701"/>
      <c r="P1603" s="80"/>
    </row>
    <row r="1604" spans="1:16" s="27" customFormat="1" ht="18.75" hidden="1" customHeight="1" x14ac:dyDescent="0.25">
      <c r="A1604" s="6"/>
      <c r="B1604" s="441"/>
      <c r="C1604" s="4184" t="s">
        <v>6921</v>
      </c>
      <c r="D1604" s="899">
        <f>D1605</f>
        <v>226328247</v>
      </c>
      <c r="E1604" s="2969">
        <f>D1604/D1203*100</f>
        <v>0.17546694547879665</v>
      </c>
      <c r="F1604" s="4414"/>
      <c r="G1604" s="2726"/>
      <c r="H1604" s="2968"/>
      <c r="I1604" s="2726"/>
      <c r="J1604" s="2975"/>
      <c r="K1604" s="2726"/>
      <c r="L1604" s="2690"/>
      <c r="M1604" s="2742"/>
      <c r="N1604" s="2701"/>
      <c r="P1604" s="80"/>
    </row>
    <row r="1605" spans="1:16" s="31" customFormat="1" ht="18.75" hidden="1" customHeight="1" x14ac:dyDescent="0.25">
      <c r="A1605" s="5"/>
      <c r="B1605" s="442"/>
      <c r="C1605" s="3672" t="s">
        <v>6922</v>
      </c>
      <c r="D1605" s="2769">
        <v>226328247</v>
      </c>
      <c r="E1605" s="2683">
        <f>D1605/D1203*100</f>
        <v>0.17546694547879665</v>
      </c>
      <c r="F1605" s="4426"/>
      <c r="G1605" s="2754"/>
      <c r="H1605" s="3022"/>
      <c r="I1605" s="2754"/>
      <c r="J1605" s="2863"/>
      <c r="K1605" s="2754"/>
      <c r="L1605" s="2752"/>
      <c r="M1605" s="2742"/>
      <c r="N1605" s="2687"/>
      <c r="P1605" s="637"/>
    </row>
    <row r="1606" spans="1:16" ht="12" hidden="1" customHeight="1" x14ac:dyDescent="0.25">
      <c r="B1606" s="441"/>
      <c r="C1606" s="2476"/>
      <c r="D1606" s="2709"/>
      <c r="E1606" s="3027"/>
      <c r="F1606" s="4430"/>
      <c r="G1606" s="2739"/>
      <c r="H1606" s="2778"/>
      <c r="I1606" s="2742"/>
      <c r="J1606" s="2903"/>
      <c r="K1606" s="2739"/>
      <c r="L1606" s="911"/>
      <c r="M1606" s="2742"/>
      <c r="N1606" s="2768"/>
    </row>
    <row r="1607" spans="1:16" ht="15.75" hidden="1" customHeight="1" x14ac:dyDescent="0.25">
      <c r="B1607" s="440"/>
      <c r="C1607" s="2532" t="s">
        <v>6928</v>
      </c>
      <c r="D1607" s="2744">
        <f>D1608+D1612+D1615+D1618</f>
        <v>1665877908</v>
      </c>
      <c r="E1607" s="2670">
        <f>D1607/D1203*100</f>
        <v>1.2915158047301443</v>
      </c>
      <c r="F1607" s="3863"/>
      <c r="G1607" s="2986"/>
      <c r="H1607" s="2996"/>
      <c r="I1607" s="2674"/>
      <c r="J1607" s="2988"/>
      <c r="K1607" s="2988"/>
      <c r="L1607" s="2672"/>
      <c r="M1607" s="2674"/>
      <c r="N1607" s="2768"/>
    </row>
    <row r="1608" spans="1:16" s="27" customFormat="1" ht="16.5" hidden="1" customHeight="1" x14ac:dyDescent="0.25">
      <c r="A1608" s="6"/>
      <c r="B1608" s="441"/>
      <c r="C1608" s="2521" t="s">
        <v>954</v>
      </c>
      <c r="D1608" s="2751">
        <f>SUM(D1609:D1610)</f>
        <v>983112408</v>
      </c>
      <c r="E1608" s="3002">
        <f>D1608/D1203*100</f>
        <v>0.76218383511831167</v>
      </c>
      <c r="F1608" s="3864"/>
      <c r="G1608" s="2751"/>
      <c r="H1608" s="3021"/>
      <c r="I1608" s="2994"/>
      <c r="J1608" s="2751"/>
      <c r="K1608" s="2751"/>
      <c r="L1608" s="2695"/>
      <c r="M1608" s="2995"/>
      <c r="N1608" s="2701"/>
      <c r="P1608" s="80"/>
    </row>
    <row r="1609" spans="1:16" s="27" customFormat="1" ht="17.25" hidden="1" customHeight="1" x14ac:dyDescent="0.25">
      <c r="A1609" s="6"/>
      <c r="B1609" s="441"/>
      <c r="C1609" s="2524" t="s">
        <v>955</v>
      </c>
      <c r="D1609" s="896">
        <v>659310329</v>
      </c>
      <c r="E1609" s="2967">
        <f>D1609/D1203*100</f>
        <v>0.51114772939610353</v>
      </c>
      <c r="F1609" s="4414"/>
      <c r="G1609" s="2726"/>
      <c r="H1609" s="2968"/>
      <c r="I1609" s="2726"/>
      <c r="J1609" s="2975"/>
      <c r="K1609" s="2726"/>
      <c r="L1609" s="2690"/>
      <c r="M1609" s="2762"/>
      <c r="N1609" s="2701"/>
      <c r="P1609" s="80"/>
    </row>
    <row r="1610" spans="1:16" s="27" customFormat="1" ht="30.75" hidden="1" customHeight="1" x14ac:dyDescent="0.25">
      <c r="A1610" s="6"/>
      <c r="B1610" s="441"/>
      <c r="C1610" s="2533" t="s">
        <v>956</v>
      </c>
      <c r="D1610" s="896">
        <v>323802079</v>
      </c>
      <c r="E1610" s="2967">
        <f>D1610/D1203*100</f>
        <v>0.25103610572220802</v>
      </c>
      <c r="F1610" s="4414"/>
      <c r="G1610" s="2726"/>
      <c r="H1610" s="2968"/>
      <c r="I1610" s="2726"/>
      <c r="J1610" s="2975"/>
      <c r="K1610" s="2726"/>
      <c r="L1610" s="2710"/>
      <c r="M1610" s="2726"/>
      <c r="N1610" s="2701"/>
      <c r="P1610" s="80"/>
    </row>
    <row r="1611" spans="1:16" s="27" customFormat="1" ht="11.25" hidden="1" customHeight="1" x14ac:dyDescent="0.25">
      <c r="A1611" s="6"/>
      <c r="B1611" s="441"/>
      <c r="C1611" s="2533"/>
      <c r="D1611" s="896"/>
      <c r="E1611" s="2967"/>
      <c r="F1611" s="4414"/>
      <c r="G1611" s="2726"/>
      <c r="H1611" s="2968"/>
      <c r="I1611" s="2726"/>
      <c r="J1611" s="2975"/>
      <c r="K1611" s="2726"/>
      <c r="L1611" s="2710"/>
      <c r="M1611" s="2726"/>
      <c r="N1611" s="2701"/>
      <c r="P1611" s="80"/>
    </row>
    <row r="1612" spans="1:16" s="25" customFormat="1" ht="18.75" hidden="1" customHeight="1" x14ac:dyDescent="0.25">
      <c r="A1612" s="4"/>
      <c r="B1612" s="441"/>
      <c r="C1612" s="2534" t="s">
        <v>957</v>
      </c>
      <c r="D1612" s="899">
        <f>D1613</f>
        <v>150472500</v>
      </c>
      <c r="E1612" s="2969">
        <f>D1612/D1203*100</f>
        <v>0.11665777605549268</v>
      </c>
      <c r="F1612" s="3862"/>
      <c r="G1612" s="2965"/>
      <c r="H1612" s="2966"/>
      <c r="I1612" s="2965"/>
      <c r="J1612" s="2983"/>
      <c r="K1612" s="2965"/>
      <c r="L1612" s="2821"/>
      <c r="M1612" s="2965"/>
      <c r="N1612" s="2697"/>
      <c r="P1612" s="629"/>
    </row>
    <row r="1613" spans="1:16" s="27" customFormat="1" ht="16.5" hidden="1" customHeight="1" x14ac:dyDescent="0.25">
      <c r="A1613" s="6"/>
      <c r="B1613" s="441"/>
      <c r="C1613" s="2533" t="s">
        <v>6923</v>
      </c>
      <c r="D1613" s="896">
        <v>150472500</v>
      </c>
      <c r="E1613" s="2967">
        <f>D1613/D1203*100</f>
        <v>0.11665777605549268</v>
      </c>
      <c r="F1613" s="4414"/>
      <c r="G1613" s="2726"/>
      <c r="H1613" s="2968"/>
      <c r="I1613" s="2726"/>
      <c r="J1613" s="2975"/>
      <c r="K1613" s="2726"/>
      <c r="L1613" s="2710"/>
      <c r="M1613" s="2726"/>
      <c r="N1613" s="2701"/>
      <c r="P1613" s="80"/>
    </row>
    <row r="1614" spans="1:16" s="27" customFormat="1" ht="9.75" hidden="1" customHeight="1" x14ac:dyDescent="0.25">
      <c r="A1614" s="6"/>
      <c r="B1614" s="441"/>
      <c r="C1614" s="2533"/>
      <c r="D1614" s="896"/>
      <c r="E1614" s="2967"/>
      <c r="F1614" s="4414"/>
      <c r="G1614" s="2726"/>
      <c r="H1614" s="2968"/>
      <c r="I1614" s="2726"/>
      <c r="J1614" s="2975"/>
      <c r="K1614" s="2726"/>
      <c r="L1614" s="2710"/>
      <c r="M1614" s="2726"/>
      <c r="N1614" s="2701"/>
      <c r="P1614" s="80"/>
    </row>
    <row r="1615" spans="1:16" s="25" customFormat="1" ht="18" hidden="1" customHeight="1" x14ac:dyDescent="0.25">
      <c r="A1615" s="4"/>
      <c r="B1615" s="441"/>
      <c r="C1615" s="2534" t="s">
        <v>6924</v>
      </c>
      <c r="D1615" s="899">
        <f>D1616</f>
        <v>291440000</v>
      </c>
      <c r="E1615" s="2969">
        <f>D1615/D1203*100</f>
        <v>0.22594655005806896</v>
      </c>
      <c r="F1615" s="3862"/>
      <c r="G1615" s="2965"/>
      <c r="H1615" s="2966"/>
      <c r="I1615" s="2965"/>
      <c r="J1615" s="2983"/>
      <c r="K1615" s="2965"/>
      <c r="L1615" s="2821"/>
      <c r="M1615" s="2965"/>
      <c r="N1615" s="2697"/>
      <c r="P1615" s="629"/>
    </row>
    <row r="1616" spans="1:16" s="27" customFormat="1" ht="28.5" hidden="1" customHeight="1" x14ac:dyDescent="0.25">
      <c r="A1616" s="6"/>
      <c r="B1616" s="441"/>
      <c r="C1616" s="2533" t="s">
        <v>6925</v>
      </c>
      <c r="D1616" s="896">
        <v>291440000</v>
      </c>
      <c r="E1616" s="2967">
        <f>D1616/D1203*100</f>
        <v>0.22594655005806896</v>
      </c>
      <c r="F1616" s="4414"/>
      <c r="G1616" s="2726"/>
      <c r="H1616" s="2968"/>
      <c r="I1616" s="2726"/>
      <c r="J1616" s="2975"/>
      <c r="K1616" s="2726"/>
      <c r="L1616" s="2710"/>
      <c r="M1616" s="2726"/>
      <c r="N1616" s="2701"/>
      <c r="P1616" s="80"/>
    </row>
    <row r="1617" spans="1:16" s="27" customFormat="1" ht="11.25" hidden="1" customHeight="1" x14ac:dyDescent="0.25">
      <c r="A1617" s="6"/>
      <c r="B1617" s="441"/>
      <c r="C1617" s="2533"/>
      <c r="D1617" s="2709"/>
      <c r="E1617" s="2967"/>
      <c r="F1617" s="4452"/>
      <c r="G1617" s="2739"/>
      <c r="H1617" s="2999"/>
      <c r="I1617" s="2739"/>
      <c r="J1617" s="2998"/>
      <c r="K1617" s="2739"/>
      <c r="L1617" s="2710"/>
      <c r="M1617" s="2726"/>
      <c r="N1617" s="2701"/>
      <c r="P1617" s="80"/>
    </row>
    <row r="1618" spans="1:16" s="25" customFormat="1" ht="17.25" hidden="1" customHeight="1" x14ac:dyDescent="0.25">
      <c r="A1618" s="4"/>
      <c r="B1618" s="441"/>
      <c r="C1618" s="2534" t="s">
        <v>6926</v>
      </c>
      <c r="D1618" s="2767">
        <f>D1619</f>
        <v>240853000</v>
      </c>
      <c r="E1618" s="2969">
        <f>D1618/D1203*100</f>
        <v>0.18672764349827095</v>
      </c>
      <c r="F1618" s="3859"/>
      <c r="G1618" s="2766"/>
      <c r="H1618" s="3000"/>
      <c r="I1618" s="2766"/>
      <c r="J1618" s="2974"/>
      <c r="K1618" s="2766"/>
      <c r="L1618" s="2821"/>
      <c r="M1618" s="2965"/>
      <c r="N1618" s="2697"/>
      <c r="P1618" s="629"/>
    </row>
    <row r="1619" spans="1:16" s="27" customFormat="1" ht="18.75" hidden="1" customHeight="1" x14ac:dyDescent="0.25">
      <c r="A1619" s="6"/>
      <c r="B1619" s="441"/>
      <c r="C1619" s="2533" t="s">
        <v>6927</v>
      </c>
      <c r="D1619" s="2709">
        <v>240853000</v>
      </c>
      <c r="E1619" s="2967">
        <f>D1619/D1203*100</f>
        <v>0.18672764349827095</v>
      </c>
      <c r="F1619" s="4452"/>
      <c r="G1619" s="2739"/>
      <c r="H1619" s="2999"/>
      <c r="I1619" s="2739"/>
      <c r="J1619" s="2998"/>
      <c r="K1619" s="2739"/>
      <c r="L1619" s="2710"/>
      <c r="M1619" s="2754"/>
      <c r="N1619" s="2701"/>
      <c r="P1619" s="80"/>
    </row>
    <row r="1620" spans="1:16" ht="12.75" hidden="1" customHeight="1" x14ac:dyDescent="0.25">
      <c r="B1620" s="441"/>
      <c r="C1620" s="2476"/>
      <c r="D1620" s="2709"/>
      <c r="E1620" s="3027"/>
      <c r="F1620" s="4430"/>
      <c r="G1620" s="2739"/>
      <c r="H1620" s="2710"/>
      <c r="I1620" s="2709"/>
      <c r="J1620" s="2903"/>
      <c r="K1620" s="2739"/>
      <c r="L1620" s="2709"/>
      <c r="M1620" s="2709"/>
      <c r="N1620" s="2768"/>
    </row>
    <row r="1621" spans="1:16" s="27" customFormat="1" ht="17.25" hidden="1" customHeight="1" x14ac:dyDescent="0.25">
      <c r="A1621" s="6"/>
      <c r="B1621" s="440"/>
      <c r="C1621" s="2532" t="s">
        <v>6953</v>
      </c>
      <c r="D1621" s="2744">
        <f>D1622</f>
        <v>100000000</v>
      </c>
      <c r="E1621" s="2670">
        <f>D1621/D1203*100</f>
        <v>7.7527638641939664E-2</v>
      </c>
      <c r="F1621" s="3850"/>
      <c r="G1621" s="2674"/>
      <c r="H1621" s="2996"/>
      <c r="I1621" s="2674"/>
      <c r="J1621" s="2887"/>
      <c r="K1621" s="2674"/>
      <c r="L1621" s="2996"/>
      <c r="M1621" s="2674"/>
      <c r="N1621" s="2701"/>
      <c r="P1621" s="80"/>
    </row>
    <row r="1622" spans="1:16" s="27" customFormat="1" ht="18.75" hidden="1" customHeight="1" x14ac:dyDescent="0.25">
      <c r="A1622" s="6"/>
      <c r="B1622" s="441"/>
      <c r="C1622" s="2521" t="s">
        <v>6929</v>
      </c>
      <c r="D1622" s="2751">
        <f>D1623</f>
        <v>100000000</v>
      </c>
      <c r="E1622" s="2677">
        <f>D1622/D1203*100</f>
        <v>7.7527638641939664E-2</v>
      </c>
      <c r="F1622" s="3860"/>
      <c r="G1622" s="2995"/>
      <c r="H1622" s="2997"/>
      <c r="I1622" s="2995"/>
      <c r="J1622" s="2978"/>
      <c r="K1622" s="2995"/>
      <c r="L1622" s="2997"/>
      <c r="M1622" s="2995"/>
      <c r="N1622" s="2701"/>
      <c r="P1622" s="80"/>
    </row>
    <row r="1623" spans="1:16" s="27" customFormat="1" ht="17.25" hidden="1" customHeight="1" x14ac:dyDescent="0.25">
      <c r="A1623" s="6"/>
      <c r="B1623" s="441"/>
      <c r="C1623" s="2524" t="s">
        <v>6930</v>
      </c>
      <c r="D1623" s="896">
        <v>100000000</v>
      </c>
      <c r="E1623" s="2683">
        <f>D1623/D1203*100</f>
        <v>7.7527638641939664E-2</v>
      </c>
      <c r="F1623" s="4414"/>
      <c r="G1623" s="2762"/>
      <c r="H1623" s="3014"/>
      <c r="I1623" s="2762"/>
      <c r="J1623" s="2975"/>
      <c r="K1623" s="2762"/>
      <c r="L1623" s="3014"/>
      <c r="M1623" s="2762"/>
      <c r="N1623" s="2701"/>
      <c r="P1623" s="80"/>
    </row>
    <row r="1624" spans="1:16" s="27" customFormat="1" ht="12" hidden="1" customHeight="1" x14ac:dyDescent="0.25">
      <c r="A1624" s="6"/>
      <c r="B1624" s="441"/>
      <c r="C1624" s="2535"/>
      <c r="D1624" s="911"/>
      <c r="E1624" s="2993"/>
      <c r="F1624" s="3859"/>
      <c r="G1624" s="2994"/>
      <c r="H1624" s="3021"/>
      <c r="I1624" s="2994"/>
      <c r="J1624" s="3068"/>
      <c r="K1624" s="2994"/>
      <c r="L1624" s="3021"/>
      <c r="M1624" s="2994"/>
      <c r="N1624" s="2711"/>
      <c r="P1624" s="80"/>
    </row>
    <row r="1625" spans="1:16" s="25" customFormat="1" ht="16.5" hidden="1" customHeight="1" x14ac:dyDescent="0.25">
      <c r="A1625" s="4"/>
      <c r="B1625" s="440"/>
      <c r="C1625" s="2532" t="s">
        <v>6931</v>
      </c>
      <c r="D1625" s="2744">
        <f>D1626</f>
        <v>100000000</v>
      </c>
      <c r="E1625" s="2670">
        <f>D1625/D1203*100</f>
        <v>7.7527638641939664E-2</v>
      </c>
      <c r="F1625" s="3863"/>
      <c r="G1625" s="2674"/>
      <c r="H1625" s="2996"/>
      <c r="I1625" s="2674"/>
      <c r="J1625" s="2988"/>
      <c r="K1625" s="2674"/>
      <c r="L1625" s="2996"/>
      <c r="M1625" s="2674"/>
      <c r="N1625" s="2675"/>
      <c r="P1625" s="629"/>
    </row>
    <row r="1626" spans="1:16" s="25" customFormat="1" ht="15" hidden="1" customHeight="1" x14ac:dyDescent="0.25">
      <c r="A1626" s="4"/>
      <c r="B1626" s="441"/>
      <c r="C1626" s="2521" t="s">
        <v>6932</v>
      </c>
      <c r="D1626" s="2751">
        <f>D1627</f>
        <v>100000000</v>
      </c>
      <c r="E1626" s="2677">
        <f>D1626/D1203*100</f>
        <v>7.7527638641939664E-2</v>
      </c>
      <c r="F1626" s="3860"/>
      <c r="G1626" s="2995"/>
      <c r="H1626" s="2997"/>
      <c r="I1626" s="2995"/>
      <c r="J1626" s="2978"/>
      <c r="K1626" s="2995"/>
      <c r="L1626" s="2997"/>
      <c r="M1626" s="2995"/>
      <c r="N1626" s="2681"/>
      <c r="P1626" s="629"/>
    </row>
    <row r="1627" spans="1:16" s="31" customFormat="1" ht="15.75" hidden="1" customHeight="1" x14ac:dyDescent="0.25">
      <c r="A1627" s="5"/>
      <c r="B1627" s="448"/>
      <c r="C1627" s="2524" t="s">
        <v>966</v>
      </c>
      <c r="D1627" s="896">
        <v>100000000</v>
      </c>
      <c r="E1627" s="2683">
        <f>D1627/D1203*100</f>
        <v>7.7527638641939664E-2</v>
      </c>
      <c r="F1627" s="4414"/>
      <c r="G1627" s="3069"/>
      <c r="H1627" s="3070"/>
      <c r="I1627" s="3069"/>
      <c r="J1627" s="2975"/>
      <c r="K1627" s="3069"/>
      <c r="L1627" s="3070"/>
      <c r="M1627" s="3069"/>
      <c r="N1627" s="2687"/>
      <c r="P1627" s="637"/>
    </row>
    <row r="1628" spans="1:16" s="27" customFormat="1" ht="12" hidden="1" customHeight="1" x14ac:dyDescent="0.25">
      <c r="A1628" s="6"/>
      <c r="B1628" s="441"/>
      <c r="C1628" s="2528"/>
      <c r="D1628" s="2755"/>
      <c r="E1628" s="2993"/>
      <c r="F1628" s="3860"/>
      <c r="G1628" s="2994"/>
      <c r="H1628" s="3021"/>
      <c r="I1628" s="2994"/>
      <c r="J1628" s="2881"/>
      <c r="K1628" s="2994"/>
      <c r="L1628" s="3021"/>
      <c r="M1628" s="2994"/>
      <c r="N1628" s="2701"/>
      <c r="P1628" s="80"/>
    </row>
    <row r="1629" spans="1:16" s="25" customFormat="1" ht="15.75" hidden="1" customHeight="1" x14ac:dyDescent="0.25">
      <c r="A1629" s="4"/>
      <c r="B1629" s="440"/>
      <c r="C1629" s="2532" t="s">
        <v>6933</v>
      </c>
      <c r="D1629" s="2744">
        <f>D1630</f>
        <v>100000000</v>
      </c>
      <c r="E1629" s="2670">
        <f>D1629/D1203*100</f>
        <v>7.7527638641939664E-2</v>
      </c>
      <c r="F1629" s="3863"/>
      <c r="G1629" s="2674"/>
      <c r="H1629" s="2996"/>
      <c r="I1629" s="2674"/>
      <c r="J1629" s="2988"/>
      <c r="K1629" s="2674"/>
      <c r="L1629" s="2996"/>
      <c r="M1629" s="2674"/>
      <c r="N1629" s="2697"/>
      <c r="P1629" s="629"/>
    </row>
    <row r="1630" spans="1:16" s="25" customFormat="1" ht="16.5" hidden="1" customHeight="1" x14ac:dyDescent="0.25">
      <c r="A1630" s="4"/>
      <c r="B1630" s="441"/>
      <c r="C1630" s="2521" t="s">
        <v>968</v>
      </c>
      <c r="D1630" s="2751">
        <f>D1631</f>
        <v>100000000</v>
      </c>
      <c r="E1630" s="2677">
        <f>D1630/D1203*100</f>
        <v>7.7527638641939664E-2</v>
      </c>
      <c r="F1630" s="3860"/>
      <c r="G1630" s="2995"/>
      <c r="H1630" s="2997"/>
      <c r="I1630" s="2995"/>
      <c r="J1630" s="2978"/>
      <c r="K1630" s="2995"/>
      <c r="L1630" s="2997"/>
      <c r="M1630" s="2995"/>
      <c r="N1630" s="2697"/>
      <c r="P1630" s="629"/>
    </row>
    <row r="1631" spans="1:16" s="31" customFormat="1" ht="17.25" hidden="1" customHeight="1" x14ac:dyDescent="0.25">
      <c r="A1631" s="5"/>
      <c r="B1631" s="448"/>
      <c r="C1631" s="2524" t="s">
        <v>969</v>
      </c>
      <c r="D1631" s="896">
        <v>100000000</v>
      </c>
      <c r="E1631" s="2683">
        <f>D1631/D1203*100</f>
        <v>7.7527638641939664E-2</v>
      </c>
      <c r="F1631" s="4414"/>
      <c r="G1631" s="3069"/>
      <c r="H1631" s="3070"/>
      <c r="I1631" s="3069"/>
      <c r="J1631" s="2975"/>
      <c r="K1631" s="3069"/>
      <c r="L1631" s="3070"/>
      <c r="M1631" s="3069"/>
      <c r="N1631" s="2687"/>
      <c r="P1631" s="637"/>
    </row>
    <row r="1632" spans="1:16" s="27" customFormat="1" ht="12" hidden="1" customHeight="1" x14ac:dyDescent="0.25">
      <c r="A1632" s="6"/>
      <c r="B1632" s="441"/>
      <c r="C1632" s="2528"/>
      <c r="D1632" s="2755"/>
      <c r="E1632" s="2993"/>
      <c r="F1632" s="3860"/>
      <c r="G1632" s="2994"/>
      <c r="H1632" s="3021"/>
      <c r="I1632" s="2994"/>
      <c r="J1632" s="2881"/>
      <c r="K1632" s="2994"/>
      <c r="L1632" s="3021"/>
      <c r="M1632" s="2994"/>
      <c r="N1632" s="2701"/>
      <c r="P1632" s="80"/>
    </row>
    <row r="1633" spans="1:16" s="25" customFormat="1" ht="16.5" hidden="1" customHeight="1" x14ac:dyDescent="0.25">
      <c r="A1633" s="4"/>
      <c r="B1633" s="440"/>
      <c r="C1633" s="2532" t="s">
        <v>6934</v>
      </c>
      <c r="D1633" s="2744">
        <f>D1634</f>
        <v>100000000</v>
      </c>
      <c r="E1633" s="2670">
        <f>D1633/D1203*100</f>
        <v>7.7527638641939664E-2</v>
      </c>
      <c r="F1633" s="3863"/>
      <c r="G1633" s="2674"/>
      <c r="H1633" s="2996"/>
      <c r="I1633" s="2674"/>
      <c r="J1633" s="2988"/>
      <c r="K1633" s="2674"/>
      <c r="L1633" s="2996"/>
      <c r="M1633" s="2674"/>
      <c r="N1633" s="2697"/>
      <c r="P1633" s="629"/>
    </row>
    <row r="1634" spans="1:16" s="25" customFormat="1" ht="15" hidden="1" customHeight="1" x14ac:dyDescent="0.25">
      <c r="A1634" s="4"/>
      <c r="B1634" s="441"/>
      <c r="C1634" s="2521" t="s">
        <v>6935</v>
      </c>
      <c r="D1634" s="2751">
        <f>D1635</f>
        <v>100000000</v>
      </c>
      <c r="E1634" s="2677">
        <f>D1634/D1203*100</f>
        <v>7.7527638641939664E-2</v>
      </c>
      <c r="F1634" s="3860"/>
      <c r="G1634" s="2994"/>
      <c r="H1634" s="2997"/>
      <c r="I1634" s="2995"/>
      <c r="J1634" s="2978"/>
      <c r="K1634" s="2995"/>
      <c r="L1634" s="2997"/>
      <c r="M1634" s="2995"/>
      <c r="N1634" s="2697"/>
      <c r="P1634" s="629"/>
    </row>
    <row r="1635" spans="1:16" s="31" customFormat="1" ht="16.5" hidden="1" customHeight="1" x14ac:dyDescent="0.25">
      <c r="A1635" s="5"/>
      <c r="B1635" s="448"/>
      <c r="C1635" s="2524" t="s">
        <v>972</v>
      </c>
      <c r="D1635" s="896">
        <v>100000000</v>
      </c>
      <c r="E1635" s="2683">
        <f>D1635/D1203*100</f>
        <v>7.7527638641939664E-2</v>
      </c>
      <c r="F1635" s="4414"/>
      <c r="G1635" s="3018"/>
      <c r="H1635" s="3070"/>
      <c r="I1635" s="3069"/>
      <c r="J1635" s="2975"/>
      <c r="K1635" s="3069"/>
      <c r="L1635" s="3070"/>
      <c r="M1635" s="3069"/>
      <c r="N1635" s="2687"/>
      <c r="P1635" s="637"/>
    </row>
    <row r="1636" spans="1:16" s="27" customFormat="1" ht="12.75" hidden="1" customHeight="1" x14ac:dyDescent="0.25">
      <c r="A1636" s="6"/>
      <c r="B1636" s="441"/>
      <c r="C1636" s="2528"/>
      <c r="D1636" s="2755"/>
      <c r="E1636" s="2993"/>
      <c r="F1636" s="3860"/>
      <c r="G1636" s="2994"/>
      <c r="H1636" s="3021"/>
      <c r="I1636" s="2994"/>
      <c r="J1636" s="2881"/>
      <c r="K1636" s="2994"/>
      <c r="L1636" s="3021"/>
      <c r="M1636" s="2994"/>
      <c r="N1636" s="2701"/>
      <c r="P1636" s="80"/>
    </row>
    <row r="1637" spans="1:16" s="25" customFormat="1" ht="15.75" hidden="1" customHeight="1" x14ac:dyDescent="0.25">
      <c r="A1637" s="4"/>
      <c r="B1637" s="440"/>
      <c r="C1637" s="2532" t="s">
        <v>6936</v>
      </c>
      <c r="D1637" s="2744">
        <f>D1638</f>
        <v>100000000</v>
      </c>
      <c r="E1637" s="2670">
        <f>D1637/D1203*100</f>
        <v>7.7527638641939664E-2</v>
      </c>
      <c r="F1637" s="3863"/>
      <c r="G1637" s="2674"/>
      <c r="H1637" s="2996"/>
      <c r="I1637" s="2674"/>
      <c r="J1637" s="2988"/>
      <c r="K1637" s="2674"/>
      <c r="L1637" s="2996"/>
      <c r="M1637" s="2674"/>
      <c r="N1637" s="2697"/>
      <c r="P1637" s="629"/>
    </row>
    <row r="1638" spans="1:16" s="25" customFormat="1" ht="15.75" hidden="1" customHeight="1" x14ac:dyDescent="0.25">
      <c r="A1638" s="4"/>
      <c r="B1638" s="441"/>
      <c r="C1638" s="2521" t="s">
        <v>6937</v>
      </c>
      <c r="D1638" s="2751">
        <f>D1639</f>
        <v>100000000</v>
      </c>
      <c r="E1638" s="2677">
        <f>D1638/D1203*100</f>
        <v>7.7527638641939664E-2</v>
      </c>
      <c r="F1638" s="3860"/>
      <c r="G1638" s="2995"/>
      <c r="H1638" s="2997"/>
      <c r="I1638" s="2995"/>
      <c r="J1638" s="2978"/>
      <c r="K1638" s="2995"/>
      <c r="L1638" s="2997"/>
      <c r="M1638" s="2995"/>
      <c r="N1638" s="2697"/>
      <c r="P1638" s="629"/>
    </row>
    <row r="1639" spans="1:16" s="31" customFormat="1" ht="16.5" hidden="1" customHeight="1" x14ac:dyDescent="0.25">
      <c r="A1639" s="5"/>
      <c r="B1639" s="448"/>
      <c r="C1639" s="2524" t="s">
        <v>6938</v>
      </c>
      <c r="D1639" s="896">
        <v>100000000</v>
      </c>
      <c r="E1639" s="2683">
        <f>D1639/D1203*100</f>
        <v>7.7527638641939664E-2</v>
      </c>
      <c r="F1639" s="4414"/>
      <c r="G1639" s="3069"/>
      <c r="H1639" s="3070"/>
      <c r="I1639" s="3069"/>
      <c r="J1639" s="2975"/>
      <c r="K1639" s="3069"/>
      <c r="L1639" s="3070"/>
      <c r="M1639" s="3069"/>
      <c r="N1639" s="2687"/>
      <c r="P1639" s="637"/>
    </row>
    <row r="1640" spans="1:16" s="27" customFormat="1" ht="12" hidden="1" customHeight="1" x14ac:dyDescent="0.25">
      <c r="A1640" s="6"/>
      <c r="B1640" s="441"/>
      <c r="C1640" s="2528"/>
      <c r="D1640" s="2755"/>
      <c r="E1640" s="2993"/>
      <c r="F1640" s="3860"/>
      <c r="G1640" s="2994"/>
      <c r="H1640" s="3021"/>
      <c r="I1640" s="2994"/>
      <c r="J1640" s="2881"/>
      <c r="K1640" s="2994"/>
      <c r="L1640" s="3021"/>
      <c r="M1640" s="2994"/>
      <c r="N1640" s="2701"/>
      <c r="P1640" s="80"/>
    </row>
    <row r="1641" spans="1:16" s="25" customFormat="1" ht="18" hidden="1" customHeight="1" x14ac:dyDescent="0.25">
      <c r="A1641" s="4"/>
      <c r="B1641" s="440"/>
      <c r="C1641" s="2532" t="s">
        <v>6939</v>
      </c>
      <c r="D1641" s="2744">
        <f>D1642</f>
        <v>100000000</v>
      </c>
      <c r="E1641" s="2670">
        <f>D1641/D1203*100</f>
        <v>7.7527638641939664E-2</v>
      </c>
      <c r="F1641" s="3863"/>
      <c r="G1641" s="2674"/>
      <c r="H1641" s="2996"/>
      <c r="I1641" s="2674"/>
      <c r="J1641" s="2988"/>
      <c r="K1641" s="2674"/>
      <c r="L1641" s="2996"/>
      <c r="M1641" s="2674"/>
      <c r="N1641" s="2697"/>
      <c r="P1641" s="629"/>
    </row>
    <row r="1642" spans="1:16" s="25" customFormat="1" ht="18" hidden="1" customHeight="1" x14ac:dyDescent="0.25">
      <c r="A1642" s="4"/>
      <c r="B1642" s="441"/>
      <c r="C1642" s="2521" t="s">
        <v>6940</v>
      </c>
      <c r="D1642" s="2751">
        <f>D1643</f>
        <v>100000000</v>
      </c>
      <c r="E1642" s="2677">
        <f>D1642/D1203*100</f>
        <v>7.7527638641939664E-2</v>
      </c>
      <c r="F1642" s="3860"/>
      <c r="G1642" s="2995"/>
      <c r="H1642" s="2997"/>
      <c r="I1642" s="2995"/>
      <c r="J1642" s="2978"/>
      <c r="K1642" s="2995"/>
      <c r="L1642" s="2997"/>
      <c r="M1642" s="2995"/>
      <c r="N1642" s="2697"/>
      <c r="P1642" s="629"/>
    </row>
    <row r="1643" spans="1:16" s="31" customFormat="1" ht="16.5" hidden="1" customHeight="1" x14ac:dyDescent="0.25">
      <c r="A1643" s="5"/>
      <c r="B1643" s="448"/>
      <c r="C1643" s="2524" t="s">
        <v>6941</v>
      </c>
      <c r="D1643" s="896">
        <v>100000000</v>
      </c>
      <c r="E1643" s="2683">
        <f>D1643/D1203*100</f>
        <v>7.7527638641939664E-2</v>
      </c>
      <c r="F1643" s="4414"/>
      <c r="G1643" s="3069"/>
      <c r="H1643" s="3070"/>
      <c r="I1643" s="3069"/>
      <c r="J1643" s="2975"/>
      <c r="K1643" s="3069"/>
      <c r="L1643" s="3070"/>
      <c r="M1643" s="3069"/>
      <c r="N1643" s="2687"/>
      <c r="P1643" s="637"/>
    </row>
    <row r="1644" spans="1:16" s="27" customFormat="1" ht="12" hidden="1" customHeight="1" x14ac:dyDescent="0.25">
      <c r="A1644" s="6"/>
      <c r="B1644" s="441"/>
      <c r="C1644" s="2528"/>
      <c r="D1644" s="2755"/>
      <c r="E1644" s="2993"/>
      <c r="F1644" s="3860"/>
      <c r="G1644" s="2994"/>
      <c r="H1644" s="3021"/>
      <c r="I1644" s="2994"/>
      <c r="J1644" s="2881"/>
      <c r="K1644" s="2994"/>
      <c r="L1644" s="3021"/>
      <c r="M1644" s="2994"/>
      <c r="N1644" s="2701"/>
      <c r="P1644" s="80"/>
    </row>
    <row r="1645" spans="1:16" s="25" customFormat="1" ht="15.75" hidden="1" customHeight="1" x14ac:dyDescent="0.25">
      <c r="A1645" s="4"/>
      <c r="B1645" s="440"/>
      <c r="C1645" s="2532" t="s">
        <v>6942</v>
      </c>
      <c r="D1645" s="2744">
        <f>D1646</f>
        <v>100000000</v>
      </c>
      <c r="E1645" s="2670">
        <f>D1645/D1203*100</f>
        <v>7.7527638641939664E-2</v>
      </c>
      <c r="F1645" s="3863"/>
      <c r="G1645" s="2674"/>
      <c r="H1645" s="2996"/>
      <c r="I1645" s="2674"/>
      <c r="J1645" s="2988"/>
      <c r="K1645" s="2674"/>
      <c r="L1645" s="2996"/>
      <c r="M1645" s="2674"/>
      <c r="N1645" s="2697"/>
      <c r="P1645" s="629"/>
    </row>
    <row r="1646" spans="1:16" s="25" customFormat="1" ht="15.75" hidden="1" customHeight="1" x14ac:dyDescent="0.25">
      <c r="A1646" s="4"/>
      <c r="B1646" s="441"/>
      <c r="C1646" s="2521" t="s">
        <v>980</v>
      </c>
      <c r="D1646" s="2751">
        <f>D1647</f>
        <v>100000000</v>
      </c>
      <c r="E1646" s="2677">
        <f>D1646/D1203*100</f>
        <v>7.7527638641939664E-2</v>
      </c>
      <c r="F1646" s="3860"/>
      <c r="G1646" s="2995"/>
      <c r="H1646" s="2997"/>
      <c r="I1646" s="2995"/>
      <c r="J1646" s="2978"/>
      <c r="K1646" s="2995"/>
      <c r="L1646" s="2997"/>
      <c r="M1646" s="2995"/>
      <c r="N1646" s="2697"/>
      <c r="P1646" s="629"/>
    </row>
    <row r="1647" spans="1:16" s="31" customFormat="1" ht="15.75" hidden="1" customHeight="1" x14ac:dyDescent="0.25">
      <c r="A1647" s="5"/>
      <c r="B1647" s="448"/>
      <c r="C1647" s="2524" t="s">
        <v>6990</v>
      </c>
      <c r="D1647" s="896">
        <v>100000000</v>
      </c>
      <c r="E1647" s="2683">
        <f>D1647/D1203*100</f>
        <v>7.7527638641939664E-2</v>
      </c>
      <c r="F1647" s="4414"/>
      <c r="G1647" s="3069"/>
      <c r="H1647" s="3070"/>
      <c r="I1647" s="3069"/>
      <c r="J1647" s="2863"/>
      <c r="K1647" s="3069"/>
      <c r="L1647" s="3070"/>
      <c r="M1647" s="3069"/>
      <c r="N1647" s="2687"/>
      <c r="P1647" s="637"/>
    </row>
    <row r="1648" spans="1:16" s="27" customFormat="1" ht="12" hidden="1" customHeight="1" x14ac:dyDescent="0.25">
      <c r="A1648" s="6"/>
      <c r="B1648" s="441"/>
      <c r="C1648" s="2528"/>
      <c r="D1648" s="2755"/>
      <c r="E1648" s="2993"/>
      <c r="F1648" s="3860"/>
      <c r="G1648" s="2994"/>
      <c r="H1648" s="3021"/>
      <c r="I1648" s="2994"/>
      <c r="J1648" s="2881"/>
      <c r="K1648" s="2994"/>
      <c r="L1648" s="3021"/>
      <c r="M1648" s="2994"/>
      <c r="N1648" s="2701"/>
      <c r="P1648" s="80"/>
    </row>
    <row r="1649" spans="1:16" s="25" customFormat="1" ht="16.5" hidden="1" customHeight="1" x14ac:dyDescent="0.25">
      <c r="A1649" s="4"/>
      <c r="B1649" s="440"/>
      <c r="C1649" s="2532" t="s">
        <v>6943</v>
      </c>
      <c r="D1649" s="2744">
        <f>D1650</f>
        <v>100000000</v>
      </c>
      <c r="E1649" s="2670">
        <f>D1649/D1203*100</f>
        <v>7.7527638641939664E-2</v>
      </c>
      <c r="F1649" s="3863"/>
      <c r="G1649" s="2674"/>
      <c r="H1649" s="2996"/>
      <c r="I1649" s="2674"/>
      <c r="J1649" s="2988"/>
      <c r="K1649" s="2674"/>
      <c r="L1649" s="2996"/>
      <c r="M1649" s="2674"/>
      <c r="N1649" s="2697"/>
      <c r="P1649" s="629"/>
    </row>
    <row r="1650" spans="1:16" s="25" customFormat="1" ht="15.75" hidden="1" customHeight="1" x14ac:dyDescent="0.25">
      <c r="A1650" s="4"/>
      <c r="B1650" s="441"/>
      <c r="C1650" s="2521" t="s">
        <v>6944</v>
      </c>
      <c r="D1650" s="2751">
        <f>D1651</f>
        <v>100000000</v>
      </c>
      <c r="E1650" s="2677">
        <f>D1650/D1203*100</f>
        <v>7.7527638641939664E-2</v>
      </c>
      <c r="F1650" s="3860"/>
      <c r="G1650" s="2995"/>
      <c r="H1650" s="2997"/>
      <c r="I1650" s="2995"/>
      <c r="J1650" s="2978"/>
      <c r="K1650" s="2995"/>
      <c r="L1650" s="2997"/>
      <c r="M1650" s="2995"/>
      <c r="N1650" s="2697"/>
      <c r="P1650" s="629"/>
    </row>
    <row r="1651" spans="1:16" s="31" customFormat="1" ht="18.75" hidden="1" customHeight="1" x14ac:dyDescent="0.25">
      <c r="A1651" s="5"/>
      <c r="B1651" s="448"/>
      <c r="C1651" s="2524" t="s">
        <v>6945</v>
      </c>
      <c r="D1651" s="896">
        <v>100000000</v>
      </c>
      <c r="E1651" s="2683">
        <f>D1651/D1203*100</f>
        <v>7.7527638641939664E-2</v>
      </c>
      <c r="F1651" s="4414"/>
      <c r="G1651" s="3069"/>
      <c r="H1651" s="3070"/>
      <c r="I1651" s="3069"/>
      <c r="J1651" s="2863"/>
      <c r="K1651" s="3069"/>
      <c r="L1651" s="3070"/>
      <c r="M1651" s="3069"/>
      <c r="N1651" s="2687"/>
      <c r="P1651" s="637"/>
    </row>
    <row r="1652" spans="1:16" s="27" customFormat="1" ht="12" hidden="1" customHeight="1" x14ac:dyDescent="0.25">
      <c r="A1652" s="6"/>
      <c r="B1652" s="441"/>
      <c r="C1652" s="2528"/>
      <c r="D1652" s="2755"/>
      <c r="E1652" s="2993"/>
      <c r="F1652" s="3860"/>
      <c r="G1652" s="2994"/>
      <c r="H1652" s="3021"/>
      <c r="I1652" s="2994"/>
      <c r="J1652" s="2881"/>
      <c r="K1652" s="2994"/>
      <c r="L1652" s="3021"/>
      <c r="M1652" s="2994"/>
      <c r="N1652" s="2701"/>
      <c r="P1652" s="80"/>
    </row>
    <row r="1653" spans="1:16" s="27" customFormat="1" ht="18.75" hidden="1" customHeight="1" x14ac:dyDescent="0.25">
      <c r="A1653" s="6"/>
      <c r="B1653" s="440"/>
      <c r="C1653" s="2532" t="s">
        <v>6946</v>
      </c>
      <c r="D1653" s="2744">
        <f>D1654</f>
        <v>100000000</v>
      </c>
      <c r="E1653" s="2670">
        <f>D1653/D1203*100</f>
        <v>7.7527638641939664E-2</v>
      </c>
      <c r="F1653" s="3863"/>
      <c r="G1653" s="2674"/>
      <c r="H1653" s="2996"/>
      <c r="I1653" s="2674"/>
      <c r="J1653" s="2988"/>
      <c r="K1653" s="2674"/>
      <c r="L1653" s="2996"/>
      <c r="M1653" s="2674"/>
      <c r="N1653" s="2701"/>
      <c r="P1653" s="80"/>
    </row>
    <row r="1654" spans="1:16" s="25" customFormat="1" ht="18.75" hidden="1" customHeight="1" x14ac:dyDescent="0.25">
      <c r="A1654" s="4"/>
      <c r="B1654" s="441"/>
      <c r="C1654" s="2538" t="s">
        <v>986</v>
      </c>
      <c r="D1654" s="2759">
        <f>D1655</f>
        <v>100000000</v>
      </c>
      <c r="E1654" s="2677">
        <f>D1654/D1203*100</f>
        <v>7.7527638641939664E-2</v>
      </c>
      <c r="F1654" s="3869"/>
      <c r="G1654" s="3069"/>
      <c r="H1654" s="3070"/>
      <c r="I1654" s="3069"/>
      <c r="J1654" s="3071"/>
      <c r="K1654" s="3069"/>
      <c r="L1654" s="3070"/>
      <c r="M1654" s="3069"/>
      <c r="N1654" s="2697"/>
      <c r="P1654" s="629"/>
    </row>
    <row r="1655" spans="1:16" s="31" customFormat="1" ht="15" hidden="1" customHeight="1" x14ac:dyDescent="0.25">
      <c r="A1655" s="5"/>
      <c r="B1655" s="448"/>
      <c r="C1655" s="2524" t="s">
        <v>987</v>
      </c>
      <c r="D1655" s="896">
        <v>100000000</v>
      </c>
      <c r="E1655" s="2683">
        <f>D1655/D1203*100</f>
        <v>7.7527638641939664E-2</v>
      </c>
      <c r="F1655" s="4414"/>
      <c r="G1655" s="2726"/>
      <c r="H1655" s="2690"/>
      <c r="I1655" s="896"/>
      <c r="J1655" s="2975"/>
      <c r="K1655" s="2726"/>
      <c r="L1655" s="2690"/>
      <c r="M1655" s="896"/>
      <c r="N1655" s="2687"/>
      <c r="P1655" s="637"/>
    </row>
    <row r="1656" spans="1:16" s="31" customFormat="1" ht="11.25" hidden="1" customHeight="1" x14ac:dyDescent="0.25">
      <c r="A1656" s="5"/>
      <c r="B1656" s="448"/>
      <c r="C1656" s="2526"/>
      <c r="D1656" s="2769"/>
      <c r="E1656" s="2993"/>
      <c r="F1656" s="4426"/>
      <c r="G1656" s="2754"/>
      <c r="H1656" s="2752"/>
      <c r="I1656" s="2769"/>
      <c r="J1656" s="2863"/>
      <c r="K1656" s="2754"/>
      <c r="L1656" s="2752"/>
      <c r="M1656" s="2769"/>
      <c r="N1656" s="2687"/>
      <c r="P1656" s="637"/>
    </row>
    <row r="1657" spans="1:16" s="25" customFormat="1" ht="15" hidden="1" customHeight="1" x14ac:dyDescent="0.25">
      <c r="A1657" s="4"/>
      <c r="B1657" s="440"/>
      <c r="C1657" s="2532" t="s">
        <v>988</v>
      </c>
      <c r="D1657" s="2744">
        <f>D1658</f>
        <v>100000000</v>
      </c>
      <c r="E1657" s="2670">
        <f>D1657/D1203*100</f>
        <v>7.7527638641939664E-2</v>
      </c>
      <c r="F1657" s="3863"/>
      <c r="G1657" s="2674"/>
      <c r="H1657" s="2672"/>
      <c r="I1657" s="2744"/>
      <c r="J1657" s="2988"/>
      <c r="K1657" s="2674"/>
      <c r="L1657" s="2672"/>
      <c r="M1657" s="2744"/>
      <c r="N1657" s="2697"/>
      <c r="P1657" s="629"/>
    </row>
    <row r="1658" spans="1:16" s="25" customFormat="1" ht="19.5" hidden="1" customHeight="1" x14ac:dyDescent="0.25">
      <c r="A1658" s="4"/>
      <c r="B1658" s="441"/>
      <c r="C1658" s="2521" t="s">
        <v>6948</v>
      </c>
      <c r="D1658" s="2751">
        <f>D1659</f>
        <v>100000000</v>
      </c>
      <c r="E1658" s="2677">
        <f>D1658/D1203*100</f>
        <v>7.7527638641939664E-2</v>
      </c>
      <c r="F1658" s="3860"/>
      <c r="G1658" s="2995"/>
      <c r="H1658" s="2734"/>
      <c r="I1658" s="2759"/>
      <c r="J1658" s="2978"/>
      <c r="K1658" s="2995"/>
      <c r="L1658" s="2734"/>
      <c r="M1658" s="2759"/>
      <c r="N1658" s="2697"/>
      <c r="P1658" s="629"/>
    </row>
    <row r="1659" spans="1:16" s="31" customFormat="1" ht="15" hidden="1" customHeight="1" x14ac:dyDescent="0.25">
      <c r="A1659" s="5"/>
      <c r="B1659" s="448"/>
      <c r="C1659" s="2524" t="s">
        <v>990</v>
      </c>
      <c r="D1659" s="896">
        <v>100000000</v>
      </c>
      <c r="E1659" s="2683">
        <f>D1659/D1203*100</f>
        <v>7.7527638641939664E-2</v>
      </c>
      <c r="F1659" s="4414"/>
      <c r="G1659" s="2762"/>
      <c r="H1659" s="2760"/>
      <c r="I1659" s="940"/>
      <c r="J1659" s="2863"/>
      <c r="K1659" s="2762"/>
      <c r="L1659" s="2760"/>
      <c r="M1659" s="940"/>
      <c r="N1659" s="2687"/>
      <c r="P1659" s="637"/>
    </row>
    <row r="1660" spans="1:16" s="31" customFormat="1" ht="11.25" hidden="1" customHeight="1" x14ac:dyDescent="0.25">
      <c r="A1660" s="5"/>
      <c r="B1660" s="448"/>
      <c r="C1660" s="2526"/>
      <c r="D1660" s="2769"/>
      <c r="E1660" s="2993"/>
      <c r="F1660" s="4456"/>
      <c r="G1660" s="2754"/>
      <c r="H1660" s="2752"/>
      <c r="I1660" s="2769"/>
      <c r="J1660" s="2863"/>
      <c r="K1660" s="2754"/>
      <c r="L1660" s="2752"/>
      <c r="M1660" s="2769"/>
      <c r="N1660" s="2687"/>
      <c r="P1660" s="637"/>
    </row>
    <row r="1661" spans="1:16" s="25" customFormat="1" ht="15" hidden="1" customHeight="1" x14ac:dyDescent="0.25">
      <c r="A1661" s="4"/>
      <c r="B1661" s="440"/>
      <c r="C1661" s="2532" t="s">
        <v>6947</v>
      </c>
      <c r="D1661" s="2744">
        <f>D1662</f>
        <v>100000000</v>
      </c>
      <c r="E1661" s="2670">
        <f>D1661/D1203*100</f>
        <v>7.7527638641939664E-2</v>
      </c>
      <c r="F1661" s="3863"/>
      <c r="G1661" s="2674"/>
      <c r="H1661" s="2672"/>
      <c r="I1661" s="2744"/>
      <c r="J1661" s="2988"/>
      <c r="K1661" s="2674"/>
      <c r="L1661" s="2672"/>
      <c r="M1661" s="2744"/>
      <c r="N1661" s="2697"/>
      <c r="P1661" s="629"/>
    </row>
    <row r="1662" spans="1:16" s="25" customFormat="1" ht="15" hidden="1" customHeight="1" x14ac:dyDescent="0.25">
      <c r="A1662" s="4"/>
      <c r="B1662" s="441"/>
      <c r="C1662" s="2521" t="s">
        <v>6949</v>
      </c>
      <c r="D1662" s="2751">
        <f>D1663</f>
        <v>100000000</v>
      </c>
      <c r="E1662" s="3002">
        <f>D1662/D1203*100</f>
        <v>7.7527638641939664E-2</v>
      </c>
      <c r="F1662" s="3860"/>
      <c r="G1662" s="2995"/>
      <c r="H1662" s="2734"/>
      <c r="I1662" s="2759"/>
      <c r="J1662" s="2978"/>
      <c r="K1662" s="2995"/>
      <c r="L1662" s="2734"/>
      <c r="M1662" s="2759"/>
      <c r="N1662" s="2697"/>
      <c r="P1662" s="629"/>
    </row>
    <row r="1663" spans="1:16" s="31" customFormat="1" ht="17.25" hidden="1" customHeight="1" x14ac:dyDescent="0.25">
      <c r="A1663" s="5"/>
      <c r="B1663" s="448"/>
      <c r="C1663" s="2524" t="s">
        <v>993</v>
      </c>
      <c r="D1663" s="896">
        <v>100000000</v>
      </c>
      <c r="E1663" s="2967">
        <f>D1663/D1203*100</f>
        <v>7.7527638641939664E-2</v>
      </c>
      <c r="F1663" s="4414"/>
      <c r="G1663" s="2762"/>
      <c r="H1663" s="2760"/>
      <c r="I1663" s="940"/>
      <c r="J1663" s="2863"/>
      <c r="K1663" s="2762"/>
      <c r="L1663" s="2760"/>
      <c r="M1663" s="940"/>
      <c r="N1663" s="2687"/>
      <c r="P1663" s="637"/>
    </row>
    <row r="1664" spans="1:16" s="31" customFormat="1" ht="12" hidden="1" customHeight="1" x14ac:dyDescent="0.25">
      <c r="A1664" s="5"/>
      <c r="B1664" s="448"/>
      <c r="C1664" s="2539"/>
      <c r="D1664" s="2894"/>
      <c r="E1664" s="3052"/>
      <c r="F1664" s="4457"/>
      <c r="G1664" s="2754"/>
      <c r="H1664" s="2752"/>
      <c r="I1664" s="2769"/>
      <c r="J1664" s="2863"/>
      <c r="K1664" s="2754"/>
      <c r="L1664" s="2752"/>
      <c r="M1664" s="2769"/>
      <c r="N1664" s="2687"/>
      <c r="P1664" s="637"/>
    </row>
    <row r="1665" spans="1:16" s="25" customFormat="1" ht="15" hidden="1" customHeight="1" x14ac:dyDescent="0.25">
      <c r="A1665" s="4"/>
      <c r="B1665" s="440"/>
      <c r="C1665" s="2532" t="s">
        <v>6950</v>
      </c>
      <c r="D1665" s="2744">
        <f>D1666</f>
        <v>100000000</v>
      </c>
      <c r="E1665" s="2670">
        <f>D1665/D1203*100</f>
        <v>7.7527638641939664E-2</v>
      </c>
      <c r="F1665" s="3863"/>
      <c r="G1665" s="2674"/>
      <c r="H1665" s="2672"/>
      <c r="I1665" s="2744"/>
      <c r="J1665" s="2988"/>
      <c r="K1665" s="2674"/>
      <c r="L1665" s="2672"/>
      <c r="M1665" s="2744"/>
      <c r="N1665" s="2697"/>
      <c r="P1665" s="629"/>
    </row>
    <row r="1666" spans="1:16" s="25" customFormat="1" ht="15" hidden="1" customHeight="1" x14ac:dyDescent="0.25">
      <c r="A1666" s="4"/>
      <c r="B1666" s="441"/>
      <c r="C1666" s="2521" t="s">
        <v>995</v>
      </c>
      <c r="D1666" s="2751">
        <f>D1667</f>
        <v>100000000</v>
      </c>
      <c r="E1666" s="2677">
        <f>D1666/D1203*100</f>
        <v>7.7527638641939664E-2</v>
      </c>
      <c r="F1666" s="3860"/>
      <c r="G1666" s="2995"/>
      <c r="H1666" s="2734"/>
      <c r="I1666" s="2759"/>
      <c r="J1666" s="2978"/>
      <c r="K1666" s="2995"/>
      <c r="L1666" s="2734"/>
      <c r="M1666" s="2759"/>
      <c r="N1666" s="2697"/>
      <c r="P1666" s="629"/>
    </row>
    <row r="1667" spans="1:16" s="31" customFormat="1" ht="20.25" hidden="1" customHeight="1" x14ac:dyDescent="0.25">
      <c r="A1667" s="5"/>
      <c r="B1667" s="448"/>
      <c r="C1667" s="2524" t="s">
        <v>996</v>
      </c>
      <c r="D1667" s="896">
        <v>100000000</v>
      </c>
      <c r="E1667" s="2683">
        <f>D1667/D1203*100</f>
        <v>7.7527638641939664E-2</v>
      </c>
      <c r="F1667" s="4414"/>
      <c r="G1667" s="2762"/>
      <c r="H1667" s="2760"/>
      <c r="I1667" s="940"/>
      <c r="J1667" s="2863"/>
      <c r="K1667" s="2762"/>
      <c r="L1667" s="2760"/>
      <c r="M1667" s="940"/>
      <c r="N1667" s="2687"/>
      <c r="P1667" s="637"/>
    </row>
    <row r="1668" spans="1:16" s="31" customFormat="1" ht="11.25" hidden="1" customHeight="1" x14ac:dyDescent="0.25">
      <c r="A1668" s="5"/>
      <c r="B1668" s="448"/>
      <c r="C1668" s="2526"/>
      <c r="D1668" s="2769"/>
      <c r="E1668" s="2993"/>
      <c r="F1668" s="4426"/>
      <c r="G1668" s="2754"/>
      <c r="H1668" s="2752"/>
      <c r="I1668" s="2769"/>
      <c r="J1668" s="2863"/>
      <c r="K1668" s="2754"/>
      <c r="L1668" s="2752"/>
      <c r="M1668" s="2769"/>
      <c r="N1668" s="2687"/>
      <c r="P1668" s="637"/>
    </row>
    <row r="1669" spans="1:16" s="25" customFormat="1" ht="15" hidden="1" customHeight="1" x14ac:dyDescent="0.25">
      <c r="A1669" s="4"/>
      <c r="B1669" s="440"/>
      <c r="C1669" s="2532" t="s">
        <v>6951</v>
      </c>
      <c r="D1669" s="2744">
        <f>D1670+D1673</f>
        <v>100200000</v>
      </c>
      <c r="E1669" s="2670">
        <f>D1669/D1203*100</f>
        <v>7.7682693919223542E-2</v>
      </c>
      <c r="F1669" s="3863"/>
      <c r="G1669" s="2674"/>
      <c r="H1669" s="2672"/>
      <c r="I1669" s="2744"/>
      <c r="J1669" s="2988"/>
      <c r="K1669" s="2674"/>
      <c r="L1669" s="2672"/>
      <c r="M1669" s="2744"/>
      <c r="N1669" s="2697"/>
      <c r="P1669" s="629"/>
    </row>
    <row r="1670" spans="1:16" s="25" customFormat="1" ht="17.25" hidden="1" customHeight="1" x14ac:dyDescent="0.25">
      <c r="A1670" s="4"/>
      <c r="B1670" s="441"/>
      <c r="C1670" s="2521" t="s">
        <v>998</v>
      </c>
      <c r="D1670" s="2751">
        <f>D1671</f>
        <v>32800000</v>
      </c>
      <c r="E1670" s="2677">
        <f>D1670/D1203*100</f>
        <v>2.5429065474556214E-2</v>
      </c>
      <c r="F1670" s="3860"/>
      <c r="G1670" s="2995"/>
      <c r="H1670" s="2734"/>
      <c r="I1670" s="2759"/>
      <c r="J1670" s="2978"/>
      <c r="K1670" s="2995"/>
      <c r="L1670" s="2734"/>
      <c r="M1670" s="2759"/>
      <c r="N1670" s="2697"/>
      <c r="P1670" s="629"/>
    </row>
    <row r="1671" spans="1:16" s="31" customFormat="1" ht="15" hidden="1" customHeight="1" x14ac:dyDescent="0.25">
      <c r="A1671" s="5"/>
      <c r="B1671" s="448"/>
      <c r="C1671" s="2524" t="s">
        <v>6987</v>
      </c>
      <c r="D1671" s="896">
        <v>32800000</v>
      </c>
      <c r="E1671" s="2683">
        <f>D1671/D1203*100</f>
        <v>2.5429065474556214E-2</v>
      </c>
      <c r="F1671" s="4414"/>
      <c r="G1671" s="2762"/>
      <c r="H1671" s="2760"/>
      <c r="I1671" s="940"/>
      <c r="J1671" s="2863"/>
      <c r="K1671" s="2762"/>
      <c r="L1671" s="2760"/>
      <c r="M1671" s="940"/>
      <c r="N1671" s="2687"/>
      <c r="P1671" s="637"/>
    </row>
    <row r="1672" spans="1:16" s="31" customFormat="1" ht="10.5" hidden="1" customHeight="1" x14ac:dyDescent="0.25">
      <c r="A1672" s="5"/>
      <c r="B1672" s="448"/>
      <c r="C1672" s="2533"/>
      <c r="D1672" s="2709"/>
      <c r="E1672" s="2683"/>
      <c r="F1672" s="4426"/>
      <c r="G1672" s="2754"/>
      <c r="H1672" s="2752"/>
      <c r="I1672" s="2769"/>
      <c r="J1672" s="2863"/>
      <c r="K1672" s="2754"/>
      <c r="L1672" s="2752"/>
      <c r="M1672" s="2769"/>
      <c r="N1672" s="2687"/>
      <c r="P1672" s="637"/>
    </row>
    <row r="1673" spans="1:16" s="31" customFormat="1" ht="19.5" hidden="1" customHeight="1" x14ac:dyDescent="0.25">
      <c r="A1673" s="5"/>
      <c r="B1673" s="448"/>
      <c r="C1673" s="4182" t="s">
        <v>6988</v>
      </c>
      <c r="D1673" s="899">
        <f>D1674</f>
        <v>67400000</v>
      </c>
      <c r="E1673" s="2677">
        <f>D1673/D1203*100</f>
        <v>5.2253628444667334E-2</v>
      </c>
      <c r="F1673" s="4414"/>
      <c r="G1673" s="2726"/>
      <c r="H1673" s="2690"/>
      <c r="I1673" s="896"/>
      <c r="J1673" s="2975"/>
      <c r="K1673" s="2726"/>
      <c r="L1673" s="2690"/>
      <c r="M1673" s="896"/>
      <c r="N1673" s="2687"/>
      <c r="P1673" s="637"/>
    </row>
    <row r="1674" spans="1:16" s="31" customFormat="1" ht="15" hidden="1" customHeight="1" x14ac:dyDescent="0.25">
      <c r="A1674" s="5"/>
      <c r="B1674" s="448"/>
      <c r="C1674" s="4194" t="s">
        <v>6989</v>
      </c>
      <c r="D1674" s="896">
        <v>67400000</v>
      </c>
      <c r="E1674" s="2683">
        <f>D1674/D1203*100</f>
        <v>5.2253628444667334E-2</v>
      </c>
      <c r="F1674" s="4414"/>
      <c r="G1674" s="2726"/>
      <c r="H1674" s="2690"/>
      <c r="I1674" s="896"/>
      <c r="J1674" s="2975"/>
      <c r="K1674" s="2726"/>
      <c r="L1674" s="2690"/>
      <c r="M1674" s="896"/>
      <c r="N1674" s="2687"/>
      <c r="P1674" s="637"/>
    </row>
    <row r="1675" spans="1:16" s="31" customFormat="1" ht="10.5" hidden="1" customHeight="1" x14ac:dyDescent="0.25">
      <c r="A1675" s="5"/>
      <c r="B1675" s="448"/>
      <c r="C1675" s="2526"/>
      <c r="D1675" s="2769"/>
      <c r="E1675" s="2993"/>
      <c r="F1675" s="4426"/>
      <c r="G1675" s="2754"/>
      <c r="H1675" s="2752"/>
      <c r="I1675" s="2769"/>
      <c r="J1675" s="2863"/>
      <c r="K1675" s="2754"/>
      <c r="L1675" s="2752"/>
      <c r="M1675" s="2769"/>
      <c r="N1675" s="2687"/>
      <c r="P1675" s="637"/>
    </row>
    <row r="1676" spans="1:16" s="25" customFormat="1" ht="15" hidden="1" customHeight="1" x14ac:dyDescent="0.25">
      <c r="A1676" s="4"/>
      <c r="B1676" s="440"/>
      <c r="C1676" s="2532" t="s">
        <v>6952</v>
      </c>
      <c r="D1676" s="2744">
        <f>D1677</f>
        <v>99650000</v>
      </c>
      <c r="E1676" s="2670">
        <f>D1676/D1203*100</f>
        <v>7.7256291906692892E-2</v>
      </c>
      <c r="F1676" s="3863"/>
      <c r="G1676" s="2674"/>
      <c r="H1676" s="2672"/>
      <c r="I1676" s="2744"/>
      <c r="J1676" s="2988"/>
      <c r="K1676" s="2674"/>
      <c r="L1676" s="2672"/>
      <c r="M1676" s="2744"/>
      <c r="N1676" s="2697"/>
      <c r="P1676" s="629"/>
    </row>
    <row r="1677" spans="1:16" s="27" customFormat="1" ht="16.5" hidden="1" customHeight="1" x14ac:dyDescent="0.25">
      <c r="A1677" s="6"/>
      <c r="B1677" s="441"/>
      <c r="C1677" s="2521" t="s">
        <v>6984</v>
      </c>
      <c r="D1677" s="2751">
        <f>D1678+D1679</f>
        <v>99650000</v>
      </c>
      <c r="E1677" s="2677">
        <f>D1677/D1203*100</f>
        <v>7.7256291906692892E-2</v>
      </c>
      <c r="F1677" s="3860"/>
      <c r="G1677" s="2995"/>
      <c r="H1677" s="2997"/>
      <c r="I1677" s="2995"/>
      <c r="J1677" s="2978"/>
      <c r="K1677" s="2995"/>
      <c r="L1677" s="2997"/>
      <c r="M1677" s="2995"/>
      <c r="N1677" s="2701"/>
      <c r="P1677" s="80"/>
    </row>
    <row r="1678" spans="1:16" s="27" customFormat="1" ht="15.75" hidden="1" customHeight="1" x14ac:dyDescent="0.25">
      <c r="A1678" s="6"/>
      <c r="B1678" s="441"/>
      <c r="C1678" s="2524" t="s">
        <v>6985</v>
      </c>
      <c r="D1678" s="896">
        <v>7500000</v>
      </c>
      <c r="E1678" s="2683">
        <f>D1678/D1203*100</f>
        <v>5.814572898145476E-3</v>
      </c>
      <c r="F1678" s="4414"/>
      <c r="G1678" s="2762"/>
      <c r="H1678" s="3014"/>
      <c r="I1678" s="2762"/>
      <c r="J1678" s="2975"/>
      <c r="K1678" s="2762"/>
      <c r="L1678" s="3014"/>
      <c r="M1678" s="2762"/>
      <c r="N1678" s="2701"/>
      <c r="P1678" s="80"/>
    </row>
    <row r="1679" spans="1:16" s="27" customFormat="1" ht="15.75" hidden="1" customHeight="1" x14ac:dyDescent="0.25">
      <c r="A1679" s="6"/>
      <c r="B1679" s="441"/>
      <c r="C1679" s="2533" t="s">
        <v>6986</v>
      </c>
      <c r="D1679" s="2709">
        <v>92150000</v>
      </c>
      <c r="E1679" s="2683">
        <f>D1679/D1203*100</f>
        <v>7.14417190085474E-2</v>
      </c>
      <c r="F1679" s="4452"/>
      <c r="G1679" s="2726"/>
      <c r="H1679" s="2968"/>
      <c r="I1679" s="2726"/>
      <c r="J1679" s="2975"/>
      <c r="K1679" s="2726"/>
      <c r="L1679" s="2968"/>
      <c r="M1679" s="2726"/>
      <c r="N1679" s="2701"/>
      <c r="P1679" s="80"/>
    </row>
    <row r="1680" spans="1:16" s="27" customFormat="1" ht="10.5" hidden="1" customHeight="1" x14ac:dyDescent="0.25">
      <c r="A1680" s="6"/>
      <c r="B1680" s="441"/>
      <c r="C1680" s="2533"/>
      <c r="D1680" s="2709"/>
      <c r="E1680" s="2993"/>
      <c r="F1680" s="4452"/>
      <c r="G1680" s="2754"/>
      <c r="H1680" s="3022"/>
      <c r="I1680" s="2754"/>
      <c r="J1680" s="2863"/>
      <c r="K1680" s="2754"/>
      <c r="L1680" s="3022"/>
      <c r="M1680" s="2754"/>
      <c r="N1680" s="2701"/>
      <c r="P1680" s="80"/>
    </row>
    <row r="1681" spans="1:16" s="4204" customFormat="1" ht="15.75" hidden="1" customHeight="1" x14ac:dyDescent="0.25">
      <c r="A1681" s="4196"/>
      <c r="B1681" s="4197"/>
      <c r="C1681" s="2632" t="s">
        <v>6954</v>
      </c>
      <c r="D1681" s="4198">
        <f>D1682</f>
        <v>100000000</v>
      </c>
      <c r="E1681" s="4199">
        <f>D1681/D1203*100</f>
        <v>7.7527638641939664E-2</v>
      </c>
      <c r="F1681" s="3863"/>
      <c r="G1681" s="4200"/>
      <c r="H1681" s="4201"/>
      <c r="I1681" s="4200"/>
      <c r="J1681" s="4202"/>
      <c r="K1681" s="4200"/>
      <c r="L1681" s="4201"/>
      <c r="M1681" s="4200"/>
      <c r="N1681" s="4203"/>
      <c r="P1681" s="4205"/>
    </row>
    <row r="1682" spans="1:16" s="25" customFormat="1" ht="15" hidden="1" customHeight="1" x14ac:dyDescent="0.25">
      <c r="A1682" s="4"/>
      <c r="B1682" s="441"/>
      <c r="C1682" s="2538" t="s">
        <v>6982</v>
      </c>
      <c r="D1682" s="2759">
        <f>D1683</f>
        <v>100000000</v>
      </c>
      <c r="E1682" s="2677">
        <f>D1682/D1203*100</f>
        <v>7.7527638641939664E-2</v>
      </c>
      <c r="F1682" s="3870"/>
      <c r="G1682" s="2995"/>
      <c r="H1682" s="2997"/>
      <c r="I1682" s="2995"/>
      <c r="J1682" s="3073"/>
      <c r="K1682" s="2995"/>
      <c r="L1682" s="2997"/>
      <c r="M1682" s="2995"/>
      <c r="N1682" s="2697"/>
      <c r="P1682" s="629"/>
    </row>
    <row r="1683" spans="1:16" s="31" customFormat="1" ht="18" hidden="1" customHeight="1" x14ac:dyDescent="0.25">
      <c r="A1683" s="5"/>
      <c r="B1683" s="448"/>
      <c r="C1683" s="2524" t="s">
        <v>6983</v>
      </c>
      <c r="D1683" s="896">
        <v>100000000</v>
      </c>
      <c r="E1683" s="2683">
        <f>D1683/D1203*100</f>
        <v>7.7527638641939664E-2</v>
      </c>
      <c r="F1683" s="4414"/>
      <c r="G1683" s="2726"/>
      <c r="H1683" s="2690"/>
      <c r="I1683" s="896"/>
      <c r="J1683" s="2975"/>
      <c r="K1683" s="2726"/>
      <c r="L1683" s="2690"/>
      <c r="M1683" s="896"/>
      <c r="N1683" s="2687"/>
      <c r="P1683" s="637"/>
    </row>
    <row r="1684" spans="1:16" s="27" customFormat="1" ht="10.5" hidden="1" customHeight="1" x14ac:dyDescent="0.25">
      <c r="A1684" s="6"/>
      <c r="B1684" s="441"/>
      <c r="C1684" s="2521"/>
      <c r="D1684" s="2751"/>
      <c r="E1684" s="3002"/>
      <c r="F1684" s="3860"/>
      <c r="G1684" s="2994"/>
      <c r="H1684" s="3021"/>
      <c r="I1684" s="2994"/>
      <c r="J1684" s="2978"/>
      <c r="K1684" s="2994"/>
      <c r="L1684" s="3021"/>
      <c r="M1684" s="2994"/>
      <c r="N1684" s="2701"/>
      <c r="P1684" s="80"/>
    </row>
    <row r="1685" spans="1:16" s="27" customFormat="1" ht="17.25" hidden="1" customHeight="1" x14ac:dyDescent="0.25">
      <c r="A1685" s="6"/>
      <c r="B1685" s="440"/>
      <c r="C1685" s="2532" t="s">
        <v>6955</v>
      </c>
      <c r="D1685" s="2744">
        <f>D1686</f>
        <v>100000000</v>
      </c>
      <c r="E1685" s="2670">
        <f>D1685/D1203*100</f>
        <v>7.7527638641939664E-2</v>
      </c>
      <c r="F1685" s="3863"/>
      <c r="G1685" s="2674"/>
      <c r="H1685" s="2996"/>
      <c r="I1685" s="2674"/>
      <c r="J1685" s="2988"/>
      <c r="K1685" s="2674"/>
      <c r="L1685" s="2996"/>
      <c r="M1685" s="2674"/>
      <c r="N1685" s="2701"/>
      <c r="P1685" s="80"/>
    </row>
    <row r="1686" spans="1:16" s="27" customFormat="1" ht="18.75" hidden="1" customHeight="1" x14ac:dyDescent="0.25">
      <c r="A1686" s="6"/>
      <c r="B1686" s="441"/>
      <c r="C1686" s="2521" t="s">
        <v>6980</v>
      </c>
      <c r="D1686" s="2751">
        <f>D1687</f>
        <v>100000000</v>
      </c>
      <c r="E1686" s="2677">
        <f>D1686/D1203*100</f>
        <v>7.7527638641939664E-2</v>
      </c>
      <c r="F1686" s="3860"/>
      <c r="G1686" s="2995"/>
      <c r="H1686" s="2997"/>
      <c r="I1686" s="2995"/>
      <c r="J1686" s="2978"/>
      <c r="K1686" s="2995"/>
      <c r="L1686" s="2997"/>
      <c r="M1686" s="2995"/>
      <c r="N1686" s="2701"/>
      <c r="P1686" s="80"/>
    </row>
    <row r="1687" spans="1:16" s="31" customFormat="1" ht="15.75" hidden="1" customHeight="1" x14ac:dyDescent="0.25">
      <c r="A1687" s="5"/>
      <c r="B1687" s="442"/>
      <c r="C1687" s="2524" t="s">
        <v>6981</v>
      </c>
      <c r="D1687" s="896">
        <v>100000000</v>
      </c>
      <c r="E1687" s="2683">
        <f>D1687/D1203*100</f>
        <v>7.7527638641939664E-2</v>
      </c>
      <c r="F1687" s="4414"/>
      <c r="G1687" s="2762"/>
      <c r="H1687" s="3014"/>
      <c r="I1687" s="2762"/>
      <c r="J1687" s="2863"/>
      <c r="K1687" s="2762"/>
      <c r="L1687" s="3014"/>
      <c r="M1687" s="2762"/>
      <c r="N1687" s="2687"/>
      <c r="P1687" s="637"/>
    </row>
    <row r="1688" spans="1:16" s="27" customFormat="1" ht="9.75" hidden="1" customHeight="1" x14ac:dyDescent="0.25">
      <c r="A1688" s="6"/>
      <c r="B1688" s="441"/>
      <c r="C1688" s="2521"/>
      <c r="D1688" s="2751"/>
      <c r="E1688" s="3002"/>
      <c r="F1688" s="3860"/>
      <c r="G1688" s="2994"/>
      <c r="H1688" s="3021"/>
      <c r="I1688" s="2994"/>
      <c r="J1688" s="2978"/>
      <c r="K1688" s="2994"/>
      <c r="L1688" s="3021"/>
      <c r="M1688" s="2994"/>
      <c r="N1688" s="2701"/>
      <c r="P1688" s="80"/>
    </row>
    <row r="1689" spans="1:16" s="27" customFormat="1" ht="15.75" hidden="1" customHeight="1" x14ac:dyDescent="0.25">
      <c r="A1689" s="6"/>
      <c r="B1689" s="440"/>
      <c r="C1689" s="2532" t="s">
        <v>6956</v>
      </c>
      <c r="D1689" s="2744">
        <f>D1690</f>
        <v>2192052000</v>
      </c>
      <c r="E1689" s="2670">
        <f>D1689/D1203*100</f>
        <v>1.6994461534034115</v>
      </c>
      <c r="F1689" s="3863"/>
      <c r="G1689" s="2674"/>
      <c r="H1689" s="2996"/>
      <c r="I1689" s="2674"/>
      <c r="J1689" s="2988"/>
      <c r="K1689" s="2674"/>
      <c r="L1689" s="2996"/>
      <c r="M1689" s="2674"/>
      <c r="N1689" s="2701"/>
      <c r="P1689" s="80"/>
    </row>
    <row r="1690" spans="1:16" s="27" customFormat="1" ht="31.5" hidden="1" customHeight="1" x14ac:dyDescent="0.25">
      <c r="A1690" s="6"/>
      <c r="B1690" s="441"/>
      <c r="C1690" s="2521" t="s">
        <v>6978</v>
      </c>
      <c r="D1690" s="2751">
        <f>D1691</f>
        <v>2192052000</v>
      </c>
      <c r="E1690" s="2677">
        <f>D1690/D1203*100</f>
        <v>1.6994461534034115</v>
      </c>
      <c r="F1690" s="3860"/>
      <c r="G1690" s="2995"/>
      <c r="H1690" s="2997"/>
      <c r="I1690" s="2995"/>
      <c r="J1690" s="2978"/>
      <c r="K1690" s="2995"/>
      <c r="L1690" s="2997"/>
      <c r="M1690" s="2995"/>
      <c r="N1690" s="2701"/>
      <c r="P1690" s="80"/>
    </row>
    <row r="1691" spans="1:16" s="27" customFormat="1" ht="19.5" hidden="1" customHeight="1" x14ac:dyDescent="0.25">
      <c r="A1691" s="6"/>
      <c r="B1691" s="441"/>
      <c r="C1691" s="2524" t="s">
        <v>6979</v>
      </c>
      <c r="D1691" s="896">
        <v>2192052000</v>
      </c>
      <c r="E1691" s="2683">
        <f>D1691/D1203*100</f>
        <v>1.6994461534034115</v>
      </c>
      <c r="F1691" s="4414"/>
      <c r="G1691" s="2762"/>
      <c r="H1691" s="3014"/>
      <c r="I1691" s="2762"/>
      <c r="J1691" s="2975"/>
      <c r="K1691" s="2762"/>
      <c r="L1691" s="3014"/>
      <c r="M1691" s="2762"/>
      <c r="N1691" s="2701"/>
      <c r="P1691" s="80"/>
    </row>
    <row r="1692" spans="1:16" s="27" customFormat="1" ht="8.25" hidden="1" customHeight="1" x14ac:dyDescent="0.25">
      <c r="A1692" s="6"/>
      <c r="B1692" s="441"/>
      <c r="C1692" s="2475"/>
      <c r="D1692" s="2769"/>
      <c r="E1692" s="3036"/>
      <c r="F1692" s="3872"/>
      <c r="G1692" s="2754"/>
      <c r="H1692" s="2752"/>
      <c r="I1692" s="2769"/>
      <c r="J1692" s="2755"/>
      <c r="K1692" s="2755"/>
      <c r="L1692" s="2755"/>
      <c r="M1692" s="2755"/>
      <c r="N1692" s="2711"/>
      <c r="P1692" s="80"/>
    </row>
    <row r="1693" spans="1:16" s="25" customFormat="1" ht="30.75" hidden="1" customHeight="1" x14ac:dyDescent="0.25">
      <c r="A1693" s="4"/>
      <c r="B1693" s="440"/>
      <c r="C1693" s="2471" t="s">
        <v>6957</v>
      </c>
      <c r="D1693" s="2744">
        <f>D1694+D1697</f>
        <v>2000000000</v>
      </c>
      <c r="E1693" s="2670">
        <f>D1693/D1203*100</f>
        <v>1.5505527728387936</v>
      </c>
      <c r="F1693" s="3850"/>
      <c r="G1693" s="2674"/>
      <c r="H1693" s="2672"/>
      <c r="I1693" s="2744"/>
      <c r="J1693" s="2744"/>
      <c r="K1693" s="2744"/>
      <c r="L1693" s="2744"/>
      <c r="M1693" s="2744"/>
      <c r="N1693" s="2678"/>
      <c r="P1693" s="629"/>
    </row>
    <row r="1694" spans="1:16" s="25" customFormat="1" ht="17.25" hidden="1" customHeight="1" x14ac:dyDescent="0.25">
      <c r="A1694" s="4"/>
      <c r="B1694" s="441"/>
      <c r="C1694" s="2478" t="s">
        <v>6973</v>
      </c>
      <c r="D1694" s="2751">
        <f>D1695</f>
        <v>872450000</v>
      </c>
      <c r="E1694" s="2677">
        <f>D1694/D1203*100</f>
        <v>0.67638988333160266</v>
      </c>
      <c r="F1694" s="3851"/>
      <c r="G1694" s="2994"/>
      <c r="H1694" s="2785"/>
      <c r="I1694" s="2751"/>
      <c r="J1694" s="2751"/>
      <c r="K1694" s="2751"/>
      <c r="L1694" s="2751"/>
      <c r="M1694" s="2751"/>
      <c r="N1694" s="2678"/>
      <c r="P1694" s="629"/>
    </row>
    <row r="1695" spans="1:16" s="27" customFormat="1" ht="18.75" hidden="1" customHeight="1" x14ac:dyDescent="0.25">
      <c r="A1695" s="6"/>
      <c r="B1695" s="441"/>
      <c r="C1695" s="2473" t="s">
        <v>6974</v>
      </c>
      <c r="D1695" s="896">
        <v>872450000</v>
      </c>
      <c r="E1695" s="2683">
        <f>D1695/D1203*100</f>
        <v>0.67638988333160266</v>
      </c>
      <c r="F1695" s="3868"/>
      <c r="G1695" s="2726"/>
      <c r="H1695" s="2690"/>
      <c r="I1695" s="896"/>
      <c r="J1695" s="898"/>
      <c r="K1695" s="898"/>
      <c r="L1695" s="898"/>
      <c r="M1695" s="898"/>
      <c r="N1695" s="2701"/>
      <c r="P1695" s="80"/>
    </row>
    <row r="1696" spans="1:16" s="27" customFormat="1" ht="11.25" hidden="1" customHeight="1" x14ac:dyDescent="0.25">
      <c r="A1696" s="6"/>
      <c r="B1696" s="441"/>
      <c r="C1696" s="2476"/>
      <c r="D1696" s="2709"/>
      <c r="E1696" s="2683"/>
      <c r="F1696" s="4430"/>
      <c r="G1696" s="2739"/>
      <c r="H1696" s="2710"/>
      <c r="I1696" s="2709"/>
      <c r="J1696" s="911"/>
      <c r="K1696" s="911"/>
      <c r="L1696" s="911"/>
      <c r="M1696" s="911"/>
      <c r="N1696" s="2701"/>
      <c r="P1696" s="80"/>
    </row>
    <row r="1697" spans="1:16" s="25" customFormat="1" ht="17.25" hidden="1" customHeight="1" x14ac:dyDescent="0.25">
      <c r="A1697" s="4"/>
      <c r="B1697" s="441"/>
      <c r="C1697" s="2477" t="s">
        <v>6975</v>
      </c>
      <c r="D1697" s="2767">
        <f>SUM(D1698:D1699)</f>
        <v>1127550000</v>
      </c>
      <c r="E1697" s="2677">
        <f>D1697/D1203*100</f>
        <v>0.87416288950719068</v>
      </c>
      <c r="F1697" s="3849"/>
      <c r="G1697" s="2766"/>
      <c r="H1697" s="2821"/>
      <c r="I1697" s="2767"/>
      <c r="J1697" s="2767"/>
      <c r="K1697" s="2767"/>
      <c r="L1697" s="2767"/>
      <c r="M1697" s="2767"/>
      <c r="N1697" s="2697"/>
      <c r="P1697" s="629"/>
    </row>
    <row r="1698" spans="1:16" s="27" customFormat="1" ht="15" hidden="1" customHeight="1" x14ac:dyDescent="0.25">
      <c r="A1698" s="6"/>
      <c r="B1698" s="441"/>
      <c r="C1698" s="2476" t="s">
        <v>6976</v>
      </c>
      <c r="D1698" s="2709">
        <v>738300000</v>
      </c>
      <c r="E1698" s="2683">
        <f>D1698/D1203*100</f>
        <v>0.57238655609344058</v>
      </c>
      <c r="F1698" s="4430"/>
      <c r="G1698" s="2739"/>
      <c r="H1698" s="2710"/>
      <c r="I1698" s="2709"/>
      <c r="J1698" s="911"/>
      <c r="K1698" s="911"/>
      <c r="L1698" s="911"/>
      <c r="M1698" s="911"/>
      <c r="N1698" s="2701"/>
      <c r="P1698" s="80"/>
    </row>
    <row r="1699" spans="1:16" s="27" customFormat="1" ht="13.5" hidden="1" customHeight="1" x14ac:dyDescent="0.25">
      <c r="A1699" s="6"/>
      <c r="B1699" s="441"/>
      <c r="C1699" s="2476" t="s">
        <v>6977</v>
      </c>
      <c r="D1699" s="2709">
        <v>389250000</v>
      </c>
      <c r="E1699" s="2683">
        <f>D1699/D1203*100</f>
        <v>0.30177633341375015</v>
      </c>
      <c r="F1699" s="4430"/>
      <c r="G1699" s="2739"/>
      <c r="H1699" s="2710"/>
      <c r="I1699" s="2709"/>
      <c r="J1699" s="911"/>
      <c r="K1699" s="911"/>
      <c r="L1699" s="911"/>
      <c r="M1699" s="911"/>
      <c r="N1699" s="2701"/>
      <c r="P1699" s="80"/>
    </row>
    <row r="1700" spans="1:16" s="27" customFormat="1" ht="12" hidden="1" customHeight="1" x14ac:dyDescent="0.25">
      <c r="A1700" s="6"/>
      <c r="B1700" s="441"/>
      <c r="C1700" s="2476"/>
      <c r="D1700" s="2709"/>
      <c r="E1700" s="3027"/>
      <c r="F1700" s="4430"/>
      <c r="G1700" s="2739"/>
      <c r="H1700" s="2710"/>
      <c r="I1700" s="2709"/>
      <c r="J1700" s="911"/>
      <c r="K1700" s="911"/>
      <c r="L1700" s="911"/>
      <c r="M1700" s="911"/>
      <c r="N1700" s="2701"/>
      <c r="P1700" s="80"/>
    </row>
    <row r="1701" spans="1:16" s="25" customFormat="1" ht="18.75" hidden="1" customHeight="1" x14ac:dyDescent="0.25">
      <c r="A1701" s="4"/>
      <c r="B1701" s="440"/>
      <c r="C1701" s="2471" t="s">
        <v>6958</v>
      </c>
      <c r="D1701" s="2744">
        <f>SUM(D1702+D1711)</f>
        <v>21336268211</v>
      </c>
      <c r="E1701" s="2670">
        <f>D1701/D1203*100</f>
        <v>16.541504918299125</v>
      </c>
      <c r="F1701" s="3850"/>
      <c r="G1701" s="2674"/>
      <c r="H1701" s="2672"/>
      <c r="I1701" s="2744"/>
      <c r="J1701" s="2744"/>
      <c r="K1701" s="2744"/>
      <c r="L1701" s="2744"/>
      <c r="M1701" s="2744"/>
      <c r="N1701" s="2697"/>
      <c r="P1701" s="629"/>
    </row>
    <row r="1702" spans="1:16" s="25" customFormat="1" ht="18.75" hidden="1" customHeight="1" x14ac:dyDescent="0.25">
      <c r="A1702" s="4"/>
      <c r="B1702" s="441"/>
      <c r="C1702" s="2472" t="s">
        <v>6959</v>
      </c>
      <c r="D1702" s="2759">
        <f>SUM(D1703+D1708)</f>
        <v>12477401072</v>
      </c>
      <c r="E1702" s="2677">
        <f>D1702/D1203*100</f>
        <v>9.6734344150056657</v>
      </c>
      <c r="F1702" s="3855"/>
      <c r="G1702" s="2995"/>
      <c r="H1702" s="2734"/>
      <c r="I1702" s="2759"/>
      <c r="J1702" s="2759"/>
      <c r="K1702" s="2759"/>
      <c r="L1702" s="2759"/>
      <c r="M1702" s="2759"/>
      <c r="N1702" s="2697"/>
      <c r="P1702" s="629"/>
    </row>
    <row r="1703" spans="1:16" s="25" customFormat="1" ht="18" hidden="1" customHeight="1" x14ac:dyDescent="0.25">
      <c r="A1703" s="4"/>
      <c r="B1703" s="441"/>
      <c r="C1703" s="2474" t="s">
        <v>6960</v>
      </c>
      <c r="D1703" s="899">
        <f>SUM(D1704:D1706)</f>
        <v>11389901072</v>
      </c>
      <c r="E1703" s="2677">
        <f>D1703/D1203*100</f>
        <v>8.830321344774573</v>
      </c>
      <c r="F1703" s="3853"/>
      <c r="G1703" s="2965"/>
      <c r="H1703" s="2695"/>
      <c r="I1703" s="899"/>
      <c r="J1703" s="899"/>
      <c r="K1703" s="899"/>
      <c r="L1703" s="899"/>
      <c r="M1703" s="899"/>
      <c r="N1703" s="2697"/>
      <c r="P1703" s="629"/>
    </row>
    <row r="1704" spans="1:16" s="27" customFormat="1" ht="18.75" hidden="1" customHeight="1" x14ac:dyDescent="0.25">
      <c r="A1704" s="6"/>
      <c r="B1704" s="441"/>
      <c r="C1704" s="2473" t="s">
        <v>7600</v>
      </c>
      <c r="D1704" s="896">
        <v>1529886000</v>
      </c>
      <c r="E1704" s="2683">
        <f>D1704/D1203*100</f>
        <v>1.1860844897136251</v>
      </c>
      <c r="F1704" s="3868"/>
      <c r="G1704" s="2726"/>
      <c r="H1704" s="2690"/>
      <c r="I1704" s="896"/>
      <c r="J1704" s="898"/>
      <c r="K1704" s="898"/>
      <c r="L1704" s="898"/>
      <c r="M1704" s="898"/>
      <c r="N1704" s="2701"/>
      <c r="P1704" s="80"/>
    </row>
    <row r="1705" spans="1:16" s="27" customFormat="1" ht="15" hidden="1" customHeight="1" x14ac:dyDescent="0.25">
      <c r="A1705" s="6"/>
      <c r="B1705" s="441"/>
      <c r="C1705" s="2473" t="s">
        <v>7601</v>
      </c>
      <c r="D1705" s="896">
        <f>2315000000-8936928</f>
        <v>2306063072</v>
      </c>
      <c r="E1705" s="2683">
        <f>D1705/D1203*100</f>
        <v>1.7878362453153731</v>
      </c>
      <c r="F1705" s="3868"/>
      <c r="G1705" s="2726"/>
      <c r="H1705" s="2690"/>
      <c r="I1705" s="896"/>
      <c r="J1705" s="898"/>
      <c r="K1705" s="898"/>
      <c r="L1705" s="898"/>
      <c r="M1705" s="898"/>
      <c r="N1705" s="2701"/>
      <c r="P1705" s="80"/>
    </row>
    <row r="1706" spans="1:16" s="27" customFormat="1" ht="15" hidden="1" customHeight="1" x14ac:dyDescent="0.25">
      <c r="A1706" s="6"/>
      <c r="B1706" s="441"/>
      <c r="C1706" s="2473" t="s">
        <v>6961</v>
      </c>
      <c r="D1706" s="896">
        <v>7553952000</v>
      </c>
      <c r="E1706" s="2683">
        <f>D1706/D1203*100</f>
        <v>5.8564006097455747</v>
      </c>
      <c r="F1706" s="3868"/>
      <c r="G1706" s="2726"/>
      <c r="H1706" s="2690"/>
      <c r="I1706" s="896"/>
      <c r="J1706" s="898"/>
      <c r="K1706" s="898"/>
      <c r="L1706" s="898"/>
      <c r="M1706" s="898"/>
      <c r="N1706" s="2701"/>
      <c r="P1706" s="80"/>
    </row>
    <row r="1707" spans="1:16" s="27" customFormat="1" ht="10.5" hidden="1" customHeight="1" x14ac:dyDescent="0.25">
      <c r="A1707" s="6"/>
      <c r="B1707" s="441"/>
      <c r="C1707" s="2473"/>
      <c r="D1707" s="896"/>
      <c r="E1707" s="2683"/>
      <c r="F1707" s="3868"/>
      <c r="G1707" s="2726"/>
      <c r="H1707" s="2690"/>
      <c r="I1707" s="896"/>
      <c r="J1707" s="898"/>
      <c r="K1707" s="898"/>
      <c r="L1707" s="898"/>
      <c r="M1707" s="898"/>
      <c r="N1707" s="2701"/>
      <c r="P1707" s="80"/>
    </row>
    <row r="1708" spans="1:16" s="25" customFormat="1" ht="15.75" hidden="1" customHeight="1" x14ac:dyDescent="0.25">
      <c r="A1708" s="4"/>
      <c r="B1708" s="441"/>
      <c r="C1708" s="2474" t="s">
        <v>6962</v>
      </c>
      <c r="D1708" s="899">
        <f>D1709</f>
        <v>1087500000</v>
      </c>
      <c r="E1708" s="2677">
        <f>D1708/D1203*100</f>
        <v>0.84311307023109383</v>
      </c>
      <c r="F1708" s="3853"/>
      <c r="G1708" s="2965"/>
      <c r="H1708" s="2695"/>
      <c r="I1708" s="899"/>
      <c r="J1708" s="899"/>
      <c r="K1708" s="899"/>
      <c r="L1708" s="899"/>
      <c r="M1708" s="899"/>
      <c r="N1708" s="2697"/>
      <c r="P1708" s="629"/>
    </row>
    <row r="1709" spans="1:16" s="27" customFormat="1" ht="15" hidden="1" customHeight="1" x14ac:dyDescent="0.25">
      <c r="A1709" s="6"/>
      <c r="B1709" s="441"/>
      <c r="C1709" s="2473" t="s">
        <v>6963</v>
      </c>
      <c r="D1709" s="896">
        <v>1087500000</v>
      </c>
      <c r="E1709" s="2683">
        <f>D1709/D1203*100</f>
        <v>0.84311307023109383</v>
      </c>
      <c r="F1709" s="3868"/>
      <c r="G1709" s="2726"/>
      <c r="H1709" s="2690"/>
      <c r="I1709" s="896"/>
      <c r="J1709" s="898"/>
      <c r="K1709" s="898"/>
      <c r="L1709" s="898"/>
      <c r="M1709" s="898"/>
      <c r="N1709" s="2701"/>
      <c r="P1709" s="80"/>
    </row>
    <row r="1710" spans="1:16" s="27" customFormat="1" ht="11.25" hidden="1" customHeight="1" x14ac:dyDescent="0.25">
      <c r="A1710" s="6"/>
      <c r="B1710" s="441"/>
      <c r="C1710" s="2473"/>
      <c r="D1710" s="896"/>
      <c r="E1710" s="2683"/>
      <c r="F1710" s="3868"/>
      <c r="G1710" s="2726"/>
      <c r="H1710" s="2690"/>
      <c r="I1710" s="896"/>
      <c r="J1710" s="898"/>
      <c r="K1710" s="898"/>
      <c r="L1710" s="898"/>
      <c r="M1710" s="898"/>
      <c r="N1710" s="2701"/>
      <c r="P1710" s="80"/>
    </row>
    <row r="1711" spans="1:16" s="25" customFormat="1" ht="16.5" hidden="1" customHeight="1" x14ac:dyDescent="0.25">
      <c r="A1711" s="4"/>
      <c r="B1711" s="441"/>
      <c r="C1711" s="2474" t="s">
        <v>6964</v>
      </c>
      <c r="D1711" s="899">
        <f>SUM(D1712+D1715+D1718+D1721)</f>
        <v>8858867139</v>
      </c>
      <c r="E1711" s="2677">
        <f>D1711/D1203*100</f>
        <v>6.8680705032934597</v>
      </c>
      <c r="F1711" s="3853"/>
      <c r="G1711" s="2965"/>
      <c r="H1711" s="2695"/>
      <c r="I1711" s="899"/>
      <c r="J1711" s="899"/>
      <c r="K1711" s="899"/>
      <c r="L1711" s="899"/>
      <c r="M1711" s="899"/>
      <c r="N1711" s="2697"/>
      <c r="P1711" s="629"/>
    </row>
    <row r="1712" spans="1:16" s="25" customFormat="1" ht="17.25" hidden="1" customHeight="1" x14ac:dyDescent="0.25">
      <c r="A1712" s="4"/>
      <c r="B1712" s="441"/>
      <c r="C1712" s="2474" t="s">
        <v>6965</v>
      </c>
      <c r="D1712" s="899">
        <f>D1713</f>
        <v>3008867139</v>
      </c>
      <c r="E1712" s="2677">
        <f>D1712/D1203*100</f>
        <v>2.3327036427399883</v>
      </c>
      <c r="F1712" s="3853"/>
      <c r="G1712" s="2965"/>
      <c r="H1712" s="2695"/>
      <c r="I1712" s="899"/>
      <c r="J1712" s="899"/>
      <c r="K1712" s="899"/>
      <c r="L1712" s="899"/>
      <c r="M1712" s="899"/>
      <c r="N1712" s="2697"/>
      <c r="P1712" s="629"/>
    </row>
    <row r="1713" spans="1:16" s="27" customFormat="1" ht="15" hidden="1" customHeight="1" x14ac:dyDescent="0.25">
      <c r="A1713" s="6"/>
      <c r="B1713" s="441"/>
      <c r="C1713" s="2473" t="s">
        <v>6966</v>
      </c>
      <c r="D1713" s="896">
        <f>3008867827-688</f>
        <v>3008867139</v>
      </c>
      <c r="E1713" s="2683">
        <f>D1713/D1203*100</f>
        <v>2.3327036427399883</v>
      </c>
      <c r="F1713" s="3868"/>
      <c r="G1713" s="2726"/>
      <c r="H1713" s="2690"/>
      <c r="I1713" s="896"/>
      <c r="J1713" s="898"/>
      <c r="K1713" s="898"/>
      <c r="L1713" s="898"/>
      <c r="M1713" s="898"/>
      <c r="N1713" s="2701"/>
      <c r="P1713" s="80"/>
    </row>
    <row r="1714" spans="1:16" s="27" customFormat="1" ht="9" hidden="1" customHeight="1" x14ac:dyDescent="0.25">
      <c r="A1714" s="6"/>
      <c r="B1714" s="441"/>
      <c r="C1714" s="2473"/>
      <c r="D1714" s="896"/>
      <c r="E1714" s="2683"/>
      <c r="F1714" s="3868"/>
      <c r="G1714" s="2726"/>
      <c r="H1714" s="2690"/>
      <c r="I1714" s="896"/>
      <c r="J1714" s="898"/>
      <c r="K1714" s="898"/>
      <c r="L1714" s="898"/>
      <c r="M1714" s="898"/>
      <c r="N1714" s="2701"/>
      <c r="P1714" s="80"/>
    </row>
    <row r="1715" spans="1:16" s="25" customFormat="1" ht="18" hidden="1" customHeight="1" x14ac:dyDescent="0.25">
      <c r="A1715" s="4"/>
      <c r="B1715" s="441"/>
      <c r="C1715" s="2474" t="s">
        <v>6967</v>
      </c>
      <c r="D1715" s="899">
        <f>D1716</f>
        <v>350000000</v>
      </c>
      <c r="E1715" s="2677">
        <f>D1715/D1203*100</f>
        <v>0.27134673524678882</v>
      </c>
      <c r="F1715" s="3853"/>
      <c r="G1715" s="2965"/>
      <c r="H1715" s="2695"/>
      <c r="I1715" s="899"/>
      <c r="J1715" s="899"/>
      <c r="K1715" s="899"/>
      <c r="L1715" s="899"/>
      <c r="M1715" s="899"/>
      <c r="N1715" s="2697"/>
      <c r="P1715" s="629"/>
    </row>
    <row r="1716" spans="1:16" s="27" customFormat="1" ht="15" hidden="1" customHeight="1" x14ac:dyDescent="0.25">
      <c r="A1716" s="6"/>
      <c r="B1716" s="441"/>
      <c r="C1716" s="2473" t="s">
        <v>6968</v>
      </c>
      <c r="D1716" s="896">
        <v>350000000</v>
      </c>
      <c r="E1716" s="2683">
        <f>D1716/D1203*100</f>
        <v>0.27134673524678882</v>
      </c>
      <c r="F1716" s="3868"/>
      <c r="G1716" s="2726"/>
      <c r="H1716" s="2690"/>
      <c r="I1716" s="896"/>
      <c r="J1716" s="898"/>
      <c r="K1716" s="898"/>
      <c r="L1716" s="898"/>
      <c r="M1716" s="898"/>
      <c r="N1716" s="2701"/>
      <c r="P1716" s="80"/>
    </row>
    <row r="1717" spans="1:16" s="27" customFormat="1" ht="9" hidden="1" customHeight="1" x14ac:dyDescent="0.25">
      <c r="A1717" s="6"/>
      <c r="B1717" s="441"/>
      <c r="C1717" s="2473"/>
      <c r="D1717" s="896"/>
      <c r="E1717" s="2683"/>
      <c r="F1717" s="3868"/>
      <c r="G1717" s="2726"/>
      <c r="H1717" s="2690"/>
      <c r="I1717" s="896"/>
      <c r="J1717" s="898"/>
      <c r="K1717" s="898"/>
      <c r="L1717" s="898"/>
      <c r="M1717" s="898"/>
      <c r="N1717" s="2701"/>
      <c r="P1717" s="80"/>
    </row>
    <row r="1718" spans="1:16" s="25" customFormat="1" ht="21.75" hidden="1" customHeight="1" x14ac:dyDescent="0.25">
      <c r="A1718" s="4"/>
      <c r="B1718" s="441"/>
      <c r="C1718" s="2474" t="s">
        <v>6969</v>
      </c>
      <c r="D1718" s="899">
        <f>D1719</f>
        <v>500000000</v>
      </c>
      <c r="E1718" s="2677">
        <f>D1718/D1203*100</f>
        <v>0.38763819320969839</v>
      </c>
      <c r="F1718" s="3853"/>
      <c r="G1718" s="2965"/>
      <c r="H1718" s="2695"/>
      <c r="I1718" s="899"/>
      <c r="J1718" s="899"/>
      <c r="K1718" s="899"/>
      <c r="L1718" s="899"/>
      <c r="M1718" s="899"/>
      <c r="N1718" s="2697"/>
      <c r="P1718" s="629"/>
    </row>
    <row r="1719" spans="1:16" s="27" customFormat="1" ht="15" hidden="1" customHeight="1" x14ac:dyDescent="0.25">
      <c r="A1719" s="6"/>
      <c r="B1719" s="441"/>
      <c r="C1719" s="2473" t="s">
        <v>6970</v>
      </c>
      <c r="D1719" s="896">
        <v>500000000</v>
      </c>
      <c r="E1719" s="2683">
        <f>D1719/D1203*100</f>
        <v>0.38763819320969839</v>
      </c>
      <c r="F1719" s="3868"/>
      <c r="G1719" s="2726"/>
      <c r="H1719" s="2690"/>
      <c r="I1719" s="896"/>
      <c r="J1719" s="898"/>
      <c r="K1719" s="898"/>
      <c r="L1719" s="898"/>
      <c r="M1719" s="898"/>
      <c r="N1719" s="2701"/>
      <c r="P1719" s="80"/>
    </row>
    <row r="1720" spans="1:16" s="27" customFormat="1" ht="8.25" hidden="1" customHeight="1" x14ac:dyDescent="0.25">
      <c r="A1720" s="6"/>
      <c r="B1720" s="441"/>
      <c r="C1720" s="2473"/>
      <c r="D1720" s="896"/>
      <c r="E1720" s="2683"/>
      <c r="F1720" s="3868"/>
      <c r="G1720" s="2726"/>
      <c r="H1720" s="2690"/>
      <c r="I1720" s="896"/>
      <c r="J1720" s="898"/>
      <c r="K1720" s="898"/>
      <c r="L1720" s="898"/>
      <c r="M1720" s="898"/>
      <c r="N1720" s="2701"/>
      <c r="P1720" s="80"/>
    </row>
    <row r="1721" spans="1:16" s="25" customFormat="1" ht="18" hidden="1" customHeight="1" x14ac:dyDescent="0.25">
      <c r="A1721" s="4"/>
      <c r="B1721" s="441"/>
      <c r="C1721" s="2474" t="s">
        <v>6971</v>
      </c>
      <c r="D1721" s="899">
        <f>D1722</f>
        <v>5000000000</v>
      </c>
      <c r="E1721" s="2677">
        <f>D1721/D1203*100</f>
        <v>3.876381932096983</v>
      </c>
      <c r="F1721" s="3853"/>
      <c r="G1721" s="2965"/>
      <c r="H1721" s="2695"/>
      <c r="I1721" s="899"/>
      <c r="J1721" s="899"/>
      <c r="K1721" s="899"/>
      <c r="L1721" s="899"/>
      <c r="M1721" s="899"/>
      <c r="N1721" s="2697"/>
      <c r="P1721" s="629"/>
    </row>
    <row r="1722" spans="1:16" s="27" customFormat="1" ht="16.5" hidden="1" customHeight="1" x14ac:dyDescent="0.25">
      <c r="A1722" s="6"/>
      <c r="B1722" s="441"/>
      <c r="C1722" s="2473" t="s">
        <v>6972</v>
      </c>
      <c r="D1722" s="896">
        <v>5000000000</v>
      </c>
      <c r="E1722" s="2683">
        <f>D1722/D1203*100</f>
        <v>3.876381932096983</v>
      </c>
      <c r="F1722" s="3868"/>
      <c r="G1722" s="2726"/>
      <c r="H1722" s="2690"/>
      <c r="I1722" s="896"/>
      <c r="J1722" s="898"/>
      <c r="K1722" s="898"/>
      <c r="L1722" s="898"/>
      <c r="M1722" s="898"/>
      <c r="N1722" s="2701"/>
      <c r="P1722" s="80"/>
    </row>
    <row r="1723" spans="1:16" ht="14.25" hidden="1" customHeight="1" thickBot="1" x14ac:dyDescent="0.3">
      <c r="B1723" s="441"/>
      <c r="C1723" s="2526"/>
      <c r="D1723" s="2769"/>
      <c r="E1723" s="2993"/>
      <c r="F1723" s="4453"/>
      <c r="G1723" s="2849"/>
      <c r="H1723" s="2752"/>
      <c r="I1723" s="2769"/>
      <c r="J1723" s="2769"/>
      <c r="K1723" s="2769"/>
      <c r="L1723" s="2752"/>
      <c r="M1723" s="2769"/>
      <c r="N1723" s="2768"/>
    </row>
    <row r="1724" spans="1:16" ht="18.75" hidden="1" customHeight="1" thickBot="1" x14ac:dyDescent="0.3">
      <c r="B1724" s="3155"/>
      <c r="C1724" s="2562" t="s">
        <v>6999</v>
      </c>
      <c r="D1724" s="3156">
        <f>SUM(D1725+D1822+D1836+D1864+D1913+D1933+D1943+D1949+D1973+D1983+D1998+D2005+D2017+D2028+D2046+D2059+D2063+D2070+D2077+D2092+D2096+D2100)</f>
        <v>122746977000</v>
      </c>
      <c r="E1724" s="3157">
        <f>D1724/2512247400000*100</f>
        <v>4.885943040482398</v>
      </c>
      <c r="F1724" s="4402"/>
      <c r="G1724" s="3158"/>
      <c r="H1724" s="3157"/>
      <c r="I1724" s="3156"/>
      <c r="J1724" s="3159"/>
      <c r="K1724" s="3159"/>
      <c r="L1724" s="3157"/>
      <c r="M1724" s="3156"/>
      <c r="N1724" s="2768"/>
      <c r="P1724" s="44" t="s">
        <v>4142</v>
      </c>
    </row>
    <row r="1725" spans="1:16" ht="18.75" hidden="1" customHeight="1" x14ac:dyDescent="0.25">
      <c r="B1725" s="459"/>
      <c r="C1725" s="2523" t="s">
        <v>1453</v>
      </c>
      <c r="D1725" s="2959">
        <f>SUM(D1726+D1733+D1764+D1768+D1780+D1786+D1796+D1803+D1806+D1813+D1817)</f>
        <v>32694382000</v>
      </c>
      <c r="E1725" s="2962">
        <f>D1725/D1724*100</f>
        <v>26.635590381993683</v>
      </c>
      <c r="F1725" s="3858"/>
      <c r="G1725" s="2961"/>
      <c r="H1725" s="2962"/>
      <c r="I1725" s="2959"/>
      <c r="J1725" s="2964"/>
      <c r="K1725" s="2964"/>
      <c r="L1725" s="2962"/>
      <c r="M1725" s="2959"/>
      <c r="N1725" s="2768"/>
      <c r="P1725" s="44" t="s">
        <v>4143</v>
      </c>
    </row>
    <row r="1726" spans="1:16" ht="17.25" hidden="1" customHeight="1" x14ac:dyDescent="0.25">
      <c r="B1726" s="441"/>
      <c r="C1726" s="2525" t="s">
        <v>1454</v>
      </c>
      <c r="D1726" s="2822">
        <f>SUM(D1727:D1731)</f>
        <v>13649000000</v>
      </c>
      <c r="E1726" s="2734">
        <f>D1726/D1724*100</f>
        <v>11.119622115011435</v>
      </c>
      <c r="F1726" s="3878"/>
      <c r="G1726" s="3160"/>
      <c r="H1726" s="2942"/>
      <c r="I1726" s="2759"/>
      <c r="J1726" s="3160"/>
      <c r="K1726" s="3160"/>
      <c r="L1726" s="2942"/>
      <c r="M1726" s="2759"/>
      <c r="N1726" s="2768"/>
      <c r="P1726" s="617" t="s">
        <v>439</v>
      </c>
    </row>
    <row r="1727" spans="1:16" ht="14.25" hidden="1" customHeight="1" x14ac:dyDescent="0.25">
      <c r="B1727" s="441"/>
      <c r="C1727" s="2475" t="s">
        <v>1455</v>
      </c>
      <c r="D1727" s="896">
        <v>12649000000</v>
      </c>
      <c r="E1727" s="2690">
        <f>D1727/D1724*100</f>
        <v>10.304938100430775</v>
      </c>
      <c r="F1727" s="4458"/>
      <c r="G1727" s="3162"/>
      <c r="H1727" s="2804"/>
      <c r="I1727" s="2804"/>
      <c r="J1727" s="896"/>
      <c r="K1727" s="2731"/>
      <c r="L1727" s="2804"/>
      <c r="M1727" s="2804"/>
      <c r="N1727" s="2768"/>
      <c r="P1727" s="617" t="s">
        <v>4144</v>
      </c>
    </row>
    <row r="1728" spans="1:16" ht="14.25" hidden="1" customHeight="1" x14ac:dyDescent="0.25">
      <c r="B1728" s="441"/>
      <c r="C1728" s="2475" t="s">
        <v>7010</v>
      </c>
      <c r="D1728" s="896">
        <v>400000000</v>
      </c>
      <c r="E1728" s="2690">
        <f>D1728/D1724*100</f>
        <v>0.32587360583226421</v>
      </c>
      <c r="F1728" s="4458"/>
      <c r="G1728" s="3164"/>
      <c r="H1728" s="2804"/>
      <c r="I1728" s="2804"/>
      <c r="J1728" s="896"/>
      <c r="K1728" s="2731"/>
      <c r="L1728" s="2804"/>
      <c r="M1728" s="2804"/>
      <c r="N1728" s="2768"/>
    </row>
    <row r="1729" spans="2:18" ht="14.25" hidden="1" customHeight="1" x14ac:dyDescent="0.25">
      <c r="B1729" s="441"/>
      <c r="C1729" s="2473" t="s">
        <v>7011</v>
      </c>
      <c r="D1729" s="896">
        <v>150000000</v>
      </c>
      <c r="E1729" s="2690">
        <f>D1729/D1724*100</f>
        <v>0.12220260218709907</v>
      </c>
      <c r="F1729" s="4458"/>
      <c r="G1729" s="3164"/>
      <c r="H1729" s="2804"/>
      <c r="I1729" s="2804"/>
      <c r="J1729" s="896"/>
      <c r="K1729" s="2731"/>
      <c r="L1729" s="2804"/>
      <c r="M1729" s="2804"/>
      <c r="N1729" s="2768"/>
    </row>
    <row r="1730" spans="2:18" ht="14.25" hidden="1" customHeight="1" x14ac:dyDescent="0.25">
      <c r="B1730" s="441"/>
      <c r="C1730" s="2473" t="s">
        <v>7012</v>
      </c>
      <c r="D1730" s="896">
        <v>350000000</v>
      </c>
      <c r="E1730" s="2690">
        <f>D1730/D1724*100</f>
        <v>0.28513940510323116</v>
      </c>
      <c r="F1730" s="4458"/>
      <c r="G1730" s="3164"/>
      <c r="H1730" s="2804"/>
      <c r="I1730" s="2804"/>
      <c r="J1730" s="896"/>
      <c r="K1730" s="2731"/>
      <c r="L1730" s="2804"/>
      <c r="M1730" s="2804"/>
      <c r="N1730" s="2768"/>
    </row>
    <row r="1731" spans="2:18" ht="14.25" hidden="1" customHeight="1" x14ac:dyDescent="0.25">
      <c r="B1731" s="441"/>
      <c r="C1731" s="2475" t="s">
        <v>7013</v>
      </c>
      <c r="D1731" s="896">
        <v>100000000</v>
      </c>
      <c r="E1731" s="2690">
        <f>D1731/D1724*100</f>
        <v>8.1468401458066053E-2</v>
      </c>
      <c r="F1731" s="4458"/>
      <c r="G1731" s="3164"/>
      <c r="H1731" s="2804"/>
      <c r="I1731" s="2804"/>
      <c r="J1731" s="896"/>
      <c r="K1731" s="2731"/>
      <c r="L1731" s="2804"/>
      <c r="M1731" s="2804"/>
      <c r="N1731" s="2768"/>
    </row>
    <row r="1732" spans="2:18" ht="12.75" hidden="1" customHeight="1" x14ac:dyDescent="0.25">
      <c r="B1732" s="441"/>
      <c r="C1732" s="2473"/>
      <c r="D1732" s="896"/>
      <c r="E1732" s="2690"/>
      <c r="F1732" s="3868"/>
      <c r="G1732" s="2804"/>
      <c r="H1732" s="2804"/>
      <c r="I1732" s="2804"/>
      <c r="J1732" s="896"/>
      <c r="K1732" s="896"/>
      <c r="L1732" s="896"/>
      <c r="M1732" s="2804"/>
      <c r="N1732" s="2768"/>
    </row>
    <row r="1733" spans="2:18" ht="16.5" hidden="1" customHeight="1" x14ac:dyDescent="0.25">
      <c r="B1733" s="441"/>
      <c r="C1733" s="2525" t="s">
        <v>5809</v>
      </c>
      <c r="D1733" s="2812">
        <f>SUM(D1734:D1762)</f>
        <v>5275000000</v>
      </c>
      <c r="E1733" s="2695">
        <f>D1733/D1724*100</f>
        <v>4.2974581769129845</v>
      </c>
      <c r="F1733" s="3879"/>
      <c r="G1733" s="3163"/>
      <c r="H1733" s="2942"/>
      <c r="I1733" s="2725"/>
      <c r="J1733" s="3163"/>
      <c r="K1733" s="3163"/>
      <c r="L1733" s="2942"/>
      <c r="M1733" s="2725"/>
      <c r="N1733" s="2768"/>
      <c r="P1733" s="651" t="s">
        <v>4145</v>
      </c>
    </row>
    <row r="1734" spans="2:18" ht="17.25" hidden="1" customHeight="1" x14ac:dyDescent="0.25">
      <c r="B1734" s="441"/>
      <c r="C1734" s="2473" t="s">
        <v>7014</v>
      </c>
      <c r="D1734" s="896">
        <v>300000000</v>
      </c>
      <c r="E1734" s="2690">
        <f>D1734/D1724*100</f>
        <v>0.24440520437419813</v>
      </c>
      <c r="F1734" s="4458"/>
      <c r="G1734" s="3162"/>
      <c r="H1734" s="2804"/>
      <c r="I1734" s="2804"/>
      <c r="J1734" s="3161"/>
      <c r="K1734" s="3161"/>
      <c r="L1734" s="2804"/>
      <c r="M1734" s="2804"/>
      <c r="N1734" s="2768"/>
      <c r="P1734" s="5078" t="s">
        <v>1589</v>
      </c>
      <c r="Q1734" s="5079"/>
      <c r="R1734" s="5079"/>
    </row>
    <row r="1735" spans="2:18" ht="28.5" hidden="1" customHeight="1" x14ac:dyDescent="0.25">
      <c r="B1735" s="441"/>
      <c r="C1735" s="2473" t="s">
        <v>7015</v>
      </c>
      <c r="D1735" s="896">
        <v>700000000</v>
      </c>
      <c r="E1735" s="2690">
        <f>D1735/D1724*100</f>
        <v>0.57027881020646232</v>
      </c>
      <c r="F1735" s="4458"/>
      <c r="G1735" s="3164"/>
      <c r="H1735" s="2804"/>
      <c r="I1735" s="2804"/>
      <c r="J1735" s="3161"/>
      <c r="K1735" s="3165"/>
      <c r="L1735" s="2804"/>
      <c r="M1735" s="2804"/>
      <c r="N1735" s="2768"/>
      <c r="P1735" s="10" t="s">
        <v>4146</v>
      </c>
      <c r="Q1735" s="626">
        <v>20044455000</v>
      </c>
    </row>
    <row r="1736" spans="2:18" ht="18" hidden="1" customHeight="1" x14ac:dyDescent="0.25">
      <c r="B1736" s="441"/>
      <c r="C1736" s="2473" t="s">
        <v>7016</v>
      </c>
      <c r="D1736" s="896">
        <v>200000000</v>
      </c>
      <c r="E1736" s="2690">
        <f>D1736/D1724*100</f>
        <v>0.16293680291613211</v>
      </c>
      <c r="F1736" s="4458"/>
      <c r="G1736" s="3164"/>
      <c r="H1736" s="2804"/>
      <c r="I1736" s="2804"/>
      <c r="J1736" s="3161"/>
      <c r="K1736" s="3165"/>
      <c r="L1736" s="2804"/>
      <c r="M1736" s="2804"/>
      <c r="N1736" s="2768"/>
      <c r="P1736" s="617" t="s">
        <v>4147</v>
      </c>
      <c r="Q1736" s="35">
        <v>2000000000</v>
      </c>
    </row>
    <row r="1737" spans="2:18" ht="15.75" hidden="1" customHeight="1" x14ac:dyDescent="0.25">
      <c r="B1737" s="441"/>
      <c r="C1737" s="2473" t="s">
        <v>7017</v>
      </c>
      <c r="D1737" s="896">
        <v>150000000</v>
      </c>
      <c r="E1737" s="2690">
        <f>D1737/D1724*100</f>
        <v>0.12220260218709907</v>
      </c>
      <c r="F1737" s="4458"/>
      <c r="G1737" s="3164"/>
      <c r="H1737" s="2804"/>
      <c r="I1737" s="2804"/>
      <c r="J1737" s="3161"/>
      <c r="K1737" s="3165"/>
      <c r="L1737" s="2804"/>
      <c r="M1737" s="2804"/>
      <c r="N1737" s="2768"/>
      <c r="P1737" s="617" t="s">
        <v>3087</v>
      </c>
      <c r="Q1737" s="35">
        <v>500000000</v>
      </c>
    </row>
    <row r="1738" spans="2:18" ht="15.75" hidden="1" customHeight="1" x14ac:dyDescent="0.25">
      <c r="B1738" s="441"/>
      <c r="C1738" s="2473" t="s">
        <v>7019</v>
      </c>
      <c r="D1738" s="896">
        <v>125000000</v>
      </c>
      <c r="E1738" s="2690">
        <f>D1738/D1724*100</f>
        <v>0.10183550182258257</v>
      </c>
      <c r="F1738" s="4458"/>
      <c r="G1738" s="3164"/>
      <c r="H1738" s="2804"/>
      <c r="I1738" s="2804"/>
      <c r="J1738" s="3161"/>
      <c r="K1738" s="3165"/>
      <c r="L1738" s="2804"/>
      <c r="M1738" s="2804"/>
      <c r="N1738" s="2768"/>
    </row>
    <row r="1739" spans="2:18" ht="15" hidden="1" customHeight="1" x14ac:dyDescent="0.25">
      <c r="B1739" s="441"/>
      <c r="C1739" s="2473" t="s">
        <v>7018</v>
      </c>
      <c r="D1739" s="896">
        <v>125000000</v>
      </c>
      <c r="E1739" s="2690">
        <f>D1739/D1724*100</f>
        <v>0.10183550182258257</v>
      </c>
      <c r="F1739" s="4458"/>
      <c r="G1739" s="3164"/>
      <c r="H1739" s="2804"/>
      <c r="I1739" s="2804"/>
      <c r="J1739" s="3161"/>
      <c r="K1739" s="3165"/>
      <c r="L1739" s="2804"/>
      <c r="M1739" s="2804"/>
      <c r="N1739" s="2768"/>
      <c r="P1739" s="652" t="s">
        <v>1569</v>
      </c>
    </row>
    <row r="1740" spans="2:18" ht="17.25" hidden="1" customHeight="1" x14ac:dyDescent="0.25">
      <c r="B1740" s="441"/>
      <c r="C1740" s="2473" t="s">
        <v>7020</v>
      </c>
      <c r="D1740" s="896">
        <v>125000000</v>
      </c>
      <c r="E1740" s="2690">
        <f>D1740/D1724*100</f>
        <v>0.10183550182258257</v>
      </c>
      <c r="F1740" s="4458"/>
      <c r="G1740" s="3164"/>
      <c r="H1740" s="2804"/>
      <c r="I1740" s="2804"/>
      <c r="J1740" s="3161"/>
      <c r="K1740" s="3165"/>
      <c r="L1740" s="2804"/>
      <c r="M1740" s="2804"/>
      <c r="N1740" s="2768"/>
      <c r="P1740" s="653" t="s">
        <v>1574</v>
      </c>
      <c r="Q1740" s="624">
        <f>Q1741</f>
        <v>843124000</v>
      </c>
    </row>
    <row r="1741" spans="2:18" ht="18" hidden="1" customHeight="1" x14ac:dyDescent="0.25">
      <c r="B1741" s="441"/>
      <c r="C1741" s="2473" t="s">
        <v>7021</v>
      </c>
      <c r="D1741" s="896">
        <v>125000000</v>
      </c>
      <c r="E1741" s="2690">
        <f>D1741/D1724*100</f>
        <v>0.10183550182258257</v>
      </c>
      <c r="F1741" s="4458"/>
      <c r="G1741" s="3164"/>
      <c r="H1741" s="2804"/>
      <c r="I1741" s="2804"/>
      <c r="J1741" s="3161"/>
      <c r="K1741" s="3165"/>
      <c r="L1741" s="2804"/>
      <c r="M1741" s="2804"/>
      <c r="N1741" s="2768"/>
      <c r="P1741" s="18" t="s">
        <v>1575</v>
      </c>
      <c r="Q1741" s="623">
        <f>1000000000-156876000</f>
        <v>843124000</v>
      </c>
    </row>
    <row r="1742" spans="2:18" ht="18" hidden="1" customHeight="1" x14ac:dyDescent="0.25">
      <c r="B1742" s="441"/>
      <c r="C1742" s="2473" t="s">
        <v>7022</v>
      </c>
      <c r="D1742" s="896">
        <v>125000000</v>
      </c>
      <c r="E1742" s="2690">
        <f>D1742/D1724*100</f>
        <v>0.10183550182258257</v>
      </c>
      <c r="F1742" s="4458"/>
      <c r="G1742" s="3164"/>
      <c r="H1742" s="2804"/>
      <c r="I1742" s="2804"/>
      <c r="J1742" s="3161"/>
      <c r="K1742" s="3165"/>
      <c r="L1742" s="2804"/>
      <c r="M1742" s="2804"/>
      <c r="N1742" s="2768"/>
    </row>
    <row r="1743" spans="2:18" ht="15" hidden="1" customHeight="1" x14ac:dyDescent="0.25">
      <c r="B1743" s="441"/>
      <c r="C1743" s="2473" t="s">
        <v>7023</v>
      </c>
      <c r="D1743" s="896">
        <v>125000000</v>
      </c>
      <c r="E1743" s="2690">
        <f>D1743/D1724*100</f>
        <v>0.10183550182258257</v>
      </c>
      <c r="F1743" s="4458"/>
      <c r="G1743" s="3164"/>
      <c r="H1743" s="2804"/>
      <c r="I1743" s="2804"/>
      <c r="J1743" s="3161"/>
      <c r="K1743" s="3165"/>
      <c r="L1743" s="2804"/>
      <c r="M1743" s="2804"/>
      <c r="N1743" s="2768"/>
    </row>
    <row r="1744" spans="2:18" ht="15.75" hidden="1" customHeight="1" x14ac:dyDescent="0.25">
      <c r="B1744" s="441"/>
      <c r="C1744" s="2473" t="s">
        <v>7024</v>
      </c>
      <c r="D1744" s="896">
        <v>125000000</v>
      </c>
      <c r="E1744" s="2690">
        <f>D1744/D1724*100</f>
        <v>0.10183550182258257</v>
      </c>
      <c r="F1744" s="4458"/>
      <c r="G1744" s="3164"/>
      <c r="H1744" s="2804"/>
      <c r="I1744" s="2804"/>
      <c r="J1744" s="3161"/>
      <c r="K1744" s="3165"/>
      <c r="L1744" s="2804"/>
      <c r="M1744" s="2804"/>
      <c r="N1744" s="2768"/>
    </row>
    <row r="1745" spans="2:14" ht="15.75" hidden="1" customHeight="1" x14ac:dyDescent="0.25">
      <c r="B1745" s="441"/>
      <c r="C1745" s="2473" t="s">
        <v>7025</v>
      </c>
      <c r="D1745" s="896">
        <v>125000000</v>
      </c>
      <c r="E1745" s="2690">
        <f>D1745/D1724*100</f>
        <v>0.10183550182258257</v>
      </c>
      <c r="F1745" s="4458"/>
      <c r="G1745" s="3164"/>
      <c r="H1745" s="2804"/>
      <c r="I1745" s="2804"/>
      <c r="J1745" s="3161"/>
      <c r="K1745" s="3165"/>
      <c r="L1745" s="2804"/>
      <c r="M1745" s="2804"/>
      <c r="N1745" s="2768"/>
    </row>
    <row r="1746" spans="2:14" ht="20.25" hidden="1" customHeight="1" x14ac:dyDescent="0.25">
      <c r="B1746" s="441"/>
      <c r="C1746" s="2473" t="s">
        <v>7026</v>
      </c>
      <c r="D1746" s="896">
        <v>125000000</v>
      </c>
      <c r="E1746" s="2690">
        <f>D1746/D1724*100</f>
        <v>0.10183550182258257</v>
      </c>
      <c r="F1746" s="4458"/>
      <c r="G1746" s="3164"/>
      <c r="H1746" s="2804"/>
      <c r="I1746" s="2804"/>
      <c r="J1746" s="3161"/>
      <c r="K1746" s="3165"/>
      <c r="L1746" s="2804"/>
      <c r="M1746" s="2804"/>
      <c r="N1746" s="2768"/>
    </row>
    <row r="1747" spans="2:14" ht="17.25" hidden="1" customHeight="1" x14ac:dyDescent="0.25">
      <c r="B1747" s="441"/>
      <c r="C1747" s="2473" t="s">
        <v>7027</v>
      </c>
      <c r="D1747" s="896">
        <v>125000000</v>
      </c>
      <c r="E1747" s="2690">
        <f>D1747/D1724*100</f>
        <v>0.10183550182258257</v>
      </c>
      <c r="F1747" s="4458"/>
      <c r="G1747" s="3164"/>
      <c r="H1747" s="2804"/>
      <c r="I1747" s="2804"/>
      <c r="J1747" s="3161"/>
      <c r="K1747" s="3165"/>
      <c r="L1747" s="2804"/>
      <c r="M1747" s="2804"/>
      <c r="N1747" s="2768"/>
    </row>
    <row r="1748" spans="2:14" ht="13.5" hidden="1" customHeight="1" x14ac:dyDescent="0.25">
      <c r="B1748" s="441"/>
      <c r="C1748" s="2473" t="s">
        <v>7028</v>
      </c>
      <c r="D1748" s="896">
        <v>125000000</v>
      </c>
      <c r="E1748" s="2690">
        <f>D1748/D1724*100</f>
        <v>0.10183550182258257</v>
      </c>
      <c r="F1748" s="4458"/>
      <c r="G1748" s="3164"/>
      <c r="H1748" s="2804"/>
      <c r="I1748" s="2804"/>
      <c r="J1748" s="3161"/>
      <c r="K1748" s="3165"/>
      <c r="L1748" s="2804"/>
      <c r="M1748" s="2804"/>
      <c r="N1748" s="2768"/>
    </row>
    <row r="1749" spans="2:14" ht="15" hidden="1" customHeight="1" x14ac:dyDescent="0.25">
      <c r="B1749" s="441"/>
      <c r="C1749" s="2473" t="s">
        <v>7029</v>
      </c>
      <c r="D1749" s="896">
        <v>125000000</v>
      </c>
      <c r="E1749" s="2690">
        <f>D1749/D1724*100</f>
        <v>0.10183550182258257</v>
      </c>
      <c r="F1749" s="4458"/>
      <c r="G1749" s="3164"/>
      <c r="H1749" s="2804"/>
      <c r="I1749" s="2804"/>
      <c r="J1749" s="3161"/>
      <c r="K1749" s="3165"/>
      <c r="L1749" s="2804"/>
      <c r="M1749" s="2804"/>
      <c r="N1749" s="2768"/>
    </row>
    <row r="1750" spans="2:14" ht="15" hidden="1" customHeight="1" x14ac:dyDescent="0.25">
      <c r="B1750" s="441"/>
      <c r="C1750" s="2473" t="s">
        <v>7030</v>
      </c>
      <c r="D1750" s="896">
        <v>125000000</v>
      </c>
      <c r="E1750" s="2690">
        <f>D1750/D1724*100</f>
        <v>0.10183550182258257</v>
      </c>
      <c r="F1750" s="4458"/>
      <c r="G1750" s="3164"/>
      <c r="H1750" s="2804"/>
      <c r="I1750" s="2804"/>
      <c r="J1750" s="3161"/>
      <c r="K1750" s="3165"/>
      <c r="L1750" s="2804"/>
      <c r="M1750" s="2804"/>
      <c r="N1750" s="2768"/>
    </row>
    <row r="1751" spans="2:14" ht="16.5" hidden="1" customHeight="1" x14ac:dyDescent="0.25">
      <c r="B1751" s="441"/>
      <c r="C1751" s="2473" t="s">
        <v>7031</v>
      </c>
      <c r="D1751" s="896">
        <v>125000000</v>
      </c>
      <c r="E1751" s="2690">
        <f>D1751/D1724*100</f>
        <v>0.10183550182258257</v>
      </c>
      <c r="F1751" s="4458"/>
      <c r="G1751" s="3164"/>
      <c r="H1751" s="2804"/>
      <c r="I1751" s="2804"/>
      <c r="J1751" s="3161"/>
      <c r="K1751" s="3165"/>
      <c r="L1751" s="2804"/>
      <c r="M1751" s="2804"/>
      <c r="N1751" s="2768"/>
    </row>
    <row r="1752" spans="2:14" ht="12.75" hidden="1" customHeight="1" x14ac:dyDescent="0.25">
      <c r="B1752" s="441"/>
      <c r="C1752" s="2473" t="s">
        <v>7032</v>
      </c>
      <c r="D1752" s="896">
        <v>125000000</v>
      </c>
      <c r="E1752" s="2690">
        <f>D1752/D1724*100</f>
        <v>0.10183550182258257</v>
      </c>
      <c r="F1752" s="4458"/>
      <c r="G1752" s="3164"/>
      <c r="H1752" s="2804"/>
      <c r="I1752" s="2804"/>
      <c r="J1752" s="3161"/>
      <c r="K1752" s="3165"/>
      <c r="L1752" s="2804"/>
      <c r="M1752" s="2804"/>
      <c r="N1752" s="2768"/>
    </row>
    <row r="1753" spans="2:14" ht="36" hidden="1" customHeight="1" x14ac:dyDescent="0.25">
      <c r="B1753" s="441"/>
      <c r="C1753" s="2473" t="s">
        <v>7033</v>
      </c>
      <c r="D1753" s="896">
        <v>100000000</v>
      </c>
      <c r="E1753" s="2690">
        <f>D1753/D1724*100</f>
        <v>8.1468401458066053E-2</v>
      </c>
      <c r="F1753" s="4458"/>
      <c r="G1753" s="3164"/>
      <c r="H1753" s="2804"/>
      <c r="I1753" s="2804"/>
      <c r="J1753" s="3161"/>
      <c r="K1753" s="3165"/>
      <c r="L1753" s="2804"/>
      <c r="M1753" s="2804"/>
      <c r="N1753" s="2768"/>
    </row>
    <row r="1754" spans="2:14" ht="29.25" hidden="1" customHeight="1" x14ac:dyDescent="0.25">
      <c r="B1754" s="441"/>
      <c r="C1754" s="2473" t="s">
        <v>7034</v>
      </c>
      <c r="D1754" s="896">
        <v>100000000</v>
      </c>
      <c r="E1754" s="2690">
        <f>D1754/D1724*100</f>
        <v>8.1468401458066053E-2</v>
      </c>
      <c r="F1754" s="4458"/>
      <c r="G1754" s="3164"/>
      <c r="H1754" s="2804"/>
      <c r="I1754" s="2804"/>
      <c r="J1754" s="3161"/>
      <c r="K1754" s="3165"/>
      <c r="L1754" s="2804"/>
      <c r="M1754" s="2804"/>
      <c r="N1754" s="2768"/>
    </row>
    <row r="1755" spans="2:14" ht="28.5" hidden="1" customHeight="1" x14ac:dyDescent="0.25">
      <c r="B1755" s="441"/>
      <c r="C1755" s="2473" t="s">
        <v>7035</v>
      </c>
      <c r="D1755" s="896">
        <v>100000000</v>
      </c>
      <c r="E1755" s="2690">
        <f>D1755/D1724*100</f>
        <v>8.1468401458066053E-2</v>
      </c>
      <c r="F1755" s="4458"/>
      <c r="G1755" s="3164"/>
      <c r="H1755" s="2804"/>
      <c r="I1755" s="2804"/>
      <c r="J1755" s="3161"/>
      <c r="K1755" s="3165"/>
      <c r="L1755" s="2804"/>
      <c r="M1755" s="2804"/>
      <c r="N1755" s="2768"/>
    </row>
    <row r="1756" spans="2:14" ht="32.25" hidden="1" customHeight="1" x14ac:dyDescent="0.25">
      <c r="B1756" s="441"/>
      <c r="C1756" s="2473" t="s">
        <v>7036</v>
      </c>
      <c r="D1756" s="896">
        <v>100000000</v>
      </c>
      <c r="E1756" s="2690">
        <f>D1756/D1724*100</f>
        <v>8.1468401458066053E-2</v>
      </c>
      <c r="F1756" s="4458"/>
      <c r="G1756" s="3164"/>
      <c r="H1756" s="2804"/>
      <c r="I1756" s="2804"/>
      <c r="J1756" s="3161"/>
      <c r="K1756" s="3165"/>
      <c r="L1756" s="2804"/>
      <c r="M1756" s="2804"/>
      <c r="N1756" s="2768"/>
    </row>
    <row r="1757" spans="2:14" ht="30.75" hidden="1" customHeight="1" x14ac:dyDescent="0.25">
      <c r="B1757" s="441"/>
      <c r="C1757" s="2473" t="s">
        <v>7037</v>
      </c>
      <c r="D1757" s="896">
        <v>300000000</v>
      </c>
      <c r="E1757" s="2690">
        <f>D1757/D1724*100</f>
        <v>0.24440520437419813</v>
      </c>
      <c r="F1757" s="4458"/>
      <c r="G1757" s="3164"/>
      <c r="H1757" s="2804"/>
      <c r="I1757" s="2804"/>
      <c r="J1757" s="3161"/>
      <c r="K1757" s="3165"/>
      <c r="L1757" s="2804"/>
      <c r="M1757" s="2804"/>
      <c r="N1757" s="2768"/>
    </row>
    <row r="1758" spans="2:14" ht="28.5" hidden="1" customHeight="1" x14ac:dyDescent="0.25">
      <c r="B1758" s="441"/>
      <c r="C1758" s="2473" t="s">
        <v>7038</v>
      </c>
      <c r="D1758" s="896">
        <v>300000000</v>
      </c>
      <c r="E1758" s="2690">
        <f>D1758/D1724*100</f>
        <v>0.24440520437419813</v>
      </c>
      <c r="F1758" s="4458"/>
      <c r="G1758" s="3164"/>
      <c r="H1758" s="2804"/>
      <c r="I1758" s="2804"/>
      <c r="J1758" s="3161"/>
      <c r="K1758" s="3165"/>
      <c r="L1758" s="2804"/>
      <c r="M1758" s="2804"/>
      <c r="N1758" s="2768"/>
    </row>
    <row r="1759" spans="2:14" ht="17.25" hidden="1" customHeight="1" x14ac:dyDescent="0.25">
      <c r="B1759" s="441"/>
      <c r="C1759" s="2473" t="s">
        <v>7039</v>
      </c>
      <c r="D1759" s="896">
        <v>250000000</v>
      </c>
      <c r="E1759" s="2690">
        <f>D1759/D1724*100</f>
        <v>0.20367100364516513</v>
      </c>
      <c r="F1759" s="4458"/>
      <c r="G1759" s="3164"/>
      <c r="H1759" s="2804"/>
      <c r="I1759" s="2804"/>
      <c r="J1759" s="3161"/>
      <c r="K1759" s="3165"/>
      <c r="L1759" s="2804"/>
      <c r="M1759" s="2804"/>
      <c r="N1759" s="2768"/>
    </row>
    <row r="1760" spans="2:14" ht="17.25" hidden="1" customHeight="1" x14ac:dyDescent="0.25">
      <c r="B1760" s="441"/>
      <c r="C1760" s="2473" t="s">
        <v>7040</v>
      </c>
      <c r="D1760" s="896">
        <v>200000000</v>
      </c>
      <c r="E1760" s="2690">
        <f>D1760/D1724*100</f>
        <v>0.16293680291613211</v>
      </c>
      <c r="F1760" s="4458"/>
      <c r="G1760" s="3164"/>
      <c r="H1760" s="2804"/>
      <c r="I1760" s="2804"/>
      <c r="J1760" s="3161"/>
      <c r="K1760" s="3165"/>
      <c r="L1760" s="2804"/>
      <c r="M1760" s="2804"/>
      <c r="N1760" s="2768"/>
    </row>
    <row r="1761" spans="2:14" ht="17.25" hidden="1" customHeight="1" x14ac:dyDescent="0.25">
      <c r="B1761" s="441"/>
      <c r="C1761" s="2473" t="s">
        <v>7041</v>
      </c>
      <c r="D1761" s="896">
        <v>300000000</v>
      </c>
      <c r="E1761" s="2690">
        <f>D1761/D1724*100</f>
        <v>0.24440520437419813</v>
      </c>
      <c r="F1761" s="4458"/>
      <c r="G1761" s="3164"/>
      <c r="H1761" s="2804"/>
      <c r="I1761" s="2804"/>
      <c r="J1761" s="3161"/>
      <c r="K1761" s="3165"/>
      <c r="L1761" s="2804"/>
      <c r="M1761" s="2804"/>
      <c r="N1761" s="2768"/>
    </row>
    <row r="1762" spans="2:14" ht="28.5" hidden="1" customHeight="1" x14ac:dyDescent="0.25">
      <c r="B1762" s="441"/>
      <c r="C1762" s="2473" t="s">
        <v>7042</v>
      </c>
      <c r="D1762" s="896">
        <v>300000000</v>
      </c>
      <c r="E1762" s="2690">
        <f>D1762/D1724*100</f>
        <v>0.24440520437419813</v>
      </c>
      <c r="F1762" s="4458"/>
      <c r="G1762" s="3164"/>
      <c r="H1762" s="2804"/>
      <c r="I1762" s="2804"/>
      <c r="J1762" s="3161"/>
      <c r="K1762" s="3165"/>
      <c r="L1762" s="2804"/>
      <c r="M1762" s="2804"/>
      <c r="N1762" s="2768"/>
    </row>
    <row r="1763" spans="2:14" ht="12" hidden="1" customHeight="1" x14ac:dyDescent="0.25">
      <c r="B1763" s="441"/>
      <c r="C1763" s="2473"/>
      <c r="D1763" s="896"/>
      <c r="E1763" s="2690"/>
      <c r="F1763" s="3868"/>
      <c r="G1763" s="2804"/>
      <c r="H1763" s="2804"/>
      <c r="I1763" s="2804"/>
      <c r="J1763" s="896"/>
      <c r="K1763" s="2731"/>
      <c r="L1763" s="2804"/>
      <c r="M1763" s="2804"/>
      <c r="N1763" s="2768"/>
    </row>
    <row r="1764" spans="2:14" ht="15.75" hidden="1" customHeight="1" x14ac:dyDescent="0.25">
      <c r="B1764" s="441"/>
      <c r="C1764" s="2474" t="s">
        <v>7043</v>
      </c>
      <c r="D1764" s="899">
        <f>SUM(D1765:D1766)</f>
        <v>250000000</v>
      </c>
      <c r="E1764" s="2695">
        <f>D1764/D1724*100</f>
        <v>0.20367100364516513</v>
      </c>
      <c r="F1764" s="3868"/>
      <c r="G1764" s="2804"/>
      <c r="H1764" s="2804"/>
      <c r="I1764" s="2804"/>
      <c r="J1764" s="896"/>
      <c r="K1764" s="2731"/>
      <c r="L1764" s="2804"/>
      <c r="M1764" s="2804"/>
      <c r="N1764" s="2768"/>
    </row>
    <row r="1765" spans="2:14" ht="15" hidden="1" customHeight="1" x14ac:dyDescent="0.25">
      <c r="B1765" s="441"/>
      <c r="C1765" s="2473" t="s">
        <v>7044</v>
      </c>
      <c r="D1765" s="896">
        <v>150000000</v>
      </c>
      <c r="E1765" s="2690">
        <f>D1765/D1724*100</f>
        <v>0.12220260218709907</v>
      </c>
      <c r="F1765" s="3868"/>
      <c r="G1765" s="2804"/>
      <c r="H1765" s="2804"/>
      <c r="I1765" s="2804"/>
      <c r="J1765" s="896"/>
      <c r="K1765" s="2731"/>
      <c r="L1765" s="2804"/>
      <c r="M1765" s="2804"/>
      <c r="N1765" s="2768"/>
    </row>
    <row r="1766" spans="2:14" ht="15" hidden="1" customHeight="1" x14ac:dyDescent="0.25">
      <c r="B1766" s="441"/>
      <c r="C1766" s="2473" t="s">
        <v>7045</v>
      </c>
      <c r="D1766" s="896">
        <v>100000000</v>
      </c>
      <c r="E1766" s="2690">
        <f>D1766/D1724*100</f>
        <v>8.1468401458066053E-2</v>
      </c>
      <c r="F1766" s="3868"/>
      <c r="G1766" s="2804"/>
      <c r="H1766" s="2804"/>
      <c r="I1766" s="2804"/>
      <c r="J1766" s="896"/>
      <c r="K1766" s="2731"/>
      <c r="L1766" s="2804"/>
      <c r="M1766" s="2804"/>
      <c r="N1766" s="2768"/>
    </row>
    <row r="1767" spans="2:14" ht="11.25" hidden="1" customHeight="1" x14ac:dyDescent="0.25">
      <c r="B1767" s="441"/>
      <c r="C1767" s="2473"/>
      <c r="D1767" s="896"/>
      <c r="E1767" s="2690"/>
      <c r="F1767" s="3868"/>
      <c r="G1767" s="2804"/>
      <c r="H1767" s="2804"/>
      <c r="I1767" s="2804"/>
      <c r="J1767" s="896"/>
      <c r="K1767" s="2731"/>
      <c r="L1767" s="2804"/>
      <c r="M1767" s="2804"/>
      <c r="N1767" s="2768"/>
    </row>
    <row r="1768" spans="2:14" ht="19.5" hidden="1" customHeight="1" x14ac:dyDescent="0.25">
      <c r="B1768" s="441"/>
      <c r="C1768" s="2474" t="s">
        <v>7046</v>
      </c>
      <c r="D1768" s="899">
        <f>SUM(D1769:D1778)</f>
        <v>3550021000</v>
      </c>
      <c r="E1768" s="2695">
        <f>D1768/D1724*100</f>
        <v>2.8921453601256508</v>
      </c>
      <c r="F1768" s="3868"/>
      <c r="G1768" s="2804"/>
      <c r="H1768" s="2804"/>
      <c r="I1768" s="2804"/>
      <c r="J1768" s="896"/>
      <c r="K1768" s="2731"/>
      <c r="L1768" s="2804"/>
      <c r="M1768" s="2804"/>
      <c r="N1768" s="2768"/>
    </row>
    <row r="1769" spans="2:14" ht="16.5" hidden="1" customHeight="1" x14ac:dyDescent="0.25">
      <c r="B1769" s="441"/>
      <c r="C1769" s="2473" t="s">
        <v>7047</v>
      </c>
      <c r="D1769" s="896">
        <v>1000000000</v>
      </c>
      <c r="E1769" s="2690">
        <f>D1769/D1724*100</f>
        <v>0.81468401458066053</v>
      </c>
      <c r="F1769" s="3868"/>
      <c r="G1769" s="2804"/>
      <c r="H1769" s="2804"/>
      <c r="I1769" s="2804"/>
      <c r="J1769" s="896"/>
      <c r="K1769" s="2731"/>
      <c r="L1769" s="2804"/>
      <c r="M1769" s="2804"/>
      <c r="N1769" s="2768"/>
    </row>
    <row r="1770" spans="2:14" ht="28.5" hidden="1" customHeight="1" x14ac:dyDescent="0.25">
      <c r="B1770" s="441"/>
      <c r="C1770" s="2473" t="s">
        <v>7048</v>
      </c>
      <c r="D1770" s="896">
        <v>314500000</v>
      </c>
      <c r="E1770" s="2690">
        <f>D1770/D1724*100</f>
        <v>0.25621812258561771</v>
      </c>
      <c r="F1770" s="3868"/>
      <c r="G1770" s="2804"/>
      <c r="H1770" s="2804"/>
      <c r="I1770" s="2804"/>
      <c r="J1770" s="896"/>
      <c r="K1770" s="2731"/>
      <c r="L1770" s="2804"/>
      <c r="M1770" s="2804"/>
      <c r="N1770" s="2768"/>
    </row>
    <row r="1771" spans="2:14" ht="15.75" hidden="1" customHeight="1" x14ac:dyDescent="0.25">
      <c r="B1771" s="441"/>
      <c r="C1771" s="4267" t="s">
        <v>7049</v>
      </c>
      <c r="D1771" s="896">
        <v>175000000</v>
      </c>
      <c r="E1771" s="2690">
        <f>D1771/D1724*100</f>
        <v>0.14256970255161558</v>
      </c>
      <c r="F1771" s="3868"/>
      <c r="G1771" s="2804"/>
      <c r="H1771" s="2804"/>
      <c r="I1771" s="2804"/>
      <c r="J1771" s="896"/>
      <c r="K1771" s="2731"/>
      <c r="L1771" s="2804"/>
      <c r="M1771" s="2804"/>
      <c r="N1771" s="2768"/>
    </row>
    <row r="1772" spans="2:14" ht="15" hidden="1" customHeight="1" x14ac:dyDescent="0.25">
      <c r="B1772" s="441"/>
      <c r="C1772" s="2473" t="s">
        <v>7050</v>
      </c>
      <c r="D1772" s="896">
        <v>150000000</v>
      </c>
      <c r="E1772" s="2690">
        <f>D1772/D1724*100</f>
        <v>0.12220260218709907</v>
      </c>
      <c r="F1772" s="3868"/>
      <c r="G1772" s="2804"/>
      <c r="H1772" s="2804"/>
      <c r="I1772" s="2804"/>
      <c r="J1772" s="896"/>
      <c r="K1772" s="2731"/>
      <c r="L1772" s="2804"/>
      <c r="M1772" s="2804"/>
      <c r="N1772" s="2768"/>
    </row>
    <row r="1773" spans="2:14" ht="16.5" hidden="1" customHeight="1" x14ac:dyDescent="0.25">
      <c r="B1773" s="441"/>
      <c r="C1773" s="2473" t="s">
        <v>7051</v>
      </c>
      <c r="D1773" s="896">
        <v>720575000</v>
      </c>
      <c r="E1773" s="2690">
        <f>D1773/D1724*100</f>
        <v>0.5870409338064595</v>
      </c>
      <c r="F1773" s="3868"/>
      <c r="G1773" s="2804"/>
      <c r="H1773" s="2804"/>
      <c r="I1773" s="2804"/>
      <c r="J1773" s="896"/>
      <c r="K1773" s="2731"/>
      <c r="L1773" s="2804"/>
      <c r="M1773" s="2804"/>
      <c r="N1773" s="2768"/>
    </row>
    <row r="1774" spans="2:14" ht="16.5" hidden="1" customHeight="1" x14ac:dyDescent="0.25">
      <c r="B1774" s="441"/>
      <c r="C1774" s="2473" t="s">
        <v>7052</v>
      </c>
      <c r="D1774" s="896">
        <v>264925000</v>
      </c>
      <c r="E1774" s="2690">
        <f>D1774/D1724*100</f>
        <v>0.21583016256278148</v>
      </c>
      <c r="F1774" s="3868"/>
      <c r="G1774" s="2804"/>
      <c r="H1774" s="2804"/>
      <c r="I1774" s="2804"/>
      <c r="J1774" s="896"/>
      <c r="K1774" s="2731"/>
      <c r="L1774" s="2804"/>
      <c r="M1774" s="2804"/>
      <c r="N1774" s="2768"/>
    </row>
    <row r="1775" spans="2:14" ht="15" hidden="1" customHeight="1" x14ac:dyDescent="0.25">
      <c r="B1775" s="441"/>
      <c r="C1775" s="2473" t="s">
        <v>7053</v>
      </c>
      <c r="D1775" s="896">
        <v>375000000</v>
      </c>
      <c r="E1775" s="2690">
        <f>D1775/D1724*100</f>
        <v>0.30550650546774771</v>
      </c>
      <c r="F1775" s="3868"/>
      <c r="G1775" s="2804"/>
      <c r="H1775" s="2804"/>
      <c r="I1775" s="2804"/>
      <c r="J1775" s="896"/>
      <c r="K1775" s="2731"/>
      <c r="L1775" s="2804"/>
      <c r="M1775" s="2804"/>
      <c r="N1775" s="2768"/>
    </row>
    <row r="1776" spans="2:14" ht="16.5" hidden="1" customHeight="1" x14ac:dyDescent="0.25">
      <c r="B1776" s="441"/>
      <c r="C1776" s="2473" t="s">
        <v>7054</v>
      </c>
      <c r="D1776" s="896">
        <v>200000000</v>
      </c>
      <c r="E1776" s="2690">
        <f>D1776/D1724*100</f>
        <v>0.16293680291613211</v>
      </c>
      <c r="F1776" s="3868"/>
      <c r="G1776" s="2804"/>
      <c r="H1776" s="2804"/>
      <c r="I1776" s="2804"/>
      <c r="J1776" s="896"/>
      <c r="K1776" s="2731"/>
      <c r="L1776" s="2804"/>
      <c r="M1776" s="2804"/>
      <c r="N1776" s="2768"/>
    </row>
    <row r="1777" spans="2:14" ht="16.5" hidden="1" customHeight="1" x14ac:dyDescent="0.25">
      <c r="B1777" s="441"/>
      <c r="C1777" s="2473" t="s">
        <v>7055</v>
      </c>
      <c r="D1777" s="896">
        <v>100000000</v>
      </c>
      <c r="E1777" s="2690">
        <f>D1777/D1724*100</f>
        <v>8.1468401458066053E-2</v>
      </c>
      <c r="F1777" s="3868"/>
      <c r="G1777" s="2804"/>
      <c r="H1777" s="2804"/>
      <c r="I1777" s="2804"/>
      <c r="J1777" s="896"/>
      <c r="K1777" s="2731"/>
      <c r="L1777" s="2804"/>
      <c r="M1777" s="2804"/>
      <c r="N1777" s="2768"/>
    </row>
    <row r="1778" spans="2:14" ht="15" hidden="1" customHeight="1" x14ac:dyDescent="0.25">
      <c r="B1778" s="441"/>
      <c r="C1778" s="2473" t="s">
        <v>7056</v>
      </c>
      <c r="D1778" s="896">
        <v>250021000</v>
      </c>
      <c r="E1778" s="2690">
        <f>D1778/D1724*100</f>
        <v>0.20368811200947132</v>
      </c>
      <c r="F1778" s="3868"/>
      <c r="G1778" s="2804"/>
      <c r="H1778" s="2804"/>
      <c r="I1778" s="2804"/>
      <c r="J1778" s="896"/>
      <c r="K1778" s="2731"/>
      <c r="L1778" s="2804"/>
      <c r="M1778" s="2804"/>
      <c r="N1778" s="2768"/>
    </row>
    <row r="1779" spans="2:14" ht="12" hidden="1" customHeight="1" x14ac:dyDescent="0.25">
      <c r="B1779" s="441"/>
      <c r="C1779" s="2473"/>
      <c r="D1779" s="896"/>
      <c r="E1779" s="2690"/>
      <c r="F1779" s="3868"/>
      <c r="G1779" s="2804"/>
      <c r="H1779" s="2804"/>
      <c r="I1779" s="2804"/>
      <c r="J1779" s="896"/>
      <c r="K1779" s="2731"/>
      <c r="L1779" s="2804"/>
      <c r="M1779" s="2804"/>
      <c r="N1779" s="2768"/>
    </row>
    <row r="1780" spans="2:14" ht="18.75" hidden="1" customHeight="1" x14ac:dyDescent="0.25">
      <c r="B1780" s="441"/>
      <c r="C1780" s="2525" t="s">
        <v>663</v>
      </c>
      <c r="D1780" s="2692">
        <f>SUM(D1781:D1784)</f>
        <v>600000000</v>
      </c>
      <c r="E1780" s="2695">
        <f>D1780/D1724*100</f>
        <v>0.48881040874839626</v>
      </c>
      <c r="F1780" s="3832"/>
      <c r="G1780" s="2965"/>
      <c r="H1780" s="2965"/>
      <c r="I1780" s="2965"/>
      <c r="J1780" s="899"/>
      <c r="K1780" s="899"/>
      <c r="L1780" s="2725"/>
      <c r="M1780" s="2725"/>
      <c r="N1780" s="2768"/>
    </row>
    <row r="1781" spans="2:14" ht="15" hidden="1" customHeight="1" x14ac:dyDescent="0.25">
      <c r="B1781" s="441"/>
      <c r="C1781" s="2473" t="s">
        <v>7057</v>
      </c>
      <c r="D1781" s="2698">
        <v>300000000</v>
      </c>
      <c r="E1781" s="2690">
        <f>D1781/D1724*100</f>
        <v>0.24440520437419813</v>
      </c>
      <c r="F1781" s="4417"/>
      <c r="G1781" s="2726"/>
      <c r="H1781" s="2726"/>
      <c r="I1781" s="2726"/>
      <c r="J1781" s="896"/>
      <c r="K1781" s="2731"/>
      <c r="L1781" s="2804"/>
      <c r="M1781" s="2804"/>
      <c r="N1781" s="2768"/>
    </row>
    <row r="1782" spans="2:14" ht="15" hidden="1" customHeight="1" x14ac:dyDescent="0.25">
      <c r="B1782" s="441"/>
      <c r="C1782" s="2473" t="s">
        <v>7058</v>
      </c>
      <c r="D1782" s="2698">
        <v>100000000</v>
      </c>
      <c r="E1782" s="2690">
        <f>D1782/D1724*100</f>
        <v>8.1468401458066053E-2</v>
      </c>
      <c r="F1782" s="4417"/>
      <c r="G1782" s="2726"/>
      <c r="H1782" s="2726"/>
      <c r="I1782" s="2726"/>
      <c r="J1782" s="896"/>
      <c r="K1782" s="2726"/>
      <c r="L1782" s="2726"/>
      <c r="M1782" s="2726"/>
      <c r="N1782" s="2768"/>
    </row>
    <row r="1783" spans="2:14" ht="15.75" hidden="1" customHeight="1" x14ac:dyDescent="0.25">
      <c r="B1783" s="441"/>
      <c r="C1783" s="2473" t="s">
        <v>7059</v>
      </c>
      <c r="D1783" s="2698">
        <v>100000000</v>
      </c>
      <c r="E1783" s="2690">
        <f>D1783/D1724*100</f>
        <v>8.1468401458066053E-2</v>
      </c>
      <c r="F1783" s="4417"/>
      <c r="G1783" s="2726"/>
      <c r="H1783" s="2726"/>
      <c r="I1783" s="2726"/>
      <c r="J1783" s="896"/>
      <c r="K1783" s="2726"/>
      <c r="L1783" s="2726"/>
      <c r="M1783" s="2726"/>
      <c r="N1783" s="2768"/>
    </row>
    <row r="1784" spans="2:14" ht="15" hidden="1" customHeight="1" x14ac:dyDescent="0.25">
      <c r="B1784" s="441"/>
      <c r="C1784" s="2473" t="s">
        <v>7060</v>
      </c>
      <c r="D1784" s="2698">
        <v>100000000</v>
      </c>
      <c r="E1784" s="2690">
        <f>D1784/D1724*100</f>
        <v>8.1468401458066053E-2</v>
      </c>
      <c r="F1784" s="4417"/>
      <c r="G1784" s="2726"/>
      <c r="H1784" s="2726"/>
      <c r="I1784" s="2726"/>
      <c r="J1784" s="896"/>
      <c r="K1784" s="2726"/>
      <c r="L1784" s="2726"/>
      <c r="M1784" s="2726"/>
      <c r="N1784" s="2768"/>
    </row>
    <row r="1785" spans="2:14" ht="11.25" hidden="1" customHeight="1" x14ac:dyDescent="0.25">
      <c r="B1785" s="441"/>
      <c r="C1785" s="2473"/>
      <c r="D1785" s="896"/>
      <c r="E1785" s="2690"/>
      <c r="F1785" s="3868"/>
      <c r="G1785" s="2804"/>
      <c r="H1785" s="2804"/>
      <c r="I1785" s="2804"/>
      <c r="J1785" s="896"/>
      <c r="K1785" s="2731"/>
      <c r="L1785" s="2726"/>
      <c r="M1785" s="2726"/>
      <c r="N1785" s="2768"/>
    </row>
    <row r="1786" spans="2:14" ht="17.25" hidden="1" customHeight="1" x14ac:dyDescent="0.25">
      <c r="B1786" s="441"/>
      <c r="C1786" s="2525" t="s">
        <v>2121</v>
      </c>
      <c r="D1786" s="899">
        <f>SUM(D1787:D1794)</f>
        <v>4700000000</v>
      </c>
      <c r="E1786" s="2695">
        <f>D1786/D1724*100</f>
        <v>3.8290148685291041</v>
      </c>
      <c r="F1786" s="3879"/>
      <c r="G1786" s="2725"/>
      <c r="H1786" s="2725"/>
      <c r="I1786" s="2725"/>
      <c r="J1786" s="3163"/>
      <c r="K1786" s="3163"/>
      <c r="L1786" s="2725"/>
      <c r="M1786" s="2965"/>
      <c r="N1786" s="2768"/>
    </row>
    <row r="1787" spans="2:14" ht="17.25" hidden="1" customHeight="1" x14ac:dyDescent="0.25">
      <c r="B1787" s="441"/>
      <c r="C1787" s="2473" t="s">
        <v>7061</v>
      </c>
      <c r="D1787" s="896">
        <v>200000000</v>
      </c>
      <c r="E1787" s="2690">
        <f>D1787/D1724*100</f>
        <v>0.16293680291613211</v>
      </c>
      <c r="F1787" s="4458"/>
      <c r="G1787" s="2804"/>
      <c r="H1787" s="2804"/>
      <c r="I1787" s="2804"/>
      <c r="J1787" s="3161"/>
      <c r="K1787" s="2731"/>
      <c r="L1787" s="2804"/>
      <c r="M1787" s="2804"/>
      <c r="N1787" s="2768"/>
    </row>
    <row r="1788" spans="2:14" ht="16.5" hidden="1" customHeight="1" x14ac:dyDescent="0.25">
      <c r="B1788" s="441"/>
      <c r="C1788" s="2473" t="s">
        <v>7062</v>
      </c>
      <c r="D1788" s="2698">
        <v>200000000</v>
      </c>
      <c r="E1788" s="2690">
        <f>D1788/D1724*100</f>
        <v>0.16293680291613211</v>
      </c>
      <c r="F1788" s="4417"/>
      <c r="G1788" s="2726"/>
      <c r="H1788" s="2726"/>
      <c r="I1788" s="2726"/>
      <c r="J1788" s="2852"/>
      <c r="K1788" s="2731"/>
      <c r="L1788" s="2804"/>
      <c r="M1788" s="2804"/>
      <c r="N1788" s="2768"/>
    </row>
    <row r="1789" spans="2:14" ht="29.25" hidden="1" customHeight="1" x14ac:dyDescent="0.25">
      <c r="B1789" s="441"/>
      <c r="C1789" s="2473" t="s">
        <v>7063</v>
      </c>
      <c r="D1789" s="2698">
        <v>1000000000</v>
      </c>
      <c r="E1789" s="2690">
        <f>D1789/D1724*100</f>
        <v>0.81468401458066053</v>
      </c>
      <c r="F1789" s="4417"/>
      <c r="G1789" s="2762"/>
      <c r="H1789" s="2762"/>
      <c r="I1789" s="2762"/>
      <c r="J1789" s="2852"/>
      <c r="K1789" s="2731"/>
      <c r="L1789" s="2804"/>
      <c r="M1789" s="2804"/>
      <c r="N1789" s="2768"/>
    </row>
    <row r="1790" spans="2:14" ht="18.75" hidden="1" customHeight="1" x14ac:dyDescent="0.25">
      <c r="B1790" s="441"/>
      <c r="C1790" s="2473" t="s">
        <v>7064</v>
      </c>
      <c r="D1790" s="2698">
        <v>300000000</v>
      </c>
      <c r="E1790" s="2690">
        <f>D1790/D1724*100</f>
        <v>0.24440520437419813</v>
      </c>
      <c r="F1790" s="4417"/>
      <c r="G1790" s="2762"/>
      <c r="H1790" s="2762"/>
      <c r="I1790" s="2762"/>
      <c r="J1790" s="2852"/>
      <c r="K1790" s="2731"/>
      <c r="L1790" s="2804"/>
      <c r="M1790" s="2804"/>
      <c r="N1790" s="2768"/>
    </row>
    <row r="1791" spans="2:14" ht="18.75" hidden="1" customHeight="1" x14ac:dyDescent="0.25">
      <c r="B1791" s="441"/>
      <c r="C1791" s="2473" t="s">
        <v>7065</v>
      </c>
      <c r="D1791" s="2698">
        <v>1300000000</v>
      </c>
      <c r="E1791" s="2690">
        <f>D1791/D1724*100</f>
        <v>1.0590892189548586</v>
      </c>
      <c r="F1791" s="4417"/>
      <c r="G1791" s="2762"/>
      <c r="H1791" s="2762"/>
      <c r="I1791" s="2762"/>
      <c r="J1791" s="2852"/>
      <c r="K1791" s="2731"/>
      <c r="L1791" s="2804"/>
      <c r="M1791" s="2804"/>
      <c r="N1791" s="2768"/>
    </row>
    <row r="1792" spans="2:14" ht="18.75" hidden="1" customHeight="1" x14ac:dyDescent="0.25">
      <c r="B1792" s="441"/>
      <c r="C1792" s="2473" t="s">
        <v>7066</v>
      </c>
      <c r="D1792" s="2698">
        <v>1000000000</v>
      </c>
      <c r="E1792" s="2690">
        <f>D1792/D1724*100</f>
        <v>0.81468401458066053</v>
      </c>
      <c r="F1792" s="4417"/>
      <c r="G1792" s="2762"/>
      <c r="H1792" s="2762"/>
      <c r="I1792" s="2762"/>
      <c r="J1792" s="2852"/>
      <c r="K1792" s="2731"/>
      <c r="L1792" s="2804"/>
      <c r="M1792" s="2804"/>
      <c r="N1792" s="2768"/>
    </row>
    <row r="1793" spans="1:16" ht="15.75" hidden="1" customHeight="1" x14ac:dyDescent="0.25">
      <c r="B1793" s="441"/>
      <c r="C1793" s="2473" t="s">
        <v>7067</v>
      </c>
      <c r="D1793" s="2698">
        <v>500000000</v>
      </c>
      <c r="E1793" s="2690">
        <f>D1793/D1724*100</f>
        <v>0.40734200729033027</v>
      </c>
      <c r="F1793" s="4417"/>
      <c r="G1793" s="2762"/>
      <c r="H1793" s="2762"/>
      <c r="I1793" s="2762"/>
      <c r="J1793" s="2852"/>
      <c r="K1793" s="2731"/>
      <c r="L1793" s="2804"/>
      <c r="M1793" s="2804"/>
      <c r="N1793" s="2768"/>
    </row>
    <row r="1794" spans="1:16" ht="18.75" hidden="1" customHeight="1" x14ac:dyDescent="0.25">
      <c r="B1794" s="441"/>
      <c r="C1794" s="2473" t="s">
        <v>7068</v>
      </c>
      <c r="D1794" s="2698">
        <v>200000000</v>
      </c>
      <c r="E1794" s="2690">
        <f>D1794/D1724*100</f>
        <v>0.16293680291613211</v>
      </c>
      <c r="F1794" s="4417"/>
      <c r="G1794" s="2762"/>
      <c r="H1794" s="2762"/>
      <c r="I1794" s="2762"/>
      <c r="J1794" s="2852"/>
      <c r="K1794" s="2731"/>
      <c r="L1794" s="2804"/>
      <c r="M1794" s="2804"/>
      <c r="N1794" s="2768"/>
    </row>
    <row r="1795" spans="1:16" ht="10.5" hidden="1" customHeight="1" x14ac:dyDescent="0.25">
      <c r="B1795" s="441"/>
      <c r="C1795" s="2473"/>
      <c r="D1795" s="896"/>
      <c r="E1795" s="2690"/>
      <c r="F1795" s="3868"/>
      <c r="G1795" s="2804"/>
      <c r="H1795" s="2804"/>
      <c r="I1795" s="2804"/>
      <c r="J1795" s="2920"/>
      <c r="K1795" s="2731"/>
      <c r="L1795" s="2804"/>
      <c r="M1795" s="2804"/>
      <c r="N1795" s="2768"/>
    </row>
    <row r="1796" spans="1:16" ht="18" hidden="1" customHeight="1" x14ac:dyDescent="0.25">
      <c r="B1796" s="441"/>
      <c r="C1796" s="2525" t="s">
        <v>1882</v>
      </c>
      <c r="D1796" s="899">
        <f>SUM(D1797:D1801)</f>
        <v>750000000</v>
      </c>
      <c r="E1796" s="2695">
        <f>D1796/D1724*100</f>
        <v>0.61101301093549543</v>
      </c>
      <c r="F1796" s="3880"/>
      <c r="G1796" s="3166"/>
      <c r="H1796" s="2725"/>
      <c r="I1796" s="2725"/>
      <c r="J1796" s="3163"/>
      <c r="K1796" s="3163"/>
      <c r="L1796" s="2725"/>
      <c r="M1796" s="899"/>
      <c r="N1796" s="2768"/>
    </row>
    <row r="1797" spans="1:16" s="20" customFormat="1" ht="15.75" hidden="1" customHeight="1" x14ac:dyDescent="0.25">
      <c r="A1797" s="963"/>
      <c r="B1797" s="441"/>
      <c r="C1797" s="2473" t="s">
        <v>7069</v>
      </c>
      <c r="D1797" s="896">
        <v>200000000</v>
      </c>
      <c r="E1797" s="2690">
        <f>D1797/D1724*100</f>
        <v>0.16293680291613211</v>
      </c>
      <c r="F1797" s="4449"/>
      <c r="G1797" s="2804"/>
      <c r="H1797" s="2804"/>
      <c r="I1797" s="2804"/>
      <c r="J1797" s="2852"/>
      <c r="K1797" s="2731"/>
      <c r="L1797" s="2804"/>
      <c r="M1797" s="2804"/>
      <c r="N1797" s="2704"/>
      <c r="P1797" s="617"/>
    </row>
    <row r="1798" spans="1:16" ht="17.25" hidden="1" customHeight="1" x14ac:dyDescent="0.25">
      <c r="B1798" s="441"/>
      <c r="C1798" s="2473" t="s">
        <v>7070</v>
      </c>
      <c r="D1798" s="896">
        <v>100000000</v>
      </c>
      <c r="E1798" s="2690">
        <f>D1798/D1724*100</f>
        <v>8.1468401458066053E-2</v>
      </c>
      <c r="F1798" s="4428"/>
      <c r="G1798" s="2804"/>
      <c r="H1798" s="2804"/>
      <c r="I1798" s="2804"/>
      <c r="J1798" s="3161"/>
      <c r="K1798" s="3161"/>
      <c r="L1798" s="2804"/>
      <c r="M1798" s="2804"/>
      <c r="N1798" s="2768"/>
    </row>
    <row r="1799" spans="1:16" ht="18" hidden="1" customHeight="1" x14ac:dyDescent="0.25">
      <c r="B1799" s="441"/>
      <c r="C1799" s="2473" t="s">
        <v>7071</v>
      </c>
      <c r="D1799" s="896">
        <v>200000000</v>
      </c>
      <c r="E1799" s="2690">
        <f>D1799/D1724*100</f>
        <v>0.16293680291613211</v>
      </c>
      <c r="F1799" s="4428"/>
      <c r="G1799" s="2804"/>
      <c r="H1799" s="2804"/>
      <c r="I1799" s="2804"/>
      <c r="J1799" s="3161"/>
      <c r="K1799" s="3161"/>
      <c r="L1799" s="2804"/>
      <c r="M1799" s="2804"/>
      <c r="N1799" s="2768"/>
    </row>
    <row r="1800" spans="1:16" ht="30" hidden="1" customHeight="1" x14ac:dyDescent="0.25">
      <c r="B1800" s="441"/>
      <c r="C1800" s="2473" t="s">
        <v>7072</v>
      </c>
      <c r="D1800" s="2698">
        <v>100000000</v>
      </c>
      <c r="E1800" s="2690">
        <f>D1800/D1724*100</f>
        <v>8.1468401458066053E-2</v>
      </c>
      <c r="F1800" s="4417"/>
      <c r="G1800" s="2726"/>
      <c r="H1800" s="2726"/>
      <c r="I1800" s="2726"/>
      <c r="J1800" s="2852"/>
      <c r="K1800" s="2857"/>
      <c r="L1800" s="2804"/>
      <c r="M1800" s="2804"/>
      <c r="N1800" s="2768"/>
    </row>
    <row r="1801" spans="1:16" ht="17.25" hidden="1" customHeight="1" x14ac:dyDescent="0.25">
      <c r="B1801" s="441"/>
      <c r="C1801" s="2473" t="s">
        <v>7073</v>
      </c>
      <c r="D1801" s="2698">
        <v>150000000</v>
      </c>
      <c r="E1801" s="2690">
        <f>D1801/D1724*100</f>
        <v>0.12220260218709907</v>
      </c>
      <c r="F1801" s="4417"/>
      <c r="G1801" s="2762"/>
      <c r="H1801" s="2762"/>
      <c r="I1801" s="2762"/>
      <c r="J1801" s="2852"/>
      <c r="K1801" s="2857"/>
      <c r="L1801" s="2804"/>
      <c r="M1801" s="2804"/>
      <c r="N1801" s="2768"/>
    </row>
    <row r="1802" spans="1:16" ht="12" hidden="1" customHeight="1" x14ac:dyDescent="0.25">
      <c r="B1802" s="441"/>
      <c r="C1802" s="2473"/>
      <c r="D1802" s="896"/>
      <c r="E1802" s="2690"/>
      <c r="F1802" s="3868"/>
      <c r="G1802" s="2804"/>
      <c r="H1802" s="2804"/>
      <c r="I1802" s="2804"/>
      <c r="J1802" s="2920"/>
      <c r="K1802" s="2731"/>
      <c r="L1802" s="2804"/>
      <c r="M1802" s="2804"/>
      <c r="N1802" s="2768"/>
    </row>
    <row r="1803" spans="1:16" ht="19.5" hidden="1" customHeight="1" x14ac:dyDescent="0.25">
      <c r="B1803" s="441"/>
      <c r="C1803" s="2525" t="s">
        <v>1508</v>
      </c>
      <c r="D1803" s="899">
        <f>D1804</f>
        <v>200000000</v>
      </c>
      <c r="E1803" s="2695">
        <f>D1803/D1724*100</f>
        <v>0.16293680291613211</v>
      </c>
      <c r="F1803" s="3879"/>
      <c r="G1803" s="2725"/>
      <c r="H1803" s="2725"/>
      <c r="I1803" s="2725"/>
      <c r="J1803" s="3163"/>
      <c r="K1803" s="3163"/>
      <c r="L1803" s="3163"/>
      <c r="M1803" s="3163"/>
      <c r="N1803" s="2768"/>
    </row>
    <row r="1804" spans="1:16" ht="21" hidden="1" customHeight="1" x14ac:dyDescent="0.25">
      <c r="B1804" s="441"/>
      <c r="C1804" s="2473" t="s">
        <v>7074</v>
      </c>
      <c r="D1804" s="896">
        <v>200000000</v>
      </c>
      <c r="E1804" s="2690">
        <f>D1804/D1724*100</f>
        <v>0.16293680291613211</v>
      </c>
      <c r="F1804" s="4428"/>
      <c r="G1804" s="2804"/>
      <c r="H1804" s="2804"/>
      <c r="I1804" s="2804"/>
      <c r="J1804" s="3161"/>
      <c r="K1804" s="2731"/>
      <c r="L1804" s="2804"/>
      <c r="M1804" s="2804"/>
      <c r="N1804" s="2768"/>
    </row>
    <row r="1805" spans="1:16" ht="10.5" hidden="1" customHeight="1" x14ac:dyDescent="0.25">
      <c r="B1805" s="441"/>
      <c r="C1805" s="2474"/>
      <c r="D1805" s="896"/>
      <c r="E1805" s="3035"/>
      <c r="F1805" s="3868"/>
      <c r="G1805" s="898"/>
      <c r="H1805" s="2690"/>
      <c r="I1805" s="898"/>
      <c r="J1805" s="911"/>
      <c r="K1805" s="898"/>
      <c r="L1805" s="898"/>
      <c r="M1805" s="898"/>
      <c r="N1805" s="2768"/>
    </row>
    <row r="1806" spans="1:16" ht="16.5" hidden="1" customHeight="1" x14ac:dyDescent="0.25">
      <c r="B1806" s="441"/>
      <c r="C1806" s="2474" t="s">
        <v>7075</v>
      </c>
      <c r="D1806" s="899">
        <f>SUM(D1807:D1811)</f>
        <v>1650000000</v>
      </c>
      <c r="E1806" s="2695">
        <f>D1806/D1724*100</f>
        <v>1.3442286240580898</v>
      </c>
      <c r="F1806" s="3868"/>
      <c r="G1806" s="898"/>
      <c r="H1806" s="2690"/>
      <c r="I1806" s="898"/>
      <c r="J1806" s="911"/>
      <c r="K1806" s="898"/>
      <c r="L1806" s="898"/>
      <c r="M1806" s="898"/>
      <c r="N1806" s="2768"/>
    </row>
    <row r="1807" spans="1:16" ht="15.75" hidden="1" customHeight="1" x14ac:dyDescent="0.25">
      <c r="B1807" s="441"/>
      <c r="C1807" s="2473" t="s">
        <v>7076</v>
      </c>
      <c r="D1807" s="896">
        <v>1250000000</v>
      </c>
      <c r="E1807" s="2690">
        <f>D1807/D1724*100</f>
        <v>1.0183550182258256</v>
      </c>
      <c r="F1807" s="3868"/>
      <c r="G1807" s="898"/>
      <c r="H1807" s="2690"/>
      <c r="I1807" s="898"/>
      <c r="J1807" s="911"/>
      <c r="K1807" s="898"/>
      <c r="L1807" s="898"/>
      <c r="M1807" s="898"/>
      <c r="N1807" s="2768"/>
    </row>
    <row r="1808" spans="1:16" ht="15.75" hidden="1" customHeight="1" x14ac:dyDescent="0.25">
      <c r="B1808" s="441"/>
      <c r="C1808" s="2473" t="s">
        <v>7077</v>
      </c>
      <c r="D1808" s="896">
        <v>50000000</v>
      </c>
      <c r="E1808" s="2690">
        <f>D1808/D1724*100</f>
        <v>4.0734200729033027E-2</v>
      </c>
      <c r="F1808" s="3868"/>
      <c r="G1808" s="898"/>
      <c r="H1808" s="2690"/>
      <c r="I1808" s="898"/>
      <c r="J1808" s="911"/>
      <c r="K1808" s="898"/>
      <c r="L1808" s="898"/>
      <c r="M1808" s="898"/>
      <c r="N1808" s="2768"/>
    </row>
    <row r="1809" spans="2:14" ht="15.75" hidden="1" customHeight="1" x14ac:dyDescent="0.25">
      <c r="B1809" s="441"/>
      <c r="C1809" s="2473" t="s">
        <v>7078</v>
      </c>
      <c r="D1809" s="896">
        <v>200000000</v>
      </c>
      <c r="E1809" s="2690">
        <f>D1809/D1724*100</f>
        <v>0.16293680291613211</v>
      </c>
      <c r="F1809" s="3868"/>
      <c r="G1809" s="898"/>
      <c r="H1809" s="2690"/>
      <c r="I1809" s="898"/>
      <c r="J1809" s="911"/>
      <c r="K1809" s="898"/>
      <c r="L1809" s="898"/>
      <c r="M1809" s="898"/>
      <c r="N1809" s="2768"/>
    </row>
    <row r="1810" spans="2:14" ht="15.75" hidden="1" customHeight="1" x14ac:dyDescent="0.25">
      <c r="B1810" s="441"/>
      <c r="C1810" s="2473" t="s">
        <v>7079</v>
      </c>
      <c r="D1810" s="896">
        <v>50000000</v>
      </c>
      <c r="E1810" s="2690">
        <f>D1810/D1724*100</f>
        <v>4.0734200729033027E-2</v>
      </c>
      <c r="F1810" s="3868"/>
      <c r="G1810" s="898"/>
      <c r="H1810" s="2690"/>
      <c r="I1810" s="898"/>
      <c r="J1810" s="911"/>
      <c r="K1810" s="898"/>
      <c r="L1810" s="898"/>
      <c r="M1810" s="898"/>
      <c r="N1810" s="2768"/>
    </row>
    <row r="1811" spans="2:14" ht="15.75" hidden="1" customHeight="1" x14ac:dyDescent="0.25">
      <c r="B1811" s="441"/>
      <c r="C1811" s="2473" t="s">
        <v>7080</v>
      </c>
      <c r="D1811" s="896">
        <v>100000000</v>
      </c>
      <c r="E1811" s="2690">
        <f>D1811/D1724*100</f>
        <v>8.1468401458066053E-2</v>
      </c>
      <c r="F1811" s="3868"/>
      <c r="G1811" s="898"/>
      <c r="H1811" s="2690"/>
      <c r="I1811" s="898"/>
      <c r="J1811" s="911"/>
      <c r="K1811" s="898"/>
      <c r="L1811" s="898"/>
      <c r="M1811" s="898"/>
      <c r="N1811" s="2768"/>
    </row>
    <row r="1812" spans="2:14" ht="12.75" hidden="1" customHeight="1" x14ac:dyDescent="0.25">
      <c r="B1812" s="441"/>
      <c r="C1812" s="2474"/>
      <c r="D1812" s="896"/>
      <c r="E1812" s="3035"/>
      <c r="F1812" s="3868"/>
      <c r="G1812" s="898"/>
      <c r="H1812" s="2690"/>
      <c r="I1812" s="898"/>
      <c r="J1812" s="911"/>
      <c r="K1812" s="898"/>
      <c r="L1812" s="898"/>
      <c r="M1812" s="898"/>
      <c r="N1812" s="2768"/>
    </row>
    <row r="1813" spans="2:14" ht="15.75" hidden="1" customHeight="1" x14ac:dyDescent="0.25">
      <c r="B1813" s="441"/>
      <c r="C1813" s="2474" t="s">
        <v>7081</v>
      </c>
      <c r="D1813" s="899">
        <f>SUM(D1814:D1815)</f>
        <v>1500000000</v>
      </c>
      <c r="E1813" s="2695">
        <f>D1813/D1724*100</f>
        <v>1.2220260218709909</v>
      </c>
      <c r="F1813" s="3868"/>
      <c r="G1813" s="898"/>
      <c r="H1813" s="2690"/>
      <c r="I1813" s="898"/>
      <c r="J1813" s="911"/>
      <c r="K1813" s="898"/>
      <c r="L1813" s="898"/>
      <c r="M1813" s="898"/>
      <c r="N1813" s="2768"/>
    </row>
    <row r="1814" spans="2:14" ht="14.25" hidden="1" customHeight="1" x14ac:dyDescent="0.25">
      <c r="B1814" s="441"/>
      <c r="C1814" s="2473" t="s">
        <v>7082</v>
      </c>
      <c r="D1814" s="896">
        <v>1000000000</v>
      </c>
      <c r="E1814" s="2690">
        <f>D1814/D1724*100</f>
        <v>0.81468401458066053</v>
      </c>
      <c r="F1814" s="3868"/>
      <c r="G1814" s="898"/>
      <c r="H1814" s="2690"/>
      <c r="I1814" s="898"/>
      <c r="J1814" s="911"/>
      <c r="K1814" s="898"/>
      <c r="L1814" s="898"/>
      <c r="M1814" s="898"/>
      <c r="N1814" s="2768"/>
    </row>
    <row r="1815" spans="2:14" ht="15" hidden="1" customHeight="1" x14ac:dyDescent="0.25">
      <c r="B1815" s="441"/>
      <c r="C1815" s="2473" t="s">
        <v>7083</v>
      </c>
      <c r="D1815" s="896">
        <v>500000000</v>
      </c>
      <c r="E1815" s="2690">
        <f>D1815/D1724*100</f>
        <v>0.40734200729033027</v>
      </c>
      <c r="F1815" s="3868"/>
      <c r="G1815" s="898"/>
      <c r="H1815" s="2690"/>
      <c r="I1815" s="898"/>
      <c r="J1815" s="911"/>
      <c r="K1815" s="898"/>
      <c r="L1815" s="898"/>
      <c r="M1815" s="898"/>
      <c r="N1815" s="2768"/>
    </row>
    <row r="1816" spans="2:14" ht="12" hidden="1" customHeight="1" x14ac:dyDescent="0.25">
      <c r="B1816" s="441"/>
      <c r="C1816" s="2473"/>
      <c r="D1816" s="896"/>
      <c r="E1816" s="2690"/>
      <c r="F1816" s="3868"/>
      <c r="G1816" s="898"/>
      <c r="H1816" s="2690"/>
      <c r="I1816" s="898"/>
      <c r="J1816" s="911"/>
      <c r="K1816" s="898"/>
      <c r="L1816" s="898"/>
      <c r="M1816" s="898"/>
      <c r="N1816" s="2768"/>
    </row>
    <row r="1817" spans="2:14" ht="18.75" hidden="1" customHeight="1" x14ac:dyDescent="0.25">
      <c r="B1817" s="441"/>
      <c r="C1817" s="2474" t="s">
        <v>7085</v>
      </c>
      <c r="D1817" s="899">
        <f>SUM(D1818:D1820)</f>
        <v>570361000</v>
      </c>
      <c r="E1817" s="2695">
        <f>D1817/D1724*100</f>
        <v>0.46466398924024011</v>
      </c>
      <c r="F1817" s="3868"/>
      <c r="G1817" s="898"/>
      <c r="H1817" s="2690"/>
      <c r="I1817" s="898"/>
      <c r="J1817" s="911"/>
      <c r="K1817" s="898"/>
      <c r="L1817" s="898"/>
      <c r="M1817" s="898"/>
      <c r="N1817" s="2768"/>
    </row>
    <row r="1818" spans="2:14" ht="15" hidden="1" customHeight="1" x14ac:dyDescent="0.25">
      <c r="B1818" s="441"/>
      <c r="C1818" s="2473" t="s">
        <v>7084</v>
      </c>
      <c r="D1818" s="896">
        <v>170361000</v>
      </c>
      <c r="E1818" s="2690">
        <f>D1818/D1724*100</f>
        <v>0.13879038340797589</v>
      </c>
      <c r="F1818" s="3868"/>
      <c r="G1818" s="898"/>
      <c r="H1818" s="2690"/>
      <c r="I1818" s="898"/>
      <c r="J1818" s="911"/>
      <c r="K1818" s="898"/>
      <c r="L1818" s="898"/>
      <c r="M1818" s="898"/>
      <c r="N1818" s="2768"/>
    </row>
    <row r="1819" spans="2:14" ht="14.25" hidden="1" customHeight="1" x14ac:dyDescent="0.25">
      <c r="B1819" s="441"/>
      <c r="C1819" s="2473" t="s">
        <v>7086</v>
      </c>
      <c r="D1819" s="896">
        <v>150000000</v>
      </c>
      <c r="E1819" s="2690">
        <f>D1819/D1724*100</f>
        <v>0.12220260218709907</v>
      </c>
      <c r="F1819" s="3868"/>
      <c r="G1819" s="898"/>
      <c r="H1819" s="2690"/>
      <c r="I1819" s="898"/>
      <c r="J1819" s="911"/>
      <c r="K1819" s="898"/>
      <c r="L1819" s="898"/>
      <c r="M1819" s="898"/>
      <c r="N1819" s="2768"/>
    </row>
    <row r="1820" spans="2:14" ht="17.25" hidden="1" customHeight="1" x14ac:dyDescent="0.25">
      <c r="B1820" s="441"/>
      <c r="C1820" s="2473" t="s">
        <v>7087</v>
      </c>
      <c r="D1820" s="896">
        <v>250000000</v>
      </c>
      <c r="E1820" s="2690">
        <f>D1820/D1724*100</f>
        <v>0.20367100364516513</v>
      </c>
      <c r="F1820" s="3868"/>
      <c r="G1820" s="898"/>
      <c r="H1820" s="2690"/>
      <c r="I1820" s="898"/>
      <c r="J1820" s="911"/>
      <c r="K1820" s="898"/>
      <c r="L1820" s="898"/>
      <c r="M1820" s="898"/>
      <c r="N1820" s="2768"/>
    </row>
    <row r="1821" spans="2:14" ht="9.75" hidden="1" customHeight="1" x14ac:dyDescent="0.25">
      <c r="B1821" s="441"/>
      <c r="C1821" s="3810"/>
      <c r="D1821" s="2769"/>
      <c r="E1821" s="2784"/>
      <c r="F1821" s="3872"/>
      <c r="G1821" s="2755"/>
      <c r="H1821" s="2752"/>
      <c r="I1821" s="2755"/>
      <c r="J1821" s="2755"/>
      <c r="K1821" s="2755"/>
      <c r="L1821" s="2755"/>
      <c r="M1821" s="2755"/>
      <c r="N1821" s="2768"/>
    </row>
    <row r="1822" spans="2:14" ht="15.75" hidden="1" customHeight="1" x14ac:dyDescent="0.25">
      <c r="B1822" s="440"/>
      <c r="C1822" s="2532" t="s">
        <v>398</v>
      </c>
      <c r="D1822" s="2744">
        <f>SUM(D1823+D1827+D1830+D1833)</f>
        <v>8126110000</v>
      </c>
      <c r="E1822" s="2672">
        <f>D1822/D1724*100</f>
        <v>6.6202119177240517</v>
      </c>
      <c r="F1822" s="3850"/>
      <c r="G1822" s="2886"/>
      <c r="H1822" s="2672"/>
      <c r="I1822" s="2744"/>
      <c r="J1822" s="2887"/>
      <c r="K1822" s="2887"/>
      <c r="L1822" s="2672"/>
      <c r="M1822" s="2744"/>
      <c r="N1822" s="2768"/>
    </row>
    <row r="1823" spans="2:14" ht="17.25" hidden="1" customHeight="1" x14ac:dyDescent="0.25">
      <c r="B1823" s="441"/>
      <c r="C1823" s="2536" t="s">
        <v>2126</v>
      </c>
      <c r="D1823" s="2767">
        <f>SUM(D1824:D1825)</f>
        <v>7609800000</v>
      </c>
      <c r="E1823" s="2734">
        <f>D1823/D1724*100</f>
        <v>6.1995824141559099</v>
      </c>
      <c r="F1823" s="3881"/>
      <c r="G1823" s="3168"/>
      <c r="H1823" s="2725"/>
      <c r="I1823" s="2759"/>
      <c r="J1823" s="3167"/>
      <c r="K1823" s="3168"/>
      <c r="L1823" s="2942"/>
      <c r="M1823" s="2759"/>
      <c r="N1823" s="2768"/>
    </row>
    <row r="1824" spans="2:14" ht="15.75" hidden="1" customHeight="1" x14ac:dyDescent="0.25">
      <c r="B1824" s="441"/>
      <c r="C1824" s="2473" t="s">
        <v>7088</v>
      </c>
      <c r="D1824" s="896">
        <v>5502600000</v>
      </c>
      <c r="E1824" s="2690">
        <f>D1824/D1724*100</f>
        <v>4.4828802586315426</v>
      </c>
      <c r="F1824" s="4428"/>
      <c r="G1824" s="896"/>
      <c r="H1824" s="2804"/>
      <c r="I1824" s="896"/>
      <c r="J1824" s="3161"/>
      <c r="K1824" s="896"/>
      <c r="L1824" s="2804"/>
      <c r="M1824" s="896"/>
      <c r="N1824" s="2768"/>
    </row>
    <row r="1825" spans="1:16" ht="15.75" hidden="1" customHeight="1" x14ac:dyDescent="0.25">
      <c r="B1825" s="441"/>
      <c r="C1825" s="2473" t="s">
        <v>7089</v>
      </c>
      <c r="D1825" s="896">
        <v>2107200000</v>
      </c>
      <c r="E1825" s="2690">
        <f>D1825/D1724*100</f>
        <v>1.7167021555243678</v>
      </c>
      <c r="F1825" s="4428"/>
      <c r="G1825" s="896"/>
      <c r="H1825" s="2804"/>
      <c r="I1825" s="896"/>
      <c r="J1825" s="3161"/>
      <c r="K1825" s="896"/>
      <c r="L1825" s="2804"/>
      <c r="M1825" s="896"/>
      <c r="N1825" s="2768"/>
    </row>
    <row r="1826" spans="1:16" ht="10.5" hidden="1" customHeight="1" x14ac:dyDescent="0.25">
      <c r="B1826" s="441"/>
      <c r="C1826" s="2473"/>
      <c r="D1826" s="896"/>
      <c r="E1826" s="2690"/>
      <c r="F1826" s="4428"/>
      <c r="G1826" s="896"/>
      <c r="H1826" s="2804"/>
      <c r="I1826" s="896"/>
      <c r="J1826" s="3161"/>
      <c r="K1826" s="896"/>
      <c r="L1826" s="2804"/>
      <c r="M1826" s="896"/>
      <c r="N1826" s="2768"/>
    </row>
    <row r="1827" spans="1:16" ht="17.25" hidden="1" customHeight="1" x14ac:dyDescent="0.25">
      <c r="B1827" s="441"/>
      <c r="C1827" s="2525" t="s">
        <v>3508</v>
      </c>
      <c r="D1827" s="899">
        <f>SUM(D1828:D1828)</f>
        <v>120200000</v>
      </c>
      <c r="E1827" s="2695">
        <f>D1827/D1724*100</f>
        <v>9.7925018552595389E-2</v>
      </c>
      <c r="F1827" s="3879"/>
      <c r="G1827" s="2725"/>
      <c r="H1827" s="2725"/>
      <c r="I1827" s="2725"/>
      <c r="J1827" s="3163"/>
      <c r="K1827" s="3163"/>
      <c r="L1827" s="2725"/>
      <c r="M1827" s="899"/>
      <c r="N1827" s="2768"/>
    </row>
    <row r="1828" spans="1:16" ht="16.5" hidden="1" customHeight="1" x14ac:dyDescent="0.25">
      <c r="B1828" s="441"/>
      <c r="C1828" s="2473" t="s">
        <v>7924</v>
      </c>
      <c r="D1828" s="896">
        <v>120200000</v>
      </c>
      <c r="E1828" s="2690">
        <f>D1828/D1724*100</f>
        <v>9.7925018552595389E-2</v>
      </c>
      <c r="F1828" s="4428"/>
      <c r="G1828" s="2804"/>
      <c r="H1828" s="2804"/>
      <c r="I1828" s="2804"/>
      <c r="J1828" s="3161"/>
      <c r="K1828" s="2731"/>
      <c r="L1828" s="2804"/>
      <c r="M1828" s="2804"/>
      <c r="N1828" s="2768"/>
    </row>
    <row r="1829" spans="1:16" ht="9" hidden="1" customHeight="1" x14ac:dyDescent="0.25">
      <c r="B1829" s="441"/>
      <c r="C1829" s="2474"/>
      <c r="D1829" s="896"/>
      <c r="E1829" s="2690"/>
      <c r="F1829" s="3868"/>
      <c r="G1829" s="898"/>
      <c r="H1829" s="3035"/>
      <c r="I1829" s="898"/>
      <c r="J1829" s="898"/>
      <c r="K1829" s="898"/>
      <c r="L1829" s="898"/>
      <c r="M1829" s="898"/>
      <c r="N1829" s="2768"/>
    </row>
    <row r="1830" spans="1:16" ht="24" hidden="1" customHeight="1" x14ac:dyDescent="0.25">
      <c r="B1830" s="441"/>
      <c r="C1830" s="2525" t="s">
        <v>7091</v>
      </c>
      <c r="D1830" s="899">
        <f>D1831</f>
        <v>146110000</v>
      </c>
      <c r="E1830" s="2695">
        <f>D1830/D1724*100</f>
        <v>0.11903348137038031</v>
      </c>
      <c r="F1830" s="3879"/>
      <c r="G1830" s="2725"/>
      <c r="H1830" s="2725"/>
      <c r="I1830" s="2725"/>
      <c r="J1830" s="3163"/>
      <c r="K1830" s="3163"/>
      <c r="L1830" s="2725"/>
      <c r="M1830" s="899"/>
      <c r="N1830" s="2768"/>
    </row>
    <row r="1831" spans="1:16" ht="18" hidden="1" customHeight="1" x14ac:dyDescent="0.25">
      <c r="B1831" s="441"/>
      <c r="C1831" s="2473" t="s">
        <v>7090</v>
      </c>
      <c r="D1831" s="896">
        <v>146110000</v>
      </c>
      <c r="E1831" s="2690">
        <f>D1831/D1724*100</f>
        <v>0.11903348137038031</v>
      </c>
      <c r="F1831" s="4428"/>
      <c r="G1831" s="2804"/>
      <c r="H1831" s="2804"/>
      <c r="I1831" s="2804"/>
      <c r="J1831" s="3161"/>
      <c r="K1831" s="2731"/>
      <c r="L1831" s="2804"/>
      <c r="M1831" s="2804"/>
      <c r="N1831" s="2768"/>
    </row>
    <row r="1832" spans="1:16" ht="9" hidden="1" customHeight="1" x14ac:dyDescent="0.25">
      <c r="B1832" s="441"/>
      <c r="C1832" s="2478"/>
      <c r="D1832" s="2769"/>
      <c r="E1832" s="2690"/>
      <c r="F1832" s="3872"/>
      <c r="G1832" s="898"/>
      <c r="H1832" s="3035"/>
      <c r="I1832" s="898"/>
      <c r="J1832" s="898"/>
      <c r="K1832" s="898"/>
      <c r="L1832" s="898"/>
      <c r="M1832" s="898"/>
      <c r="N1832" s="2768"/>
    </row>
    <row r="1833" spans="1:16" ht="29.25" hidden="1" customHeight="1" x14ac:dyDescent="0.25">
      <c r="B1833" s="441"/>
      <c r="C1833" s="2525" t="s">
        <v>3518</v>
      </c>
      <c r="D1833" s="899">
        <f>D1834</f>
        <v>250000000</v>
      </c>
      <c r="E1833" s="2695">
        <f>D1833/D1724*100</f>
        <v>0.20367100364516513</v>
      </c>
      <c r="F1833" s="3879"/>
      <c r="G1833" s="2725"/>
      <c r="H1833" s="2725"/>
      <c r="I1833" s="2725"/>
      <c r="J1833" s="3163"/>
      <c r="K1833" s="3163"/>
      <c r="L1833" s="2725"/>
      <c r="M1833" s="899"/>
      <c r="N1833" s="2768"/>
    </row>
    <row r="1834" spans="1:16" ht="16.5" hidden="1" customHeight="1" x14ac:dyDescent="0.25">
      <c r="B1834" s="441"/>
      <c r="C1834" s="2473" t="s">
        <v>7092</v>
      </c>
      <c r="D1834" s="896">
        <v>250000000</v>
      </c>
      <c r="E1834" s="2690">
        <f>D1834/D1724*100</f>
        <v>0.20367100364516513</v>
      </c>
      <c r="F1834" s="4428"/>
      <c r="G1834" s="2804"/>
      <c r="H1834" s="2804"/>
      <c r="I1834" s="2804"/>
      <c r="J1834" s="3161"/>
      <c r="K1834" s="896"/>
      <c r="L1834" s="2804"/>
      <c r="M1834" s="896"/>
      <c r="N1834" s="2768"/>
    </row>
    <row r="1835" spans="1:16" ht="12" hidden="1" customHeight="1" x14ac:dyDescent="0.25">
      <c r="B1835" s="441"/>
      <c r="C1835" s="2478"/>
      <c r="D1835" s="2769"/>
      <c r="E1835" s="2752"/>
      <c r="F1835" s="3872"/>
      <c r="G1835" s="3139"/>
      <c r="H1835" s="3024"/>
      <c r="I1835" s="3139"/>
      <c r="J1835" s="3139"/>
      <c r="K1835" s="3139"/>
      <c r="L1835" s="3139"/>
      <c r="M1835" s="3139"/>
      <c r="N1835" s="2768"/>
    </row>
    <row r="1836" spans="1:16" ht="17.25" hidden="1" customHeight="1" x14ac:dyDescent="0.25">
      <c r="B1836" s="440"/>
      <c r="C1836" s="2532" t="s">
        <v>1538</v>
      </c>
      <c r="D1836" s="2530">
        <f>SUM(D1837+D1841+D1854)</f>
        <v>11310710000</v>
      </c>
      <c r="E1836" s="2672">
        <f>D1836/D1724*100</f>
        <v>9.2146546305576233</v>
      </c>
      <c r="F1836" s="3854"/>
      <c r="G1836" s="3171"/>
      <c r="H1836" s="2672"/>
      <c r="I1836" s="2744"/>
      <c r="J1836" s="3171"/>
      <c r="K1836" s="3171"/>
      <c r="L1836" s="2672"/>
      <c r="M1836" s="2744"/>
      <c r="N1836" s="2768"/>
    </row>
    <row r="1837" spans="1:16" ht="18" hidden="1" customHeight="1" x14ac:dyDescent="0.25">
      <c r="B1837" s="441"/>
      <c r="C1837" s="2525" t="s">
        <v>7093</v>
      </c>
      <c r="D1837" s="2826">
        <f>D1838+D1839</f>
        <v>694600000</v>
      </c>
      <c r="E1837" s="3003">
        <f>D1837/D1724*100</f>
        <v>0.56587951652772683</v>
      </c>
      <c r="F1837" s="3882"/>
      <c r="G1837" s="3172"/>
      <c r="H1837" s="2695"/>
      <c r="I1837" s="899"/>
      <c r="J1837" s="3172"/>
      <c r="K1837" s="3172"/>
      <c r="L1837" s="2725"/>
      <c r="M1837" s="2759"/>
      <c r="N1837" s="2768"/>
    </row>
    <row r="1838" spans="1:16" ht="14.25" hidden="1" customHeight="1" x14ac:dyDescent="0.25">
      <c r="B1838" s="441"/>
      <c r="C1838" s="2473" t="s">
        <v>7094</v>
      </c>
      <c r="D1838" s="896">
        <v>594600000</v>
      </c>
      <c r="E1838" s="2690">
        <f>D1838/D1724*100</f>
        <v>0.48441111506966072</v>
      </c>
      <c r="F1838" s="4428"/>
      <c r="G1838" s="3173"/>
      <c r="H1838" s="2690"/>
      <c r="I1838" s="2709"/>
      <c r="J1838" s="3161"/>
      <c r="K1838" s="3174"/>
      <c r="L1838" s="2804"/>
      <c r="M1838" s="2709"/>
      <c r="N1838" s="2768"/>
    </row>
    <row r="1839" spans="1:16" s="196" customFormat="1" ht="15.75" hidden="1" customHeight="1" x14ac:dyDescent="0.25">
      <c r="A1839" s="12"/>
      <c r="B1839" s="442"/>
      <c r="C1839" s="2473" t="s">
        <v>7095</v>
      </c>
      <c r="D1839" s="2769">
        <v>100000000</v>
      </c>
      <c r="E1839" s="2690">
        <f>D1839/D1724*100</f>
        <v>8.1468401458066053E-2</v>
      </c>
      <c r="F1839" s="4459"/>
      <c r="G1839" s="3173"/>
      <c r="H1839" s="2710"/>
      <c r="I1839" s="2709"/>
      <c r="J1839" s="3170"/>
      <c r="K1839" s="896"/>
      <c r="L1839" s="896"/>
      <c r="M1839" s="896"/>
      <c r="N1839" s="2951"/>
      <c r="P1839" s="631"/>
    </row>
    <row r="1840" spans="1:16" ht="13.5" hidden="1" customHeight="1" x14ac:dyDescent="0.25">
      <c r="B1840" s="441"/>
      <c r="C1840" s="2477"/>
      <c r="D1840" s="2755"/>
      <c r="E1840" s="2710"/>
      <c r="F1840" s="3889"/>
      <c r="G1840" s="3176"/>
      <c r="H1840" s="2710"/>
      <c r="I1840" s="911"/>
      <c r="J1840" s="3175"/>
      <c r="K1840" s="902"/>
      <c r="L1840" s="902"/>
      <c r="M1840" s="902"/>
      <c r="N1840" s="2768"/>
    </row>
    <row r="1841" spans="2:14" ht="15" hidden="1" customHeight="1" x14ac:dyDescent="0.25">
      <c r="B1841" s="441"/>
      <c r="C1841" s="2477" t="s">
        <v>7096</v>
      </c>
      <c r="D1841" s="2692">
        <f>SUM(D1842:D1852)</f>
        <v>6250000000</v>
      </c>
      <c r="E1841" s="2695">
        <f>D1841/D1724*100</f>
        <v>5.0917750911291284</v>
      </c>
      <c r="F1841" s="3834"/>
      <c r="G1841" s="2679"/>
      <c r="H1841" s="2679"/>
      <c r="I1841" s="2679"/>
      <c r="J1841" s="3163"/>
      <c r="K1841" s="2680"/>
      <c r="L1841" s="2725"/>
      <c r="M1841" s="2725"/>
      <c r="N1841" s="2768"/>
    </row>
    <row r="1842" spans="2:14" ht="15" hidden="1" customHeight="1" x14ac:dyDescent="0.25">
      <c r="B1842" s="441"/>
      <c r="C1842" s="2473" t="s">
        <v>7097</v>
      </c>
      <c r="D1842" s="2730">
        <v>2000000000</v>
      </c>
      <c r="E1842" s="2690">
        <f>D1842/D1724*100</f>
        <v>1.6293680291613211</v>
      </c>
      <c r="F1842" s="4384"/>
      <c r="G1842" s="2804"/>
      <c r="H1842" s="2804"/>
      <c r="I1842" s="2804"/>
      <c r="J1842" s="3161"/>
      <c r="K1842" s="2731"/>
      <c r="L1842" s="2804"/>
      <c r="M1842" s="2804"/>
      <c r="N1842" s="2768"/>
    </row>
    <row r="1843" spans="2:14" ht="17.25" hidden="1" customHeight="1" x14ac:dyDescent="0.25">
      <c r="B1843" s="441"/>
      <c r="C1843" s="2479" t="s">
        <v>7098</v>
      </c>
      <c r="D1843" s="2769">
        <v>1500000000</v>
      </c>
      <c r="E1843" s="2690">
        <f>D1843/D1724*100</f>
        <v>1.2220260218709909</v>
      </c>
      <c r="F1843" s="3879"/>
      <c r="G1843" s="3177"/>
      <c r="H1843" s="2760"/>
      <c r="I1843" s="902"/>
      <c r="J1843" s="3175"/>
      <c r="K1843" s="902"/>
      <c r="L1843" s="902"/>
      <c r="M1843" s="902"/>
      <c r="N1843" s="2768"/>
    </row>
    <row r="1844" spans="2:14" ht="14.25" hidden="1" customHeight="1" x14ac:dyDescent="0.25">
      <c r="B1844" s="441"/>
      <c r="C1844" s="2479" t="s">
        <v>7099</v>
      </c>
      <c r="D1844" s="2769">
        <v>1200000000</v>
      </c>
      <c r="E1844" s="2690">
        <f>D1844/D1724*100</f>
        <v>0.97762081749679253</v>
      </c>
      <c r="F1844" s="3879"/>
      <c r="G1844" s="3177"/>
      <c r="H1844" s="2760"/>
      <c r="I1844" s="902"/>
      <c r="J1844" s="3175"/>
      <c r="K1844" s="902"/>
      <c r="L1844" s="902"/>
      <c r="M1844" s="902"/>
      <c r="N1844" s="2768"/>
    </row>
    <row r="1845" spans="2:14" ht="15" hidden="1" customHeight="1" x14ac:dyDescent="0.25">
      <c r="B1845" s="441"/>
      <c r="C1845" s="2479" t="s">
        <v>7100</v>
      </c>
      <c r="D1845" s="896">
        <v>200000000</v>
      </c>
      <c r="E1845" s="2690">
        <f>D1845/D1724*100</f>
        <v>0.16293680291613211</v>
      </c>
      <c r="F1845" s="3879"/>
      <c r="G1845" s="3177"/>
      <c r="H1845" s="2760"/>
      <c r="I1845" s="902"/>
      <c r="J1845" s="3175"/>
      <c r="K1845" s="902"/>
      <c r="L1845" s="902"/>
      <c r="M1845" s="902"/>
      <c r="N1845" s="2768"/>
    </row>
    <row r="1846" spans="2:14" ht="15" hidden="1" customHeight="1" x14ac:dyDescent="0.25">
      <c r="B1846" s="441"/>
      <c r="C1846" s="2479" t="s">
        <v>7101</v>
      </c>
      <c r="D1846" s="896">
        <v>100000000</v>
      </c>
      <c r="E1846" s="2690">
        <f>D1846/D1724*100</f>
        <v>8.1468401458066053E-2</v>
      </c>
      <c r="F1846" s="3879"/>
      <c r="G1846" s="3177"/>
      <c r="H1846" s="2760"/>
      <c r="I1846" s="902"/>
      <c r="J1846" s="3175"/>
      <c r="K1846" s="902"/>
      <c r="L1846" s="902"/>
      <c r="M1846" s="902"/>
      <c r="N1846" s="2768"/>
    </row>
    <row r="1847" spans="2:14" ht="15" hidden="1" customHeight="1" x14ac:dyDescent="0.25">
      <c r="B1847" s="441"/>
      <c r="C1847" s="2479" t="s">
        <v>7102</v>
      </c>
      <c r="D1847" s="896">
        <v>200000000</v>
      </c>
      <c r="E1847" s="2690">
        <f>D1847/D1724*100</f>
        <v>0.16293680291613211</v>
      </c>
      <c r="F1847" s="3879"/>
      <c r="G1847" s="3177"/>
      <c r="H1847" s="2760"/>
      <c r="I1847" s="902"/>
      <c r="J1847" s="3175"/>
      <c r="K1847" s="902"/>
      <c r="L1847" s="902"/>
      <c r="M1847" s="902"/>
      <c r="N1847" s="2768"/>
    </row>
    <row r="1848" spans="2:14" ht="16.5" hidden="1" customHeight="1" x14ac:dyDescent="0.25">
      <c r="B1848" s="441"/>
      <c r="C1848" s="2479" t="s">
        <v>7103</v>
      </c>
      <c r="D1848" s="896">
        <v>200000000</v>
      </c>
      <c r="E1848" s="2690">
        <f>D1848/D1724*100</f>
        <v>0.16293680291613211</v>
      </c>
      <c r="F1848" s="3879"/>
      <c r="G1848" s="3177"/>
      <c r="H1848" s="2760"/>
      <c r="I1848" s="902"/>
      <c r="J1848" s="3175"/>
      <c r="K1848" s="902"/>
      <c r="L1848" s="902"/>
      <c r="M1848" s="902"/>
      <c r="N1848" s="2768"/>
    </row>
    <row r="1849" spans="2:14" ht="16.5" hidden="1" customHeight="1" x14ac:dyDescent="0.25">
      <c r="B1849" s="441"/>
      <c r="C1849" s="2479" t="s">
        <v>7104</v>
      </c>
      <c r="D1849" s="896">
        <v>200000000</v>
      </c>
      <c r="E1849" s="2690">
        <f>D1849/D1724*100</f>
        <v>0.16293680291613211</v>
      </c>
      <c r="F1849" s="3879"/>
      <c r="G1849" s="3177"/>
      <c r="H1849" s="2760"/>
      <c r="I1849" s="902"/>
      <c r="J1849" s="3175"/>
      <c r="K1849" s="902"/>
      <c r="L1849" s="902"/>
      <c r="M1849" s="902"/>
      <c r="N1849" s="2768"/>
    </row>
    <row r="1850" spans="2:14" ht="15" hidden="1" customHeight="1" x14ac:dyDescent="0.25">
      <c r="B1850" s="441"/>
      <c r="C1850" s="2479" t="s">
        <v>7105</v>
      </c>
      <c r="D1850" s="896">
        <v>100000000</v>
      </c>
      <c r="E1850" s="2690">
        <f>D1850/D1724*100</f>
        <v>8.1468401458066053E-2</v>
      </c>
      <c r="F1850" s="3879"/>
      <c r="G1850" s="3177"/>
      <c r="H1850" s="2760"/>
      <c r="I1850" s="902"/>
      <c r="J1850" s="3175"/>
      <c r="K1850" s="902"/>
      <c r="L1850" s="902"/>
      <c r="M1850" s="902"/>
      <c r="N1850" s="2768"/>
    </row>
    <row r="1851" spans="2:14" ht="15.75" hidden="1" customHeight="1" x14ac:dyDescent="0.25">
      <c r="B1851" s="441"/>
      <c r="C1851" s="2479" t="s">
        <v>7106</v>
      </c>
      <c r="D1851" s="896">
        <v>500000000</v>
      </c>
      <c r="E1851" s="2690">
        <f>D1851/D1724*100</f>
        <v>0.40734200729033027</v>
      </c>
      <c r="F1851" s="3879"/>
      <c r="G1851" s="3177"/>
      <c r="H1851" s="2760"/>
      <c r="I1851" s="902"/>
      <c r="J1851" s="3175"/>
      <c r="K1851" s="902"/>
      <c r="L1851" s="902"/>
      <c r="M1851" s="902"/>
      <c r="N1851" s="2768"/>
    </row>
    <row r="1852" spans="2:14" ht="18" hidden="1" customHeight="1" x14ac:dyDescent="0.25">
      <c r="B1852" s="441"/>
      <c r="C1852" s="2479" t="s">
        <v>7107</v>
      </c>
      <c r="D1852" s="896">
        <v>50000000</v>
      </c>
      <c r="E1852" s="2690">
        <f>D1852/D1724*100</f>
        <v>4.0734200729033027E-2</v>
      </c>
      <c r="F1852" s="3879"/>
      <c r="G1852" s="3177"/>
      <c r="H1852" s="2760"/>
      <c r="I1852" s="902"/>
      <c r="J1852" s="3175"/>
      <c r="K1852" s="902"/>
      <c r="L1852" s="902"/>
      <c r="M1852" s="902"/>
      <c r="N1852" s="2768"/>
    </row>
    <row r="1853" spans="2:14" ht="11.25" hidden="1" customHeight="1" x14ac:dyDescent="0.25">
      <c r="B1853" s="441"/>
      <c r="C1853" s="2479"/>
      <c r="D1853" s="2769"/>
      <c r="E1853" s="2760"/>
      <c r="F1853" s="3889"/>
      <c r="G1853" s="3177"/>
      <c r="H1853" s="2760"/>
      <c r="I1853" s="902"/>
      <c r="J1853" s="3175"/>
      <c r="K1853" s="902"/>
      <c r="L1853" s="902"/>
      <c r="M1853" s="902"/>
      <c r="N1853" s="2768"/>
    </row>
    <row r="1854" spans="2:14" ht="17.25" hidden="1" customHeight="1" x14ac:dyDescent="0.25">
      <c r="B1854" s="441"/>
      <c r="C1854" s="2525" t="s">
        <v>1542</v>
      </c>
      <c r="D1854" s="899">
        <f>SUM(D1855:D1862)</f>
        <v>4366110000</v>
      </c>
      <c r="E1854" s="2695">
        <f>D1854/D1724*100</f>
        <v>3.5570000229007679</v>
      </c>
      <c r="F1854" s="3879"/>
      <c r="G1854" s="3163"/>
      <c r="H1854" s="2695"/>
      <c r="I1854" s="2679"/>
      <c r="J1854" s="3163"/>
      <c r="K1854" s="3163"/>
      <c r="L1854" s="2725"/>
      <c r="M1854" s="2679"/>
      <c r="N1854" s="2768"/>
    </row>
    <row r="1855" spans="2:14" ht="16.5" hidden="1" customHeight="1" x14ac:dyDescent="0.25">
      <c r="B1855" s="441"/>
      <c r="C1855" s="2475" t="s">
        <v>7108</v>
      </c>
      <c r="D1855" s="2769">
        <v>2860860000</v>
      </c>
      <c r="E1855" s="2710">
        <f>D1855/D1724*100</f>
        <v>2.3306969099532284</v>
      </c>
      <c r="F1855" s="4460"/>
      <c r="G1855" s="2709"/>
      <c r="H1855" s="2710"/>
      <c r="I1855" s="2709"/>
      <c r="J1855" s="3170"/>
      <c r="K1855" s="896"/>
      <c r="L1855" s="2804"/>
      <c r="M1855" s="896"/>
      <c r="N1855" s="2768"/>
    </row>
    <row r="1856" spans="2:14" ht="27.75" hidden="1" customHeight="1" x14ac:dyDescent="0.25">
      <c r="B1856" s="441"/>
      <c r="C1856" s="2473" t="s">
        <v>7110</v>
      </c>
      <c r="D1856" s="896">
        <v>98250000</v>
      </c>
      <c r="E1856" s="2710">
        <f>D1856/D1724*100</f>
        <v>8.0042704432549891E-2</v>
      </c>
      <c r="F1856" s="4428"/>
      <c r="G1856" s="896"/>
      <c r="H1856" s="2690"/>
      <c r="I1856" s="896"/>
      <c r="J1856" s="3161"/>
      <c r="K1856" s="2709"/>
      <c r="L1856" s="2830"/>
      <c r="M1856" s="2709"/>
      <c r="N1856" s="2768"/>
    </row>
    <row r="1857" spans="1:16" ht="18" hidden="1" customHeight="1" x14ac:dyDescent="0.25">
      <c r="B1857" s="441"/>
      <c r="C1857" s="2473" t="s">
        <v>7109</v>
      </c>
      <c r="D1857" s="896">
        <v>200000000</v>
      </c>
      <c r="E1857" s="2710">
        <f>D1857/D1724*100</f>
        <v>0.16293680291613211</v>
      </c>
      <c r="F1857" s="4428"/>
      <c r="G1857" s="896"/>
      <c r="H1857" s="2690"/>
      <c r="I1857" s="896"/>
      <c r="J1857" s="3161"/>
      <c r="K1857" s="2709"/>
      <c r="L1857" s="2830"/>
      <c r="M1857" s="2709"/>
      <c r="N1857" s="2768"/>
    </row>
    <row r="1858" spans="1:16" ht="18.75" hidden="1" customHeight="1" x14ac:dyDescent="0.25">
      <c r="B1858" s="441"/>
      <c r="C1858" s="2473" t="s">
        <v>7111</v>
      </c>
      <c r="D1858" s="896">
        <v>163000000</v>
      </c>
      <c r="E1858" s="2710">
        <f>D1858/D1724*100</f>
        <v>0.13279349437664767</v>
      </c>
      <c r="F1858" s="4428"/>
      <c r="G1858" s="896"/>
      <c r="H1858" s="2690"/>
      <c r="I1858" s="896"/>
      <c r="J1858" s="3161"/>
      <c r="K1858" s="2709"/>
      <c r="L1858" s="2830"/>
      <c r="M1858" s="2709"/>
      <c r="N1858" s="2768"/>
    </row>
    <row r="1859" spans="1:16" ht="18" hidden="1" customHeight="1" x14ac:dyDescent="0.25">
      <c r="B1859" s="441"/>
      <c r="C1859" s="2473" t="s">
        <v>7112</v>
      </c>
      <c r="D1859" s="896">
        <v>644000000</v>
      </c>
      <c r="E1859" s="2710">
        <f>D1859/D1724*100</f>
        <v>0.52465650538994535</v>
      </c>
      <c r="F1859" s="4428"/>
      <c r="G1859" s="896"/>
      <c r="H1859" s="2690"/>
      <c r="I1859" s="896"/>
      <c r="J1859" s="3161"/>
      <c r="K1859" s="2709"/>
      <c r="L1859" s="2830"/>
      <c r="M1859" s="2709"/>
      <c r="N1859" s="2768"/>
    </row>
    <row r="1860" spans="1:16" ht="18" hidden="1" customHeight="1" x14ac:dyDescent="0.25">
      <c r="B1860" s="441"/>
      <c r="C1860" s="2473" t="s">
        <v>7113</v>
      </c>
      <c r="D1860" s="896">
        <v>200000000</v>
      </c>
      <c r="E1860" s="2710">
        <f>D1860/D1724*100</f>
        <v>0.16293680291613211</v>
      </c>
      <c r="F1860" s="4428"/>
      <c r="G1860" s="896"/>
      <c r="H1860" s="2690"/>
      <c r="I1860" s="896"/>
      <c r="J1860" s="3161"/>
      <c r="K1860" s="2709"/>
      <c r="L1860" s="2830"/>
      <c r="M1860" s="2709"/>
      <c r="N1860" s="2768"/>
    </row>
    <row r="1861" spans="1:16" ht="18" hidden="1" customHeight="1" x14ac:dyDescent="0.25">
      <c r="B1861" s="441"/>
      <c r="C1861" s="2473" t="s">
        <v>7114</v>
      </c>
      <c r="D1861" s="896">
        <v>100000000</v>
      </c>
      <c r="E1861" s="2710">
        <f>D1861/D1724*100</f>
        <v>8.1468401458066053E-2</v>
      </c>
      <c r="F1861" s="4428"/>
      <c r="G1861" s="896"/>
      <c r="H1861" s="2690"/>
      <c r="I1861" s="896"/>
      <c r="J1861" s="3161"/>
      <c r="K1861" s="2709"/>
      <c r="L1861" s="2830"/>
      <c r="M1861" s="2709"/>
      <c r="N1861" s="2768"/>
    </row>
    <row r="1862" spans="1:16" ht="18" hidden="1" customHeight="1" x14ac:dyDescent="0.25">
      <c r="B1862" s="441"/>
      <c r="C1862" s="2473" t="s">
        <v>7115</v>
      </c>
      <c r="D1862" s="896">
        <v>100000000</v>
      </c>
      <c r="E1862" s="2710">
        <f>D1862/D1724*100</f>
        <v>8.1468401458066053E-2</v>
      </c>
      <c r="F1862" s="4428"/>
      <c r="G1862" s="896"/>
      <c r="H1862" s="2690"/>
      <c r="I1862" s="896"/>
      <c r="J1862" s="3161"/>
      <c r="K1862" s="2709"/>
      <c r="L1862" s="2830"/>
      <c r="M1862" s="2709"/>
      <c r="N1862" s="2768"/>
    </row>
    <row r="1863" spans="1:16" ht="15.75" hidden="1" customHeight="1" x14ac:dyDescent="0.25">
      <c r="B1863" s="441"/>
      <c r="C1863" s="2477"/>
      <c r="D1863" s="2709"/>
      <c r="E1863" s="2690"/>
      <c r="F1863" s="4430"/>
      <c r="G1863" s="911"/>
      <c r="H1863" s="2778"/>
      <c r="I1863" s="911"/>
      <c r="J1863" s="911"/>
      <c r="K1863" s="911"/>
      <c r="L1863" s="911"/>
      <c r="M1863" s="911"/>
      <c r="N1863" s="2768"/>
    </row>
    <row r="1864" spans="1:16" ht="17.25" hidden="1" customHeight="1" x14ac:dyDescent="0.25">
      <c r="B1864" s="440"/>
      <c r="C1864" s="2532" t="s">
        <v>1550</v>
      </c>
      <c r="D1864" s="2744">
        <f>SUM(D1865+D1871+D1868+D1876+D1910)</f>
        <v>32294250000</v>
      </c>
      <c r="E1864" s="2672">
        <f>D1864/D1724*100</f>
        <v>26.309609237871495</v>
      </c>
      <c r="F1864" s="3850"/>
      <c r="G1864" s="2886"/>
      <c r="H1864" s="2672"/>
      <c r="I1864" s="2744"/>
      <c r="J1864" s="2887"/>
      <c r="K1864" s="2887"/>
      <c r="L1864" s="2672"/>
      <c r="M1864" s="2744"/>
      <c r="N1864" s="2768"/>
    </row>
    <row r="1865" spans="1:16" ht="16.5" hidden="1" customHeight="1" x14ac:dyDescent="0.25">
      <c r="B1865" s="441"/>
      <c r="C1865" s="2536" t="s">
        <v>7116</v>
      </c>
      <c r="D1865" s="2826">
        <f>D1866</f>
        <v>398250000</v>
      </c>
      <c r="E1865" s="2734">
        <f>D1865/D1724*100</f>
        <v>0.32444790880674806</v>
      </c>
      <c r="F1865" s="3883"/>
      <c r="G1865" s="3168"/>
      <c r="H1865" s="2695"/>
      <c r="I1865" s="2722"/>
      <c r="J1865" s="3168"/>
      <c r="K1865" s="3168"/>
      <c r="L1865" s="2725"/>
      <c r="M1865" s="2759"/>
      <c r="N1865" s="2768"/>
    </row>
    <row r="1866" spans="1:16" ht="15.75" hidden="1" customHeight="1" x14ac:dyDescent="0.25">
      <c r="B1866" s="441"/>
      <c r="C1866" s="2475" t="s">
        <v>7117</v>
      </c>
      <c r="D1866" s="896">
        <v>398250000</v>
      </c>
      <c r="E1866" s="2690">
        <f>D1866/D1724*100</f>
        <v>0.32444790880674806</v>
      </c>
      <c r="F1866" s="4428"/>
      <c r="G1866" s="2804"/>
      <c r="H1866" s="2690"/>
      <c r="I1866" s="2830"/>
      <c r="J1866" s="3161"/>
      <c r="K1866" s="2731"/>
      <c r="L1866" s="2804"/>
      <c r="M1866" s="2830"/>
      <c r="N1866" s="2768"/>
    </row>
    <row r="1867" spans="1:16" ht="8.25" hidden="1" customHeight="1" x14ac:dyDescent="0.25">
      <c r="B1867" s="441"/>
      <c r="C1867" s="2474"/>
      <c r="D1867" s="896"/>
      <c r="E1867" s="3035"/>
      <c r="F1867" s="3868"/>
      <c r="G1867" s="898"/>
      <c r="H1867" s="2695"/>
      <c r="I1867" s="898"/>
      <c r="J1867" s="2920"/>
      <c r="K1867" s="898"/>
      <c r="L1867" s="898"/>
      <c r="M1867" s="898"/>
      <c r="N1867" s="2768"/>
    </row>
    <row r="1868" spans="1:16" ht="14.25" hidden="1" customHeight="1" x14ac:dyDescent="0.25">
      <c r="B1868" s="441"/>
      <c r="C1868" s="2525" t="s">
        <v>7118</v>
      </c>
      <c r="D1868" s="899">
        <f>D1869</f>
        <v>300000000</v>
      </c>
      <c r="E1868" s="2695">
        <f>D1868/D1724*100</f>
        <v>0.24440520437419813</v>
      </c>
      <c r="F1868" s="3879"/>
      <c r="G1868" s="3163"/>
      <c r="H1868" s="2695"/>
      <c r="I1868" s="899"/>
      <c r="J1868" s="3163"/>
      <c r="K1868" s="3163"/>
      <c r="L1868" s="2725"/>
      <c r="M1868" s="899"/>
      <c r="N1868" s="2768"/>
    </row>
    <row r="1869" spans="1:16" ht="15.75" hidden="1" customHeight="1" x14ac:dyDescent="0.25">
      <c r="B1869" s="441"/>
      <c r="C1869" s="2524" t="s">
        <v>7119</v>
      </c>
      <c r="D1869" s="896">
        <v>300000000</v>
      </c>
      <c r="E1869" s="2690">
        <f>D1869/D1724*100</f>
        <v>0.24440520437419813</v>
      </c>
      <c r="F1869" s="4458"/>
      <c r="G1869" s="896"/>
      <c r="H1869" s="2690"/>
      <c r="I1869" s="896"/>
      <c r="J1869" s="2731"/>
      <c r="K1869" s="2731"/>
      <c r="L1869" s="2804"/>
      <c r="M1869" s="2804"/>
      <c r="N1869" s="2768"/>
    </row>
    <row r="1870" spans="1:16" s="225" customFormat="1" ht="8.25" hidden="1" customHeight="1" x14ac:dyDescent="0.25">
      <c r="A1870" s="17"/>
      <c r="B1870" s="449"/>
      <c r="C1870" s="2473"/>
      <c r="D1870" s="896"/>
      <c r="E1870" s="2695"/>
      <c r="F1870" s="4458"/>
      <c r="G1870" s="896"/>
      <c r="H1870" s="2690"/>
      <c r="I1870" s="896"/>
      <c r="J1870" s="3161"/>
      <c r="K1870" s="896"/>
      <c r="L1870" s="896"/>
      <c r="M1870" s="896"/>
      <c r="N1870" s="2768"/>
      <c r="P1870" s="654"/>
    </row>
    <row r="1871" spans="1:16" ht="17.25" hidden="1" customHeight="1" x14ac:dyDescent="0.25">
      <c r="B1871" s="441"/>
      <c r="C1871" s="2521" t="s">
        <v>7120</v>
      </c>
      <c r="D1871" s="2759">
        <f>SUM(D1872:D1874)</f>
        <v>2000000000</v>
      </c>
      <c r="E1871" s="2734">
        <f>D1871/D1724*100</f>
        <v>1.6293680291613211</v>
      </c>
      <c r="F1871" s="3884"/>
      <c r="G1871" s="3178"/>
      <c r="H1871" s="2734"/>
      <c r="I1871" s="2759"/>
      <c r="J1871" s="3178"/>
      <c r="K1871" s="3178"/>
      <c r="L1871" s="2725"/>
      <c r="M1871" s="2725"/>
      <c r="N1871" s="2877"/>
    </row>
    <row r="1872" spans="1:16" ht="18" hidden="1" customHeight="1" x14ac:dyDescent="0.25">
      <c r="B1872" s="441"/>
      <c r="C1872" s="2473" t="s">
        <v>7121</v>
      </c>
      <c r="D1872" s="896">
        <v>2000000000</v>
      </c>
      <c r="E1872" s="2690">
        <f>D1872/D1724*100</f>
        <v>1.6293680291613211</v>
      </c>
      <c r="F1872" s="4428"/>
      <c r="G1872" s="896"/>
      <c r="H1872" s="2690"/>
      <c r="I1872" s="896"/>
      <c r="J1872" s="3161"/>
      <c r="K1872" s="2731"/>
      <c r="L1872" s="2804"/>
      <c r="M1872" s="2804"/>
      <c r="N1872" s="2768"/>
    </row>
    <row r="1873" spans="2:14" ht="18" hidden="1" customHeight="1" x14ac:dyDescent="0.25">
      <c r="B1873" s="441"/>
      <c r="C1873" s="2473" t="s">
        <v>7122</v>
      </c>
      <c r="D1873" s="896">
        <v>0</v>
      </c>
      <c r="E1873" s="2690">
        <f>D1873/D1724*100</f>
        <v>0</v>
      </c>
      <c r="F1873" s="4428"/>
      <c r="G1873" s="896"/>
      <c r="H1873" s="2690"/>
      <c r="I1873" s="896"/>
      <c r="J1873" s="3161"/>
      <c r="K1873" s="2731"/>
      <c r="L1873" s="2804"/>
      <c r="M1873" s="2804"/>
      <c r="N1873" s="2768"/>
    </row>
    <row r="1874" spans="2:14" ht="18" hidden="1" customHeight="1" x14ac:dyDescent="0.25">
      <c r="B1874" s="441"/>
      <c r="C1874" s="2473" t="s">
        <v>7123</v>
      </c>
      <c r="D1874" s="896">
        <v>0</v>
      </c>
      <c r="E1874" s="2690">
        <f>D1874/D1724*100</f>
        <v>0</v>
      </c>
      <c r="F1874" s="4428"/>
      <c r="G1874" s="896"/>
      <c r="H1874" s="2690"/>
      <c r="I1874" s="896"/>
      <c r="J1874" s="3161"/>
      <c r="K1874" s="2731"/>
      <c r="L1874" s="2804"/>
      <c r="M1874" s="2804"/>
      <c r="N1874" s="2768"/>
    </row>
    <row r="1875" spans="2:14" ht="10.5" hidden="1" customHeight="1" x14ac:dyDescent="0.25">
      <c r="B1875" s="441"/>
      <c r="C1875" s="2538"/>
      <c r="D1875" s="2812"/>
      <c r="E1875" s="2690"/>
      <c r="F1875" s="3885"/>
      <c r="G1875" s="898"/>
      <c r="H1875" s="3035"/>
      <c r="I1875" s="898"/>
      <c r="J1875" s="3179"/>
      <c r="K1875" s="898"/>
      <c r="L1875" s="896"/>
      <c r="M1875" s="898"/>
      <c r="N1875" s="2768"/>
    </row>
    <row r="1876" spans="2:14" ht="18" hidden="1" customHeight="1" x14ac:dyDescent="0.25">
      <c r="B1876" s="441"/>
      <c r="C1876" s="2525" t="s">
        <v>7124</v>
      </c>
      <c r="D1876" s="899">
        <f>SUM(D1877:D1908)</f>
        <v>29196000000</v>
      </c>
      <c r="E1876" s="2695">
        <f>D1876/D1724*100</f>
        <v>23.785514489696961</v>
      </c>
      <c r="F1876" s="3861"/>
      <c r="G1876" s="3180"/>
      <c r="H1876" s="2695"/>
      <c r="I1876" s="899"/>
      <c r="J1876" s="3180"/>
      <c r="K1876" s="3180"/>
      <c r="L1876" s="2725"/>
      <c r="M1876" s="899"/>
      <c r="N1876" s="2768"/>
    </row>
    <row r="1877" spans="2:14" ht="18" hidden="1" customHeight="1" x14ac:dyDescent="0.25">
      <c r="B1877" s="441"/>
      <c r="C1877" s="2475" t="s">
        <v>7125</v>
      </c>
      <c r="D1877" s="2769">
        <v>300000000</v>
      </c>
      <c r="E1877" s="2710">
        <f>D1877/D1724*100</f>
        <v>0.24440520437419813</v>
      </c>
      <c r="F1877" s="4460"/>
      <c r="G1877" s="2902"/>
      <c r="H1877" s="2710"/>
      <c r="I1877" s="2709"/>
      <c r="J1877" s="3170"/>
      <c r="K1877" s="2903"/>
      <c r="L1877" s="2830"/>
      <c r="M1877" s="2709"/>
      <c r="N1877" s="2743"/>
    </row>
    <row r="1878" spans="2:14" ht="18" hidden="1" customHeight="1" x14ac:dyDescent="0.25">
      <c r="B1878" s="441"/>
      <c r="C1878" s="2473" t="s">
        <v>7126</v>
      </c>
      <c r="D1878" s="896">
        <v>500000000</v>
      </c>
      <c r="E1878" s="2710">
        <f>D1878/D1724*100</f>
        <v>0.40734200729033027</v>
      </c>
      <c r="F1878" s="4428"/>
      <c r="G1878" s="2919"/>
      <c r="H1878" s="2690"/>
      <c r="I1878" s="896"/>
      <c r="J1878" s="3161"/>
      <c r="K1878" s="2920"/>
      <c r="L1878" s="2685"/>
      <c r="M1878" s="896"/>
      <c r="N1878" s="2768"/>
    </row>
    <row r="1879" spans="2:14" ht="18" hidden="1" customHeight="1" x14ac:dyDescent="0.25">
      <c r="B1879" s="441"/>
      <c r="C1879" s="2473" t="s">
        <v>7127</v>
      </c>
      <c r="D1879" s="896">
        <v>500000000</v>
      </c>
      <c r="E1879" s="2710">
        <f>D1879/D1724*100</f>
        <v>0.40734200729033027</v>
      </c>
      <c r="F1879" s="4428"/>
      <c r="G1879" s="2919"/>
      <c r="H1879" s="2690"/>
      <c r="I1879" s="896"/>
      <c r="J1879" s="3161"/>
      <c r="K1879" s="2920"/>
      <c r="L1879" s="2685"/>
      <c r="M1879" s="896"/>
      <c r="N1879" s="2768"/>
    </row>
    <row r="1880" spans="2:14" ht="18" hidden="1" customHeight="1" x14ac:dyDescent="0.25">
      <c r="B1880" s="441"/>
      <c r="C1880" s="2473" t="s">
        <v>7128</v>
      </c>
      <c r="D1880" s="896">
        <v>2000000000</v>
      </c>
      <c r="E1880" s="2710">
        <f>D1880/D1724*100</f>
        <v>1.6293680291613211</v>
      </c>
      <c r="F1880" s="4428"/>
      <c r="G1880" s="2919"/>
      <c r="H1880" s="2690"/>
      <c r="I1880" s="896"/>
      <c r="J1880" s="3161"/>
      <c r="K1880" s="2920"/>
      <c r="L1880" s="2685"/>
      <c r="M1880" s="896"/>
      <c r="N1880" s="2768"/>
    </row>
    <row r="1881" spans="2:14" ht="18" hidden="1" customHeight="1" x14ac:dyDescent="0.25">
      <c r="B1881" s="441"/>
      <c r="C1881" s="2473" t="s">
        <v>7129</v>
      </c>
      <c r="D1881" s="896">
        <v>400000000</v>
      </c>
      <c r="E1881" s="2710">
        <f>D1881/D1724*100</f>
        <v>0.32587360583226421</v>
      </c>
      <c r="F1881" s="4428"/>
      <c r="G1881" s="2919"/>
      <c r="H1881" s="2690"/>
      <c r="I1881" s="896"/>
      <c r="J1881" s="3161"/>
      <c r="K1881" s="2920"/>
      <c r="L1881" s="2685"/>
      <c r="M1881" s="896"/>
      <c r="N1881" s="2768"/>
    </row>
    <row r="1882" spans="2:14" ht="18" hidden="1" customHeight="1" x14ac:dyDescent="0.25">
      <c r="B1882" s="441"/>
      <c r="C1882" s="2473" t="s">
        <v>7130</v>
      </c>
      <c r="D1882" s="896">
        <v>2000000000</v>
      </c>
      <c r="E1882" s="2710">
        <f>D1882/D1724*100</f>
        <v>1.6293680291613211</v>
      </c>
      <c r="F1882" s="4428"/>
      <c r="G1882" s="2919"/>
      <c r="H1882" s="2690"/>
      <c r="I1882" s="896"/>
      <c r="J1882" s="3161"/>
      <c r="K1882" s="2920"/>
      <c r="L1882" s="2685"/>
      <c r="M1882" s="896"/>
      <c r="N1882" s="2768"/>
    </row>
    <row r="1883" spans="2:14" ht="18" hidden="1" customHeight="1" x14ac:dyDescent="0.25">
      <c r="B1883" s="441"/>
      <c r="C1883" s="2473" t="s">
        <v>7131</v>
      </c>
      <c r="D1883" s="896">
        <v>500000000</v>
      </c>
      <c r="E1883" s="2710">
        <f>D1883/D1724*100</f>
        <v>0.40734200729033027</v>
      </c>
      <c r="F1883" s="4428"/>
      <c r="G1883" s="2919"/>
      <c r="H1883" s="2690"/>
      <c r="I1883" s="896"/>
      <c r="J1883" s="3161"/>
      <c r="K1883" s="2920"/>
      <c r="L1883" s="2685"/>
      <c r="M1883" s="896"/>
      <c r="N1883" s="2768"/>
    </row>
    <row r="1884" spans="2:14" ht="18" hidden="1" customHeight="1" x14ac:dyDescent="0.25">
      <c r="B1884" s="441"/>
      <c r="C1884" s="2473" t="s">
        <v>7132</v>
      </c>
      <c r="D1884" s="896">
        <v>1000000000</v>
      </c>
      <c r="E1884" s="2710">
        <f>D1884/D1724*100</f>
        <v>0.81468401458066053</v>
      </c>
      <c r="F1884" s="4428"/>
      <c r="G1884" s="2919"/>
      <c r="H1884" s="2690"/>
      <c r="I1884" s="896"/>
      <c r="J1884" s="3161"/>
      <c r="K1884" s="2920"/>
      <c r="L1884" s="2685"/>
      <c r="M1884" s="896"/>
      <c r="N1884" s="2768"/>
    </row>
    <row r="1885" spans="2:14" ht="18" hidden="1" customHeight="1" x14ac:dyDescent="0.25">
      <c r="B1885" s="441"/>
      <c r="C1885" s="2473" t="s">
        <v>7133</v>
      </c>
      <c r="D1885" s="896">
        <v>1000000000</v>
      </c>
      <c r="E1885" s="2710">
        <f>D1885/D1724*100</f>
        <v>0.81468401458066053</v>
      </c>
      <c r="F1885" s="4428"/>
      <c r="G1885" s="2919"/>
      <c r="H1885" s="2690"/>
      <c r="I1885" s="896"/>
      <c r="J1885" s="3161"/>
      <c r="K1885" s="2920"/>
      <c r="L1885" s="2685"/>
      <c r="M1885" s="896"/>
      <c r="N1885" s="2768"/>
    </row>
    <row r="1886" spans="2:14" ht="18" hidden="1" customHeight="1" x14ac:dyDescent="0.25">
      <c r="B1886" s="441"/>
      <c r="C1886" s="2473" t="s">
        <v>7134</v>
      </c>
      <c r="D1886" s="896">
        <v>500000000</v>
      </c>
      <c r="E1886" s="2710">
        <f>D1886/D1724*100</f>
        <v>0.40734200729033027</v>
      </c>
      <c r="F1886" s="4428"/>
      <c r="G1886" s="2919"/>
      <c r="H1886" s="2690"/>
      <c r="I1886" s="896"/>
      <c r="J1886" s="3161"/>
      <c r="K1886" s="2920"/>
      <c r="L1886" s="2685"/>
      <c r="M1886" s="896"/>
      <c r="N1886" s="2768"/>
    </row>
    <row r="1887" spans="2:14" ht="18" hidden="1" customHeight="1" x14ac:dyDescent="0.25">
      <c r="B1887" s="441"/>
      <c r="C1887" s="2473" t="s">
        <v>7135</v>
      </c>
      <c r="D1887" s="896">
        <v>750000000</v>
      </c>
      <c r="E1887" s="2710">
        <f>D1887/D1724*100</f>
        <v>0.61101301093549543</v>
      </c>
      <c r="F1887" s="4428"/>
      <c r="G1887" s="2919"/>
      <c r="H1887" s="2690"/>
      <c r="I1887" s="896"/>
      <c r="J1887" s="3161"/>
      <c r="K1887" s="2920"/>
      <c r="L1887" s="2685"/>
      <c r="M1887" s="896"/>
      <c r="N1887" s="2768"/>
    </row>
    <row r="1888" spans="2:14" ht="18" hidden="1" customHeight="1" x14ac:dyDescent="0.25">
      <c r="B1888" s="441"/>
      <c r="C1888" s="2473" t="s">
        <v>7136</v>
      </c>
      <c r="D1888" s="896">
        <v>750000000</v>
      </c>
      <c r="E1888" s="2710">
        <f>D1888/D1724*100</f>
        <v>0.61101301093549543</v>
      </c>
      <c r="F1888" s="4428"/>
      <c r="G1888" s="2919"/>
      <c r="H1888" s="2690"/>
      <c r="I1888" s="896"/>
      <c r="J1888" s="3161"/>
      <c r="K1888" s="2920"/>
      <c r="L1888" s="2685"/>
      <c r="M1888" s="896"/>
      <c r="N1888" s="2768"/>
    </row>
    <row r="1889" spans="2:14" ht="18" hidden="1" customHeight="1" x14ac:dyDescent="0.25">
      <c r="B1889" s="441"/>
      <c r="C1889" s="2473" t="s">
        <v>7137</v>
      </c>
      <c r="D1889" s="896">
        <v>1000000000</v>
      </c>
      <c r="E1889" s="2710">
        <f>D1889/D1724*100</f>
        <v>0.81468401458066053</v>
      </c>
      <c r="F1889" s="4428"/>
      <c r="G1889" s="2919"/>
      <c r="H1889" s="2690"/>
      <c r="I1889" s="896"/>
      <c r="J1889" s="3161"/>
      <c r="K1889" s="2920"/>
      <c r="L1889" s="2685"/>
      <c r="M1889" s="896"/>
      <c r="N1889" s="2768"/>
    </row>
    <row r="1890" spans="2:14" ht="18" hidden="1" customHeight="1" x14ac:dyDescent="0.25">
      <c r="B1890" s="441"/>
      <c r="C1890" s="2473" t="s">
        <v>7138</v>
      </c>
      <c r="D1890" s="896">
        <v>1000000000</v>
      </c>
      <c r="E1890" s="2710">
        <f>D1890/D1724*100</f>
        <v>0.81468401458066053</v>
      </c>
      <c r="F1890" s="4428"/>
      <c r="G1890" s="2919"/>
      <c r="H1890" s="2690"/>
      <c r="I1890" s="896"/>
      <c r="J1890" s="3161"/>
      <c r="K1890" s="2920"/>
      <c r="L1890" s="2685"/>
      <c r="M1890" s="896"/>
      <c r="N1890" s="2768"/>
    </row>
    <row r="1891" spans="2:14" ht="18" hidden="1" customHeight="1" x14ac:dyDescent="0.25">
      <c r="B1891" s="441"/>
      <c r="C1891" s="2473" t="s">
        <v>7139</v>
      </c>
      <c r="D1891" s="896">
        <v>1000000000</v>
      </c>
      <c r="E1891" s="2710">
        <f>D1891/D1724*100</f>
        <v>0.81468401458066053</v>
      </c>
      <c r="F1891" s="4428"/>
      <c r="G1891" s="2919"/>
      <c r="H1891" s="2690"/>
      <c r="I1891" s="896"/>
      <c r="J1891" s="3161"/>
      <c r="K1891" s="2920"/>
      <c r="L1891" s="2685"/>
      <c r="M1891" s="896"/>
      <c r="N1891" s="2768"/>
    </row>
    <row r="1892" spans="2:14" ht="18" hidden="1" customHeight="1" x14ac:dyDescent="0.25">
      <c r="B1892" s="441"/>
      <c r="C1892" s="2473" t="s">
        <v>7140</v>
      </c>
      <c r="D1892" s="896">
        <v>1500000000</v>
      </c>
      <c r="E1892" s="2710">
        <f>D1892/D1724*100</f>
        <v>1.2220260218709909</v>
      </c>
      <c r="F1892" s="4428"/>
      <c r="G1892" s="2919"/>
      <c r="H1892" s="2690"/>
      <c r="I1892" s="896"/>
      <c r="J1892" s="3161"/>
      <c r="K1892" s="2920"/>
      <c r="L1892" s="2685"/>
      <c r="M1892" s="896"/>
      <c r="N1892" s="2768"/>
    </row>
    <row r="1893" spans="2:14" ht="18" hidden="1" customHeight="1" x14ac:dyDescent="0.25">
      <c r="B1893" s="441"/>
      <c r="C1893" s="2473" t="s">
        <v>7141</v>
      </c>
      <c r="D1893" s="896">
        <v>1000000000</v>
      </c>
      <c r="E1893" s="2710">
        <f>D1893/D1724*100</f>
        <v>0.81468401458066053</v>
      </c>
      <c r="F1893" s="4428"/>
      <c r="G1893" s="2919"/>
      <c r="H1893" s="2690"/>
      <c r="I1893" s="896"/>
      <c r="J1893" s="3161"/>
      <c r="K1893" s="2920"/>
      <c r="L1893" s="2685"/>
      <c r="M1893" s="896"/>
      <c r="N1893" s="2768"/>
    </row>
    <row r="1894" spans="2:14" ht="18" hidden="1" customHeight="1" x14ac:dyDescent="0.25">
      <c r="B1894" s="441"/>
      <c r="C1894" s="2473" t="s">
        <v>7142</v>
      </c>
      <c r="D1894" s="896">
        <v>1000000000</v>
      </c>
      <c r="E1894" s="2710">
        <f>D1894/D1724*100</f>
        <v>0.81468401458066053</v>
      </c>
      <c r="F1894" s="4428"/>
      <c r="G1894" s="2919"/>
      <c r="H1894" s="2690"/>
      <c r="I1894" s="896"/>
      <c r="J1894" s="3161"/>
      <c r="K1894" s="2920"/>
      <c r="L1894" s="2685"/>
      <c r="M1894" s="896"/>
      <c r="N1894" s="2768"/>
    </row>
    <row r="1895" spans="2:14" ht="18" hidden="1" customHeight="1" x14ac:dyDescent="0.25">
      <c r="B1895" s="441"/>
      <c r="C1895" s="2473" t="s">
        <v>7143</v>
      </c>
      <c r="D1895" s="896">
        <v>1500000000</v>
      </c>
      <c r="E1895" s="2710">
        <f>D1895/D1724*100</f>
        <v>1.2220260218709909</v>
      </c>
      <c r="F1895" s="4428"/>
      <c r="G1895" s="2919"/>
      <c r="H1895" s="2690"/>
      <c r="I1895" s="896"/>
      <c r="J1895" s="3161"/>
      <c r="K1895" s="2920"/>
      <c r="L1895" s="2685"/>
      <c r="M1895" s="896"/>
      <c r="N1895" s="2768"/>
    </row>
    <row r="1896" spans="2:14" ht="18" hidden="1" customHeight="1" x14ac:dyDescent="0.25">
      <c r="B1896" s="441"/>
      <c r="C1896" s="2473" t="s">
        <v>7144</v>
      </c>
      <c r="D1896" s="896">
        <v>1596000000</v>
      </c>
      <c r="E1896" s="2710">
        <f>D1896/D1724*100</f>
        <v>1.3002356872707341</v>
      </c>
      <c r="F1896" s="4428"/>
      <c r="G1896" s="2919"/>
      <c r="H1896" s="2690"/>
      <c r="I1896" s="896"/>
      <c r="J1896" s="3161"/>
      <c r="K1896" s="2920"/>
      <c r="L1896" s="2685"/>
      <c r="M1896" s="896"/>
      <c r="N1896" s="2768"/>
    </row>
    <row r="1897" spans="2:14" ht="18" hidden="1" customHeight="1" x14ac:dyDescent="0.25">
      <c r="B1897" s="441"/>
      <c r="C1897" s="2473" t="s">
        <v>7145</v>
      </c>
      <c r="D1897" s="896">
        <v>400000000</v>
      </c>
      <c r="E1897" s="2710">
        <f>D1897/D1724*100</f>
        <v>0.32587360583226421</v>
      </c>
      <c r="F1897" s="4428"/>
      <c r="G1897" s="2919"/>
      <c r="H1897" s="2690"/>
      <c r="I1897" s="896"/>
      <c r="J1897" s="3161"/>
      <c r="K1897" s="2920"/>
      <c r="L1897" s="2685"/>
      <c r="M1897" s="896"/>
      <c r="N1897" s="2768"/>
    </row>
    <row r="1898" spans="2:14" ht="18" hidden="1" customHeight="1" x14ac:dyDescent="0.25">
      <c r="B1898" s="441"/>
      <c r="C1898" s="2473" t="s">
        <v>7146</v>
      </c>
      <c r="D1898" s="896">
        <v>1500000000</v>
      </c>
      <c r="E1898" s="2710">
        <f>D1898/D1724*100</f>
        <v>1.2220260218709909</v>
      </c>
      <c r="F1898" s="4428"/>
      <c r="G1898" s="2919"/>
      <c r="H1898" s="2690"/>
      <c r="I1898" s="896"/>
      <c r="J1898" s="3161"/>
      <c r="K1898" s="2920"/>
      <c r="L1898" s="2685"/>
      <c r="M1898" s="896"/>
      <c r="N1898" s="2768"/>
    </row>
    <row r="1899" spans="2:14" ht="18" hidden="1" customHeight="1" x14ac:dyDescent="0.25">
      <c r="B1899" s="441"/>
      <c r="C1899" s="2473" t="s">
        <v>7147</v>
      </c>
      <c r="D1899" s="896">
        <v>1000000000</v>
      </c>
      <c r="E1899" s="2710">
        <f>D1899/D1724*100</f>
        <v>0.81468401458066053</v>
      </c>
      <c r="F1899" s="4428"/>
      <c r="G1899" s="2919"/>
      <c r="H1899" s="2690"/>
      <c r="I1899" s="896"/>
      <c r="J1899" s="3161"/>
      <c r="K1899" s="2920"/>
      <c r="L1899" s="2685"/>
      <c r="M1899" s="896"/>
      <c r="N1899" s="2768"/>
    </row>
    <row r="1900" spans="2:14" ht="18" hidden="1" customHeight="1" x14ac:dyDescent="0.25">
      <c r="B1900" s="441"/>
      <c r="C1900" s="2473" t="s">
        <v>7148</v>
      </c>
      <c r="D1900" s="896">
        <v>1000000000</v>
      </c>
      <c r="E1900" s="2710">
        <f>D1900/D1724*100</f>
        <v>0.81468401458066053</v>
      </c>
      <c r="F1900" s="4428"/>
      <c r="G1900" s="2919"/>
      <c r="H1900" s="2690"/>
      <c r="I1900" s="896"/>
      <c r="J1900" s="3161"/>
      <c r="K1900" s="2920"/>
      <c r="L1900" s="2685"/>
      <c r="M1900" s="896"/>
      <c r="N1900" s="2768"/>
    </row>
    <row r="1901" spans="2:14" ht="18" hidden="1" customHeight="1" x14ac:dyDescent="0.25">
      <c r="B1901" s="441"/>
      <c r="C1901" s="2473" t="s">
        <v>7149</v>
      </c>
      <c r="D1901" s="896">
        <v>1000000000</v>
      </c>
      <c r="E1901" s="2710">
        <f>D1901/D1724*100</f>
        <v>0.81468401458066053</v>
      </c>
      <c r="F1901" s="4428"/>
      <c r="G1901" s="2919"/>
      <c r="H1901" s="2690"/>
      <c r="I1901" s="896"/>
      <c r="J1901" s="3161"/>
      <c r="K1901" s="2920"/>
      <c r="L1901" s="2685"/>
      <c r="M1901" s="896"/>
      <c r="N1901" s="2768"/>
    </row>
    <row r="1902" spans="2:14" ht="18" hidden="1" customHeight="1" x14ac:dyDescent="0.25">
      <c r="B1902" s="441"/>
      <c r="C1902" s="2473" t="s">
        <v>7150</v>
      </c>
      <c r="D1902" s="896">
        <v>500000000</v>
      </c>
      <c r="E1902" s="2710">
        <f>D1902/D1724*100</f>
        <v>0.40734200729033027</v>
      </c>
      <c r="F1902" s="4428"/>
      <c r="G1902" s="2919"/>
      <c r="H1902" s="2690"/>
      <c r="I1902" s="896"/>
      <c r="J1902" s="3161"/>
      <c r="K1902" s="2920"/>
      <c r="L1902" s="2685"/>
      <c r="M1902" s="896"/>
      <c r="N1902" s="2768"/>
    </row>
    <row r="1903" spans="2:14" ht="18" hidden="1" customHeight="1" x14ac:dyDescent="0.25">
      <c r="B1903" s="441"/>
      <c r="C1903" s="2473" t="s">
        <v>7151</v>
      </c>
      <c r="D1903" s="896">
        <v>500000000</v>
      </c>
      <c r="E1903" s="2710">
        <f>D1903/D1724*100</f>
        <v>0.40734200729033027</v>
      </c>
      <c r="F1903" s="4428"/>
      <c r="G1903" s="2919"/>
      <c r="H1903" s="2690"/>
      <c r="I1903" s="896"/>
      <c r="J1903" s="3161"/>
      <c r="K1903" s="2920"/>
      <c r="L1903" s="2685"/>
      <c r="M1903" s="896"/>
      <c r="N1903" s="2768"/>
    </row>
    <row r="1904" spans="2:14" ht="18" hidden="1" customHeight="1" x14ac:dyDescent="0.25">
      <c r="B1904" s="441"/>
      <c r="C1904" s="2473" t="s">
        <v>7152</v>
      </c>
      <c r="D1904" s="896">
        <v>1000000000</v>
      </c>
      <c r="E1904" s="2710">
        <f>D1904/D1724*100</f>
        <v>0.81468401458066053</v>
      </c>
      <c r="F1904" s="4428"/>
      <c r="G1904" s="2919"/>
      <c r="H1904" s="2690"/>
      <c r="I1904" s="896"/>
      <c r="J1904" s="3161"/>
      <c r="K1904" s="2920"/>
      <c r="L1904" s="2685"/>
      <c r="M1904" s="896"/>
      <c r="N1904" s="2768"/>
    </row>
    <row r="1905" spans="2:14" ht="18" hidden="1" customHeight="1" x14ac:dyDescent="0.25">
      <c r="B1905" s="441"/>
      <c r="C1905" s="2473" t="s">
        <v>7153</v>
      </c>
      <c r="D1905" s="896">
        <v>1000000000</v>
      </c>
      <c r="E1905" s="2710">
        <f>D1905/D1724*100</f>
        <v>0.81468401458066053</v>
      </c>
      <c r="F1905" s="4428"/>
      <c r="G1905" s="2919"/>
      <c r="H1905" s="2690"/>
      <c r="I1905" s="896"/>
      <c r="J1905" s="3161"/>
      <c r="K1905" s="2920"/>
      <c r="L1905" s="2685"/>
      <c r="M1905" s="896"/>
      <c r="N1905" s="2768"/>
    </row>
    <row r="1906" spans="2:14" ht="18" hidden="1" customHeight="1" x14ac:dyDescent="0.25">
      <c r="B1906" s="441"/>
      <c r="C1906" s="2473" t="s">
        <v>7154</v>
      </c>
      <c r="D1906" s="896">
        <v>500000000</v>
      </c>
      <c r="E1906" s="2710">
        <f>D1906/D1724*100</f>
        <v>0.40734200729033027</v>
      </c>
      <c r="F1906" s="4428"/>
      <c r="G1906" s="2919"/>
      <c r="H1906" s="2690"/>
      <c r="I1906" s="896"/>
      <c r="J1906" s="3161"/>
      <c r="K1906" s="2920"/>
      <c r="L1906" s="2685"/>
      <c r="M1906" s="896"/>
      <c r="N1906" s="2768"/>
    </row>
    <row r="1907" spans="2:14" ht="18" hidden="1" customHeight="1" x14ac:dyDescent="0.25">
      <c r="B1907" s="441"/>
      <c r="C1907" s="2473" t="s">
        <v>7155</v>
      </c>
      <c r="D1907" s="896">
        <v>1000000000</v>
      </c>
      <c r="E1907" s="2710">
        <f>D1907/D1724*100</f>
        <v>0.81468401458066053</v>
      </c>
      <c r="F1907" s="4428"/>
      <c r="G1907" s="2919"/>
      <c r="H1907" s="2690"/>
      <c r="I1907" s="896"/>
      <c r="J1907" s="3161"/>
      <c r="K1907" s="2920"/>
      <c r="L1907" s="2685"/>
      <c r="M1907" s="896"/>
      <c r="N1907" s="2768"/>
    </row>
    <row r="1908" spans="2:14" ht="18" hidden="1" customHeight="1" x14ac:dyDescent="0.25">
      <c r="B1908" s="441"/>
      <c r="C1908" s="2473" t="s">
        <v>7156</v>
      </c>
      <c r="D1908" s="896">
        <v>0</v>
      </c>
      <c r="E1908" s="2710">
        <f>D1908/D1724*100</f>
        <v>0</v>
      </c>
      <c r="F1908" s="4428"/>
      <c r="G1908" s="2919"/>
      <c r="H1908" s="2690"/>
      <c r="I1908" s="896"/>
      <c r="J1908" s="3161"/>
      <c r="K1908" s="2920"/>
      <c r="L1908" s="2685"/>
      <c r="M1908" s="896"/>
      <c r="N1908" s="2768"/>
    </row>
    <row r="1909" spans="2:14" ht="13.5" hidden="1" customHeight="1" x14ac:dyDescent="0.25">
      <c r="B1909" s="441"/>
      <c r="C1909" s="2476"/>
      <c r="D1909" s="2709"/>
      <c r="E1909" s="2690"/>
      <c r="F1909" s="4430"/>
      <c r="G1909" s="911"/>
      <c r="H1909" s="2778"/>
      <c r="I1909" s="911"/>
      <c r="J1909" s="2903"/>
      <c r="K1909" s="911"/>
      <c r="L1909" s="911"/>
      <c r="M1909" s="911"/>
      <c r="N1909" s="2768"/>
    </row>
    <row r="1910" spans="2:14" ht="18" hidden="1" customHeight="1" x14ac:dyDescent="0.25">
      <c r="B1910" s="441"/>
      <c r="C1910" s="2525" t="s">
        <v>7157</v>
      </c>
      <c r="D1910" s="899">
        <f>D1911</f>
        <v>400000000</v>
      </c>
      <c r="E1910" s="2695">
        <f>D1910/D1724*100</f>
        <v>0.32587360583226421</v>
      </c>
      <c r="F1910" s="3861"/>
      <c r="G1910" s="3180"/>
      <c r="H1910" s="2695"/>
      <c r="I1910" s="899"/>
      <c r="J1910" s="3180"/>
      <c r="K1910" s="3180"/>
      <c r="L1910" s="2725"/>
      <c r="M1910" s="899"/>
      <c r="N1910" s="2768"/>
    </row>
    <row r="1911" spans="2:14" ht="19.5" hidden="1" customHeight="1" x14ac:dyDescent="0.25">
      <c r="B1911" s="441"/>
      <c r="C1911" s="2473" t="s">
        <v>7302</v>
      </c>
      <c r="D1911" s="896">
        <v>400000000</v>
      </c>
      <c r="E1911" s="2690">
        <f>D1911/D1724*100</f>
        <v>0.32587360583226421</v>
      </c>
      <c r="F1911" s="4428"/>
      <c r="G1911" s="896"/>
      <c r="H1911" s="2690"/>
      <c r="I1911" s="896"/>
      <c r="J1911" s="3161"/>
      <c r="K1911" s="896"/>
      <c r="L1911" s="2804"/>
      <c r="M1911" s="896"/>
      <c r="N1911" s="2768"/>
    </row>
    <row r="1912" spans="2:14" ht="12" hidden="1" customHeight="1" x14ac:dyDescent="0.25">
      <c r="B1912" s="441"/>
      <c r="C1912" s="2475"/>
      <c r="D1912" s="2769"/>
      <c r="E1912" s="2752"/>
      <c r="F1912" s="3872"/>
      <c r="G1912" s="3006"/>
      <c r="H1912" s="3060"/>
      <c r="I1912" s="3006"/>
      <c r="J1912" s="3006"/>
      <c r="K1912" s="3006"/>
      <c r="L1912" s="3006"/>
      <c r="M1912" s="3006"/>
      <c r="N1912" s="2768"/>
    </row>
    <row r="1913" spans="2:14" ht="16.5" hidden="1" customHeight="1" x14ac:dyDescent="0.25">
      <c r="B1913" s="440"/>
      <c r="C1913" s="2532" t="s">
        <v>1569</v>
      </c>
      <c r="D1913" s="2744">
        <f>D1914+D1924+D1919+D1927+D1930</f>
        <v>4900000000</v>
      </c>
      <c r="E1913" s="2672">
        <f>D1913/D1724*100</f>
        <v>3.9919516714452365</v>
      </c>
      <c r="F1913" s="3886"/>
      <c r="G1913" s="2886"/>
      <c r="H1913" s="2672"/>
      <c r="I1913" s="2744"/>
      <c r="J1913" s="3181"/>
      <c r="K1913" s="3181"/>
      <c r="L1913" s="2672"/>
      <c r="M1913" s="2744"/>
      <c r="N1913" s="2768"/>
    </row>
    <row r="1914" spans="2:14" ht="15" hidden="1" customHeight="1" x14ac:dyDescent="0.25">
      <c r="B1914" s="441"/>
      <c r="C1914" s="2538" t="s">
        <v>1570</v>
      </c>
      <c r="D1914" s="2759">
        <f>SUM(D1915:D1917)</f>
        <v>3400000000</v>
      </c>
      <c r="E1914" s="2734">
        <f>D1914/D1724*100</f>
        <v>2.7699256495742457</v>
      </c>
      <c r="F1914" s="3884"/>
      <c r="G1914" s="3168"/>
      <c r="H1914" s="2695"/>
      <c r="I1914" s="2759"/>
      <c r="J1914" s="3168"/>
      <c r="K1914" s="3168"/>
      <c r="L1914" s="2725"/>
      <c r="M1914" s="2759"/>
      <c r="N1914" s="2768"/>
    </row>
    <row r="1915" spans="2:14" ht="20.25" hidden="1" customHeight="1" x14ac:dyDescent="0.25">
      <c r="B1915" s="441"/>
      <c r="C1915" s="2473" t="s">
        <v>7158</v>
      </c>
      <c r="D1915" s="896">
        <v>2000000000</v>
      </c>
      <c r="E1915" s="2690">
        <f>D1915/D1724*100</f>
        <v>1.6293680291613211</v>
      </c>
      <c r="F1915" s="4428"/>
      <c r="G1915" s="3161"/>
      <c r="H1915" s="2690"/>
      <c r="I1915" s="896"/>
      <c r="J1915" s="3161"/>
      <c r="K1915" s="2709"/>
      <c r="L1915" s="2804"/>
      <c r="M1915" s="896"/>
      <c r="N1915" s="2768"/>
    </row>
    <row r="1916" spans="2:14" ht="17.25" hidden="1" customHeight="1" x14ac:dyDescent="0.25">
      <c r="B1916" s="441"/>
      <c r="C1916" s="2473" t="s">
        <v>7159</v>
      </c>
      <c r="D1916" s="896">
        <v>200000000</v>
      </c>
      <c r="E1916" s="2690">
        <f>D1916/D1724*100</f>
        <v>0.16293680291613211</v>
      </c>
      <c r="F1916" s="4428"/>
      <c r="G1916" s="3174"/>
      <c r="H1916" s="2690"/>
      <c r="I1916" s="2709"/>
      <c r="J1916" s="3161"/>
      <c r="K1916" s="896"/>
      <c r="L1916" s="2804"/>
      <c r="M1916" s="2709"/>
      <c r="N1916" s="2768"/>
    </row>
    <row r="1917" spans="2:14" ht="18.75" hidden="1" customHeight="1" x14ac:dyDescent="0.25">
      <c r="B1917" s="441"/>
      <c r="C1917" s="2473" t="s">
        <v>7160</v>
      </c>
      <c r="D1917" s="896">
        <v>1200000000</v>
      </c>
      <c r="E1917" s="2690">
        <f>D1917/D1724*100</f>
        <v>0.97762081749679253</v>
      </c>
      <c r="F1917" s="4428"/>
      <c r="G1917" s="3174"/>
      <c r="H1917" s="3182"/>
      <c r="I1917" s="3174"/>
      <c r="J1917" s="3161"/>
      <c r="K1917" s="896"/>
      <c r="L1917" s="2709"/>
      <c r="M1917" s="2709"/>
      <c r="N1917" s="2768"/>
    </row>
    <row r="1918" spans="2:14" ht="11.25" hidden="1" customHeight="1" x14ac:dyDescent="0.25">
      <c r="B1918" s="441"/>
      <c r="C1918" s="2476"/>
      <c r="D1918" s="2769"/>
      <c r="E1918" s="2710"/>
      <c r="F1918" s="4460"/>
      <c r="G1918" s="3174"/>
      <c r="H1918" s="3182"/>
      <c r="I1918" s="3174"/>
      <c r="J1918" s="3170"/>
      <c r="K1918" s="2709"/>
      <c r="L1918" s="2709"/>
      <c r="M1918" s="2709"/>
      <c r="N1918" s="2768"/>
    </row>
    <row r="1919" spans="2:14" ht="18" hidden="1" customHeight="1" x14ac:dyDescent="0.25">
      <c r="B1919" s="441"/>
      <c r="C1919" s="2477" t="s">
        <v>1574</v>
      </c>
      <c r="D1919" s="2692">
        <f>SUM(D1920:D1922)</f>
        <v>800000000</v>
      </c>
      <c r="E1919" s="2695">
        <f>D1919/D1724*100</f>
        <v>0.65174721166452843</v>
      </c>
      <c r="F1919" s="3834"/>
      <c r="G1919" s="2679"/>
      <c r="H1919" s="2679"/>
      <c r="I1919" s="2725"/>
      <c r="J1919" s="3163"/>
      <c r="K1919" s="2680"/>
      <c r="L1919" s="2725"/>
      <c r="M1919" s="2725"/>
      <c r="N1919" s="2768"/>
    </row>
    <row r="1920" spans="2:14" ht="18" hidden="1" customHeight="1" x14ac:dyDescent="0.25">
      <c r="B1920" s="441"/>
      <c r="C1920" s="2476" t="s">
        <v>7161</v>
      </c>
      <c r="D1920" s="2698">
        <v>500000000</v>
      </c>
      <c r="E1920" s="2760">
        <f>D1920/D1724*100</f>
        <v>0.40734200729033027</v>
      </c>
      <c r="F1920" s="4384"/>
      <c r="G1920" s="2685"/>
      <c r="H1920" s="2685"/>
      <c r="I1920" s="2804"/>
      <c r="J1920" s="3161"/>
      <c r="K1920" s="2731"/>
      <c r="L1920" s="2804"/>
      <c r="M1920" s="2804"/>
      <c r="N1920" s="2768"/>
    </row>
    <row r="1921" spans="2:14" ht="18" hidden="1" customHeight="1" x14ac:dyDescent="0.25">
      <c r="B1921" s="441"/>
      <c r="C1921" s="2476" t="s">
        <v>7162</v>
      </c>
      <c r="D1921" s="2698">
        <v>200000000</v>
      </c>
      <c r="E1921" s="2760">
        <f>D1921/D1724*100</f>
        <v>0.16293680291613211</v>
      </c>
      <c r="F1921" s="4384"/>
      <c r="G1921" s="2708"/>
      <c r="H1921" s="2708"/>
      <c r="I1921" s="2830"/>
      <c r="J1921" s="3161"/>
      <c r="K1921" s="2731"/>
      <c r="L1921" s="2804"/>
      <c r="M1921" s="2830"/>
      <c r="N1921" s="2768"/>
    </row>
    <row r="1922" spans="2:14" ht="18" hidden="1" customHeight="1" x14ac:dyDescent="0.25">
      <c r="B1922" s="441"/>
      <c r="C1922" s="2476" t="s">
        <v>7163</v>
      </c>
      <c r="D1922" s="2698">
        <v>100000000</v>
      </c>
      <c r="E1922" s="2760">
        <f>D1922/D1724*100</f>
        <v>8.1468401458066053E-2</v>
      </c>
      <c r="F1922" s="4384"/>
      <c r="G1922" s="2708"/>
      <c r="H1922" s="2708"/>
      <c r="I1922" s="2830"/>
      <c r="J1922" s="3161"/>
      <c r="K1922" s="2731"/>
      <c r="L1922" s="2804"/>
      <c r="M1922" s="2830"/>
      <c r="N1922" s="2768"/>
    </row>
    <row r="1923" spans="2:14" ht="9" hidden="1" customHeight="1" x14ac:dyDescent="0.25">
      <c r="B1923" s="441"/>
      <c r="C1923" s="2476"/>
      <c r="D1923" s="2698"/>
      <c r="E1923" s="2685"/>
      <c r="F1923" s="4384"/>
      <c r="G1923" s="2708"/>
      <c r="H1923" s="2708"/>
      <c r="I1923" s="2830"/>
      <c r="J1923" s="3161"/>
      <c r="K1923" s="2731"/>
      <c r="L1923" s="2804"/>
      <c r="M1923" s="2830"/>
      <c r="N1923" s="2768"/>
    </row>
    <row r="1924" spans="2:14" ht="28.5" hidden="1" customHeight="1" x14ac:dyDescent="0.25">
      <c r="B1924" s="441"/>
      <c r="C1924" s="2525" t="s">
        <v>1576</v>
      </c>
      <c r="D1924" s="899">
        <f>SUM(D1925:D1925)</f>
        <v>300000000</v>
      </c>
      <c r="E1924" s="2695">
        <f>D1924/D1724*100</f>
        <v>0.24440520437419813</v>
      </c>
      <c r="F1924" s="3879"/>
      <c r="G1924" s="3167"/>
      <c r="H1924" s="3183"/>
      <c r="I1924" s="3167"/>
      <c r="J1924" s="3163"/>
      <c r="K1924" s="3163"/>
      <c r="L1924" s="2725"/>
      <c r="M1924" s="2767"/>
      <c r="N1924" s="2768"/>
    </row>
    <row r="1925" spans="2:14" ht="20.25" hidden="1" customHeight="1" x14ac:dyDescent="0.25">
      <c r="B1925" s="441"/>
      <c r="C1925" s="2473" t="s">
        <v>7164</v>
      </c>
      <c r="D1925" s="896">
        <v>300000000</v>
      </c>
      <c r="E1925" s="2690">
        <f>D1925/D1724*100</f>
        <v>0.24440520437419813</v>
      </c>
      <c r="F1925" s="4428"/>
      <c r="G1925" s="3174"/>
      <c r="H1925" s="3182"/>
      <c r="I1925" s="3174"/>
      <c r="J1925" s="3161"/>
      <c r="K1925" s="896"/>
      <c r="L1925" s="2804"/>
      <c r="M1925" s="2709"/>
      <c r="N1925" s="2768"/>
    </row>
    <row r="1926" spans="2:14" ht="9.75" hidden="1" customHeight="1" x14ac:dyDescent="0.25">
      <c r="B1926" s="441"/>
      <c r="C1926" s="2476"/>
      <c r="D1926" s="2709"/>
      <c r="E1926" s="2710"/>
      <c r="F1926" s="4427"/>
      <c r="G1926" s="3174"/>
      <c r="H1926" s="3182"/>
      <c r="I1926" s="3174"/>
      <c r="J1926" s="3161"/>
      <c r="K1926" s="2709"/>
      <c r="L1926" s="2830"/>
      <c r="M1926" s="2709"/>
      <c r="N1926" s="2768"/>
    </row>
    <row r="1927" spans="2:14" ht="28.5" hidden="1" customHeight="1" x14ac:dyDescent="0.25">
      <c r="B1927" s="441"/>
      <c r="C1927" s="2477" t="s">
        <v>7165</v>
      </c>
      <c r="D1927" s="2767">
        <f>SUM(D1928:D1928)</f>
        <v>200000000</v>
      </c>
      <c r="E1927" s="2695">
        <f>D1927/D1724*100</f>
        <v>0.16293680291613211</v>
      </c>
      <c r="F1927" s="4427"/>
      <c r="G1927" s="3174"/>
      <c r="H1927" s="3182"/>
      <c r="I1927" s="3174"/>
      <c r="J1927" s="3161"/>
      <c r="K1927" s="2709"/>
      <c r="L1927" s="2830"/>
      <c r="M1927" s="2709"/>
      <c r="N1927" s="2768"/>
    </row>
    <row r="1928" spans="2:14" ht="21" hidden="1" customHeight="1" x14ac:dyDescent="0.25">
      <c r="B1928" s="441"/>
      <c r="C1928" s="2476" t="s">
        <v>7166</v>
      </c>
      <c r="D1928" s="2709">
        <v>200000000</v>
      </c>
      <c r="E1928" s="2690">
        <f>D1928/D1724*100</f>
        <v>0.16293680291613211</v>
      </c>
      <c r="F1928" s="4427"/>
      <c r="G1928" s="3174"/>
      <c r="H1928" s="3182"/>
      <c r="I1928" s="3174"/>
      <c r="J1928" s="3161"/>
      <c r="K1928" s="2709"/>
      <c r="L1928" s="2830"/>
      <c r="M1928" s="2709"/>
      <c r="N1928" s="2768"/>
    </row>
    <row r="1929" spans="2:14" ht="12" hidden="1" customHeight="1" x14ac:dyDescent="0.25">
      <c r="B1929" s="441"/>
      <c r="C1929" s="2476"/>
      <c r="D1929" s="2709"/>
      <c r="E1929" s="2710"/>
      <c r="F1929" s="4427"/>
      <c r="G1929" s="3174"/>
      <c r="H1929" s="3182"/>
      <c r="I1929" s="3174"/>
      <c r="J1929" s="3161"/>
      <c r="K1929" s="2709"/>
      <c r="L1929" s="2830"/>
      <c r="M1929" s="2709"/>
      <c r="N1929" s="2768"/>
    </row>
    <row r="1930" spans="2:14" ht="30" hidden="1" customHeight="1" x14ac:dyDescent="0.25">
      <c r="B1930" s="441"/>
      <c r="C1930" s="2477" t="s">
        <v>7167</v>
      </c>
      <c r="D1930" s="2767">
        <f>D1931</f>
        <v>200000000</v>
      </c>
      <c r="E1930" s="2695">
        <f>D1930/D1724*100</f>
        <v>0.16293680291613211</v>
      </c>
      <c r="F1930" s="4427"/>
      <c r="G1930" s="3174"/>
      <c r="H1930" s="3182"/>
      <c r="I1930" s="3174"/>
      <c r="J1930" s="3161"/>
      <c r="K1930" s="2709"/>
      <c r="L1930" s="2830"/>
      <c r="M1930" s="2709"/>
      <c r="N1930" s="2768"/>
    </row>
    <row r="1931" spans="2:14" ht="21.75" hidden="1" customHeight="1" x14ac:dyDescent="0.25">
      <c r="B1931" s="441"/>
      <c r="C1931" s="2476" t="s">
        <v>7168</v>
      </c>
      <c r="D1931" s="2709">
        <v>200000000</v>
      </c>
      <c r="E1931" s="2690">
        <f>D1931/D1724*100</f>
        <v>0.16293680291613211</v>
      </c>
      <c r="F1931" s="4427"/>
      <c r="G1931" s="3174"/>
      <c r="H1931" s="3182"/>
      <c r="I1931" s="3174"/>
      <c r="J1931" s="3161"/>
      <c r="K1931" s="2709"/>
      <c r="L1931" s="2830"/>
      <c r="M1931" s="2709"/>
      <c r="N1931" s="2768"/>
    </row>
    <row r="1932" spans="2:14" ht="12" hidden="1" customHeight="1" x14ac:dyDescent="0.25">
      <c r="B1932" s="441"/>
      <c r="C1932" s="2477"/>
      <c r="D1932" s="2709"/>
      <c r="E1932" s="2778"/>
      <c r="F1932" s="4430"/>
      <c r="G1932" s="911"/>
      <c r="H1932" s="2778"/>
      <c r="I1932" s="911"/>
      <c r="J1932" s="911"/>
      <c r="K1932" s="911"/>
      <c r="L1932" s="911"/>
      <c r="M1932" s="911"/>
      <c r="N1932" s="2743"/>
    </row>
    <row r="1933" spans="2:14" ht="31.5" hidden="1" customHeight="1" x14ac:dyDescent="0.25">
      <c r="B1933" s="440"/>
      <c r="C1933" s="2471" t="s">
        <v>1589</v>
      </c>
      <c r="D1933" s="2744">
        <f>SUM(D1934+D1937+D1940)</f>
        <v>1400000000</v>
      </c>
      <c r="E1933" s="2672">
        <f>D1933/D1724*100</f>
        <v>1.1405576204129246</v>
      </c>
      <c r="F1933" s="3871"/>
      <c r="G1933" s="2749"/>
      <c r="H1933" s="3184"/>
      <c r="I1933" s="2749"/>
      <c r="J1933" s="2749"/>
      <c r="K1933" s="2749"/>
      <c r="L1933" s="2749"/>
      <c r="M1933" s="2749"/>
      <c r="N1933" s="2750"/>
    </row>
    <row r="1934" spans="2:14" ht="17.25" hidden="1" customHeight="1" x14ac:dyDescent="0.25">
      <c r="B1934" s="441"/>
      <c r="C1934" s="2472" t="s">
        <v>7169</v>
      </c>
      <c r="D1934" s="2759">
        <f>SUM(D1935:D1935)</f>
        <v>200000000</v>
      </c>
      <c r="E1934" s="2734">
        <f>D1934/D1724*100</f>
        <v>0.16293680291613211</v>
      </c>
      <c r="F1934" s="4435"/>
      <c r="G1934" s="902"/>
      <c r="H1934" s="3185"/>
      <c r="I1934" s="902"/>
      <c r="J1934" s="902"/>
      <c r="K1934" s="902"/>
      <c r="L1934" s="2755"/>
      <c r="M1934" s="2755"/>
      <c r="N1934" s="2877"/>
    </row>
    <row r="1935" spans="2:14" ht="15.75" hidden="1" customHeight="1" x14ac:dyDescent="0.25">
      <c r="B1935" s="441"/>
      <c r="C1935" s="2473" t="s">
        <v>7170</v>
      </c>
      <c r="D1935" s="896">
        <v>200000000</v>
      </c>
      <c r="E1935" s="2690">
        <f>D1935/D1724*100</f>
        <v>0.16293680291613211</v>
      </c>
      <c r="F1935" s="3868"/>
      <c r="G1935" s="898"/>
      <c r="H1935" s="3035"/>
      <c r="I1935" s="898"/>
      <c r="J1935" s="898"/>
      <c r="K1935" s="898"/>
      <c r="L1935" s="2755"/>
      <c r="M1935" s="2755"/>
      <c r="N1935" s="2768"/>
    </row>
    <row r="1936" spans="2:14" ht="12" hidden="1" customHeight="1" x14ac:dyDescent="0.25">
      <c r="B1936" s="441"/>
      <c r="C1936" s="2474"/>
      <c r="D1936" s="896"/>
      <c r="E1936" s="3035"/>
      <c r="F1936" s="3868"/>
      <c r="G1936" s="898"/>
      <c r="H1936" s="3035"/>
      <c r="I1936" s="898"/>
      <c r="J1936" s="898"/>
      <c r="K1936" s="898"/>
      <c r="L1936" s="2755"/>
      <c r="M1936" s="2755"/>
      <c r="N1936" s="2768"/>
    </row>
    <row r="1937" spans="2:14" ht="28.5" hidden="1" customHeight="1" x14ac:dyDescent="0.25">
      <c r="B1937" s="441"/>
      <c r="C1937" s="2474" t="s">
        <v>1592</v>
      </c>
      <c r="D1937" s="899">
        <f>D1938</f>
        <v>0</v>
      </c>
      <c r="E1937" s="2695">
        <f>D1937/D1724*100</f>
        <v>0</v>
      </c>
      <c r="F1937" s="3868"/>
      <c r="G1937" s="898"/>
      <c r="H1937" s="3035"/>
      <c r="I1937" s="898"/>
      <c r="J1937" s="898"/>
      <c r="K1937" s="898"/>
      <c r="L1937" s="2755"/>
      <c r="M1937" s="2755"/>
      <c r="N1937" s="2768"/>
    </row>
    <row r="1938" spans="2:14" ht="23.25" hidden="1" customHeight="1" x14ac:dyDescent="0.25">
      <c r="B1938" s="441"/>
      <c r="C1938" s="2473" t="s">
        <v>7171</v>
      </c>
      <c r="D1938" s="896">
        <v>0</v>
      </c>
      <c r="E1938" s="2690">
        <f>D1938/D1724*100</f>
        <v>0</v>
      </c>
      <c r="F1938" s="3868"/>
      <c r="G1938" s="898"/>
      <c r="H1938" s="3035"/>
      <c r="I1938" s="898"/>
      <c r="J1938" s="898"/>
      <c r="K1938" s="898"/>
      <c r="L1938" s="2755"/>
      <c r="M1938" s="2755"/>
      <c r="N1938" s="2768"/>
    </row>
    <row r="1939" spans="2:14" ht="12" hidden="1" customHeight="1" x14ac:dyDescent="0.25">
      <c r="B1939" s="441"/>
      <c r="C1939" s="2474"/>
      <c r="D1939" s="896"/>
      <c r="E1939" s="3035"/>
      <c r="F1939" s="3868"/>
      <c r="G1939" s="898"/>
      <c r="H1939" s="3035"/>
      <c r="I1939" s="898"/>
      <c r="J1939" s="898"/>
      <c r="K1939" s="898"/>
      <c r="L1939" s="2755"/>
      <c r="M1939" s="2755"/>
      <c r="N1939" s="2768"/>
    </row>
    <row r="1940" spans="2:14" ht="37.5" hidden="1" customHeight="1" x14ac:dyDescent="0.25">
      <c r="B1940" s="441"/>
      <c r="C1940" s="2474" t="s">
        <v>7172</v>
      </c>
      <c r="D1940" s="899">
        <f>SUM(D1941:D1941)</f>
        <v>1200000000</v>
      </c>
      <c r="E1940" s="2695">
        <f>D1940/D1724*100</f>
        <v>0.97762081749679253</v>
      </c>
      <c r="F1940" s="3868"/>
      <c r="G1940" s="898"/>
      <c r="H1940" s="3035"/>
      <c r="I1940" s="898"/>
      <c r="J1940" s="898"/>
      <c r="K1940" s="898"/>
      <c r="L1940" s="2755"/>
      <c r="M1940" s="2755"/>
      <c r="N1940" s="2768"/>
    </row>
    <row r="1941" spans="2:14" ht="15.75" hidden="1" customHeight="1" x14ac:dyDescent="0.25">
      <c r="B1941" s="441"/>
      <c r="C1941" s="2473" t="s">
        <v>7173</v>
      </c>
      <c r="D1941" s="896">
        <v>1200000000</v>
      </c>
      <c r="E1941" s="2690">
        <f>D1941/D1724*100</f>
        <v>0.97762081749679253</v>
      </c>
      <c r="F1941" s="3868"/>
      <c r="G1941" s="898"/>
      <c r="H1941" s="3035"/>
      <c r="I1941" s="898"/>
      <c r="J1941" s="898"/>
      <c r="K1941" s="898"/>
      <c r="L1941" s="2755"/>
      <c r="M1941" s="2755"/>
      <c r="N1941" s="2768"/>
    </row>
    <row r="1942" spans="2:14" ht="12" hidden="1" customHeight="1" x14ac:dyDescent="0.25">
      <c r="B1942" s="441"/>
      <c r="C1942" s="2478"/>
      <c r="D1942" s="2769"/>
      <c r="E1942" s="2784"/>
      <c r="F1942" s="3872"/>
      <c r="G1942" s="2755"/>
      <c r="H1942" s="2784"/>
      <c r="I1942" s="2755"/>
      <c r="J1942" s="2755"/>
      <c r="K1942" s="2755"/>
      <c r="L1942" s="2755"/>
      <c r="M1942" s="2755"/>
      <c r="N1942" s="2768"/>
    </row>
    <row r="1943" spans="2:14" ht="15.75" hidden="1" customHeight="1" x14ac:dyDescent="0.25">
      <c r="B1943" s="440"/>
      <c r="C1943" s="2471" t="s">
        <v>7174</v>
      </c>
      <c r="D1943" s="2744">
        <f>D1944</f>
        <v>2000000000</v>
      </c>
      <c r="E1943" s="2672">
        <f>D1943/D1724*100</f>
        <v>1.6293680291613211</v>
      </c>
      <c r="F1943" s="3850"/>
      <c r="G1943" s="2886"/>
      <c r="H1943" s="2672"/>
      <c r="I1943" s="2719"/>
      <c r="J1943" s="2887"/>
      <c r="K1943" s="2887"/>
      <c r="L1943" s="2672"/>
      <c r="M1943" s="3181"/>
      <c r="N1943" s="2768"/>
    </row>
    <row r="1944" spans="2:14" ht="15.75" hidden="1" customHeight="1" x14ac:dyDescent="0.25">
      <c r="B1944" s="441"/>
      <c r="C1944" s="2521" t="s">
        <v>7175</v>
      </c>
      <c r="D1944" s="899">
        <f>SUM(D1945:D1947)</f>
        <v>2000000000</v>
      </c>
      <c r="E1944" s="2734">
        <f>D1944/D1724*100</f>
        <v>1.6293680291613211</v>
      </c>
      <c r="F1944" s="3879"/>
      <c r="G1944" s="2929"/>
      <c r="H1944" s="2695"/>
      <c r="I1944" s="2722"/>
      <c r="J1944" s="2930"/>
      <c r="K1944" s="2680"/>
      <c r="L1944" s="2725"/>
      <c r="M1944" s="2725"/>
      <c r="N1944" s="2768"/>
    </row>
    <row r="1945" spans="2:14" ht="16.5" hidden="1" customHeight="1" x14ac:dyDescent="0.25">
      <c r="B1945" s="441"/>
      <c r="C1945" s="2473" t="s">
        <v>7176</v>
      </c>
      <c r="D1945" s="896">
        <v>250000000</v>
      </c>
      <c r="E1945" s="2760">
        <f>D1945/D1724*100</f>
        <v>0.20367100364516513</v>
      </c>
      <c r="F1945" s="4428"/>
      <c r="G1945" s="3174"/>
      <c r="H1945" s="3182"/>
      <c r="I1945" s="3174"/>
      <c r="J1945" s="3161"/>
      <c r="K1945" s="2731"/>
      <c r="L1945" s="2804"/>
      <c r="M1945" s="2804"/>
      <c r="N1945" s="2768"/>
    </row>
    <row r="1946" spans="2:14" ht="14.25" hidden="1" customHeight="1" x14ac:dyDescent="0.25">
      <c r="B1946" s="441"/>
      <c r="C1946" s="2473" t="s">
        <v>7177</v>
      </c>
      <c r="D1946" s="896">
        <v>1500000000</v>
      </c>
      <c r="E1946" s="2760">
        <f>D1946/D1724*100</f>
        <v>1.2220260218709909</v>
      </c>
      <c r="F1946" s="4428"/>
      <c r="G1946" s="2804"/>
      <c r="H1946" s="2690"/>
      <c r="I1946" s="2685"/>
      <c r="J1946" s="3174"/>
      <c r="K1946" s="2731"/>
      <c r="L1946" s="2804"/>
      <c r="M1946" s="2804"/>
      <c r="N1946" s="2768"/>
    </row>
    <row r="1947" spans="2:14" ht="14.25" hidden="1" customHeight="1" x14ac:dyDescent="0.25">
      <c r="B1947" s="441"/>
      <c r="C1947" s="2473" t="s">
        <v>7178</v>
      </c>
      <c r="D1947" s="2730">
        <v>250000000</v>
      </c>
      <c r="E1947" s="2760">
        <f>D1947/D1724*100</f>
        <v>0.20367100364516513</v>
      </c>
      <c r="F1947" s="4439"/>
      <c r="G1947" s="2804"/>
      <c r="H1947" s="2804"/>
      <c r="I1947" s="2804"/>
      <c r="J1947" s="3174"/>
      <c r="K1947" s="2731"/>
      <c r="L1947" s="2804"/>
      <c r="M1947" s="2804"/>
      <c r="N1947" s="2768"/>
    </row>
    <row r="1948" spans="2:14" ht="12" hidden="1" customHeight="1" x14ac:dyDescent="0.25">
      <c r="B1948" s="441"/>
      <c r="C1948" s="2563"/>
      <c r="D1948" s="2724"/>
      <c r="E1948" s="2830"/>
      <c r="F1948" s="4380"/>
      <c r="G1948" s="2830"/>
      <c r="H1948" s="2830"/>
      <c r="I1948" s="2830"/>
      <c r="J1948" s="896"/>
      <c r="K1948" s="896"/>
      <c r="L1948" s="896"/>
      <c r="M1948" s="3186"/>
      <c r="N1948" s="2768"/>
    </row>
    <row r="1949" spans="2:14" ht="17.25" hidden="1" customHeight="1" x14ac:dyDescent="0.25">
      <c r="B1949" s="440"/>
      <c r="C1949" s="2471" t="s">
        <v>7179</v>
      </c>
      <c r="D1949" s="2744">
        <f>SUM(D1950+D1955+D1961+D1969)</f>
        <v>2550000000</v>
      </c>
      <c r="E1949" s="2672">
        <f>D1949/D1724*100</f>
        <v>2.0774442371806843</v>
      </c>
      <c r="F1949" s="3850"/>
      <c r="G1949" s="2886"/>
      <c r="H1949" s="2672"/>
      <c r="I1949" s="2719"/>
      <c r="J1949" s="2887"/>
      <c r="K1949" s="2887"/>
      <c r="L1949" s="2672"/>
      <c r="M1949" s="2719"/>
      <c r="N1949" s="2768"/>
    </row>
    <row r="1950" spans="2:14" ht="36" hidden="1" customHeight="1" x14ac:dyDescent="0.25">
      <c r="B1950" s="441"/>
      <c r="C1950" s="2478" t="s">
        <v>7180</v>
      </c>
      <c r="D1950" s="899">
        <f>SUM(D1951:D1953)</f>
        <v>400000000</v>
      </c>
      <c r="E1950" s="2734">
        <f>D1950/D1724*100</f>
        <v>0.32587360583226421</v>
      </c>
      <c r="F1950" s="3879"/>
      <c r="G1950" s="3168"/>
      <c r="H1950" s="2695"/>
      <c r="I1950" s="2722"/>
      <c r="J1950" s="3163"/>
      <c r="K1950" s="3168"/>
      <c r="L1950" s="2725"/>
      <c r="M1950" s="2722"/>
      <c r="N1950" s="2768"/>
    </row>
    <row r="1951" spans="2:14" ht="17.25" hidden="1" customHeight="1" x14ac:dyDescent="0.25">
      <c r="B1951" s="441"/>
      <c r="C1951" s="2473" t="s">
        <v>7181</v>
      </c>
      <c r="D1951" s="2709">
        <v>200000000</v>
      </c>
      <c r="E1951" s="2690">
        <f>D1951/D1724*100</f>
        <v>0.16293680291613211</v>
      </c>
      <c r="F1951" s="4427"/>
      <c r="G1951" s="2685"/>
      <c r="H1951" s="2690"/>
      <c r="I1951" s="2830"/>
      <c r="J1951" s="3174"/>
      <c r="K1951" s="3174"/>
      <c r="L1951" s="2804"/>
      <c r="M1951" s="2685"/>
      <c r="N1951" s="2768"/>
    </row>
    <row r="1952" spans="2:14" ht="15.75" hidden="1" customHeight="1" x14ac:dyDescent="0.25">
      <c r="B1952" s="441"/>
      <c r="C1952" s="2476" t="s">
        <v>7182</v>
      </c>
      <c r="D1952" s="2709">
        <v>100000000</v>
      </c>
      <c r="E1952" s="2690">
        <f>D1952/D1724*100</f>
        <v>8.1468401458066053E-2</v>
      </c>
      <c r="F1952" s="4430"/>
      <c r="G1952" s="911"/>
      <c r="H1952" s="2778"/>
      <c r="I1952" s="911"/>
      <c r="J1952" s="911"/>
      <c r="K1952" s="911"/>
      <c r="L1952" s="911"/>
      <c r="M1952" s="911"/>
      <c r="N1952" s="2768"/>
    </row>
    <row r="1953" spans="2:14" ht="16.5" hidden="1" customHeight="1" x14ac:dyDescent="0.25">
      <c r="B1953" s="441"/>
      <c r="C1953" s="2476" t="s">
        <v>7183</v>
      </c>
      <c r="D1953" s="2709">
        <v>100000000</v>
      </c>
      <c r="E1953" s="2690">
        <f>D1953/D1724*100</f>
        <v>8.1468401458066053E-2</v>
      </c>
      <c r="F1953" s="4430"/>
      <c r="G1953" s="911"/>
      <c r="H1953" s="2778"/>
      <c r="I1953" s="911"/>
      <c r="J1953" s="911"/>
      <c r="K1953" s="911"/>
      <c r="L1953" s="2755"/>
      <c r="M1953" s="911"/>
      <c r="N1953" s="2768"/>
    </row>
    <row r="1954" spans="2:14" ht="11.25" hidden="1" customHeight="1" x14ac:dyDescent="0.25">
      <c r="B1954" s="441"/>
      <c r="C1954" s="2476"/>
      <c r="D1954" s="2709"/>
      <c r="E1954" s="2690"/>
      <c r="F1954" s="4430"/>
      <c r="G1954" s="911"/>
      <c r="H1954" s="2778"/>
      <c r="I1954" s="911"/>
      <c r="J1954" s="911"/>
      <c r="K1954" s="911"/>
      <c r="L1954" s="2755"/>
      <c r="M1954" s="911"/>
      <c r="N1954" s="2768"/>
    </row>
    <row r="1955" spans="2:14" ht="18" hidden="1" customHeight="1" x14ac:dyDescent="0.25">
      <c r="B1955" s="441"/>
      <c r="C1955" s="2525" t="s">
        <v>7184</v>
      </c>
      <c r="D1955" s="899">
        <f>SUM(D1956:D1959)</f>
        <v>400000000</v>
      </c>
      <c r="E1955" s="2695">
        <f>D1955/D1724*100</f>
        <v>0.32587360583226421</v>
      </c>
      <c r="F1955" s="3879"/>
      <c r="G1955" s="3163"/>
      <c r="H1955" s="2695"/>
      <c r="I1955" s="899"/>
      <c r="J1955" s="3163"/>
      <c r="K1955" s="3163"/>
      <c r="L1955" s="2725"/>
      <c r="M1955" s="899"/>
      <c r="N1955" s="2768"/>
    </row>
    <row r="1956" spans="2:14" ht="28.5" hidden="1" customHeight="1" x14ac:dyDescent="0.25">
      <c r="B1956" s="441"/>
      <c r="C1956" s="2473" t="s">
        <v>7185</v>
      </c>
      <c r="D1956" s="896">
        <v>100000000</v>
      </c>
      <c r="E1956" s="2690">
        <f>D1956/D1724*100</f>
        <v>8.1468401458066053E-2</v>
      </c>
      <c r="F1956" s="4428"/>
      <c r="G1956" s="896"/>
      <c r="H1956" s="2690"/>
      <c r="I1956" s="896"/>
      <c r="J1956" s="3161"/>
      <c r="K1956" s="896"/>
      <c r="L1956" s="2804"/>
      <c r="M1956" s="896"/>
      <c r="N1956" s="2768"/>
    </row>
    <row r="1957" spans="2:14" ht="28.5" hidden="1" customHeight="1" x14ac:dyDescent="0.25">
      <c r="B1957" s="441"/>
      <c r="C1957" s="2473" t="s">
        <v>7186</v>
      </c>
      <c r="D1957" s="896">
        <v>100000000</v>
      </c>
      <c r="E1957" s="2690">
        <f>D1957/D1724*100</f>
        <v>8.1468401458066053E-2</v>
      </c>
      <c r="F1957" s="4428"/>
      <c r="G1957" s="2685"/>
      <c r="H1957" s="2685"/>
      <c r="I1957" s="2685"/>
      <c r="J1957" s="3161"/>
      <c r="K1957" s="2700"/>
      <c r="L1957" s="2685"/>
      <c r="M1957" s="2685"/>
      <c r="N1957" s="2768"/>
    </row>
    <row r="1958" spans="2:14" ht="18.75" hidden="1" customHeight="1" x14ac:dyDescent="0.25">
      <c r="B1958" s="441"/>
      <c r="C1958" s="2473" t="s">
        <v>7187</v>
      </c>
      <c r="D1958" s="896">
        <v>100000000</v>
      </c>
      <c r="E1958" s="2690">
        <f>D1958/D1724*100</f>
        <v>8.1468401458066053E-2</v>
      </c>
      <c r="F1958" s="4428"/>
      <c r="G1958" s="2685"/>
      <c r="H1958" s="2685"/>
      <c r="I1958" s="2685"/>
      <c r="J1958" s="3161"/>
      <c r="K1958" s="2700"/>
      <c r="L1958" s="2685"/>
      <c r="M1958" s="2685"/>
      <c r="N1958" s="2768"/>
    </row>
    <row r="1959" spans="2:14" ht="18.75" hidden="1" customHeight="1" x14ac:dyDescent="0.25">
      <c r="B1959" s="441"/>
      <c r="C1959" s="2473" t="s">
        <v>7188</v>
      </c>
      <c r="D1959" s="896">
        <v>100000000</v>
      </c>
      <c r="E1959" s="2690">
        <f>D1959/D1724*100</f>
        <v>8.1468401458066053E-2</v>
      </c>
      <c r="F1959" s="4428"/>
      <c r="G1959" s="2685"/>
      <c r="H1959" s="2685"/>
      <c r="I1959" s="2685"/>
      <c r="J1959" s="3161"/>
      <c r="K1959" s="2700"/>
      <c r="L1959" s="2685"/>
      <c r="M1959" s="2685"/>
      <c r="N1959" s="2768"/>
    </row>
    <row r="1960" spans="2:14" ht="12" hidden="1" customHeight="1" x14ac:dyDescent="0.25">
      <c r="B1960" s="441"/>
      <c r="C1960" s="2473"/>
      <c r="D1960" s="896"/>
      <c r="E1960" s="2690"/>
      <c r="F1960" s="3868"/>
      <c r="G1960" s="898"/>
      <c r="H1960" s="3035"/>
      <c r="I1960" s="898"/>
      <c r="J1960" s="898"/>
      <c r="K1960" s="898"/>
      <c r="L1960" s="898"/>
      <c r="M1960" s="898"/>
      <c r="N1960" s="2768"/>
    </row>
    <row r="1961" spans="2:14" ht="14.25" hidden="1" customHeight="1" x14ac:dyDescent="0.25">
      <c r="B1961" s="441"/>
      <c r="C1961" s="2525" t="s">
        <v>7189</v>
      </c>
      <c r="D1961" s="899">
        <f>SUM(D1962:D1967)</f>
        <v>1600000000</v>
      </c>
      <c r="E1961" s="2695">
        <f>D1961/D1724*100</f>
        <v>1.3034944233290569</v>
      </c>
      <c r="F1961" s="3879"/>
      <c r="G1961" s="2725"/>
      <c r="H1961" s="2725"/>
      <c r="I1961" s="2725"/>
      <c r="J1961" s="3163"/>
      <c r="K1961" s="3163"/>
      <c r="L1961" s="2725"/>
      <c r="M1961" s="899"/>
      <c r="N1961" s="2768"/>
    </row>
    <row r="1962" spans="2:14" ht="15.75" hidden="1" customHeight="1" x14ac:dyDescent="0.25">
      <c r="B1962" s="441"/>
      <c r="C1962" s="2473" t="s">
        <v>7190</v>
      </c>
      <c r="D1962" s="896">
        <v>200000000</v>
      </c>
      <c r="E1962" s="2690">
        <f>D1962/D1724*100</f>
        <v>0.16293680291613211</v>
      </c>
      <c r="F1962" s="4428"/>
      <c r="G1962" s="2685"/>
      <c r="H1962" s="2685"/>
      <c r="I1962" s="2685"/>
      <c r="J1962" s="3161"/>
      <c r="K1962" s="896"/>
      <c r="L1962" s="2804"/>
      <c r="M1962" s="896"/>
      <c r="N1962" s="2768"/>
    </row>
    <row r="1963" spans="2:14" ht="28.5" hidden="1" customHeight="1" x14ac:dyDescent="0.25">
      <c r="B1963" s="441"/>
      <c r="C1963" s="2473" t="s">
        <v>7191</v>
      </c>
      <c r="D1963" s="896">
        <v>200000000</v>
      </c>
      <c r="E1963" s="2690">
        <f>D1963/D1724*100</f>
        <v>0.16293680291613211</v>
      </c>
      <c r="F1963" s="3868"/>
      <c r="G1963" s="898"/>
      <c r="H1963" s="3035"/>
      <c r="I1963" s="898"/>
      <c r="J1963" s="898"/>
      <c r="K1963" s="898"/>
      <c r="L1963" s="898"/>
      <c r="M1963" s="898"/>
      <c r="N1963" s="2768"/>
    </row>
    <row r="1964" spans="2:14" ht="16.5" hidden="1" customHeight="1" x14ac:dyDescent="0.25">
      <c r="B1964" s="441"/>
      <c r="C1964" s="2473" t="s">
        <v>7192</v>
      </c>
      <c r="D1964" s="896">
        <v>100000000</v>
      </c>
      <c r="E1964" s="2690">
        <f>D1964/D1724*100</f>
        <v>8.1468401458066053E-2</v>
      </c>
      <c r="F1964" s="3868"/>
      <c r="G1964" s="902"/>
      <c r="H1964" s="3185"/>
      <c r="I1964" s="902"/>
      <c r="J1964" s="898"/>
      <c r="K1964" s="898"/>
      <c r="L1964" s="902"/>
      <c r="M1964" s="898"/>
      <c r="N1964" s="2768"/>
    </row>
    <row r="1965" spans="2:14" ht="16.5" hidden="1" customHeight="1" x14ac:dyDescent="0.25">
      <c r="B1965" s="441"/>
      <c r="C1965" s="2473" t="s">
        <v>7193</v>
      </c>
      <c r="D1965" s="896">
        <v>500000000</v>
      </c>
      <c r="E1965" s="2690">
        <f>D1965/D1724*100</f>
        <v>0.40734200729033027</v>
      </c>
      <c r="F1965" s="3868"/>
      <c r="G1965" s="898"/>
      <c r="H1965" s="3035"/>
      <c r="I1965" s="898"/>
      <c r="J1965" s="898"/>
      <c r="K1965" s="898"/>
      <c r="L1965" s="898"/>
      <c r="M1965" s="898"/>
      <c r="N1965" s="2768"/>
    </row>
    <row r="1966" spans="2:14" ht="30" hidden="1" customHeight="1" x14ac:dyDescent="0.25">
      <c r="B1966" s="441"/>
      <c r="C1966" s="2473" t="s">
        <v>7194</v>
      </c>
      <c r="D1966" s="896">
        <v>500000000</v>
      </c>
      <c r="E1966" s="2690">
        <f>D1966/D1724*100</f>
        <v>0.40734200729033027</v>
      </c>
      <c r="F1966" s="3868"/>
      <c r="G1966" s="898"/>
      <c r="H1966" s="3035"/>
      <c r="I1966" s="898"/>
      <c r="J1966" s="898"/>
      <c r="K1966" s="898"/>
      <c r="L1966" s="898"/>
      <c r="M1966" s="898"/>
      <c r="N1966" s="2768"/>
    </row>
    <row r="1967" spans="2:14" ht="16.5" hidden="1" customHeight="1" x14ac:dyDescent="0.25">
      <c r="B1967" s="441"/>
      <c r="C1967" s="2473" t="s">
        <v>7195</v>
      </c>
      <c r="D1967" s="896">
        <v>100000000</v>
      </c>
      <c r="E1967" s="2690">
        <f>D1967/D1724*100</f>
        <v>8.1468401458066053E-2</v>
      </c>
      <c r="F1967" s="3868"/>
      <c r="G1967" s="898"/>
      <c r="H1967" s="3035"/>
      <c r="I1967" s="898"/>
      <c r="J1967" s="898"/>
      <c r="K1967" s="898"/>
      <c r="L1967" s="898"/>
      <c r="M1967" s="898"/>
      <c r="N1967" s="2768"/>
    </row>
    <row r="1968" spans="2:14" ht="16.5" hidden="1" customHeight="1" x14ac:dyDescent="0.25">
      <c r="B1968" s="441"/>
      <c r="C1968" s="2476"/>
      <c r="D1968" s="2709"/>
      <c r="E1968" s="2690"/>
      <c r="F1968" s="4430"/>
      <c r="G1968" s="911"/>
      <c r="H1968" s="2778"/>
      <c r="I1968" s="911"/>
      <c r="J1968" s="911"/>
      <c r="K1968" s="911"/>
      <c r="L1968" s="911"/>
      <c r="M1968" s="911"/>
      <c r="N1968" s="2768"/>
    </row>
    <row r="1969" spans="1:16" ht="16.5" hidden="1" customHeight="1" x14ac:dyDescent="0.25">
      <c r="B1969" s="441"/>
      <c r="C1969" s="2477" t="s">
        <v>7299</v>
      </c>
      <c r="D1969" s="2767">
        <f>SUM(D1970:D1971)</f>
        <v>150000000</v>
      </c>
      <c r="E1969" s="2695">
        <f>D1969/D1724*100</f>
        <v>0.12220260218709907</v>
      </c>
      <c r="F1969" s="4430"/>
      <c r="G1969" s="911"/>
      <c r="H1969" s="2778"/>
      <c r="I1969" s="911"/>
      <c r="J1969" s="911"/>
      <c r="K1969" s="911"/>
      <c r="L1969" s="911"/>
      <c r="M1969" s="911"/>
      <c r="N1969" s="2768"/>
    </row>
    <row r="1970" spans="1:16" ht="16.5" hidden="1" customHeight="1" x14ac:dyDescent="0.25">
      <c r="B1970" s="441"/>
      <c r="C1970" s="2476" t="s">
        <v>7300</v>
      </c>
      <c r="D1970" s="2709">
        <v>100000000</v>
      </c>
      <c r="E1970" s="2690">
        <f>D1970/D1724*100</f>
        <v>8.1468401458066053E-2</v>
      </c>
      <c r="F1970" s="4430"/>
      <c r="G1970" s="911"/>
      <c r="H1970" s="2778"/>
      <c r="I1970" s="911"/>
      <c r="J1970" s="911"/>
      <c r="K1970" s="911"/>
      <c r="L1970" s="911"/>
      <c r="M1970" s="911"/>
      <c r="N1970" s="2768"/>
    </row>
    <row r="1971" spans="1:16" ht="27.75" hidden="1" customHeight="1" x14ac:dyDescent="0.25">
      <c r="B1971" s="441"/>
      <c r="C1971" s="2476" t="s">
        <v>7301</v>
      </c>
      <c r="D1971" s="2709">
        <v>50000000</v>
      </c>
      <c r="E1971" s="2690">
        <f>D1971/D1724*100</f>
        <v>4.0734200729033027E-2</v>
      </c>
      <c r="F1971" s="4430"/>
      <c r="G1971" s="911"/>
      <c r="H1971" s="2778"/>
      <c r="I1971" s="911"/>
      <c r="J1971" s="911"/>
      <c r="K1971" s="911"/>
      <c r="L1971" s="911"/>
      <c r="M1971" s="911"/>
      <c r="N1971" s="2768"/>
    </row>
    <row r="1972" spans="1:16" ht="12" hidden="1" customHeight="1" x14ac:dyDescent="0.25">
      <c r="B1972" s="441"/>
      <c r="C1972" s="2518"/>
      <c r="D1972" s="2894"/>
      <c r="E1972" s="3194"/>
      <c r="F1972" s="4433"/>
      <c r="G1972" s="3006"/>
      <c r="H1972" s="3060"/>
      <c r="I1972" s="3006"/>
      <c r="J1972" s="3006"/>
      <c r="K1972" s="3006"/>
      <c r="L1972" s="3006"/>
      <c r="M1972" s="3006"/>
      <c r="N1972" s="2768"/>
    </row>
    <row r="1973" spans="1:16" ht="17.25" hidden="1" customHeight="1" x14ac:dyDescent="0.25">
      <c r="B1973" s="440"/>
      <c r="C1973" s="2471" t="s">
        <v>7196</v>
      </c>
      <c r="D1973" s="2744">
        <f>SUM(D1974+D1977+D1980)</f>
        <v>350000000</v>
      </c>
      <c r="E1973" s="2672">
        <f>D1973/D1724*100</f>
        <v>0.28513940510323116</v>
      </c>
      <c r="F1973" s="3850"/>
      <c r="G1973" s="2886"/>
      <c r="H1973" s="2672"/>
      <c r="I1973" s="3187"/>
      <c r="J1973" s="2887"/>
      <c r="K1973" s="2887"/>
      <c r="L1973" s="2672"/>
      <c r="M1973" s="2744"/>
      <c r="N1973" s="2768"/>
    </row>
    <row r="1974" spans="1:16" ht="18.75" hidden="1" customHeight="1" x14ac:dyDescent="0.25">
      <c r="B1974" s="441"/>
      <c r="C1974" s="2521" t="s">
        <v>7197</v>
      </c>
      <c r="D1974" s="3188">
        <f>SUM(D1975:D1975)</f>
        <v>150000000</v>
      </c>
      <c r="E1974" s="2734">
        <f>D1974/D1724*100</f>
        <v>0.12220260218709907</v>
      </c>
      <c r="F1974" s="3887"/>
      <c r="G1974" s="2725"/>
      <c r="H1974" s="2725"/>
      <c r="I1974" s="2725"/>
      <c r="J1974" s="3189"/>
      <c r="K1974" s="2680"/>
      <c r="L1974" s="2725"/>
      <c r="M1974" s="2725"/>
      <c r="N1974" s="2768"/>
    </row>
    <row r="1975" spans="1:16" ht="16.5" hidden="1" customHeight="1" x14ac:dyDescent="0.25">
      <c r="B1975" s="441"/>
      <c r="C1975" s="2473" t="s">
        <v>7198</v>
      </c>
      <c r="D1975" s="896">
        <v>150000000</v>
      </c>
      <c r="E1975" s="2690">
        <f>D1975/D1724*100</f>
        <v>0.12220260218709907</v>
      </c>
      <c r="F1975" s="4428"/>
      <c r="G1975" s="2685"/>
      <c r="H1975" s="2685"/>
      <c r="I1975" s="2685"/>
      <c r="J1975" s="3161"/>
      <c r="K1975" s="2700"/>
      <c r="L1975" s="2685"/>
      <c r="M1975" s="2685"/>
      <c r="N1975" s="2768"/>
    </row>
    <row r="1976" spans="1:16" ht="12" hidden="1" customHeight="1" x14ac:dyDescent="0.25">
      <c r="B1976" s="441"/>
      <c r="C1976" s="2473"/>
      <c r="D1976" s="896"/>
      <c r="E1976" s="2695"/>
      <c r="F1976" s="3868"/>
      <c r="G1976" s="898"/>
      <c r="H1976" s="3035"/>
      <c r="I1976" s="898"/>
      <c r="J1976" s="898"/>
      <c r="K1976" s="898"/>
      <c r="L1976" s="898"/>
      <c r="M1976" s="898"/>
      <c r="N1976" s="2768"/>
    </row>
    <row r="1977" spans="1:16" ht="15.75" hidden="1" customHeight="1" x14ac:dyDescent="0.25">
      <c r="B1977" s="441"/>
      <c r="C1977" s="2525" t="s">
        <v>7199</v>
      </c>
      <c r="D1977" s="899">
        <f>SUM(D1978:D1978)</f>
        <v>30000000</v>
      </c>
      <c r="E1977" s="2695">
        <f>D1977/D1724*100</f>
        <v>2.4440520437419816E-2</v>
      </c>
      <c r="F1977" s="3879"/>
      <c r="G1977" s="2725"/>
      <c r="H1977" s="2725"/>
      <c r="I1977" s="2725"/>
      <c r="J1977" s="3163"/>
      <c r="K1977" s="2680"/>
      <c r="L1977" s="2725"/>
      <c r="M1977" s="2725"/>
      <c r="N1977" s="2768"/>
    </row>
    <row r="1978" spans="1:16" ht="16.5" hidden="1" customHeight="1" x14ac:dyDescent="0.25">
      <c r="B1978" s="441"/>
      <c r="C1978" s="2473" t="s">
        <v>7200</v>
      </c>
      <c r="D1978" s="896">
        <v>30000000</v>
      </c>
      <c r="E1978" s="2690">
        <f>D1978/D1724*100</f>
        <v>2.4440520437419816E-2</v>
      </c>
      <c r="F1978" s="4428"/>
      <c r="G1978" s="2685"/>
      <c r="H1978" s="2685"/>
      <c r="I1978" s="2685"/>
      <c r="J1978" s="3161"/>
      <c r="K1978" s="2700"/>
      <c r="L1978" s="2685"/>
      <c r="M1978" s="2685"/>
      <c r="N1978" s="2768"/>
    </row>
    <row r="1979" spans="1:16" ht="12" hidden="1" customHeight="1" x14ac:dyDescent="0.25">
      <c r="B1979" s="441"/>
      <c r="C1979" s="2473"/>
      <c r="D1979" s="896"/>
      <c r="E1979" s="2695"/>
      <c r="F1979" s="3868"/>
      <c r="G1979" s="898"/>
      <c r="H1979" s="3035"/>
      <c r="I1979" s="898"/>
      <c r="J1979" s="898"/>
      <c r="K1979" s="898"/>
      <c r="L1979" s="898"/>
      <c r="M1979" s="898"/>
      <c r="N1979" s="2768"/>
    </row>
    <row r="1980" spans="1:16" ht="18" hidden="1" customHeight="1" x14ac:dyDescent="0.25">
      <c r="B1980" s="441"/>
      <c r="C1980" s="2525" t="s">
        <v>7201</v>
      </c>
      <c r="D1980" s="899">
        <f>D1981</f>
        <v>170000000</v>
      </c>
      <c r="E1980" s="2695">
        <f>D1980/D1724*100</f>
        <v>0.13849628247871229</v>
      </c>
      <c r="F1980" s="3879"/>
      <c r="G1980" s="3163"/>
      <c r="H1980" s="2695"/>
      <c r="I1980" s="899"/>
      <c r="J1980" s="3163"/>
      <c r="K1980" s="3163"/>
      <c r="L1980" s="2695"/>
      <c r="M1980" s="899"/>
      <c r="N1980" s="2768"/>
    </row>
    <row r="1981" spans="1:16" ht="17.25" hidden="1" customHeight="1" x14ac:dyDescent="0.25">
      <c r="B1981" s="441"/>
      <c r="C1981" s="2473" t="s">
        <v>7822</v>
      </c>
      <c r="D1981" s="896">
        <v>170000000</v>
      </c>
      <c r="E1981" s="2690">
        <f>D1981/D1724*100</f>
        <v>0.13849628247871229</v>
      </c>
      <c r="F1981" s="4428"/>
      <c r="G1981" s="2919"/>
      <c r="H1981" s="2690"/>
      <c r="I1981" s="896"/>
      <c r="J1981" s="3161"/>
      <c r="K1981" s="2920"/>
      <c r="L1981" s="2690"/>
      <c r="M1981" s="896"/>
      <c r="N1981" s="2768"/>
    </row>
    <row r="1982" spans="1:16" ht="12" hidden="1" customHeight="1" x14ac:dyDescent="0.25">
      <c r="B1982" s="441"/>
      <c r="C1982" s="2564"/>
      <c r="D1982" s="2894"/>
      <c r="E1982" s="2821"/>
      <c r="F1982" s="4433"/>
      <c r="G1982" s="2709"/>
      <c r="H1982" s="2710"/>
      <c r="I1982" s="911"/>
      <c r="J1982" s="911"/>
      <c r="K1982" s="911"/>
      <c r="L1982" s="911"/>
      <c r="M1982" s="911"/>
      <c r="N1982" s="2768"/>
    </row>
    <row r="1983" spans="1:16" s="20" customFormat="1" ht="33.75" hidden="1" customHeight="1" x14ac:dyDescent="0.25">
      <c r="A1983" s="963"/>
      <c r="B1983" s="440"/>
      <c r="C1983" s="2471" t="s">
        <v>7202</v>
      </c>
      <c r="D1983" s="2744">
        <f>SUM(D1984+D1990)</f>
        <v>1550000000</v>
      </c>
      <c r="E1983" s="2672">
        <f>D1983/D1724*100</f>
        <v>1.2627602226000239</v>
      </c>
      <c r="F1983" s="3886"/>
      <c r="G1983" s="3181"/>
      <c r="H1983" s="2672"/>
      <c r="I1983" s="2744"/>
      <c r="J1983" s="3181"/>
      <c r="K1983" s="3181"/>
      <c r="L1983" s="2672"/>
      <c r="M1983" s="2744"/>
      <c r="N1983" s="2704"/>
      <c r="P1983" s="617"/>
    </row>
    <row r="1984" spans="1:16" s="20" customFormat="1" ht="24" hidden="1" customHeight="1" x14ac:dyDescent="0.25">
      <c r="A1984" s="963"/>
      <c r="B1984" s="441"/>
      <c r="C1984" s="2525" t="s">
        <v>7203</v>
      </c>
      <c r="D1984" s="2826">
        <f>SUM(D1985:D1988)</f>
        <v>750000000</v>
      </c>
      <c r="E1984" s="2734">
        <f>D1984/D1724*100</f>
        <v>0.61101301093549543</v>
      </c>
      <c r="F1984" s="3883"/>
      <c r="G1984" s="3168"/>
      <c r="H1984" s="2695"/>
      <c r="I1984" s="2759"/>
      <c r="J1984" s="3168"/>
      <c r="K1984" s="3168"/>
      <c r="L1984" s="2695"/>
      <c r="M1984" s="2725"/>
      <c r="N1984" s="2704"/>
      <c r="P1984" s="617"/>
    </row>
    <row r="1985" spans="1:16" s="20" customFormat="1" ht="27.75" hidden="1" customHeight="1" x14ac:dyDescent="0.25">
      <c r="A1985" s="963"/>
      <c r="B1985" s="441"/>
      <c r="C1985" s="2473" t="s">
        <v>7204</v>
      </c>
      <c r="D1985" s="896">
        <v>200000000</v>
      </c>
      <c r="E1985" s="2760">
        <f>D1985/D1724*100</f>
        <v>0.16293680291613211</v>
      </c>
      <c r="F1985" s="4428"/>
      <c r="G1985" s="2864"/>
      <c r="H1985" s="2690"/>
      <c r="I1985" s="896"/>
      <c r="J1985" s="3161"/>
      <c r="K1985" s="3161"/>
      <c r="L1985" s="2690"/>
      <c r="M1985" s="2685"/>
      <c r="N1985" s="2704"/>
      <c r="P1985" s="617"/>
    </row>
    <row r="1986" spans="1:16" s="20" customFormat="1" ht="17.25" hidden="1" customHeight="1" x14ac:dyDescent="0.25">
      <c r="A1986" s="963"/>
      <c r="B1986" s="441"/>
      <c r="C1986" s="2473" t="s">
        <v>7205</v>
      </c>
      <c r="D1986" s="2769">
        <v>200000000</v>
      </c>
      <c r="E1986" s="2760">
        <f>D1986/D1724*100</f>
        <v>0.16293680291613211</v>
      </c>
      <c r="F1986" s="4460"/>
      <c r="G1986" s="2862"/>
      <c r="H1986" s="2752"/>
      <c r="I1986" s="2709"/>
      <c r="J1986" s="3170"/>
      <c r="K1986" s="3174"/>
      <c r="L1986" s="2710"/>
      <c r="M1986" s="2685"/>
      <c r="N1986" s="2704"/>
      <c r="P1986" s="617"/>
    </row>
    <row r="1987" spans="1:16" s="20" customFormat="1" ht="17.25" hidden="1" customHeight="1" x14ac:dyDescent="0.25">
      <c r="A1987" s="963"/>
      <c r="B1987" s="441"/>
      <c r="C1987" s="2473" t="s">
        <v>7206</v>
      </c>
      <c r="D1987" s="896">
        <v>300000000</v>
      </c>
      <c r="E1987" s="2760">
        <f>D1987/D1724*100</f>
        <v>0.24440520437419813</v>
      </c>
      <c r="F1987" s="4428"/>
      <c r="G1987" s="2864"/>
      <c r="H1987" s="2690"/>
      <c r="I1987" s="896"/>
      <c r="J1987" s="3161"/>
      <c r="K1987" s="3161"/>
      <c r="L1987" s="2690"/>
      <c r="M1987" s="2685"/>
      <c r="N1987" s="2704"/>
      <c r="P1987" s="617"/>
    </row>
    <row r="1988" spans="1:16" s="20" customFormat="1" ht="17.25" hidden="1" customHeight="1" x14ac:dyDescent="0.25">
      <c r="A1988" s="963"/>
      <c r="B1988" s="441"/>
      <c r="C1988" s="2473" t="s">
        <v>7207</v>
      </c>
      <c r="D1988" s="896">
        <v>50000000</v>
      </c>
      <c r="E1988" s="2760">
        <f>D1988/D1724*100</f>
        <v>4.0734200729033027E-2</v>
      </c>
      <c r="F1988" s="4428"/>
      <c r="G1988" s="2864"/>
      <c r="H1988" s="2690"/>
      <c r="I1988" s="940"/>
      <c r="J1988" s="3170"/>
      <c r="K1988" s="3165"/>
      <c r="L1988" s="2760"/>
      <c r="M1988" s="2685"/>
      <c r="N1988" s="2704"/>
      <c r="P1988" s="617"/>
    </row>
    <row r="1989" spans="1:16" s="20" customFormat="1" ht="11.25" hidden="1" customHeight="1" x14ac:dyDescent="0.25">
      <c r="A1989" s="963"/>
      <c r="B1989" s="441"/>
      <c r="C1989" s="2517"/>
      <c r="D1989" s="2755"/>
      <c r="E1989" s="2734"/>
      <c r="F1989" s="3891"/>
      <c r="G1989" s="2880"/>
      <c r="H1989" s="3190"/>
      <c r="I1989" s="898"/>
      <c r="J1989" s="2881"/>
      <c r="K1989" s="898"/>
      <c r="L1989" s="896"/>
      <c r="M1989" s="898"/>
      <c r="N1989" s="2704"/>
      <c r="P1989" s="617"/>
    </row>
    <row r="1990" spans="1:16" s="20" customFormat="1" ht="19.5" hidden="1" customHeight="1" x14ac:dyDescent="0.25">
      <c r="A1990" s="963"/>
      <c r="B1990" s="441"/>
      <c r="C1990" s="2525" t="s">
        <v>7208</v>
      </c>
      <c r="D1990" s="899">
        <f>SUM(D1991:D1996)</f>
        <v>800000000</v>
      </c>
      <c r="E1990" s="2734">
        <f>D1990/D1724*100</f>
        <v>0.65174721166452843</v>
      </c>
      <c r="F1990" s="3879"/>
      <c r="G1990" s="3163"/>
      <c r="H1990" s="2695"/>
      <c r="I1990" s="899"/>
      <c r="J1990" s="3163"/>
      <c r="K1990" s="3163"/>
      <c r="L1990" s="2695"/>
      <c r="M1990" s="2695"/>
      <c r="N1990" s="2704"/>
      <c r="P1990" s="617"/>
    </row>
    <row r="1991" spans="1:16" s="20" customFormat="1" ht="16.5" hidden="1" customHeight="1" x14ac:dyDescent="0.25">
      <c r="A1991" s="963"/>
      <c r="B1991" s="441"/>
      <c r="C1991" s="2473" t="s">
        <v>7209</v>
      </c>
      <c r="D1991" s="896">
        <v>100000000</v>
      </c>
      <c r="E1991" s="2760">
        <f>D1991/D1724*100</f>
        <v>8.1468401458066053E-2</v>
      </c>
      <c r="F1991" s="4428"/>
      <c r="G1991" s="3067"/>
      <c r="H1991" s="2690"/>
      <c r="I1991" s="896"/>
      <c r="J1991" s="3161"/>
      <c r="K1991" s="3161"/>
      <c r="L1991" s="2690"/>
      <c r="M1991" s="2690"/>
      <c r="N1991" s="2704"/>
      <c r="P1991" s="617"/>
    </row>
    <row r="1992" spans="1:16" s="20" customFormat="1" ht="18.75" hidden="1" customHeight="1" x14ac:dyDescent="0.25">
      <c r="A1992" s="963"/>
      <c r="B1992" s="441"/>
      <c r="C1992" s="2473" t="s">
        <v>7210</v>
      </c>
      <c r="D1992" s="2769">
        <v>150000000</v>
      </c>
      <c r="E1992" s="2760">
        <f>D1992/D1724*100</f>
        <v>0.12220260218709907</v>
      </c>
      <c r="F1992" s="4428"/>
      <c r="G1992" s="2864"/>
      <c r="H1992" s="2690"/>
      <c r="I1992" s="896"/>
      <c r="J1992" s="3161"/>
      <c r="K1992" s="3161"/>
      <c r="L1992" s="2690"/>
      <c r="M1992" s="2690"/>
      <c r="N1992" s="2704"/>
      <c r="P1992" s="617"/>
    </row>
    <row r="1993" spans="1:16" s="20" customFormat="1" ht="18.75" hidden="1" customHeight="1" x14ac:dyDescent="0.25">
      <c r="A1993" s="963"/>
      <c r="B1993" s="441"/>
      <c r="C1993" s="2473" t="s">
        <v>7211</v>
      </c>
      <c r="D1993" s="896">
        <v>200000000</v>
      </c>
      <c r="E1993" s="2760">
        <f>D1993/D1724*100</f>
        <v>0.16293680291613211</v>
      </c>
      <c r="F1993" s="4428"/>
      <c r="G1993" s="2864"/>
      <c r="H1993" s="2690"/>
      <c r="I1993" s="896"/>
      <c r="J1993" s="3161"/>
      <c r="K1993" s="3161"/>
      <c r="L1993" s="2690"/>
      <c r="M1993" s="2690"/>
      <c r="N1993" s="2704"/>
      <c r="P1993" s="617"/>
    </row>
    <row r="1994" spans="1:16" s="20" customFormat="1" ht="15.75" hidden="1" customHeight="1" x14ac:dyDescent="0.25">
      <c r="A1994" s="963"/>
      <c r="B1994" s="441"/>
      <c r="C1994" s="2473" t="s">
        <v>7212</v>
      </c>
      <c r="D1994" s="896">
        <v>150000000</v>
      </c>
      <c r="E1994" s="2760">
        <f>D1994/D1724*100</f>
        <v>0.12220260218709907</v>
      </c>
      <c r="F1994" s="4428"/>
      <c r="G1994" s="2864"/>
      <c r="H1994" s="2690"/>
      <c r="I1994" s="896"/>
      <c r="J1994" s="3161"/>
      <c r="K1994" s="3161"/>
      <c r="L1994" s="2690"/>
      <c r="M1994" s="2690"/>
      <c r="N1994" s="2704"/>
      <c r="P1994" s="617"/>
    </row>
    <row r="1995" spans="1:16" s="20" customFormat="1" ht="18.75" hidden="1" customHeight="1" x14ac:dyDescent="0.25">
      <c r="A1995" s="963"/>
      <c r="B1995" s="441"/>
      <c r="C1995" s="2473" t="s">
        <v>7213</v>
      </c>
      <c r="D1995" s="896">
        <v>100000000</v>
      </c>
      <c r="E1995" s="2760">
        <f>D1995/D1724*100</f>
        <v>8.1468401458066053E-2</v>
      </c>
      <c r="F1995" s="4428"/>
      <c r="G1995" s="2864"/>
      <c r="H1995" s="2690"/>
      <c r="I1995" s="896"/>
      <c r="J1995" s="3161"/>
      <c r="K1995" s="3161"/>
      <c r="L1995" s="2690"/>
      <c r="M1995" s="2690"/>
      <c r="N1995" s="2704"/>
      <c r="P1995" s="617"/>
    </row>
    <row r="1996" spans="1:16" s="20" customFormat="1" ht="18.75" hidden="1" customHeight="1" x14ac:dyDescent="0.25">
      <c r="A1996" s="963"/>
      <c r="B1996" s="441"/>
      <c r="C1996" s="2473" t="s">
        <v>7214</v>
      </c>
      <c r="D1996" s="896">
        <v>100000000</v>
      </c>
      <c r="E1996" s="2760">
        <f>D1996/D1724*100</f>
        <v>8.1468401458066053E-2</v>
      </c>
      <c r="F1996" s="4428"/>
      <c r="G1996" s="2864"/>
      <c r="H1996" s="2690"/>
      <c r="I1996" s="896"/>
      <c r="J1996" s="3161"/>
      <c r="K1996" s="3161"/>
      <c r="L1996" s="2690"/>
      <c r="M1996" s="2690"/>
      <c r="N1996" s="2704"/>
      <c r="P1996" s="617"/>
    </row>
    <row r="1997" spans="1:16" ht="11.25" hidden="1" customHeight="1" x14ac:dyDescent="0.25">
      <c r="B1997" s="441"/>
      <c r="C1997" s="2517"/>
      <c r="D1997" s="2755"/>
      <c r="E1997" s="2695"/>
      <c r="F1997" s="3891"/>
      <c r="G1997" s="3191"/>
      <c r="H1997" s="3190"/>
      <c r="I1997" s="902"/>
      <c r="J1997" s="2881"/>
      <c r="K1997" s="3139"/>
      <c r="L1997" s="896"/>
      <c r="M1997" s="898"/>
      <c r="N1997" s="2768"/>
    </row>
    <row r="1998" spans="1:16" ht="16.5" hidden="1" customHeight="1" x14ac:dyDescent="0.25">
      <c r="B1998" s="440"/>
      <c r="C1998" s="2471" t="s">
        <v>7215</v>
      </c>
      <c r="D1998" s="2744">
        <f>SUM(D1999+D2002)</f>
        <v>1100000000</v>
      </c>
      <c r="E1998" s="2672">
        <f>D1998/D1724*100</f>
        <v>0.89615241603872664</v>
      </c>
      <c r="F1998" s="3850"/>
      <c r="G1998" s="2886"/>
      <c r="H1998" s="2672"/>
      <c r="I1998" s="2744"/>
      <c r="J1998" s="2887"/>
      <c r="K1998" s="2887"/>
      <c r="L1998" s="2672"/>
      <c r="M1998" s="2744"/>
      <c r="N1998" s="2768"/>
    </row>
    <row r="1999" spans="1:16" ht="16.5" hidden="1" customHeight="1" x14ac:dyDescent="0.25">
      <c r="B1999" s="441"/>
      <c r="C1999" s="2525" t="s">
        <v>7216</v>
      </c>
      <c r="D1999" s="899">
        <f>D2000</f>
        <v>1000000000</v>
      </c>
      <c r="E1999" s="2734">
        <f>D1999/D1724*100</f>
        <v>0.81468401458066053</v>
      </c>
      <c r="F1999" s="3879"/>
      <c r="G1999" s="3163"/>
      <c r="H1999" s="2695"/>
      <c r="I1999" s="2759"/>
      <c r="J1999" s="3163"/>
      <c r="K1999" s="3163"/>
      <c r="L1999" s="2695"/>
      <c r="M1999" s="2759"/>
      <c r="N1999" s="2768"/>
    </row>
    <row r="2000" spans="1:16" ht="17.25" hidden="1" customHeight="1" x14ac:dyDescent="0.25">
      <c r="B2000" s="441"/>
      <c r="C2000" s="2473" t="s">
        <v>7217</v>
      </c>
      <c r="D2000" s="896">
        <v>1000000000</v>
      </c>
      <c r="E2000" s="2690">
        <f>D2000/D1724*100</f>
        <v>0.81468401458066053</v>
      </c>
      <c r="F2000" s="4428"/>
      <c r="G2000" s="3161"/>
      <c r="H2000" s="2690"/>
      <c r="I2000" s="896"/>
      <c r="J2000" s="3161"/>
      <c r="K2000" s="3161"/>
      <c r="L2000" s="2690"/>
      <c r="M2000" s="896"/>
      <c r="N2000" s="2768"/>
    </row>
    <row r="2001" spans="2:14" ht="11.25" hidden="1" customHeight="1" x14ac:dyDescent="0.25">
      <c r="B2001" s="441"/>
      <c r="C2001" s="2476"/>
      <c r="D2001" s="2709"/>
      <c r="E2001" s="2690"/>
      <c r="F2001" s="4427"/>
      <c r="G2001" s="3174"/>
      <c r="H2001" s="2710"/>
      <c r="I2001" s="2709"/>
      <c r="J2001" s="3174"/>
      <c r="K2001" s="3174"/>
      <c r="L2001" s="2710"/>
      <c r="M2001" s="2709"/>
      <c r="N2001" s="2768"/>
    </row>
    <row r="2002" spans="2:14" ht="17.25" hidden="1" customHeight="1" x14ac:dyDescent="0.25">
      <c r="B2002" s="441"/>
      <c r="C2002" s="2477" t="s">
        <v>7219</v>
      </c>
      <c r="D2002" s="2767">
        <f>D2003</f>
        <v>100000000</v>
      </c>
      <c r="E2002" s="2695">
        <f>D2002/D1724*100</f>
        <v>8.1468401458066053E-2</v>
      </c>
      <c r="F2002" s="4427"/>
      <c r="G2002" s="3174"/>
      <c r="H2002" s="2710"/>
      <c r="I2002" s="2709"/>
      <c r="J2002" s="3174"/>
      <c r="K2002" s="3174"/>
      <c r="L2002" s="2710"/>
      <c r="M2002" s="2709"/>
      <c r="N2002" s="2768"/>
    </row>
    <row r="2003" spans="2:14" ht="17.25" hidden="1" customHeight="1" x14ac:dyDescent="0.25">
      <c r="B2003" s="441"/>
      <c r="C2003" s="2476" t="s">
        <v>7218</v>
      </c>
      <c r="D2003" s="2709">
        <v>100000000</v>
      </c>
      <c r="E2003" s="2690">
        <f>D2003/D1724*100</f>
        <v>8.1468401458066053E-2</v>
      </c>
      <c r="F2003" s="4427"/>
      <c r="G2003" s="3174"/>
      <c r="H2003" s="2710"/>
      <c r="I2003" s="2709"/>
      <c r="J2003" s="3174"/>
      <c r="K2003" s="3174"/>
      <c r="L2003" s="2710"/>
      <c r="M2003" s="2709"/>
      <c r="N2003" s="2768"/>
    </row>
    <row r="2004" spans="2:14" ht="12" hidden="1" customHeight="1" x14ac:dyDescent="0.25">
      <c r="B2004" s="441"/>
      <c r="C2004" s="2477"/>
      <c r="D2004" s="2709"/>
      <c r="E2004" s="2821"/>
      <c r="F2004" s="4430"/>
      <c r="G2004" s="911"/>
      <c r="H2004" s="2778"/>
      <c r="I2004" s="911"/>
      <c r="J2004" s="911"/>
      <c r="K2004" s="911"/>
      <c r="L2004" s="911"/>
      <c r="M2004" s="911"/>
      <c r="N2004" s="2768"/>
    </row>
    <row r="2005" spans="2:14" ht="15.75" hidden="1" customHeight="1" x14ac:dyDescent="0.25">
      <c r="B2005" s="440"/>
      <c r="C2005" s="2471" t="s">
        <v>7220</v>
      </c>
      <c r="D2005" s="2744">
        <f>SUM(D2006+D2009+D2013)</f>
        <v>1175050000</v>
      </c>
      <c r="E2005" s="2672">
        <f>D2005/D1724*100</f>
        <v>0.95729445133300517</v>
      </c>
      <c r="F2005" s="3888"/>
      <c r="G2005" s="3192"/>
      <c r="H2005" s="2672"/>
      <c r="I2005" s="2744"/>
      <c r="J2005" s="2887"/>
      <c r="K2005" s="2887"/>
      <c r="L2005" s="2672"/>
      <c r="M2005" s="2744"/>
      <c r="N2005" s="2768"/>
    </row>
    <row r="2006" spans="2:14" ht="18" hidden="1" customHeight="1" x14ac:dyDescent="0.25">
      <c r="B2006" s="441"/>
      <c r="C2006" s="2474" t="s">
        <v>7221</v>
      </c>
      <c r="D2006" s="2751">
        <f>D2007</f>
        <v>100000000</v>
      </c>
      <c r="E2006" s="2695">
        <f>D2006/D1724*100</f>
        <v>8.1468401458066053E-2</v>
      </c>
      <c r="F2006" s="3889"/>
      <c r="G2006" s="3178"/>
      <c r="H2006" s="2695"/>
      <c r="I2006" s="899"/>
      <c r="J2006" s="3168"/>
      <c r="K2006" s="3193"/>
      <c r="L2006" s="2695"/>
      <c r="M2006" s="899"/>
      <c r="N2006" s="2768"/>
    </row>
    <row r="2007" spans="2:14" ht="18" hidden="1" customHeight="1" x14ac:dyDescent="0.25">
      <c r="B2007" s="441"/>
      <c r="C2007" s="2473" t="s">
        <v>7222</v>
      </c>
      <c r="D2007" s="896">
        <v>100000000</v>
      </c>
      <c r="E2007" s="2690">
        <f>D2007/D1724*100</f>
        <v>8.1468401458066053E-2</v>
      </c>
      <c r="F2007" s="4428"/>
      <c r="G2007" s="3174"/>
      <c r="H2007" s="2690"/>
      <c r="I2007" s="896"/>
      <c r="J2007" s="3161"/>
      <c r="K2007" s="896"/>
      <c r="L2007" s="2690"/>
      <c r="M2007" s="896"/>
      <c r="N2007" s="2768"/>
    </row>
    <row r="2008" spans="2:14" ht="9.75" hidden="1" customHeight="1" x14ac:dyDescent="0.25">
      <c r="B2008" s="441"/>
      <c r="C2008" s="2476"/>
      <c r="D2008" s="2709"/>
      <c r="E2008" s="2690"/>
      <c r="F2008" s="4427"/>
      <c r="G2008" s="3174"/>
      <c r="H2008" s="2710"/>
      <c r="I2008" s="2709"/>
      <c r="J2008" s="3161"/>
      <c r="K2008" s="2709"/>
      <c r="L2008" s="2710"/>
      <c r="M2008" s="2709"/>
      <c r="N2008" s="2768"/>
    </row>
    <row r="2009" spans="2:14" ht="18" hidden="1" customHeight="1" x14ac:dyDescent="0.25">
      <c r="B2009" s="441"/>
      <c r="C2009" s="2477" t="s">
        <v>7223</v>
      </c>
      <c r="D2009" s="2767">
        <f>SUM(D2010:D2011)</f>
        <v>400050000</v>
      </c>
      <c r="E2009" s="2695">
        <f>D2009/D1724*100</f>
        <v>0.32591434003299324</v>
      </c>
      <c r="F2009" s="4427"/>
      <c r="G2009" s="3174"/>
      <c r="H2009" s="2710"/>
      <c r="I2009" s="2709"/>
      <c r="J2009" s="3161"/>
      <c r="K2009" s="2709"/>
      <c r="L2009" s="2710"/>
      <c r="M2009" s="2709"/>
      <c r="N2009" s="2768"/>
    </row>
    <row r="2010" spans="2:14" ht="18" hidden="1" customHeight="1" x14ac:dyDescent="0.25">
      <c r="B2010" s="441"/>
      <c r="C2010" s="2476" t="s">
        <v>7224</v>
      </c>
      <c r="D2010" s="2709">
        <v>200000000</v>
      </c>
      <c r="E2010" s="2690">
        <f>D2010/D1724*100</f>
        <v>0.16293680291613211</v>
      </c>
      <c r="F2010" s="4427"/>
      <c r="G2010" s="3174"/>
      <c r="H2010" s="2710"/>
      <c r="I2010" s="2709"/>
      <c r="J2010" s="3161"/>
      <c r="K2010" s="2709"/>
      <c r="L2010" s="2710"/>
      <c r="M2010" s="2709"/>
      <c r="N2010" s="2768"/>
    </row>
    <row r="2011" spans="2:14" ht="18" hidden="1" customHeight="1" x14ac:dyDescent="0.25">
      <c r="B2011" s="441"/>
      <c r="C2011" s="2476" t="s">
        <v>7225</v>
      </c>
      <c r="D2011" s="2709">
        <v>200050000</v>
      </c>
      <c r="E2011" s="2690">
        <f>D2011/D1724*100</f>
        <v>0.16297753711686114</v>
      </c>
      <c r="F2011" s="4427"/>
      <c r="G2011" s="3174"/>
      <c r="H2011" s="2710"/>
      <c r="I2011" s="2709"/>
      <c r="J2011" s="3161"/>
      <c r="K2011" s="2709"/>
      <c r="L2011" s="2710"/>
      <c r="M2011" s="2709"/>
      <c r="N2011" s="2768"/>
    </row>
    <row r="2012" spans="2:14" ht="9.75" hidden="1" customHeight="1" x14ac:dyDescent="0.25">
      <c r="B2012" s="441"/>
      <c r="C2012" s="2476"/>
      <c r="D2012" s="2709"/>
      <c r="E2012" s="2690"/>
      <c r="F2012" s="4427"/>
      <c r="G2012" s="3174"/>
      <c r="H2012" s="2710"/>
      <c r="I2012" s="2709"/>
      <c r="J2012" s="3161"/>
      <c r="K2012" s="2709"/>
      <c r="L2012" s="2710"/>
      <c r="M2012" s="2709"/>
      <c r="N2012" s="2768"/>
    </row>
    <row r="2013" spans="2:14" ht="18" hidden="1" customHeight="1" x14ac:dyDescent="0.25">
      <c r="B2013" s="441"/>
      <c r="C2013" s="2477" t="s">
        <v>7226</v>
      </c>
      <c r="D2013" s="2767">
        <f>SUM(D2014:D2015)</f>
        <v>675000000</v>
      </c>
      <c r="E2013" s="2695">
        <f>D2013/D1724*100</f>
        <v>0.54991170984194593</v>
      </c>
      <c r="F2013" s="4427"/>
      <c r="G2013" s="3174"/>
      <c r="H2013" s="2710"/>
      <c r="I2013" s="2709"/>
      <c r="J2013" s="3161"/>
      <c r="K2013" s="2709"/>
      <c r="L2013" s="2710"/>
      <c r="M2013" s="2709"/>
      <c r="N2013" s="2768"/>
    </row>
    <row r="2014" spans="2:14" ht="15" hidden="1" customHeight="1" x14ac:dyDescent="0.25">
      <c r="B2014" s="441"/>
      <c r="C2014" s="2476" t="s">
        <v>7227</v>
      </c>
      <c r="D2014" s="2709">
        <v>375000000</v>
      </c>
      <c r="E2014" s="2690">
        <f>D2014/D1724*100</f>
        <v>0.30550650546774771</v>
      </c>
      <c r="F2014" s="4427"/>
      <c r="G2014" s="3174"/>
      <c r="H2014" s="2710"/>
      <c r="I2014" s="2709"/>
      <c r="J2014" s="3161"/>
      <c r="K2014" s="2709"/>
      <c r="L2014" s="2710"/>
      <c r="M2014" s="2709"/>
      <c r="N2014" s="2768"/>
    </row>
    <row r="2015" spans="2:14" ht="18" hidden="1" customHeight="1" x14ac:dyDescent="0.25">
      <c r="B2015" s="441"/>
      <c r="C2015" s="2476" t="s">
        <v>7228</v>
      </c>
      <c r="D2015" s="2709">
        <v>300000000</v>
      </c>
      <c r="E2015" s="2690">
        <f>D2015/D1724*100</f>
        <v>0.24440520437419813</v>
      </c>
      <c r="F2015" s="4427"/>
      <c r="G2015" s="3174"/>
      <c r="H2015" s="2710"/>
      <c r="I2015" s="2709"/>
      <c r="J2015" s="3161"/>
      <c r="K2015" s="2709"/>
      <c r="L2015" s="2710"/>
      <c r="M2015" s="2709"/>
      <c r="N2015" s="2768"/>
    </row>
    <row r="2016" spans="2:14" ht="12" hidden="1" customHeight="1" x14ac:dyDescent="0.25">
      <c r="B2016" s="441"/>
      <c r="C2016" s="2476"/>
      <c r="D2016" s="2894"/>
      <c r="E2016" s="3194"/>
      <c r="F2016" s="4461"/>
      <c r="G2016" s="2710"/>
      <c r="H2016" s="2710"/>
      <c r="I2016" s="911"/>
      <c r="J2016" s="898"/>
      <c r="K2016" s="911"/>
      <c r="L2016" s="2709"/>
      <c r="M2016" s="911"/>
      <c r="N2016" s="2768"/>
    </row>
    <row r="2017" spans="2:14" ht="18" hidden="1" customHeight="1" x14ac:dyDescent="0.25">
      <c r="B2017" s="440"/>
      <c r="C2017" s="2471" t="s">
        <v>7229</v>
      </c>
      <c r="D2017" s="2744">
        <f>SUM(D2018+D2025)</f>
        <v>1642500000</v>
      </c>
      <c r="E2017" s="2672">
        <f>D2017/D1724*100</f>
        <v>1.3381184939487347</v>
      </c>
      <c r="F2017" s="3886"/>
      <c r="G2017" s="3181"/>
      <c r="H2017" s="2672"/>
      <c r="I2017" s="2744"/>
      <c r="J2017" s="3181"/>
      <c r="K2017" s="3181"/>
      <c r="L2017" s="2672"/>
      <c r="M2017" s="2744"/>
      <c r="N2017" s="2768"/>
    </row>
    <row r="2018" spans="2:14" ht="16.5" hidden="1" customHeight="1" x14ac:dyDescent="0.25">
      <c r="B2018" s="441"/>
      <c r="C2018" s="2472" t="s">
        <v>847</v>
      </c>
      <c r="D2018" s="2759">
        <f>SUM(D2019:D2023)</f>
        <v>450000000</v>
      </c>
      <c r="E2018" s="2734">
        <f>D2018/D1724*100</f>
        <v>0.36660780656129721</v>
      </c>
      <c r="F2018" s="3884"/>
      <c r="G2018" s="2679"/>
      <c r="H2018" s="2679"/>
      <c r="I2018" s="2679"/>
      <c r="J2018" s="3178"/>
      <c r="K2018" s="3178"/>
      <c r="L2018" s="2695"/>
      <c r="M2018" s="2759"/>
      <c r="N2018" s="2768"/>
    </row>
    <row r="2019" spans="2:14" ht="16.5" hidden="1" customHeight="1" x14ac:dyDescent="0.25">
      <c r="B2019" s="441"/>
      <c r="C2019" s="2473" t="s">
        <v>7230</v>
      </c>
      <c r="D2019" s="896">
        <v>50000000</v>
      </c>
      <c r="E2019" s="2690">
        <f>D2019/D1724*100</f>
        <v>4.0734200729033027E-2</v>
      </c>
      <c r="F2019" s="4428"/>
      <c r="G2019" s="2685"/>
      <c r="H2019" s="2685"/>
      <c r="I2019" s="2685"/>
      <c r="J2019" s="3161"/>
      <c r="K2019" s="3165"/>
      <c r="L2019" s="2690"/>
      <c r="M2019" s="896"/>
      <c r="N2019" s="2768"/>
    </row>
    <row r="2020" spans="2:14" ht="15.75" hidden="1" customHeight="1" x14ac:dyDescent="0.25">
      <c r="B2020" s="441"/>
      <c r="C2020" s="2473" t="s">
        <v>7231</v>
      </c>
      <c r="D2020" s="896">
        <v>100000000</v>
      </c>
      <c r="E2020" s="2690">
        <f>D2020/D1724*100</f>
        <v>8.1468401458066053E-2</v>
      </c>
      <c r="F2020" s="4428"/>
      <c r="G2020" s="2685"/>
      <c r="H2020" s="2685"/>
      <c r="I2020" s="2685"/>
      <c r="J2020" s="3161"/>
      <c r="K2020" s="3161"/>
      <c r="L2020" s="2690"/>
      <c r="M2020" s="896"/>
      <c r="N2020" s="2768"/>
    </row>
    <row r="2021" spans="2:14" ht="15" hidden="1" customHeight="1" x14ac:dyDescent="0.25">
      <c r="B2021" s="441"/>
      <c r="C2021" s="2473" t="s">
        <v>7232</v>
      </c>
      <c r="D2021" s="896">
        <v>100000000</v>
      </c>
      <c r="E2021" s="2690">
        <f>D2021/D1724*100</f>
        <v>8.1468401458066053E-2</v>
      </c>
      <c r="F2021" s="4428"/>
      <c r="G2021" s="2685"/>
      <c r="H2021" s="2685"/>
      <c r="I2021" s="2685"/>
      <c r="J2021" s="3161"/>
      <c r="K2021" s="3161"/>
      <c r="L2021" s="2690"/>
      <c r="M2021" s="896"/>
      <c r="N2021" s="2768"/>
    </row>
    <row r="2022" spans="2:14" ht="16.5" hidden="1" customHeight="1" x14ac:dyDescent="0.25">
      <c r="B2022" s="441"/>
      <c r="C2022" s="2473" t="s">
        <v>7233</v>
      </c>
      <c r="D2022" s="896">
        <v>150000000</v>
      </c>
      <c r="E2022" s="2690">
        <f>D2022/D1724*100</f>
        <v>0.12220260218709907</v>
      </c>
      <c r="F2022" s="4428"/>
      <c r="G2022" s="2685"/>
      <c r="H2022" s="2685"/>
      <c r="I2022" s="2685"/>
      <c r="J2022" s="3161"/>
      <c r="K2022" s="3161"/>
      <c r="L2022" s="2690"/>
      <c r="M2022" s="896"/>
      <c r="N2022" s="2768"/>
    </row>
    <row r="2023" spans="2:14" ht="16.5" hidden="1" customHeight="1" x14ac:dyDescent="0.25">
      <c r="B2023" s="441"/>
      <c r="C2023" s="2473" t="s">
        <v>7234</v>
      </c>
      <c r="D2023" s="896">
        <v>50000000</v>
      </c>
      <c r="E2023" s="2690">
        <f>D2023/D1724*100</f>
        <v>4.0734200729033027E-2</v>
      </c>
      <c r="F2023" s="4428"/>
      <c r="G2023" s="2804"/>
      <c r="H2023" s="2804"/>
      <c r="I2023" s="2804"/>
      <c r="J2023" s="3161"/>
      <c r="K2023" s="3161"/>
      <c r="L2023" s="2690"/>
      <c r="M2023" s="896"/>
      <c r="N2023" s="2768"/>
    </row>
    <row r="2024" spans="2:14" ht="11.25" hidden="1" customHeight="1" x14ac:dyDescent="0.25">
      <c r="B2024" s="441"/>
      <c r="C2024" s="2473"/>
      <c r="D2024" s="896"/>
      <c r="E2024" s="2690"/>
      <c r="F2024" s="4428"/>
      <c r="G2024" s="2804"/>
      <c r="H2024" s="2804"/>
      <c r="I2024" s="2804"/>
      <c r="J2024" s="3161"/>
      <c r="K2024" s="3161"/>
      <c r="L2024" s="2690"/>
      <c r="M2024" s="896"/>
      <c r="N2024" s="2768"/>
    </row>
    <row r="2025" spans="2:14" ht="16.5" hidden="1" customHeight="1" x14ac:dyDescent="0.25">
      <c r="B2025" s="441"/>
      <c r="C2025" s="2474" t="s">
        <v>7235</v>
      </c>
      <c r="D2025" s="899">
        <f>SUM(D2026:D2026)</f>
        <v>1192500000</v>
      </c>
      <c r="E2025" s="2734">
        <f>D2025/D1724*100</f>
        <v>0.97151068738743773</v>
      </c>
      <c r="F2025" s="4428"/>
      <c r="G2025" s="2804"/>
      <c r="H2025" s="2804"/>
      <c r="I2025" s="2804"/>
      <c r="J2025" s="3161"/>
      <c r="K2025" s="3161"/>
      <c r="L2025" s="2690"/>
      <c r="M2025" s="896"/>
      <c r="N2025" s="2768"/>
    </row>
    <row r="2026" spans="2:14" ht="16.5" hidden="1" customHeight="1" x14ac:dyDescent="0.25">
      <c r="B2026" s="441"/>
      <c r="C2026" s="2473" t="s">
        <v>7236</v>
      </c>
      <c r="D2026" s="896">
        <v>1192500000</v>
      </c>
      <c r="E2026" s="2690">
        <f>D2026/D1724*100</f>
        <v>0.97151068738743773</v>
      </c>
      <c r="F2026" s="4428"/>
      <c r="G2026" s="2804"/>
      <c r="H2026" s="2804"/>
      <c r="I2026" s="2804"/>
      <c r="J2026" s="3161"/>
      <c r="K2026" s="3161"/>
      <c r="L2026" s="2690"/>
      <c r="M2026" s="896"/>
      <c r="N2026" s="2768"/>
    </row>
    <row r="2027" spans="2:14" ht="13.5" hidden="1" customHeight="1" x14ac:dyDescent="0.25">
      <c r="B2027" s="441"/>
      <c r="C2027" s="2476"/>
      <c r="D2027" s="2709"/>
      <c r="E2027" s="2710"/>
      <c r="F2027" s="4427"/>
      <c r="G2027" s="2708"/>
      <c r="H2027" s="2708"/>
      <c r="I2027" s="2708"/>
      <c r="J2027" s="3174"/>
      <c r="K2027" s="2831"/>
      <c r="L2027" s="2708"/>
      <c r="M2027" s="2708"/>
      <c r="N2027" s="2768"/>
    </row>
    <row r="2028" spans="2:14" ht="18" hidden="1" customHeight="1" x14ac:dyDescent="0.25">
      <c r="B2028" s="440"/>
      <c r="C2028" s="2471" t="s">
        <v>7237</v>
      </c>
      <c r="D2028" s="2744">
        <f>D2029+D2033+D2039+D2042</f>
        <v>1275000000</v>
      </c>
      <c r="E2028" s="2672">
        <f>D2028/D1724*100</f>
        <v>1.0387221185903421</v>
      </c>
      <c r="F2028" s="3890"/>
      <c r="G2028" s="3196"/>
      <c r="H2028" s="2719"/>
      <c r="I2028" s="2719"/>
      <c r="J2028" s="3181"/>
      <c r="K2028" s="3181"/>
      <c r="L2028" s="2672"/>
      <c r="M2028" s="2719"/>
      <c r="N2028" s="2768"/>
    </row>
    <row r="2029" spans="2:14" ht="16.5" hidden="1" customHeight="1" x14ac:dyDescent="0.25">
      <c r="B2029" s="441"/>
      <c r="C2029" s="2478" t="s">
        <v>7238</v>
      </c>
      <c r="D2029" s="2751">
        <f>D2030+D2031</f>
        <v>330000000</v>
      </c>
      <c r="E2029" s="2734">
        <f>D2029/D1724*100</f>
        <v>0.26884572481161795</v>
      </c>
      <c r="F2029" s="3891"/>
      <c r="G2029" s="3197"/>
      <c r="H2029" s="2679"/>
      <c r="I2029" s="2934"/>
      <c r="J2029" s="3193"/>
      <c r="K2029" s="3193"/>
      <c r="L2029" s="2695"/>
      <c r="M2029" s="2722"/>
      <c r="N2029" s="2768"/>
    </row>
    <row r="2030" spans="2:14" ht="17.25" hidden="1" customHeight="1" x14ac:dyDescent="0.25">
      <c r="B2030" s="441"/>
      <c r="C2030" s="2524" t="s">
        <v>7240</v>
      </c>
      <c r="D2030" s="896">
        <v>230000000</v>
      </c>
      <c r="E2030" s="2760">
        <f>D2030/D1724*100</f>
        <v>0.18737732335355189</v>
      </c>
      <c r="F2030" s="3879"/>
      <c r="G2030" s="3163"/>
      <c r="H2030" s="2679"/>
      <c r="I2030" s="2934"/>
      <c r="J2030" s="3163"/>
      <c r="K2030" s="3163"/>
      <c r="L2030" s="2695"/>
      <c r="M2030" s="2934"/>
      <c r="N2030" s="2768"/>
    </row>
    <row r="2031" spans="2:14" ht="17.25" hidden="1" customHeight="1" x14ac:dyDescent="0.25">
      <c r="B2031" s="441"/>
      <c r="C2031" s="2524" t="s">
        <v>7239</v>
      </c>
      <c r="D2031" s="896">
        <v>100000000</v>
      </c>
      <c r="E2031" s="2760">
        <f>D2031/D1724*100</f>
        <v>8.1468401458066053E-2</v>
      </c>
      <c r="F2031" s="3879"/>
      <c r="G2031" s="3167"/>
      <c r="H2031" s="2679"/>
      <c r="I2031" s="2934"/>
      <c r="J2031" s="3163"/>
      <c r="K2031" s="3167"/>
      <c r="L2031" s="2695"/>
      <c r="M2031" s="2934"/>
      <c r="N2031" s="2768"/>
    </row>
    <row r="2032" spans="2:14" ht="13.5" hidden="1" customHeight="1" x14ac:dyDescent="0.25">
      <c r="B2032" s="441"/>
      <c r="C2032" s="2524"/>
      <c r="D2032" s="896"/>
      <c r="E2032" s="2734"/>
      <c r="F2032" s="3879"/>
      <c r="G2032" s="3167"/>
      <c r="H2032" s="2679"/>
      <c r="I2032" s="2934"/>
      <c r="J2032" s="3163"/>
      <c r="K2032" s="3167"/>
      <c r="L2032" s="2695"/>
      <c r="M2032" s="2934"/>
      <c r="N2032" s="2768"/>
    </row>
    <row r="2033" spans="2:14" ht="30.75" hidden="1" customHeight="1" x14ac:dyDescent="0.25">
      <c r="B2033" s="441"/>
      <c r="C2033" s="2474" t="s">
        <v>1652</v>
      </c>
      <c r="D2033" s="899">
        <f>SUM(D2034:D2037)</f>
        <v>495000000</v>
      </c>
      <c r="E2033" s="2734">
        <f>D2033/D1724*100</f>
        <v>0.40326858721742698</v>
      </c>
      <c r="F2033" s="4428"/>
      <c r="G2033" s="2708"/>
      <c r="H2033" s="2690"/>
      <c r="I2033" s="2708"/>
      <c r="J2033" s="3161"/>
      <c r="K2033" s="2831"/>
      <c r="L2033" s="2690"/>
      <c r="M2033" s="2708"/>
      <c r="N2033" s="2768"/>
    </row>
    <row r="2034" spans="2:14" ht="15.75" hidden="1" customHeight="1" x14ac:dyDescent="0.25">
      <c r="B2034" s="441"/>
      <c r="C2034" s="2473" t="s">
        <v>7242</v>
      </c>
      <c r="D2034" s="896">
        <v>70000000</v>
      </c>
      <c r="E2034" s="2760">
        <f>D2034/D1724*100</f>
        <v>5.7027881020646237E-2</v>
      </c>
      <c r="F2034" s="4428"/>
      <c r="G2034" s="2708"/>
      <c r="H2034" s="2690"/>
      <c r="I2034" s="2708"/>
      <c r="J2034" s="3161"/>
      <c r="K2034" s="2831"/>
      <c r="L2034" s="2690"/>
      <c r="M2034" s="2708"/>
      <c r="N2034" s="2768"/>
    </row>
    <row r="2035" spans="2:14" ht="17.25" hidden="1" customHeight="1" x14ac:dyDescent="0.25">
      <c r="B2035" s="441"/>
      <c r="C2035" s="2473" t="s">
        <v>7241</v>
      </c>
      <c r="D2035" s="896">
        <v>100000000</v>
      </c>
      <c r="E2035" s="2760">
        <f>D2035/D1724*100</f>
        <v>8.1468401458066053E-2</v>
      </c>
      <c r="F2035" s="4428"/>
      <c r="G2035" s="2708"/>
      <c r="H2035" s="2690"/>
      <c r="I2035" s="2708"/>
      <c r="J2035" s="3161"/>
      <c r="K2035" s="2831"/>
      <c r="L2035" s="2690"/>
      <c r="M2035" s="2708"/>
      <c r="N2035" s="2768"/>
    </row>
    <row r="2036" spans="2:14" ht="15.75" hidden="1" customHeight="1" x14ac:dyDescent="0.25">
      <c r="B2036" s="441"/>
      <c r="C2036" s="2473" t="s">
        <v>7243</v>
      </c>
      <c r="D2036" s="896">
        <v>75000000</v>
      </c>
      <c r="E2036" s="2760">
        <f>D2036/D1724*100</f>
        <v>6.1101301093549533E-2</v>
      </c>
      <c r="F2036" s="4428"/>
      <c r="G2036" s="2708"/>
      <c r="H2036" s="2690"/>
      <c r="I2036" s="2708"/>
      <c r="J2036" s="3161"/>
      <c r="K2036" s="2831"/>
      <c r="L2036" s="2690"/>
      <c r="M2036" s="2708"/>
      <c r="N2036" s="2768"/>
    </row>
    <row r="2037" spans="2:14" ht="15.75" hidden="1" customHeight="1" x14ac:dyDescent="0.25">
      <c r="B2037" s="441"/>
      <c r="C2037" s="2473" t="s">
        <v>7244</v>
      </c>
      <c r="D2037" s="896">
        <v>250000000</v>
      </c>
      <c r="E2037" s="2760">
        <f>D2037/D1724*100</f>
        <v>0.20367100364516513</v>
      </c>
      <c r="F2037" s="4428"/>
      <c r="G2037" s="2685"/>
      <c r="H2037" s="2685"/>
      <c r="I2037" s="2685"/>
      <c r="J2037" s="3161"/>
      <c r="K2037" s="2700"/>
      <c r="L2037" s="2685"/>
      <c r="M2037" s="2685"/>
      <c r="N2037" s="2768"/>
    </row>
    <row r="2038" spans="2:14" ht="10.5" hidden="1" customHeight="1" x14ac:dyDescent="0.25">
      <c r="B2038" s="441"/>
      <c r="C2038" s="2473"/>
      <c r="D2038" s="896"/>
      <c r="E2038" s="2760"/>
      <c r="F2038" s="4428"/>
      <c r="G2038" s="2685"/>
      <c r="H2038" s="2685"/>
      <c r="I2038" s="2685"/>
      <c r="J2038" s="3161"/>
      <c r="K2038" s="2700"/>
      <c r="L2038" s="2685"/>
      <c r="M2038" s="2685"/>
      <c r="N2038" s="2768"/>
    </row>
    <row r="2039" spans="2:14" ht="18" hidden="1" customHeight="1" x14ac:dyDescent="0.25">
      <c r="B2039" s="441"/>
      <c r="C2039" s="2474" t="s">
        <v>7245</v>
      </c>
      <c r="D2039" s="899">
        <f>D2040</f>
        <v>150000000</v>
      </c>
      <c r="E2039" s="2734">
        <f>D2039/D1724*100</f>
        <v>0.12220260218709907</v>
      </c>
      <c r="F2039" s="4428"/>
      <c r="G2039" s="2685"/>
      <c r="H2039" s="2685"/>
      <c r="I2039" s="2685"/>
      <c r="J2039" s="3161"/>
      <c r="K2039" s="2700"/>
      <c r="L2039" s="2685"/>
      <c r="M2039" s="2685"/>
      <c r="N2039" s="2768"/>
    </row>
    <row r="2040" spans="2:14" ht="19.5" hidden="1" customHeight="1" x14ac:dyDescent="0.25">
      <c r="B2040" s="441"/>
      <c r="C2040" s="2473" t="s">
        <v>7246</v>
      </c>
      <c r="D2040" s="896">
        <v>150000000</v>
      </c>
      <c r="E2040" s="2760">
        <f>D2040/D1724*100</f>
        <v>0.12220260218709907</v>
      </c>
      <c r="F2040" s="4428"/>
      <c r="G2040" s="2685"/>
      <c r="H2040" s="2685"/>
      <c r="I2040" s="2685"/>
      <c r="J2040" s="3161"/>
      <c r="K2040" s="2700"/>
      <c r="L2040" s="2685"/>
      <c r="M2040" s="2685"/>
      <c r="N2040" s="2768"/>
    </row>
    <row r="2041" spans="2:14" ht="9.75" hidden="1" customHeight="1" x14ac:dyDescent="0.25">
      <c r="B2041" s="441"/>
      <c r="C2041" s="2473"/>
      <c r="D2041" s="896"/>
      <c r="E2041" s="2760"/>
      <c r="F2041" s="4428"/>
      <c r="G2041" s="2685"/>
      <c r="H2041" s="2685"/>
      <c r="I2041" s="2685"/>
      <c r="J2041" s="3161"/>
      <c r="K2041" s="2700"/>
      <c r="L2041" s="2685"/>
      <c r="M2041" s="2685"/>
      <c r="N2041" s="2768"/>
    </row>
    <row r="2042" spans="2:14" ht="30" hidden="1" customHeight="1" x14ac:dyDescent="0.25">
      <c r="B2042" s="441"/>
      <c r="C2042" s="2474" t="s">
        <v>7247</v>
      </c>
      <c r="D2042" s="899">
        <f>SUM(D2043:D2044)</f>
        <v>300000000</v>
      </c>
      <c r="E2042" s="2734">
        <f>D2042/D1724*100</f>
        <v>0.24440520437419813</v>
      </c>
      <c r="F2042" s="4428"/>
      <c r="G2042" s="2685"/>
      <c r="H2042" s="2685"/>
      <c r="I2042" s="2685"/>
      <c r="J2042" s="3161"/>
      <c r="K2042" s="2700"/>
      <c r="L2042" s="2685"/>
      <c r="M2042" s="2685"/>
      <c r="N2042" s="2768"/>
    </row>
    <row r="2043" spans="2:14" ht="18" hidden="1" customHeight="1" x14ac:dyDescent="0.25">
      <c r="B2043" s="441"/>
      <c r="C2043" s="2473" t="s">
        <v>7248</v>
      </c>
      <c r="D2043" s="896">
        <v>100000000</v>
      </c>
      <c r="E2043" s="2760">
        <f>D2043/D1724*100</f>
        <v>8.1468401458066053E-2</v>
      </c>
      <c r="F2043" s="4428"/>
      <c r="G2043" s="2685"/>
      <c r="H2043" s="2685"/>
      <c r="I2043" s="2685"/>
      <c r="J2043" s="3161"/>
      <c r="K2043" s="2700"/>
      <c r="L2043" s="2685"/>
      <c r="M2043" s="2685"/>
      <c r="N2043" s="2768"/>
    </row>
    <row r="2044" spans="2:14" ht="15.75" hidden="1" customHeight="1" x14ac:dyDescent="0.25">
      <c r="B2044" s="441"/>
      <c r="C2044" s="2473" t="s">
        <v>7249</v>
      </c>
      <c r="D2044" s="896">
        <v>200000000</v>
      </c>
      <c r="E2044" s="2760">
        <f>D2044/D1724*100</f>
        <v>0.16293680291613211</v>
      </c>
      <c r="F2044" s="4428"/>
      <c r="G2044" s="2685"/>
      <c r="H2044" s="2685"/>
      <c r="I2044" s="2685"/>
      <c r="J2044" s="3161"/>
      <c r="K2044" s="2700"/>
      <c r="L2044" s="2685"/>
      <c r="M2044" s="2685"/>
      <c r="N2044" s="2768"/>
    </row>
    <row r="2045" spans="2:14" ht="13.5" hidden="1" customHeight="1" x14ac:dyDescent="0.25">
      <c r="B2045" s="441"/>
      <c r="C2045" s="2475"/>
      <c r="D2045" s="2769"/>
      <c r="E2045" s="2752"/>
      <c r="F2045" s="4460"/>
      <c r="G2045" s="2830"/>
      <c r="H2045" s="2830"/>
      <c r="I2045" s="2830"/>
      <c r="J2045" s="3170"/>
      <c r="K2045" s="2834"/>
      <c r="L2045" s="2830"/>
      <c r="M2045" s="2830"/>
      <c r="N2045" s="2768"/>
    </row>
    <row r="2046" spans="2:14" ht="18" hidden="1" customHeight="1" x14ac:dyDescent="0.25">
      <c r="B2046" s="440"/>
      <c r="C2046" s="2471" t="s">
        <v>7250</v>
      </c>
      <c r="D2046" s="2744">
        <f>D2047+D2055</f>
        <v>11416394000</v>
      </c>
      <c r="E2046" s="2672">
        <f>D2046/D1724*100</f>
        <v>9.3007536959545654</v>
      </c>
      <c r="F2046" s="3886"/>
      <c r="G2046" s="3181"/>
      <c r="H2046" s="2719"/>
      <c r="I2046" s="2719"/>
      <c r="J2046" s="3181"/>
      <c r="K2046" s="3181"/>
      <c r="L2046" s="2719"/>
      <c r="M2046" s="2719"/>
      <c r="N2046" s="2768"/>
    </row>
    <row r="2047" spans="2:14" ht="15.75" hidden="1" customHeight="1" x14ac:dyDescent="0.25">
      <c r="B2047" s="441"/>
      <c r="C2047" s="2538" t="s">
        <v>7251</v>
      </c>
      <c r="D2047" s="2759">
        <f>SUM(D2048:D2053)</f>
        <v>10416394000</v>
      </c>
      <c r="E2047" s="2734">
        <f>D2047/D1724*100</f>
        <v>8.4860696813739054</v>
      </c>
      <c r="F2047" s="3884"/>
      <c r="G2047" s="3178"/>
      <c r="H2047" s="2722"/>
      <c r="I2047" s="2722"/>
      <c r="J2047" s="3178"/>
      <c r="K2047" s="3178"/>
      <c r="L2047" s="2722"/>
      <c r="M2047" s="2934"/>
      <c r="N2047" s="2768"/>
    </row>
    <row r="2048" spans="2:14" ht="15.75" hidden="1" customHeight="1" x14ac:dyDescent="0.25">
      <c r="B2048" s="441"/>
      <c r="C2048" s="2473" t="s">
        <v>7252</v>
      </c>
      <c r="D2048" s="896">
        <v>403948000</v>
      </c>
      <c r="E2048" s="2760">
        <f>D2048/D1724*100</f>
        <v>0.32908997832182868</v>
      </c>
      <c r="F2048" s="4428"/>
      <c r="G2048" s="2708"/>
      <c r="H2048" s="2690"/>
      <c r="I2048" s="2708"/>
      <c r="J2048" s="3161"/>
      <c r="K2048" s="2831"/>
      <c r="L2048" s="2690"/>
      <c r="M2048" s="2708"/>
      <c r="N2048" s="2768"/>
    </row>
    <row r="2049" spans="2:14" ht="15.75" hidden="1" customHeight="1" x14ac:dyDescent="0.25">
      <c r="B2049" s="441"/>
      <c r="C2049" s="2476" t="s">
        <v>7253</v>
      </c>
      <c r="D2049" s="896">
        <v>3000000000</v>
      </c>
      <c r="E2049" s="2760">
        <f>D2049/D1724*100</f>
        <v>2.4440520437419817</v>
      </c>
      <c r="F2049" s="4428"/>
      <c r="G2049" s="2708"/>
      <c r="H2049" s="2710"/>
      <c r="I2049" s="2708"/>
      <c r="J2049" s="3174"/>
      <c r="K2049" s="2831"/>
      <c r="L2049" s="2710"/>
      <c r="M2049" s="2708"/>
      <c r="N2049" s="2768"/>
    </row>
    <row r="2050" spans="2:14" ht="15.75" hidden="1" customHeight="1" x14ac:dyDescent="0.25">
      <c r="B2050" s="441"/>
      <c r="C2050" s="2476" t="s">
        <v>7254</v>
      </c>
      <c r="D2050" s="896">
        <v>1500000000</v>
      </c>
      <c r="E2050" s="2760">
        <f>D2050/D1724*100</f>
        <v>1.2220260218709909</v>
      </c>
      <c r="F2050" s="4428"/>
      <c r="G2050" s="2708"/>
      <c r="H2050" s="2710"/>
      <c r="I2050" s="2708"/>
      <c r="J2050" s="3174"/>
      <c r="K2050" s="2831"/>
      <c r="L2050" s="2710"/>
      <c r="M2050" s="2708"/>
      <c r="N2050" s="2768"/>
    </row>
    <row r="2051" spans="2:14" ht="15.75" hidden="1" customHeight="1" x14ac:dyDescent="0.25">
      <c r="B2051" s="441"/>
      <c r="C2051" s="2476" t="s">
        <v>7255</v>
      </c>
      <c r="D2051" s="896">
        <v>2832000000</v>
      </c>
      <c r="E2051" s="2760">
        <f>D2051/D1724*100</f>
        <v>2.3071851292924306</v>
      </c>
      <c r="F2051" s="4428"/>
      <c r="G2051" s="2708"/>
      <c r="H2051" s="2710"/>
      <c r="I2051" s="2708"/>
      <c r="J2051" s="3174"/>
      <c r="K2051" s="2831"/>
      <c r="L2051" s="2710"/>
      <c r="M2051" s="2708"/>
      <c r="N2051" s="2768"/>
    </row>
    <row r="2052" spans="2:14" ht="15.75" hidden="1" customHeight="1" x14ac:dyDescent="0.25">
      <c r="B2052" s="441"/>
      <c r="C2052" s="2476" t="s">
        <v>7256</v>
      </c>
      <c r="D2052" s="896">
        <v>1000000000</v>
      </c>
      <c r="E2052" s="2760">
        <f>D2052/D1724*100</f>
        <v>0.81468401458066053</v>
      </c>
      <c r="F2052" s="4428"/>
      <c r="G2052" s="2708"/>
      <c r="H2052" s="2710"/>
      <c r="I2052" s="2708"/>
      <c r="J2052" s="3174"/>
      <c r="K2052" s="2831"/>
      <c r="L2052" s="2710"/>
      <c r="M2052" s="2708"/>
      <c r="N2052" s="2768"/>
    </row>
    <row r="2053" spans="2:14" ht="15.75" hidden="1" customHeight="1" x14ac:dyDescent="0.25">
      <c r="B2053" s="441"/>
      <c r="C2053" s="2476" t="s">
        <v>7257</v>
      </c>
      <c r="D2053" s="896">
        <v>1680446000</v>
      </c>
      <c r="E2053" s="2760">
        <f>D2053/D1724*100</f>
        <v>1.3690324935660125</v>
      </c>
      <c r="F2053" s="4428"/>
      <c r="G2053" s="2708"/>
      <c r="H2053" s="2710"/>
      <c r="I2053" s="2708"/>
      <c r="J2053" s="3174"/>
      <c r="K2053" s="2831"/>
      <c r="L2053" s="2710"/>
      <c r="M2053" s="2708"/>
      <c r="N2053" s="2768"/>
    </row>
    <row r="2054" spans="2:14" ht="8.25" hidden="1" customHeight="1" x14ac:dyDescent="0.25">
      <c r="B2054" s="441"/>
      <c r="C2054" s="2476"/>
      <c r="D2054" s="896"/>
      <c r="E2054" s="2710"/>
      <c r="F2054" s="4428"/>
      <c r="G2054" s="2708"/>
      <c r="H2054" s="2708"/>
      <c r="I2054" s="2708"/>
      <c r="J2054" s="3174"/>
      <c r="K2054" s="2831"/>
      <c r="L2054" s="2708"/>
      <c r="M2054" s="2708"/>
      <c r="N2054" s="2768"/>
    </row>
    <row r="2055" spans="2:14" ht="18" hidden="1" customHeight="1" x14ac:dyDescent="0.25">
      <c r="B2055" s="441"/>
      <c r="C2055" s="2525" t="s">
        <v>7258</v>
      </c>
      <c r="D2055" s="2812">
        <f>SUM(D2056:D2057)</f>
        <v>1000000000</v>
      </c>
      <c r="E2055" s="2695">
        <f>D2055/D1724*100</f>
        <v>0.81468401458066053</v>
      </c>
      <c r="F2055" s="3885"/>
      <c r="G2055" s="2934"/>
      <c r="H2055" s="2934"/>
      <c r="I2055" s="2934"/>
      <c r="J2055" s="3198"/>
      <c r="K2055" s="3198"/>
      <c r="L2055" s="2695"/>
      <c r="M2055" s="2934"/>
      <c r="N2055" s="2768"/>
    </row>
    <row r="2056" spans="2:14" ht="18" hidden="1" customHeight="1" x14ac:dyDescent="0.25">
      <c r="B2056" s="441"/>
      <c r="C2056" s="2524" t="s">
        <v>7259</v>
      </c>
      <c r="D2056" s="2853">
        <v>500000000</v>
      </c>
      <c r="E2056" s="2760">
        <f>D2056/D1724*100</f>
        <v>0.40734200729033027</v>
      </c>
      <c r="F2056" s="3885"/>
      <c r="G2056" s="2934"/>
      <c r="H2056" s="2934"/>
      <c r="I2056" s="2934"/>
      <c r="J2056" s="3198"/>
      <c r="K2056" s="3199"/>
      <c r="L2056" s="2821"/>
      <c r="M2056" s="2934"/>
      <c r="N2056" s="2768"/>
    </row>
    <row r="2057" spans="2:14" ht="18" hidden="1" customHeight="1" x14ac:dyDescent="0.25">
      <c r="B2057" s="441"/>
      <c r="C2057" s="2524" t="s">
        <v>7260</v>
      </c>
      <c r="D2057" s="2853">
        <v>500000000</v>
      </c>
      <c r="E2057" s="2760">
        <f>D2057/D1724*100</f>
        <v>0.40734200729033027</v>
      </c>
      <c r="F2057" s="3885"/>
      <c r="G2057" s="2934"/>
      <c r="H2057" s="2934"/>
      <c r="I2057" s="2934"/>
      <c r="J2057" s="3198"/>
      <c r="K2057" s="3199"/>
      <c r="L2057" s="2821"/>
      <c r="M2057" s="2934"/>
      <c r="N2057" s="2768"/>
    </row>
    <row r="2058" spans="2:14" ht="13.5" hidden="1" customHeight="1" x14ac:dyDescent="0.25">
      <c r="B2058" s="441"/>
      <c r="C2058" s="2476" t="s">
        <v>809</v>
      </c>
      <c r="D2058" s="2709"/>
      <c r="E2058" s="2710"/>
      <c r="F2058" s="4427"/>
      <c r="G2058" s="2708"/>
      <c r="H2058" s="2708"/>
      <c r="I2058" s="2708"/>
      <c r="J2058" s="3174"/>
      <c r="K2058" s="2831"/>
      <c r="L2058" s="2708"/>
      <c r="M2058" s="2708"/>
      <c r="N2058" s="2768"/>
    </row>
    <row r="2059" spans="2:14" ht="17.25" hidden="1" customHeight="1" x14ac:dyDescent="0.25">
      <c r="B2059" s="440"/>
      <c r="C2059" s="2471" t="s">
        <v>7261</v>
      </c>
      <c r="D2059" s="2744">
        <f>SUM(D2060)</f>
        <v>500000000</v>
      </c>
      <c r="E2059" s="2672">
        <f>D2059/D1724*100</f>
        <v>0.40734200729033027</v>
      </c>
      <c r="F2059" s="3892"/>
      <c r="G2059" s="3201"/>
      <c r="H2059" s="3201"/>
      <c r="I2059" s="3201"/>
      <c r="J2059" s="3202"/>
      <c r="K2059" s="3203"/>
      <c r="L2059" s="3201"/>
      <c r="M2059" s="3201"/>
      <c r="N2059" s="2768"/>
    </row>
    <row r="2060" spans="2:14" ht="30" hidden="1" customHeight="1" x14ac:dyDescent="0.25">
      <c r="B2060" s="441"/>
      <c r="C2060" s="2565" t="s">
        <v>7262</v>
      </c>
      <c r="D2060" s="2751">
        <f>D2061</f>
        <v>500000000</v>
      </c>
      <c r="E2060" s="2734">
        <f>D2060/D1724*100</f>
        <v>0.40734200729033027</v>
      </c>
      <c r="F2060" s="4460"/>
      <c r="G2060" s="2830"/>
      <c r="H2060" s="2830"/>
      <c r="I2060" s="2830"/>
      <c r="J2060" s="3204"/>
      <c r="K2060" s="3205"/>
      <c r="L2060" s="2830"/>
      <c r="M2060" s="2830"/>
      <c r="N2060" s="2768"/>
    </row>
    <row r="2061" spans="2:14" ht="17.25" hidden="1" customHeight="1" x14ac:dyDescent="0.25">
      <c r="B2061" s="441"/>
      <c r="C2061" s="2473" t="s">
        <v>7263</v>
      </c>
      <c r="D2061" s="896">
        <v>500000000</v>
      </c>
      <c r="E2061" s="2760">
        <f>D2061/D1724*100</f>
        <v>0.40734200729033027</v>
      </c>
      <c r="F2061" s="4428"/>
      <c r="G2061" s="2685"/>
      <c r="H2061" s="2685"/>
      <c r="I2061" s="2685"/>
      <c r="J2061" s="3161"/>
      <c r="K2061" s="2700"/>
      <c r="L2061" s="2685"/>
      <c r="M2061" s="2685"/>
      <c r="N2061" s="2768"/>
    </row>
    <row r="2062" spans="2:14" ht="13.5" hidden="1" customHeight="1" x14ac:dyDescent="0.25">
      <c r="B2062" s="441"/>
      <c r="C2062" s="2475"/>
      <c r="D2062" s="2769"/>
      <c r="E2062" s="2752"/>
      <c r="F2062" s="4460"/>
      <c r="G2062" s="2830"/>
      <c r="H2062" s="2830"/>
      <c r="I2062" s="2830"/>
      <c r="J2062" s="3170"/>
      <c r="K2062" s="2834"/>
      <c r="L2062" s="2830"/>
      <c r="M2062" s="2830"/>
      <c r="N2062" s="2768"/>
    </row>
    <row r="2063" spans="2:14" ht="16.5" hidden="1" customHeight="1" x14ac:dyDescent="0.25">
      <c r="B2063" s="440"/>
      <c r="C2063" s="2471" t="s">
        <v>7264</v>
      </c>
      <c r="D2063" s="2744">
        <f>SUM(D2064+D2067)</f>
        <v>605604000</v>
      </c>
      <c r="E2063" s="2672">
        <f>D2063/D1724*100</f>
        <v>0.49337589796610631</v>
      </c>
      <c r="F2063" s="3892"/>
      <c r="G2063" s="2741"/>
      <c r="H2063" s="2741"/>
      <c r="I2063" s="2741"/>
      <c r="J2063" s="3206"/>
      <c r="K2063" s="3207"/>
      <c r="L2063" s="2741"/>
      <c r="M2063" s="2741"/>
      <c r="N2063" s="2768"/>
    </row>
    <row r="2064" spans="2:14" ht="16.5" hidden="1" customHeight="1" x14ac:dyDescent="0.25">
      <c r="B2064" s="441"/>
      <c r="C2064" s="2472" t="s">
        <v>7265</v>
      </c>
      <c r="D2064" s="2759">
        <f>SUM(D2065:D2065)</f>
        <v>500000000</v>
      </c>
      <c r="E2064" s="2734">
        <f>D2064/D1724*100</f>
        <v>0.40734200729033027</v>
      </c>
      <c r="F2064" s="4429"/>
      <c r="G2064" s="2804"/>
      <c r="H2064" s="2804"/>
      <c r="I2064" s="2804"/>
      <c r="J2064" s="3165"/>
      <c r="K2064" s="2731"/>
      <c r="L2064" s="2830"/>
      <c r="M2064" s="2830"/>
      <c r="N2064" s="2768"/>
    </row>
    <row r="2065" spans="2:14" ht="15" hidden="1" customHeight="1" x14ac:dyDescent="0.25">
      <c r="B2065" s="441"/>
      <c r="C2065" s="2473" t="s">
        <v>7266</v>
      </c>
      <c r="D2065" s="896">
        <v>500000000</v>
      </c>
      <c r="E2065" s="2760">
        <f>D2065/D1724*100</f>
        <v>0.40734200729033027</v>
      </c>
      <c r="F2065" s="4428"/>
      <c r="G2065" s="2685"/>
      <c r="H2065" s="2685"/>
      <c r="I2065" s="2685"/>
      <c r="J2065" s="3161"/>
      <c r="K2065" s="2700"/>
      <c r="L2065" s="2830"/>
      <c r="M2065" s="2830"/>
      <c r="N2065" s="2768"/>
    </row>
    <row r="2066" spans="2:14" ht="10.5" hidden="1" customHeight="1" x14ac:dyDescent="0.25">
      <c r="B2066" s="441"/>
      <c r="C2066" s="2473"/>
      <c r="D2066" s="896"/>
      <c r="E2066" s="2690"/>
      <c r="F2066" s="4428"/>
      <c r="G2066" s="2685"/>
      <c r="H2066" s="2685"/>
      <c r="I2066" s="2685"/>
      <c r="J2066" s="3161"/>
      <c r="K2066" s="2700"/>
      <c r="L2066" s="2830"/>
      <c r="M2066" s="2830"/>
      <c r="N2066" s="2768"/>
    </row>
    <row r="2067" spans="2:14" ht="17.25" hidden="1" customHeight="1" x14ac:dyDescent="0.25">
      <c r="B2067" s="441"/>
      <c r="C2067" s="2474" t="s">
        <v>7267</v>
      </c>
      <c r="D2067" s="899">
        <f>D2068</f>
        <v>105604000</v>
      </c>
      <c r="E2067" s="2734">
        <f>D2067/D1724*100</f>
        <v>8.6033890675776076E-2</v>
      </c>
      <c r="F2067" s="4428"/>
      <c r="G2067" s="2685"/>
      <c r="H2067" s="2685"/>
      <c r="I2067" s="2685"/>
      <c r="J2067" s="3161"/>
      <c r="K2067" s="2700"/>
      <c r="L2067" s="2830"/>
      <c r="M2067" s="2830"/>
      <c r="N2067" s="2768"/>
    </row>
    <row r="2068" spans="2:14" ht="18" hidden="1" customHeight="1" x14ac:dyDescent="0.25">
      <c r="B2068" s="441"/>
      <c r="C2068" s="2473" t="s">
        <v>7271</v>
      </c>
      <c r="D2068" s="896">
        <v>105604000</v>
      </c>
      <c r="E2068" s="2760">
        <f>D2068/D1724*100</f>
        <v>8.6033890675776076E-2</v>
      </c>
      <c r="F2068" s="4428"/>
      <c r="G2068" s="2685"/>
      <c r="H2068" s="2685"/>
      <c r="I2068" s="2685"/>
      <c r="J2068" s="3161"/>
      <c r="K2068" s="2700"/>
      <c r="L2068" s="2830"/>
      <c r="M2068" s="2830"/>
      <c r="N2068" s="2768"/>
    </row>
    <row r="2069" spans="2:14" ht="18" hidden="1" customHeight="1" x14ac:dyDescent="0.25">
      <c r="B2069" s="441"/>
      <c r="C2069" s="2475"/>
      <c r="D2069" s="2769"/>
      <c r="E2069" s="2752"/>
      <c r="F2069" s="4460"/>
      <c r="G2069" s="2830"/>
      <c r="H2069" s="2830"/>
      <c r="I2069" s="2830"/>
      <c r="J2069" s="3170"/>
      <c r="K2069" s="2834"/>
      <c r="L2069" s="2830"/>
      <c r="M2069" s="2830"/>
      <c r="N2069" s="2768"/>
    </row>
    <row r="2070" spans="2:14" ht="15.75" hidden="1" customHeight="1" x14ac:dyDescent="0.25">
      <c r="B2070" s="440"/>
      <c r="C2070" s="2471" t="s">
        <v>7268</v>
      </c>
      <c r="D2070" s="2744">
        <f>D2071</f>
        <v>600000000</v>
      </c>
      <c r="E2070" s="2672">
        <f>D2070/D1724*100</f>
        <v>0.48881040874839626</v>
      </c>
      <c r="F2070" s="3890"/>
      <c r="G2070" s="2719"/>
      <c r="H2070" s="2719"/>
      <c r="I2070" s="2719"/>
      <c r="J2070" s="3181"/>
      <c r="K2070" s="2720"/>
      <c r="L2070" s="2719"/>
      <c r="M2070" s="2719"/>
      <c r="N2070" s="2768"/>
    </row>
    <row r="2071" spans="2:14" ht="18" hidden="1" customHeight="1" x14ac:dyDescent="0.25">
      <c r="B2071" s="441"/>
      <c r="C2071" s="2478" t="s">
        <v>7269</v>
      </c>
      <c r="D2071" s="2751">
        <f>SUM(D2072:D2075)</f>
        <v>600000000</v>
      </c>
      <c r="E2071" s="2734">
        <f>D2071/D1724*100</f>
        <v>0.48881040874839626</v>
      </c>
      <c r="F2071" s="4460"/>
      <c r="G2071" s="2830"/>
      <c r="H2071" s="2830"/>
      <c r="I2071" s="2830"/>
      <c r="J2071" s="3170"/>
      <c r="K2071" s="2834"/>
      <c r="L2071" s="2830"/>
      <c r="M2071" s="2830"/>
      <c r="N2071" s="2768"/>
    </row>
    <row r="2072" spans="2:14" ht="15.75" hidden="1" customHeight="1" x14ac:dyDescent="0.25">
      <c r="B2072" s="441"/>
      <c r="C2072" s="2473" t="s">
        <v>7270</v>
      </c>
      <c r="D2072" s="896">
        <v>300000000</v>
      </c>
      <c r="E2072" s="2760">
        <f>D2072/D1724*100</f>
        <v>0.24440520437419813</v>
      </c>
      <c r="F2072" s="4428"/>
      <c r="G2072" s="2685"/>
      <c r="H2072" s="2685"/>
      <c r="I2072" s="2685"/>
      <c r="J2072" s="3161"/>
      <c r="K2072" s="2700"/>
      <c r="L2072" s="2685"/>
      <c r="M2072" s="2685"/>
      <c r="N2072" s="2768"/>
    </row>
    <row r="2073" spans="2:14" ht="17.25" hidden="1" customHeight="1" x14ac:dyDescent="0.25">
      <c r="B2073" s="441"/>
      <c r="C2073" s="2473" t="s">
        <v>7272</v>
      </c>
      <c r="D2073" s="896">
        <v>100000000</v>
      </c>
      <c r="E2073" s="2760">
        <f>D2073/D1724*100</f>
        <v>8.1468401458066053E-2</v>
      </c>
      <c r="F2073" s="4428"/>
      <c r="G2073" s="2685"/>
      <c r="H2073" s="2685"/>
      <c r="I2073" s="2685"/>
      <c r="J2073" s="3161"/>
      <c r="K2073" s="2700"/>
      <c r="L2073" s="2685"/>
      <c r="M2073" s="2685"/>
      <c r="N2073" s="2768"/>
    </row>
    <row r="2074" spans="2:14" ht="18" hidden="1" customHeight="1" x14ac:dyDescent="0.25">
      <c r="B2074" s="441"/>
      <c r="C2074" s="2473" t="s">
        <v>7273</v>
      </c>
      <c r="D2074" s="896">
        <v>100000000</v>
      </c>
      <c r="E2074" s="2760">
        <f>D2074/D1724*100</f>
        <v>8.1468401458066053E-2</v>
      </c>
      <c r="F2074" s="4428"/>
      <c r="G2074" s="2685"/>
      <c r="H2074" s="2685"/>
      <c r="I2074" s="2685"/>
      <c r="J2074" s="3161"/>
      <c r="K2074" s="2700"/>
      <c r="L2074" s="2685"/>
      <c r="M2074" s="2685"/>
      <c r="N2074" s="2768"/>
    </row>
    <row r="2075" spans="2:14" ht="18" hidden="1" customHeight="1" x14ac:dyDescent="0.25">
      <c r="B2075" s="441"/>
      <c r="C2075" s="2473" t="s">
        <v>7274</v>
      </c>
      <c r="D2075" s="896">
        <v>100000000</v>
      </c>
      <c r="E2075" s="2760">
        <f>D2075/D1724*100</f>
        <v>8.1468401458066053E-2</v>
      </c>
      <c r="F2075" s="4428"/>
      <c r="G2075" s="2685"/>
      <c r="H2075" s="2685"/>
      <c r="I2075" s="2685"/>
      <c r="J2075" s="3161"/>
      <c r="K2075" s="2700"/>
      <c r="L2075" s="2685"/>
      <c r="M2075" s="2685"/>
      <c r="N2075" s="2768"/>
    </row>
    <row r="2076" spans="2:14" ht="18" hidden="1" customHeight="1" x14ac:dyDescent="0.25">
      <c r="B2076" s="441"/>
      <c r="C2076" s="2475"/>
      <c r="D2076" s="2769"/>
      <c r="E2076" s="2752"/>
      <c r="F2076" s="4460"/>
      <c r="G2076" s="2830"/>
      <c r="H2076" s="2830"/>
      <c r="I2076" s="2830"/>
      <c r="J2076" s="3170"/>
      <c r="K2076" s="2834"/>
      <c r="L2076" s="2830"/>
      <c r="M2076" s="2830"/>
      <c r="N2076" s="2768"/>
    </row>
    <row r="2077" spans="2:14" ht="18" hidden="1" customHeight="1" x14ac:dyDescent="0.25">
      <c r="B2077" s="440"/>
      <c r="C2077" s="2471" t="s">
        <v>4145</v>
      </c>
      <c r="D2077" s="2744">
        <f>SUM(D2078+D2088)</f>
        <v>2350000000</v>
      </c>
      <c r="E2077" s="2672">
        <f>D2077/D1724*100</f>
        <v>1.9145074342645521</v>
      </c>
      <c r="F2077" s="3892"/>
      <c r="G2077" s="2741"/>
      <c r="H2077" s="2741"/>
      <c r="I2077" s="2741"/>
      <c r="J2077" s="3206"/>
      <c r="K2077" s="3207"/>
      <c r="L2077" s="2741"/>
      <c r="M2077" s="2741"/>
      <c r="N2077" s="2768"/>
    </row>
    <row r="2078" spans="2:14" ht="18" hidden="1" customHeight="1" x14ac:dyDescent="0.25">
      <c r="B2078" s="441"/>
      <c r="C2078" s="2478" t="s">
        <v>7275</v>
      </c>
      <c r="D2078" s="2751">
        <f>SUM(D2079+D2082+D2085)</f>
        <v>850000000</v>
      </c>
      <c r="E2078" s="2734">
        <f>D2078/D1724*100</f>
        <v>0.69248141239356142</v>
      </c>
      <c r="F2078" s="4460"/>
      <c r="G2078" s="2830"/>
      <c r="H2078" s="2830"/>
      <c r="I2078" s="2830"/>
      <c r="J2078" s="3170"/>
      <c r="K2078" s="2834"/>
      <c r="L2078" s="2830"/>
      <c r="M2078" s="2830"/>
      <c r="N2078" s="2768"/>
    </row>
    <row r="2079" spans="2:14" ht="18" hidden="1" customHeight="1" x14ac:dyDescent="0.25">
      <c r="B2079" s="441"/>
      <c r="C2079" s="2474" t="s">
        <v>7276</v>
      </c>
      <c r="D2079" s="899">
        <f>D2080</f>
        <v>350000000</v>
      </c>
      <c r="E2079" s="2734">
        <f>D2079/D1724*100</f>
        <v>0.28513940510323116</v>
      </c>
      <c r="F2079" s="4428"/>
      <c r="G2079" s="2685"/>
      <c r="H2079" s="2685"/>
      <c r="I2079" s="2685"/>
      <c r="J2079" s="3161"/>
      <c r="K2079" s="2700"/>
      <c r="L2079" s="2685"/>
      <c r="M2079" s="2685"/>
      <c r="N2079" s="2768"/>
    </row>
    <row r="2080" spans="2:14" ht="18" hidden="1" customHeight="1" x14ac:dyDescent="0.25">
      <c r="B2080" s="441"/>
      <c r="C2080" s="2473" t="s">
        <v>7277</v>
      </c>
      <c r="D2080" s="896">
        <v>350000000</v>
      </c>
      <c r="E2080" s="2760">
        <f>D2080/D1724*100</f>
        <v>0.28513940510323116</v>
      </c>
      <c r="F2080" s="4428"/>
      <c r="G2080" s="2685"/>
      <c r="H2080" s="2685"/>
      <c r="I2080" s="2685"/>
      <c r="J2080" s="3161"/>
      <c r="K2080" s="2700"/>
      <c r="L2080" s="2685"/>
      <c r="M2080" s="2685"/>
      <c r="N2080" s="2768"/>
    </row>
    <row r="2081" spans="2:14" ht="12" hidden="1" customHeight="1" x14ac:dyDescent="0.25">
      <c r="B2081" s="441"/>
      <c r="C2081" s="2473"/>
      <c r="D2081" s="896"/>
      <c r="E2081" s="2760"/>
      <c r="F2081" s="4428"/>
      <c r="G2081" s="2685"/>
      <c r="H2081" s="2685"/>
      <c r="I2081" s="2685"/>
      <c r="J2081" s="3161"/>
      <c r="K2081" s="2700"/>
      <c r="L2081" s="2685"/>
      <c r="M2081" s="2685"/>
      <c r="N2081" s="2768"/>
    </row>
    <row r="2082" spans="2:14" ht="18" hidden="1" customHeight="1" x14ac:dyDescent="0.25">
      <c r="B2082" s="441"/>
      <c r="C2082" s="2474" t="s">
        <v>7278</v>
      </c>
      <c r="D2082" s="899">
        <f>D2083</f>
        <v>200000000</v>
      </c>
      <c r="E2082" s="2734">
        <f>D2082/D1724*100</f>
        <v>0.16293680291613211</v>
      </c>
      <c r="F2082" s="4428"/>
      <c r="G2082" s="2685"/>
      <c r="H2082" s="2685"/>
      <c r="I2082" s="2685"/>
      <c r="J2082" s="3161"/>
      <c r="K2082" s="2700"/>
      <c r="L2082" s="2685"/>
      <c r="M2082" s="2685"/>
      <c r="N2082" s="2768"/>
    </row>
    <row r="2083" spans="2:14" ht="18" hidden="1" customHeight="1" x14ac:dyDescent="0.25">
      <c r="B2083" s="441"/>
      <c r="C2083" s="2473" t="s">
        <v>7279</v>
      </c>
      <c r="D2083" s="896">
        <v>200000000</v>
      </c>
      <c r="E2083" s="2760">
        <f>D2083/D1724*100</f>
        <v>0.16293680291613211</v>
      </c>
      <c r="F2083" s="4428"/>
      <c r="G2083" s="2685"/>
      <c r="H2083" s="2685"/>
      <c r="I2083" s="2685"/>
      <c r="J2083" s="3161"/>
      <c r="K2083" s="2700"/>
      <c r="L2083" s="2685"/>
      <c r="M2083" s="2685"/>
      <c r="N2083" s="2768"/>
    </row>
    <row r="2084" spans="2:14" ht="11.25" hidden="1" customHeight="1" x14ac:dyDescent="0.25">
      <c r="B2084" s="441"/>
      <c r="C2084" s="2473"/>
      <c r="D2084" s="896"/>
      <c r="E2084" s="2760"/>
      <c r="F2084" s="4428"/>
      <c r="G2084" s="2685"/>
      <c r="H2084" s="2685"/>
      <c r="I2084" s="2685"/>
      <c r="J2084" s="3161"/>
      <c r="K2084" s="2700"/>
      <c r="L2084" s="2685"/>
      <c r="M2084" s="2685"/>
      <c r="N2084" s="2768"/>
    </row>
    <row r="2085" spans="2:14" ht="18" hidden="1" customHeight="1" x14ac:dyDescent="0.25">
      <c r="B2085" s="441"/>
      <c r="C2085" s="2474" t="s">
        <v>7280</v>
      </c>
      <c r="D2085" s="899">
        <f>D2086</f>
        <v>300000000</v>
      </c>
      <c r="E2085" s="2734">
        <f>D2085/D1724*100</f>
        <v>0.24440520437419813</v>
      </c>
      <c r="F2085" s="4428"/>
      <c r="G2085" s="2685"/>
      <c r="H2085" s="2685"/>
      <c r="I2085" s="2685"/>
      <c r="J2085" s="3161"/>
      <c r="K2085" s="2700"/>
      <c r="L2085" s="2685"/>
      <c r="M2085" s="2685"/>
      <c r="N2085" s="2768"/>
    </row>
    <row r="2086" spans="2:14" ht="18" hidden="1" customHeight="1" x14ac:dyDescent="0.25">
      <c r="B2086" s="441"/>
      <c r="C2086" s="2473" t="s">
        <v>7281</v>
      </c>
      <c r="D2086" s="896">
        <v>300000000</v>
      </c>
      <c r="E2086" s="2760">
        <f>D2086/D1724*100</f>
        <v>0.24440520437419813</v>
      </c>
      <c r="F2086" s="4428"/>
      <c r="G2086" s="2685"/>
      <c r="H2086" s="2685"/>
      <c r="I2086" s="2685"/>
      <c r="J2086" s="3161"/>
      <c r="K2086" s="2700"/>
      <c r="L2086" s="2685"/>
      <c r="M2086" s="2685"/>
      <c r="N2086" s="2768"/>
    </row>
    <row r="2087" spans="2:14" ht="11.25" hidden="1" customHeight="1" x14ac:dyDescent="0.25">
      <c r="B2087" s="441"/>
      <c r="C2087" s="2473"/>
      <c r="D2087" s="896"/>
      <c r="E2087" s="2760"/>
      <c r="F2087" s="4428"/>
      <c r="G2087" s="2685"/>
      <c r="H2087" s="2685"/>
      <c r="I2087" s="2685"/>
      <c r="J2087" s="3161"/>
      <c r="K2087" s="2700"/>
      <c r="L2087" s="2685"/>
      <c r="M2087" s="2685"/>
      <c r="N2087" s="2768"/>
    </row>
    <row r="2088" spans="2:14" ht="18" hidden="1" customHeight="1" x14ac:dyDescent="0.25">
      <c r="B2088" s="441"/>
      <c r="C2088" s="2474" t="s">
        <v>7282</v>
      </c>
      <c r="D2088" s="899">
        <f>D2089</f>
        <v>1500000000</v>
      </c>
      <c r="E2088" s="2734">
        <f>D2088/D1724*100</f>
        <v>1.2220260218709909</v>
      </c>
      <c r="F2088" s="4428"/>
      <c r="G2088" s="2685"/>
      <c r="H2088" s="2685"/>
      <c r="I2088" s="2685"/>
      <c r="J2088" s="3161"/>
      <c r="K2088" s="2700"/>
      <c r="L2088" s="2685"/>
      <c r="M2088" s="2685"/>
      <c r="N2088" s="2768"/>
    </row>
    <row r="2089" spans="2:14" ht="18" hidden="1" customHeight="1" x14ac:dyDescent="0.25">
      <c r="B2089" s="441"/>
      <c r="C2089" s="2474" t="s">
        <v>7283</v>
      </c>
      <c r="D2089" s="899">
        <f>D2090</f>
        <v>1500000000</v>
      </c>
      <c r="E2089" s="2734">
        <f>D2089/D1724*100</f>
        <v>1.2220260218709909</v>
      </c>
      <c r="F2089" s="4428"/>
      <c r="G2089" s="2685"/>
      <c r="H2089" s="2685"/>
      <c r="I2089" s="2685"/>
      <c r="J2089" s="3161"/>
      <c r="K2089" s="2700"/>
      <c r="L2089" s="2685"/>
      <c r="M2089" s="2685"/>
      <c r="N2089" s="2768"/>
    </row>
    <row r="2090" spans="2:14" ht="18" hidden="1" customHeight="1" x14ac:dyDescent="0.25">
      <c r="B2090" s="441"/>
      <c r="C2090" s="2473" t="s">
        <v>7284</v>
      </c>
      <c r="D2090" s="896">
        <v>1500000000</v>
      </c>
      <c r="E2090" s="2760">
        <f>D2090/D1724*100</f>
        <v>1.2220260218709909</v>
      </c>
      <c r="F2090" s="4428"/>
      <c r="G2090" s="2685"/>
      <c r="H2090" s="2685"/>
      <c r="I2090" s="2685"/>
      <c r="J2090" s="3161"/>
      <c r="K2090" s="2700"/>
      <c r="L2090" s="2685"/>
      <c r="M2090" s="2685"/>
      <c r="N2090" s="2768"/>
    </row>
    <row r="2091" spans="2:14" ht="18" hidden="1" customHeight="1" x14ac:dyDescent="0.25">
      <c r="B2091" s="441"/>
      <c r="C2091" s="2475"/>
      <c r="D2091" s="2769"/>
      <c r="E2091" s="2752"/>
      <c r="F2091" s="4460"/>
      <c r="G2091" s="2830"/>
      <c r="H2091" s="2830"/>
      <c r="I2091" s="2830"/>
      <c r="J2091" s="3170"/>
      <c r="K2091" s="2834"/>
      <c r="L2091" s="2830"/>
      <c r="M2091" s="2830"/>
      <c r="N2091" s="2768"/>
    </row>
    <row r="2092" spans="2:14" ht="18" hidden="1" customHeight="1" x14ac:dyDescent="0.25">
      <c r="B2092" s="440"/>
      <c r="C2092" s="2471" t="s">
        <v>7285</v>
      </c>
      <c r="D2092" s="2744">
        <f>D2093</f>
        <v>235000000</v>
      </c>
      <c r="E2092" s="2672">
        <f>D2092/D1724*100</f>
        <v>0.19145074342645521</v>
      </c>
      <c r="F2092" s="3890"/>
      <c r="G2092" s="2719"/>
      <c r="H2092" s="2719"/>
      <c r="I2092" s="2719"/>
      <c r="J2092" s="3181"/>
      <c r="K2092" s="2720"/>
      <c r="L2092" s="2719"/>
      <c r="M2092" s="2719"/>
      <c r="N2092" s="2768"/>
    </row>
    <row r="2093" spans="2:14" ht="18" hidden="1" customHeight="1" x14ac:dyDescent="0.25">
      <c r="B2093" s="441"/>
      <c r="C2093" s="2478" t="s">
        <v>3479</v>
      </c>
      <c r="D2093" s="2751">
        <f>D2094</f>
        <v>235000000</v>
      </c>
      <c r="E2093" s="2734">
        <f>D2093/D1724*100</f>
        <v>0.19145074342645521</v>
      </c>
      <c r="F2093" s="4460"/>
      <c r="G2093" s="2830"/>
      <c r="H2093" s="2830"/>
      <c r="I2093" s="2830"/>
      <c r="J2093" s="3170"/>
      <c r="K2093" s="2834"/>
      <c r="L2093" s="2830"/>
      <c r="M2093" s="2830"/>
      <c r="N2093" s="2768"/>
    </row>
    <row r="2094" spans="2:14" ht="18" hidden="1" customHeight="1" x14ac:dyDescent="0.25">
      <c r="B2094" s="441"/>
      <c r="C2094" s="2473" t="s">
        <v>7286</v>
      </c>
      <c r="D2094" s="896">
        <v>235000000</v>
      </c>
      <c r="E2094" s="2760">
        <f>D2094/D1724*100</f>
        <v>0.19145074342645521</v>
      </c>
      <c r="F2094" s="4428"/>
      <c r="G2094" s="2685"/>
      <c r="H2094" s="2685"/>
      <c r="I2094" s="2685"/>
      <c r="J2094" s="3161"/>
      <c r="K2094" s="2700"/>
      <c r="L2094" s="2685"/>
      <c r="M2094" s="2685"/>
      <c r="N2094" s="2768"/>
    </row>
    <row r="2095" spans="2:14" ht="18" hidden="1" customHeight="1" x14ac:dyDescent="0.25">
      <c r="B2095" s="441"/>
      <c r="C2095" s="2475"/>
      <c r="D2095" s="2769"/>
      <c r="E2095" s="2752"/>
      <c r="F2095" s="4460"/>
      <c r="G2095" s="2830"/>
      <c r="H2095" s="2830"/>
      <c r="I2095" s="2830"/>
      <c r="J2095" s="3170"/>
      <c r="K2095" s="2834"/>
      <c r="L2095" s="2830"/>
      <c r="M2095" s="2830"/>
      <c r="N2095" s="2768"/>
    </row>
    <row r="2096" spans="2:14" ht="32.25" hidden="1" customHeight="1" x14ac:dyDescent="0.25">
      <c r="B2096" s="440"/>
      <c r="C2096" s="4268" t="s">
        <v>7287</v>
      </c>
      <c r="D2096" s="2744">
        <f>D2097</f>
        <v>500000000</v>
      </c>
      <c r="E2096" s="2672">
        <f>D2096/D1724*100</f>
        <v>0.40734200729033027</v>
      </c>
      <c r="F2096" s="3892"/>
      <c r="G2096" s="2741"/>
      <c r="H2096" s="2741"/>
      <c r="I2096" s="2741"/>
      <c r="J2096" s="3206"/>
      <c r="K2096" s="3207"/>
      <c r="L2096" s="2741"/>
      <c r="M2096" s="2741"/>
      <c r="N2096" s="2768"/>
    </row>
    <row r="2097" spans="1:17" ht="18" hidden="1" customHeight="1" x14ac:dyDescent="0.25">
      <c r="B2097" s="441"/>
      <c r="C2097" s="2478" t="s">
        <v>7288</v>
      </c>
      <c r="D2097" s="2751">
        <f>D2098</f>
        <v>500000000</v>
      </c>
      <c r="E2097" s="2734">
        <f>D2097/D1724*100</f>
        <v>0.40734200729033027</v>
      </c>
      <c r="F2097" s="4460"/>
      <c r="G2097" s="2830"/>
      <c r="H2097" s="2830"/>
      <c r="I2097" s="2830"/>
      <c r="J2097" s="3170"/>
      <c r="K2097" s="2834"/>
      <c r="L2097" s="2830"/>
      <c r="M2097" s="2830"/>
      <c r="N2097" s="2768"/>
    </row>
    <row r="2098" spans="1:17" ht="18" hidden="1" customHeight="1" x14ac:dyDescent="0.25">
      <c r="B2098" s="441"/>
      <c r="C2098" s="2473" t="s">
        <v>7289</v>
      </c>
      <c r="D2098" s="896">
        <v>500000000</v>
      </c>
      <c r="E2098" s="2760">
        <f>D2098/D1724*100</f>
        <v>0.40734200729033027</v>
      </c>
      <c r="F2098" s="4428"/>
      <c r="G2098" s="2685"/>
      <c r="H2098" s="2685"/>
      <c r="I2098" s="2685"/>
      <c r="J2098" s="3161"/>
      <c r="K2098" s="2700"/>
      <c r="L2098" s="2685"/>
      <c r="M2098" s="2685"/>
      <c r="N2098" s="2768"/>
    </row>
    <row r="2099" spans="1:17" ht="13.5" hidden="1" customHeight="1" x14ac:dyDescent="0.25">
      <c r="B2099" s="441"/>
      <c r="C2099" s="2563"/>
      <c r="D2099" s="2769"/>
      <c r="E2099" s="2752"/>
      <c r="F2099" s="4460"/>
      <c r="G2099" s="2830"/>
      <c r="H2099" s="2830"/>
      <c r="I2099" s="2830"/>
      <c r="J2099" s="3208"/>
      <c r="K2099" s="2926"/>
      <c r="L2099" s="2830"/>
      <c r="M2099" s="2830"/>
      <c r="N2099" s="2768"/>
    </row>
    <row r="2100" spans="1:17" ht="15.75" hidden="1" customHeight="1" x14ac:dyDescent="0.25">
      <c r="B2100" s="440"/>
      <c r="C2100" s="2471" t="s">
        <v>7290</v>
      </c>
      <c r="D2100" s="2744">
        <f>D2101</f>
        <v>4171977000</v>
      </c>
      <c r="E2100" s="2672">
        <f>D2100/D1724*100</f>
        <v>3.3988429710981802</v>
      </c>
      <c r="F2100" s="3886"/>
      <c r="G2100" s="3181"/>
      <c r="H2100" s="2672"/>
      <c r="I2100" s="2744"/>
      <c r="J2100" s="3181"/>
      <c r="K2100" s="3181"/>
      <c r="L2100" s="2719"/>
      <c r="M2100" s="2744"/>
      <c r="N2100" s="2768"/>
    </row>
    <row r="2101" spans="1:17" ht="18" hidden="1" customHeight="1" x14ac:dyDescent="0.25">
      <c r="B2101" s="441"/>
      <c r="C2101" s="2472" t="s">
        <v>7291</v>
      </c>
      <c r="D2101" s="2759">
        <f>SUM(D2102+D2108)</f>
        <v>4171977000</v>
      </c>
      <c r="E2101" s="2734">
        <f>D2101/D1724*100</f>
        <v>3.3988429710981802</v>
      </c>
      <c r="F2101" s="3855"/>
      <c r="G2101" s="2929"/>
      <c r="H2101" s="2734"/>
      <c r="I2101" s="2759"/>
      <c r="J2101" s="2930"/>
      <c r="K2101" s="2930"/>
      <c r="L2101" s="2695"/>
      <c r="M2101" s="2759"/>
      <c r="N2101" s="2768"/>
    </row>
    <row r="2102" spans="1:17" ht="18" hidden="1" customHeight="1" x14ac:dyDescent="0.25">
      <c r="B2102" s="441"/>
      <c r="C2102" s="4269" t="s">
        <v>7292</v>
      </c>
      <c r="D2102" s="3103">
        <f>SUM(D2103:D2106)</f>
        <v>3296977000</v>
      </c>
      <c r="E2102" s="2695">
        <f>D2102/D1724*100</f>
        <v>2.6859944583401023</v>
      </c>
      <c r="F2102" s="4462"/>
      <c r="G2102" s="2708"/>
      <c r="H2102" s="2708"/>
      <c r="I2102" s="2708"/>
      <c r="J2102" s="3209"/>
      <c r="K2102" s="2831"/>
      <c r="L2102" s="2708"/>
      <c r="M2102" s="2708"/>
      <c r="N2102" s="2768"/>
    </row>
    <row r="2103" spans="1:17" ht="16.5" hidden="1" customHeight="1" x14ac:dyDescent="0.25">
      <c r="B2103" s="441"/>
      <c r="C2103" s="2566" t="s">
        <v>7293</v>
      </c>
      <c r="D2103" s="3210">
        <f>800000000-3022605-395</f>
        <v>796977000</v>
      </c>
      <c r="E2103" s="2690">
        <f>D2103/D1724*100</f>
        <v>0.64928442188845104</v>
      </c>
      <c r="F2103" s="4463"/>
      <c r="G2103" s="2708"/>
      <c r="H2103" s="2708"/>
      <c r="I2103" s="2708"/>
      <c r="J2103" s="3211"/>
      <c r="K2103" s="2831"/>
      <c r="L2103" s="2708"/>
      <c r="M2103" s="2708"/>
      <c r="N2103" s="2768"/>
    </row>
    <row r="2104" spans="1:17" ht="16.5" hidden="1" customHeight="1" x14ac:dyDescent="0.25">
      <c r="B2104" s="441"/>
      <c r="C2104" s="2554" t="s">
        <v>7294</v>
      </c>
      <c r="D2104" s="3210">
        <v>1000000000</v>
      </c>
      <c r="E2104" s="2690">
        <f>D2104/D1724*100</f>
        <v>0.81468401458066053</v>
      </c>
      <c r="F2104" s="4463"/>
      <c r="G2104" s="2685"/>
      <c r="H2104" s="2685"/>
      <c r="I2104" s="2685"/>
      <c r="J2104" s="3212"/>
      <c r="K2104" s="2700"/>
      <c r="L2104" s="2690"/>
      <c r="M2104" s="2830"/>
      <c r="N2104" s="2768"/>
    </row>
    <row r="2105" spans="1:17" ht="16.5" hidden="1" customHeight="1" x14ac:dyDescent="0.25">
      <c r="B2105" s="441"/>
      <c r="C2105" s="2554" t="s">
        <v>7295</v>
      </c>
      <c r="D2105" s="2706">
        <v>1000000000</v>
      </c>
      <c r="E2105" s="2690">
        <f>D2105/D1724*100</f>
        <v>0.81468401458066053</v>
      </c>
      <c r="F2105" s="4464"/>
      <c r="G2105" s="2685"/>
      <c r="H2105" s="2685"/>
      <c r="I2105" s="2685"/>
      <c r="J2105" s="3212"/>
      <c r="K2105" s="2700"/>
      <c r="L2105" s="2690"/>
      <c r="M2105" s="2830"/>
      <c r="N2105" s="2768"/>
    </row>
    <row r="2106" spans="1:17" ht="29.25" hidden="1" customHeight="1" x14ac:dyDescent="0.25">
      <c r="B2106" s="441"/>
      <c r="C2106" s="2554" t="s">
        <v>7296</v>
      </c>
      <c r="D2106" s="2706">
        <v>500000000</v>
      </c>
      <c r="E2106" s="2690">
        <f>D2106/D1724*100</f>
        <v>0.40734200729033027</v>
      </c>
      <c r="F2106" s="4464"/>
      <c r="G2106" s="2685"/>
      <c r="H2106" s="2685"/>
      <c r="I2106" s="2685"/>
      <c r="J2106" s="3212"/>
      <c r="K2106" s="2700"/>
      <c r="L2106" s="2708"/>
      <c r="M2106" s="2708"/>
      <c r="N2106" s="2768"/>
    </row>
    <row r="2107" spans="1:17" ht="12" hidden="1" customHeight="1" x14ac:dyDescent="0.25">
      <c r="B2107" s="441"/>
      <c r="C2107" s="2567"/>
      <c r="D2107" s="2698"/>
      <c r="E2107" s="2685"/>
      <c r="F2107" s="4384"/>
      <c r="G2107" s="2685"/>
      <c r="H2107" s="2685"/>
      <c r="I2107" s="2685"/>
      <c r="J2107" s="3212"/>
      <c r="K2107" s="2700"/>
      <c r="L2107" s="2708"/>
      <c r="M2107" s="2708"/>
      <c r="N2107" s="2743"/>
    </row>
    <row r="2108" spans="1:17" ht="16.5" hidden="1" customHeight="1" x14ac:dyDescent="0.25">
      <c r="B2108" s="441"/>
      <c r="C2108" s="2568" t="s">
        <v>7297</v>
      </c>
      <c r="D2108" s="2692">
        <f>D2109</f>
        <v>875000000</v>
      </c>
      <c r="E2108" s="2734">
        <f>D2108/D1724*100</f>
        <v>0.71284851275807792</v>
      </c>
      <c r="F2108" s="4384"/>
      <c r="G2108" s="2685"/>
      <c r="H2108" s="2685"/>
      <c r="I2108" s="2685"/>
      <c r="J2108" s="3212"/>
      <c r="K2108" s="2700"/>
      <c r="L2108" s="2708"/>
      <c r="M2108" s="2708"/>
      <c r="N2108" s="2743"/>
    </row>
    <row r="2109" spans="1:17" ht="16.5" hidden="1" customHeight="1" x14ac:dyDescent="0.25">
      <c r="B2109" s="441"/>
      <c r="C2109" s="2554" t="s">
        <v>7298</v>
      </c>
      <c r="D2109" s="2698">
        <v>875000000</v>
      </c>
      <c r="E2109" s="2690">
        <f>D2109/D1724*100</f>
        <v>0.71284851275807792</v>
      </c>
      <c r="F2109" s="4384"/>
      <c r="G2109" s="2685"/>
      <c r="H2109" s="2685"/>
      <c r="I2109" s="2685"/>
      <c r="J2109" s="3212"/>
      <c r="K2109" s="2700"/>
      <c r="L2109" s="2708"/>
      <c r="M2109" s="2708"/>
      <c r="N2109" s="2743"/>
    </row>
    <row r="2110" spans="1:17" ht="12" hidden="1" customHeight="1" x14ac:dyDescent="0.25">
      <c r="B2110" s="441"/>
      <c r="C2110" s="2475"/>
      <c r="D2110" s="2755"/>
      <c r="E2110" s="3036"/>
      <c r="F2110" s="3872"/>
      <c r="G2110" s="2754"/>
      <c r="H2110" s="2752"/>
      <c r="I2110" s="2769"/>
      <c r="J2110" s="2755"/>
      <c r="K2110" s="2755"/>
      <c r="L2110" s="2755"/>
      <c r="M2110" s="2755"/>
      <c r="N2110" s="2768"/>
    </row>
    <row r="2111" spans="1:17" ht="15.75" hidden="1" customHeight="1" x14ac:dyDescent="0.25">
      <c r="B2111" s="3086"/>
      <c r="C2111" s="2481" t="s">
        <v>7000</v>
      </c>
      <c r="D2111" s="2780">
        <f>SUM(D2113+D2170+D2216+D2224+D2228+D2236+D2250+D2283+D2290+D2301+D2321+D2339+D2354+D2372)</f>
        <v>121629554000</v>
      </c>
      <c r="E2111" s="3087">
        <f>D2111/2512247400000*100</f>
        <v>4.8414640214176359</v>
      </c>
      <c r="F2111" s="4403"/>
      <c r="G2111" s="3088"/>
      <c r="H2111" s="2781"/>
      <c r="I2111" s="2780"/>
      <c r="J2111" s="3089"/>
      <c r="K2111" s="3089"/>
      <c r="L2111" s="3090"/>
      <c r="M2111" s="3090"/>
      <c r="N2111" s="3091"/>
      <c r="Q2111" s="223">
        <f>SUM(K2111-P2111)</f>
        <v>0</v>
      </c>
    </row>
    <row r="2112" spans="1:17" s="121" customFormat="1" ht="7.5" hidden="1" customHeight="1" x14ac:dyDescent="0.25">
      <c r="A2112" s="16"/>
      <c r="B2112" s="455"/>
      <c r="C2112" s="2503"/>
      <c r="D2112" s="2952"/>
      <c r="E2112" s="3092"/>
      <c r="F2112" s="4404"/>
      <c r="G2112" s="3093"/>
      <c r="H2112" s="2955"/>
      <c r="I2112" s="2952"/>
      <c r="J2112" s="3094"/>
      <c r="K2112" s="2723"/>
      <c r="L2112" s="2952"/>
      <c r="M2112" s="2952"/>
      <c r="N2112" s="3091"/>
      <c r="P2112" s="619"/>
      <c r="Q2112" s="640"/>
    </row>
    <row r="2113" spans="1:18" s="27" customFormat="1" ht="16.5" hidden="1" customHeight="1" x14ac:dyDescent="0.25">
      <c r="A2113" s="6"/>
      <c r="B2113" s="440"/>
      <c r="C2113" s="2543" t="s">
        <v>2482</v>
      </c>
      <c r="D2113" s="2952">
        <f>SUM(D2114+D2120+D2142+D2145+D2148+D2162+D2165)</f>
        <v>30852566075</v>
      </c>
      <c r="E2113" s="2953">
        <f>D2113/D2111*100</f>
        <v>25.366011023110385</v>
      </c>
      <c r="F2113" s="3893"/>
      <c r="G2113" s="3095"/>
      <c r="H2113" s="2962"/>
      <c r="I2113" s="2959"/>
      <c r="J2113" s="3094"/>
      <c r="K2113" s="4270"/>
      <c r="L2113" s="3095"/>
      <c r="M2113" s="2959"/>
      <c r="N2113" s="2701"/>
      <c r="P2113" s="641"/>
      <c r="Q2113" s="642"/>
      <c r="R2113" s="643"/>
    </row>
    <row r="2114" spans="1:18" s="27" customFormat="1" ht="18" hidden="1" customHeight="1" x14ac:dyDescent="0.25">
      <c r="A2114" s="6"/>
      <c r="B2114" s="441"/>
      <c r="C2114" s="2491" t="s">
        <v>243</v>
      </c>
      <c r="D2114" s="2692">
        <f>SUM(D2115:D2118)</f>
        <v>3182221750</v>
      </c>
      <c r="E2114" s="2966">
        <f>D2114/D2111*100</f>
        <v>2.6163227976647847</v>
      </c>
      <c r="F2114" s="3895"/>
      <c r="G2114" s="2679"/>
      <c r="H2114" s="3096"/>
      <c r="I2114" s="3048"/>
      <c r="J2114" s="2694"/>
      <c r="K2114" s="2680"/>
      <c r="L2114" s="2965"/>
      <c r="M2114" s="2965"/>
      <c r="N2114" s="2701"/>
      <c r="P2114" s="641"/>
    </row>
    <row r="2115" spans="1:18" s="27" customFormat="1" ht="15.75" hidden="1" customHeight="1" x14ac:dyDescent="0.25">
      <c r="A2115" s="6"/>
      <c r="B2115" s="441"/>
      <c r="C2115" s="2473" t="s">
        <v>356</v>
      </c>
      <c r="D2115" s="3097">
        <v>2106000000</v>
      </c>
      <c r="E2115" s="2968">
        <f>D2115/D2111*100</f>
        <v>1.7314870693351385</v>
      </c>
      <c r="F2115" s="3868"/>
      <c r="G2115" s="3050"/>
      <c r="H2115" s="3099"/>
      <c r="I2115" s="3050"/>
      <c r="J2115" s="3100"/>
      <c r="K2115" s="3100"/>
      <c r="L2115" s="2690"/>
      <c r="M2115" s="3050"/>
      <c r="N2115" s="2701"/>
      <c r="P2115" s="644"/>
    </row>
    <row r="2116" spans="1:18" s="27" customFormat="1" ht="17.25" hidden="1" customHeight="1" x14ac:dyDescent="0.25">
      <c r="A2116" s="6"/>
      <c r="B2116" s="441"/>
      <c r="C2116" s="2544" t="s">
        <v>4274</v>
      </c>
      <c r="D2116" s="3097">
        <v>152000000</v>
      </c>
      <c r="E2116" s="3014">
        <f>D2116/D2111*100</f>
        <v>0.12496962703653423</v>
      </c>
      <c r="F2116" s="4462"/>
      <c r="G2116" s="3050"/>
      <c r="H2116" s="3099"/>
      <c r="I2116" s="3050"/>
      <c r="J2116" s="3101"/>
      <c r="K2116" s="3101"/>
      <c r="L2116" s="2690"/>
      <c r="M2116" s="2762"/>
      <c r="N2116" s="2701"/>
      <c r="P2116" s="644"/>
    </row>
    <row r="2117" spans="1:18" s="27" customFormat="1" ht="18.75" hidden="1" customHeight="1" x14ac:dyDescent="0.25">
      <c r="A2117" s="6"/>
      <c r="B2117" s="441"/>
      <c r="C2117" s="2544" t="s">
        <v>4275</v>
      </c>
      <c r="D2117" s="3097">
        <v>903290000</v>
      </c>
      <c r="E2117" s="3014">
        <f>D2117/D2111*100</f>
        <v>0.74265667372257238</v>
      </c>
      <c r="F2117" s="4462"/>
      <c r="G2117" s="3050"/>
      <c r="H2117" s="3099"/>
      <c r="I2117" s="3050"/>
      <c r="J2117" s="3101"/>
      <c r="K2117" s="3101"/>
      <c r="L2117" s="2690"/>
      <c r="M2117" s="3102"/>
      <c r="N2117" s="2701"/>
      <c r="P2117" s="644"/>
    </row>
    <row r="2118" spans="1:18" s="27" customFormat="1" ht="18" hidden="1" customHeight="1" x14ac:dyDescent="0.25">
      <c r="A2118" s="6"/>
      <c r="B2118" s="441"/>
      <c r="C2118" s="2544" t="s">
        <v>4276</v>
      </c>
      <c r="D2118" s="3097">
        <v>20931750</v>
      </c>
      <c r="E2118" s="3014">
        <f>D2118/D2111*100</f>
        <v>1.720942757053931E-2</v>
      </c>
      <c r="F2118" s="4462"/>
      <c r="G2118" s="3050"/>
      <c r="H2118" s="3099"/>
      <c r="I2118" s="3050"/>
      <c r="J2118" s="3101"/>
      <c r="K2118" s="3051"/>
      <c r="L2118" s="3099"/>
      <c r="M2118" s="3050"/>
      <c r="N2118" s="2701"/>
      <c r="P2118" s="645"/>
    </row>
    <row r="2119" spans="1:18" s="27" customFormat="1" ht="10.5" hidden="1" customHeight="1" x14ac:dyDescent="0.25">
      <c r="A2119" s="6"/>
      <c r="B2119" s="441"/>
      <c r="C2119" s="2544"/>
      <c r="D2119" s="3097"/>
      <c r="E2119" s="3014"/>
      <c r="F2119" s="4462"/>
      <c r="G2119" s="3050"/>
      <c r="H2119" s="3099"/>
      <c r="I2119" s="3050"/>
      <c r="J2119" s="3101"/>
      <c r="K2119" s="3051"/>
      <c r="L2119" s="3099"/>
      <c r="M2119" s="3102"/>
      <c r="N2119" s="2701"/>
      <c r="P2119" s="645"/>
    </row>
    <row r="2120" spans="1:18" s="27" customFormat="1" ht="18.75" hidden="1" customHeight="1" x14ac:dyDescent="0.25">
      <c r="A2120" s="6"/>
      <c r="B2120" s="441"/>
      <c r="C2120" s="2545" t="s">
        <v>1247</v>
      </c>
      <c r="D2120" s="3103">
        <f>SUM(D2121:D2140)</f>
        <v>19380922025</v>
      </c>
      <c r="E2120" s="2997">
        <f>D2120/D2111*100</f>
        <v>15.934385507160536</v>
      </c>
      <c r="F2120" s="4462"/>
      <c r="G2120" s="3050"/>
      <c r="H2120" s="3099"/>
      <c r="I2120" s="3050"/>
      <c r="J2120" s="3101"/>
      <c r="K2120" s="3101"/>
      <c r="L2120" s="2690"/>
      <c r="M2120" s="3102"/>
      <c r="N2120" s="2701"/>
      <c r="P2120" s="646"/>
    </row>
    <row r="2121" spans="1:18" s="27" customFormat="1" ht="17.25" hidden="1" customHeight="1" x14ac:dyDescent="0.25">
      <c r="A2121" s="6"/>
      <c r="B2121" s="441"/>
      <c r="C2121" s="2544" t="s">
        <v>363</v>
      </c>
      <c r="D2121" s="3097">
        <v>4877244875</v>
      </c>
      <c r="E2121" s="3014">
        <f>D2121/D2111*100</f>
        <v>4.0099175854907765</v>
      </c>
      <c r="F2121" s="4462"/>
      <c r="G2121" s="3050"/>
      <c r="H2121" s="3099"/>
      <c r="I2121" s="3050"/>
      <c r="J2121" s="3101"/>
      <c r="K2121" s="3101"/>
      <c r="L2121" s="2690"/>
      <c r="M2121" s="3102"/>
      <c r="N2121" s="2701"/>
      <c r="P2121" s="644"/>
    </row>
    <row r="2122" spans="1:18" s="27" customFormat="1" ht="16.5" hidden="1" customHeight="1" x14ac:dyDescent="0.25">
      <c r="A2122" s="6"/>
      <c r="B2122" s="441"/>
      <c r="C2122" s="2546" t="s">
        <v>4277</v>
      </c>
      <c r="D2122" s="3097">
        <v>1144000000</v>
      </c>
      <c r="E2122" s="3014">
        <f>D2122/D2111*100</f>
        <v>0.94056087716970493</v>
      </c>
      <c r="F2122" s="4462"/>
      <c r="G2122" s="3050"/>
      <c r="H2122" s="3099"/>
      <c r="I2122" s="3050"/>
      <c r="J2122" s="3101"/>
      <c r="K2122" s="3101"/>
      <c r="L2122" s="2690"/>
      <c r="M2122" s="2726"/>
      <c r="N2122" s="2701"/>
      <c r="P2122" s="644"/>
    </row>
    <row r="2123" spans="1:18" s="27" customFormat="1" ht="18" hidden="1" customHeight="1" x14ac:dyDescent="0.25">
      <c r="A2123" s="6"/>
      <c r="B2123" s="441"/>
      <c r="C2123" s="2524" t="s">
        <v>4278</v>
      </c>
      <c r="D2123" s="3097">
        <v>1430000000</v>
      </c>
      <c r="E2123" s="3014">
        <f>D2123/D2111*100</f>
        <v>1.1757010964621313</v>
      </c>
      <c r="F2123" s="4462"/>
      <c r="G2123" s="3050"/>
      <c r="H2123" s="3099"/>
      <c r="I2123" s="3050"/>
      <c r="J2123" s="3101"/>
      <c r="K2123" s="3051"/>
      <c r="L2123" s="3099"/>
      <c r="M2123" s="3050"/>
      <c r="N2123" s="2701"/>
      <c r="P2123" s="645"/>
    </row>
    <row r="2124" spans="1:18" s="27" customFormat="1" ht="16.5" hidden="1" customHeight="1" x14ac:dyDescent="0.25">
      <c r="A2124" s="6"/>
      <c r="B2124" s="441"/>
      <c r="C2124" s="2524" t="s">
        <v>4444</v>
      </c>
      <c r="D2124" s="3097">
        <v>372267000</v>
      </c>
      <c r="E2124" s="3014">
        <f>D2124/D2111*100</f>
        <v>0.3060662378158519</v>
      </c>
      <c r="F2124" s="4462"/>
      <c r="G2124" s="3050"/>
      <c r="H2124" s="3099"/>
      <c r="I2124" s="3050"/>
      <c r="J2124" s="3101"/>
      <c r="K2124" s="3101"/>
      <c r="L2124" s="2690"/>
      <c r="M2124" s="3050"/>
      <c r="N2124" s="2701"/>
      <c r="P2124" s="644"/>
    </row>
    <row r="2125" spans="1:18" s="20" customFormat="1" ht="17.25" hidden="1" customHeight="1" x14ac:dyDescent="0.25">
      <c r="A2125" s="963"/>
      <c r="B2125" s="441"/>
      <c r="C2125" s="2524" t="s">
        <v>4279</v>
      </c>
      <c r="D2125" s="3097">
        <v>575662300</v>
      </c>
      <c r="E2125" s="3014">
        <f>D2125/D2111*100</f>
        <v>0.47329146664469396</v>
      </c>
      <c r="F2125" s="4462"/>
      <c r="G2125" s="3050"/>
      <c r="H2125" s="3099"/>
      <c r="I2125" s="3050"/>
      <c r="J2125" s="3101"/>
      <c r="K2125" s="3101"/>
      <c r="L2125" s="2690"/>
      <c r="M2125" s="3050"/>
      <c r="N2125" s="2704"/>
      <c r="P2125" s="647"/>
    </row>
    <row r="2126" spans="1:18" s="20" customFormat="1" ht="30" hidden="1" customHeight="1" x14ac:dyDescent="0.25">
      <c r="A2126" s="963"/>
      <c r="B2126" s="441"/>
      <c r="C2126" s="2524" t="s">
        <v>4280</v>
      </c>
      <c r="D2126" s="3097">
        <v>373851000</v>
      </c>
      <c r="E2126" s="3014">
        <f>D2126/D2111*100</f>
        <v>0.30736855287654841</v>
      </c>
      <c r="F2126" s="4462"/>
      <c r="G2126" s="3050"/>
      <c r="H2126" s="3099"/>
      <c r="I2126" s="3050"/>
      <c r="J2126" s="3101"/>
      <c r="K2126" s="3101"/>
      <c r="L2126" s="2690"/>
      <c r="M2126" s="3050"/>
      <c r="N2126" s="2704"/>
      <c r="P2126" s="647"/>
    </row>
    <row r="2127" spans="1:18" s="20" customFormat="1" ht="17.25" hidden="1" customHeight="1" x14ac:dyDescent="0.25">
      <c r="A2127" s="963"/>
      <c r="B2127" s="441"/>
      <c r="C2127" s="2524" t="s">
        <v>4281</v>
      </c>
      <c r="D2127" s="3097">
        <v>156830000</v>
      </c>
      <c r="E2127" s="3014">
        <f>D2127/D2111*100</f>
        <v>0.12894070136933988</v>
      </c>
      <c r="F2127" s="4462"/>
      <c r="G2127" s="3050"/>
      <c r="H2127" s="3099"/>
      <c r="I2127" s="3050"/>
      <c r="J2127" s="3101"/>
      <c r="K2127" s="3051"/>
      <c r="L2127" s="3099"/>
      <c r="M2127" s="3050"/>
      <c r="N2127" s="2704"/>
      <c r="P2127" s="648"/>
    </row>
    <row r="2128" spans="1:18" s="20" customFormat="1" ht="16.5" hidden="1" customHeight="1" x14ac:dyDescent="0.25">
      <c r="A2128" s="963"/>
      <c r="B2128" s="441"/>
      <c r="C2128" s="2524" t="s">
        <v>4282</v>
      </c>
      <c r="D2128" s="3097">
        <v>347740000</v>
      </c>
      <c r="E2128" s="3014">
        <f>D2128/D2111*100</f>
        <v>0.28590090859002903</v>
      </c>
      <c r="F2128" s="4462"/>
      <c r="G2128" s="3050"/>
      <c r="H2128" s="3099"/>
      <c r="I2128" s="3050"/>
      <c r="J2128" s="3101"/>
      <c r="K2128" s="3051"/>
      <c r="L2128" s="3099"/>
      <c r="M2128" s="3050"/>
      <c r="N2128" s="2704"/>
      <c r="P2128" s="648"/>
    </row>
    <row r="2129" spans="1:16" s="20" customFormat="1" ht="18" hidden="1" customHeight="1" x14ac:dyDescent="0.25">
      <c r="A2129" s="963"/>
      <c r="B2129" s="441"/>
      <c r="C2129" s="2533" t="s">
        <v>4283</v>
      </c>
      <c r="D2129" s="3104">
        <v>134279700</v>
      </c>
      <c r="E2129" s="3014">
        <f>D2129/D2111*100</f>
        <v>0.11040055281301123</v>
      </c>
      <c r="F2129" s="4465"/>
      <c r="G2129" s="3105"/>
      <c r="H2129" s="3106"/>
      <c r="I2129" s="3107"/>
      <c r="J2129" s="2686"/>
      <c r="K2129" s="3051"/>
      <c r="L2129" s="3105"/>
      <c r="M2129" s="3105"/>
      <c r="N2129" s="2704"/>
      <c r="P2129" s="617"/>
    </row>
    <row r="2130" spans="1:16" s="20" customFormat="1" ht="18" hidden="1" customHeight="1" x14ac:dyDescent="0.25">
      <c r="A2130" s="963"/>
      <c r="B2130" s="441"/>
      <c r="C2130" s="2533" t="s">
        <v>4284</v>
      </c>
      <c r="D2130" s="3104">
        <v>753765000</v>
      </c>
      <c r="E2130" s="3014">
        <f>D2130/D2111*100</f>
        <v>0.6197219139683765</v>
      </c>
      <c r="F2130" s="4465"/>
      <c r="G2130" s="3105"/>
      <c r="H2130" s="3106"/>
      <c r="I2130" s="3107"/>
      <c r="J2130" s="2686"/>
      <c r="K2130" s="3051"/>
      <c r="L2130" s="3105"/>
      <c r="M2130" s="3105"/>
      <c r="N2130" s="2704"/>
      <c r="P2130" s="617"/>
    </row>
    <row r="2131" spans="1:16" s="20" customFormat="1" ht="16.5" hidden="1" customHeight="1" x14ac:dyDescent="0.25">
      <c r="A2131" s="963"/>
      <c r="B2131" s="441"/>
      <c r="C2131" s="2533" t="s">
        <v>4285</v>
      </c>
      <c r="D2131" s="3104">
        <v>5117600000</v>
      </c>
      <c r="E2131" s="3014">
        <f>D2131/D2111*100</f>
        <v>4.2075300218563658</v>
      </c>
      <c r="F2131" s="4465"/>
      <c r="G2131" s="3105"/>
      <c r="H2131" s="3106"/>
      <c r="I2131" s="3107"/>
      <c r="J2131" s="2686"/>
      <c r="K2131" s="3051"/>
      <c r="L2131" s="3105"/>
      <c r="M2131" s="3105"/>
      <c r="N2131" s="2704"/>
      <c r="P2131" s="617"/>
    </row>
    <row r="2132" spans="1:16" s="20" customFormat="1" ht="16.5" hidden="1" customHeight="1" x14ac:dyDescent="0.25">
      <c r="A2132" s="963"/>
      <c r="B2132" s="441"/>
      <c r="C2132" s="2533" t="s">
        <v>4286</v>
      </c>
      <c r="D2132" s="3104">
        <v>210225000</v>
      </c>
      <c r="E2132" s="3014">
        <f>D2132/D2111*100</f>
        <v>0.17284039370891716</v>
      </c>
      <c r="F2132" s="4465"/>
      <c r="G2132" s="3105"/>
      <c r="H2132" s="3106"/>
      <c r="I2132" s="3107"/>
      <c r="J2132" s="2686"/>
      <c r="K2132" s="3051"/>
      <c r="L2132" s="3105"/>
      <c r="M2132" s="3105"/>
      <c r="N2132" s="2704"/>
      <c r="P2132" s="617"/>
    </row>
    <row r="2133" spans="1:16" s="20" customFormat="1" ht="15.75" hidden="1" customHeight="1" x14ac:dyDescent="0.25">
      <c r="A2133" s="963"/>
      <c r="B2133" s="441"/>
      <c r="C2133" s="2533" t="s">
        <v>4287</v>
      </c>
      <c r="D2133" s="3104">
        <v>251676000</v>
      </c>
      <c r="E2133" s="3014">
        <f>D2133/D2111*100</f>
        <v>0.20692010430293939</v>
      </c>
      <c r="F2133" s="4465"/>
      <c r="G2133" s="3105"/>
      <c r="H2133" s="3106"/>
      <c r="I2133" s="3107"/>
      <c r="J2133" s="2686"/>
      <c r="K2133" s="3051"/>
      <c r="L2133" s="3105"/>
      <c r="M2133" s="3105"/>
      <c r="N2133" s="2704"/>
      <c r="P2133" s="617"/>
    </row>
    <row r="2134" spans="1:16" s="20" customFormat="1" ht="15.75" hidden="1" customHeight="1" x14ac:dyDescent="0.25">
      <c r="A2134" s="963"/>
      <c r="B2134" s="441"/>
      <c r="C2134" s="2533" t="s">
        <v>4288</v>
      </c>
      <c r="D2134" s="3104">
        <v>170299800</v>
      </c>
      <c r="E2134" s="3014">
        <f>D2134/D2111*100</f>
        <v>0.14001514796313402</v>
      </c>
      <c r="F2134" s="4465"/>
      <c r="G2134" s="3105"/>
      <c r="H2134" s="3106"/>
      <c r="I2134" s="3107"/>
      <c r="J2134" s="2686"/>
      <c r="K2134" s="3051"/>
      <c r="L2134" s="3105"/>
      <c r="M2134" s="3105"/>
      <c r="N2134" s="2704"/>
      <c r="P2134" s="617"/>
    </row>
    <row r="2135" spans="1:16" s="20" customFormat="1" ht="15.75" hidden="1" customHeight="1" x14ac:dyDescent="0.25">
      <c r="A2135" s="963"/>
      <c r="B2135" s="441"/>
      <c r="C2135" s="2533" t="s">
        <v>4289</v>
      </c>
      <c r="D2135" s="3104">
        <v>385830000</v>
      </c>
      <c r="E2135" s="3014">
        <f>D2135/D2111*100</f>
        <v>0.31721731052306579</v>
      </c>
      <c r="F2135" s="4465"/>
      <c r="G2135" s="3105"/>
      <c r="H2135" s="3106"/>
      <c r="I2135" s="3107"/>
      <c r="J2135" s="2686"/>
      <c r="K2135" s="3051"/>
      <c r="L2135" s="3105"/>
      <c r="M2135" s="3105"/>
      <c r="N2135" s="2704"/>
      <c r="P2135" s="617"/>
    </row>
    <row r="2136" spans="1:16" s="20" customFormat="1" ht="15.75" hidden="1" customHeight="1" x14ac:dyDescent="0.25">
      <c r="A2136" s="963"/>
      <c r="B2136" s="441"/>
      <c r="C2136" s="2533" t="s">
        <v>4290</v>
      </c>
      <c r="D2136" s="3104">
        <v>199221800</v>
      </c>
      <c r="E2136" s="3014">
        <f>D2136/D2111*100</f>
        <v>0.16379390818123035</v>
      </c>
      <c r="F2136" s="4465"/>
      <c r="G2136" s="3105"/>
      <c r="H2136" s="3106"/>
      <c r="I2136" s="3107"/>
      <c r="J2136" s="2686"/>
      <c r="K2136" s="3051"/>
      <c r="L2136" s="3105"/>
      <c r="M2136" s="3105"/>
      <c r="N2136" s="2704"/>
      <c r="P2136" s="617"/>
    </row>
    <row r="2137" spans="1:16" s="20" customFormat="1" ht="15.75" hidden="1" customHeight="1" x14ac:dyDescent="0.25">
      <c r="A2137" s="963"/>
      <c r="B2137" s="441"/>
      <c r="C2137" s="2533" t="s">
        <v>4291</v>
      </c>
      <c r="D2137" s="3104">
        <v>800000000</v>
      </c>
      <c r="E2137" s="3014">
        <f>D2137/D2111*100</f>
        <v>0.65773487913965389</v>
      </c>
      <c r="F2137" s="4465"/>
      <c r="G2137" s="3105"/>
      <c r="H2137" s="3106"/>
      <c r="I2137" s="3107"/>
      <c r="J2137" s="2686"/>
      <c r="K2137" s="3051"/>
      <c r="L2137" s="3105"/>
      <c r="M2137" s="3105"/>
      <c r="N2137" s="2704"/>
      <c r="P2137" s="617"/>
    </row>
    <row r="2138" spans="1:16" s="20" customFormat="1" ht="15.75" hidden="1" customHeight="1" x14ac:dyDescent="0.25">
      <c r="A2138" s="963"/>
      <c r="B2138" s="441"/>
      <c r="C2138" s="2533" t="s">
        <v>4292</v>
      </c>
      <c r="D2138" s="3104">
        <v>900000000</v>
      </c>
      <c r="E2138" s="3014">
        <f>D2138/D2111*100</f>
        <v>0.73995173903211053</v>
      </c>
      <c r="F2138" s="4465"/>
      <c r="G2138" s="3105"/>
      <c r="H2138" s="3106"/>
      <c r="I2138" s="3107"/>
      <c r="J2138" s="2686"/>
      <c r="K2138" s="3051"/>
      <c r="L2138" s="3105"/>
      <c r="M2138" s="3105"/>
      <c r="N2138" s="2704"/>
      <c r="P2138" s="617"/>
    </row>
    <row r="2139" spans="1:16" s="20" customFormat="1" ht="15.75" hidden="1" customHeight="1" x14ac:dyDescent="0.25">
      <c r="A2139" s="963"/>
      <c r="B2139" s="441"/>
      <c r="C2139" s="2533" t="s">
        <v>4293</v>
      </c>
      <c r="D2139" s="3104">
        <v>273495000</v>
      </c>
      <c r="E2139" s="3014">
        <f>D2139/D2111*100</f>
        <v>0.22485900096287453</v>
      </c>
      <c r="F2139" s="4465"/>
      <c r="G2139" s="3105"/>
      <c r="H2139" s="3106"/>
      <c r="I2139" s="3107"/>
      <c r="J2139" s="2686"/>
      <c r="K2139" s="3051"/>
      <c r="L2139" s="3105"/>
      <c r="M2139" s="3105"/>
      <c r="N2139" s="2704"/>
      <c r="P2139" s="617"/>
    </row>
    <row r="2140" spans="1:16" s="20" customFormat="1" ht="15.75" hidden="1" customHeight="1" x14ac:dyDescent="0.25">
      <c r="A2140" s="963"/>
      <c r="B2140" s="441"/>
      <c r="C2140" s="2533" t="s">
        <v>4294</v>
      </c>
      <c r="D2140" s="3104">
        <v>906934550</v>
      </c>
      <c r="E2140" s="3014">
        <f>D2140/D2111*100</f>
        <v>0.74565310828978293</v>
      </c>
      <c r="F2140" s="4465"/>
      <c r="G2140" s="3105"/>
      <c r="H2140" s="3106"/>
      <c r="I2140" s="3107"/>
      <c r="J2140" s="2686"/>
      <c r="K2140" s="3051"/>
      <c r="L2140" s="3105"/>
      <c r="M2140" s="3105"/>
      <c r="N2140" s="2704"/>
      <c r="P2140" s="617"/>
    </row>
    <row r="2141" spans="1:16" s="20" customFormat="1" ht="12" hidden="1" customHeight="1" x14ac:dyDescent="0.25">
      <c r="A2141" s="963"/>
      <c r="B2141" s="441"/>
      <c r="C2141" s="2533"/>
      <c r="D2141" s="3104"/>
      <c r="E2141" s="3108"/>
      <c r="F2141" s="4465"/>
      <c r="G2141" s="3105"/>
      <c r="H2141" s="3106"/>
      <c r="I2141" s="3107"/>
      <c r="J2141" s="2686"/>
      <c r="K2141" s="3051"/>
      <c r="L2141" s="3105"/>
      <c r="M2141" s="3105"/>
      <c r="N2141" s="2704"/>
      <c r="P2141" s="617"/>
    </row>
    <row r="2142" spans="1:16" s="20" customFormat="1" ht="18.75" hidden="1" customHeight="1" x14ac:dyDescent="0.25">
      <c r="A2142" s="963"/>
      <c r="B2142" s="441"/>
      <c r="C2142" s="2525" t="s">
        <v>1260</v>
      </c>
      <c r="D2142" s="3109">
        <f>SUM(D2143:D2143)</f>
        <v>180432400</v>
      </c>
      <c r="E2142" s="2966">
        <f>D2142/D2111*100</f>
        <v>0.14834585350859711</v>
      </c>
      <c r="F2142" s="3873"/>
      <c r="G2142" s="3110"/>
      <c r="H2142" s="3096"/>
      <c r="I2142" s="3048"/>
      <c r="J2142" s="3111"/>
      <c r="K2142" s="3111"/>
      <c r="L2142" s="2695"/>
      <c r="M2142" s="2766"/>
      <c r="N2142" s="2704"/>
      <c r="P2142" s="617"/>
    </row>
    <row r="2143" spans="1:16" s="20" customFormat="1" ht="18" hidden="1" customHeight="1" x14ac:dyDescent="0.25">
      <c r="A2143" s="963"/>
      <c r="B2143" s="441"/>
      <c r="C2143" s="2524" t="s">
        <v>4295</v>
      </c>
      <c r="D2143" s="3097">
        <v>180432400</v>
      </c>
      <c r="E2143" s="3014">
        <f>D2143/D2111*100</f>
        <v>0.14834585350859711</v>
      </c>
      <c r="F2143" s="4462"/>
      <c r="G2143" s="3105"/>
      <c r="H2143" s="3099"/>
      <c r="I2143" s="3050"/>
      <c r="J2143" s="3101"/>
      <c r="K2143" s="3101"/>
      <c r="L2143" s="2690"/>
      <c r="M2143" s="3105"/>
      <c r="N2143" s="2704"/>
      <c r="P2143" s="617"/>
    </row>
    <row r="2144" spans="1:16" s="20" customFormat="1" ht="10.5" hidden="1" customHeight="1" x14ac:dyDescent="0.25">
      <c r="A2144" s="963"/>
      <c r="B2144" s="441"/>
      <c r="C2144" s="2533"/>
      <c r="D2144" s="3104"/>
      <c r="E2144" s="3014"/>
      <c r="F2144" s="4465"/>
      <c r="G2144" s="3105"/>
      <c r="H2144" s="3099"/>
      <c r="I2144" s="3105"/>
      <c r="J2144" s="2686"/>
      <c r="K2144" s="3112"/>
      <c r="L2144" s="3105"/>
      <c r="M2144" s="3105"/>
      <c r="N2144" s="2704"/>
      <c r="P2144" s="617"/>
    </row>
    <row r="2145" spans="1:16" s="20" customFormat="1" ht="21" hidden="1" customHeight="1" x14ac:dyDescent="0.25">
      <c r="A2145" s="963"/>
      <c r="B2145" s="441"/>
      <c r="C2145" s="2534" t="s">
        <v>1264</v>
      </c>
      <c r="D2145" s="3109">
        <f>SUM(D2146:D2146)</f>
        <v>239000000</v>
      </c>
      <c r="E2145" s="2997">
        <f>D2145/D2111*100</f>
        <v>0.1964982951429716</v>
      </c>
      <c r="F2145" s="3873"/>
      <c r="G2145" s="3113"/>
      <c r="H2145" s="3096"/>
      <c r="I2145" s="3113"/>
      <c r="J2145" s="3111"/>
      <c r="K2145" s="3114"/>
      <c r="L2145" s="2695"/>
      <c r="M2145" s="2766"/>
      <c r="N2145" s="2704"/>
      <c r="P2145" s="617"/>
    </row>
    <row r="2146" spans="1:16" s="20" customFormat="1" ht="18" hidden="1" customHeight="1" x14ac:dyDescent="0.25">
      <c r="A2146" s="963"/>
      <c r="B2146" s="441"/>
      <c r="C2146" s="2547" t="s">
        <v>4296</v>
      </c>
      <c r="D2146" s="3952">
        <v>239000000</v>
      </c>
      <c r="E2146" s="3014">
        <f>D2146/D2111*100</f>
        <v>0.1964982951429716</v>
      </c>
      <c r="F2146" s="4462"/>
      <c r="G2146" s="3105"/>
      <c r="H2146" s="3099"/>
      <c r="I2146" s="3105"/>
      <c r="J2146" s="3101"/>
      <c r="K2146" s="3101"/>
      <c r="L2146" s="2690"/>
      <c r="M2146" s="2739"/>
      <c r="N2146" s="2704"/>
      <c r="P2146" s="617"/>
    </row>
    <row r="2147" spans="1:16" s="20" customFormat="1" ht="10.5" hidden="1" customHeight="1" x14ac:dyDescent="0.25">
      <c r="A2147" s="963"/>
      <c r="B2147" s="441"/>
      <c r="C2147" s="2524"/>
      <c r="D2147" s="3097"/>
      <c r="E2147" s="3014"/>
      <c r="F2147" s="4462"/>
      <c r="G2147" s="3105"/>
      <c r="H2147" s="3099"/>
      <c r="I2147" s="3105"/>
      <c r="J2147" s="3101"/>
      <c r="K2147" s="3101"/>
      <c r="L2147" s="2690"/>
      <c r="M2147" s="2739"/>
      <c r="N2147" s="2704"/>
      <c r="P2147" s="617"/>
    </row>
    <row r="2148" spans="1:16" s="20" customFormat="1" ht="19.5" hidden="1" customHeight="1" x14ac:dyDescent="0.25">
      <c r="A2148" s="963"/>
      <c r="B2148" s="441"/>
      <c r="C2148" s="2525" t="s">
        <v>1267</v>
      </c>
      <c r="D2148" s="3103">
        <f>SUM(D2149:D2160)</f>
        <v>7101974900</v>
      </c>
      <c r="E2148" s="2997">
        <f>D2148/D2111*100</f>
        <v>5.8390207531304439</v>
      </c>
      <c r="F2148" s="4462"/>
      <c r="G2148" s="3105"/>
      <c r="H2148" s="3099"/>
      <c r="I2148" s="3105"/>
      <c r="J2148" s="3112"/>
      <c r="K2148" s="3051"/>
      <c r="L2148" s="3105"/>
      <c r="M2148" s="3105"/>
      <c r="N2148" s="2704"/>
      <c r="P2148" s="617"/>
    </row>
    <row r="2149" spans="1:16" s="20" customFormat="1" ht="18.75" hidden="1" customHeight="1" x14ac:dyDescent="0.25">
      <c r="A2149" s="963"/>
      <c r="B2149" s="441"/>
      <c r="C2149" s="2524" t="s">
        <v>4297</v>
      </c>
      <c r="D2149" s="3097">
        <v>162255000</v>
      </c>
      <c r="E2149" s="3014">
        <f>D2149/D2111*100</f>
        <v>0.13340096601850568</v>
      </c>
      <c r="F2149" s="4462"/>
      <c r="G2149" s="3105"/>
      <c r="H2149" s="3099"/>
      <c r="I2149" s="3105"/>
      <c r="J2149" s="3112"/>
      <c r="K2149" s="3051"/>
      <c r="L2149" s="3105"/>
      <c r="M2149" s="3105"/>
      <c r="N2149" s="2704"/>
      <c r="P2149" s="617"/>
    </row>
    <row r="2150" spans="1:16" s="20" customFormat="1" ht="18.75" hidden="1" customHeight="1" x14ac:dyDescent="0.25">
      <c r="A2150" s="963"/>
      <c r="B2150" s="441"/>
      <c r="C2150" s="2524" t="s">
        <v>4298</v>
      </c>
      <c r="D2150" s="3097">
        <v>282110000</v>
      </c>
      <c r="E2150" s="3014">
        <f>D2150/D2111*100</f>
        <v>0.23194198344260969</v>
      </c>
      <c r="F2150" s="4462"/>
      <c r="G2150" s="3105"/>
      <c r="H2150" s="3099"/>
      <c r="I2150" s="3105"/>
      <c r="J2150" s="3101"/>
      <c r="K2150" s="3051"/>
      <c r="L2150" s="3105"/>
      <c r="M2150" s="3105"/>
      <c r="N2150" s="2704"/>
      <c r="P2150" s="617"/>
    </row>
    <row r="2151" spans="1:16" s="20" customFormat="1" ht="30.75" hidden="1" customHeight="1" x14ac:dyDescent="0.25">
      <c r="A2151" s="963"/>
      <c r="B2151" s="441"/>
      <c r="C2151" s="2524" t="s">
        <v>4299</v>
      </c>
      <c r="D2151" s="3097">
        <v>2210506000</v>
      </c>
      <c r="E2151" s="3014">
        <f>D2151/D2111*100</f>
        <v>1.8174086209343496</v>
      </c>
      <c r="F2151" s="4462"/>
      <c r="G2151" s="3105"/>
      <c r="H2151" s="3099"/>
      <c r="I2151" s="3105"/>
      <c r="J2151" s="3101"/>
      <c r="K2151" s="3051"/>
      <c r="L2151" s="3105"/>
      <c r="M2151" s="3105"/>
      <c r="N2151" s="2704"/>
      <c r="P2151" s="617"/>
    </row>
    <row r="2152" spans="1:16" s="20" customFormat="1" ht="19.5" hidden="1" customHeight="1" x14ac:dyDescent="0.25">
      <c r="A2152" s="963"/>
      <c r="B2152" s="441"/>
      <c r="C2152" s="2524" t="s">
        <v>4300</v>
      </c>
      <c r="D2152" s="3097">
        <v>143880000</v>
      </c>
      <c r="E2152" s="3014">
        <f>D2152/D2111*100</f>
        <v>0.11829361801326674</v>
      </c>
      <c r="F2152" s="4462"/>
      <c r="G2152" s="3105"/>
      <c r="H2152" s="3099"/>
      <c r="I2152" s="3105"/>
      <c r="J2152" s="3101"/>
      <c r="K2152" s="3051"/>
      <c r="L2152" s="3105"/>
      <c r="M2152" s="3105"/>
      <c r="N2152" s="2704"/>
      <c r="P2152" s="617"/>
    </row>
    <row r="2153" spans="1:16" s="20" customFormat="1" ht="17.25" hidden="1" customHeight="1" x14ac:dyDescent="0.25">
      <c r="A2153" s="963"/>
      <c r="B2153" s="441"/>
      <c r="C2153" s="2524" t="s">
        <v>4301</v>
      </c>
      <c r="D2153" s="3097">
        <v>105480000</v>
      </c>
      <c r="E2153" s="3014">
        <f>D2153/D2111*100</f>
        <v>8.6722343814563355E-2</v>
      </c>
      <c r="F2153" s="4462"/>
      <c r="G2153" s="3105"/>
      <c r="H2153" s="3099"/>
      <c r="I2153" s="3050"/>
      <c r="J2153" s="3101"/>
      <c r="K2153" s="3051"/>
      <c r="L2153" s="3105"/>
      <c r="M2153" s="3105"/>
      <c r="N2153" s="2704"/>
      <c r="P2153" s="617"/>
    </row>
    <row r="2154" spans="1:16" s="20" customFormat="1" ht="17.25" hidden="1" customHeight="1" x14ac:dyDescent="0.25">
      <c r="A2154" s="963"/>
      <c r="B2154" s="441"/>
      <c r="C2154" s="2533" t="s">
        <v>4302</v>
      </c>
      <c r="D2154" s="2706">
        <v>63080000</v>
      </c>
      <c r="E2154" s="3014">
        <f>D2154/D2111*100</f>
        <v>5.1862395220161707E-2</v>
      </c>
      <c r="F2154" s="4466"/>
      <c r="G2154" s="3105"/>
      <c r="H2154" s="3099"/>
      <c r="I2154" s="3050"/>
      <c r="J2154" s="3101"/>
      <c r="K2154" s="3051"/>
      <c r="L2154" s="3105"/>
      <c r="M2154" s="3105"/>
      <c r="N2154" s="2704"/>
      <c r="P2154" s="617"/>
    </row>
    <row r="2155" spans="1:16" s="20" customFormat="1" ht="15.75" hidden="1" customHeight="1" x14ac:dyDescent="0.25">
      <c r="A2155" s="963"/>
      <c r="B2155" s="441"/>
      <c r="C2155" s="2533" t="s">
        <v>4303</v>
      </c>
      <c r="D2155" s="3104">
        <v>102680000</v>
      </c>
      <c r="E2155" s="3014">
        <f>D2155/D2111*100</f>
        <v>8.4420271737574562E-2</v>
      </c>
      <c r="F2155" s="4465"/>
      <c r="G2155" s="3105"/>
      <c r="H2155" s="3099"/>
      <c r="I2155" s="3105"/>
      <c r="J2155" s="2548"/>
      <c r="K2155" s="3051"/>
      <c r="L2155" s="3105"/>
      <c r="M2155" s="3105"/>
      <c r="N2155" s="2704"/>
      <c r="P2155" s="617"/>
    </row>
    <row r="2156" spans="1:16" s="20" customFormat="1" ht="18" hidden="1" customHeight="1" x14ac:dyDescent="0.25">
      <c r="A2156" s="963"/>
      <c r="B2156" s="441"/>
      <c r="C2156" s="2533" t="s">
        <v>4304</v>
      </c>
      <c r="D2156" s="3104">
        <v>71080000</v>
      </c>
      <c r="E2156" s="3014">
        <f>D2156/D2111*100</f>
        <v>5.8439744011558242E-2</v>
      </c>
      <c r="F2156" s="4465"/>
      <c r="G2156" s="3105"/>
      <c r="H2156" s="3099"/>
      <c r="I2156" s="3105"/>
      <c r="J2156" s="2548"/>
      <c r="K2156" s="3051"/>
      <c r="L2156" s="3105"/>
      <c r="M2156" s="3105"/>
      <c r="N2156" s="2704"/>
      <c r="P2156" s="617"/>
    </row>
    <row r="2157" spans="1:16" s="20" customFormat="1" ht="17.25" hidden="1" customHeight="1" x14ac:dyDescent="0.25">
      <c r="A2157" s="963"/>
      <c r="B2157" s="441"/>
      <c r="C2157" s="2533" t="s">
        <v>4305</v>
      </c>
      <c r="D2157" s="3104">
        <v>105480000</v>
      </c>
      <c r="E2157" s="3014">
        <f>D2157/D2111*100</f>
        <v>8.6722343814563355E-2</v>
      </c>
      <c r="F2157" s="4465"/>
      <c r="G2157" s="3105"/>
      <c r="H2157" s="3099"/>
      <c r="I2157" s="3105"/>
      <c r="J2157" s="2548"/>
      <c r="K2157" s="3051"/>
      <c r="L2157" s="3105"/>
      <c r="M2157" s="3105"/>
      <c r="N2157" s="2704"/>
      <c r="P2157" s="617"/>
    </row>
    <row r="2158" spans="1:16" s="20" customFormat="1" ht="18" hidden="1" customHeight="1" x14ac:dyDescent="0.25">
      <c r="A2158" s="963"/>
      <c r="B2158" s="441"/>
      <c r="C2158" s="2533" t="s">
        <v>4306</v>
      </c>
      <c r="D2158" s="3104">
        <v>3499923900</v>
      </c>
      <c r="E2158" s="3014">
        <f>D2158/D2111*100</f>
        <v>2.8775275292056075</v>
      </c>
      <c r="F2158" s="4465"/>
      <c r="G2158" s="3105"/>
      <c r="H2158" s="3099"/>
      <c r="I2158" s="3105"/>
      <c r="J2158" s="2548"/>
      <c r="K2158" s="3051"/>
      <c r="L2158" s="3105"/>
      <c r="M2158" s="3105"/>
      <c r="N2158" s="2704"/>
      <c r="P2158" s="617"/>
    </row>
    <row r="2159" spans="1:16" s="20" customFormat="1" ht="27" hidden="1" customHeight="1" x14ac:dyDescent="0.25">
      <c r="A2159" s="963"/>
      <c r="B2159" s="441"/>
      <c r="C2159" s="2533" t="s">
        <v>4307</v>
      </c>
      <c r="D2159" s="3104">
        <v>97600000</v>
      </c>
      <c r="E2159" s="3014">
        <f>D2159/D2111*100</f>
        <v>8.0243655255037766E-2</v>
      </c>
      <c r="F2159" s="4465"/>
      <c r="G2159" s="3105"/>
      <c r="H2159" s="3099"/>
      <c r="I2159" s="3105"/>
      <c r="J2159" s="2548"/>
      <c r="K2159" s="3051"/>
      <c r="L2159" s="3105"/>
      <c r="M2159" s="3105"/>
      <c r="N2159" s="2704"/>
      <c r="P2159" s="617"/>
    </row>
    <row r="2160" spans="1:16" s="20" customFormat="1" ht="19.5" hidden="1" customHeight="1" x14ac:dyDescent="0.25">
      <c r="A2160" s="963"/>
      <c r="B2160" s="441"/>
      <c r="C2160" s="2533" t="s">
        <v>4308</v>
      </c>
      <c r="D2160" s="3104">
        <v>257900000</v>
      </c>
      <c r="E2160" s="3014">
        <f>D2160/D2111*100</f>
        <v>0.21203728166264588</v>
      </c>
      <c r="F2160" s="4465"/>
      <c r="G2160" s="3105"/>
      <c r="H2160" s="3099"/>
      <c r="I2160" s="3105"/>
      <c r="J2160" s="2548"/>
      <c r="K2160" s="3051"/>
      <c r="L2160" s="3105"/>
      <c r="M2160" s="3105"/>
      <c r="N2160" s="2704"/>
      <c r="P2160" s="617"/>
    </row>
    <row r="2161" spans="1:16" s="20" customFormat="1" ht="11.25" hidden="1" customHeight="1" x14ac:dyDescent="0.25">
      <c r="A2161" s="963"/>
      <c r="B2161" s="441"/>
      <c r="C2161" s="2533"/>
      <c r="D2161" s="3104"/>
      <c r="E2161" s="3014"/>
      <c r="F2161" s="4465"/>
      <c r="G2161" s="3105"/>
      <c r="H2161" s="3099"/>
      <c r="I2161" s="3105"/>
      <c r="J2161" s="2548"/>
      <c r="K2161" s="3051"/>
      <c r="L2161" s="3105"/>
      <c r="M2161" s="3105"/>
      <c r="N2161" s="2704"/>
      <c r="P2161" s="617"/>
    </row>
    <row r="2162" spans="1:16" s="32" customFormat="1" ht="32.25" hidden="1" customHeight="1" x14ac:dyDescent="0.25">
      <c r="A2162" s="470"/>
      <c r="B2162" s="441"/>
      <c r="C2162" s="2534" t="s">
        <v>4309</v>
      </c>
      <c r="D2162" s="3109">
        <f>D2163</f>
        <v>52015000</v>
      </c>
      <c r="E2162" s="2997">
        <f>D2162/D2111*100</f>
        <v>4.2765099673061371E-2</v>
      </c>
      <c r="F2162" s="3873"/>
      <c r="G2162" s="3113"/>
      <c r="H2162" s="3096"/>
      <c r="I2162" s="3113"/>
      <c r="J2162" s="2549"/>
      <c r="K2162" s="3049"/>
      <c r="L2162" s="3113"/>
      <c r="M2162" s="3113"/>
      <c r="N2162" s="3115"/>
      <c r="P2162" s="630"/>
    </row>
    <row r="2163" spans="1:16" s="20" customFormat="1" ht="18" hidden="1" customHeight="1" x14ac:dyDescent="0.25">
      <c r="A2163" s="963"/>
      <c r="B2163" s="441"/>
      <c r="C2163" s="2533" t="s">
        <v>4310</v>
      </c>
      <c r="D2163" s="3104">
        <v>52015000</v>
      </c>
      <c r="E2163" s="3014">
        <f>D2163/D2111*100</f>
        <v>4.2765099673061371E-2</v>
      </c>
      <c r="F2163" s="4465"/>
      <c r="G2163" s="3105"/>
      <c r="H2163" s="3099"/>
      <c r="I2163" s="3105"/>
      <c r="J2163" s="2548"/>
      <c r="K2163" s="3051"/>
      <c r="L2163" s="3105"/>
      <c r="M2163" s="3105"/>
      <c r="N2163" s="2704"/>
      <c r="P2163" s="617"/>
    </row>
    <row r="2164" spans="1:16" s="20" customFormat="1" ht="11.25" hidden="1" customHeight="1" x14ac:dyDescent="0.25">
      <c r="A2164" s="963"/>
      <c r="B2164" s="441"/>
      <c r="C2164" s="2533"/>
      <c r="D2164" s="3104"/>
      <c r="E2164" s="3014"/>
      <c r="F2164" s="4465"/>
      <c r="G2164" s="3105"/>
      <c r="H2164" s="3099"/>
      <c r="I2164" s="3105"/>
      <c r="J2164" s="2548"/>
      <c r="K2164" s="3051"/>
      <c r="L2164" s="3105"/>
      <c r="M2164" s="3105"/>
      <c r="N2164" s="2704"/>
      <c r="P2164" s="617"/>
    </row>
    <row r="2165" spans="1:16" s="20" customFormat="1" ht="16.5" hidden="1" customHeight="1" x14ac:dyDescent="0.25">
      <c r="A2165" s="963"/>
      <c r="B2165" s="441"/>
      <c r="C2165" s="2525" t="s">
        <v>4312</v>
      </c>
      <c r="D2165" s="899">
        <f>SUM(D2166:D2168)</f>
        <v>716000000</v>
      </c>
      <c r="E2165" s="2997">
        <f>D2165/D2111*100</f>
        <v>0.58867271682999023</v>
      </c>
      <c r="F2165" s="3852"/>
      <c r="G2165" s="3113"/>
      <c r="H2165" s="3096"/>
      <c r="I2165" s="3113"/>
      <c r="J2165" s="3063"/>
      <c r="K2165" s="3063"/>
      <c r="L2165" s="2695"/>
      <c r="M2165" s="2766"/>
      <c r="N2165" s="2704"/>
      <c r="P2165" s="617"/>
    </row>
    <row r="2166" spans="1:16" s="20" customFormat="1" ht="16.5" hidden="1" customHeight="1" x14ac:dyDescent="0.25">
      <c r="A2166" s="963"/>
      <c r="B2166" s="441"/>
      <c r="C2166" s="2524" t="s">
        <v>4311</v>
      </c>
      <c r="D2166" s="896">
        <v>195000000</v>
      </c>
      <c r="E2166" s="3014">
        <f>D2166/D2111*100</f>
        <v>0.16032287679029061</v>
      </c>
      <c r="F2166" s="4449"/>
      <c r="G2166" s="3105"/>
      <c r="H2166" s="3099"/>
      <c r="I2166" s="3105"/>
      <c r="J2166" s="3101"/>
      <c r="K2166" s="3101"/>
      <c r="L2166" s="2690"/>
      <c r="M2166" s="2739"/>
      <c r="N2166" s="2704"/>
      <c r="P2166" s="617"/>
    </row>
    <row r="2167" spans="1:16" s="20" customFormat="1" ht="16.5" hidden="1" customHeight="1" x14ac:dyDescent="0.25">
      <c r="A2167" s="963"/>
      <c r="B2167" s="441"/>
      <c r="C2167" s="2533" t="s">
        <v>4313</v>
      </c>
      <c r="D2167" s="2709">
        <v>246000000</v>
      </c>
      <c r="E2167" s="3014">
        <f>D2167/D2111*100</f>
        <v>0.20225347533544355</v>
      </c>
      <c r="F2167" s="4454"/>
      <c r="G2167" s="3105"/>
      <c r="H2167" s="3106"/>
      <c r="I2167" s="3105"/>
      <c r="J2167" s="3101"/>
      <c r="K2167" s="3101"/>
      <c r="L2167" s="2710"/>
      <c r="M2167" s="2739"/>
      <c r="N2167" s="2704"/>
      <c r="P2167" s="617"/>
    </row>
    <row r="2168" spans="1:16" s="20" customFormat="1" ht="16.5" hidden="1" customHeight="1" x14ac:dyDescent="0.25">
      <c r="A2168" s="963"/>
      <c r="B2168" s="441"/>
      <c r="C2168" s="2533" t="s">
        <v>4314</v>
      </c>
      <c r="D2168" s="2709">
        <v>275000000</v>
      </c>
      <c r="E2168" s="3014">
        <f>D2168/D2111*100</f>
        <v>0.22609636470425601</v>
      </c>
      <c r="F2168" s="4454"/>
      <c r="G2168" s="3105"/>
      <c r="H2168" s="3106"/>
      <c r="I2168" s="3105"/>
      <c r="J2168" s="3101"/>
      <c r="K2168" s="3101"/>
      <c r="L2168" s="2710"/>
      <c r="M2168" s="2739"/>
      <c r="N2168" s="2704"/>
      <c r="P2168" s="617"/>
    </row>
    <row r="2169" spans="1:16" s="20" customFormat="1" ht="17.25" hidden="1" customHeight="1" x14ac:dyDescent="0.25">
      <c r="A2169" s="963"/>
      <c r="B2169" s="441"/>
      <c r="C2169" s="2476"/>
      <c r="D2169" s="2709"/>
      <c r="E2169" s="3027"/>
      <c r="F2169" s="4430"/>
      <c r="G2169" s="3117"/>
      <c r="H2169" s="2710"/>
      <c r="I2169" s="3117"/>
      <c r="J2169" s="898"/>
      <c r="K2169" s="896"/>
      <c r="L2169" s="911"/>
      <c r="M2169" s="911"/>
      <c r="N2169" s="2704"/>
      <c r="P2169" s="617"/>
    </row>
    <row r="2170" spans="1:16" s="20" customFormat="1" ht="17.25" hidden="1" customHeight="1" x14ac:dyDescent="0.25">
      <c r="A2170" s="963"/>
      <c r="B2170" s="440"/>
      <c r="C2170" s="2497" t="s">
        <v>252</v>
      </c>
      <c r="D2170" s="2669">
        <f>SUM(D2171+D2175+D2179+D2184+D2187+D2190+D2198+D2202+D2206+D2209)</f>
        <v>23469773377</v>
      </c>
      <c r="E2170" s="2996">
        <f>D2170/D2111*100</f>
        <v>19.296110694445201</v>
      </c>
      <c r="F2170" s="3835"/>
      <c r="G2170" s="2719"/>
      <c r="H2170" s="2719"/>
      <c r="I2170" s="2744"/>
      <c r="J2170" s="2720"/>
      <c r="K2170" s="2720"/>
      <c r="L2170" s="2719"/>
      <c r="M2170" s="2744"/>
      <c r="N2170" s="2704"/>
      <c r="P2170" s="617"/>
    </row>
    <row r="2171" spans="1:16" s="20" customFormat="1" ht="21" hidden="1" customHeight="1" x14ac:dyDescent="0.25">
      <c r="A2171" s="963"/>
      <c r="B2171" s="441"/>
      <c r="C2171" s="2550" t="s">
        <v>2126</v>
      </c>
      <c r="D2171" s="899">
        <f>SUM(D2172:D2173)</f>
        <v>15730988500</v>
      </c>
      <c r="E2171" s="2997">
        <f>D2171/D2111*100</f>
        <v>12.93352477474348</v>
      </c>
      <c r="F2171" s="3852"/>
      <c r="G2171" s="3113"/>
      <c r="H2171" s="2722"/>
      <c r="I2171" s="3113"/>
      <c r="J2171" s="3118"/>
      <c r="K2171" s="3118"/>
      <c r="L2171" s="2965"/>
      <c r="M2171" s="2759"/>
      <c r="N2171" s="2704"/>
      <c r="P2171" s="617"/>
    </row>
    <row r="2172" spans="1:16" s="20" customFormat="1" ht="15.75" hidden="1" customHeight="1" x14ac:dyDescent="0.25">
      <c r="A2172" s="963"/>
      <c r="B2172" s="441"/>
      <c r="C2172" s="2524" t="s">
        <v>2127</v>
      </c>
      <c r="D2172" s="896">
        <v>13796708500</v>
      </c>
      <c r="E2172" s="3014">
        <f>D2172/D2111*100</f>
        <v>11.343220497215668</v>
      </c>
      <c r="F2172" s="4449"/>
      <c r="G2172" s="2685"/>
      <c r="H2172" s="2685"/>
      <c r="I2172" s="2685"/>
      <c r="J2172" s="3119"/>
      <c r="K2172" s="3119"/>
      <c r="L2172" s="2690"/>
      <c r="M2172" s="896"/>
      <c r="N2172" s="2704"/>
      <c r="P2172" s="617"/>
    </row>
    <row r="2173" spans="1:16" s="20" customFormat="1" hidden="1" x14ac:dyDescent="0.25">
      <c r="A2173" s="963"/>
      <c r="B2173" s="441"/>
      <c r="C2173" s="2494" t="s">
        <v>4315</v>
      </c>
      <c r="D2173" s="2706">
        <v>1934280000</v>
      </c>
      <c r="E2173" s="3014">
        <f>D2173/D2111*100</f>
        <v>1.5903042775278118</v>
      </c>
      <c r="F2173" s="4464"/>
      <c r="G2173" s="2708"/>
      <c r="H2173" s="2690"/>
      <c r="I2173" s="2708"/>
      <c r="J2173" s="898"/>
      <c r="K2173" s="896"/>
      <c r="L2173" s="898"/>
      <c r="M2173" s="898"/>
      <c r="N2173" s="2704"/>
      <c r="P2173" s="617"/>
    </row>
    <row r="2174" spans="1:16" s="20" customFormat="1" ht="12" hidden="1" customHeight="1" x14ac:dyDescent="0.25">
      <c r="A2174" s="963"/>
      <c r="B2174" s="441"/>
      <c r="C2174" s="2494"/>
      <c r="D2174" s="2706"/>
      <c r="E2174" s="3120"/>
      <c r="F2174" s="4464"/>
      <c r="G2174" s="2708"/>
      <c r="H2174" s="2690"/>
      <c r="I2174" s="2708"/>
      <c r="J2174" s="898"/>
      <c r="K2174" s="896"/>
      <c r="L2174" s="898"/>
      <c r="M2174" s="898"/>
      <c r="N2174" s="2704"/>
      <c r="P2174" s="617"/>
    </row>
    <row r="2175" spans="1:16" s="20" customFormat="1" ht="15.75" hidden="1" customHeight="1" x14ac:dyDescent="0.25">
      <c r="A2175" s="963"/>
      <c r="B2175" s="441"/>
      <c r="C2175" s="2491" t="s">
        <v>1283</v>
      </c>
      <c r="D2175" s="2692">
        <f>SUM(D2176:D2177)</f>
        <v>524354877</v>
      </c>
      <c r="E2175" s="2966">
        <f>D2175/D2111*100</f>
        <v>0.43110811456235382</v>
      </c>
      <c r="F2175" s="3834"/>
      <c r="G2175" s="2679"/>
      <c r="H2175" s="2679"/>
      <c r="I2175" s="2679"/>
      <c r="J2175" s="2694"/>
      <c r="K2175" s="2694"/>
      <c r="L2175" s="2695"/>
      <c r="M2175" s="899"/>
      <c r="N2175" s="2704"/>
      <c r="P2175" s="617"/>
    </row>
    <row r="2176" spans="1:16" s="20" customFormat="1" ht="18.75" hidden="1" customHeight="1" x14ac:dyDescent="0.25">
      <c r="A2176" s="963"/>
      <c r="B2176" s="441"/>
      <c r="C2176" s="2473" t="s">
        <v>4316</v>
      </c>
      <c r="D2176" s="896">
        <v>182000000</v>
      </c>
      <c r="E2176" s="2968">
        <f>D2176/D2111*100</f>
        <v>0.14963468500427124</v>
      </c>
      <c r="F2176" s="4449"/>
      <c r="G2176" s="2685"/>
      <c r="H2176" s="2685"/>
      <c r="I2176" s="2685"/>
      <c r="J2176" s="3119"/>
      <c r="K2176" s="3119"/>
      <c r="L2176" s="2690"/>
      <c r="M2176" s="896"/>
      <c r="N2176" s="2704"/>
      <c r="P2176" s="617"/>
    </row>
    <row r="2177" spans="1:16" s="20" customFormat="1" ht="20.25" hidden="1" customHeight="1" x14ac:dyDescent="0.25">
      <c r="A2177" s="963"/>
      <c r="B2177" s="441"/>
      <c r="C2177" s="2473" t="s">
        <v>1285</v>
      </c>
      <c r="D2177" s="896">
        <v>342354877</v>
      </c>
      <c r="E2177" s="2968">
        <f>D2177/D2111*100</f>
        <v>0.28147342955808258</v>
      </c>
      <c r="F2177" s="4449"/>
      <c r="G2177" s="2685"/>
      <c r="H2177" s="2685"/>
      <c r="I2177" s="2685"/>
      <c r="J2177" s="3119"/>
      <c r="K2177" s="2700"/>
      <c r="L2177" s="2685"/>
      <c r="M2177" s="2685"/>
      <c r="N2177" s="2704"/>
      <c r="P2177" s="617"/>
    </row>
    <row r="2178" spans="1:16" s="20" customFormat="1" ht="12.75" hidden="1" customHeight="1" x14ac:dyDescent="0.25">
      <c r="A2178" s="963"/>
      <c r="B2178" s="441"/>
      <c r="C2178" s="2494"/>
      <c r="D2178" s="2698"/>
      <c r="E2178" s="3121"/>
      <c r="F2178" s="4384"/>
      <c r="G2178" s="2685"/>
      <c r="H2178" s="2685"/>
      <c r="I2178" s="2685"/>
      <c r="J2178" s="898"/>
      <c r="K2178" s="896"/>
      <c r="L2178" s="898"/>
      <c r="M2178" s="898"/>
      <c r="N2178" s="2704"/>
      <c r="P2178" s="617"/>
    </row>
    <row r="2179" spans="1:16" s="20" customFormat="1" ht="18" hidden="1" customHeight="1" x14ac:dyDescent="0.25">
      <c r="A2179" s="963"/>
      <c r="B2179" s="441"/>
      <c r="C2179" s="2491" t="s">
        <v>680</v>
      </c>
      <c r="D2179" s="2692">
        <f>SUM(D2180:D2182)</f>
        <v>2010905000</v>
      </c>
      <c r="E2179" s="2966">
        <f>D2179/D2111*100</f>
        <v>1.653302946420407</v>
      </c>
      <c r="F2179" s="3834"/>
      <c r="G2179" s="3122"/>
      <c r="H2179" s="2679"/>
      <c r="I2179" s="899"/>
      <c r="J2179" s="3123"/>
      <c r="K2179" s="3123"/>
      <c r="L2179" s="2695"/>
      <c r="M2179" s="899"/>
      <c r="N2179" s="2704"/>
      <c r="P2179" s="617"/>
    </row>
    <row r="2180" spans="1:16" s="20" customFormat="1" ht="18" hidden="1" customHeight="1" x14ac:dyDescent="0.25">
      <c r="A2180" s="963"/>
      <c r="B2180" s="441"/>
      <c r="C2180" s="2524" t="s">
        <v>1293</v>
      </c>
      <c r="D2180" s="896">
        <v>1500000000</v>
      </c>
      <c r="E2180" s="2968">
        <f>D2180/D2111*100</f>
        <v>1.2332528983868509</v>
      </c>
      <c r="F2180" s="4449"/>
      <c r="G2180" s="2685"/>
      <c r="H2180" s="2685"/>
      <c r="I2180" s="2685"/>
      <c r="J2180" s="2972"/>
      <c r="K2180" s="2700"/>
      <c r="L2180" s="2685"/>
      <c r="M2180" s="2685"/>
      <c r="N2180" s="2704"/>
      <c r="P2180" s="617"/>
    </row>
    <row r="2181" spans="1:16" s="20" customFormat="1" ht="16.5" hidden="1" customHeight="1" x14ac:dyDescent="0.25">
      <c r="A2181" s="963"/>
      <c r="B2181" s="441"/>
      <c r="C2181" s="2524" t="s">
        <v>1294</v>
      </c>
      <c r="D2181" s="896">
        <v>400000000</v>
      </c>
      <c r="E2181" s="2968">
        <f>D2181/D2111*100</f>
        <v>0.32886743956982695</v>
      </c>
      <c r="F2181" s="4449"/>
      <c r="G2181" s="2685"/>
      <c r="H2181" s="2685"/>
      <c r="I2181" s="2685"/>
      <c r="J2181" s="2972"/>
      <c r="K2181" s="2700"/>
      <c r="L2181" s="2685"/>
      <c r="M2181" s="2685"/>
      <c r="N2181" s="2704"/>
      <c r="P2181" s="617"/>
    </row>
    <row r="2182" spans="1:16" s="20" customFormat="1" ht="20.25" hidden="1" customHeight="1" x14ac:dyDescent="0.25">
      <c r="A2182" s="963"/>
      <c r="B2182" s="441"/>
      <c r="C2182" s="2524" t="s">
        <v>1295</v>
      </c>
      <c r="D2182" s="896">
        <v>110905000</v>
      </c>
      <c r="E2182" s="2968">
        <f>D2182/D2111*100</f>
        <v>9.1182608463729137E-2</v>
      </c>
      <c r="F2182" s="4449"/>
      <c r="G2182" s="2685"/>
      <c r="H2182" s="2685"/>
      <c r="I2182" s="2685"/>
      <c r="J2182" s="2972"/>
      <c r="K2182" s="3124"/>
      <c r="L2182" s="2690"/>
      <c r="M2182" s="2685"/>
      <c r="N2182" s="2704"/>
      <c r="P2182" s="617"/>
    </row>
    <row r="2183" spans="1:16" s="20" customFormat="1" ht="12" hidden="1" customHeight="1" x14ac:dyDescent="0.25">
      <c r="A2183" s="963"/>
      <c r="B2183" s="441"/>
      <c r="C2183" s="2551"/>
      <c r="D2183" s="2805"/>
      <c r="E2183" s="2968"/>
      <c r="F2183" s="3834"/>
      <c r="G2183" s="2685"/>
      <c r="H2183" s="2685"/>
      <c r="I2183" s="2685"/>
      <c r="J2183" s="2700"/>
      <c r="K2183" s="2700"/>
      <c r="L2183" s="2685"/>
      <c r="M2183" s="2685"/>
      <c r="N2183" s="2704"/>
      <c r="P2183" s="617"/>
    </row>
    <row r="2184" spans="1:16" s="20" customFormat="1" ht="18.75" hidden="1" customHeight="1" x14ac:dyDescent="0.25">
      <c r="A2184" s="963"/>
      <c r="B2184" s="441"/>
      <c r="C2184" s="2525" t="s">
        <v>1296</v>
      </c>
      <c r="D2184" s="899">
        <f>SUM(D2185:D2185)</f>
        <v>181300000</v>
      </c>
      <c r="E2184" s="2966">
        <f>D2184/D2111*100</f>
        <v>0.14905916698502406</v>
      </c>
      <c r="F2184" s="3861"/>
      <c r="G2184" s="2679"/>
      <c r="H2184" s="2679"/>
      <c r="I2184" s="2679"/>
      <c r="J2184" s="3063"/>
      <c r="K2184" s="3063"/>
      <c r="L2184" s="2695"/>
      <c r="M2184" s="2679"/>
      <c r="N2184" s="2704"/>
      <c r="P2184" s="617"/>
    </row>
    <row r="2185" spans="1:16" s="20" customFormat="1" ht="16.5" hidden="1" customHeight="1" x14ac:dyDescent="0.25">
      <c r="A2185" s="963"/>
      <c r="B2185" s="441"/>
      <c r="C2185" s="2473" t="s">
        <v>4317</v>
      </c>
      <c r="D2185" s="896">
        <v>181300000</v>
      </c>
      <c r="E2185" s="2968">
        <f>D2185/D2111*100</f>
        <v>0.14905916698502406</v>
      </c>
      <c r="F2185" s="4449"/>
      <c r="G2185" s="2685"/>
      <c r="H2185" s="2685"/>
      <c r="I2185" s="2685"/>
      <c r="J2185" s="2972"/>
      <c r="K2185" s="2700"/>
      <c r="L2185" s="2685"/>
      <c r="M2185" s="2685"/>
      <c r="N2185" s="2704"/>
      <c r="P2185" s="617"/>
    </row>
    <row r="2186" spans="1:16" s="20" customFormat="1" ht="12" hidden="1" customHeight="1" x14ac:dyDescent="0.25">
      <c r="A2186" s="963"/>
      <c r="B2186" s="441"/>
      <c r="C2186" s="2494"/>
      <c r="D2186" s="2698"/>
      <c r="E2186" s="2968"/>
      <c r="F2186" s="4384"/>
      <c r="G2186" s="2685"/>
      <c r="H2186" s="2685"/>
      <c r="I2186" s="2685"/>
      <c r="J2186" s="2700"/>
      <c r="K2186" s="2700"/>
      <c r="L2186" s="2685"/>
      <c r="M2186" s="2685"/>
      <c r="N2186" s="2704"/>
      <c r="P2186" s="617"/>
    </row>
    <row r="2187" spans="1:16" s="20" customFormat="1" ht="19.5" hidden="1" customHeight="1" x14ac:dyDescent="0.25">
      <c r="A2187" s="963"/>
      <c r="B2187" s="441"/>
      <c r="C2187" s="2474" t="s">
        <v>1300</v>
      </c>
      <c r="D2187" s="899">
        <f>SUM(D2188)</f>
        <v>52400000</v>
      </c>
      <c r="E2187" s="2966">
        <f>D2187/D2111*100</f>
        <v>4.3081634583647326E-2</v>
      </c>
      <c r="F2187" s="3852"/>
      <c r="G2187" s="2679"/>
      <c r="H2187" s="2679"/>
      <c r="I2187" s="2679"/>
      <c r="J2187" s="3063"/>
      <c r="K2187" s="3063"/>
      <c r="L2187" s="2695"/>
      <c r="M2187" s="899"/>
      <c r="N2187" s="2704"/>
      <c r="P2187" s="617"/>
    </row>
    <row r="2188" spans="1:16" s="20" customFormat="1" ht="17.25" hidden="1" customHeight="1" x14ac:dyDescent="0.25">
      <c r="A2188" s="963"/>
      <c r="B2188" s="441"/>
      <c r="C2188" s="2524" t="s">
        <v>4318</v>
      </c>
      <c r="D2188" s="896">
        <v>52400000</v>
      </c>
      <c r="E2188" s="2968">
        <f>D2188/D2111*100</f>
        <v>4.3081634583647326E-2</v>
      </c>
      <c r="F2188" s="4449"/>
      <c r="G2188" s="2685"/>
      <c r="H2188" s="2685"/>
      <c r="I2188" s="2685"/>
      <c r="J2188" s="2972"/>
      <c r="K2188" s="2700"/>
      <c r="L2188" s="2685"/>
      <c r="M2188" s="2685"/>
      <c r="N2188" s="2704"/>
      <c r="P2188" s="617"/>
    </row>
    <row r="2189" spans="1:16" s="20" customFormat="1" ht="11.25" hidden="1" customHeight="1" x14ac:dyDescent="0.25">
      <c r="A2189" s="963"/>
      <c r="B2189" s="441"/>
      <c r="C2189" s="2494"/>
      <c r="D2189" s="2698"/>
      <c r="E2189" s="3121"/>
      <c r="F2189" s="4384"/>
      <c r="G2189" s="2685"/>
      <c r="H2189" s="2690"/>
      <c r="I2189" s="896"/>
      <c r="J2189" s="898"/>
      <c r="K2189" s="896"/>
      <c r="L2189" s="898"/>
      <c r="M2189" s="898"/>
      <c r="N2189" s="2704"/>
      <c r="P2189" s="617"/>
    </row>
    <row r="2190" spans="1:16" s="20" customFormat="1" ht="17.25" hidden="1" customHeight="1" x14ac:dyDescent="0.25">
      <c r="A2190" s="963"/>
      <c r="B2190" s="441"/>
      <c r="C2190" s="2552" t="s">
        <v>1302</v>
      </c>
      <c r="D2190" s="2692">
        <f>SUM(D2191:D2196)</f>
        <v>759005000</v>
      </c>
      <c r="E2190" s="2966">
        <f>D2190/D2111*100</f>
        <v>0.62403007742674121</v>
      </c>
      <c r="F2190" s="3834"/>
      <c r="G2190" s="2679"/>
      <c r="H2190" s="2679"/>
      <c r="I2190" s="2679"/>
      <c r="J2190" s="2694"/>
      <c r="K2190" s="2694"/>
      <c r="L2190" s="2695"/>
      <c r="M2190" s="899"/>
      <c r="N2190" s="2704"/>
      <c r="P2190" s="617"/>
    </row>
    <row r="2191" spans="1:16" s="20" customFormat="1" ht="15.75" hidden="1" customHeight="1" x14ac:dyDescent="0.25">
      <c r="A2191" s="963"/>
      <c r="B2191" s="441"/>
      <c r="C2191" s="2524" t="s">
        <v>1303</v>
      </c>
      <c r="D2191" s="896">
        <v>101750000</v>
      </c>
      <c r="E2191" s="2968">
        <f>D2191/D2111*100</f>
        <v>8.3655654940574725E-2</v>
      </c>
      <c r="F2191" s="4449"/>
      <c r="G2191" s="2685"/>
      <c r="H2191" s="2685"/>
      <c r="I2191" s="2685"/>
      <c r="J2191" s="3119"/>
      <c r="K2191" s="3119"/>
      <c r="L2191" s="2690"/>
      <c r="M2191" s="896"/>
      <c r="N2191" s="2704"/>
      <c r="P2191" s="617"/>
    </row>
    <row r="2192" spans="1:16" s="20" customFormat="1" ht="15" hidden="1" customHeight="1" x14ac:dyDescent="0.25">
      <c r="A2192" s="963"/>
      <c r="B2192" s="441"/>
      <c r="C2192" s="2524" t="s">
        <v>4319</v>
      </c>
      <c r="D2192" s="896">
        <v>176300000</v>
      </c>
      <c r="E2192" s="2968">
        <f>D2192/D2111*100</f>
        <v>0.14494832399040122</v>
      </c>
      <c r="F2192" s="4449"/>
      <c r="G2192" s="2685"/>
      <c r="H2192" s="2685"/>
      <c r="I2192" s="2685"/>
      <c r="J2192" s="3119"/>
      <c r="K2192" s="2700"/>
      <c r="L2192" s="2685"/>
      <c r="M2192" s="2685"/>
      <c r="N2192" s="2704"/>
      <c r="P2192" s="617"/>
    </row>
    <row r="2193" spans="1:16" s="20" customFormat="1" ht="18" hidden="1" customHeight="1" x14ac:dyDescent="0.25">
      <c r="A2193" s="963"/>
      <c r="B2193" s="441"/>
      <c r="C2193" s="2524" t="s">
        <v>4320</v>
      </c>
      <c r="D2193" s="896">
        <v>150000000</v>
      </c>
      <c r="E2193" s="2968">
        <f>D2193/D2111*100</f>
        <v>0.1233252898386851</v>
      </c>
      <c r="F2193" s="4449"/>
      <c r="G2193" s="2685"/>
      <c r="H2193" s="2685"/>
      <c r="I2193" s="2685"/>
      <c r="J2193" s="3119"/>
      <c r="K2193" s="2700"/>
      <c r="L2193" s="2685"/>
      <c r="M2193" s="2685"/>
      <c r="N2193" s="2704"/>
      <c r="P2193" s="617"/>
    </row>
    <row r="2194" spans="1:16" s="20" customFormat="1" ht="16.5" hidden="1" customHeight="1" x14ac:dyDescent="0.25">
      <c r="A2194" s="963"/>
      <c r="B2194" s="441"/>
      <c r="C2194" s="2524" t="s">
        <v>4321</v>
      </c>
      <c r="D2194" s="896">
        <v>42555000</v>
      </c>
      <c r="E2194" s="2968">
        <f>D2194/D2111*100</f>
        <v>3.4987384727234963E-2</v>
      </c>
      <c r="F2194" s="4449"/>
      <c r="G2194" s="2685"/>
      <c r="H2194" s="2685"/>
      <c r="I2194" s="2685"/>
      <c r="J2194" s="3119"/>
      <c r="K2194" s="3119"/>
      <c r="L2194" s="2690"/>
      <c r="M2194" s="896"/>
      <c r="N2194" s="2704"/>
      <c r="P2194" s="617"/>
    </row>
    <row r="2195" spans="1:16" s="20" customFormat="1" ht="13.5" hidden="1" customHeight="1" x14ac:dyDescent="0.25">
      <c r="A2195" s="963"/>
      <c r="B2195" s="441"/>
      <c r="C2195" s="2524" t="s">
        <v>4322</v>
      </c>
      <c r="D2195" s="896">
        <v>100940000</v>
      </c>
      <c r="E2195" s="2968">
        <f>D2195/D2111*100</f>
        <v>8.2989698375445814E-2</v>
      </c>
      <c r="F2195" s="4449"/>
      <c r="G2195" s="2685"/>
      <c r="H2195" s="2685"/>
      <c r="I2195" s="2685"/>
      <c r="J2195" s="3119"/>
      <c r="K2195" s="3119"/>
      <c r="L2195" s="2690"/>
      <c r="M2195" s="2685"/>
      <c r="N2195" s="2704"/>
      <c r="P2195" s="617"/>
    </row>
    <row r="2196" spans="1:16" s="20" customFormat="1" ht="17.25" hidden="1" customHeight="1" x14ac:dyDescent="0.25">
      <c r="A2196" s="963"/>
      <c r="B2196" s="441"/>
      <c r="C2196" s="2524" t="s">
        <v>4323</v>
      </c>
      <c r="D2196" s="896">
        <v>187460000</v>
      </c>
      <c r="E2196" s="2968">
        <f>D2196/D2111*100</f>
        <v>0.1541237255543994</v>
      </c>
      <c r="F2196" s="4449"/>
      <c r="G2196" s="2685"/>
      <c r="H2196" s="2685"/>
      <c r="I2196" s="2685"/>
      <c r="J2196" s="3119"/>
      <c r="K2196" s="3119"/>
      <c r="L2196" s="2690"/>
      <c r="M2196" s="896"/>
      <c r="N2196" s="2704"/>
      <c r="P2196" s="617"/>
    </row>
    <row r="2197" spans="1:16" s="20" customFormat="1" ht="12" hidden="1" customHeight="1" x14ac:dyDescent="0.25">
      <c r="A2197" s="963"/>
      <c r="B2197" s="441"/>
      <c r="C2197" s="2553"/>
      <c r="D2197" s="2698"/>
      <c r="E2197" s="2968"/>
      <c r="F2197" s="4384"/>
      <c r="G2197" s="2685"/>
      <c r="H2197" s="2685"/>
      <c r="I2197" s="2685"/>
      <c r="J2197" s="2700"/>
      <c r="K2197" s="896"/>
      <c r="L2197" s="896"/>
      <c r="M2197" s="896"/>
      <c r="N2197" s="2704"/>
      <c r="P2197" s="617"/>
    </row>
    <row r="2198" spans="1:16" s="20" customFormat="1" ht="16.5" hidden="1" customHeight="1" x14ac:dyDescent="0.25">
      <c r="A2198" s="963"/>
      <c r="B2198" s="441"/>
      <c r="C2198" s="2525" t="s">
        <v>1310</v>
      </c>
      <c r="D2198" s="2812">
        <f>SUM(D2199:D2200)</f>
        <v>198000000</v>
      </c>
      <c r="E2198" s="2966">
        <f>D2198/D2111*100</f>
        <v>0.16278938258706432</v>
      </c>
      <c r="F2198" s="3837"/>
      <c r="G2198" s="2679"/>
      <c r="H2198" s="2679"/>
      <c r="I2198" s="2679"/>
      <c r="J2198" s="3125"/>
      <c r="K2198" s="3125"/>
      <c r="L2198" s="2695"/>
      <c r="M2198" s="2679"/>
      <c r="N2198" s="2704"/>
      <c r="P2198" s="617"/>
    </row>
    <row r="2199" spans="1:16" s="20" customFormat="1" ht="17.25" hidden="1" customHeight="1" x14ac:dyDescent="0.25">
      <c r="A2199" s="963"/>
      <c r="B2199" s="441"/>
      <c r="C2199" s="2524" t="s">
        <v>1311</v>
      </c>
      <c r="D2199" s="896">
        <v>134000000</v>
      </c>
      <c r="E2199" s="2968">
        <f>D2199/D2111*100</f>
        <v>0.11017059225589203</v>
      </c>
      <c r="F2199" s="4449"/>
      <c r="G2199" s="2685"/>
      <c r="H2199" s="2685"/>
      <c r="I2199" s="2685"/>
      <c r="J2199" s="3119"/>
      <c r="K2199" s="3119"/>
      <c r="L2199" s="2690"/>
      <c r="M2199" s="896"/>
      <c r="N2199" s="2704"/>
      <c r="P2199" s="617"/>
    </row>
    <row r="2200" spans="1:16" s="20" customFormat="1" ht="18.75" hidden="1" customHeight="1" x14ac:dyDescent="0.25">
      <c r="A2200" s="963"/>
      <c r="B2200" s="441"/>
      <c r="C2200" s="2473" t="s">
        <v>4324</v>
      </c>
      <c r="D2200" s="2698">
        <v>64000000</v>
      </c>
      <c r="E2200" s="2968">
        <f>D2200/D2111*100</f>
        <v>5.2618790331172303E-2</v>
      </c>
      <c r="F2200" s="4384"/>
      <c r="G2200" s="2685"/>
      <c r="H2200" s="2685"/>
      <c r="I2200" s="2685"/>
      <c r="J2200" s="2700"/>
      <c r="K2200" s="2700"/>
      <c r="L2200" s="2685"/>
      <c r="M2200" s="2685"/>
      <c r="N2200" s="2704"/>
      <c r="P2200" s="617"/>
    </row>
    <row r="2201" spans="1:16" s="20" customFormat="1" ht="12" hidden="1" customHeight="1" x14ac:dyDescent="0.25">
      <c r="A2201" s="963"/>
      <c r="B2201" s="441"/>
      <c r="C2201" s="2473"/>
      <c r="D2201" s="2698"/>
      <c r="E2201" s="2968"/>
      <c r="F2201" s="4384"/>
      <c r="G2201" s="2685"/>
      <c r="H2201" s="2685"/>
      <c r="I2201" s="2685"/>
      <c r="J2201" s="2700"/>
      <c r="K2201" s="2700"/>
      <c r="L2201" s="2685"/>
      <c r="M2201" s="2685"/>
      <c r="N2201" s="2704"/>
      <c r="P2201" s="617"/>
    </row>
    <row r="2202" spans="1:16" s="20" customFormat="1" ht="18" hidden="1" customHeight="1" x14ac:dyDescent="0.25">
      <c r="A2202" s="963"/>
      <c r="B2202" s="441"/>
      <c r="C2202" s="2525" t="s">
        <v>4325</v>
      </c>
      <c r="D2202" s="2812">
        <f>SUM(D2203:D2204)</f>
        <v>159000000</v>
      </c>
      <c r="E2202" s="2966">
        <f>D2202/D2111*100</f>
        <v>0.1307248072290062</v>
      </c>
      <c r="F2202" s="3837"/>
      <c r="G2202" s="3125"/>
      <c r="H2202" s="2679"/>
      <c r="I2202" s="2679"/>
      <c r="J2202" s="3125"/>
      <c r="K2202" s="3125"/>
      <c r="L2202" s="2695"/>
      <c r="M2202" s="2679"/>
      <c r="N2202" s="2704"/>
      <c r="P2202" s="617"/>
    </row>
    <row r="2203" spans="1:16" s="20" customFormat="1" ht="16.5" hidden="1" customHeight="1" x14ac:dyDescent="0.25">
      <c r="A2203" s="963"/>
      <c r="B2203" s="441"/>
      <c r="C2203" s="2524" t="s">
        <v>4326</v>
      </c>
      <c r="D2203" s="896">
        <v>6500000</v>
      </c>
      <c r="E2203" s="2968">
        <f>D2203/D2111*100</f>
        <v>5.3440958930096871E-3</v>
      </c>
      <c r="F2203" s="4449"/>
      <c r="G2203" s="2685"/>
      <c r="H2203" s="2685"/>
      <c r="I2203" s="2685"/>
      <c r="J2203" s="3119"/>
      <c r="K2203" s="3119"/>
      <c r="L2203" s="2690"/>
      <c r="M2203" s="896"/>
      <c r="N2203" s="2704"/>
      <c r="P2203" s="617"/>
    </row>
    <row r="2204" spans="1:16" s="20" customFormat="1" ht="33" hidden="1" customHeight="1" x14ac:dyDescent="0.25">
      <c r="A2204" s="963"/>
      <c r="B2204" s="441"/>
      <c r="C2204" s="2524" t="s">
        <v>4327</v>
      </c>
      <c r="D2204" s="896">
        <v>152500000</v>
      </c>
      <c r="E2204" s="2968">
        <f>D2204/D2111*100</f>
        <v>0.12538071133599651</v>
      </c>
      <c r="F2204" s="4449"/>
      <c r="G2204" s="2685"/>
      <c r="H2204" s="2685"/>
      <c r="I2204" s="2685"/>
      <c r="J2204" s="3119"/>
      <c r="K2204" s="3119"/>
      <c r="L2204" s="2690"/>
      <c r="M2204" s="2685"/>
      <c r="N2204" s="2704"/>
      <c r="P2204" s="617"/>
    </row>
    <row r="2205" spans="1:16" s="20" customFormat="1" ht="13.5" hidden="1" customHeight="1" x14ac:dyDescent="0.25">
      <c r="A2205" s="963"/>
      <c r="B2205" s="441"/>
      <c r="C2205" s="2527"/>
      <c r="D2205" s="898"/>
      <c r="E2205" s="2968"/>
      <c r="F2205" s="3852"/>
      <c r="G2205" s="2685"/>
      <c r="H2205" s="2690"/>
      <c r="I2205" s="896"/>
      <c r="J2205" s="2700"/>
      <c r="K2205" s="896"/>
      <c r="L2205" s="896"/>
      <c r="M2205" s="896"/>
      <c r="N2205" s="2704"/>
      <c r="P2205" s="617"/>
    </row>
    <row r="2206" spans="1:16" s="20" customFormat="1" ht="28.5" hidden="1" customHeight="1" x14ac:dyDescent="0.25">
      <c r="A2206" s="963"/>
      <c r="B2206" s="441"/>
      <c r="C2206" s="2525" t="s">
        <v>1317</v>
      </c>
      <c r="D2206" s="899">
        <f>D2207</f>
        <v>300000000</v>
      </c>
      <c r="E2206" s="2966">
        <f>D2206/D2111*100</f>
        <v>0.2466505796773702</v>
      </c>
      <c r="F2206" s="3852"/>
      <c r="G2206" s="2679"/>
      <c r="H2206" s="2679"/>
      <c r="I2206" s="2679"/>
      <c r="J2206" s="3063"/>
      <c r="K2206" s="2694"/>
      <c r="L2206" s="2679"/>
      <c r="M2206" s="2679"/>
      <c r="N2206" s="2704"/>
      <c r="P2206" s="617"/>
    </row>
    <row r="2207" spans="1:16" s="20" customFormat="1" ht="17.25" hidden="1" customHeight="1" x14ac:dyDescent="0.25">
      <c r="A2207" s="963"/>
      <c r="B2207" s="441"/>
      <c r="C2207" s="2554" t="s">
        <v>1318</v>
      </c>
      <c r="D2207" s="3097">
        <v>300000000</v>
      </c>
      <c r="E2207" s="2968">
        <f>D2207/D2111*100</f>
        <v>0.2466505796773702</v>
      </c>
      <c r="F2207" s="4462"/>
      <c r="G2207" s="2685"/>
      <c r="H2207" s="2685"/>
      <c r="I2207" s="2685"/>
      <c r="J2207" s="3126"/>
      <c r="K2207" s="2700"/>
      <c r="L2207" s="2685"/>
      <c r="M2207" s="2685"/>
      <c r="N2207" s="2704"/>
      <c r="P2207" s="617"/>
    </row>
    <row r="2208" spans="1:16" s="20" customFormat="1" ht="10.5" hidden="1" customHeight="1" x14ac:dyDescent="0.25">
      <c r="A2208" s="963"/>
      <c r="B2208" s="441"/>
      <c r="C2208" s="2554"/>
      <c r="D2208" s="3097"/>
      <c r="E2208" s="2968"/>
      <c r="F2208" s="4462"/>
      <c r="G2208" s="2685"/>
      <c r="H2208" s="2690"/>
      <c r="I2208" s="896"/>
      <c r="J2208" s="2700"/>
      <c r="K2208" s="896"/>
      <c r="L2208" s="896"/>
      <c r="M2208" s="896"/>
      <c r="N2208" s="2704"/>
      <c r="P2208" s="617"/>
    </row>
    <row r="2209" spans="1:16" s="20" customFormat="1" ht="19.5" hidden="1" customHeight="1" x14ac:dyDescent="0.25">
      <c r="A2209" s="963"/>
      <c r="B2209" s="441"/>
      <c r="C2209" s="2474" t="s">
        <v>1319</v>
      </c>
      <c r="D2209" s="899">
        <f>SUM(D2210:D2214)</f>
        <v>3553820000</v>
      </c>
      <c r="E2209" s="2966">
        <f>D2209/D2111*100</f>
        <v>2.9218392102301056</v>
      </c>
      <c r="F2209" s="3852"/>
      <c r="G2209" s="3116"/>
      <c r="H2209" s="2679"/>
      <c r="I2209" s="899"/>
      <c r="J2209" s="3063"/>
      <c r="K2209" s="3063"/>
      <c r="L2209" s="2695"/>
      <c r="M2209" s="899"/>
      <c r="N2209" s="2704"/>
      <c r="P2209" s="617"/>
    </row>
    <row r="2210" spans="1:16" s="20" customFormat="1" ht="16.5" hidden="1" customHeight="1" x14ac:dyDescent="0.25">
      <c r="A2210" s="963"/>
      <c r="B2210" s="441"/>
      <c r="C2210" s="2524" t="s">
        <v>4328</v>
      </c>
      <c r="D2210" s="896">
        <v>348000000</v>
      </c>
      <c r="E2210" s="2968">
        <f>D2210/D2111*100</f>
        <v>0.28611467242574939</v>
      </c>
      <c r="F2210" s="4449"/>
      <c r="G2210" s="2685"/>
      <c r="H2210" s="2685"/>
      <c r="I2210" s="2685"/>
      <c r="J2210" s="3119"/>
      <c r="K2210" s="3119"/>
      <c r="L2210" s="2690"/>
      <c r="M2210" s="896"/>
      <c r="N2210" s="2704"/>
      <c r="P2210" s="617"/>
    </row>
    <row r="2211" spans="1:16" s="20" customFormat="1" ht="19.5" hidden="1" customHeight="1" x14ac:dyDescent="0.25">
      <c r="A2211" s="963"/>
      <c r="B2211" s="441"/>
      <c r="C2211" s="2524" t="s">
        <v>4329</v>
      </c>
      <c r="D2211" s="896">
        <v>515000000</v>
      </c>
      <c r="E2211" s="2968">
        <f>D2211/D2111*100</f>
        <v>0.42341682844615219</v>
      </c>
      <c r="F2211" s="4449"/>
      <c r="G2211" s="2685"/>
      <c r="H2211" s="2685"/>
      <c r="I2211" s="2685"/>
      <c r="J2211" s="3119"/>
      <c r="K2211" s="3119"/>
      <c r="L2211" s="2690"/>
      <c r="M2211" s="896"/>
      <c r="N2211" s="2704"/>
      <c r="P2211" s="617"/>
    </row>
    <row r="2212" spans="1:16" s="20" customFormat="1" ht="16.5" hidden="1" customHeight="1" x14ac:dyDescent="0.25">
      <c r="A2212" s="963"/>
      <c r="B2212" s="441"/>
      <c r="C2212" s="2524" t="s">
        <v>4330</v>
      </c>
      <c r="D2212" s="896">
        <v>447600000</v>
      </c>
      <c r="E2212" s="2968">
        <f>D2212/D2111*100</f>
        <v>0.36800266487863631</v>
      </c>
      <c r="F2212" s="4449"/>
      <c r="G2212" s="2685"/>
      <c r="H2212" s="2685"/>
      <c r="I2212" s="2685"/>
      <c r="J2212" s="3119"/>
      <c r="K2212" s="3119"/>
      <c r="L2212" s="2690"/>
      <c r="M2212" s="896"/>
      <c r="N2212" s="2704"/>
      <c r="P2212" s="617"/>
    </row>
    <row r="2213" spans="1:16" s="20" customFormat="1" ht="17.25" hidden="1" customHeight="1" x14ac:dyDescent="0.25">
      <c r="A2213" s="963"/>
      <c r="B2213" s="441"/>
      <c r="C2213" s="2524" t="s">
        <v>4331</v>
      </c>
      <c r="D2213" s="896">
        <v>2123820000</v>
      </c>
      <c r="E2213" s="2968">
        <f>D2213/D2111*100</f>
        <v>1.7461381137679743</v>
      </c>
      <c r="F2213" s="4449"/>
      <c r="G2213" s="2685"/>
      <c r="H2213" s="2685"/>
      <c r="I2213" s="896"/>
      <c r="J2213" s="3119"/>
      <c r="K2213" s="3119"/>
      <c r="L2213" s="2690"/>
      <c r="M2213" s="896"/>
      <c r="N2213" s="2704"/>
      <c r="P2213" s="617"/>
    </row>
    <row r="2214" spans="1:16" s="20" customFormat="1" ht="20.25" hidden="1" customHeight="1" x14ac:dyDescent="0.25">
      <c r="A2214" s="963"/>
      <c r="B2214" s="441"/>
      <c r="C2214" s="2524" t="s">
        <v>4332</v>
      </c>
      <c r="D2214" s="896">
        <v>119400000</v>
      </c>
      <c r="E2214" s="2968">
        <f>D2214/D2111*100</f>
        <v>9.8166930711593325E-2</v>
      </c>
      <c r="F2214" s="4449"/>
      <c r="G2214" s="2685"/>
      <c r="H2214" s="2685"/>
      <c r="I2214" s="2685"/>
      <c r="J2214" s="3119"/>
      <c r="K2214" s="3119"/>
      <c r="L2214" s="2690"/>
      <c r="M2214" s="896"/>
      <c r="N2214" s="2704"/>
      <c r="P2214" s="617"/>
    </row>
    <row r="2215" spans="1:16" s="20" customFormat="1" ht="12" hidden="1" customHeight="1" x14ac:dyDescent="0.25">
      <c r="A2215" s="963"/>
      <c r="B2215" s="441"/>
      <c r="C2215" s="2524"/>
      <c r="D2215" s="896"/>
      <c r="E2215" s="2968"/>
      <c r="F2215" s="4384"/>
      <c r="G2215" s="2685"/>
      <c r="H2215" s="2710"/>
      <c r="I2215" s="896"/>
      <c r="J2215" s="2700"/>
      <c r="K2215" s="896"/>
      <c r="L2215" s="2709"/>
      <c r="M2215" s="896"/>
      <c r="N2215" s="2704"/>
      <c r="P2215" s="617"/>
    </row>
    <row r="2216" spans="1:16" s="20" customFormat="1" ht="15.75" hidden="1" customHeight="1" x14ac:dyDescent="0.25">
      <c r="A2216" s="963"/>
      <c r="B2216" s="440"/>
      <c r="C2216" s="2497" t="s">
        <v>1328</v>
      </c>
      <c r="D2216" s="2669">
        <f>SUM(D2217+D2220)</f>
        <v>5345727330</v>
      </c>
      <c r="E2216" s="2996">
        <f>D2216/D2111*100</f>
        <v>4.3950891491388679</v>
      </c>
      <c r="F2216" s="3835"/>
      <c r="G2216" s="2719"/>
      <c r="H2216" s="2719"/>
      <c r="I2216" s="2744"/>
      <c r="J2216" s="2720"/>
      <c r="K2216" s="2720"/>
      <c r="L2216" s="2719"/>
      <c r="M2216" s="2744"/>
      <c r="N2216" s="2704"/>
      <c r="P2216" s="617"/>
    </row>
    <row r="2217" spans="1:16" s="20" customFormat="1" ht="17.25" hidden="1" customHeight="1" x14ac:dyDescent="0.25">
      <c r="A2217" s="963"/>
      <c r="B2217" s="441"/>
      <c r="C2217" s="2482" t="s">
        <v>103</v>
      </c>
      <c r="D2217" s="2721">
        <f>SUM(D2218)</f>
        <v>52060000</v>
      </c>
      <c r="E2217" s="3021">
        <f>D2217/D2111*100</f>
        <v>4.2802097260012974E-2</v>
      </c>
      <c r="F2217" s="3839"/>
      <c r="G2217" s="2722"/>
      <c r="H2217" s="2722"/>
      <c r="I2217" s="2722"/>
      <c r="J2217" s="2723"/>
      <c r="K2217" s="2723"/>
      <c r="L2217" s="2965"/>
      <c r="M2217" s="2759"/>
      <c r="N2217" s="2704"/>
      <c r="P2217" s="617"/>
    </row>
    <row r="2218" spans="1:16" s="20" customFormat="1" ht="16.5" hidden="1" customHeight="1" x14ac:dyDescent="0.25">
      <c r="A2218" s="963"/>
      <c r="B2218" s="441"/>
      <c r="C2218" s="2473" t="s">
        <v>1329</v>
      </c>
      <c r="D2218" s="896">
        <v>52060000</v>
      </c>
      <c r="E2218" s="2968">
        <f>D2218/D2111*100</f>
        <v>4.2802097260012974E-2</v>
      </c>
      <c r="F2218" s="4449"/>
      <c r="G2218" s="2685"/>
      <c r="H2218" s="2685"/>
      <c r="I2218" s="2685"/>
      <c r="J2218" s="3124"/>
      <c r="K2218" s="3124"/>
      <c r="L2218" s="2690"/>
      <c r="M2218" s="896"/>
      <c r="N2218" s="2704"/>
      <c r="P2218" s="617"/>
    </row>
    <row r="2219" spans="1:16" s="20" customFormat="1" ht="12" hidden="1" customHeight="1" x14ac:dyDescent="0.25">
      <c r="A2219" s="963"/>
      <c r="B2219" s="441"/>
      <c r="C2219" s="2494"/>
      <c r="D2219" s="2698"/>
      <c r="E2219" s="3121"/>
      <c r="F2219" s="4384"/>
      <c r="G2219" s="2685"/>
      <c r="H2219" s="2690"/>
      <c r="I2219" s="896"/>
      <c r="J2219" s="2700"/>
      <c r="K2219" s="2700"/>
      <c r="L2219" s="896"/>
      <c r="M2219" s="898"/>
      <c r="N2219" s="2704"/>
      <c r="P2219" s="617"/>
    </row>
    <row r="2220" spans="1:16" s="20" customFormat="1" ht="21" hidden="1" customHeight="1" x14ac:dyDescent="0.25">
      <c r="A2220" s="963"/>
      <c r="B2220" s="441"/>
      <c r="C2220" s="2491" t="s">
        <v>1330</v>
      </c>
      <c r="D2220" s="2692">
        <f>SUM(D2221:D2222)</f>
        <v>5293667330</v>
      </c>
      <c r="E2220" s="2966">
        <f>D2220/D2111*100</f>
        <v>4.3522870518788555</v>
      </c>
      <c r="F2220" s="3834"/>
      <c r="G2220" s="2679"/>
      <c r="H2220" s="2679"/>
      <c r="I2220" s="899"/>
      <c r="J2220" s="2694"/>
      <c r="K2220" s="2694"/>
      <c r="L2220" s="2965"/>
      <c r="M2220" s="899"/>
      <c r="N2220" s="2704"/>
      <c r="P2220" s="617"/>
    </row>
    <row r="2221" spans="1:16" s="20" customFormat="1" ht="16.5" hidden="1" customHeight="1" x14ac:dyDescent="0.25">
      <c r="A2221" s="963"/>
      <c r="B2221" s="441"/>
      <c r="C2221" s="2473" t="s">
        <v>4333</v>
      </c>
      <c r="D2221" s="896">
        <v>2005699525</v>
      </c>
      <c r="E2221" s="2968">
        <f>D2221/D2111*100</f>
        <v>1.64902316833292</v>
      </c>
      <c r="F2221" s="4449"/>
      <c r="G2221" s="2685"/>
      <c r="H2221" s="2685"/>
      <c r="I2221" s="2685"/>
      <c r="J2221" s="3124"/>
      <c r="K2221" s="3124"/>
      <c r="L2221" s="2690"/>
      <c r="M2221" s="2685"/>
      <c r="N2221" s="2704"/>
      <c r="P2221" s="617"/>
    </row>
    <row r="2222" spans="1:16" s="20" customFormat="1" ht="16.5" hidden="1" customHeight="1" x14ac:dyDescent="0.25">
      <c r="A2222" s="963"/>
      <c r="B2222" s="441"/>
      <c r="C2222" s="2476" t="s">
        <v>4334</v>
      </c>
      <c r="D2222" s="2709">
        <v>3287967805</v>
      </c>
      <c r="E2222" s="2999">
        <f>D2222/D2111*100</f>
        <v>2.7032638835459348</v>
      </c>
      <c r="F2222" s="4430"/>
      <c r="G2222" s="2739"/>
      <c r="H2222" s="2710"/>
      <c r="I2222" s="2769"/>
      <c r="J2222" s="898"/>
      <c r="K2222" s="896"/>
      <c r="L2222" s="2709"/>
      <c r="M2222" s="911"/>
      <c r="N2222" s="2704"/>
      <c r="P2222" s="617"/>
    </row>
    <row r="2223" spans="1:16" s="20" customFormat="1" ht="12" hidden="1" customHeight="1" x14ac:dyDescent="0.25">
      <c r="A2223" s="963"/>
      <c r="B2223" s="441"/>
      <c r="C2223" s="2518"/>
      <c r="D2223" s="2894"/>
      <c r="E2223" s="3058"/>
      <c r="F2223" s="4433"/>
      <c r="G2223" s="2754"/>
      <c r="H2223" s="2752"/>
      <c r="I2223" s="2769"/>
      <c r="J2223" s="2755"/>
      <c r="K2223" s="2769"/>
      <c r="L2223" s="2769"/>
      <c r="M2223" s="2755"/>
      <c r="N2223" s="2704"/>
      <c r="P2223" s="617"/>
    </row>
    <row r="2224" spans="1:16" s="20" customFormat="1" ht="15.75" hidden="1" customHeight="1" x14ac:dyDescent="0.25">
      <c r="A2224" s="963"/>
      <c r="B2224" s="440"/>
      <c r="C2224" s="2497" t="s">
        <v>7603</v>
      </c>
      <c r="D2224" s="2669">
        <f>D2225</f>
        <v>0</v>
      </c>
      <c r="E2224" s="2719">
        <f>D2224/D2111*100</f>
        <v>0</v>
      </c>
      <c r="F2224" s="3835"/>
      <c r="G2224" s="2719"/>
      <c r="H2224" s="2719"/>
      <c r="I2224" s="2719"/>
      <c r="J2224" s="2720"/>
      <c r="K2224" s="2720"/>
      <c r="L2224" s="2719"/>
      <c r="M2224" s="2719"/>
      <c r="N2224" s="2704"/>
      <c r="P2224" s="617"/>
    </row>
    <row r="2225" spans="1:17" s="20" customFormat="1" ht="16.5" hidden="1" customHeight="1" x14ac:dyDescent="0.25">
      <c r="A2225" s="963"/>
      <c r="B2225" s="441"/>
      <c r="C2225" s="2482" t="s">
        <v>4335</v>
      </c>
      <c r="D2225" s="2721">
        <f>D2226</f>
        <v>0</v>
      </c>
      <c r="E2225" s="2722">
        <f>D2225/D2111*100</f>
        <v>0</v>
      </c>
      <c r="F2225" s="3839"/>
      <c r="G2225" s="2722"/>
      <c r="H2225" s="2722"/>
      <c r="I2225" s="2722"/>
      <c r="J2225" s="2723"/>
      <c r="K2225" s="2723"/>
      <c r="L2225" s="2965"/>
      <c r="M2225" s="2804"/>
      <c r="N2225" s="2704"/>
      <c r="P2225" s="617"/>
    </row>
    <row r="2226" spans="1:17" s="20" customFormat="1" ht="16.5" hidden="1" customHeight="1" x14ac:dyDescent="0.25">
      <c r="A2226" s="963"/>
      <c r="B2226" s="441"/>
      <c r="C2226" s="2473" t="s">
        <v>4336</v>
      </c>
      <c r="D2226" s="896">
        <v>0</v>
      </c>
      <c r="E2226" s="2685">
        <f>D2226/D2111*100</f>
        <v>0</v>
      </c>
      <c r="F2226" s="4449"/>
      <c r="G2226" s="2685"/>
      <c r="H2226" s="2685"/>
      <c r="I2226" s="2685"/>
      <c r="J2226" s="3124"/>
      <c r="K2226" s="3127"/>
      <c r="L2226" s="2685"/>
      <c r="M2226" s="2685"/>
      <c r="N2226" s="2704"/>
      <c r="P2226" s="617"/>
    </row>
    <row r="2227" spans="1:17" s="20" customFormat="1" ht="14.25" hidden="1" customHeight="1" x14ac:dyDescent="0.25">
      <c r="A2227" s="963"/>
      <c r="B2227" s="441"/>
      <c r="C2227" s="2476"/>
      <c r="D2227" s="2709"/>
      <c r="E2227" s="2708"/>
      <c r="F2227" s="4418"/>
      <c r="G2227" s="2708"/>
      <c r="H2227" s="2708"/>
      <c r="I2227" s="2708"/>
      <c r="J2227" s="2755"/>
      <c r="K2227" s="2755"/>
      <c r="L2227" s="2755"/>
      <c r="M2227" s="2755"/>
      <c r="N2227" s="2704"/>
      <c r="P2227" s="617"/>
    </row>
    <row r="2228" spans="1:17" s="20" customFormat="1" ht="15.75" hidden="1" customHeight="1" x14ac:dyDescent="0.25">
      <c r="A2228" s="963"/>
      <c r="B2228" s="440"/>
      <c r="C2228" s="2532" t="s">
        <v>3499</v>
      </c>
      <c r="D2228" s="2744">
        <f>SUM(D2229+D2233)</f>
        <v>0</v>
      </c>
      <c r="E2228" s="2719">
        <f>D2228/D2111*100</f>
        <v>0</v>
      </c>
      <c r="F2228" s="3844"/>
      <c r="G2228" s="2719"/>
      <c r="H2228" s="2719"/>
      <c r="I2228" s="2719"/>
      <c r="J2228" s="3128"/>
      <c r="K2228" s="2720"/>
      <c r="L2228" s="2719"/>
      <c r="M2228" s="2719"/>
      <c r="N2228" s="2704"/>
      <c r="P2228" s="649"/>
    </row>
    <row r="2229" spans="1:17" s="20" customFormat="1" ht="17.25" hidden="1" customHeight="1" x14ac:dyDescent="0.25">
      <c r="A2229" s="963"/>
      <c r="B2229" s="441"/>
      <c r="C2229" s="2555" t="s">
        <v>1343</v>
      </c>
      <c r="D2229" s="2759">
        <f>SUM(D2230:D2231)</f>
        <v>0</v>
      </c>
      <c r="E2229" s="2725">
        <f>D2229/D2111*100</f>
        <v>0</v>
      </c>
      <c r="F2229" s="3875"/>
      <c r="G2229" s="2804"/>
      <c r="H2229" s="2804"/>
      <c r="I2229" s="2804"/>
      <c r="J2229" s="3129"/>
      <c r="K2229" s="2731"/>
      <c r="L2229" s="2804"/>
      <c r="M2229" s="2804"/>
      <c r="N2229" s="2704"/>
      <c r="P2229" s="617"/>
    </row>
    <row r="2230" spans="1:17" s="20" customFormat="1" ht="16.5" hidden="1" customHeight="1" x14ac:dyDescent="0.25">
      <c r="A2230" s="963"/>
      <c r="B2230" s="441"/>
      <c r="C2230" s="2524" t="s">
        <v>1344</v>
      </c>
      <c r="D2230" s="896">
        <v>0</v>
      </c>
      <c r="E2230" s="2685">
        <f>D2230/D2111*100</f>
        <v>0</v>
      </c>
      <c r="F2230" s="4449"/>
      <c r="G2230" s="2685"/>
      <c r="H2230" s="2685"/>
      <c r="I2230" s="2685"/>
      <c r="J2230" s="2972"/>
      <c r="K2230" s="2700"/>
      <c r="L2230" s="2685"/>
      <c r="M2230" s="2685"/>
      <c r="N2230" s="2704"/>
      <c r="P2230" s="617"/>
    </row>
    <row r="2231" spans="1:17" s="20" customFormat="1" ht="17.25" hidden="1" customHeight="1" x14ac:dyDescent="0.25">
      <c r="A2231" s="963"/>
      <c r="B2231" s="441"/>
      <c r="C2231" s="2524" t="s">
        <v>4337</v>
      </c>
      <c r="D2231" s="896">
        <v>0</v>
      </c>
      <c r="E2231" s="2685">
        <f>D2231/D2111*100</f>
        <v>0</v>
      </c>
      <c r="F2231" s="4449"/>
      <c r="G2231" s="2685"/>
      <c r="H2231" s="2685"/>
      <c r="I2231" s="2685"/>
      <c r="J2231" s="2972"/>
      <c r="K2231" s="2700"/>
      <c r="L2231" s="2685"/>
      <c r="M2231" s="2685"/>
      <c r="N2231" s="2704"/>
      <c r="P2231" s="617"/>
    </row>
    <row r="2232" spans="1:17" ht="12" hidden="1" customHeight="1" x14ac:dyDescent="0.25">
      <c r="B2232" s="441"/>
      <c r="C2232" s="2506"/>
      <c r="D2232" s="2724"/>
      <c r="E2232" s="2708"/>
      <c r="F2232" s="4380"/>
      <c r="G2232" s="2830"/>
      <c r="H2232" s="2830"/>
      <c r="I2232" s="2830"/>
      <c r="J2232" s="2755"/>
      <c r="K2232" s="2755"/>
      <c r="L2232" s="2755"/>
      <c r="M2232" s="2755"/>
      <c r="N2232" s="2768"/>
    </row>
    <row r="2233" spans="1:17" s="32" customFormat="1" ht="18.75" hidden="1" customHeight="1" x14ac:dyDescent="0.25">
      <c r="A2233" s="1"/>
      <c r="B2233" s="441"/>
      <c r="C2233" s="2491" t="s">
        <v>4372</v>
      </c>
      <c r="D2233" s="2692">
        <f>D2234</f>
        <v>0</v>
      </c>
      <c r="E2233" s="2679">
        <f>D2233/D2111*100</f>
        <v>0</v>
      </c>
      <c r="F2233" s="3834"/>
      <c r="G2233" s="2679"/>
      <c r="H2233" s="2679"/>
      <c r="I2233" s="2679"/>
      <c r="J2233" s="899"/>
      <c r="K2233" s="899"/>
      <c r="L2233" s="899"/>
      <c r="M2233" s="899"/>
      <c r="N2233" s="2837"/>
      <c r="P2233" s="630"/>
    </row>
    <row r="2234" spans="1:17" ht="16.5" hidden="1" customHeight="1" x14ac:dyDescent="0.25">
      <c r="B2234" s="441"/>
      <c r="C2234" s="2494" t="s">
        <v>4373</v>
      </c>
      <c r="D2234" s="2698">
        <v>0</v>
      </c>
      <c r="E2234" s="2685">
        <f>D2234/D2111*100</f>
        <v>0</v>
      </c>
      <c r="F2234" s="4384"/>
      <c r="G2234" s="2685"/>
      <c r="H2234" s="2685"/>
      <c r="I2234" s="2685"/>
      <c r="J2234" s="898"/>
      <c r="K2234" s="898"/>
      <c r="L2234" s="898"/>
      <c r="M2234" s="898"/>
      <c r="N2234" s="2768"/>
    </row>
    <row r="2235" spans="1:17" ht="12" hidden="1" customHeight="1" x14ac:dyDescent="0.25">
      <c r="B2235" s="441"/>
      <c r="C2235" s="2506"/>
      <c r="D2235" s="2724"/>
      <c r="E2235" s="2830"/>
      <c r="F2235" s="4380"/>
      <c r="G2235" s="2830"/>
      <c r="H2235" s="2830"/>
      <c r="I2235" s="2830"/>
      <c r="J2235" s="2755"/>
      <c r="K2235" s="2755"/>
      <c r="L2235" s="2755"/>
      <c r="M2235" s="2755"/>
      <c r="N2235" s="2768"/>
    </row>
    <row r="2236" spans="1:17" ht="15.75" hidden="1" customHeight="1" x14ac:dyDescent="0.25">
      <c r="B2236" s="440"/>
      <c r="C2236" s="2497" t="s">
        <v>7604</v>
      </c>
      <c r="D2236" s="2669">
        <f>D2237+D2242</f>
        <v>521000000</v>
      </c>
      <c r="E2236" s="2719">
        <f>D2236/D2111*100</f>
        <v>0.4283498400396995</v>
      </c>
      <c r="F2236" s="3835"/>
      <c r="G2236" s="2719"/>
      <c r="H2236" s="2719"/>
      <c r="I2236" s="2719"/>
      <c r="J2236" s="2720"/>
      <c r="K2236" s="2720"/>
      <c r="L2236" s="2719"/>
      <c r="M2236" s="2719"/>
      <c r="N2236" s="2768"/>
      <c r="Q2236" s="224" t="s">
        <v>4141</v>
      </c>
    </row>
    <row r="2237" spans="1:17" ht="18" hidden="1" customHeight="1" x14ac:dyDescent="0.25">
      <c r="B2237" s="441"/>
      <c r="C2237" s="2525" t="s">
        <v>430</v>
      </c>
      <c r="D2237" s="2812">
        <f>SUM(D2238:D2240)</f>
        <v>521000000</v>
      </c>
      <c r="E2237" s="2722">
        <f>D2237/D2111*100</f>
        <v>0.4283498400396995</v>
      </c>
      <c r="F2237" s="3837"/>
      <c r="G2237" s="2722"/>
      <c r="H2237" s="2722"/>
      <c r="I2237" s="2722"/>
      <c r="J2237" s="3130"/>
      <c r="K2237" s="3130"/>
      <c r="L2237" s="2965"/>
      <c r="M2237" s="2722"/>
      <c r="N2237" s="2768"/>
    </row>
    <row r="2238" spans="1:17" ht="17.25" hidden="1" customHeight="1" x14ac:dyDescent="0.25">
      <c r="B2238" s="441"/>
      <c r="C2238" s="2494" t="s">
        <v>4338</v>
      </c>
      <c r="D2238" s="2698">
        <v>521000000</v>
      </c>
      <c r="E2238" s="2685">
        <f>D2238/D2111*100</f>
        <v>0.4283498400396995</v>
      </c>
      <c r="F2238" s="4384"/>
      <c r="G2238" s="2685"/>
      <c r="H2238" s="2685"/>
      <c r="I2238" s="2685"/>
      <c r="J2238" s="3124"/>
      <c r="K2238" s="2700"/>
      <c r="L2238" s="2685"/>
      <c r="M2238" s="2685"/>
      <c r="N2238" s="2768"/>
    </row>
    <row r="2239" spans="1:17" ht="28.5" hidden="1" customHeight="1" x14ac:dyDescent="0.25">
      <c r="B2239" s="441"/>
      <c r="C2239" s="2494" t="s">
        <v>4339</v>
      </c>
      <c r="D2239" s="2698">
        <v>0</v>
      </c>
      <c r="E2239" s="2685">
        <f>D2239/D2111*100</f>
        <v>0</v>
      </c>
      <c r="F2239" s="4384"/>
      <c r="G2239" s="2685"/>
      <c r="H2239" s="2685"/>
      <c r="I2239" s="2685"/>
      <c r="J2239" s="3124"/>
      <c r="K2239" s="2700"/>
      <c r="L2239" s="2685"/>
      <c r="M2239" s="2685"/>
      <c r="N2239" s="2768"/>
    </row>
    <row r="2240" spans="1:17" ht="18" hidden="1" customHeight="1" x14ac:dyDescent="0.25">
      <c r="B2240" s="441"/>
      <c r="C2240" s="2494" t="s">
        <v>4340</v>
      </c>
      <c r="D2240" s="2698">
        <v>0</v>
      </c>
      <c r="E2240" s="2685">
        <f>D2240/D2111*100</f>
        <v>0</v>
      </c>
      <c r="F2240" s="4384"/>
      <c r="G2240" s="2685"/>
      <c r="H2240" s="2685"/>
      <c r="I2240" s="2685"/>
      <c r="J2240" s="3124"/>
      <c r="K2240" s="2700"/>
      <c r="L2240" s="2685"/>
      <c r="M2240" s="2685"/>
      <c r="N2240" s="2768"/>
    </row>
    <row r="2241" spans="2:16" ht="12" hidden="1" customHeight="1" x14ac:dyDescent="0.25">
      <c r="B2241" s="441"/>
      <c r="C2241" s="2556"/>
      <c r="D2241" s="2724"/>
      <c r="E2241" s="2804"/>
      <c r="F2241" s="4380"/>
      <c r="G2241" s="2804"/>
      <c r="H2241" s="2685"/>
      <c r="I2241" s="2685"/>
      <c r="J2241" s="2698"/>
      <c r="K2241" s="2700"/>
      <c r="L2241" s="2685"/>
      <c r="M2241" s="2685"/>
      <c r="N2241" s="2768"/>
    </row>
    <row r="2242" spans="2:16" ht="18" hidden="1" customHeight="1" x14ac:dyDescent="0.25">
      <c r="B2242" s="441"/>
      <c r="C2242" s="2525" t="s">
        <v>4341</v>
      </c>
      <c r="D2242" s="2692">
        <f>SUM(D2243:D2248)</f>
        <v>0</v>
      </c>
      <c r="E2242" s="2679">
        <f>D2242/D2111*100</f>
        <v>0</v>
      </c>
      <c r="F2242" s="3834"/>
      <c r="G2242" s="2679"/>
      <c r="H2242" s="2679"/>
      <c r="I2242" s="2679"/>
      <c r="J2242" s="2694"/>
      <c r="K2242" s="2694"/>
      <c r="L2242" s="2965"/>
      <c r="M2242" s="2679"/>
      <c r="N2242" s="2679"/>
      <c r="O2242" s="543">
        <f>O2243</f>
        <v>0</v>
      </c>
    </row>
    <row r="2243" spans="2:16" ht="29.25" hidden="1" customHeight="1" x14ac:dyDescent="0.25">
      <c r="B2243" s="441"/>
      <c r="C2243" s="2524" t="s">
        <v>4342</v>
      </c>
      <c r="D2243" s="896">
        <v>0</v>
      </c>
      <c r="E2243" s="2685">
        <f>D2243/D2111*100</f>
        <v>0</v>
      </c>
      <c r="F2243" s="4449"/>
      <c r="G2243" s="2685"/>
      <c r="H2243" s="2685"/>
      <c r="I2243" s="2685"/>
      <c r="J2243" s="3131"/>
      <c r="K2243" s="3131"/>
      <c r="L2243" s="2690"/>
      <c r="M2243" s="2685"/>
      <c r="N2243" s="2768"/>
    </row>
    <row r="2244" spans="2:16" ht="17.25" hidden="1" customHeight="1" x14ac:dyDescent="0.25">
      <c r="B2244" s="441"/>
      <c r="C2244" s="2526" t="s">
        <v>4343</v>
      </c>
      <c r="D2244" s="896">
        <v>0</v>
      </c>
      <c r="E2244" s="2708">
        <f>D2244/D2111*100</f>
        <v>0</v>
      </c>
      <c r="F2244" s="4451"/>
      <c r="G2244" s="2708"/>
      <c r="H2244" s="2685"/>
      <c r="I2244" s="2685"/>
      <c r="J2244" s="3131"/>
      <c r="K2244" s="3131"/>
      <c r="L2244" s="2690"/>
      <c r="M2244" s="2685"/>
      <c r="N2244" s="2768"/>
    </row>
    <row r="2245" spans="2:16" ht="17.25" hidden="1" customHeight="1" x14ac:dyDescent="0.25">
      <c r="B2245" s="441"/>
      <c r="C2245" s="2524" t="s">
        <v>4344</v>
      </c>
      <c r="D2245" s="896">
        <v>0</v>
      </c>
      <c r="E2245" s="2685">
        <f>D2245/D2111*100</f>
        <v>0</v>
      </c>
      <c r="F2245" s="4449"/>
      <c r="G2245" s="2685"/>
      <c r="H2245" s="2685"/>
      <c r="I2245" s="2685"/>
      <c r="J2245" s="3131"/>
      <c r="K2245" s="3131"/>
      <c r="L2245" s="2690"/>
      <c r="M2245" s="2685"/>
      <c r="N2245" s="2768"/>
    </row>
    <row r="2246" spans="2:16" ht="17.25" hidden="1" customHeight="1" x14ac:dyDescent="0.25">
      <c r="B2246" s="441"/>
      <c r="C2246" s="2524" t="s">
        <v>4345</v>
      </c>
      <c r="D2246" s="896">
        <v>0</v>
      </c>
      <c r="E2246" s="2685">
        <f>D2246/D2111*100</f>
        <v>0</v>
      </c>
      <c r="F2246" s="4449"/>
      <c r="G2246" s="2685"/>
      <c r="H2246" s="2685"/>
      <c r="I2246" s="2685"/>
      <c r="J2246" s="3131"/>
      <c r="K2246" s="3131"/>
      <c r="L2246" s="2690"/>
      <c r="M2246" s="2685"/>
      <c r="N2246" s="2768"/>
    </row>
    <row r="2247" spans="2:16" ht="17.25" hidden="1" customHeight="1" x14ac:dyDescent="0.25">
      <c r="B2247" s="441"/>
      <c r="C2247" s="2524" t="s">
        <v>4346</v>
      </c>
      <c r="D2247" s="896">
        <v>0</v>
      </c>
      <c r="E2247" s="2685">
        <f>D2247/D2111*100</f>
        <v>0</v>
      </c>
      <c r="F2247" s="4449"/>
      <c r="G2247" s="2685"/>
      <c r="H2247" s="2685"/>
      <c r="I2247" s="2685"/>
      <c r="J2247" s="3131"/>
      <c r="K2247" s="3131"/>
      <c r="L2247" s="2690"/>
      <c r="M2247" s="2685"/>
      <c r="N2247" s="2768"/>
    </row>
    <row r="2248" spans="2:16" ht="30.75" hidden="1" customHeight="1" x14ac:dyDescent="0.25">
      <c r="B2248" s="441"/>
      <c r="C2248" s="2524" t="s">
        <v>4347</v>
      </c>
      <c r="D2248" s="896">
        <v>0</v>
      </c>
      <c r="E2248" s="2685">
        <f>D2248/D2111*100</f>
        <v>0</v>
      </c>
      <c r="F2248" s="4449"/>
      <c r="G2248" s="2685"/>
      <c r="H2248" s="2685"/>
      <c r="I2248" s="2685"/>
      <c r="J2248" s="3131"/>
      <c r="K2248" s="3131"/>
      <c r="L2248" s="2690"/>
      <c r="M2248" s="2685"/>
      <c r="N2248" s="2768"/>
    </row>
    <row r="2249" spans="2:16" ht="12" hidden="1" customHeight="1" x14ac:dyDescent="0.25">
      <c r="B2249" s="441"/>
      <c r="C2249" s="2506"/>
      <c r="D2249" s="2724"/>
      <c r="E2249" s="3132"/>
      <c r="F2249" s="4455"/>
      <c r="G2249" s="3132"/>
      <c r="H2249" s="2911"/>
      <c r="I2249" s="2911"/>
      <c r="J2249" s="898"/>
      <c r="K2249" s="898"/>
      <c r="L2249" s="898"/>
      <c r="M2249" s="898"/>
      <c r="N2249" s="2768"/>
    </row>
    <row r="2250" spans="2:16" ht="18" hidden="1" customHeight="1" x14ac:dyDescent="0.25">
      <c r="B2250" s="440"/>
      <c r="C2250" s="2532" t="s">
        <v>7605</v>
      </c>
      <c r="D2250" s="2744">
        <f>SUM(D2251+D2257+D2262+D2267+D2270+D2274+D2277+D2280)</f>
        <v>0</v>
      </c>
      <c r="E2250" s="2719">
        <f>D2250/D2111*100</f>
        <v>0</v>
      </c>
      <c r="F2250" s="3844"/>
      <c r="G2250" s="2674"/>
      <c r="H2250" s="2996"/>
      <c r="I2250" s="2674"/>
      <c r="J2250" s="2744"/>
      <c r="K2250" s="2744"/>
      <c r="L2250" s="2719"/>
      <c r="M2250" s="2744"/>
      <c r="N2250" s="2768"/>
      <c r="P2250" s="649"/>
    </row>
    <row r="2251" spans="2:16" ht="19.5" hidden="1" customHeight="1" x14ac:dyDescent="0.25">
      <c r="B2251" s="441"/>
      <c r="C2251" s="2557" t="s">
        <v>4348</v>
      </c>
      <c r="D2251" s="3133">
        <f>SUM(D2252:D2255)</f>
        <v>0</v>
      </c>
      <c r="E2251" s="2725">
        <f>D2251/D2111*100</f>
        <v>0</v>
      </c>
      <c r="F2251" s="3837"/>
      <c r="G2251" s="2989"/>
      <c r="H2251" s="2990"/>
      <c r="I2251" s="2989"/>
      <c r="J2251" s="2826"/>
      <c r="K2251" s="2826"/>
      <c r="L2251" s="2965"/>
      <c r="M2251" s="2826"/>
      <c r="N2251" s="2768"/>
    </row>
    <row r="2252" spans="2:16" ht="17.25" hidden="1" customHeight="1" x14ac:dyDescent="0.25">
      <c r="B2252" s="441"/>
      <c r="C2252" s="2524" t="s">
        <v>4349</v>
      </c>
      <c r="D2252" s="3097">
        <v>0</v>
      </c>
      <c r="E2252" s="2804">
        <f>D2252/D2111*100</f>
        <v>0</v>
      </c>
      <c r="F2252" s="4462"/>
      <c r="G2252" s="2726"/>
      <c r="H2252" s="2968"/>
      <c r="I2252" s="2726"/>
      <c r="J2252" s="3124"/>
      <c r="K2252" s="3124"/>
      <c r="L2252" s="2690"/>
      <c r="M2252" s="896"/>
      <c r="N2252" s="2768"/>
    </row>
    <row r="2253" spans="2:16" ht="16.5" hidden="1" customHeight="1" x14ac:dyDescent="0.25">
      <c r="B2253" s="441"/>
      <c r="C2253" s="2526" t="s">
        <v>4350</v>
      </c>
      <c r="D2253" s="3097">
        <v>0</v>
      </c>
      <c r="E2253" s="2804">
        <f>D2253/D2111*100</f>
        <v>0</v>
      </c>
      <c r="F2253" s="4467"/>
      <c r="G2253" s="2754"/>
      <c r="H2253" s="3022"/>
      <c r="I2253" s="2754"/>
      <c r="J2253" s="3135"/>
      <c r="K2253" s="3136"/>
      <c r="L2253" s="2752"/>
      <c r="M2253" s="2769"/>
      <c r="N2253" s="2768"/>
    </row>
    <row r="2254" spans="2:16" ht="16.5" hidden="1" customHeight="1" x14ac:dyDescent="0.25">
      <c r="B2254" s="441"/>
      <c r="C2254" s="2524" t="s">
        <v>4351</v>
      </c>
      <c r="D2254" s="3097">
        <v>0</v>
      </c>
      <c r="E2254" s="2804">
        <f>D2254/D2111*100</f>
        <v>0</v>
      </c>
      <c r="F2254" s="4462"/>
      <c r="G2254" s="2726"/>
      <c r="H2254" s="2968"/>
      <c r="I2254" s="2726"/>
      <c r="J2254" s="3124"/>
      <c r="K2254" s="3124"/>
      <c r="L2254" s="2690"/>
      <c r="M2254" s="896"/>
      <c r="N2254" s="2768"/>
    </row>
    <row r="2255" spans="2:16" ht="12.75" hidden="1" customHeight="1" x14ac:dyDescent="0.25">
      <c r="B2255" s="441"/>
      <c r="C2255" s="2495" t="s">
        <v>4352</v>
      </c>
      <c r="D2255" s="3097">
        <v>0</v>
      </c>
      <c r="E2255" s="2804">
        <f>D2255/D2111*100</f>
        <v>0</v>
      </c>
      <c r="F2255" s="4431"/>
      <c r="G2255" s="2739"/>
      <c r="H2255" s="2999"/>
      <c r="I2255" s="2739"/>
      <c r="J2255" s="911"/>
      <c r="K2255" s="911"/>
      <c r="L2255" s="911"/>
      <c r="M2255" s="911"/>
      <c r="N2255" s="2768"/>
    </row>
    <row r="2256" spans="2:16" ht="11.25" hidden="1" customHeight="1" x14ac:dyDescent="0.25">
      <c r="B2256" s="441"/>
      <c r="C2256" s="2495"/>
      <c r="D2256" s="2706"/>
      <c r="E2256" s="2804"/>
      <c r="F2256" s="4431"/>
      <c r="G2256" s="2739"/>
      <c r="H2256" s="2999"/>
      <c r="I2256" s="2739"/>
      <c r="J2256" s="911"/>
      <c r="K2256" s="911"/>
      <c r="L2256" s="911"/>
      <c r="M2256" s="911"/>
      <c r="N2256" s="2768"/>
    </row>
    <row r="2257" spans="1:16" s="32" customFormat="1" ht="21" hidden="1" customHeight="1" x14ac:dyDescent="0.25">
      <c r="A2257" s="1"/>
      <c r="B2257" s="441"/>
      <c r="C2257" s="2496" t="s">
        <v>4353</v>
      </c>
      <c r="D2257" s="2712">
        <f>SUM(D2258:D2260)</f>
        <v>0</v>
      </c>
      <c r="E2257" s="2725">
        <f>D2257/D2111*100</f>
        <v>0</v>
      </c>
      <c r="F2257" s="3847"/>
      <c r="G2257" s="2766"/>
      <c r="H2257" s="3000"/>
      <c r="I2257" s="2766"/>
      <c r="J2257" s="2767"/>
      <c r="K2257" s="2767"/>
      <c r="L2257" s="2767"/>
      <c r="M2257" s="2767"/>
      <c r="N2257" s="2837"/>
      <c r="P2257" s="630"/>
    </row>
    <row r="2258" spans="1:16" ht="15.75" hidden="1" customHeight="1" x14ac:dyDescent="0.25">
      <c r="B2258" s="441"/>
      <c r="C2258" s="2495" t="s">
        <v>4354</v>
      </c>
      <c r="D2258" s="2706">
        <v>0</v>
      </c>
      <c r="E2258" s="2804">
        <f>D2258/D2111*100</f>
        <v>0</v>
      </c>
      <c r="F2258" s="4431"/>
      <c r="G2258" s="2739"/>
      <c r="H2258" s="2999"/>
      <c r="I2258" s="2739"/>
      <c r="J2258" s="911"/>
      <c r="K2258" s="911"/>
      <c r="L2258" s="911"/>
      <c r="M2258" s="911"/>
      <c r="N2258" s="2768"/>
    </row>
    <row r="2259" spans="1:16" ht="29.25" hidden="1" customHeight="1" x14ac:dyDescent="0.25">
      <c r="B2259" s="441"/>
      <c r="C2259" s="2495" t="s">
        <v>4355</v>
      </c>
      <c r="D2259" s="2706">
        <v>0</v>
      </c>
      <c r="E2259" s="2804">
        <f>D2259/D2111*100</f>
        <v>0</v>
      </c>
      <c r="F2259" s="4431"/>
      <c r="G2259" s="2739"/>
      <c r="H2259" s="2999"/>
      <c r="I2259" s="2739"/>
      <c r="J2259" s="911"/>
      <c r="K2259" s="911"/>
      <c r="L2259" s="911"/>
      <c r="M2259" s="911"/>
      <c r="N2259" s="2768"/>
    </row>
    <row r="2260" spans="1:16" ht="17.25" hidden="1" customHeight="1" x14ac:dyDescent="0.25">
      <c r="B2260" s="441"/>
      <c r="C2260" s="2495" t="s">
        <v>4356</v>
      </c>
      <c r="D2260" s="2706">
        <v>0</v>
      </c>
      <c r="E2260" s="2804">
        <f>D2260/D2111*100</f>
        <v>0</v>
      </c>
      <c r="F2260" s="4431"/>
      <c r="G2260" s="2739"/>
      <c r="H2260" s="2999"/>
      <c r="I2260" s="2739"/>
      <c r="J2260" s="911"/>
      <c r="K2260" s="911"/>
      <c r="L2260" s="911"/>
      <c r="M2260" s="911"/>
      <c r="N2260" s="2768"/>
    </row>
    <row r="2261" spans="1:16" ht="9" hidden="1" customHeight="1" x14ac:dyDescent="0.25">
      <c r="B2261" s="441"/>
      <c r="C2261" s="2495"/>
      <c r="D2261" s="2706"/>
      <c r="E2261" s="2804"/>
      <c r="F2261" s="4431"/>
      <c r="G2261" s="2739"/>
      <c r="H2261" s="2999"/>
      <c r="I2261" s="2739"/>
      <c r="J2261" s="911"/>
      <c r="K2261" s="911"/>
      <c r="L2261" s="911"/>
      <c r="M2261" s="911"/>
      <c r="N2261" s="2768"/>
    </row>
    <row r="2262" spans="1:16" s="32" customFormat="1" ht="18.75" hidden="1" customHeight="1" x14ac:dyDescent="0.25">
      <c r="A2262" s="1"/>
      <c r="B2262" s="441"/>
      <c r="C2262" s="2496" t="s">
        <v>4357</v>
      </c>
      <c r="D2262" s="2712">
        <f>SUM(D2263:D2265)</f>
        <v>0</v>
      </c>
      <c r="E2262" s="2725">
        <f>D2262/D2111*100</f>
        <v>0</v>
      </c>
      <c r="F2262" s="3847"/>
      <c r="G2262" s="2766"/>
      <c r="H2262" s="3000"/>
      <c r="I2262" s="2766"/>
      <c r="J2262" s="2767"/>
      <c r="K2262" s="2767"/>
      <c r="L2262" s="2767"/>
      <c r="M2262" s="2767"/>
      <c r="N2262" s="2837"/>
      <c r="P2262" s="630"/>
    </row>
    <row r="2263" spans="1:16" ht="18.75" hidden="1" customHeight="1" x14ac:dyDescent="0.25">
      <c r="B2263" s="441"/>
      <c r="C2263" s="2495" t="s">
        <v>4358</v>
      </c>
      <c r="D2263" s="2706">
        <v>0</v>
      </c>
      <c r="E2263" s="2804">
        <f>D2263/D2111*100</f>
        <v>0</v>
      </c>
      <c r="F2263" s="4431"/>
      <c r="G2263" s="2739"/>
      <c r="H2263" s="2999"/>
      <c r="I2263" s="2739"/>
      <c r="J2263" s="911"/>
      <c r="K2263" s="911"/>
      <c r="L2263" s="911"/>
      <c r="M2263" s="911"/>
      <c r="N2263" s="2768"/>
    </row>
    <row r="2264" spans="1:16" ht="15" hidden="1" customHeight="1" x14ac:dyDescent="0.25">
      <c r="B2264" s="441"/>
      <c r="C2264" s="2495" t="s">
        <v>4359</v>
      </c>
      <c r="D2264" s="2706">
        <v>0</v>
      </c>
      <c r="E2264" s="2804">
        <f>D2264/D2111*100</f>
        <v>0</v>
      </c>
      <c r="F2264" s="4431"/>
      <c r="G2264" s="2739"/>
      <c r="H2264" s="2999"/>
      <c r="I2264" s="2739"/>
      <c r="J2264" s="911"/>
      <c r="K2264" s="911"/>
      <c r="L2264" s="911"/>
      <c r="M2264" s="911"/>
      <c r="N2264" s="2768"/>
    </row>
    <row r="2265" spans="1:16" ht="16.5" hidden="1" customHeight="1" x14ac:dyDescent="0.25">
      <c r="B2265" s="441"/>
      <c r="C2265" s="2495" t="s">
        <v>4360</v>
      </c>
      <c r="D2265" s="2706">
        <v>0</v>
      </c>
      <c r="E2265" s="2804">
        <f>D2265/D2111*100</f>
        <v>0</v>
      </c>
      <c r="F2265" s="4431"/>
      <c r="G2265" s="2739"/>
      <c r="H2265" s="2999"/>
      <c r="I2265" s="2739"/>
      <c r="J2265" s="911"/>
      <c r="K2265" s="911"/>
      <c r="L2265" s="911"/>
      <c r="M2265" s="911"/>
      <c r="N2265" s="2768"/>
    </row>
    <row r="2266" spans="1:16" ht="11.25" hidden="1" customHeight="1" x14ac:dyDescent="0.25">
      <c r="B2266" s="441"/>
      <c r="C2266" s="2495"/>
      <c r="D2266" s="2706"/>
      <c r="E2266" s="2804"/>
      <c r="F2266" s="4431"/>
      <c r="G2266" s="2739"/>
      <c r="H2266" s="2999"/>
      <c r="I2266" s="2739"/>
      <c r="J2266" s="911"/>
      <c r="K2266" s="911"/>
      <c r="L2266" s="911"/>
      <c r="M2266" s="911"/>
      <c r="N2266" s="2768"/>
    </row>
    <row r="2267" spans="1:16" s="32" customFormat="1" ht="16.5" hidden="1" customHeight="1" x14ac:dyDescent="0.25">
      <c r="A2267" s="1"/>
      <c r="B2267" s="441"/>
      <c r="C2267" s="2496" t="s">
        <v>4361</v>
      </c>
      <c r="D2267" s="2712">
        <f>D2268</f>
        <v>0</v>
      </c>
      <c r="E2267" s="2725">
        <f>D2267/D2111*100</f>
        <v>0</v>
      </c>
      <c r="F2267" s="3847"/>
      <c r="G2267" s="2766"/>
      <c r="H2267" s="3000"/>
      <c r="I2267" s="2766"/>
      <c r="J2267" s="2767"/>
      <c r="K2267" s="2767"/>
      <c r="L2267" s="2767"/>
      <c r="M2267" s="2767"/>
      <c r="N2267" s="2837"/>
      <c r="P2267" s="630"/>
    </row>
    <row r="2268" spans="1:16" ht="28.5" hidden="1" customHeight="1" x14ac:dyDescent="0.25">
      <c r="B2268" s="441"/>
      <c r="C2268" s="2495" t="s">
        <v>4362</v>
      </c>
      <c r="D2268" s="2706">
        <v>0</v>
      </c>
      <c r="E2268" s="2804">
        <f>D2268/D2111*100</f>
        <v>0</v>
      </c>
      <c r="F2268" s="4431"/>
      <c r="G2268" s="2739"/>
      <c r="H2268" s="2999"/>
      <c r="I2268" s="2739"/>
      <c r="J2268" s="911"/>
      <c r="K2268" s="911"/>
      <c r="L2268" s="911"/>
      <c r="M2268" s="911"/>
      <c r="N2268" s="2768"/>
    </row>
    <row r="2269" spans="1:16" ht="10.5" hidden="1" customHeight="1" x14ac:dyDescent="0.25">
      <c r="B2269" s="441"/>
      <c r="C2269" s="2495"/>
      <c r="D2269" s="2706"/>
      <c r="E2269" s="2804"/>
      <c r="F2269" s="4431"/>
      <c r="G2269" s="2739"/>
      <c r="H2269" s="2999"/>
      <c r="I2269" s="2739"/>
      <c r="J2269" s="911"/>
      <c r="K2269" s="911"/>
      <c r="L2269" s="911"/>
      <c r="M2269" s="911"/>
      <c r="N2269" s="2768"/>
    </row>
    <row r="2270" spans="1:16" s="32" customFormat="1" ht="21" hidden="1" customHeight="1" x14ac:dyDescent="0.25">
      <c r="A2270" s="1"/>
      <c r="B2270" s="441"/>
      <c r="C2270" s="2496" t="s">
        <v>4363</v>
      </c>
      <c r="D2270" s="2712">
        <f>SUM(D2271:D2272)</f>
        <v>0</v>
      </c>
      <c r="E2270" s="2725">
        <f>D2270/D2111*100</f>
        <v>0</v>
      </c>
      <c r="F2270" s="3847"/>
      <c r="G2270" s="2766"/>
      <c r="H2270" s="3000"/>
      <c r="I2270" s="2766"/>
      <c r="J2270" s="2767"/>
      <c r="K2270" s="2767"/>
      <c r="L2270" s="2767"/>
      <c r="M2270" s="2767"/>
      <c r="N2270" s="2837"/>
      <c r="P2270" s="630"/>
    </row>
    <row r="2271" spans="1:16" ht="16.5" hidden="1" customHeight="1" x14ac:dyDescent="0.25">
      <c r="B2271" s="441"/>
      <c r="C2271" s="2495" t="s">
        <v>4364</v>
      </c>
      <c r="D2271" s="2706">
        <v>0</v>
      </c>
      <c r="E2271" s="2804">
        <f>D2271/D2111*100</f>
        <v>0</v>
      </c>
      <c r="F2271" s="4431"/>
      <c r="G2271" s="2739"/>
      <c r="H2271" s="2999"/>
      <c r="I2271" s="2739"/>
      <c r="J2271" s="911"/>
      <c r="K2271" s="911"/>
      <c r="L2271" s="911"/>
      <c r="M2271" s="911"/>
      <c r="N2271" s="2768"/>
    </row>
    <row r="2272" spans="1:16" ht="21" hidden="1" customHeight="1" x14ac:dyDescent="0.25">
      <c r="B2272" s="441"/>
      <c r="C2272" s="2495" t="s">
        <v>4365</v>
      </c>
      <c r="D2272" s="2706">
        <v>0</v>
      </c>
      <c r="E2272" s="2804">
        <f>D2272/D2111*100</f>
        <v>0</v>
      </c>
      <c r="F2272" s="4431"/>
      <c r="G2272" s="2739"/>
      <c r="H2272" s="2999"/>
      <c r="I2272" s="2739"/>
      <c r="J2272" s="911"/>
      <c r="K2272" s="911"/>
      <c r="L2272" s="911"/>
      <c r="M2272" s="911"/>
      <c r="N2272" s="2768"/>
    </row>
    <row r="2273" spans="1:17" ht="12" hidden="1" customHeight="1" x14ac:dyDescent="0.25">
      <c r="B2273" s="441"/>
      <c r="C2273" s="2495"/>
      <c r="D2273" s="2706"/>
      <c r="E2273" s="2804"/>
      <c r="F2273" s="4431"/>
      <c r="G2273" s="2739"/>
      <c r="H2273" s="2999"/>
      <c r="I2273" s="2739"/>
      <c r="J2273" s="911"/>
      <c r="K2273" s="911"/>
      <c r="L2273" s="911"/>
      <c r="M2273" s="911"/>
      <c r="N2273" s="2768"/>
    </row>
    <row r="2274" spans="1:17" s="32" customFormat="1" ht="17.25" hidden="1" customHeight="1" x14ac:dyDescent="0.25">
      <c r="A2274" s="1"/>
      <c r="B2274" s="441"/>
      <c r="C2274" s="2496" t="s">
        <v>4366</v>
      </c>
      <c r="D2274" s="2712">
        <f>D2275</f>
        <v>0</v>
      </c>
      <c r="E2274" s="2725">
        <f>D2274/D2111*100</f>
        <v>0</v>
      </c>
      <c r="F2274" s="3847"/>
      <c r="G2274" s="2766"/>
      <c r="H2274" s="3000"/>
      <c r="I2274" s="2766"/>
      <c r="J2274" s="2767"/>
      <c r="K2274" s="2767"/>
      <c r="L2274" s="2767"/>
      <c r="M2274" s="2767"/>
      <c r="N2274" s="2837"/>
      <c r="P2274" s="630"/>
    </row>
    <row r="2275" spans="1:17" ht="16.5" hidden="1" customHeight="1" x14ac:dyDescent="0.25">
      <c r="B2275" s="441"/>
      <c r="C2275" s="2495" t="s">
        <v>4367</v>
      </c>
      <c r="D2275" s="2706">
        <v>0</v>
      </c>
      <c r="E2275" s="2804">
        <f>D2275/D2111*100</f>
        <v>0</v>
      </c>
      <c r="F2275" s="4431"/>
      <c r="G2275" s="2739"/>
      <c r="H2275" s="2999"/>
      <c r="I2275" s="2739"/>
      <c r="J2275" s="911"/>
      <c r="K2275" s="911"/>
      <c r="L2275" s="911"/>
      <c r="M2275" s="911"/>
      <c r="N2275" s="2768"/>
    </row>
    <row r="2276" spans="1:17" ht="11.25" hidden="1" customHeight="1" x14ac:dyDescent="0.25">
      <c r="B2276" s="441"/>
      <c r="C2276" s="2495"/>
      <c r="D2276" s="2706"/>
      <c r="E2276" s="2804"/>
      <c r="F2276" s="4431"/>
      <c r="G2276" s="2739"/>
      <c r="H2276" s="2999"/>
      <c r="I2276" s="2739"/>
      <c r="J2276" s="911"/>
      <c r="K2276" s="911"/>
      <c r="L2276" s="911"/>
      <c r="M2276" s="911"/>
      <c r="N2276" s="2768"/>
    </row>
    <row r="2277" spans="1:17" s="32" customFormat="1" ht="16.5" hidden="1" customHeight="1" x14ac:dyDescent="0.25">
      <c r="A2277" s="1"/>
      <c r="B2277" s="441"/>
      <c r="C2277" s="2496" t="s">
        <v>4368</v>
      </c>
      <c r="D2277" s="2712">
        <f>D2278</f>
        <v>0</v>
      </c>
      <c r="E2277" s="2725">
        <f>D2277/D2111*100</f>
        <v>0</v>
      </c>
      <c r="F2277" s="3847"/>
      <c r="G2277" s="2766"/>
      <c r="H2277" s="3000"/>
      <c r="I2277" s="2766"/>
      <c r="J2277" s="2767"/>
      <c r="K2277" s="2767"/>
      <c r="L2277" s="2767"/>
      <c r="M2277" s="2767"/>
      <c r="N2277" s="2837"/>
      <c r="P2277" s="630"/>
    </row>
    <row r="2278" spans="1:17" ht="15.75" hidden="1" customHeight="1" x14ac:dyDescent="0.25">
      <c r="B2278" s="441"/>
      <c r="C2278" s="2495" t="s">
        <v>4369</v>
      </c>
      <c r="D2278" s="2706">
        <v>0</v>
      </c>
      <c r="E2278" s="2804">
        <f>D2278/D2111*100</f>
        <v>0</v>
      </c>
      <c r="F2278" s="4431"/>
      <c r="G2278" s="2739"/>
      <c r="H2278" s="2999"/>
      <c r="I2278" s="2739"/>
      <c r="J2278" s="911"/>
      <c r="K2278" s="911"/>
      <c r="L2278" s="911"/>
      <c r="M2278" s="911"/>
      <c r="N2278" s="2768"/>
    </row>
    <row r="2279" spans="1:17" ht="10.5" hidden="1" customHeight="1" x14ac:dyDescent="0.25">
      <c r="B2279" s="441"/>
      <c r="C2279" s="2495"/>
      <c r="D2279" s="2706"/>
      <c r="E2279" s="2804"/>
      <c r="F2279" s="4431"/>
      <c r="G2279" s="2739"/>
      <c r="H2279" s="2999"/>
      <c r="I2279" s="2739"/>
      <c r="J2279" s="911"/>
      <c r="K2279" s="911"/>
      <c r="L2279" s="911"/>
      <c r="M2279" s="911"/>
      <c r="N2279" s="2768"/>
    </row>
    <row r="2280" spans="1:17" s="32" customFormat="1" ht="21" hidden="1" customHeight="1" x14ac:dyDescent="0.25">
      <c r="A2280" s="1"/>
      <c r="B2280" s="441"/>
      <c r="C2280" s="2496" t="s">
        <v>4370</v>
      </c>
      <c r="D2280" s="2712">
        <f>D2281</f>
        <v>0</v>
      </c>
      <c r="E2280" s="2725">
        <f>D2280/D2111*100</f>
        <v>0</v>
      </c>
      <c r="F2280" s="3847"/>
      <c r="G2280" s="2766"/>
      <c r="H2280" s="3000"/>
      <c r="I2280" s="2766"/>
      <c r="J2280" s="2767"/>
      <c r="K2280" s="2767"/>
      <c r="L2280" s="2767"/>
      <c r="M2280" s="2767"/>
      <c r="N2280" s="2837"/>
      <c r="P2280" s="630"/>
    </row>
    <row r="2281" spans="1:17" ht="31.5" hidden="1" customHeight="1" x14ac:dyDescent="0.25">
      <c r="B2281" s="441"/>
      <c r="C2281" s="2494" t="s">
        <v>4371</v>
      </c>
      <c r="D2281" s="2698">
        <v>0</v>
      </c>
      <c r="E2281" s="2685">
        <f>D2281/D2111*100</f>
        <v>0</v>
      </c>
      <c r="F2281" s="3876"/>
      <c r="G2281" s="2726"/>
      <c r="H2281" s="2968"/>
      <c r="I2281" s="2726"/>
      <c r="J2281" s="898"/>
      <c r="K2281" s="898"/>
      <c r="L2281" s="898"/>
      <c r="M2281" s="898"/>
      <c r="N2281" s="2768"/>
    </row>
    <row r="2282" spans="1:17" ht="12" hidden="1" customHeight="1" x14ac:dyDescent="0.25">
      <c r="B2282" s="441"/>
      <c r="C2282" s="2558"/>
      <c r="D2282" s="2827"/>
      <c r="E2282" s="3137"/>
      <c r="F2282" s="4443"/>
      <c r="G2282" s="3007"/>
      <c r="H2282" s="3138"/>
      <c r="I2282" s="3007"/>
      <c r="J2282" s="3139"/>
      <c r="K2282" s="3139"/>
      <c r="L2282" s="3139"/>
      <c r="M2282" s="3139"/>
      <c r="N2282" s="2768"/>
    </row>
    <row r="2283" spans="1:17" ht="15.75" hidden="1" customHeight="1" x14ac:dyDescent="0.25">
      <c r="B2283" s="440"/>
      <c r="C2283" s="2532" t="s">
        <v>7606</v>
      </c>
      <c r="D2283" s="2669">
        <f>SUM(D2284+D2288)</f>
        <v>19779931000</v>
      </c>
      <c r="E2283" s="2719">
        <f>D2283/D2111*100</f>
        <v>16.262438157094618</v>
      </c>
      <c r="F2283" s="3826"/>
      <c r="G2283" s="2674"/>
      <c r="H2283" s="2996"/>
      <c r="I2283" s="2674"/>
      <c r="J2283" s="2770"/>
      <c r="K2283" s="2770"/>
      <c r="L2283" s="2719"/>
      <c r="M2283" s="2744"/>
      <c r="N2283" s="2768"/>
      <c r="Q2283" s="224" t="s">
        <v>4141</v>
      </c>
    </row>
    <row r="2284" spans="1:17" ht="17.25" hidden="1" customHeight="1" x14ac:dyDescent="0.25">
      <c r="B2284" s="441"/>
      <c r="C2284" s="2555" t="s">
        <v>4374</v>
      </c>
      <c r="D2284" s="2721">
        <f>D2285</f>
        <v>542800000</v>
      </c>
      <c r="E2284" s="2725">
        <f>D2284/D2111*100</f>
        <v>0.44627311549625515</v>
      </c>
      <c r="F2284" s="3828"/>
      <c r="G2284" s="2994"/>
      <c r="H2284" s="3021"/>
      <c r="I2284" s="2994"/>
      <c r="J2284" s="2788"/>
      <c r="K2284" s="2788"/>
      <c r="L2284" s="2965"/>
      <c r="M2284" s="2751"/>
      <c r="N2284" s="2768"/>
    </row>
    <row r="2285" spans="1:17" ht="15.75" hidden="1" customHeight="1" x14ac:dyDescent="0.25">
      <c r="B2285" s="441"/>
      <c r="C2285" s="2524" t="s">
        <v>4375</v>
      </c>
      <c r="D2285" s="896">
        <v>542800000</v>
      </c>
      <c r="E2285" s="2804">
        <f>D2285/D2111*100</f>
        <v>0.44627311549625515</v>
      </c>
      <c r="F2285" s="4449"/>
      <c r="G2285" s="2726"/>
      <c r="H2285" s="2968"/>
      <c r="I2285" s="2726"/>
      <c r="J2285" s="2920"/>
      <c r="K2285" s="3141"/>
      <c r="L2285" s="2690"/>
      <c r="M2285" s="896"/>
      <c r="N2285" s="2768"/>
    </row>
    <row r="2286" spans="1:17" ht="12" hidden="1" customHeight="1" x14ac:dyDescent="0.25">
      <c r="B2286" s="441"/>
      <c r="C2286" s="2524"/>
      <c r="D2286" s="2769"/>
      <c r="E2286" s="2804"/>
      <c r="F2286" s="4451"/>
      <c r="G2286" s="2726"/>
      <c r="H2286" s="2968"/>
      <c r="I2286" s="2726"/>
      <c r="J2286" s="2920"/>
      <c r="K2286" s="3141"/>
      <c r="L2286" s="2690"/>
      <c r="M2286" s="896"/>
      <c r="N2286" s="2768"/>
    </row>
    <row r="2287" spans="1:17" s="32" customFormat="1" ht="19.5" hidden="1" customHeight="1" x14ac:dyDescent="0.25">
      <c r="A2287" s="1"/>
      <c r="B2287" s="441"/>
      <c r="C2287" s="2525" t="s">
        <v>4376</v>
      </c>
      <c r="D2287" s="2692">
        <f>D2288</f>
        <v>19237131000</v>
      </c>
      <c r="E2287" s="2725">
        <f>D2287/D2111*100</f>
        <v>15.81616504159836</v>
      </c>
      <c r="F2287" s="3876"/>
      <c r="G2287" s="3018"/>
      <c r="H2287" s="3019"/>
      <c r="I2287" s="3018"/>
      <c r="J2287" s="899"/>
      <c r="K2287" s="899"/>
      <c r="L2287" s="899"/>
      <c r="M2287" s="899"/>
      <c r="N2287" s="2837"/>
      <c r="P2287" s="630"/>
    </row>
    <row r="2288" spans="1:17" s="196" customFormat="1" ht="16.5" hidden="1" customHeight="1" x14ac:dyDescent="0.25">
      <c r="A2288" s="12"/>
      <c r="B2288" s="442"/>
      <c r="C2288" s="2473" t="s">
        <v>4377</v>
      </c>
      <c r="D2288" s="2698">
        <v>19237131000</v>
      </c>
      <c r="E2288" s="2685">
        <f>D2288/D2111*100</f>
        <v>15.81616504159836</v>
      </c>
      <c r="F2288" s="3876"/>
      <c r="G2288" s="2726"/>
      <c r="H2288" s="2968"/>
      <c r="I2288" s="2726"/>
      <c r="J2288" s="2850"/>
      <c r="K2288" s="2850"/>
      <c r="L2288" s="2726"/>
      <c r="M2288" s="896"/>
      <c r="N2288" s="2951"/>
      <c r="P2288" s="631"/>
    </row>
    <row r="2289" spans="2:16" ht="12" hidden="1" customHeight="1" x14ac:dyDescent="0.25">
      <c r="B2289" s="441"/>
      <c r="C2289" s="2559"/>
      <c r="D2289" s="2724"/>
      <c r="E2289" s="3120"/>
      <c r="F2289" s="3833"/>
      <c r="G2289" s="2754"/>
      <c r="H2289" s="3022"/>
      <c r="I2289" s="2769"/>
      <c r="J2289" s="2755"/>
      <c r="K2289" s="2755"/>
      <c r="L2289" s="2755"/>
      <c r="M2289" s="2755"/>
      <c r="N2289" s="2768"/>
    </row>
    <row r="2290" spans="2:16" ht="30" hidden="1" customHeight="1" x14ac:dyDescent="0.25">
      <c r="B2290" s="440"/>
      <c r="C2290" s="2497" t="s">
        <v>7607</v>
      </c>
      <c r="D2290" s="2669">
        <f>SUM(D2291+D2296)</f>
        <v>1008295000</v>
      </c>
      <c r="E2290" s="2719">
        <f>D2290/D2111*100</f>
        <v>0.82898848745264664</v>
      </c>
      <c r="F2290" s="3835"/>
      <c r="G2290" s="2719"/>
      <c r="H2290" s="2719"/>
      <c r="I2290" s="2719"/>
      <c r="J2290" s="2720"/>
      <c r="K2290" s="2720"/>
      <c r="L2290" s="2719"/>
      <c r="M2290" s="2744"/>
      <c r="N2290" s="2768"/>
      <c r="P2290" s="649"/>
    </row>
    <row r="2291" spans="2:16" ht="28.5" hidden="1" customHeight="1" x14ac:dyDescent="0.25">
      <c r="B2291" s="441"/>
      <c r="C2291" s="2482" t="s">
        <v>4378</v>
      </c>
      <c r="D2291" s="2721">
        <f>SUM(D2292:D2294)</f>
        <v>499890000</v>
      </c>
      <c r="E2291" s="2725">
        <f>D2291/D2111*100</f>
        <v>0.41099386091640194</v>
      </c>
      <c r="F2291" s="3839"/>
      <c r="G2291" s="2722"/>
      <c r="H2291" s="2722"/>
      <c r="I2291" s="2722"/>
      <c r="J2291" s="2723"/>
      <c r="K2291" s="2723"/>
      <c r="L2291" s="2965"/>
      <c r="M2291" s="2759"/>
      <c r="N2291" s="2768"/>
    </row>
    <row r="2292" spans="2:16" ht="18.75" hidden="1" customHeight="1" x14ac:dyDescent="0.25">
      <c r="B2292" s="441"/>
      <c r="C2292" s="2524" t="s">
        <v>4379</v>
      </c>
      <c r="D2292" s="896">
        <v>375000000</v>
      </c>
      <c r="E2292" s="2804">
        <f>D2292/D2111*100</f>
        <v>0.30831322459671273</v>
      </c>
      <c r="F2292" s="4449"/>
      <c r="G2292" s="2685"/>
      <c r="H2292" s="2685"/>
      <c r="I2292" s="2685"/>
      <c r="J2292" s="2972"/>
      <c r="K2292" s="3124"/>
      <c r="L2292" s="2690"/>
      <c r="M2292" s="896"/>
      <c r="N2292" s="2768"/>
    </row>
    <row r="2293" spans="2:16" ht="30" hidden="1" customHeight="1" x14ac:dyDescent="0.25">
      <c r="B2293" s="441"/>
      <c r="C2293" s="2524" t="s">
        <v>4380</v>
      </c>
      <c r="D2293" s="896">
        <v>63390000</v>
      </c>
      <c r="E2293" s="2804">
        <f>D2293/D2111*100</f>
        <v>5.2117267485828317E-2</v>
      </c>
      <c r="F2293" s="4449"/>
      <c r="G2293" s="2685"/>
      <c r="H2293" s="2685"/>
      <c r="I2293" s="2685"/>
      <c r="J2293" s="2972"/>
      <c r="K2293" s="3124"/>
      <c r="L2293" s="2690"/>
      <c r="M2293" s="2685"/>
      <c r="N2293" s="2768"/>
    </row>
    <row r="2294" spans="2:16" ht="17.25" hidden="1" customHeight="1" x14ac:dyDescent="0.25">
      <c r="B2294" s="441"/>
      <c r="C2294" s="2524" t="s">
        <v>4381</v>
      </c>
      <c r="D2294" s="896">
        <v>61500000</v>
      </c>
      <c r="E2294" s="2804">
        <f>D2294/D2111*100</f>
        <v>5.0563368833860887E-2</v>
      </c>
      <c r="F2294" s="4449"/>
      <c r="G2294" s="2685"/>
      <c r="H2294" s="2685"/>
      <c r="I2294" s="2685"/>
      <c r="J2294" s="2972"/>
      <c r="K2294" s="3124"/>
      <c r="L2294" s="2690"/>
      <c r="M2294" s="2685"/>
      <c r="N2294" s="2768"/>
    </row>
    <row r="2295" spans="2:16" ht="9.75" hidden="1" customHeight="1" x14ac:dyDescent="0.25">
      <c r="B2295" s="441"/>
      <c r="C2295" s="2494"/>
      <c r="D2295" s="2698"/>
      <c r="E2295" s="2725"/>
      <c r="F2295" s="4384"/>
      <c r="G2295" s="2685"/>
      <c r="H2295" s="2685"/>
      <c r="I2295" s="2685"/>
      <c r="J2295" s="898"/>
      <c r="K2295" s="898"/>
      <c r="L2295" s="898"/>
      <c r="M2295" s="898"/>
      <c r="N2295" s="2768"/>
    </row>
    <row r="2296" spans="2:16" ht="19.5" hidden="1" customHeight="1" x14ac:dyDescent="0.25">
      <c r="B2296" s="441"/>
      <c r="C2296" s="2491" t="s">
        <v>4382</v>
      </c>
      <c r="D2296" s="2692">
        <f>SUM(D2297:D2299)</f>
        <v>508405000</v>
      </c>
      <c r="E2296" s="2725">
        <f>D2296/D2111*100</f>
        <v>0.4179946265362447</v>
      </c>
      <c r="F2296" s="3834"/>
      <c r="G2296" s="2679"/>
      <c r="H2296" s="2679"/>
      <c r="I2296" s="2679"/>
      <c r="J2296" s="2694"/>
      <c r="K2296" s="2694"/>
      <c r="L2296" s="2965"/>
      <c r="M2296" s="899"/>
      <c r="N2296" s="2768"/>
    </row>
    <row r="2297" spans="2:16" ht="18.75" hidden="1" customHeight="1" x14ac:dyDescent="0.25">
      <c r="B2297" s="441"/>
      <c r="C2297" s="2524" t="s">
        <v>4383</v>
      </c>
      <c r="D2297" s="896">
        <v>238650000</v>
      </c>
      <c r="E2297" s="2804">
        <f>D2297/D2111*100</f>
        <v>0.19621053613334796</v>
      </c>
      <c r="F2297" s="4449"/>
      <c r="G2297" s="2685"/>
      <c r="H2297" s="2685"/>
      <c r="I2297" s="2685"/>
      <c r="J2297" s="3124"/>
      <c r="K2297" s="2726"/>
      <c r="L2297" s="2968"/>
      <c r="M2297" s="2726"/>
      <c r="N2297" s="2768"/>
    </row>
    <row r="2298" spans="2:16" ht="18" hidden="1" customHeight="1" x14ac:dyDescent="0.25">
      <c r="B2298" s="441"/>
      <c r="C2298" s="2524" t="s">
        <v>4384</v>
      </c>
      <c r="D2298" s="896">
        <v>95000000</v>
      </c>
      <c r="E2298" s="2804">
        <f>D2298/D2111*100</f>
        <v>7.8106016897833891E-2</v>
      </c>
      <c r="F2298" s="4449"/>
      <c r="G2298" s="2685"/>
      <c r="H2298" s="2685"/>
      <c r="I2298" s="2685"/>
      <c r="J2298" s="3124"/>
      <c r="K2298" s="2726"/>
      <c r="L2298" s="2968"/>
      <c r="M2298" s="2726"/>
      <c r="N2298" s="2768"/>
    </row>
    <row r="2299" spans="2:16" ht="31.5" hidden="1" customHeight="1" x14ac:dyDescent="0.25">
      <c r="B2299" s="441"/>
      <c r="C2299" s="2524" t="s">
        <v>4385</v>
      </c>
      <c r="D2299" s="896">
        <v>174755000</v>
      </c>
      <c r="E2299" s="2804">
        <f>D2299/D2111*100</f>
        <v>0.14367807350506276</v>
      </c>
      <c r="F2299" s="4449"/>
      <c r="G2299" s="2685"/>
      <c r="H2299" s="2685"/>
      <c r="I2299" s="2685"/>
      <c r="J2299" s="3124"/>
      <c r="K2299" s="3124"/>
      <c r="L2299" s="2690"/>
      <c r="M2299" s="896"/>
      <c r="N2299" s="2768"/>
    </row>
    <row r="2300" spans="2:16" ht="14.25" hidden="1" customHeight="1" x14ac:dyDescent="0.25">
      <c r="B2300" s="441"/>
      <c r="C2300" s="2506"/>
      <c r="D2300" s="2724"/>
      <c r="E2300" s="2725"/>
      <c r="F2300" s="4420"/>
      <c r="G2300" s="2830"/>
      <c r="H2300" s="2752"/>
      <c r="I2300" s="2769"/>
      <c r="J2300" s="896"/>
      <c r="K2300" s="896"/>
      <c r="L2300" s="898"/>
      <c r="M2300" s="898"/>
      <c r="N2300" s="2768"/>
    </row>
    <row r="2301" spans="2:16" ht="17.25" hidden="1" customHeight="1" x14ac:dyDescent="0.25">
      <c r="B2301" s="440"/>
      <c r="C2301" s="2497" t="s">
        <v>2392</v>
      </c>
      <c r="D2301" s="2669">
        <f>D2302+D2305+D2312+D2318</f>
        <v>6303088000</v>
      </c>
      <c r="E2301" s="2719">
        <f>D2301/D2111*100</f>
        <v>5.1822010298582528</v>
      </c>
      <c r="F2301" s="3835"/>
      <c r="G2301" s="2719"/>
      <c r="H2301" s="2672"/>
      <c r="I2301" s="2744"/>
      <c r="J2301" s="2720"/>
      <c r="K2301" s="2720"/>
      <c r="L2301" s="2719"/>
      <c r="M2301" s="2744"/>
      <c r="N2301" s="2768"/>
      <c r="P2301" s="649"/>
    </row>
    <row r="2302" spans="2:16" ht="20.25" hidden="1" customHeight="1" x14ac:dyDescent="0.25">
      <c r="B2302" s="441"/>
      <c r="C2302" s="2536" t="s">
        <v>3264</v>
      </c>
      <c r="D2302" s="2931">
        <f>D2303</f>
        <v>54900000</v>
      </c>
      <c r="E2302" s="2725">
        <f>D2302/D2111*100</f>
        <v>4.5137056080958741E-2</v>
      </c>
      <c r="F2302" s="3877"/>
      <c r="G2302" s="2722"/>
      <c r="H2302" s="2722"/>
      <c r="I2302" s="2722"/>
      <c r="J2302" s="3142"/>
      <c r="K2302" s="3142"/>
      <c r="L2302" s="2965"/>
      <c r="M2302" s="2751"/>
      <c r="N2302" s="2768"/>
      <c r="P2302" s="649"/>
    </row>
    <row r="2303" spans="2:16" hidden="1" x14ac:dyDescent="0.25">
      <c r="B2303" s="441"/>
      <c r="C2303" s="2524" t="s">
        <v>4386</v>
      </c>
      <c r="D2303" s="896">
        <v>54900000</v>
      </c>
      <c r="E2303" s="2804">
        <f>D2303/D2111*100</f>
        <v>4.5137056080958741E-2</v>
      </c>
      <c r="F2303" s="4449"/>
      <c r="G2303" s="2685"/>
      <c r="H2303" s="2685"/>
      <c r="I2303" s="2685"/>
      <c r="J2303" s="2972"/>
      <c r="K2303" s="3124"/>
      <c r="L2303" s="2690"/>
      <c r="M2303" s="896"/>
      <c r="N2303" s="2768"/>
    </row>
    <row r="2304" spans="2:16" ht="12" hidden="1" customHeight="1" x14ac:dyDescent="0.25">
      <c r="B2304" s="441"/>
      <c r="C2304" s="2524"/>
      <c r="D2304" s="896"/>
      <c r="E2304" s="2804"/>
      <c r="F2304" s="4449"/>
      <c r="G2304" s="2685"/>
      <c r="H2304" s="2685"/>
      <c r="I2304" s="2685"/>
      <c r="J2304" s="2972"/>
      <c r="K2304" s="3124"/>
      <c r="L2304" s="2690"/>
      <c r="M2304" s="896"/>
      <c r="N2304" s="2768"/>
    </row>
    <row r="2305" spans="1:16" s="32" customFormat="1" ht="16.5" hidden="1" customHeight="1" x14ac:dyDescent="0.25">
      <c r="A2305" s="1"/>
      <c r="B2305" s="441"/>
      <c r="C2305" s="2525" t="s">
        <v>4387</v>
      </c>
      <c r="D2305" s="899">
        <f>SUM(D2306:D2310)</f>
        <v>3322050000</v>
      </c>
      <c r="E2305" s="2725">
        <f>D2305/D2111*100</f>
        <v>2.7312851940573588</v>
      </c>
      <c r="F2305" s="3852"/>
      <c r="G2305" s="2679"/>
      <c r="H2305" s="2679"/>
      <c r="I2305" s="2679"/>
      <c r="J2305" s="3063"/>
      <c r="K2305" s="3143"/>
      <c r="L2305" s="2695"/>
      <c r="M2305" s="899"/>
      <c r="N2305" s="2837"/>
      <c r="P2305" s="630"/>
    </row>
    <row r="2306" spans="1:16" ht="17.25" hidden="1" customHeight="1" x14ac:dyDescent="0.25">
      <c r="B2306" s="441"/>
      <c r="C2306" s="2533" t="s">
        <v>4388</v>
      </c>
      <c r="D2306" s="2769">
        <v>460800000</v>
      </c>
      <c r="E2306" s="2804">
        <f>D2306/D2111*100</f>
        <v>0.3788552903844406</v>
      </c>
      <c r="F2306" s="4451"/>
      <c r="G2306" s="2685"/>
      <c r="H2306" s="2685"/>
      <c r="I2306" s="2685"/>
      <c r="J2306" s="898"/>
      <c r="K2306" s="898"/>
      <c r="L2306" s="896"/>
      <c r="M2306" s="898"/>
      <c r="N2306" s="2768"/>
    </row>
    <row r="2307" spans="1:16" s="196" customFormat="1" ht="18" hidden="1" customHeight="1" x14ac:dyDescent="0.25">
      <c r="A2307" s="12"/>
      <c r="B2307" s="442"/>
      <c r="C2307" s="2473" t="s">
        <v>4389</v>
      </c>
      <c r="D2307" s="896">
        <v>66300000</v>
      </c>
      <c r="E2307" s="2804">
        <f>D2307/D2111*100</f>
        <v>5.4509778108698809E-2</v>
      </c>
      <c r="F2307" s="4449"/>
      <c r="G2307" s="2685"/>
      <c r="H2307" s="2685"/>
      <c r="I2307" s="2685"/>
      <c r="J2307" s="2972"/>
      <c r="K2307" s="2972"/>
      <c r="L2307" s="2726"/>
      <c r="M2307" s="896"/>
      <c r="N2307" s="2951"/>
      <c r="P2307" s="998"/>
    </row>
    <row r="2308" spans="1:16" ht="16.5" hidden="1" customHeight="1" x14ac:dyDescent="0.25">
      <c r="B2308" s="441"/>
      <c r="C2308" s="2524" t="s">
        <v>4390</v>
      </c>
      <c r="D2308" s="896">
        <v>2157400000</v>
      </c>
      <c r="E2308" s="2804">
        <f>D2308/D2111*100</f>
        <v>1.7737465353198614</v>
      </c>
      <c r="F2308" s="4449"/>
      <c r="G2308" s="2685"/>
      <c r="H2308" s="2685"/>
      <c r="I2308" s="2685"/>
      <c r="J2308" s="2972"/>
      <c r="K2308" s="3124"/>
      <c r="L2308" s="2690"/>
      <c r="M2308" s="896"/>
      <c r="N2308" s="2768"/>
      <c r="P2308" s="650"/>
    </row>
    <row r="2309" spans="1:16" ht="17.25" hidden="1" customHeight="1" x14ac:dyDescent="0.25">
      <c r="B2309" s="441"/>
      <c r="C2309" s="2524" t="s">
        <v>4391</v>
      </c>
      <c r="D2309" s="896">
        <v>509350000</v>
      </c>
      <c r="E2309" s="2804">
        <f>D2309/D2111*100</f>
        <v>0.41877157586222835</v>
      </c>
      <c r="F2309" s="4449"/>
      <c r="G2309" s="2685"/>
      <c r="H2309" s="2685"/>
      <c r="I2309" s="2685"/>
      <c r="J2309" s="2972"/>
      <c r="K2309" s="3124"/>
      <c r="L2309" s="2690"/>
      <c r="M2309" s="896"/>
      <c r="N2309" s="2768"/>
      <c r="P2309" s="650"/>
    </row>
    <row r="2310" spans="1:16" ht="18" hidden="1" customHeight="1" x14ac:dyDescent="0.25">
      <c r="B2310" s="441"/>
      <c r="C2310" s="2524" t="s">
        <v>4392</v>
      </c>
      <c r="D2310" s="896">
        <v>128200000</v>
      </c>
      <c r="E2310" s="2685">
        <f>D2310/D2111*100</f>
        <v>0.10540201438212952</v>
      </c>
      <c r="F2310" s="4449"/>
      <c r="G2310" s="2685"/>
      <c r="H2310" s="2690"/>
      <c r="I2310" s="896"/>
      <c r="J2310" s="898"/>
      <c r="K2310" s="898"/>
      <c r="L2310" s="896"/>
      <c r="M2310" s="898"/>
      <c r="N2310" s="2768"/>
    </row>
    <row r="2311" spans="1:16" ht="11.25" hidden="1" customHeight="1" x14ac:dyDescent="0.25">
      <c r="B2311" s="441"/>
      <c r="C2311" s="2524"/>
      <c r="D2311" s="2769"/>
      <c r="E2311" s="2804"/>
      <c r="F2311" s="4451"/>
      <c r="G2311" s="2685"/>
      <c r="H2311" s="2690"/>
      <c r="I2311" s="896"/>
      <c r="J2311" s="898"/>
      <c r="K2311" s="898"/>
      <c r="L2311" s="896"/>
      <c r="M2311" s="898"/>
      <c r="N2311" s="2768"/>
    </row>
    <row r="2312" spans="1:16" ht="18" hidden="1" customHeight="1" x14ac:dyDescent="0.25">
      <c r="B2312" s="441"/>
      <c r="C2312" s="2474" t="s">
        <v>4393</v>
      </c>
      <c r="D2312" s="899">
        <f>SUM(D2313:D2316)</f>
        <v>2877488000</v>
      </c>
      <c r="E2312" s="2725">
        <f>D2312/D2111*100</f>
        <v>2.3657802773822554</v>
      </c>
      <c r="F2312" s="3852"/>
      <c r="G2312" s="3116"/>
      <c r="H2312" s="2695"/>
      <c r="I2312" s="899"/>
      <c r="J2312" s="3063"/>
      <c r="K2312" s="3063"/>
      <c r="L2312" s="2965"/>
      <c r="M2312" s="899"/>
      <c r="N2312" s="2768"/>
    </row>
    <row r="2313" spans="1:16" ht="26.25" hidden="1" customHeight="1" x14ac:dyDescent="0.25">
      <c r="B2313" s="441"/>
      <c r="C2313" s="2524" t="s">
        <v>4394</v>
      </c>
      <c r="D2313" s="896">
        <v>126000000</v>
      </c>
      <c r="E2313" s="2804">
        <f>D2313/D2111*100</f>
        <v>0.10359324346449549</v>
      </c>
      <c r="F2313" s="4449"/>
      <c r="G2313" s="2685"/>
      <c r="H2313" s="2685"/>
      <c r="I2313" s="2685"/>
      <c r="J2313" s="2972"/>
      <c r="K2313" s="3124"/>
      <c r="L2313" s="2690"/>
      <c r="M2313" s="896"/>
      <c r="N2313" s="2768"/>
    </row>
    <row r="2314" spans="1:16" ht="18" hidden="1" customHeight="1" x14ac:dyDescent="0.25">
      <c r="B2314" s="441"/>
      <c r="C2314" s="2524" t="s">
        <v>4395</v>
      </c>
      <c r="D2314" s="896">
        <v>1779200000</v>
      </c>
      <c r="E2314" s="2804">
        <f>D2314/D2111*100</f>
        <v>1.4628023712065901</v>
      </c>
      <c r="F2314" s="4449"/>
      <c r="G2314" s="2685"/>
      <c r="H2314" s="2690"/>
      <c r="I2314" s="896"/>
      <c r="J2314" s="2972"/>
      <c r="K2314" s="3124"/>
      <c r="L2314" s="2690"/>
      <c r="M2314" s="896"/>
      <c r="N2314" s="2768"/>
    </row>
    <row r="2315" spans="1:16" ht="29.25" hidden="1" customHeight="1" x14ac:dyDescent="0.25">
      <c r="B2315" s="441"/>
      <c r="C2315" s="2524" t="s">
        <v>4396</v>
      </c>
      <c r="D2315" s="2698">
        <v>820800000</v>
      </c>
      <c r="E2315" s="2804">
        <f>D2315/D2111*100</f>
        <v>0.67483598599728489</v>
      </c>
      <c r="F2315" s="4417"/>
      <c r="G2315" s="2685"/>
      <c r="H2315" s="2690"/>
      <c r="I2315" s="896"/>
      <c r="J2315" s="898"/>
      <c r="K2315" s="898"/>
      <c r="L2315" s="896"/>
      <c r="M2315" s="898"/>
      <c r="N2315" s="2768"/>
    </row>
    <row r="2316" spans="1:16" ht="16.5" hidden="1" customHeight="1" x14ac:dyDescent="0.25">
      <c r="B2316" s="441"/>
      <c r="C2316" s="2524" t="s">
        <v>4397</v>
      </c>
      <c r="D2316" s="2698">
        <v>151488000</v>
      </c>
      <c r="E2316" s="2804">
        <f>D2316/D2111*100</f>
        <v>0.12454867671388486</v>
      </c>
      <c r="F2316" s="4417"/>
      <c r="G2316" s="2685"/>
      <c r="H2316" s="2690"/>
      <c r="I2316" s="896"/>
      <c r="J2316" s="898"/>
      <c r="K2316" s="898"/>
      <c r="L2316" s="896"/>
      <c r="M2316" s="898"/>
      <c r="N2316" s="2768"/>
    </row>
    <row r="2317" spans="1:16" ht="10.5" hidden="1" customHeight="1" x14ac:dyDescent="0.25">
      <c r="B2317" s="441"/>
      <c r="C2317" s="2524"/>
      <c r="D2317" s="2698"/>
      <c r="E2317" s="2804"/>
      <c r="F2317" s="4417"/>
      <c r="G2317" s="2685"/>
      <c r="H2317" s="2690"/>
      <c r="I2317" s="896"/>
      <c r="J2317" s="898"/>
      <c r="K2317" s="898"/>
      <c r="L2317" s="896"/>
      <c r="M2317" s="898"/>
      <c r="N2317" s="2768"/>
    </row>
    <row r="2318" spans="1:16" s="32" customFormat="1" ht="17.25" hidden="1" customHeight="1" x14ac:dyDescent="0.25">
      <c r="A2318" s="1"/>
      <c r="B2318" s="441"/>
      <c r="C2318" s="2525" t="s">
        <v>4398</v>
      </c>
      <c r="D2318" s="2692">
        <f>D2319</f>
        <v>48650000</v>
      </c>
      <c r="E2318" s="2725">
        <f>D2318/D2111*100</f>
        <v>3.9998502337680202E-2</v>
      </c>
      <c r="F2318" s="3832"/>
      <c r="G2318" s="2679"/>
      <c r="H2318" s="2695"/>
      <c r="I2318" s="899"/>
      <c r="J2318" s="899"/>
      <c r="K2318" s="899"/>
      <c r="L2318" s="899"/>
      <c r="M2318" s="899"/>
      <c r="N2318" s="2837"/>
      <c r="P2318" s="630"/>
    </row>
    <row r="2319" spans="1:16" s="196" customFormat="1" ht="18" hidden="1" customHeight="1" x14ac:dyDescent="0.25">
      <c r="A2319" s="12"/>
      <c r="B2319" s="442"/>
      <c r="C2319" s="2524" t="s">
        <v>4399</v>
      </c>
      <c r="D2319" s="2698">
        <v>48650000</v>
      </c>
      <c r="E2319" s="2804">
        <f>D2319/D2111*100</f>
        <v>3.9998502337680202E-2</v>
      </c>
      <c r="F2319" s="4417"/>
      <c r="G2319" s="2685"/>
      <c r="H2319" s="2690"/>
      <c r="I2319" s="896"/>
      <c r="J2319" s="896"/>
      <c r="K2319" s="896"/>
      <c r="L2319" s="896"/>
      <c r="M2319" s="896"/>
      <c r="N2319" s="2951"/>
      <c r="P2319" s="631"/>
    </row>
    <row r="2320" spans="1:16" ht="12" hidden="1" customHeight="1" x14ac:dyDescent="0.25">
      <c r="B2320" s="441"/>
      <c r="C2320" s="2559"/>
      <c r="D2320" s="2724"/>
      <c r="E2320" s="2830"/>
      <c r="F2320" s="4420"/>
      <c r="G2320" s="2830"/>
      <c r="H2320" s="2752"/>
      <c r="I2320" s="2769"/>
      <c r="J2320" s="2755"/>
      <c r="K2320" s="2755"/>
      <c r="L2320" s="2769"/>
      <c r="M2320" s="2755"/>
      <c r="N2320" s="2768"/>
    </row>
    <row r="2321" spans="1:16" ht="18" hidden="1" customHeight="1" x14ac:dyDescent="0.25">
      <c r="B2321" s="440"/>
      <c r="C2321" s="2497" t="s">
        <v>7608</v>
      </c>
      <c r="D2321" s="2669">
        <f>D2322+D2325+D2333</f>
        <v>938765375</v>
      </c>
      <c r="E2321" s="2719">
        <f>D2321/D2111*100</f>
        <v>0.77182341308264601</v>
      </c>
      <c r="F2321" s="3835"/>
      <c r="G2321" s="2719"/>
      <c r="H2321" s="2672"/>
      <c r="I2321" s="2719"/>
      <c r="J2321" s="2720"/>
      <c r="K2321" s="2720"/>
      <c r="L2321" s="2719"/>
      <c r="M2321" s="2744"/>
      <c r="N2321" s="2768"/>
    </row>
    <row r="2322" spans="1:16" ht="19.5" hidden="1" customHeight="1" x14ac:dyDescent="0.25">
      <c r="B2322" s="441"/>
      <c r="C2322" s="2482" t="s">
        <v>4400</v>
      </c>
      <c r="D2322" s="2721">
        <f>D2323</f>
        <v>117464000</v>
      </c>
      <c r="E2322" s="2722">
        <f>D2322/D2111*100</f>
        <v>9.657521230407537E-2</v>
      </c>
      <c r="F2322" s="3839"/>
      <c r="G2322" s="2722"/>
      <c r="H2322" s="2722"/>
      <c r="I2322" s="2722"/>
      <c r="J2322" s="2723"/>
      <c r="K2322" s="2723"/>
      <c r="L2322" s="2965"/>
      <c r="M2322" s="2759"/>
      <c r="N2322" s="2768"/>
    </row>
    <row r="2323" spans="1:16" ht="18.75" hidden="1" customHeight="1" x14ac:dyDescent="0.25">
      <c r="B2323" s="441"/>
      <c r="C2323" s="2494" t="s">
        <v>4401</v>
      </c>
      <c r="D2323" s="896">
        <v>117464000</v>
      </c>
      <c r="E2323" s="2685">
        <f>D2323/D2111*100</f>
        <v>9.657521230407537E-2</v>
      </c>
      <c r="F2323" s="4449"/>
      <c r="G2323" s="2685"/>
      <c r="H2323" s="2685"/>
      <c r="I2323" s="2685"/>
      <c r="J2323" s="2972"/>
      <c r="K2323" s="3124"/>
      <c r="L2323" s="2690"/>
      <c r="M2323" s="896"/>
      <c r="N2323" s="2768"/>
    </row>
    <row r="2324" spans="1:16" ht="12" hidden="1" customHeight="1" x14ac:dyDescent="0.25">
      <c r="B2324" s="441"/>
      <c r="C2324" s="2494"/>
      <c r="D2324" s="896"/>
      <c r="E2324" s="2685"/>
      <c r="F2324" s="4449"/>
      <c r="G2324" s="2685"/>
      <c r="H2324" s="2685"/>
      <c r="I2324" s="2685"/>
      <c r="J2324" s="2972"/>
      <c r="K2324" s="3124"/>
      <c r="L2324" s="2690"/>
      <c r="M2324" s="896"/>
      <c r="N2324" s="2768"/>
    </row>
    <row r="2325" spans="1:16" s="32" customFormat="1" ht="15.75" hidden="1" customHeight="1" x14ac:dyDescent="0.25">
      <c r="A2325" s="1"/>
      <c r="B2325" s="441"/>
      <c r="C2325" s="2491" t="s">
        <v>4402</v>
      </c>
      <c r="D2325" s="2692">
        <f>SUM(D2326:D2331)</f>
        <v>515214188</v>
      </c>
      <c r="E2325" s="2679">
        <f>D2325/D2111*100</f>
        <v>0.42359292709401863</v>
      </c>
      <c r="F2325" s="3834"/>
      <c r="G2325" s="2679"/>
      <c r="H2325" s="2695"/>
      <c r="I2325" s="899"/>
      <c r="J2325" s="2692"/>
      <c r="K2325" s="899"/>
      <c r="L2325" s="899"/>
      <c r="M2325" s="899"/>
      <c r="N2325" s="2837"/>
      <c r="P2325" s="630"/>
    </row>
    <row r="2326" spans="1:16" s="196" customFormat="1" ht="16.5" hidden="1" customHeight="1" x14ac:dyDescent="0.25">
      <c r="A2326" s="12"/>
      <c r="B2326" s="442"/>
      <c r="C2326" s="2494" t="s">
        <v>4403</v>
      </c>
      <c r="D2326" s="2698">
        <v>168060200</v>
      </c>
      <c r="E2326" s="2685">
        <f>D2326/D2111*100</f>
        <v>0.13817381916898255</v>
      </c>
      <c r="F2326" s="4384"/>
      <c r="G2326" s="2685"/>
      <c r="H2326" s="2690"/>
      <c r="I2326" s="2830"/>
      <c r="J2326" s="2700"/>
      <c r="K2326" s="2700"/>
      <c r="L2326" s="2726"/>
      <c r="M2326" s="896"/>
      <c r="N2326" s="2951"/>
      <c r="P2326" s="631"/>
    </row>
    <row r="2327" spans="1:16" ht="16.5" hidden="1" customHeight="1" x14ac:dyDescent="0.25">
      <c r="B2327" s="441"/>
      <c r="C2327" s="2473" t="s">
        <v>4404</v>
      </c>
      <c r="D2327" s="896">
        <v>75000000</v>
      </c>
      <c r="E2327" s="2685">
        <f>D2327/D2111*100</f>
        <v>6.1662644919342549E-2</v>
      </c>
      <c r="F2327" s="4449"/>
      <c r="G2327" s="2685"/>
      <c r="H2327" s="2690"/>
      <c r="I2327" s="2685"/>
      <c r="J2327" s="2972"/>
      <c r="K2327" s="3124"/>
      <c r="L2327" s="2690"/>
      <c r="M2327" s="896"/>
      <c r="N2327" s="2768"/>
    </row>
    <row r="2328" spans="1:16" ht="16.5" hidden="1" customHeight="1" x14ac:dyDescent="0.25">
      <c r="B2328" s="441"/>
      <c r="C2328" s="2506" t="s">
        <v>4405</v>
      </c>
      <c r="D2328" s="2724">
        <v>31306000</v>
      </c>
      <c r="E2328" s="2685">
        <f>D2328/D2111*100</f>
        <v>2.5738810157932501E-2</v>
      </c>
      <c r="F2328" s="3839"/>
      <c r="G2328" s="2937"/>
      <c r="H2328" s="2752"/>
      <c r="I2328" s="2769"/>
      <c r="J2328" s="911"/>
      <c r="K2328" s="898"/>
      <c r="L2328" s="2709"/>
      <c r="M2328" s="911"/>
      <c r="N2328" s="2768"/>
    </row>
    <row r="2329" spans="1:16" s="196" customFormat="1" ht="15" hidden="1" customHeight="1" x14ac:dyDescent="0.25">
      <c r="A2329" s="12"/>
      <c r="B2329" s="442"/>
      <c r="C2329" s="2524" t="s">
        <v>4406</v>
      </c>
      <c r="D2329" s="2853">
        <v>60000988</v>
      </c>
      <c r="E2329" s="2685">
        <f>D2329/D2111*100</f>
        <v>4.933092823804977E-2</v>
      </c>
      <c r="F2329" s="4468"/>
      <c r="G2329" s="2685"/>
      <c r="H2329" s="2685"/>
      <c r="I2329" s="2685"/>
      <c r="J2329" s="3144"/>
      <c r="K2329" s="3144"/>
      <c r="L2329" s="2726"/>
      <c r="M2329" s="896"/>
      <c r="N2329" s="2951"/>
      <c r="P2329" s="631"/>
    </row>
    <row r="2330" spans="1:16" ht="18.75" hidden="1" customHeight="1" x14ac:dyDescent="0.25">
      <c r="B2330" s="441"/>
      <c r="C2330" s="2524" t="s">
        <v>4407</v>
      </c>
      <c r="D2330" s="896">
        <v>75577000</v>
      </c>
      <c r="E2330" s="2685">
        <f>D2330/D2111*100</f>
        <v>6.2137036200922022E-2</v>
      </c>
      <c r="F2330" s="4449"/>
      <c r="G2330" s="2685"/>
      <c r="H2330" s="2685"/>
      <c r="I2330" s="2685"/>
      <c r="J2330" s="2972"/>
      <c r="K2330" s="3124"/>
      <c r="L2330" s="2690"/>
      <c r="M2330" s="896"/>
      <c r="N2330" s="2768"/>
    </row>
    <row r="2331" spans="1:16" ht="18.75" hidden="1" customHeight="1" x14ac:dyDescent="0.25">
      <c r="B2331" s="441"/>
      <c r="C2331" s="2524" t="s">
        <v>4408</v>
      </c>
      <c r="D2331" s="2698">
        <v>105270000</v>
      </c>
      <c r="E2331" s="2685">
        <f>D2331/D2111*100</f>
        <v>8.6549688408789197E-2</v>
      </c>
      <c r="F2331" s="3834"/>
      <c r="G2331" s="3145"/>
      <c r="H2331" s="3145"/>
      <c r="I2331" s="3145"/>
      <c r="J2331" s="898"/>
      <c r="K2331" s="898"/>
      <c r="L2331" s="896"/>
      <c r="M2331" s="898"/>
      <c r="N2331" s="2768"/>
    </row>
    <row r="2332" spans="1:16" ht="13.5" hidden="1" customHeight="1" x14ac:dyDescent="0.25">
      <c r="B2332" s="441"/>
      <c r="C2332" s="2527"/>
      <c r="D2332" s="2805"/>
      <c r="E2332" s="2685"/>
      <c r="F2332" s="3834"/>
      <c r="G2332" s="3145"/>
      <c r="H2332" s="3145"/>
      <c r="I2332" s="3145"/>
      <c r="J2332" s="898"/>
      <c r="K2332" s="898"/>
      <c r="L2332" s="896"/>
      <c r="M2332" s="898"/>
      <c r="N2332" s="2768"/>
    </row>
    <row r="2333" spans="1:16" ht="18" hidden="1" customHeight="1" x14ac:dyDescent="0.25">
      <c r="B2333" s="441"/>
      <c r="C2333" s="2474" t="s">
        <v>4409</v>
      </c>
      <c r="D2333" s="2692">
        <f>SUM(D2334:D2337)</f>
        <v>306087187</v>
      </c>
      <c r="E2333" s="2679">
        <f>D2333/D2111*100</f>
        <v>0.25165527368455204</v>
      </c>
      <c r="F2333" s="3834"/>
      <c r="G2333" s="2679"/>
      <c r="H2333" s="2679"/>
      <c r="I2333" s="2679"/>
      <c r="J2333" s="2694"/>
      <c r="K2333" s="2694"/>
      <c r="L2333" s="2965"/>
      <c r="M2333" s="899"/>
      <c r="N2333" s="2768"/>
    </row>
    <row r="2334" spans="1:16" ht="17.25" hidden="1" customHeight="1" x14ac:dyDescent="0.25">
      <c r="B2334" s="441"/>
      <c r="C2334" s="2524" t="s">
        <v>4410</v>
      </c>
      <c r="D2334" s="896">
        <v>63326187</v>
      </c>
      <c r="E2334" s="2685">
        <f>D2334/D2111*100</f>
        <v>5.2064802441025147E-2</v>
      </c>
      <c r="F2334" s="4449"/>
      <c r="G2334" s="2685"/>
      <c r="H2334" s="2685"/>
      <c r="I2334" s="2685"/>
      <c r="J2334" s="3124"/>
      <c r="K2334" s="3124"/>
      <c r="L2334" s="2690"/>
      <c r="M2334" s="896"/>
      <c r="N2334" s="2768"/>
    </row>
    <row r="2335" spans="1:16" ht="16.5" hidden="1" customHeight="1" x14ac:dyDescent="0.25">
      <c r="B2335" s="441"/>
      <c r="C2335" s="2560" t="s">
        <v>4411</v>
      </c>
      <c r="D2335" s="2698">
        <v>76500000</v>
      </c>
      <c r="E2335" s="2685">
        <f>D2335/D2111*100</f>
        <v>6.289589781772939E-2</v>
      </c>
      <c r="F2335" s="4384"/>
      <c r="G2335" s="2685"/>
      <c r="H2335" s="2685"/>
      <c r="I2335" s="2685"/>
      <c r="J2335" s="3124"/>
      <c r="K2335" s="2700"/>
      <c r="L2335" s="2685"/>
      <c r="M2335" s="2685"/>
      <c r="N2335" s="2768"/>
    </row>
    <row r="2336" spans="1:16" ht="17.25" hidden="1" customHeight="1" x14ac:dyDescent="0.25">
      <c r="B2336" s="441"/>
      <c r="C2336" s="2506" t="s">
        <v>4412</v>
      </c>
      <c r="D2336" s="2724">
        <v>73530000</v>
      </c>
      <c r="E2336" s="2685">
        <f>D2336/D2111*100</f>
        <v>6.0454057078923436E-2</v>
      </c>
      <c r="F2336" s="4420"/>
      <c r="G2336" s="2830"/>
      <c r="H2336" s="2752"/>
      <c r="I2336" s="2769"/>
      <c r="J2336" s="2755"/>
      <c r="K2336" s="902"/>
      <c r="L2336" s="902"/>
      <c r="M2336" s="902"/>
      <c r="N2336" s="2768"/>
    </row>
    <row r="2337" spans="1:16" ht="19.5" hidden="1" customHeight="1" x14ac:dyDescent="0.25">
      <c r="B2337" s="441"/>
      <c r="C2337" s="2495" t="s">
        <v>4413</v>
      </c>
      <c r="D2337" s="2706">
        <v>92731000</v>
      </c>
      <c r="E2337" s="2685">
        <f>D2337/D2111*100</f>
        <v>7.6240516346874052E-2</v>
      </c>
      <c r="F2337" s="4418"/>
      <c r="G2337" s="2708"/>
      <c r="H2337" s="2710"/>
      <c r="I2337" s="2709"/>
      <c r="J2337" s="911"/>
      <c r="K2337" s="898"/>
      <c r="L2337" s="898"/>
      <c r="M2337" s="898"/>
      <c r="N2337" s="2768"/>
    </row>
    <row r="2338" spans="1:16" ht="12" hidden="1" customHeight="1" x14ac:dyDescent="0.25">
      <c r="B2338" s="441"/>
      <c r="C2338" s="2510"/>
      <c r="D2338" s="2838"/>
      <c r="E2338" s="2911"/>
      <c r="F2338" s="4469"/>
      <c r="G2338" s="2911"/>
      <c r="H2338" s="3054"/>
      <c r="I2338" s="2894"/>
      <c r="J2338" s="3006"/>
      <c r="K2338" s="2755"/>
      <c r="L2338" s="2755"/>
      <c r="M2338" s="2755"/>
      <c r="N2338" s="2768"/>
    </row>
    <row r="2339" spans="1:16" ht="16.5" hidden="1" customHeight="1" x14ac:dyDescent="0.25">
      <c r="B2339" s="440"/>
      <c r="C2339" s="2497" t="s">
        <v>7609</v>
      </c>
      <c r="D2339" s="2669">
        <f>D2340+D2343+D2347+D2351</f>
        <v>2229694500</v>
      </c>
      <c r="E2339" s="2719">
        <f>D2339/D2111*100</f>
        <v>1.8331848030948137</v>
      </c>
      <c r="F2339" s="3835"/>
      <c r="G2339" s="2719"/>
      <c r="H2339" s="2719"/>
      <c r="I2339" s="2719"/>
      <c r="J2339" s="2720"/>
      <c r="K2339" s="2720"/>
      <c r="L2339" s="2719"/>
      <c r="M2339" s="2719"/>
      <c r="N2339" s="2768"/>
    </row>
    <row r="2340" spans="1:16" ht="16.5" hidden="1" customHeight="1" x14ac:dyDescent="0.25">
      <c r="B2340" s="441"/>
      <c r="C2340" s="2555" t="s">
        <v>4414</v>
      </c>
      <c r="D2340" s="2721">
        <f>SUM(D2341:D2341)</f>
        <v>203203000</v>
      </c>
      <c r="E2340" s="2722">
        <f>D2340/D2111*100</f>
        <v>0.16706712580726885</v>
      </c>
      <c r="F2340" s="3839"/>
      <c r="G2340" s="2722"/>
      <c r="H2340" s="2722"/>
      <c r="I2340" s="2722"/>
      <c r="J2340" s="2723"/>
      <c r="K2340" s="2723"/>
      <c r="L2340" s="2965"/>
      <c r="M2340" s="2722"/>
      <c r="N2340" s="2768"/>
    </row>
    <row r="2341" spans="1:16" ht="16.5" hidden="1" customHeight="1" x14ac:dyDescent="0.25">
      <c r="B2341" s="441"/>
      <c r="C2341" s="2524" t="s">
        <v>4415</v>
      </c>
      <c r="D2341" s="896">
        <v>203203000</v>
      </c>
      <c r="E2341" s="2685">
        <f>D2341/D2111*100</f>
        <v>0.16706712580726885</v>
      </c>
      <c r="F2341" s="4449"/>
      <c r="G2341" s="2685"/>
      <c r="H2341" s="2685"/>
      <c r="I2341" s="2685"/>
      <c r="J2341" s="2972"/>
      <c r="K2341" s="3124"/>
      <c r="L2341" s="2690"/>
      <c r="M2341" s="2685"/>
      <c r="N2341" s="2768"/>
    </row>
    <row r="2342" spans="1:16" ht="10.5" hidden="1" customHeight="1" x14ac:dyDescent="0.25">
      <c r="B2342" s="441"/>
      <c r="C2342" s="2524"/>
      <c r="D2342" s="896"/>
      <c r="E2342" s="2685"/>
      <c r="F2342" s="4449"/>
      <c r="G2342" s="2685"/>
      <c r="H2342" s="2685"/>
      <c r="I2342" s="2685"/>
      <c r="J2342" s="2972"/>
      <c r="K2342" s="3124"/>
      <c r="L2342" s="2690"/>
      <c r="M2342" s="2685"/>
      <c r="N2342" s="2768"/>
    </row>
    <row r="2343" spans="1:16" s="32" customFormat="1" ht="17.25" hidden="1" customHeight="1" x14ac:dyDescent="0.25">
      <c r="A2343" s="1"/>
      <c r="B2343" s="441"/>
      <c r="C2343" s="2525" t="s">
        <v>4416</v>
      </c>
      <c r="D2343" s="2812">
        <f>SUM(D2344:D2345)</f>
        <v>182017000</v>
      </c>
      <c r="E2343" s="2679">
        <f>D2343/D2111*100</f>
        <v>0.14964866187045298</v>
      </c>
      <c r="F2343" s="3846"/>
      <c r="G2343" s="2679"/>
      <c r="H2343" s="2679"/>
      <c r="I2343" s="2679"/>
      <c r="J2343" s="3125"/>
      <c r="K2343" s="899"/>
      <c r="L2343" s="899"/>
      <c r="M2343" s="899"/>
      <c r="N2343" s="2837"/>
      <c r="P2343" s="630"/>
    </row>
    <row r="2344" spans="1:16" s="196" customFormat="1" ht="15" hidden="1" customHeight="1" x14ac:dyDescent="0.25">
      <c r="A2344" s="12"/>
      <c r="B2344" s="442"/>
      <c r="C2344" s="2473" t="s">
        <v>4417</v>
      </c>
      <c r="D2344" s="2853">
        <v>141317000</v>
      </c>
      <c r="E2344" s="2685">
        <f>D2344/D2111*100</f>
        <v>0.11618639989422308</v>
      </c>
      <c r="F2344" s="4425"/>
      <c r="G2344" s="2685"/>
      <c r="H2344" s="2685"/>
      <c r="I2344" s="2685"/>
      <c r="J2344" s="3144"/>
      <c r="K2344" s="2700"/>
      <c r="L2344" s="2685"/>
      <c r="M2344" s="2685"/>
      <c r="N2344" s="2951"/>
      <c r="P2344" s="631"/>
    </row>
    <row r="2345" spans="1:16" ht="30.75" hidden="1" customHeight="1" x14ac:dyDescent="0.25">
      <c r="B2345" s="441"/>
      <c r="C2345" s="2524" t="s">
        <v>4418</v>
      </c>
      <c r="D2345" s="2853">
        <v>40700000</v>
      </c>
      <c r="E2345" s="2685">
        <f>D2345/D2111*100</f>
        <v>3.3462261976229889E-2</v>
      </c>
      <c r="F2345" s="4425"/>
      <c r="G2345" s="2685"/>
      <c r="H2345" s="2685"/>
      <c r="I2345" s="2685"/>
      <c r="J2345" s="3144"/>
      <c r="K2345" s="2700"/>
      <c r="L2345" s="2685"/>
      <c r="M2345" s="2685"/>
      <c r="N2345" s="2768"/>
    </row>
    <row r="2346" spans="1:16" ht="9" hidden="1" customHeight="1" x14ac:dyDescent="0.25">
      <c r="B2346" s="441"/>
      <c r="C2346" s="2524"/>
      <c r="D2346" s="2853"/>
      <c r="E2346" s="2685"/>
      <c r="F2346" s="4425"/>
      <c r="G2346" s="2685"/>
      <c r="H2346" s="2685"/>
      <c r="I2346" s="2685"/>
      <c r="J2346" s="3144"/>
      <c r="K2346" s="2700"/>
      <c r="L2346" s="2685"/>
      <c r="M2346" s="2685"/>
      <c r="N2346" s="2768"/>
    </row>
    <row r="2347" spans="1:16" s="32" customFormat="1" ht="18" hidden="1" customHeight="1" x14ac:dyDescent="0.25">
      <c r="A2347" s="1"/>
      <c r="B2347" s="441"/>
      <c r="C2347" s="2525" t="s">
        <v>4419</v>
      </c>
      <c r="D2347" s="2812">
        <f>SUM(D2348:D2349)</f>
        <v>994474500</v>
      </c>
      <c r="E2347" s="2679">
        <f>D2347/D2111*100</f>
        <v>0.81762570633120957</v>
      </c>
      <c r="F2347" s="3846"/>
      <c r="G2347" s="2679"/>
      <c r="H2347" s="2679"/>
      <c r="I2347" s="2679"/>
      <c r="J2347" s="3125"/>
      <c r="K2347" s="2694"/>
      <c r="L2347" s="2679"/>
      <c r="M2347" s="2679"/>
      <c r="N2347" s="2837"/>
      <c r="P2347" s="630"/>
    </row>
    <row r="2348" spans="1:16" ht="18.75" hidden="1" customHeight="1" x14ac:dyDescent="0.25">
      <c r="B2348" s="441"/>
      <c r="C2348" s="2524" t="s">
        <v>4420</v>
      </c>
      <c r="D2348" s="2853">
        <v>961700000</v>
      </c>
      <c r="E2348" s="2685">
        <f>D2348/D2111*100</f>
        <v>0.79067954158575626</v>
      </c>
      <c r="F2348" s="4425"/>
      <c r="G2348" s="2685"/>
      <c r="H2348" s="2685"/>
      <c r="I2348" s="2685"/>
      <c r="J2348" s="3144"/>
      <c r="K2348" s="2700"/>
      <c r="L2348" s="2685"/>
      <c r="M2348" s="2685"/>
      <c r="N2348" s="2768"/>
    </row>
    <row r="2349" spans="1:16" ht="18" hidden="1" customHeight="1" x14ac:dyDescent="0.25">
      <c r="B2349" s="441"/>
      <c r="C2349" s="2524" t="s">
        <v>4421</v>
      </c>
      <c r="D2349" s="2853">
        <v>32774500</v>
      </c>
      <c r="E2349" s="2685">
        <f>D2349/D2111*100</f>
        <v>2.6946164745453229E-2</v>
      </c>
      <c r="F2349" s="4425"/>
      <c r="G2349" s="2685"/>
      <c r="H2349" s="2685"/>
      <c r="I2349" s="2685"/>
      <c r="J2349" s="3144"/>
      <c r="K2349" s="2700"/>
      <c r="L2349" s="2685"/>
      <c r="M2349" s="2685"/>
      <c r="N2349" s="2768"/>
    </row>
    <row r="2350" spans="1:16" ht="6.75" hidden="1" customHeight="1" x14ac:dyDescent="0.25">
      <c r="B2350" s="441"/>
      <c r="C2350" s="2533"/>
      <c r="D2350" s="2682"/>
      <c r="E2350" s="2685"/>
      <c r="F2350" s="4432"/>
      <c r="G2350" s="2830"/>
      <c r="H2350" s="2830"/>
      <c r="I2350" s="2830"/>
      <c r="J2350" s="3146"/>
      <c r="K2350" s="2834"/>
      <c r="L2350" s="2830"/>
      <c r="M2350" s="2830"/>
      <c r="N2350" s="2768"/>
    </row>
    <row r="2351" spans="1:16" s="32" customFormat="1" ht="19.5" hidden="1" customHeight="1" x14ac:dyDescent="0.25">
      <c r="A2351" s="1"/>
      <c r="B2351" s="441"/>
      <c r="C2351" s="2534" t="s">
        <v>4422</v>
      </c>
      <c r="D2351" s="2812">
        <f>D2352</f>
        <v>850000000</v>
      </c>
      <c r="E2351" s="2679">
        <f>D2351/D2111*100</f>
        <v>0.69884330908588221</v>
      </c>
      <c r="F2351" s="3846"/>
      <c r="G2351" s="2679"/>
      <c r="H2351" s="2679"/>
      <c r="I2351" s="2679"/>
      <c r="J2351" s="3125"/>
      <c r="K2351" s="2694"/>
      <c r="L2351" s="2679"/>
      <c r="M2351" s="2679"/>
      <c r="N2351" s="2837"/>
      <c r="P2351" s="630"/>
    </row>
    <row r="2352" spans="1:16" ht="16.5" hidden="1" customHeight="1" x14ac:dyDescent="0.25">
      <c r="B2352" s="441"/>
      <c r="C2352" s="2524" t="s">
        <v>4423</v>
      </c>
      <c r="D2352" s="2853">
        <v>850000000</v>
      </c>
      <c r="E2352" s="2685">
        <f>D2352/D2111*100</f>
        <v>0.69884330908588221</v>
      </c>
      <c r="F2352" s="4417"/>
      <c r="G2352" s="2685"/>
      <c r="H2352" s="2685"/>
      <c r="I2352" s="2685"/>
      <c r="J2352" s="2698"/>
      <c r="K2352" s="898"/>
      <c r="L2352" s="898"/>
      <c r="M2352" s="898"/>
      <c r="N2352" s="2768"/>
    </row>
    <row r="2353" spans="2:14" ht="12" hidden="1" customHeight="1" x14ac:dyDescent="0.25">
      <c r="B2353" s="441"/>
      <c r="C2353" s="2533"/>
      <c r="D2353" s="2709"/>
      <c r="E2353" s="2708"/>
      <c r="F2353" s="4454"/>
      <c r="G2353" s="2708"/>
      <c r="H2353" s="2708"/>
      <c r="I2353" s="2708"/>
      <c r="J2353" s="3147"/>
      <c r="K2353" s="3147"/>
      <c r="L2353" s="2710"/>
      <c r="M2353" s="2709"/>
      <c r="N2353" s="2756"/>
    </row>
    <row r="2354" spans="2:14" ht="17.25" hidden="1" customHeight="1" x14ac:dyDescent="0.25">
      <c r="B2354" s="440"/>
      <c r="C2354" s="2532" t="s">
        <v>7610</v>
      </c>
      <c r="D2354" s="2744">
        <f>SUM(D2355+D2361+D2366+D2369)</f>
        <v>3670916000</v>
      </c>
      <c r="E2354" s="2719">
        <f>D2354/D2111*100</f>
        <v>3.0181118644897769</v>
      </c>
      <c r="F2354" s="4470"/>
      <c r="G2354" s="2741"/>
      <c r="H2354" s="2741"/>
      <c r="I2354" s="2741"/>
      <c r="J2354" s="3148"/>
      <c r="K2354" s="3148"/>
      <c r="L2354" s="2746"/>
      <c r="M2354" s="3149"/>
      <c r="N2354" s="2750"/>
    </row>
    <row r="2355" spans="2:14" ht="21" hidden="1" customHeight="1" x14ac:dyDescent="0.25">
      <c r="B2355" s="441"/>
      <c r="C2355" s="2538" t="s">
        <v>4424</v>
      </c>
      <c r="D2355" s="2759">
        <f>SUM(D2356:D2359)</f>
        <v>996616000</v>
      </c>
      <c r="E2355" s="2722">
        <f>D2355/D2111*100</f>
        <v>0.81938638038580658</v>
      </c>
      <c r="F2355" s="4450"/>
      <c r="G2355" s="2804"/>
      <c r="H2355" s="2804"/>
      <c r="I2355" s="2804"/>
      <c r="J2355" s="3150"/>
      <c r="K2355" s="3150"/>
      <c r="L2355" s="2760"/>
      <c r="M2355" s="940"/>
      <c r="N2355" s="2877"/>
    </row>
    <row r="2356" spans="2:14" ht="14.25" hidden="1" customHeight="1" x14ac:dyDescent="0.25">
      <c r="B2356" s="441"/>
      <c r="C2356" s="2529" t="s">
        <v>4425</v>
      </c>
      <c r="D2356" s="940">
        <v>0</v>
      </c>
      <c r="E2356" s="2685">
        <f>D2356/D2111*100</f>
        <v>0</v>
      </c>
      <c r="F2356" s="4450"/>
      <c r="G2356" s="2804"/>
      <c r="H2356" s="2804"/>
      <c r="I2356" s="2804"/>
      <c r="J2356" s="3150"/>
      <c r="K2356" s="3150"/>
      <c r="L2356" s="2760"/>
      <c r="M2356" s="940"/>
      <c r="N2356" s="2877"/>
    </row>
    <row r="2357" spans="2:14" ht="15.75" hidden="1" customHeight="1" x14ac:dyDescent="0.25">
      <c r="B2357" s="441"/>
      <c r="C2357" s="2529" t="s">
        <v>4426</v>
      </c>
      <c r="D2357" s="940">
        <v>394281000</v>
      </c>
      <c r="E2357" s="2685">
        <f>D2357/D2111*100</f>
        <v>0.32416545735257735</v>
      </c>
      <c r="F2357" s="4450"/>
      <c r="G2357" s="2804"/>
      <c r="H2357" s="2804"/>
      <c r="I2357" s="2804"/>
      <c r="J2357" s="3150"/>
      <c r="K2357" s="3150"/>
      <c r="L2357" s="2760"/>
      <c r="M2357" s="940"/>
      <c r="N2357" s="2877"/>
    </row>
    <row r="2358" spans="2:14" ht="16.5" hidden="1" customHeight="1" x14ac:dyDescent="0.25">
      <c r="B2358" s="441"/>
      <c r="C2358" s="2529" t="s">
        <v>4427</v>
      </c>
      <c r="D2358" s="940">
        <v>399830000</v>
      </c>
      <c r="E2358" s="2685">
        <f>D2358/D2111*100</f>
        <v>0.32872767090800975</v>
      </c>
      <c r="F2358" s="4450"/>
      <c r="G2358" s="2804"/>
      <c r="H2358" s="2804"/>
      <c r="I2358" s="2804"/>
      <c r="J2358" s="3150"/>
      <c r="K2358" s="3150"/>
      <c r="L2358" s="2760"/>
      <c r="M2358" s="940"/>
      <c r="N2358" s="2877"/>
    </row>
    <row r="2359" spans="2:14" ht="15" hidden="1" customHeight="1" x14ac:dyDescent="0.25">
      <c r="B2359" s="441"/>
      <c r="C2359" s="2529" t="s">
        <v>4428</v>
      </c>
      <c r="D2359" s="940">
        <v>202505000</v>
      </c>
      <c r="E2359" s="2685">
        <f>D2359/D2111*100</f>
        <v>0.16649325212521951</v>
      </c>
      <c r="F2359" s="4450"/>
      <c r="G2359" s="2804"/>
      <c r="H2359" s="2804"/>
      <c r="I2359" s="2804"/>
      <c r="J2359" s="3150"/>
      <c r="K2359" s="3150"/>
      <c r="L2359" s="2760"/>
      <c r="M2359" s="940"/>
      <c r="N2359" s="2877"/>
    </row>
    <row r="2360" spans="2:14" ht="11.25" hidden="1" customHeight="1" x14ac:dyDescent="0.25">
      <c r="B2360" s="441"/>
      <c r="C2360" s="2529"/>
      <c r="D2360" s="940"/>
      <c r="E2360" s="2830"/>
      <c r="F2360" s="4450"/>
      <c r="G2360" s="2804"/>
      <c r="H2360" s="2804"/>
      <c r="I2360" s="2804"/>
      <c r="J2360" s="3150"/>
      <c r="K2360" s="3150"/>
      <c r="L2360" s="2760"/>
      <c r="M2360" s="940"/>
      <c r="N2360" s="2877"/>
    </row>
    <row r="2361" spans="2:14" ht="17.25" hidden="1" customHeight="1" x14ac:dyDescent="0.25">
      <c r="B2361" s="441"/>
      <c r="C2361" s="2538" t="s">
        <v>4429</v>
      </c>
      <c r="D2361" s="2759">
        <f>SUM(D2362:D2364)</f>
        <v>2253800000</v>
      </c>
      <c r="E2361" s="2722">
        <f>D2361/D2111*100</f>
        <v>1.8530035882561899</v>
      </c>
      <c r="F2361" s="4450"/>
      <c r="G2361" s="2804"/>
      <c r="H2361" s="2804"/>
      <c r="I2361" s="2804"/>
      <c r="J2361" s="3150"/>
      <c r="K2361" s="3150"/>
      <c r="L2361" s="2760"/>
      <c r="M2361" s="940"/>
      <c r="N2361" s="2877"/>
    </row>
    <row r="2362" spans="2:14" ht="16.5" hidden="1" customHeight="1" x14ac:dyDescent="0.25">
      <c r="B2362" s="441"/>
      <c r="C2362" s="2529" t="s">
        <v>4430</v>
      </c>
      <c r="D2362" s="940">
        <v>985400000</v>
      </c>
      <c r="E2362" s="2685">
        <f>D2362/D2111*100</f>
        <v>0.81016493738026862</v>
      </c>
      <c r="F2362" s="4450"/>
      <c r="G2362" s="2804"/>
      <c r="H2362" s="2804"/>
      <c r="I2362" s="2804"/>
      <c r="J2362" s="3150"/>
      <c r="K2362" s="3150"/>
      <c r="L2362" s="2760"/>
      <c r="M2362" s="940"/>
      <c r="N2362" s="2877"/>
    </row>
    <row r="2363" spans="2:14" ht="18" hidden="1" customHeight="1" x14ac:dyDescent="0.25">
      <c r="B2363" s="441"/>
      <c r="C2363" s="2529" t="s">
        <v>4431</v>
      </c>
      <c r="D2363" s="940">
        <v>994400000</v>
      </c>
      <c r="E2363" s="2685">
        <f>D2363/D2111*100</f>
        <v>0.8175644547705897</v>
      </c>
      <c r="F2363" s="4450"/>
      <c r="G2363" s="2804"/>
      <c r="H2363" s="2804"/>
      <c r="I2363" s="2804"/>
      <c r="J2363" s="3150"/>
      <c r="K2363" s="3150"/>
      <c r="L2363" s="2760"/>
      <c r="M2363" s="940"/>
      <c r="N2363" s="2877"/>
    </row>
    <row r="2364" spans="2:14" ht="20.25" hidden="1" customHeight="1" x14ac:dyDescent="0.25">
      <c r="B2364" s="441"/>
      <c r="C2364" s="2529" t="s">
        <v>4432</v>
      </c>
      <c r="D2364" s="940">
        <v>274000000</v>
      </c>
      <c r="E2364" s="2685">
        <f>D2364/D2111*100</f>
        <v>0.22527419610533145</v>
      </c>
      <c r="F2364" s="4450"/>
      <c r="G2364" s="2804"/>
      <c r="H2364" s="2804"/>
      <c r="I2364" s="2804"/>
      <c r="J2364" s="3150"/>
      <c r="K2364" s="3150"/>
      <c r="L2364" s="2760"/>
      <c r="M2364" s="940"/>
      <c r="N2364" s="2877"/>
    </row>
    <row r="2365" spans="2:14" ht="10.5" hidden="1" customHeight="1" x14ac:dyDescent="0.25">
      <c r="B2365" s="441"/>
      <c r="C2365" s="2529"/>
      <c r="D2365" s="940"/>
      <c r="E2365" s="2804"/>
      <c r="F2365" s="4450"/>
      <c r="G2365" s="2804"/>
      <c r="H2365" s="2804"/>
      <c r="I2365" s="2804"/>
      <c r="J2365" s="3150"/>
      <c r="K2365" s="3150"/>
      <c r="L2365" s="2760"/>
      <c r="M2365" s="940"/>
      <c r="N2365" s="2877"/>
    </row>
    <row r="2366" spans="2:14" ht="20.25" hidden="1" customHeight="1" x14ac:dyDescent="0.25">
      <c r="B2366" s="441"/>
      <c r="C2366" s="2538" t="s">
        <v>4433</v>
      </c>
      <c r="D2366" s="2759">
        <f>D2367</f>
        <v>260500000</v>
      </c>
      <c r="E2366" s="2722">
        <f>D2366/D2111*100</f>
        <v>0.21417492001984975</v>
      </c>
      <c r="F2366" s="4450"/>
      <c r="G2366" s="2804"/>
      <c r="H2366" s="2804"/>
      <c r="I2366" s="2804"/>
      <c r="J2366" s="3150"/>
      <c r="K2366" s="3150"/>
      <c r="L2366" s="2760"/>
      <c r="M2366" s="940"/>
      <c r="N2366" s="2877"/>
    </row>
    <row r="2367" spans="2:14" ht="15" hidden="1" customHeight="1" x14ac:dyDescent="0.25">
      <c r="B2367" s="441"/>
      <c r="C2367" s="2529" t="s">
        <v>4434</v>
      </c>
      <c r="D2367" s="940">
        <v>260500000</v>
      </c>
      <c r="E2367" s="2685">
        <f>D2367/D2111*100</f>
        <v>0.21417492001984975</v>
      </c>
      <c r="F2367" s="4450"/>
      <c r="G2367" s="2804"/>
      <c r="H2367" s="2804"/>
      <c r="I2367" s="2804"/>
      <c r="J2367" s="3150"/>
      <c r="K2367" s="3150"/>
      <c r="L2367" s="2760"/>
      <c r="M2367" s="940"/>
      <c r="N2367" s="2877"/>
    </row>
    <row r="2368" spans="2:14" ht="12" hidden="1" customHeight="1" x14ac:dyDescent="0.25">
      <c r="B2368" s="441"/>
      <c r="C2368" s="2506"/>
      <c r="D2368" s="2724"/>
      <c r="E2368" s="2685"/>
      <c r="F2368" s="4380"/>
      <c r="G2368" s="2830"/>
      <c r="H2368" s="2752"/>
      <c r="I2368" s="2769"/>
      <c r="J2368" s="2724"/>
      <c r="K2368" s="2755"/>
      <c r="L2368" s="2755"/>
      <c r="M2368" s="2755"/>
      <c r="N2368" s="2768"/>
    </row>
    <row r="2369" spans="1:16" s="32" customFormat="1" ht="16.5" hidden="1" customHeight="1" x14ac:dyDescent="0.25">
      <c r="A2369" s="1"/>
      <c r="B2369" s="441"/>
      <c r="C2369" s="2491" t="s">
        <v>4435</v>
      </c>
      <c r="D2369" s="2692">
        <f>D2370</f>
        <v>160000000</v>
      </c>
      <c r="E2369" s="2679">
        <f>D2369/D2111*100</f>
        <v>0.13154697582793076</v>
      </c>
      <c r="F2369" s="3834"/>
      <c r="G2369" s="2679"/>
      <c r="H2369" s="2695"/>
      <c r="I2369" s="899"/>
      <c r="J2369" s="2692"/>
      <c r="K2369" s="899"/>
      <c r="L2369" s="899"/>
      <c r="M2369" s="899"/>
      <c r="N2369" s="2837"/>
      <c r="P2369" s="630"/>
    </row>
    <row r="2370" spans="1:16" ht="31.5" hidden="1" customHeight="1" x14ac:dyDescent="0.25">
      <c r="B2370" s="441"/>
      <c r="C2370" s="2494" t="s">
        <v>4436</v>
      </c>
      <c r="D2370" s="2698">
        <v>160000000</v>
      </c>
      <c r="E2370" s="2685">
        <f>D2370/D2111*100</f>
        <v>0.13154697582793076</v>
      </c>
      <c r="F2370" s="4384"/>
      <c r="G2370" s="2685"/>
      <c r="H2370" s="2690"/>
      <c r="I2370" s="896"/>
      <c r="J2370" s="2698"/>
      <c r="K2370" s="898"/>
      <c r="L2370" s="898"/>
      <c r="M2370" s="898"/>
      <c r="N2370" s="2768"/>
    </row>
    <row r="2371" spans="1:16" ht="12" hidden="1" customHeight="1" x14ac:dyDescent="0.25">
      <c r="B2371" s="441"/>
      <c r="C2371" s="2506"/>
      <c r="D2371" s="2724"/>
      <c r="E2371" s="2830"/>
      <c r="F2371" s="4380"/>
      <c r="G2371" s="2830"/>
      <c r="H2371" s="2752"/>
      <c r="I2371" s="2769"/>
      <c r="J2371" s="2724"/>
      <c r="K2371" s="2755"/>
      <c r="L2371" s="2755"/>
      <c r="M2371" s="2755"/>
      <c r="N2371" s="2768"/>
    </row>
    <row r="2372" spans="1:16" ht="18.75" hidden="1" customHeight="1" x14ac:dyDescent="0.25">
      <c r="B2372" s="440"/>
      <c r="C2372" s="2497" t="s">
        <v>3090</v>
      </c>
      <c r="D2372" s="2669">
        <f>SUM(D2373:D2379)</f>
        <v>27509797343</v>
      </c>
      <c r="E2372" s="2719">
        <f>D2372/D2111*100</f>
        <v>22.617691538193093</v>
      </c>
      <c r="F2372" s="3835"/>
      <c r="G2372" s="2719"/>
      <c r="H2372" s="2719"/>
      <c r="I2372" s="2744"/>
      <c r="J2372" s="2720"/>
      <c r="K2372" s="2720"/>
      <c r="L2372" s="2719"/>
      <c r="M2372" s="2744"/>
      <c r="N2372" s="2768"/>
    </row>
    <row r="2373" spans="1:16" ht="15.75" hidden="1" customHeight="1" x14ac:dyDescent="0.25">
      <c r="B2373" s="441"/>
      <c r="C2373" s="2506" t="s">
        <v>4437</v>
      </c>
      <c r="D2373" s="2709">
        <v>2100000000</v>
      </c>
      <c r="E2373" s="2830">
        <f>D2373/D2111*100</f>
        <v>1.7265540577415912</v>
      </c>
      <c r="F2373" s="4454"/>
      <c r="G2373" s="3151"/>
      <c r="H2373" s="2690"/>
      <c r="I2373" s="2830"/>
      <c r="J2373" s="3152"/>
      <c r="K2373" s="3152"/>
      <c r="L2373" s="2965"/>
      <c r="M2373" s="2725"/>
      <c r="N2373" s="2768"/>
    </row>
    <row r="2374" spans="1:16" ht="15.75" hidden="1" customHeight="1" x14ac:dyDescent="0.25">
      <c r="B2374" s="441"/>
      <c r="C2374" s="2494" t="s">
        <v>4438</v>
      </c>
      <c r="D2374" s="2709">
        <f>5408505000-705616</f>
        <v>5407799384</v>
      </c>
      <c r="E2374" s="2685">
        <f>D2374/D2111*100</f>
        <v>4.4461228428084176</v>
      </c>
      <c r="F2374" s="4454"/>
      <c r="G2374" s="2685"/>
      <c r="H2374" s="2690"/>
      <c r="I2374" s="896"/>
      <c r="J2374" s="3136"/>
      <c r="K2374" s="3136"/>
      <c r="L2374" s="2690"/>
      <c r="M2374" s="896"/>
      <c r="N2374" s="2768"/>
    </row>
    <row r="2375" spans="1:16" ht="20.25" hidden="1" customHeight="1" x14ac:dyDescent="0.25">
      <c r="B2375" s="441"/>
      <c r="C2375" s="2494" t="s">
        <v>4439</v>
      </c>
      <c r="D2375" s="2709">
        <v>2420680000</v>
      </c>
      <c r="E2375" s="2685">
        <f>D2375/D2111*100</f>
        <v>1.9902070840447217</v>
      </c>
      <c r="F2375" s="4454"/>
      <c r="G2375" s="2685"/>
      <c r="H2375" s="2690"/>
      <c r="I2375" s="896"/>
      <c r="J2375" s="3136"/>
      <c r="K2375" s="3136"/>
      <c r="L2375" s="2690"/>
      <c r="M2375" s="896"/>
      <c r="N2375" s="2768"/>
    </row>
    <row r="2376" spans="1:16" ht="16.5" hidden="1" customHeight="1" x14ac:dyDescent="0.25">
      <c r="B2376" s="444"/>
      <c r="C2376" s="2494" t="s">
        <v>4443</v>
      </c>
      <c r="D2376" s="896">
        <v>3589000000</v>
      </c>
      <c r="E2376" s="2685">
        <f>D2376/D2111*100</f>
        <v>2.950763101540272</v>
      </c>
      <c r="F2376" s="4449"/>
      <c r="G2376" s="2685"/>
      <c r="H2376" s="2690"/>
      <c r="I2376" s="896"/>
      <c r="J2376" s="3136"/>
      <c r="K2376" s="3136"/>
      <c r="L2376" s="2690"/>
      <c r="M2376" s="896"/>
      <c r="N2376" s="2768"/>
    </row>
    <row r="2377" spans="1:16" ht="16.5" hidden="1" customHeight="1" x14ac:dyDescent="0.25">
      <c r="B2377" s="441"/>
      <c r="C2377" s="2506" t="s">
        <v>4442</v>
      </c>
      <c r="D2377" s="2706">
        <f>1492493255+140</f>
        <v>1492493395</v>
      </c>
      <c r="E2377" s="2685">
        <f>D2377/D2111*100</f>
        <v>1.2270812034713208</v>
      </c>
      <c r="F2377" s="4464"/>
      <c r="G2377" s="2708"/>
      <c r="H2377" s="2708"/>
      <c r="I2377" s="2708"/>
      <c r="J2377" s="3136"/>
      <c r="K2377" s="3136"/>
      <c r="L2377" s="2710"/>
      <c r="M2377" s="2769"/>
      <c r="N2377" s="2768"/>
    </row>
    <row r="2378" spans="1:16" ht="15.75" hidden="1" customHeight="1" x14ac:dyDescent="0.25">
      <c r="B2378" s="441"/>
      <c r="C2378" s="2473" t="s">
        <v>4441</v>
      </c>
      <c r="D2378" s="896">
        <v>345080000</v>
      </c>
      <c r="E2378" s="2685">
        <f>D2378/D2111*100</f>
        <v>0.28371394011688972</v>
      </c>
      <c r="F2378" s="4417"/>
      <c r="G2378" s="2726"/>
      <c r="H2378" s="3035"/>
      <c r="I2378" s="2757"/>
      <c r="J2378" s="898"/>
      <c r="K2378" s="898"/>
      <c r="L2378" s="898"/>
      <c r="M2378" s="898"/>
      <c r="N2378" s="2768"/>
    </row>
    <row r="2379" spans="1:16" ht="17.25" hidden="1" customHeight="1" x14ac:dyDescent="0.25">
      <c r="B2379" s="441"/>
      <c r="C2379" s="2473" t="s">
        <v>4440</v>
      </c>
      <c r="D2379" s="896">
        <v>12154744564</v>
      </c>
      <c r="E2379" s="2685">
        <f>D2379/D2111*100</f>
        <v>9.9932493084698795</v>
      </c>
      <c r="F2379" s="4417"/>
      <c r="G2379" s="2726"/>
      <c r="H2379" s="3035"/>
      <c r="I2379" s="2757"/>
      <c r="J2379" s="898"/>
      <c r="K2379" s="898"/>
      <c r="L2379" s="898"/>
      <c r="M2379" s="898"/>
      <c r="N2379" s="2768"/>
    </row>
    <row r="2380" spans="1:16" ht="12" hidden="1" customHeight="1" thickBot="1" x14ac:dyDescent="0.3">
      <c r="B2380" s="441"/>
      <c r="C2380" s="2476"/>
      <c r="D2380" s="2709"/>
      <c r="E2380" s="2710"/>
      <c r="F2380" s="4471"/>
      <c r="G2380" s="2710"/>
      <c r="H2380" s="2710"/>
      <c r="I2380" s="911"/>
      <c r="J2380" s="911"/>
      <c r="K2380" s="911"/>
      <c r="L2380" s="2755"/>
      <c r="M2380" s="2755"/>
      <c r="N2380" s="2768"/>
    </row>
    <row r="2381" spans="1:16" ht="17.25" hidden="1" customHeight="1" thickBot="1" x14ac:dyDescent="0.3">
      <c r="B2381" s="3155"/>
      <c r="C2381" s="2562" t="s">
        <v>1696</v>
      </c>
      <c r="D2381" s="3156">
        <f>SUM(D2382+D2397+D2464+D2519+D2524+D2532+D2536+D2545+D2552)</f>
        <v>118779366000</v>
      </c>
      <c r="E2381" s="3157">
        <f>D2381/2512247400000*100</f>
        <v>4.7280122968780862</v>
      </c>
      <c r="F2381" s="4405"/>
      <c r="G2381" s="3213"/>
      <c r="H2381" s="3157"/>
      <c r="I2381" s="3156"/>
      <c r="J2381" s="3213"/>
      <c r="K2381" s="3213"/>
      <c r="L2381" s="3157"/>
      <c r="M2381" s="3156"/>
      <c r="N2381" s="2768"/>
    </row>
    <row r="2382" spans="1:16" ht="17.25" hidden="1" customHeight="1" x14ac:dyDescent="0.25">
      <c r="B2382" s="459"/>
      <c r="C2382" s="2543" t="s">
        <v>630</v>
      </c>
      <c r="D2382" s="2952">
        <f>SUM(D2383+D2386+D2394)</f>
        <v>21100000000</v>
      </c>
      <c r="E2382" s="2955">
        <f>D2382/D2381*100</f>
        <v>17.764028139365553</v>
      </c>
      <c r="F2382" s="3893"/>
      <c r="G2382" s="3095"/>
      <c r="H2382" s="2955"/>
      <c r="I2382" s="2959"/>
      <c r="J2382" s="3094"/>
      <c r="K2382" s="3094"/>
      <c r="L2382" s="2955"/>
      <c r="M2382" s="2959"/>
      <c r="N2382" s="2768"/>
    </row>
    <row r="2383" spans="1:16" ht="17.25" hidden="1" customHeight="1" x14ac:dyDescent="0.25">
      <c r="B2383" s="441"/>
      <c r="C2383" s="2569" t="s">
        <v>4179</v>
      </c>
      <c r="D2383" s="2721">
        <f>D2384</f>
        <v>200000000</v>
      </c>
      <c r="E2383" s="3214">
        <f>D2383/D2381*100</f>
        <v>0.16837941364327538</v>
      </c>
      <c r="F2383" s="3839"/>
      <c r="G2383" s="2722"/>
      <c r="H2383" s="2722"/>
      <c r="I2383" s="2722"/>
      <c r="J2383" s="2723"/>
      <c r="K2383" s="2723"/>
      <c r="L2383" s="2722"/>
      <c r="M2383" s="2722"/>
      <c r="N2383" s="2768"/>
    </row>
    <row r="2384" spans="1:16" ht="15.75" hidden="1" customHeight="1" x14ac:dyDescent="0.25">
      <c r="B2384" s="441"/>
      <c r="C2384" s="2489" t="s">
        <v>4180</v>
      </c>
      <c r="D2384" s="896">
        <v>200000000</v>
      </c>
      <c r="E2384" s="2879">
        <f>D2384/D2381*100</f>
        <v>0.16837941364327538</v>
      </c>
      <c r="F2384" s="3868"/>
      <c r="G2384" s="2685"/>
      <c r="H2384" s="2685"/>
      <c r="I2384" s="2685"/>
      <c r="J2384" s="896"/>
      <c r="K2384" s="3215"/>
      <c r="L2384" s="2690"/>
      <c r="M2384" s="2685"/>
      <c r="N2384" s="2768"/>
    </row>
    <row r="2385" spans="1:16" ht="9.75" hidden="1" customHeight="1" x14ac:dyDescent="0.25">
      <c r="B2385" s="441"/>
      <c r="C2385" s="2494"/>
      <c r="D2385" s="2698"/>
      <c r="E2385" s="2879"/>
      <c r="F2385" s="4384"/>
      <c r="G2385" s="2830"/>
      <c r="H2385" s="2879"/>
      <c r="I2385" s="898"/>
      <c r="J2385" s="2834"/>
      <c r="K2385" s="2834"/>
      <c r="L2385" s="2879"/>
      <c r="M2385" s="898"/>
      <c r="N2385" s="2768"/>
    </row>
    <row r="2386" spans="1:16" ht="18" hidden="1" customHeight="1" x14ac:dyDescent="0.25">
      <c r="B2386" s="441"/>
      <c r="C2386" s="2491" t="s">
        <v>4181</v>
      </c>
      <c r="D2386" s="2692">
        <f>SUM(D2387:D2392)</f>
        <v>20500000000</v>
      </c>
      <c r="E2386" s="3214">
        <f>D2386/D2381*100</f>
        <v>17.258889898435726</v>
      </c>
      <c r="F2386" s="3834"/>
      <c r="G2386" s="3217"/>
      <c r="H2386" s="3214"/>
      <c r="I2386" s="899"/>
      <c r="J2386" s="1478"/>
      <c r="K2386" s="1478"/>
      <c r="L2386" s="2695"/>
      <c r="M2386" s="899"/>
      <c r="N2386" s="2768"/>
    </row>
    <row r="2387" spans="1:16" ht="15.75" hidden="1" customHeight="1" x14ac:dyDescent="0.25">
      <c r="B2387" s="441"/>
      <c r="C2387" s="2489" t="s">
        <v>4182</v>
      </c>
      <c r="D2387" s="896">
        <v>11000000000</v>
      </c>
      <c r="E2387" s="2879">
        <f>D2387/D2381*100</f>
        <v>9.2608677503801466</v>
      </c>
      <c r="F2387" s="3868"/>
      <c r="G2387" s="2685"/>
      <c r="H2387" s="2830"/>
      <c r="I2387" s="2830"/>
      <c r="J2387" s="896"/>
      <c r="K2387" s="3215"/>
      <c r="L2387" s="2690"/>
      <c r="M2387" s="2830"/>
      <c r="N2387" s="2768"/>
    </row>
    <row r="2388" spans="1:16" ht="16.5" hidden="1" customHeight="1" x14ac:dyDescent="0.25">
      <c r="B2388" s="441"/>
      <c r="C2388" s="2489" t="s">
        <v>4183</v>
      </c>
      <c r="D2388" s="896">
        <v>1250000000</v>
      </c>
      <c r="E2388" s="2879">
        <f>D2388/D2381*100</f>
        <v>1.0523713352704711</v>
      </c>
      <c r="F2388" s="3868"/>
      <c r="G2388" s="2685"/>
      <c r="H2388" s="2685"/>
      <c r="I2388" s="2685"/>
      <c r="J2388" s="896"/>
      <c r="K2388" s="2831"/>
      <c r="L2388" s="2708"/>
      <c r="M2388" s="2708"/>
      <c r="N2388" s="2768"/>
    </row>
    <row r="2389" spans="1:16" ht="18" hidden="1" customHeight="1" x14ac:dyDescent="0.25">
      <c r="B2389" s="441"/>
      <c r="C2389" s="2489" t="s">
        <v>4184</v>
      </c>
      <c r="D2389" s="896">
        <v>350000000</v>
      </c>
      <c r="E2389" s="2879">
        <f>D2389/D2381*100</f>
        <v>0.2946639738757319</v>
      </c>
      <c r="F2389" s="3868"/>
      <c r="G2389" s="2685"/>
      <c r="H2389" s="2685"/>
      <c r="I2389" s="2685"/>
      <c r="J2389" s="896"/>
      <c r="K2389" s="2831"/>
      <c r="L2389" s="2708"/>
      <c r="M2389" s="2708"/>
      <c r="N2389" s="2768"/>
    </row>
    <row r="2390" spans="1:16" ht="17.25" hidden="1" customHeight="1" x14ac:dyDescent="0.25">
      <c r="B2390" s="441"/>
      <c r="C2390" s="2489" t="s">
        <v>4185</v>
      </c>
      <c r="D2390" s="896">
        <v>1400000000</v>
      </c>
      <c r="E2390" s="2879">
        <f>D2390/D2381*100</f>
        <v>1.1786558955029276</v>
      </c>
      <c r="F2390" s="3868"/>
      <c r="G2390" s="2685"/>
      <c r="H2390" s="2685"/>
      <c r="I2390" s="2685"/>
      <c r="J2390" s="896"/>
      <c r="K2390" s="2831"/>
      <c r="L2390" s="2708"/>
      <c r="M2390" s="2708"/>
      <c r="N2390" s="2768"/>
    </row>
    <row r="2391" spans="1:16" ht="18" hidden="1" customHeight="1" x14ac:dyDescent="0.25">
      <c r="B2391" s="441"/>
      <c r="C2391" s="2489" t="s">
        <v>4186</v>
      </c>
      <c r="D2391" s="896">
        <v>1500000000</v>
      </c>
      <c r="E2391" s="2879">
        <f>D2391/D2381*100</f>
        <v>1.2628456023245653</v>
      </c>
      <c r="F2391" s="3868"/>
      <c r="G2391" s="2685"/>
      <c r="H2391" s="2685"/>
      <c r="I2391" s="2685"/>
      <c r="J2391" s="896"/>
      <c r="K2391" s="2831"/>
      <c r="L2391" s="2708"/>
      <c r="M2391" s="2708"/>
      <c r="N2391" s="2768"/>
    </row>
    <row r="2392" spans="1:16" ht="18" hidden="1" customHeight="1" x14ac:dyDescent="0.25">
      <c r="B2392" s="441"/>
      <c r="C2392" s="2489" t="s">
        <v>4187</v>
      </c>
      <c r="D2392" s="896">
        <v>5000000000</v>
      </c>
      <c r="E2392" s="2879">
        <f>D2392/D2381*100</f>
        <v>4.2094853410818844</v>
      </c>
      <c r="F2392" s="3868"/>
      <c r="G2392" s="2685"/>
      <c r="H2392" s="2685"/>
      <c r="I2392" s="2685"/>
      <c r="J2392" s="896"/>
      <c r="K2392" s="2831"/>
      <c r="L2392" s="2708"/>
      <c r="M2392" s="2708"/>
      <c r="N2392" s="2768"/>
    </row>
    <row r="2393" spans="1:16" ht="10.5" hidden="1" customHeight="1" x14ac:dyDescent="0.25">
      <c r="B2393" s="441"/>
      <c r="C2393" s="2489"/>
      <c r="D2393" s="896"/>
      <c r="E2393" s="2879"/>
      <c r="F2393" s="3868"/>
      <c r="G2393" s="2685"/>
      <c r="H2393" s="2685"/>
      <c r="I2393" s="2685"/>
      <c r="J2393" s="896"/>
      <c r="K2393" s="2831"/>
      <c r="L2393" s="2708"/>
      <c r="M2393" s="2708"/>
      <c r="N2393" s="2768"/>
    </row>
    <row r="2394" spans="1:16" s="32" customFormat="1" ht="17.25" hidden="1" customHeight="1" x14ac:dyDescent="0.25">
      <c r="A2394" s="1"/>
      <c r="B2394" s="441"/>
      <c r="C2394" s="2491" t="s">
        <v>4188</v>
      </c>
      <c r="D2394" s="2721">
        <f>D2395</f>
        <v>400000000</v>
      </c>
      <c r="E2394" s="3214">
        <f>D2394/D2381*100</f>
        <v>0.33675882728655077</v>
      </c>
      <c r="F2394" s="3839"/>
      <c r="G2394" s="2722"/>
      <c r="H2394" s="3214"/>
      <c r="I2394" s="899"/>
      <c r="J2394" s="2723"/>
      <c r="K2394" s="2723"/>
      <c r="L2394" s="2813"/>
      <c r="M2394" s="899"/>
      <c r="N2394" s="2837"/>
      <c r="P2394" s="630"/>
    </row>
    <row r="2395" spans="1:16" s="196" customFormat="1" ht="17.25" hidden="1" customHeight="1" x14ac:dyDescent="0.25">
      <c r="A2395" s="12"/>
      <c r="B2395" s="442"/>
      <c r="C2395" s="2494" t="s">
        <v>4189</v>
      </c>
      <c r="D2395" s="2698">
        <v>400000000</v>
      </c>
      <c r="E2395" s="2879">
        <f>D2395/D2381*100</f>
        <v>0.33675882728655077</v>
      </c>
      <c r="F2395" s="4384"/>
      <c r="G2395" s="2685"/>
      <c r="H2395" s="2879"/>
      <c r="I2395" s="896"/>
      <c r="J2395" s="2700"/>
      <c r="K2395" s="2700"/>
      <c r="L2395" s="2690"/>
      <c r="M2395" s="896"/>
      <c r="N2395" s="2951"/>
      <c r="P2395" s="631"/>
    </row>
    <row r="2396" spans="1:16" ht="12.75" hidden="1" customHeight="1" x14ac:dyDescent="0.25">
      <c r="B2396" s="441"/>
      <c r="C2396" s="2495"/>
      <c r="D2396" s="2724"/>
      <c r="E2396" s="2840"/>
      <c r="F2396" s="4472"/>
      <c r="G2396" s="2911"/>
      <c r="H2396" s="2895"/>
      <c r="I2396" s="3006"/>
      <c r="J2396" s="3219"/>
      <c r="K2396" s="2897"/>
      <c r="L2396" s="2895"/>
      <c r="M2396" s="911"/>
      <c r="N2396" s="2768"/>
    </row>
    <row r="2397" spans="1:16" ht="18.75" hidden="1" customHeight="1" x14ac:dyDescent="0.25">
      <c r="B2397" s="440"/>
      <c r="C2397" s="2497" t="s">
        <v>398</v>
      </c>
      <c r="D2397" s="2669">
        <f>SUM(D2398+D2401+D2407+D2410+D2413+D2417+D2424+D2441+D2453+D2461)</f>
        <v>12600000000</v>
      </c>
      <c r="E2397" s="2786">
        <f>D2397/D2381*100</f>
        <v>10.60790305952635</v>
      </c>
      <c r="F2397" s="3835"/>
      <c r="G2397" s="2719"/>
      <c r="H2397" s="2786"/>
      <c r="I2397" s="2744"/>
      <c r="J2397" s="2720"/>
      <c r="K2397" s="2720"/>
      <c r="L2397" s="2955"/>
      <c r="M2397" s="2744"/>
      <c r="N2397" s="2768"/>
    </row>
    <row r="2398" spans="1:16" ht="15" hidden="1" customHeight="1" x14ac:dyDescent="0.25">
      <c r="B2398" s="441"/>
      <c r="C2398" s="2569" t="s">
        <v>1730</v>
      </c>
      <c r="D2398" s="2676">
        <f>D2399</f>
        <v>100000000</v>
      </c>
      <c r="E2398" s="3214">
        <f>D2398/D2381*100</f>
        <v>8.4189706821637691E-2</v>
      </c>
      <c r="F2398" s="3841"/>
      <c r="G2398" s="2725"/>
      <c r="H2398" s="2725"/>
      <c r="I2398" s="2725"/>
      <c r="J2398" s="2680"/>
      <c r="K2398" s="2680"/>
      <c r="L2398" s="2722"/>
      <c r="M2398" s="2722"/>
      <c r="N2398" s="2768"/>
    </row>
    <row r="2399" spans="1:16" ht="17.25" hidden="1" customHeight="1" x14ac:dyDescent="0.25">
      <c r="B2399" s="441"/>
      <c r="C2399" s="2489" t="s">
        <v>1731</v>
      </c>
      <c r="D2399" s="896">
        <v>100000000</v>
      </c>
      <c r="E2399" s="2879">
        <f>D2399/D2381*100</f>
        <v>8.4189706821637691E-2</v>
      </c>
      <c r="F2399" s="3868"/>
      <c r="G2399" s="2685"/>
      <c r="H2399" s="2685"/>
      <c r="I2399" s="2685"/>
      <c r="J2399" s="896"/>
      <c r="K2399" s="3220"/>
      <c r="L2399" s="2690"/>
      <c r="M2399" s="2690"/>
      <c r="N2399" s="2768"/>
    </row>
    <row r="2400" spans="1:16" ht="10.5" hidden="1" customHeight="1" x14ac:dyDescent="0.25">
      <c r="B2400" s="441"/>
      <c r="C2400" s="2491"/>
      <c r="D2400" s="2692"/>
      <c r="E2400" s="2873"/>
      <c r="F2400" s="3834"/>
      <c r="G2400" s="2679"/>
      <c r="H2400" s="2873"/>
      <c r="I2400" s="3221"/>
      <c r="J2400" s="2694"/>
      <c r="K2400" s="2694"/>
      <c r="L2400" s="2695"/>
      <c r="M2400" s="3221"/>
      <c r="N2400" s="2768"/>
    </row>
    <row r="2401" spans="1:16" s="32" customFormat="1" ht="15.75" hidden="1" customHeight="1" x14ac:dyDescent="0.25">
      <c r="A2401" s="1"/>
      <c r="B2401" s="441"/>
      <c r="C2401" s="2490" t="s">
        <v>4199</v>
      </c>
      <c r="D2401" s="899">
        <f>SUM(D2402:D2405)</f>
        <v>125000000</v>
      </c>
      <c r="E2401" s="2813">
        <f>D2401/D2381*100</f>
        <v>0.10523713352704712</v>
      </c>
      <c r="F2401" s="3853"/>
      <c r="G2401" s="2679"/>
      <c r="H2401" s="3214"/>
      <c r="I2401" s="2679"/>
      <c r="J2401" s="899"/>
      <c r="K2401" s="3222"/>
      <c r="L2401" s="2695"/>
      <c r="M2401" s="2679"/>
      <c r="N2401" s="2837"/>
      <c r="P2401" s="630"/>
    </row>
    <row r="2402" spans="1:16" ht="16.5" hidden="1" customHeight="1" x14ac:dyDescent="0.25">
      <c r="B2402" s="441"/>
      <c r="C2402" s="2489" t="s">
        <v>4190</v>
      </c>
      <c r="D2402" s="896">
        <v>25000000</v>
      </c>
      <c r="E2402" s="2879">
        <f>D2402/D2381*100</f>
        <v>2.1047426705409423E-2</v>
      </c>
      <c r="F2402" s="3868"/>
      <c r="G2402" s="2685"/>
      <c r="H2402" s="2685"/>
      <c r="I2402" s="2685"/>
      <c r="J2402" s="896"/>
      <c r="K2402" s="3220"/>
      <c r="L2402" s="2690"/>
      <c r="M2402" s="2685"/>
      <c r="N2402" s="2768"/>
    </row>
    <row r="2403" spans="1:16" ht="14.25" hidden="1" customHeight="1" x14ac:dyDescent="0.25">
      <c r="B2403" s="441"/>
      <c r="C2403" s="2494" t="s">
        <v>4191</v>
      </c>
      <c r="D2403" s="2698">
        <v>25000000</v>
      </c>
      <c r="E2403" s="2879">
        <f>D2403/D2381*100</f>
        <v>2.1047426705409423E-2</v>
      </c>
      <c r="F2403" s="4384"/>
      <c r="G2403" s="2685"/>
      <c r="H2403" s="2879"/>
      <c r="I2403" s="898"/>
      <c r="J2403" s="2700"/>
      <c r="K2403" s="2700"/>
      <c r="L2403" s="2879"/>
      <c r="M2403" s="898"/>
      <c r="N2403" s="2768"/>
    </row>
    <row r="2404" spans="1:16" s="196" customFormat="1" ht="15.75" hidden="1" customHeight="1" x14ac:dyDescent="0.25">
      <c r="A2404" s="12"/>
      <c r="B2404" s="442"/>
      <c r="C2404" s="2494" t="s">
        <v>4192</v>
      </c>
      <c r="D2404" s="2698">
        <v>25000000</v>
      </c>
      <c r="E2404" s="2879">
        <f>D2404/D2381*100</f>
        <v>2.1047426705409423E-2</v>
      </c>
      <c r="F2404" s="4384"/>
      <c r="G2404" s="2685"/>
      <c r="H2404" s="2818"/>
      <c r="I2404" s="896"/>
      <c r="J2404" s="2700"/>
      <c r="K2404" s="2700"/>
      <c r="L2404" s="2690"/>
      <c r="M2404" s="896"/>
      <c r="N2404" s="2951"/>
      <c r="P2404" s="631"/>
    </row>
    <row r="2405" spans="1:16" ht="16.5" hidden="1" customHeight="1" x14ac:dyDescent="0.25">
      <c r="B2405" s="441"/>
      <c r="C2405" s="2489" t="s">
        <v>4193</v>
      </c>
      <c r="D2405" s="896">
        <v>50000000</v>
      </c>
      <c r="E2405" s="2879">
        <f>D2405/D2381*100</f>
        <v>4.2094853410818846E-2</v>
      </c>
      <c r="F2405" s="3868"/>
      <c r="G2405" s="2685"/>
      <c r="H2405" s="2810"/>
      <c r="I2405" s="896"/>
      <c r="J2405" s="896"/>
      <c r="K2405" s="3220"/>
      <c r="L2405" s="2690"/>
      <c r="M2405" s="896"/>
      <c r="N2405" s="2768"/>
    </row>
    <row r="2406" spans="1:16" ht="10.5" hidden="1" customHeight="1" x14ac:dyDescent="0.25">
      <c r="B2406" s="441"/>
      <c r="C2406" s="2489"/>
      <c r="D2406" s="896"/>
      <c r="E2406" s="2879"/>
      <c r="F2406" s="3868"/>
      <c r="G2406" s="2685"/>
      <c r="H2406" s="2879"/>
      <c r="I2406" s="896"/>
      <c r="J2406" s="896"/>
      <c r="K2406" s="3220"/>
      <c r="L2406" s="2690"/>
      <c r="M2406" s="896"/>
      <c r="N2406" s="2768"/>
    </row>
    <row r="2407" spans="1:16" s="32" customFormat="1" ht="18" hidden="1" customHeight="1" x14ac:dyDescent="0.25">
      <c r="A2407" s="1"/>
      <c r="B2407" s="441"/>
      <c r="C2407" s="2490" t="s">
        <v>4198</v>
      </c>
      <c r="D2407" s="899">
        <f>D2408</f>
        <v>500000000</v>
      </c>
      <c r="E2407" s="3214">
        <f>D2407/D2381*100</f>
        <v>0.4209485341081885</v>
      </c>
      <c r="F2407" s="3853"/>
      <c r="G2407" s="2679"/>
      <c r="H2407" s="3214"/>
      <c r="I2407" s="899"/>
      <c r="J2407" s="899"/>
      <c r="K2407" s="3222"/>
      <c r="L2407" s="2695"/>
      <c r="M2407" s="899"/>
      <c r="N2407" s="2837"/>
      <c r="P2407" s="630"/>
    </row>
    <row r="2408" spans="1:16" ht="17.25" hidden="1" customHeight="1" x14ac:dyDescent="0.25">
      <c r="B2408" s="441"/>
      <c r="C2408" s="2489" t="s">
        <v>4194</v>
      </c>
      <c r="D2408" s="896">
        <v>500000000</v>
      </c>
      <c r="E2408" s="2879">
        <f>D2408/D2382*100</f>
        <v>2.3696682464454977</v>
      </c>
      <c r="F2408" s="3868"/>
      <c r="G2408" s="2685"/>
      <c r="H2408" s="2879"/>
      <c r="I2408" s="898"/>
      <c r="J2408" s="3223"/>
      <c r="K2408" s="2700"/>
      <c r="L2408" s="2879"/>
      <c r="M2408" s="898"/>
      <c r="N2408" s="2768"/>
    </row>
    <row r="2409" spans="1:16" ht="11.25" hidden="1" customHeight="1" x14ac:dyDescent="0.25">
      <c r="B2409" s="441"/>
      <c r="C2409" s="2570"/>
      <c r="D2409" s="2769"/>
      <c r="E2409" s="2879"/>
      <c r="F2409" s="3872"/>
      <c r="G2409" s="2708"/>
      <c r="H2409" s="2830"/>
      <c r="I2409" s="2708"/>
      <c r="J2409" s="2769"/>
      <c r="K2409" s="2831"/>
      <c r="L2409" s="2830"/>
      <c r="M2409" s="2708"/>
      <c r="N2409" s="2768"/>
    </row>
    <row r="2410" spans="1:16" ht="17.25" hidden="1" customHeight="1" x14ac:dyDescent="0.25">
      <c r="B2410" s="441"/>
      <c r="C2410" s="2571" t="s">
        <v>4197</v>
      </c>
      <c r="D2410" s="899">
        <f>D2411</f>
        <v>250000000</v>
      </c>
      <c r="E2410" s="3214">
        <f>D2410/D2381*100</f>
        <v>0.21047426705409425</v>
      </c>
      <c r="F2410" s="3853"/>
      <c r="G2410" s="2934"/>
      <c r="H2410" s="2934"/>
      <c r="I2410" s="2934"/>
      <c r="J2410" s="899"/>
      <c r="K2410" s="899"/>
      <c r="L2410" s="2695"/>
      <c r="M2410" s="2934"/>
      <c r="N2410" s="2768"/>
    </row>
    <row r="2411" spans="1:16" ht="17.25" hidden="1" customHeight="1" x14ac:dyDescent="0.25">
      <c r="B2411" s="441"/>
      <c r="C2411" s="2489" t="s">
        <v>4195</v>
      </c>
      <c r="D2411" s="2709">
        <v>250000000</v>
      </c>
      <c r="E2411" s="2840">
        <f>D2411/D2381*100</f>
        <v>0.21047426705409425</v>
      </c>
      <c r="F2411" s="4430"/>
      <c r="G2411" s="2708"/>
      <c r="H2411" s="2708"/>
      <c r="I2411" s="2708"/>
      <c r="J2411" s="2709"/>
      <c r="K2411" s="2709"/>
      <c r="L2411" s="2690"/>
      <c r="M2411" s="2708"/>
      <c r="N2411" s="2768"/>
    </row>
    <row r="2412" spans="1:16" ht="9.75" hidden="1" customHeight="1" x14ac:dyDescent="0.25">
      <c r="B2412" s="441"/>
      <c r="C2412" s="2570"/>
      <c r="D2412" s="896"/>
      <c r="E2412" s="2810"/>
      <c r="F2412" s="3868"/>
      <c r="G2412" s="2685"/>
      <c r="H2412" s="2685"/>
      <c r="I2412" s="2685"/>
      <c r="J2412" s="896"/>
      <c r="K2412" s="896"/>
      <c r="L2412" s="2752"/>
      <c r="M2412" s="2708"/>
      <c r="N2412" s="2768"/>
    </row>
    <row r="2413" spans="1:16" s="32" customFormat="1" ht="17.25" hidden="1" customHeight="1" x14ac:dyDescent="0.25">
      <c r="A2413" s="1"/>
      <c r="B2413" s="441"/>
      <c r="C2413" s="2571" t="s">
        <v>4196</v>
      </c>
      <c r="D2413" s="899">
        <f>SUM(D2414:D2415)</f>
        <v>200000000</v>
      </c>
      <c r="E2413" s="3214">
        <f>D2413/D2381*100</f>
        <v>0.16837941364327538</v>
      </c>
      <c r="F2413" s="3853"/>
      <c r="G2413" s="2679"/>
      <c r="H2413" s="2679"/>
      <c r="I2413" s="2679"/>
      <c r="J2413" s="899"/>
      <c r="K2413" s="899"/>
      <c r="L2413" s="2695"/>
      <c r="M2413" s="2679"/>
      <c r="N2413" s="2837"/>
      <c r="P2413" s="630"/>
    </row>
    <row r="2414" spans="1:16" ht="17.25" hidden="1" customHeight="1" x14ac:dyDescent="0.25">
      <c r="B2414" s="441"/>
      <c r="C2414" s="2570" t="s">
        <v>4200</v>
      </c>
      <c r="D2414" s="896">
        <v>100000000</v>
      </c>
      <c r="E2414" s="2840">
        <f>D2414/D2381*100</f>
        <v>8.4189706821637691E-2</v>
      </c>
      <c r="F2414" s="3868"/>
      <c r="G2414" s="2685"/>
      <c r="H2414" s="2685"/>
      <c r="I2414" s="2685"/>
      <c r="J2414" s="896"/>
      <c r="K2414" s="896"/>
      <c r="L2414" s="2690"/>
      <c r="M2414" s="2685"/>
      <c r="N2414" s="2768"/>
    </row>
    <row r="2415" spans="1:16" ht="17.25" hidden="1" customHeight="1" x14ac:dyDescent="0.25">
      <c r="B2415" s="441"/>
      <c r="C2415" s="2570" t="s">
        <v>4201</v>
      </c>
      <c r="D2415" s="896">
        <v>100000000</v>
      </c>
      <c r="E2415" s="2810">
        <f>D2415/D2381*100</f>
        <v>8.4189706821637691E-2</v>
      </c>
      <c r="F2415" s="3868"/>
      <c r="G2415" s="2685"/>
      <c r="H2415" s="2685"/>
      <c r="I2415" s="2685"/>
      <c r="J2415" s="896"/>
      <c r="K2415" s="896"/>
      <c r="L2415" s="2690"/>
      <c r="M2415" s="2685"/>
      <c r="N2415" s="2768"/>
    </row>
    <row r="2416" spans="1:16" ht="10.5" hidden="1" customHeight="1" x14ac:dyDescent="0.25">
      <c r="B2416" s="441"/>
      <c r="C2416" s="2570"/>
      <c r="D2416" s="896"/>
      <c r="E2416" s="2810"/>
      <c r="F2416" s="3868"/>
      <c r="G2416" s="2685"/>
      <c r="H2416" s="2685"/>
      <c r="I2416" s="2685"/>
      <c r="J2416" s="896"/>
      <c r="K2416" s="896"/>
      <c r="L2416" s="2690"/>
      <c r="M2416" s="2685"/>
      <c r="N2416" s="2768"/>
    </row>
    <row r="2417" spans="1:16" s="32" customFormat="1" ht="17.25" hidden="1" customHeight="1" x14ac:dyDescent="0.25">
      <c r="A2417" s="1"/>
      <c r="B2417" s="441"/>
      <c r="C2417" s="2571" t="s">
        <v>4202</v>
      </c>
      <c r="D2417" s="899">
        <f>SUM(D2418:D2422)</f>
        <v>420000000</v>
      </c>
      <c r="E2417" s="2813">
        <f>D2417/D2381*100</f>
        <v>0.3535967686508783</v>
      </c>
      <c r="F2417" s="3853"/>
      <c r="G2417" s="2679"/>
      <c r="H2417" s="2679"/>
      <c r="I2417" s="2679"/>
      <c r="J2417" s="899"/>
      <c r="K2417" s="899"/>
      <c r="L2417" s="2695"/>
      <c r="M2417" s="2679"/>
      <c r="N2417" s="2837"/>
      <c r="P2417" s="630"/>
    </row>
    <row r="2418" spans="1:16" ht="17.25" hidden="1" customHeight="1" x14ac:dyDescent="0.25">
      <c r="B2418" s="441"/>
      <c r="C2418" s="2570" t="s">
        <v>4203</v>
      </c>
      <c r="D2418" s="896">
        <v>75000000</v>
      </c>
      <c r="E2418" s="2810">
        <f>D2418/D2381*100</f>
        <v>6.3142280116228258E-2</v>
      </c>
      <c r="F2418" s="3868"/>
      <c r="G2418" s="2685"/>
      <c r="H2418" s="2685"/>
      <c r="I2418" s="2685"/>
      <c r="J2418" s="896"/>
      <c r="K2418" s="896"/>
      <c r="L2418" s="2690"/>
      <c r="M2418" s="2685"/>
      <c r="N2418" s="2768"/>
    </row>
    <row r="2419" spans="1:16" ht="17.25" hidden="1" customHeight="1" x14ac:dyDescent="0.25">
      <c r="B2419" s="441"/>
      <c r="C2419" s="2570" t="s">
        <v>4204</v>
      </c>
      <c r="D2419" s="896">
        <v>75000000</v>
      </c>
      <c r="E2419" s="2810">
        <f>D2419/D2381*100</f>
        <v>6.3142280116228258E-2</v>
      </c>
      <c r="F2419" s="3868"/>
      <c r="G2419" s="2685"/>
      <c r="H2419" s="2685"/>
      <c r="I2419" s="2685"/>
      <c r="J2419" s="896"/>
      <c r="K2419" s="896"/>
      <c r="L2419" s="2690"/>
      <c r="M2419" s="2685"/>
      <c r="N2419" s="2768"/>
    </row>
    <row r="2420" spans="1:16" ht="17.25" hidden="1" customHeight="1" x14ac:dyDescent="0.25">
      <c r="B2420" s="441"/>
      <c r="C2420" s="2570" t="s">
        <v>4205</v>
      </c>
      <c r="D2420" s="896">
        <v>100000000</v>
      </c>
      <c r="E2420" s="2810">
        <f>D2420/D2381*100</f>
        <v>8.4189706821637691E-2</v>
      </c>
      <c r="F2420" s="3868"/>
      <c r="G2420" s="2685"/>
      <c r="H2420" s="2685"/>
      <c r="I2420" s="2685"/>
      <c r="J2420" s="896"/>
      <c r="K2420" s="896"/>
      <c r="L2420" s="2690"/>
      <c r="M2420" s="2685"/>
      <c r="N2420" s="2768"/>
    </row>
    <row r="2421" spans="1:16" ht="16.5" hidden="1" customHeight="1" x14ac:dyDescent="0.25">
      <c r="B2421" s="441"/>
      <c r="C2421" s="2570" t="s">
        <v>4206</v>
      </c>
      <c r="D2421" s="896">
        <v>50000000</v>
      </c>
      <c r="E2421" s="2810">
        <f>D2421/D2381*100</f>
        <v>4.2094853410818846E-2</v>
      </c>
      <c r="F2421" s="3868"/>
      <c r="G2421" s="2685"/>
      <c r="H2421" s="2685"/>
      <c r="I2421" s="2685"/>
      <c r="J2421" s="896"/>
      <c r="K2421" s="896"/>
      <c r="L2421" s="2690"/>
      <c r="M2421" s="2685"/>
      <c r="N2421" s="2768"/>
    </row>
    <row r="2422" spans="1:16" ht="17.25" hidden="1" customHeight="1" x14ac:dyDescent="0.25">
      <c r="B2422" s="441"/>
      <c r="C2422" s="2570" t="s">
        <v>4207</v>
      </c>
      <c r="D2422" s="896">
        <v>120000000</v>
      </c>
      <c r="E2422" s="2810">
        <f>D2422/D2381*100</f>
        <v>0.10102764818596523</v>
      </c>
      <c r="F2422" s="3868"/>
      <c r="G2422" s="2685"/>
      <c r="H2422" s="2685"/>
      <c r="I2422" s="2685"/>
      <c r="J2422" s="896"/>
      <c r="K2422" s="896"/>
      <c r="L2422" s="2690"/>
      <c r="M2422" s="2685"/>
      <c r="N2422" s="2768"/>
    </row>
    <row r="2423" spans="1:16" ht="11.25" hidden="1" customHeight="1" x14ac:dyDescent="0.25">
      <c r="B2423" s="441"/>
      <c r="C2423" s="2570"/>
      <c r="D2423" s="896"/>
      <c r="E2423" s="2810"/>
      <c r="F2423" s="3868"/>
      <c r="G2423" s="2685"/>
      <c r="H2423" s="2685"/>
      <c r="I2423" s="2685"/>
      <c r="J2423" s="896"/>
      <c r="K2423" s="896"/>
      <c r="L2423" s="2690"/>
      <c r="M2423" s="2685"/>
      <c r="N2423" s="2768"/>
    </row>
    <row r="2424" spans="1:16" s="32" customFormat="1" ht="31.5" hidden="1" customHeight="1" x14ac:dyDescent="0.25">
      <c r="A2424" s="1"/>
      <c r="B2424" s="441"/>
      <c r="C2424" s="2571" t="s">
        <v>4208</v>
      </c>
      <c r="D2424" s="899">
        <f>SUM(D2425:D2439)</f>
        <v>3340000000</v>
      </c>
      <c r="E2424" s="2801">
        <f>D2424/D2381*100</f>
        <v>2.8119362078426988</v>
      </c>
      <c r="F2424" s="3853"/>
      <c r="G2424" s="2679"/>
      <c r="H2424" s="2679"/>
      <c r="I2424" s="2679"/>
      <c r="J2424" s="899"/>
      <c r="K2424" s="899"/>
      <c r="L2424" s="2695"/>
      <c r="M2424" s="2679"/>
      <c r="N2424" s="2837"/>
      <c r="P2424" s="630"/>
    </row>
    <row r="2425" spans="1:16" ht="18" hidden="1" customHeight="1" x14ac:dyDescent="0.25">
      <c r="B2425" s="441"/>
      <c r="C2425" s="2495" t="s">
        <v>4211</v>
      </c>
      <c r="D2425" s="2698">
        <v>100000000</v>
      </c>
      <c r="E2425" s="2810">
        <f>D2425/D2381*100</f>
        <v>8.4189706821637691E-2</v>
      </c>
      <c r="F2425" s="4473"/>
      <c r="G2425" s="2810"/>
      <c r="H2425" s="2810"/>
      <c r="I2425" s="898"/>
      <c r="J2425" s="3224"/>
      <c r="K2425" s="2698"/>
      <c r="L2425" s="2810"/>
      <c r="M2425" s="898"/>
      <c r="N2425" s="2768"/>
    </row>
    <row r="2426" spans="1:16" ht="18" hidden="1" customHeight="1" x14ac:dyDescent="0.25">
      <c r="B2426" s="441"/>
      <c r="C2426" s="2494" t="s">
        <v>4209</v>
      </c>
      <c r="D2426" s="2698">
        <v>100000000</v>
      </c>
      <c r="E2426" s="2810">
        <f>D2426/D2381*100</f>
        <v>8.4189706821637691E-2</v>
      </c>
      <c r="F2426" s="4473"/>
      <c r="G2426" s="2810"/>
      <c r="H2426" s="2810"/>
      <c r="I2426" s="898"/>
      <c r="J2426" s="3224"/>
      <c r="K2426" s="2698"/>
      <c r="L2426" s="2810"/>
      <c r="M2426" s="898"/>
      <c r="N2426" s="2768"/>
    </row>
    <row r="2427" spans="1:16" ht="18" hidden="1" customHeight="1" x14ac:dyDescent="0.25">
      <c r="B2427" s="441"/>
      <c r="C2427" s="2494" t="s">
        <v>4210</v>
      </c>
      <c r="D2427" s="2698">
        <v>150000000</v>
      </c>
      <c r="E2427" s="2810">
        <f>D2427/D2381*100</f>
        <v>0.12628456023245652</v>
      </c>
      <c r="F2427" s="4473"/>
      <c r="G2427" s="2810"/>
      <c r="H2427" s="2810"/>
      <c r="I2427" s="898"/>
      <c r="J2427" s="3224"/>
      <c r="K2427" s="2698"/>
      <c r="L2427" s="2810"/>
      <c r="M2427" s="898"/>
      <c r="N2427" s="2768"/>
    </row>
    <row r="2428" spans="1:16" ht="18" hidden="1" customHeight="1" x14ac:dyDescent="0.25">
      <c r="B2428" s="441"/>
      <c r="C2428" s="2494" t="s">
        <v>4212</v>
      </c>
      <c r="D2428" s="2698">
        <v>200000000</v>
      </c>
      <c r="E2428" s="2810">
        <f>D2428/D2381*100</f>
        <v>0.16837941364327538</v>
      </c>
      <c r="F2428" s="4473"/>
      <c r="G2428" s="2810"/>
      <c r="H2428" s="2810"/>
      <c r="I2428" s="898"/>
      <c r="J2428" s="3224"/>
      <c r="K2428" s="2698"/>
      <c r="L2428" s="2810"/>
      <c r="M2428" s="898"/>
      <c r="N2428" s="2768"/>
    </row>
    <row r="2429" spans="1:16" ht="18" hidden="1" customHeight="1" x14ac:dyDescent="0.25">
      <c r="B2429" s="441"/>
      <c r="C2429" s="2494" t="s">
        <v>4213</v>
      </c>
      <c r="D2429" s="2698">
        <v>200000000</v>
      </c>
      <c r="E2429" s="2810">
        <f>D2429/D2381*100</f>
        <v>0.16837941364327538</v>
      </c>
      <c r="F2429" s="4473"/>
      <c r="G2429" s="2810"/>
      <c r="H2429" s="2810"/>
      <c r="I2429" s="898"/>
      <c r="J2429" s="3224"/>
      <c r="K2429" s="2698"/>
      <c r="L2429" s="2810"/>
      <c r="M2429" s="898"/>
      <c r="N2429" s="2768"/>
    </row>
    <row r="2430" spans="1:16" ht="18" hidden="1" customHeight="1" x14ac:dyDescent="0.25">
      <c r="B2430" s="441"/>
      <c r="C2430" s="2494" t="s">
        <v>4214</v>
      </c>
      <c r="D2430" s="2698">
        <v>200000000</v>
      </c>
      <c r="E2430" s="2810">
        <f>D2430/D2381*100</f>
        <v>0.16837941364327538</v>
      </c>
      <c r="F2430" s="4473"/>
      <c r="G2430" s="2810"/>
      <c r="H2430" s="2810"/>
      <c r="I2430" s="898"/>
      <c r="J2430" s="3224"/>
      <c r="K2430" s="2698"/>
      <c r="L2430" s="2810"/>
      <c r="M2430" s="898"/>
      <c r="N2430" s="2768"/>
    </row>
    <row r="2431" spans="1:16" ht="18" hidden="1" customHeight="1" x14ac:dyDescent="0.25">
      <c r="B2431" s="441"/>
      <c r="C2431" s="2494" t="s">
        <v>4215</v>
      </c>
      <c r="D2431" s="2698">
        <v>200000000</v>
      </c>
      <c r="E2431" s="2810">
        <f>D2431/D2381*100</f>
        <v>0.16837941364327538</v>
      </c>
      <c r="F2431" s="4473"/>
      <c r="G2431" s="2810"/>
      <c r="H2431" s="2810"/>
      <c r="I2431" s="898"/>
      <c r="J2431" s="3224"/>
      <c r="K2431" s="2698"/>
      <c r="L2431" s="2810"/>
      <c r="M2431" s="898"/>
      <c r="N2431" s="2768"/>
    </row>
    <row r="2432" spans="1:16" ht="18" hidden="1" customHeight="1" x14ac:dyDescent="0.25">
      <c r="B2432" s="441"/>
      <c r="C2432" s="2494" t="s">
        <v>4216</v>
      </c>
      <c r="D2432" s="2698">
        <v>500000000</v>
      </c>
      <c r="E2432" s="2810">
        <f>D2432/D2381*100</f>
        <v>0.4209485341081885</v>
      </c>
      <c r="F2432" s="4473"/>
      <c r="G2432" s="2810"/>
      <c r="H2432" s="2810"/>
      <c r="I2432" s="898"/>
      <c r="J2432" s="3224"/>
      <c r="K2432" s="2698"/>
      <c r="L2432" s="2810"/>
      <c r="M2432" s="898"/>
      <c r="N2432" s="2768"/>
    </row>
    <row r="2433" spans="2:14" ht="18" hidden="1" customHeight="1" x14ac:dyDescent="0.25">
      <c r="B2433" s="441"/>
      <c r="C2433" s="2494" t="s">
        <v>4217</v>
      </c>
      <c r="D2433" s="2698">
        <v>350000000</v>
      </c>
      <c r="E2433" s="2810">
        <f>D2433/D2381*100</f>
        <v>0.2946639738757319</v>
      </c>
      <c r="F2433" s="4473"/>
      <c r="G2433" s="2810"/>
      <c r="H2433" s="2810"/>
      <c r="I2433" s="898"/>
      <c r="J2433" s="3224"/>
      <c r="K2433" s="2698"/>
      <c r="L2433" s="2810"/>
      <c r="M2433" s="898"/>
      <c r="N2433" s="2768"/>
    </row>
    <row r="2434" spans="2:14" ht="18" hidden="1" customHeight="1" x14ac:dyDescent="0.25">
      <c r="B2434" s="441"/>
      <c r="C2434" s="2494" t="s">
        <v>4218</v>
      </c>
      <c r="D2434" s="2698">
        <v>350000000</v>
      </c>
      <c r="E2434" s="2810">
        <f>D2434/D2381*100</f>
        <v>0.2946639738757319</v>
      </c>
      <c r="F2434" s="4473"/>
      <c r="G2434" s="2810"/>
      <c r="H2434" s="2810"/>
      <c r="I2434" s="898"/>
      <c r="J2434" s="3224"/>
      <c r="K2434" s="2698"/>
      <c r="L2434" s="2810"/>
      <c r="M2434" s="898"/>
      <c r="N2434" s="2768"/>
    </row>
    <row r="2435" spans="2:14" ht="18" hidden="1" customHeight="1" x14ac:dyDescent="0.25">
      <c r="B2435" s="441"/>
      <c r="C2435" s="2494" t="s">
        <v>4219</v>
      </c>
      <c r="D2435" s="2698">
        <v>50000000</v>
      </c>
      <c r="E2435" s="2810">
        <f>D2435/D2381*100</f>
        <v>4.2094853410818846E-2</v>
      </c>
      <c r="F2435" s="4473"/>
      <c r="G2435" s="2810"/>
      <c r="H2435" s="2810"/>
      <c r="I2435" s="898"/>
      <c r="J2435" s="3224"/>
      <c r="K2435" s="2698"/>
      <c r="L2435" s="2810"/>
      <c r="M2435" s="898"/>
      <c r="N2435" s="2768"/>
    </row>
    <row r="2436" spans="2:14" ht="15" hidden="1" customHeight="1" x14ac:dyDescent="0.25">
      <c r="B2436" s="441"/>
      <c r="C2436" s="2494" t="s">
        <v>4220</v>
      </c>
      <c r="D2436" s="2724">
        <v>70000000</v>
      </c>
      <c r="E2436" s="2810">
        <f>D2436/D2381*100</f>
        <v>5.8932794775146388E-2</v>
      </c>
      <c r="F2436" s="4472"/>
      <c r="G2436" s="2818"/>
      <c r="H2436" s="2818"/>
      <c r="I2436" s="911"/>
      <c r="J2436" s="3225"/>
      <c r="K2436" s="2724"/>
      <c r="L2436" s="2810"/>
      <c r="M2436" s="898"/>
      <c r="N2436" s="2768"/>
    </row>
    <row r="2437" spans="2:14" ht="15.75" hidden="1" customHeight="1" x14ac:dyDescent="0.25">
      <c r="B2437" s="441"/>
      <c r="C2437" s="2495" t="s">
        <v>4221</v>
      </c>
      <c r="D2437" s="2706">
        <v>70000000</v>
      </c>
      <c r="E2437" s="2818">
        <f>D2437/D2381*100</f>
        <v>5.8932794775146388E-2</v>
      </c>
      <c r="F2437" s="4474"/>
      <c r="G2437" s="2810"/>
      <c r="H2437" s="2810"/>
      <c r="I2437" s="898"/>
      <c r="J2437" s="3224"/>
      <c r="K2437" s="2698"/>
      <c r="L2437" s="2810"/>
      <c r="M2437" s="898"/>
      <c r="N2437" s="2768"/>
    </row>
    <row r="2438" spans="2:14" ht="15.75" hidden="1" customHeight="1" x14ac:dyDescent="0.25">
      <c r="B2438" s="441"/>
      <c r="C2438" s="2494" t="s">
        <v>4222</v>
      </c>
      <c r="D2438" s="2698">
        <v>450000000</v>
      </c>
      <c r="E2438" s="2810">
        <f>D2438/D2381*100</f>
        <v>0.37885368069736963</v>
      </c>
      <c r="F2438" s="4473"/>
      <c r="G2438" s="2810"/>
      <c r="H2438" s="2810"/>
      <c r="I2438" s="898"/>
      <c r="J2438" s="3224"/>
      <c r="K2438" s="2698"/>
      <c r="L2438" s="2810"/>
      <c r="M2438" s="898"/>
      <c r="N2438" s="2768"/>
    </row>
    <row r="2439" spans="2:14" ht="14.25" hidden="1" customHeight="1" x14ac:dyDescent="0.25">
      <c r="B2439" s="441"/>
      <c r="C2439" s="2494" t="s">
        <v>4223</v>
      </c>
      <c r="D2439" s="2698">
        <v>350000000</v>
      </c>
      <c r="E2439" s="2810">
        <f>D2439/D2381*100</f>
        <v>0.2946639738757319</v>
      </c>
      <c r="F2439" s="4473"/>
      <c r="G2439" s="2810"/>
      <c r="H2439" s="2810"/>
      <c r="I2439" s="898"/>
      <c r="J2439" s="3224"/>
      <c r="K2439" s="2698"/>
      <c r="L2439" s="2810"/>
      <c r="M2439" s="898"/>
      <c r="N2439" s="2768"/>
    </row>
    <row r="2440" spans="2:14" ht="12" hidden="1" customHeight="1" x14ac:dyDescent="0.25">
      <c r="B2440" s="441"/>
      <c r="C2440" s="2494"/>
      <c r="D2440" s="2698"/>
      <c r="E2440" s="2810"/>
      <c r="F2440" s="4473"/>
      <c r="G2440" s="2810"/>
      <c r="H2440" s="2810"/>
      <c r="I2440" s="898"/>
      <c r="J2440" s="3224"/>
      <c r="K2440" s="2698"/>
      <c r="L2440" s="2810"/>
      <c r="M2440" s="898"/>
      <c r="N2440" s="2768"/>
    </row>
    <row r="2441" spans="2:14" ht="20.25" hidden="1" customHeight="1" x14ac:dyDescent="0.25">
      <c r="B2441" s="441"/>
      <c r="C2441" s="2491" t="s">
        <v>4234</v>
      </c>
      <c r="D2441" s="2692">
        <f>SUM(D2442:D2451)</f>
        <v>1452000000</v>
      </c>
      <c r="E2441" s="2813">
        <f>D2441/D2381*100</f>
        <v>1.2224345430501793</v>
      </c>
      <c r="F2441" s="4473"/>
      <c r="G2441" s="2810"/>
      <c r="H2441" s="2810"/>
      <c r="I2441" s="898"/>
      <c r="J2441" s="3224"/>
      <c r="K2441" s="2698"/>
      <c r="L2441" s="2810"/>
      <c r="M2441" s="898"/>
      <c r="N2441" s="2768"/>
    </row>
    <row r="2442" spans="2:14" ht="18" hidden="1" customHeight="1" x14ac:dyDescent="0.25">
      <c r="B2442" s="441"/>
      <c r="C2442" s="2494" t="s">
        <v>4224</v>
      </c>
      <c r="D2442" s="2698">
        <v>203000000</v>
      </c>
      <c r="E2442" s="2810">
        <f>D2442/D2381*100</f>
        <v>0.17090510484792451</v>
      </c>
      <c r="F2442" s="4473"/>
      <c r="G2442" s="2810"/>
      <c r="H2442" s="2810"/>
      <c r="I2442" s="898"/>
      <c r="J2442" s="3224"/>
      <c r="K2442" s="2698"/>
      <c r="L2442" s="2810"/>
      <c r="M2442" s="898"/>
      <c r="N2442" s="2768"/>
    </row>
    <row r="2443" spans="2:14" ht="17.25" hidden="1" customHeight="1" x14ac:dyDescent="0.25">
      <c r="B2443" s="441"/>
      <c r="C2443" s="2494" t="s">
        <v>4225</v>
      </c>
      <c r="D2443" s="2698">
        <v>198000000</v>
      </c>
      <c r="E2443" s="2810">
        <f>D2443/D2381*100</f>
        <v>0.16669561950684264</v>
      </c>
      <c r="F2443" s="4473"/>
      <c r="G2443" s="2810"/>
      <c r="H2443" s="2810"/>
      <c r="I2443" s="898"/>
      <c r="J2443" s="3224"/>
      <c r="K2443" s="2698"/>
      <c r="L2443" s="2810"/>
      <c r="M2443" s="898"/>
      <c r="N2443" s="2768"/>
    </row>
    <row r="2444" spans="2:14" ht="17.25" hidden="1" customHeight="1" x14ac:dyDescent="0.25">
      <c r="B2444" s="441"/>
      <c r="C2444" s="2494" t="s">
        <v>4226</v>
      </c>
      <c r="D2444" s="2698">
        <v>250000000</v>
      </c>
      <c r="E2444" s="2810">
        <f>D2444/D2381*100</f>
        <v>0.21047426705409425</v>
      </c>
      <c r="F2444" s="4473"/>
      <c r="G2444" s="2810"/>
      <c r="H2444" s="2810"/>
      <c r="I2444" s="898"/>
      <c r="J2444" s="3224"/>
      <c r="K2444" s="2698"/>
      <c r="L2444" s="2810"/>
      <c r="M2444" s="898"/>
      <c r="N2444" s="2768"/>
    </row>
    <row r="2445" spans="2:14" ht="16.5" hidden="1" customHeight="1" x14ac:dyDescent="0.25">
      <c r="B2445" s="441"/>
      <c r="C2445" s="2494" t="s">
        <v>4227</v>
      </c>
      <c r="D2445" s="2698">
        <v>70000000</v>
      </c>
      <c r="E2445" s="2810">
        <f>D2445/D2381*100</f>
        <v>5.8932794775146388E-2</v>
      </c>
      <c r="F2445" s="4473"/>
      <c r="G2445" s="2810"/>
      <c r="H2445" s="2810"/>
      <c r="I2445" s="898"/>
      <c r="J2445" s="3224"/>
      <c r="K2445" s="2698"/>
      <c r="L2445" s="2810"/>
      <c r="M2445" s="898"/>
      <c r="N2445" s="2768"/>
    </row>
    <row r="2446" spans="2:14" ht="15.75" hidden="1" customHeight="1" x14ac:dyDescent="0.25">
      <c r="B2446" s="441"/>
      <c r="C2446" s="2494" t="s">
        <v>4228</v>
      </c>
      <c r="D2446" s="2698">
        <v>70000000</v>
      </c>
      <c r="E2446" s="2810">
        <f>D2446/D2381*100</f>
        <v>5.8932794775146388E-2</v>
      </c>
      <c r="F2446" s="4473"/>
      <c r="G2446" s="2810"/>
      <c r="H2446" s="2810"/>
      <c r="I2446" s="898"/>
      <c r="J2446" s="3224"/>
      <c r="K2446" s="2698"/>
      <c r="L2446" s="2810"/>
      <c r="M2446" s="898"/>
      <c r="N2446" s="2768"/>
    </row>
    <row r="2447" spans="2:14" ht="17.25" hidden="1" customHeight="1" x14ac:dyDescent="0.25">
      <c r="B2447" s="441"/>
      <c r="C2447" s="2494" t="s">
        <v>4229</v>
      </c>
      <c r="D2447" s="2698">
        <v>70000000</v>
      </c>
      <c r="E2447" s="2810">
        <f>D2447/D2381*100</f>
        <v>5.8932794775146388E-2</v>
      </c>
      <c r="F2447" s="4473"/>
      <c r="G2447" s="2810"/>
      <c r="H2447" s="2810"/>
      <c r="I2447" s="898"/>
      <c r="J2447" s="3224"/>
      <c r="K2447" s="2698"/>
      <c r="L2447" s="2810"/>
      <c r="M2447" s="898"/>
      <c r="N2447" s="2768"/>
    </row>
    <row r="2448" spans="2:14" ht="15.75" hidden="1" customHeight="1" x14ac:dyDescent="0.25">
      <c r="B2448" s="441"/>
      <c r="C2448" s="2494" t="s">
        <v>4230</v>
      </c>
      <c r="D2448" s="2698">
        <v>70000000</v>
      </c>
      <c r="E2448" s="2810">
        <f>D2448/D2381*100</f>
        <v>5.8932794775146388E-2</v>
      </c>
      <c r="F2448" s="4473"/>
      <c r="G2448" s="2810"/>
      <c r="H2448" s="2810"/>
      <c r="I2448" s="898"/>
      <c r="J2448" s="3224"/>
      <c r="K2448" s="2698"/>
      <c r="L2448" s="2810"/>
      <c r="M2448" s="898"/>
      <c r="N2448" s="2768"/>
    </row>
    <row r="2449" spans="2:14" ht="15.75" hidden="1" customHeight="1" x14ac:dyDescent="0.25">
      <c r="B2449" s="441"/>
      <c r="C2449" s="2494" t="s">
        <v>4231</v>
      </c>
      <c r="D2449" s="2698">
        <v>150000000</v>
      </c>
      <c r="E2449" s="2810">
        <f>D2449/D2381*100</f>
        <v>0.12628456023245652</v>
      </c>
      <c r="F2449" s="4473"/>
      <c r="G2449" s="2810"/>
      <c r="H2449" s="2810"/>
      <c r="I2449" s="898"/>
      <c r="J2449" s="3224"/>
      <c r="K2449" s="2698"/>
      <c r="L2449" s="2810"/>
      <c r="M2449" s="898"/>
      <c r="N2449" s="2768"/>
    </row>
    <row r="2450" spans="2:14" ht="15.75" hidden="1" customHeight="1" x14ac:dyDescent="0.25">
      <c r="B2450" s="441"/>
      <c r="C2450" s="2494" t="s">
        <v>4232</v>
      </c>
      <c r="D2450" s="2698">
        <v>150000000</v>
      </c>
      <c r="E2450" s="2810">
        <f>D2450/D2381*100</f>
        <v>0.12628456023245652</v>
      </c>
      <c r="F2450" s="4473"/>
      <c r="G2450" s="2810"/>
      <c r="H2450" s="2810"/>
      <c r="I2450" s="898"/>
      <c r="J2450" s="3224"/>
      <c r="K2450" s="2698"/>
      <c r="L2450" s="2810"/>
      <c r="M2450" s="898"/>
      <c r="N2450" s="2768"/>
    </row>
    <row r="2451" spans="2:14" ht="20.25" hidden="1" customHeight="1" x14ac:dyDescent="0.25">
      <c r="B2451" s="441"/>
      <c r="C2451" s="2494" t="s">
        <v>4233</v>
      </c>
      <c r="D2451" s="2698">
        <v>221000000</v>
      </c>
      <c r="E2451" s="2810">
        <f>D2451/D2381*100</f>
        <v>0.1860592520758193</v>
      </c>
      <c r="F2451" s="4473"/>
      <c r="G2451" s="2810"/>
      <c r="H2451" s="2810"/>
      <c r="I2451" s="898"/>
      <c r="J2451" s="3224"/>
      <c r="K2451" s="2698"/>
      <c r="L2451" s="2810"/>
      <c r="M2451" s="898"/>
      <c r="N2451" s="2768"/>
    </row>
    <row r="2452" spans="2:14" ht="11.25" hidden="1" customHeight="1" x14ac:dyDescent="0.25">
      <c r="B2452" s="441"/>
      <c r="C2452" s="2494"/>
      <c r="D2452" s="2698"/>
      <c r="E2452" s="2810"/>
      <c r="F2452" s="4473"/>
      <c r="G2452" s="2810"/>
      <c r="H2452" s="2810"/>
      <c r="I2452" s="898"/>
      <c r="J2452" s="3224"/>
      <c r="K2452" s="2698"/>
      <c r="L2452" s="2810"/>
      <c r="M2452" s="898"/>
      <c r="N2452" s="2768"/>
    </row>
    <row r="2453" spans="2:14" ht="19.5" hidden="1" customHeight="1" x14ac:dyDescent="0.25">
      <c r="B2453" s="441"/>
      <c r="C2453" s="2491" t="s">
        <v>4235</v>
      </c>
      <c r="D2453" s="2692">
        <f>SUM(D2454:D2459)</f>
        <v>4213000000</v>
      </c>
      <c r="E2453" s="2813">
        <f>D2453/D2381*100</f>
        <v>3.5469123483955958</v>
      </c>
      <c r="F2453" s="3894"/>
      <c r="G2453" s="2810"/>
      <c r="H2453" s="2810"/>
      <c r="I2453" s="898"/>
      <c r="J2453" s="3224"/>
      <c r="K2453" s="2698"/>
      <c r="L2453" s="2810"/>
      <c r="M2453" s="898"/>
      <c r="N2453" s="2768"/>
    </row>
    <row r="2454" spans="2:14" ht="15.75" hidden="1" customHeight="1" x14ac:dyDescent="0.25">
      <c r="B2454" s="441"/>
      <c r="C2454" s="2494" t="s">
        <v>4236</v>
      </c>
      <c r="D2454" s="2698">
        <v>100000000</v>
      </c>
      <c r="E2454" s="2810">
        <f>D2454/D2381*100</f>
        <v>8.4189706821637691E-2</v>
      </c>
      <c r="F2454" s="4473"/>
      <c r="G2454" s="2810"/>
      <c r="H2454" s="2810"/>
      <c r="I2454" s="898"/>
      <c r="J2454" s="3224"/>
      <c r="K2454" s="2698"/>
      <c r="L2454" s="2810"/>
      <c r="M2454" s="898"/>
      <c r="N2454" s="2768"/>
    </row>
    <row r="2455" spans="2:14" ht="15.75" hidden="1" customHeight="1" x14ac:dyDescent="0.25">
      <c r="B2455" s="441"/>
      <c r="C2455" s="2494" t="s">
        <v>4237</v>
      </c>
      <c r="D2455" s="2698">
        <v>1050000000</v>
      </c>
      <c r="E2455" s="2810">
        <f>D2455/D2381*100</f>
        <v>0.88399192162719564</v>
      </c>
      <c r="F2455" s="4473"/>
      <c r="G2455" s="2810"/>
      <c r="H2455" s="2810"/>
      <c r="I2455" s="898"/>
      <c r="J2455" s="3224"/>
      <c r="K2455" s="2698"/>
      <c r="L2455" s="2810"/>
      <c r="M2455" s="898"/>
      <c r="N2455" s="2768"/>
    </row>
    <row r="2456" spans="2:14" ht="18" hidden="1" customHeight="1" x14ac:dyDescent="0.25">
      <c r="B2456" s="441"/>
      <c r="C2456" s="2494" t="s">
        <v>4240</v>
      </c>
      <c r="D2456" s="2698">
        <v>936000000</v>
      </c>
      <c r="E2456" s="2810">
        <f>D2456/D2381*100</f>
        <v>0.7880156558505288</v>
      </c>
      <c r="F2456" s="4473"/>
      <c r="G2456" s="2810"/>
      <c r="H2456" s="2810"/>
      <c r="I2456" s="898"/>
      <c r="J2456" s="3224"/>
      <c r="K2456" s="2698"/>
      <c r="L2456" s="2810"/>
      <c r="M2456" s="898"/>
      <c r="N2456" s="2768"/>
    </row>
    <row r="2457" spans="2:14" ht="15.75" hidden="1" customHeight="1" x14ac:dyDescent="0.25">
      <c r="B2457" s="441"/>
      <c r="C2457" s="2494" t="s">
        <v>4238</v>
      </c>
      <c r="D2457" s="2698">
        <v>396000000</v>
      </c>
      <c r="E2457" s="2810">
        <f>D2457/D2381*100</f>
        <v>0.33339123901368528</v>
      </c>
      <c r="F2457" s="4473"/>
      <c r="G2457" s="2810"/>
      <c r="H2457" s="2810"/>
      <c r="I2457" s="898"/>
      <c r="J2457" s="3224"/>
      <c r="K2457" s="2698"/>
      <c r="L2457" s="2810"/>
      <c r="M2457" s="898"/>
      <c r="N2457" s="2768"/>
    </row>
    <row r="2458" spans="2:14" ht="15" hidden="1" customHeight="1" x14ac:dyDescent="0.25">
      <c r="B2458" s="441"/>
      <c r="C2458" s="2494" t="s">
        <v>4239</v>
      </c>
      <c r="D2458" s="2698">
        <v>231000000</v>
      </c>
      <c r="E2458" s="2810">
        <f>D2458/D2381*100</f>
        <v>0.19447822275798304</v>
      </c>
      <c r="F2458" s="4473"/>
      <c r="G2458" s="2810"/>
      <c r="H2458" s="2810"/>
      <c r="I2458" s="898"/>
      <c r="J2458" s="3224"/>
      <c r="K2458" s="2698"/>
      <c r="L2458" s="2810"/>
      <c r="M2458" s="898"/>
      <c r="N2458" s="2768"/>
    </row>
    <row r="2459" spans="2:14" ht="17.25" hidden="1" customHeight="1" x14ac:dyDescent="0.25">
      <c r="B2459" s="441"/>
      <c r="C2459" s="2494" t="s">
        <v>4241</v>
      </c>
      <c r="D2459" s="2698">
        <v>1500000000</v>
      </c>
      <c r="E2459" s="2810">
        <f>D2459/D2381*100</f>
        <v>1.2628456023245653</v>
      </c>
      <c r="F2459" s="4473"/>
      <c r="G2459" s="2810"/>
      <c r="H2459" s="2810"/>
      <c r="I2459" s="898"/>
      <c r="J2459" s="3224"/>
      <c r="K2459" s="2698"/>
      <c r="L2459" s="2810"/>
      <c r="M2459" s="898"/>
      <c r="N2459" s="2768"/>
    </row>
    <row r="2460" spans="2:14" ht="12" hidden="1" customHeight="1" x14ac:dyDescent="0.25">
      <c r="B2460" s="441"/>
      <c r="C2460" s="2494"/>
      <c r="D2460" s="2698"/>
      <c r="E2460" s="2810"/>
      <c r="F2460" s="4473"/>
      <c r="G2460" s="2810"/>
      <c r="H2460" s="2810"/>
      <c r="I2460" s="898"/>
      <c r="J2460" s="3224"/>
      <c r="K2460" s="2698"/>
      <c r="L2460" s="2810"/>
      <c r="M2460" s="898"/>
      <c r="N2460" s="2768"/>
    </row>
    <row r="2461" spans="2:14" ht="17.25" hidden="1" customHeight="1" x14ac:dyDescent="0.25">
      <c r="B2461" s="441"/>
      <c r="C2461" s="2491" t="s">
        <v>4242</v>
      </c>
      <c r="D2461" s="2692">
        <f>D2462</f>
        <v>2000000000</v>
      </c>
      <c r="E2461" s="2813">
        <f>D2461/D2381*100</f>
        <v>1.683794136432754</v>
      </c>
      <c r="F2461" s="4473"/>
      <c r="G2461" s="2810"/>
      <c r="H2461" s="2810"/>
      <c r="I2461" s="898"/>
      <c r="J2461" s="3224"/>
      <c r="K2461" s="2698"/>
      <c r="L2461" s="2810"/>
      <c r="M2461" s="898"/>
      <c r="N2461" s="2768"/>
    </row>
    <row r="2462" spans="2:14" ht="17.25" hidden="1" customHeight="1" x14ac:dyDescent="0.25">
      <c r="B2462" s="441"/>
      <c r="C2462" s="2494" t="s">
        <v>4243</v>
      </c>
      <c r="D2462" s="2698">
        <v>2000000000</v>
      </c>
      <c r="E2462" s="2810">
        <f>D2462/D2381*100</f>
        <v>1.683794136432754</v>
      </c>
      <c r="F2462" s="4473"/>
      <c r="G2462" s="2810"/>
      <c r="H2462" s="2810"/>
      <c r="I2462" s="898"/>
      <c r="J2462" s="3224"/>
      <c r="K2462" s="2698"/>
      <c r="L2462" s="2810"/>
      <c r="M2462" s="898"/>
      <c r="N2462" s="2768"/>
    </row>
    <row r="2463" spans="2:14" ht="12" hidden="1" customHeight="1" x14ac:dyDescent="0.25">
      <c r="B2463" s="441"/>
      <c r="C2463" s="2506"/>
      <c r="D2463" s="2724"/>
      <c r="E2463" s="2840"/>
      <c r="F2463" s="4475"/>
      <c r="G2463" s="3226"/>
      <c r="H2463" s="3226"/>
      <c r="I2463" s="3139"/>
      <c r="J2463" s="3227"/>
      <c r="K2463" s="2724"/>
      <c r="L2463" s="2840"/>
      <c r="M2463" s="2755"/>
      <c r="N2463" s="2768"/>
    </row>
    <row r="2464" spans="2:14" ht="18.75" hidden="1" customHeight="1" x14ac:dyDescent="0.25">
      <c r="B2464" s="440"/>
      <c r="C2464" s="2497" t="s">
        <v>1789</v>
      </c>
      <c r="D2464" s="2669">
        <f>SUM(D2465+D2468+D2480+D2503+D2506+D2509+D2512+D2516)</f>
        <v>48634600000</v>
      </c>
      <c r="E2464" s="2786">
        <f>D2464/D2381*100</f>
        <v>40.945327153876207</v>
      </c>
      <c r="F2464" s="3835"/>
      <c r="G2464" s="2719"/>
      <c r="H2464" s="2786"/>
      <c r="I2464" s="2744"/>
      <c r="J2464" s="2720"/>
      <c r="K2464" s="2720"/>
      <c r="L2464" s="2786"/>
      <c r="M2464" s="2744"/>
      <c r="N2464" s="2768"/>
    </row>
    <row r="2465" spans="2:14" ht="18" hidden="1" customHeight="1" x14ac:dyDescent="0.25">
      <c r="B2465" s="441"/>
      <c r="C2465" s="2569" t="s">
        <v>103</v>
      </c>
      <c r="D2465" s="2676">
        <f>D2466</f>
        <v>17270000000</v>
      </c>
      <c r="E2465" s="3214">
        <f>D2465/D2381*100</f>
        <v>14.539562368096828</v>
      </c>
      <c r="F2465" s="3841"/>
      <c r="G2465" s="2725"/>
      <c r="H2465" s="2725"/>
      <c r="I2465" s="2725"/>
      <c r="J2465" s="2680"/>
      <c r="K2465" s="2680"/>
      <c r="L2465" s="2725"/>
      <c r="M2465" s="2725"/>
      <c r="N2465" s="2768"/>
    </row>
    <row r="2466" spans="2:14" ht="18" hidden="1" customHeight="1" x14ac:dyDescent="0.25">
      <c r="B2466" s="441"/>
      <c r="C2466" s="2489" t="s">
        <v>1791</v>
      </c>
      <c r="D2466" s="896">
        <v>17270000000</v>
      </c>
      <c r="E2466" s="2879">
        <f>D2466/D2381*100</f>
        <v>14.539562368096828</v>
      </c>
      <c r="F2466" s="3868"/>
      <c r="G2466" s="2685"/>
      <c r="H2466" s="2685"/>
      <c r="I2466" s="2685"/>
      <c r="J2466" s="896"/>
      <c r="K2466" s="2700"/>
      <c r="L2466" s="2685"/>
      <c r="M2466" s="2685"/>
      <c r="N2466" s="2768"/>
    </row>
    <row r="2467" spans="2:14" ht="10.5" hidden="1" customHeight="1" x14ac:dyDescent="0.25">
      <c r="B2467" s="441"/>
      <c r="C2467" s="2494"/>
      <c r="D2467" s="2698"/>
      <c r="E2467" s="2879"/>
      <c r="F2467" s="3834"/>
      <c r="G2467" s="2679"/>
      <c r="H2467" s="3214"/>
      <c r="I2467" s="899"/>
      <c r="J2467" s="2694"/>
      <c r="K2467" s="2694"/>
      <c r="L2467" s="2695"/>
      <c r="M2467" s="899"/>
      <c r="N2467" s="2768"/>
    </row>
    <row r="2468" spans="2:14" ht="18.75" hidden="1" customHeight="1" x14ac:dyDescent="0.25">
      <c r="B2468" s="441"/>
      <c r="C2468" s="2491" t="s">
        <v>4244</v>
      </c>
      <c r="D2468" s="2692">
        <f>SUM(D2469:D2478)</f>
        <v>16406000000</v>
      </c>
      <c r="E2468" s="3214">
        <f>D2468/D2381*100</f>
        <v>13.812163301157879</v>
      </c>
      <c r="F2468" s="3834"/>
      <c r="G2468" s="2679"/>
      <c r="H2468" s="3214"/>
      <c r="I2468" s="899"/>
      <c r="J2468" s="2694"/>
      <c r="K2468" s="2694"/>
      <c r="L2468" s="2695"/>
      <c r="M2468" s="899"/>
      <c r="N2468" s="2768"/>
    </row>
    <row r="2469" spans="2:14" ht="15.75" hidden="1" customHeight="1" x14ac:dyDescent="0.25">
      <c r="B2469" s="441"/>
      <c r="C2469" s="2494" t="s">
        <v>7557</v>
      </c>
      <c r="D2469" s="2698">
        <v>990000000</v>
      </c>
      <c r="E2469" s="2879">
        <f>D2469/D2381*100</f>
        <v>0.8334780975342132</v>
      </c>
      <c r="F2469" s="3834"/>
      <c r="G2469" s="2679"/>
      <c r="H2469" s="3214"/>
      <c r="I2469" s="899"/>
      <c r="J2469" s="2694"/>
      <c r="K2469" s="2694"/>
      <c r="L2469" s="2695"/>
      <c r="M2469" s="899"/>
      <c r="N2469" s="2768"/>
    </row>
    <row r="2470" spans="2:14" ht="15.75" hidden="1" customHeight="1" x14ac:dyDescent="0.25">
      <c r="B2470" s="441"/>
      <c r="C2470" s="2616" t="s">
        <v>7558</v>
      </c>
      <c r="D2470" s="2698">
        <v>1000000000</v>
      </c>
      <c r="E2470" s="2879">
        <f>D2470/D2381*100</f>
        <v>0.841897068216377</v>
      </c>
      <c r="F2470" s="3834"/>
      <c r="G2470" s="2679"/>
      <c r="H2470" s="3214"/>
      <c r="I2470" s="899"/>
      <c r="J2470" s="2694"/>
      <c r="K2470" s="2694"/>
      <c r="L2470" s="2695"/>
      <c r="M2470" s="899"/>
      <c r="N2470" s="2768"/>
    </row>
    <row r="2471" spans="2:14" ht="15.75" hidden="1" customHeight="1" x14ac:dyDescent="0.25">
      <c r="B2471" s="441"/>
      <c r="C2471" s="2616" t="s">
        <v>7559</v>
      </c>
      <c r="D2471" s="2698">
        <v>1000000000</v>
      </c>
      <c r="E2471" s="2879">
        <f>D2471/D2381*100</f>
        <v>0.841897068216377</v>
      </c>
      <c r="F2471" s="3834"/>
      <c r="G2471" s="2679"/>
      <c r="H2471" s="3214"/>
      <c r="I2471" s="899"/>
      <c r="J2471" s="2694"/>
      <c r="K2471" s="2694"/>
      <c r="L2471" s="2695"/>
      <c r="M2471" s="899"/>
      <c r="N2471" s="2768"/>
    </row>
    <row r="2472" spans="2:14" ht="15.75" hidden="1" customHeight="1" x14ac:dyDescent="0.25">
      <c r="B2472" s="441"/>
      <c r="C2472" s="2494" t="s">
        <v>7598</v>
      </c>
      <c r="D2472" s="2698">
        <v>4656000000</v>
      </c>
      <c r="E2472" s="2879">
        <f>D2472/D2381*100</f>
        <v>3.9198727496154508</v>
      </c>
      <c r="F2472" s="3834"/>
      <c r="G2472" s="2679"/>
      <c r="H2472" s="3214"/>
      <c r="I2472" s="899"/>
      <c r="J2472" s="2694"/>
      <c r="K2472" s="2694"/>
      <c r="L2472" s="2695"/>
      <c r="M2472" s="899"/>
      <c r="N2472" s="2768"/>
    </row>
    <row r="2473" spans="2:14" ht="15.75" hidden="1" customHeight="1" x14ac:dyDescent="0.25">
      <c r="B2473" s="441"/>
      <c r="C2473" s="2494" t="s">
        <v>7560</v>
      </c>
      <c r="D2473" s="2698">
        <v>2820000000</v>
      </c>
      <c r="E2473" s="2879">
        <f>D2473/D2381*100</f>
        <v>2.3741497323701828</v>
      </c>
      <c r="F2473" s="3834"/>
      <c r="G2473" s="2679"/>
      <c r="H2473" s="3214"/>
      <c r="I2473" s="899"/>
      <c r="J2473" s="2694"/>
      <c r="K2473" s="2694"/>
      <c r="L2473" s="2695"/>
      <c r="M2473" s="899"/>
      <c r="N2473" s="2768"/>
    </row>
    <row r="2474" spans="2:14" ht="15.75" hidden="1" customHeight="1" x14ac:dyDescent="0.25">
      <c r="B2474" s="441"/>
      <c r="C2474" s="2494" t="s">
        <v>7561</v>
      </c>
      <c r="D2474" s="2698">
        <v>980000000</v>
      </c>
      <c r="E2474" s="2879">
        <f>D2474/D2381*100</f>
        <v>0.82505912685204941</v>
      </c>
      <c r="F2474" s="3834"/>
      <c r="G2474" s="2679"/>
      <c r="H2474" s="3214"/>
      <c r="I2474" s="899"/>
      <c r="J2474" s="2694"/>
      <c r="K2474" s="2694"/>
      <c r="L2474" s="2695"/>
      <c r="M2474" s="899"/>
      <c r="N2474" s="2768"/>
    </row>
    <row r="2475" spans="2:14" ht="15.75" hidden="1" customHeight="1" x14ac:dyDescent="0.25">
      <c r="B2475" s="441"/>
      <c r="C2475" s="2494" t="s">
        <v>7562</v>
      </c>
      <c r="D2475" s="2698">
        <v>2450000000</v>
      </c>
      <c r="E2475" s="2879">
        <f>D2475/D2381*100</f>
        <v>2.0626478171301232</v>
      </c>
      <c r="F2475" s="3834"/>
      <c r="G2475" s="2679"/>
      <c r="H2475" s="3214"/>
      <c r="I2475" s="899"/>
      <c r="J2475" s="2694"/>
      <c r="K2475" s="2694"/>
      <c r="L2475" s="2695"/>
      <c r="M2475" s="899"/>
      <c r="N2475" s="2768"/>
    </row>
    <row r="2476" spans="2:14" ht="15.75" hidden="1" customHeight="1" x14ac:dyDescent="0.25">
      <c r="B2476" s="441"/>
      <c r="C2476" s="2494" t="s">
        <v>7563</v>
      </c>
      <c r="D2476" s="2698">
        <v>1130000000</v>
      </c>
      <c r="E2476" s="2879">
        <f>D2476/D2381*100</f>
        <v>0.9513436870845059</v>
      </c>
      <c r="F2476" s="3834"/>
      <c r="G2476" s="2679"/>
      <c r="H2476" s="3214"/>
      <c r="I2476" s="899"/>
      <c r="J2476" s="2694"/>
      <c r="K2476" s="2694"/>
      <c r="L2476" s="2695"/>
      <c r="M2476" s="899"/>
      <c r="N2476" s="2768"/>
    </row>
    <row r="2477" spans="2:14" ht="15.75" hidden="1" customHeight="1" x14ac:dyDescent="0.25">
      <c r="B2477" s="441"/>
      <c r="C2477" s="2494" t="s">
        <v>7564</v>
      </c>
      <c r="D2477" s="2698">
        <v>980000000</v>
      </c>
      <c r="E2477" s="2879">
        <f>D2477/D2381*100</f>
        <v>0.82505912685204941</v>
      </c>
      <c r="F2477" s="3834"/>
      <c r="G2477" s="2679"/>
      <c r="H2477" s="3214"/>
      <c r="I2477" s="899"/>
      <c r="J2477" s="2694"/>
      <c r="K2477" s="2694"/>
      <c r="L2477" s="2695"/>
      <c r="M2477" s="899"/>
      <c r="N2477" s="2768"/>
    </row>
    <row r="2478" spans="2:14" ht="15.75" hidden="1" customHeight="1" x14ac:dyDescent="0.25">
      <c r="B2478" s="441"/>
      <c r="C2478" s="2494" t="s">
        <v>7565</v>
      </c>
      <c r="D2478" s="2698">
        <v>400000000</v>
      </c>
      <c r="E2478" s="2879">
        <f>D2478/D2381*100</f>
        <v>0.33675882728655077</v>
      </c>
      <c r="F2478" s="3834"/>
      <c r="G2478" s="2679"/>
      <c r="H2478" s="3214"/>
      <c r="I2478" s="899"/>
      <c r="J2478" s="2694"/>
      <c r="K2478" s="2694"/>
      <c r="L2478" s="2695"/>
      <c r="M2478" s="899"/>
      <c r="N2478" s="2768"/>
    </row>
    <row r="2479" spans="2:14" ht="13.5" hidden="1" customHeight="1" x14ac:dyDescent="0.25">
      <c r="B2479" s="441"/>
      <c r="C2479" s="2494"/>
      <c r="D2479" s="2698"/>
      <c r="E2479" s="3214"/>
      <c r="F2479" s="3834"/>
      <c r="G2479" s="2679"/>
      <c r="H2479" s="3214"/>
      <c r="I2479" s="899"/>
      <c r="J2479" s="2694"/>
      <c r="K2479" s="2694"/>
      <c r="L2479" s="2695"/>
      <c r="M2479" s="899"/>
      <c r="N2479" s="2768"/>
    </row>
    <row r="2480" spans="2:14" ht="15.75" hidden="1" customHeight="1" x14ac:dyDescent="0.25">
      <c r="B2480" s="441"/>
      <c r="C2480" s="2491" t="s">
        <v>7566</v>
      </c>
      <c r="D2480" s="2692">
        <f>SUM(D2481+D2497)</f>
        <v>11156000000</v>
      </c>
      <c r="E2480" s="3214">
        <f>D2480/D2381*100</f>
        <v>9.3922036930219015</v>
      </c>
      <c r="F2480" s="3868"/>
      <c r="G2480" s="2685"/>
      <c r="H2480" s="2879"/>
      <c r="I2480" s="896"/>
      <c r="J2480" s="896"/>
      <c r="K2480" s="3220"/>
      <c r="L2480" s="2690"/>
      <c r="M2480" s="896"/>
      <c r="N2480" s="2768"/>
    </row>
    <row r="2481" spans="2:14" ht="15.75" hidden="1" customHeight="1" x14ac:dyDescent="0.25">
      <c r="B2481" s="441"/>
      <c r="C2481" s="2491" t="s">
        <v>7581</v>
      </c>
      <c r="D2481" s="2692">
        <f>SUM(D2482:D2495)</f>
        <v>5456000000</v>
      </c>
      <c r="E2481" s="3214">
        <f>D2481/D2381*100</f>
        <v>4.5933904041885532</v>
      </c>
      <c r="F2481" s="3868"/>
      <c r="G2481" s="2685"/>
      <c r="H2481" s="2879"/>
      <c r="I2481" s="896"/>
      <c r="J2481" s="896"/>
      <c r="K2481" s="3220"/>
      <c r="L2481" s="2760"/>
      <c r="M2481" s="896"/>
      <c r="N2481" s="2768"/>
    </row>
    <row r="2482" spans="2:14" ht="17.25" hidden="1" customHeight="1" x14ac:dyDescent="0.25">
      <c r="B2482" s="441"/>
      <c r="C2482" s="2489" t="s">
        <v>7567</v>
      </c>
      <c r="D2482" s="896">
        <v>250000000</v>
      </c>
      <c r="E2482" s="2879">
        <f>D2482/D2381*100</f>
        <v>0.21047426705409425</v>
      </c>
      <c r="F2482" s="4384"/>
      <c r="G2482" s="2685"/>
      <c r="H2482" s="2879"/>
      <c r="I2482" s="898"/>
      <c r="J2482" s="2700"/>
      <c r="K2482" s="2700"/>
      <c r="L2482" s="2879"/>
      <c r="M2482" s="898"/>
      <c r="N2482" s="2768"/>
    </row>
    <row r="2483" spans="2:14" ht="17.25" hidden="1" customHeight="1" x14ac:dyDescent="0.25">
      <c r="B2483" s="441"/>
      <c r="C2483" s="2489" t="s">
        <v>7568</v>
      </c>
      <c r="D2483" s="896">
        <v>250000000</v>
      </c>
      <c r="E2483" s="2879">
        <f>D2483/D2381*100</f>
        <v>0.21047426705409425</v>
      </c>
      <c r="F2483" s="4384"/>
      <c r="G2483" s="2685"/>
      <c r="H2483" s="2879"/>
      <c r="I2483" s="898"/>
      <c r="J2483" s="2700"/>
      <c r="K2483" s="2700"/>
      <c r="L2483" s="2879"/>
      <c r="M2483" s="898"/>
      <c r="N2483" s="2768"/>
    </row>
    <row r="2484" spans="2:14" ht="17.25" hidden="1" customHeight="1" x14ac:dyDescent="0.25">
      <c r="B2484" s="441"/>
      <c r="C2484" s="2489" t="s">
        <v>7569</v>
      </c>
      <c r="D2484" s="896">
        <v>750000000</v>
      </c>
      <c r="E2484" s="2879">
        <f>D2484/D2381*100</f>
        <v>0.63142280116228267</v>
      </c>
      <c r="F2484" s="4384"/>
      <c r="G2484" s="2685"/>
      <c r="H2484" s="2879"/>
      <c r="I2484" s="898"/>
      <c r="J2484" s="2700"/>
      <c r="K2484" s="2700"/>
      <c r="L2484" s="2879"/>
      <c r="M2484" s="898"/>
      <c r="N2484" s="2768"/>
    </row>
    <row r="2485" spans="2:14" ht="17.25" hidden="1" customHeight="1" x14ac:dyDescent="0.25">
      <c r="B2485" s="441"/>
      <c r="C2485" s="2489" t="s">
        <v>7570</v>
      </c>
      <c r="D2485" s="896">
        <v>750000000</v>
      </c>
      <c r="E2485" s="2879">
        <f>D2485/D2381*100</f>
        <v>0.63142280116228267</v>
      </c>
      <c r="F2485" s="4384"/>
      <c r="G2485" s="2685"/>
      <c r="H2485" s="2879"/>
      <c r="I2485" s="898"/>
      <c r="J2485" s="2700"/>
      <c r="K2485" s="2700"/>
      <c r="L2485" s="2879"/>
      <c r="M2485" s="898"/>
      <c r="N2485" s="2768"/>
    </row>
    <row r="2486" spans="2:14" ht="17.25" hidden="1" customHeight="1" x14ac:dyDescent="0.25">
      <c r="B2486" s="441"/>
      <c r="C2486" s="2489" t="s">
        <v>7571</v>
      </c>
      <c r="D2486" s="896">
        <v>300000000</v>
      </c>
      <c r="E2486" s="2879">
        <f>D2486/D2381*100</f>
        <v>0.25256912046491303</v>
      </c>
      <c r="F2486" s="4384"/>
      <c r="G2486" s="2685"/>
      <c r="H2486" s="2879"/>
      <c r="I2486" s="898"/>
      <c r="J2486" s="2700"/>
      <c r="K2486" s="2700"/>
      <c r="L2486" s="2879"/>
      <c r="M2486" s="898"/>
      <c r="N2486" s="2768"/>
    </row>
    <row r="2487" spans="2:14" ht="17.25" hidden="1" customHeight="1" x14ac:dyDescent="0.25">
      <c r="B2487" s="441"/>
      <c r="C2487" s="2489" t="s">
        <v>7572</v>
      </c>
      <c r="D2487" s="896">
        <v>300000000</v>
      </c>
      <c r="E2487" s="2879">
        <f>D2487/D2381*100</f>
        <v>0.25256912046491303</v>
      </c>
      <c r="F2487" s="4384"/>
      <c r="G2487" s="2685"/>
      <c r="H2487" s="2879"/>
      <c r="I2487" s="898"/>
      <c r="J2487" s="2700"/>
      <c r="K2487" s="2700"/>
      <c r="L2487" s="2879"/>
      <c r="M2487" s="898"/>
      <c r="N2487" s="2768"/>
    </row>
    <row r="2488" spans="2:14" ht="17.25" hidden="1" customHeight="1" x14ac:dyDescent="0.25">
      <c r="B2488" s="441"/>
      <c r="C2488" s="2489" t="s">
        <v>7573</v>
      </c>
      <c r="D2488" s="896">
        <v>200000000</v>
      </c>
      <c r="E2488" s="2879">
        <f>D2488/D2381*100</f>
        <v>0.16837941364327538</v>
      </c>
      <c r="F2488" s="4384"/>
      <c r="G2488" s="2685"/>
      <c r="H2488" s="2879"/>
      <c r="I2488" s="898"/>
      <c r="J2488" s="2700"/>
      <c r="K2488" s="2700"/>
      <c r="L2488" s="2879"/>
      <c r="M2488" s="898"/>
      <c r="N2488" s="2768"/>
    </row>
    <row r="2489" spans="2:14" ht="17.25" hidden="1" customHeight="1" x14ac:dyDescent="0.25">
      <c r="B2489" s="441"/>
      <c r="C2489" s="2489" t="s">
        <v>7574</v>
      </c>
      <c r="D2489" s="896">
        <v>300000000</v>
      </c>
      <c r="E2489" s="2879">
        <f>D2489/D2381*100</f>
        <v>0.25256912046491303</v>
      </c>
      <c r="F2489" s="4384"/>
      <c r="G2489" s="2685"/>
      <c r="H2489" s="2879"/>
      <c r="I2489" s="898"/>
      <c r="J2489" s="2700"/>
      <c r="K2489" s="2700"/>
      <c r="L2489" s="2879"/>
      <c r="M2489" s="898"/>
      <c r="N2489" s="2768"/>
    </row>
    <row r="2490" spans="2:14" ht="17.25" hidden="1" customHeight="1" x14ac:dyDescent="0.25">
      <c r="B2490" s="441"/>
      <c r="C2490" s="2489" t="s">
        <v>7575</v>
      </c>
      <c r="D2490" s="896">
        <v>200000000</v>
      </c>
      <c r="E2490" s="2879">
        <f>D2490/D2381*100</f>
        <v>0.16837941364327538</v>
      </c>
      <c r="F2490" s="4384"/>
      <c r="G2490" s="2685"/>
      <c r="H2490" s="2879"/>
      <c r="I2490" s="898"/>
      <c r="J2490" s="2700"/>
      <c r="K2490" s="2700"/>
      <c r="L2490" s="2879"/>
      <c r="M2490" s="898"/>
      <c r="N2490" s="2768"/>
    </row>
    <row r="2491" spans="2:14" ht="17.25" hidden="1" customHeight="1" x14ac:dyDescent="0.25">
      <c r="B2491" s="441"/>
      <c r="C2491" s="2489" t="s">
        <v>7576</v>
      </c>
      <c r="D2491" s="896">
        <v>800000000</v>
      </c>
      <c r="E2491" s="2879">
        <f>D2491/D2381*100</f>
        <v>0.67351765457310153</v>
      </c>
      <c r="F2491" s="4384"/>
      <c r="G2491" s="2685"/>
      <c r="H2491" s="2879"/>
      <c r="I2491" s="898"/>
      <c r="J2491" s="2700"/>
      <c r="K2491" s="2700"/>
      <c r="L2491" s="2879"/>
      <c r="M2491" s="898"/>
      <c r="N2491" s="2768"/>
    </row>
    <row r="2492" spans="2:14" ht="17.25" hidden="1" customHeight="1" x14ac:dyDescent="0.25">
      <c r="B2492" s="441"/>
      <c r="C2492" s="2489" t="s">
        <v>7577</v>
      </c>
      <c r="D2492" s="896">
        <v>400000000</v>
      </c>
      <c r="E2492" s="2879">
        <f>D2492/D2381*100</f>
        <v>0.33675882728655077</v>
      </c>
      <c r="F2492" s="4384"/>
      <c r="G2492" s="2685"/>
      <c r="H2492" s="2879"/>
      <c r="I2492" s="898"/>
      <c r="J2492" s="2700"/>
      <c r="K2492" s="2700"/>
      <c r="L2492" s="2879"/>
      <c r="M2492" s="898"/>
      <c r="N2492" s="2768"/>
    </row>
    <row r="2493" spans="2:14" ht="17.25" hidden="1" customHeight="1" x14ac:dyDescent="0.25">
      <c r="B2493" s="441"/>
      <c r="C2493" s="2489" t="s">
        <v>7578</v>
      </c>
      <c r="D2493" s="896">
        <v>400000000</v>
      </c>
      <c r="E2493" s="2879">
        <f>D2493/D2381*100</f>
        <v>0.33675882728655077</v>
      </c>
      <c r="F2493" s="4384"/>
      <c r="G2493" s="2685"/>
      <c r="H2493" s="2879"/>
      <c r="I2493" s="898"/>
      <c r="J2493" s="2700"/>
      <c r="K2493" s="2700"/>
      <c r="L2493" s="2879"/>
      <c r="M2493" s="898"/>
      <c r="N2493" s="2768"/>
    </row>
    <row r="2494" spans="2:14" ht="17.25" hidden="1" customHeight="1" x14ac:dyDescent="0.25">
      <c r="B2494" s="441"/>
      <c r="C2494" s="2489" t="s">
        <v>7579</v>
      </c>
      <c r="D2494" s="896">
        <v>500000000</v>
      </c>
      <c r="E2494" s="2879">
        <f>D2494/D2381*100</f>
        <v>0.4209485341081885</v>
      </c>
      <c r="F2494" s="4384"/>
      <c r="G2494" s="2685"/>
      <c r="H2494" s="2879"/>
      <c r="I2494" s="898"/>
      <c r="J2494" s="2700"/>
      <c r="K2494" s="2700"/>
      <c r="L2494" s="2879"/>
      <c r="M2494" s="898"/>
      <c r="N2494" s="2768"/>
    </row>
    <row r="2495" spans="2:14" ht="17.25" hidden="1" customHeight="1" x14ac:dyDescent="0.25">
      <c r="B2495" s="441"/>
      <c r="C2495" s="2489" t="s">
        <v>7580</v>
      </c>
      <c r="D2495" s="896">
        <v>56000000</v>
      </c>
      <c r="E2495" s="2879">
        <f>D2495/D2381*100</f>
        <v>4.7146235820117108E-2</v>
      </c>
      <c r="F2495" s="4384"/>
      <c r="G2495" s="2685"/>
      <c r="H2495" s="2879"/>
      <c r="I2495" s="898"/>
      <c r="J2495" s="2700"/>
      <c r="K2495" s="2700"/>
      <c r="L2495" s="2879"/>
      <c r="M2495" s="898"/>
      <c r="N2495" s="2768"/>
    </row>
    <row r="2496" spans="2:14" ht="11.25" hidden="1" customHeight="1" x14ac:dyDescent="0.25">
      <c r="B2496" s="441"/>
      <c r="C2496" s="2489"/>
      <c r="D2496" s="896"/>
      <c r="E2496" s="2879"/>
      <c r="F2496" s="4384"/>
      <c r="G2496" s="2685"/>
      <c r="H2496" s="2879"/>
      <c r="I2496" s="898"/>
      <c r="J2496" s="2700"/>
      <c r="K2496" s="2700"/>
      <c r="L2496" s="2879"/>
      <c r="M2496" s="898"/>
      <c r="N2496" s="2768"/>
    </row>
    <row r="2497" spans="1:16" ht="17.25" hidden="1" customHeight="1" x14ac:dyDescent="0.25">
      <c r="B2497" s="441"/>
      <c r="C2497" s="2491" t="s">
        <v>7582</v>
      </c>
      <c r="D2497" s="899">
        <f>SUM(D2498:D2501)</f>
        <v>5700000000</v>
      </c>
      <c r="E2497" s="3214">
        <f>D2497/D2381*100</f>
        <v>4.7988132888333483</v>
      </c>
      <c r="F2497" s="4384"/>
      <c r="G2497" s="2685"/>
      <c r="H2497" s="2879"/>
      <c r="I2497" s="898"/>
      <c r="J2497" s="2700"/>
      <c r="K2497" s="2700"/>
      <c r="L2497" s="2879"/>
      <c r="M2497" s="898"/>
      <c r="N2497" s="2768"/>
    </row>
    <row r="2498" spans="1:16" ht="17.25" hidden="1" customHeight="1" x14ac:dyDescent="0.25">
      <c r="B2498" s="441"/>
      <c r="C2498" s="2489" t="s">
        <v>7583</v>
      </c>
      <c r="D2498" s="896">
        <v>2000000000</v>
      </c>
      <c r="E2498" s="2879">
        <f>D2498/D2381*100</f>
        <v>1.683794136432754</v>
      </c>
      <c r="F2498" s="4384"/>
      <c r="G2498" s="2685"/>
      <c r="H2498" s="2879"/>
      <c r="I2498" s="898"/>
      <c r="J2498" s="2700"/>
      <c r="K2498" s="2700"/>
      <c r="L2498" s="2879"/>
      <c r="M2498" s="898"/>
      <c r="N2498" s="2768"/>
    </row>
    <row r="2499" spans="1:16" ht="17.25" hidden="1" customHeight="1" x14ac:dyDescent="0.25">
      <c r="B2499" s="441"/>
      <c r="C2499" s="2489" t="s">
        <v>7584</v>
      </c>
      <c r="D2499" s="896">
        <v>1500000000</v>
      </c>
      <c r="E2499" s="2879">
        <f>D2499/D2381*100</f>
        <v>1.2628456023245653</v>
      </c>
      <c r="F2499" s="4384"/>
      <c r="G2499" s="2685"/>
      <c r="H2499" s="2879"/>
      <c r="I2499" s="898"/>
      <c r="J2499" s="2700"/>
      <c r="K2499" s="2700"/>
      <c r="L2499" s="2879"/>
      <c r="M2499" s="898"/>
      <c r="N2499" s="2768"/>
    </row>
    <row r="2500" spans="1:16" ht="17.25" hidden="1" customHeight="1" x14ac:dyDescent="0.25">
      <c r="B2500" s="441"/>
      <c r="C2500" s="2489" t="s">
        <v>7585</v>
      </c>
      <c r="D2500" s="896">
        <v>1200000000</v>
      </c>
      <c r="E2500" s="2879">
        <f>D2500/D2381*100</f>
        <v>1.0102764818596521</v>
      </c>
      <c r="F2500" s="4384"/>
      <c r="G2500" s="2685"/>
      <c r="H2500" s="2879"/>
      <c r="I2500" s="898"/>
      <c r="J2500" s="2700"/>
      <c r="K2500" s="2700"/>
      <c r="L2500" s="2879"/>
      <c r="M2500" s="898"/>
      <c r="N2500" s="2768"/>
    </row>
    <row r="2501" spans="1:16" ht="17.25" hidden="1" customHeight="1" x14ac:dyDescent="0.25">
      <c r="B2501" s="441"/>
      <c r="C2501" s="2489" t="s">
        <v>7586</v>
      </c>
      <c r="D2501" s="896">
        <v>1000000000</v>
      </c>
      <c r="E2501" s="2879">
        <f>D2501/D2381*100</f>
        <v>0.841897068216377</v>
      </c>
      <c r="F2501" s="4384"/>
      <c r="G2501" s="2685"/>
      <c r="H2501" s="2879"/>
      <c r="I2501" s="898"/>
      <c r="J2501" s="2700"/>
      <c r="K2501" s="2700"/>
      <c r="L2501" s="2879"/>
      <c r="M2501" s="898"/>
      <c r="N2501" s="2768"/>
    </row>
    <row r="2502" spans="1:16" ht="11.25" hidden="1" customHeight="1" x14ac:dyDescent="0.25">
      <c r="B2502" s="441"/>
      <c r="C2502" s="2494"/>
      <c r="D2502" s="2698"/>
      <c r="E2502" s="3214"/>
      <c r="F2502" s="3834"/>
      <c r="G2502" s="2679"/>
      <c r="H2502" s="2679"/>
      <c r="I2502" s="2679"/>
      <c r="J2502" s="2694"/>
      <c r="K2502" s="2694"/>
      <c r="L2502" s="2695"/>
      <c r="M2502" s="899"/>
      <c r="N2502" s="2768"/>
    </row>
    <row r="2503" spans="1:16" ht="15.75" hidden="1" customHeight="1" x14ac:dyDescent="0.25">
      <c r="B2503" s="441"/>
      <c r="C2503" s="2491" t="s">
        <v>7587</v>
      </c>
      <c r="D2503" s="2692">
        <f>D2504</f>
        <v>610000000</v>
      </c>
      <c r="E2503" s="3214">
        <f>D2503/D2381*100</f>
        <v>0.51355721161198986</v>
      </c>
      <c r="F2503" s="3868"/>
      <c r="G2503" s="2685"/>
      <c r="H2503" s="2685"/>
      <c r="I2503" s="2685"/>
      <c r="J2503" s="896"/>
      <c r="K2503" s="3220"/>
      <c r="L2503" s="2690"/>
      <c r="M2503" s="896"/>
      <c r="N2503" s="2768"/>
    </row>
    <row r="2504" spans="1:16" ht="18" hidden="1" customHeight="1" x14ac:dyDescent="0.25">
      <c r="B2504" s="441"/>
      <c r="C2504" s="2489" t="s">
        <v>7588</v>
      </c>
      <c r="D2504" s="896">
        <v>610000000</v>
      </c>
      <c r="E2504" s="2810">
        <f>D2504/D2381*100</f>
        <v>0.51355721161198986</v>
      </c>
      <c r="F2504" s="4473"/>
      <c r="G2504" s="2810"/>
      <c r="H2504" s="2810"/>
      <c r="I2504" s="898"/>
      <c r="J2504" s="3224"/>
      <c r="K2504" s="2698"/>
      <c r="L2504" s="2810"/>
      <c r="M2504" s="898"/>
      <c r="N2504" s="2768"/>
    </row>
    <row r="2505" spans="1:16" ht="10.5" hidden="1" customHeight="1" x14ac:dyDescent="0.25">
      <c r="B2505" s="441"/>
      <c r="C2505" s="2489"/>
      <c r="D2505" s="896"/>
      <c r="E2505" s="2810"/>
      <c r="F2505" s="4473"/>
      <c r="G2505" s="2810"/>
      <c r="H2505" s="2810"/>
      <c r="I2505" s="898"/>
      <c r="J2505" s="3224"/>
      <c r="K2505" s="2698"/>
      <c r="L2505" s="2810"/>
      <c r="M2505" s="898"/>
      <c r="N2505" s="2768"/>
    </row>
    <row r="2506" spans="1:16" ht="15.75" hidden="1" customHeight="1" x14ac:dyDescent="0.25">
      <c r="B2506" s="441"/>
      <c r="C2506" s="2491" t="s">
        <v>7589</v>
      </c>
      <c r="D2506" s="2692">
        <f>D2507</f>
        <v>397600000</v>
      </c>
      <c r="E2506" s="2813">
        <f>D2506/D2381*100</f>
        <v>0.33473827432283149</v>
      </c>
      <c r="F2506" s="4473"/>
      <c r="G2506" s="2810"/>
      <c r="H2506" s="2810"/>
      <c r="I2506" s="898"/>
      <c r="J2506" s="3224"/>
      <c r="K2506" s="2698"/>
      <c r="L2506" s="2810"/>
      <c r="M2506" s="898"/>
      <c r="N2506" s="2768"/>
    </row>
    <row r="2507" spans="1:16" s="20" customFormat="1" ht="17.25" hidden="1" customHeight="1" x14ac:dyDescent="0.25">
      <c r="A2507" s="963"/>
      <c r="B2507" s="441"/>
      <c r="C2507" s="2489" t="s">
        <v>7590</v>
      </c>
      <c r="D2507" s="896">
        <v>397600000</v>
      </c>
      <c r="E2507" s="2810">
        <f>D2507/D2381*100</f>
        <v>0.33473827432283149</v>
      </c>
      <c r="F2507" s="4473"/>
      <c r="G2507" s="2810"/>
      <c r="H2507" s="2810"/>
      <c r="I2507" s="898"/>
      <c r="J2507" s="3224"/>
      <c r="K2507" s="2698"/>
      <c r="L2507" s="2810"/>
      <c r="M2507" s="898"/>
      <c r="N2507" s="2704"/>
      <c r="P2507" s="617"/>
    </row>
    <row r="2508" spans="1:16" s="27" customFormat="1" ht="9.75" hidden="1" customHeight="1" x14ac:dyDescent="0.25">
      <c r="A2508" s="6"/>
      <c r="B2508" s="450"/>
      <c r="C2508" s="2572"/>
      <c r="D2508" s="896"/>
      <c r="E2508" s="3229"/>
      <c r="F2508" s="4473"/>
      <c r="G2508" s="3229"/>
      <c r="H2508" s="3229"/>
      <c r="I2508" s="3231"/>
      <c r="J2508" s="3230"/>
      <c r="K2508" s="3228"/>
      <c r="L2508" s="3229"/>
      <c r="M2508" s="3231"/>
      <c r="N2508" s="2701"/>
      <c r="P2508" s="80"/>
    </row>
    <row r="2509" spans="1:16" s="27" customFormat="1" ht="17.25" hidden="1" customHeight="1" x14ac:dyDescent="0.25">
      <c r="A2509" s="6"/>
      <c r="B2509" s="450"/>
      <c r="C2509" s="2491" t="s">
        <v>7591</v>
      </c>
      <c r="D2509" s="899">
        <f>D2510</f>
        <v>450000000</v>
      </c>
      <c r="E2509" s="2813">
        <f>D2509/D2381*100</f>
        <v>0.37885368069736963</v>
      </c>
      <c r="F2509" s="4473"/>
      <c r="G2509" s="3229"/>
      <c r="H2509" s="3229"/>
      <c r="I2509" s="3231"/>
      <c r="J2509" s="3230"/>
      <c r="K2509" s="3228"/>
      <c r="L2509" s="3229"/>
      <c r="M2509" s="3231"/>
      <c r="N2509" s="2701"/>
      <c r="P2509" s="80"/>
    </row>
    <row r="2510" spans="1:16" s="20" customFormat="1" ht="18" hidden="1" customHeight="1" x14ac:dyDescent="0.25">
      <c r="A2510" s="963"/>
      <c r="B2510" s="441"/>
      <c r="C2510" s="2489" t="s">
        <v>7592</v>
      </c>
      <c r="D2510" s="896">
        <v>450000000</v>
      </c>
      <c r="E2510" s="2810">
        <f>D2510/D2381*100</f>
        <v>0.37885368069736963</v>
      </c>
      <c r="F2510" s="4473"/>
      <c r="G2510" s="2810"/>
      <c r="H2510" s="2810"/>
      <c r="I2510" s="898"/>
      <c r="J2510" s="3224"/>
      <c r="K2510" s="2698"/>
      <c r="L2510" s="2810"/>
      <c r="M2510" s="898"/>
      <c r="N2510" s="2704"/>
      <c r="P2510" s="617"/>
    </row>
    <row r="2511" spans="1:16" s="27" customFormat="1" ht="9" hidden="1" customHeight="1" x14ac:dyDescent="0.25">
      <c r="A2511" s="6"/>
      <c r="B2511" s="450"/>
      <c r="C2511" s="2573"/>
      <c r="D2511" s="2769"/>
      <c r="E2511" s="3229"/>
      <c r="F2511" s="4472"/>
      <c r="G2511" s="3233"/>
      <c r="H2511" s="3233"/>
      <c r="I2511" s="3234"/>
      <c r="J2511" s="3232"/>
      <c r="K2511" s="3235"/>
      <c r="L2511" s="3233"/>
      <c r="M2511" s="3234"/>
      <c r="N2511" s="2701"/>
      <c r="P2511" s="80"/>
    </row>
    <row r="2512" spans="1:16" s="20" customFormat="1" ht="18" hidden="1" customHeight="1" x14ac:dyDescent="0.25">
      <c r="A2512" s="963"/>
      <c r="B2512" s="441"/>
      <c r="C2512" s="2490" t="s">
        <v>7593</v>
      </c>
      <c r="D2512" s="899">
        <f>SUM(D2513:D2514)</f>
        <v>1095000000</v>
      </c>
      <c r="E2512" s="2813">
        <f>D2512/D2381*100</f>
        <v>0.92187728969693272</v>
      </c>
      <c r="F2512" s="4473"/>
      <c r="G2512" s="2810"/>
      <c r="H2512" s="2810"/>
      <c r="I2512" s="898"/>
      <c r="J2512" s="3224"/>
      <c r="K2512" s="2698"/>
      <c r="L2512" s="2810"/>
      <c r="M2512" s="898"/>
      <c r="N2512" s="2704"/>
      <c r="P2512" s="617"/>
    </row>
    <row r="2513" spans="1:16" s="20" customFormat="1" ht="18" hidden="1" customHeight="1" x14ac:dyDescent="0.25">
      <c r="A2513" s="963"/>
      <c r="B2513" s="441"/>
      <c r="C2513" s="2489" t="s">
        <v>7594</v>
      </c>
      <c r="D2513" s="896">
        <v>700000000</v>
      </c>
      <c r="E2513" s="2810">
        <f>D2513/D2381*100</f>
        <v>0.5893279477514638</v>
      </c>
      <c r="F2513" s="4473"/>
      <c r="G2513" s="2810"/>
      <c r="H2513" s="2810"/>
      <c r="I2513" s="898"/>
      <c r="J2513" s="3224"/>
      <c r="K2513" s="2698"/>
      <c r="L2513" s="2810"/>
      <c r="M2513" s="898"/>
      <c r="N2513" s="2704"/>
      <c r="P2513" s="617"/>
    </row>
    <row r="2514" spans="1:16" s="20" customFormat="1" ht="18" hidden="1" customHeight="1" x14ac:dyDescent="0.25">
      <c r="A2514" s="963"/>
      <c r="B2514" s="441"/>
      <c r="C2514" s="2489" t="s">
        <v>7595</v>
      </c>
      <c r="D2514" s="896">
        <v>395000000</v>
      </c>
      <c r="E2514" s="2810">
        <f>D2514/D2381*100</f>
        <v>0.33254934194546892</v>
      </c>
      <c r="F2514" s="4473"/>
      <c r="G2514" s="2810"/>
      <c r="H2514" s="2810"/>
      <c r="I2514" s="898"/>
      <c r="J2514" s="3224"/>
      <c r="K2514" s="2698"/>
      <c r="L2514" s="2810"/>
      <c r="M2514" s="898"/>
      <c r="N2514" s="2704"/>
      <c r="P2514" s="617"/>
    </row>
    <row r="2515" spans="1:16" s="20" customFormat="1" ht="9.75" hidden="1" customHeight="1" x14ac:dyDescent="0.25">
      <c r="A2515" s="963"/>
      <c r="B2515" s="441"/>
      <c r="C2515" s="2489"/>
      <c r="D2515" s="896"/>
      <c r="E2515" s="2810"/>
      <c r="F2515" s="4473"/>
      <c r="G2515" s="2810"/>
      <c r="H2515" s="2810"/>
      <c r="I2515" s="898"/>
      <c r="J2515" s="3224"/>
      <c r="K2515" s="2698"/>
      <c r="L2515" s="2810"/>
      <c r="M2515" s="898"/>
      <c r="N2515" s="2704"/>
      <c r="P2515" s="617"/>
    </row>
    <row r="2516" spans="1:16" s="20" customFormat="1" ht="18" hidden="1" customHeight="1" x14ac:dyDescent="0.25">
      <c r="A2516" s="963"/>
      <c r="B2516" s="441"/>
      <c r="C2516" s="2490" t="s">
        <v>7596</v>
      </c>
      <c r="D2516" s="899">
        <f>D2517</f>
        <v>1250000000</v>
      </c>
      <c r="E2516" s="2813">
        <f>D2516/D2381*100</f>
        <v>1.0523713352704711</v>
      </c>
      <c r="F2516" s="3894"/>
      <c r="G2516" s="2810"/>
      <c r="H2516" s="2810"/>
      <c r="I2516" s="898"/>
      <c r="J2516" s="3224"/>
      <c r="K2516" s="2698"/>
      <c r="L2516" s="2810"/>
      <c r="M2516" s="898"/>
      <c r="N2516" s="2704"/>
      <c r="P2516" s="617"/>
    </row>
    <row r="2517" spans="1:16" s="20" customFormat="1" ht="18" hidden="1" customHeight="1" x14ac:dyDescent="0.25">
      <c r="A2517" s="963"/>
      <c r="B2517" s="441"/>
      <c r="C2517" s="2489" t="s">
        <v>7597</v>
      </c>
      <c r="D2517" s="896">
        <v>1250000000</v>
      </c>
      <c r="E2517" s="2810">
        <f>D2517/D2381*100</f>
        <v>1.0523713352704711</v>
      </c>
      <c r="F2517" s="4473"/>
      <c r="G2517" s="2810"/>
      <c r="H2517" s="2810"/>
      <c r="I2517" s="898"/>
      <c r="J2517" s="3224"/>
      <c r="K2517" s="2698"/>
      <c r="L2517" s="2810"/>
      <c r="M2517" s="898"/>
      <c r="N2517" s="2704"/>
      <c r="P2517" s="617"/>
    </row>
    <row r="2518" spans="1:16" ht="11.25" hidden="1" customHeight="1" x14ac:dyDescent="0.25">
      <c r="B2518" s="441"/>
      <c r="C2518" s="2506"/>
      <c r="D2518" s="2724"/>
      <c r="E2518" s="2840"/>
      <c r="F2518" s="4472"/>
      <c r="G2518" s="2840"/>
      <c r="H2518" s="2840"/>
      <c r="I2518" s="2755"/>
      <c r="J2518" s="3218"/>
      <c r="K2518" s="2724"/>
      <c r="L2518" s="2840"/>
      <c r="M2518" s="2755"/>
      <c r="N2518" s="2768"/>
    </row>
    <row r="2519" spans="1:16" ht="15.75" hidden="1" customHeight="1" x14ac:dyDescent="0.25">
      <c r="B2519" s="440"/>
      <c r="C2519" s="2497" t="s">
        <v>4245</v>
      </c>
      <c r="D2519" s="2669">
        <f>D2520</f>
        <v>8915400000</v>
      </c>
      <c r="E2519" s="2786">
        <f>D2519/D2381*100</f>
        <v>7.5058491219762864</v>
      </c>
      <c r="F2519" s="3835"/>
      <c r="G2519" s="2719"/>
      <c r="H2519" s="2786"/>
      <c r="I2519" s="2719"/>
      <c r="J2519" s="2720"/>
      <c r="K2519" s="2720"/>
      <c r="L2519" s="2786"/>
      <c r="M2519" s="2719"/>
      <c r="N2519" s="2768"/>
    </row>
    <row r="2520" spans="1:16" ht="21" hidden="1" customHeight="1" x14ac:dyDescent="0.25">
      <c r="B2520" s="441"/>
      <c r="C2520" s="2569" t="s">
        <v>4246</v>
      </c>
      <c r="D2520" s="2676">
        <f>SUM(D2521:D2522)</f>
        <v>8915400000</v>
      </c>
      <c r="E2520" s="3214">
        <f>D2520/D2381*100</f>
        <v>7.5058491219762864</v>
      </c>
      <c r="F2520" s="3841"/>
      <c r="G2520" s="2725"/>
      <c r="H2520" s="3214"/>
      <c r="I2520" s="2725"/>
      <c r="J2520" s="2680"/>
      <c r="K2520" s="2680"/>
      <c r="L2520" s="2722"/>
      <c r="M2520" s="2725"/>
      <c r="N2520" s="2768"/>
    </row>
    <row r="2521" spans="1:16" ht="16.5" hidden="1" customHeight="1" x14ac:dyDescent="0.25">
      <c r="B2521" s="441"/>
      <c r="C2521" s="2489" t="s">
        <v>7599</v>
      </c>
      <c r="D2521" s="2709">
        <v>4652400000</v>
      </c>
      <c r="E2521" s="2879">
        <f>D2521/D2381*100</f>
        <v>3.9168419201698716</v>
      </c>
      <c r="F2521" s="4430"/>
      <c r="G2521" s="2685"/>
      <c r="H2521" s="2685"/>
      <c r="I2521" s="2685"/>
      <c r="J2521" s="2709"/>
      <c r="K2521" s="3236"/>
      <c r="L2521" s="2690"/>
      <c r="M2521" s="2685"/>
      <c r="N2521" s="2768"/>
    </row>
    <row r="2522" spans="1:16" ht="16.5" hidden="1" customHeight="1" x14ac:dyDescent="0.25">
      <c r="B2522" s="441"/>
      <c r="C2522" s="2489" t="s">
        <v>4247</v>
      </c>
      <c r="D2522" s="896">
        <v>4263000000</v>
      </c>
      <c r="E2522" s="2810">
        <f>D2522/D2381*100</f>
        <v>3.5890072018064147</v>
      </c>
      <c r="F2522" s="3868"/>
      <c r="G2522" s="2685"/>
      <c r="H2522" s="2685"/>
      <c r="I2522" s="2685"/>
      <c r="J2522" s="896"/>
      <c r="K2522" s="2700"/>
      <c r="L2522" s="2685"/>
      <c r="M2522" s="2685"/>
      <c r="N2522" s="2768"/>
    </row>
    <row r="2523" spans="1:16" ht="12" hidden="1" customHeight="1" x14ac:dyDescent="0.25">
      <c r="B2523" s="441"/>
      <c r="C2523" s="2574"/>
      <c r="D2523" s="2769"/>
      <c r="E2523" s="2895"/>
      <c r="F2523" s="4475"/>
      <c r="G2523" s="2895"/>
      <c r="H2523" s="2895"/>
      <c r="I2523" s="2895"/>
      <c r="J2523" s="3219"/>
      <c r="K2523" s="2838"/>
      <c r="L2523" s="2840"/>
      <c r="M2523" s="2755"/>
      <c r="N2523" s="2768"/>
    </row>
    <row r="2524" spans="1:16" ht="17.25" hidden="1" customHeight="1" x14ac:dyDescent="0.25">
      <c r="B2524" s="440"/>
      <c r="C2524" s="2497" t="s">
        <v>4248</v>
      </c>
      <c r="D2524" s="2669">
        <f>SUM(D2525+D2528)</f>
        <v>1200000000</v>
      </c>
      <c r="E2524" s="2786">
        <f>D2524/D2381*100</f>
        <v>1.0102764818596521</v>
      </c>
      <c r="F2524" s="3835"/>
      <c r="G2524" s="2719"/>
      <c r="H2524" s="2719"/>
      <c r="I2524" s="2719"/>
      <c r="J2524" s="2720"/>
      <c r="K2524" s="2720"/>
      <c r="L2524" s="2786"/>
      <c r="M2524" s="2744"/>
      <c r="N2524" s="2768"/>
    </row>
    <row r="2525" spans="1:16" ht="18.75" hidden="1" customHeight="1" x14ac:dyDescent="0.25">
      <c r="B2525" s="441"/>
      <c r="C2525" s="2569" t="s">
        <v>4249</v>
      </c>
      <c r="D2525" s="2676">
        <f>D2526</f>
        <v>500000000</v>
      </c>
      <c r="E2525" s="3214">
        <f>D2525/D2381*100</f>
        <v>0.4209485341081885</v>
      </c>
      <c r="F2525" s="3702"/>
      <c r="G2525" s="2680"/>
      <c r="H2525" s="2725"/>
      <c r="I2525" s="2680"/>
      <c r="J2525" s="2680"/>
      <c r="K2525" s="2680"/>
      <c r="L2525" s="2722"/>
      <c r="M2525" s="3188"/>
      <c r="N2525" s="2768"/>
    </row>
    <row r="2526" spans="1:16" ht="16.5" hidden="1" customHeight="1" x14ac:dyDescent="0.25">
      <c r="B2526" s="441"/>
      <c r="C2526" s="2489" t="s">
        <v>4250</v>
      </c>
      <c r="D2526" s="2709">
        <v>500000000</v>
      </c>
      <c r="E2526" s="2879">
        <f>D2526/D2381*100</f>
        <v>0.4209485341081885</v>
      </c>
      <c r="F2526" s="4430"/>
      <c r="G2526" s="2700"/>
      <c r="H2526" s="2685"/>
      <c r="I2526" s="2700"/>
      <c r="J2526" s="2709"/>
      <c r="K2526" s="3236"/>
      <c r="L2526" s="2690"/>
      <c r="M2526" s="896"/>
      <c r="N2526" s="2768"/>
    </row>
    <row r="2527" spans="1:16" ht="12" hidden="1" customHeight="1" x14ac:dyDescent="0.25">
      <c r="B2527" s="441"/>
      <c r="C2527" s="2489"/>
      <c r="D2527" s="2709"/>
      <c r="E2527" s="3237"/>
      <c r="F2527" s="4430"/>
      <c r="G2527" s="2679"/>
      <c r="H2527" s="2679"/>
      <c r="I2527" s="2679"/>
      <c r="J2527" s="3238"/>
      <c r="K2527" s="2694"/>
      <c r="L2527" s="3239"/>
      <c r="M2527" s="3240"/>
      <c r="N2527" s="2768"/>
    </row>
    <row r="2528" spans="1:16" ht="18" hidden="1" customHeight="1" x14ac:dyDescent="0.25">
      <c r="B2528" s="441"/>
      <c r="C2528" s="2491" t="s">
        <v>4251</v>
      </c>
      <c r="D2528" s="2692">
        <f>SUM(D2529:D2530)</f>
        <v>700000000</v>
      </c>
      <c r="E2528" s="3214">
        <f>D2528/D2381*100</f>
        <v>0.5893279477514638</v>
      </c>
      <c r="F2528" s="3834"/>
      <c r="G2528" s="2680"/>
      <c r="H2528" s="2725"/>
      <c r="I2528" s="2680"/>
      <c r="J2528" s="2694"/>
      <c r="K2528" s="2680"/>
      <c r="L2528" s="2725"/>
      <c r="M2528" s="2680"/>
      <c r="N2528" s="2768"/>
    </row>
    <row r="2529" spans="2:14" ht="15.75" hidden="1" customHeight="1" x14ac:dyDescent="0.25">
      <c r="B2529" s="441"/>
      <c r="C2529" s="2489" t="s">
        <v>4252</v>
      </c>
      <c r="D2529" s="2709">
        <v>300000000</v>
      </c>
      <c r="E2529" s="2879">
        <f>D2529/D2381*100</f>
        <v>0.25256912046491303</v>
      </c>
      <c r="F2529" s="4430"/>
      <c r="G2529" s="2700"/>
      <c r="H2529" s="2685"/>
      <c r="I2529" s="2700"/>
      <c r="J2529" s="2709"/>
      <c r="K2529" s="2700"/>
      <c r="L2529" s="2685"/>
      <c r="M2529" s="2700"/>
      <c r="N2529" s="2768"/>
    </row>
    <row r="2530" spans="2:14" ht="21" hidden="1" customHeight="1" x14ac:dyDescent="0.25">
      <c r="B2530" s="441"/>
      <c r="C2530" s="2495" t="s">
        <v>4253</v>
      </c>
      <c r="D2530" s="2706">
        <v>400000000</v>
      </c>
      <c r="E2530" s="2879">
        <f>D2530/D2381*100</f>
        <v>0.33675882728655077</v>
      </c>
      <c r="F2530" s="4474"/>
      <c r="G2530" s="2818"/>
      <c r="H2530" s="2840"/>
      <c r="I2530" s="911"/>
      <c r="J2530" s="3218"/>
      <c r="K2530" s="2706"/>
      <c r="L2530" s="2840"/>
      <c r="M2530" s="911"/>
      <c r="N2530" s="2768"/>
    </row>
    <row r="2531" spans="2:14" ht="12" hidden="1" customHeight="1" x14ac:dyDescent="0.25">
      <c r="B2531" s="441"/>
      <c r="C2531" s="2510"/>
      <c r="D2531" s="2838"/>
      <c r="E2531" s="2895"/>
      <c r="F2531" s="4475"/>
      <c r="G2531" s="2895"/>
      <c r="H2531" s="2895"/>
      <c r="I2531" s="3006"/>
      <c r="J2531" s="3219"/>
      <c r="K2531" s="2838"/>
      <c r="L2531" s="2895"/>
      <c r="M2531" s="3006"/>
      <c r="N2531" s="2768"/>
    </row>
    <row r="2532" spans="2:14" ht="15.75" hidden="1" customHeight="1" x14ac:dyDescent="0.25">
      <c r="B2532" s="440"/>
      <c r="C2532" s="2503" t="s">
        <v>4254</v>
      </c>
      <c r="D2532" s="2952">
        <f>D2533</f>
        <v>100000000</v>
      </c>
      <c r="E2532" s="2786">
        <f>D2532/D2381*100</f>
        <v>8.4189706821637691E-2</v>
      </c>
      <c r="F2532" s="4476"/>
      <c r="G2532" s="3226"/>
      <c r="H2532" s="3226"/>
      <c r="I2532" s="3139"/>
      <c r="J2532" s="3227"/>
      <c r="K2532" s="2827"/>
      <c r="L2532" s="3226"/>
      <c r="M2532" s="3139"/>
      <c r="N2532" s="2768"/>
    </row>
    <row r="2533" spans="2:14" ht="17.25" hidden="1" customHeight="1" x14ac:dyDescent="0.25">
      <c r="B2533" s="441"/>
      <c r="C2533" s="2491" t="s">
        <v>2195</v>
      </c>
      <c r="D2533" s="2692">
        <f>D2534</f>
        <v>100000000</v>
      </c>
      <c r="E2533" s="3214">
        <f>D2533/D2381*100</f>
        <v>8.4189706821637691E-2</v>
      </c>
      <c r="F2533" s="4473"/>
      <c r="G2533" s="2810"/>
      <c r="H2533" s="2810"/>
      <c r="I2533" s="898"/>
      <c r="J2533" s="3224"/>
      <c r="K2533" s="2698"/>
      <c r="L2533" s="2810"/>
      <c r="M2533" s="898"/>
      <c r="N2533" s="2768"/>
    </row>
    <row r="2534" spans="2:14" ht="18" hidden="1" customHeight="1" x14ac:dyDescent="0.25">
      <c r="B2534" s="441"/>
      <c r="C2534" s="2494" t="s">
        <v>4255</v>
      </c>
      <c r="D2534" s="2698">
        <v>100000000</v>
      </c>
      <c r="E2534" s="2879">
        <f>D2534/D2381*100</f>
        <v>8.4189706821637691E-2</v>
      </c>
      <c r="F2534" s="4473"/>
      <c r="G2534" s="2810"/>
      <c r="H2534" s="2810"/>
      <c r="I2534" s="898"/>
      <c r="J2534" s="3224"/>
      <c r="K2534" s="2698"/>
      <c r="L2534" s="2810"/>
      <c r="M2534" s="898"/>
      <c r="N2534" s="2768"/>
    </row>
    <row r="2535" spans="2:14" ht="12" hidden="1" customHeight="1" x14ac:dyDescent="0.25">
      <c r="B2535" s="441"/>
      <c r="C2535" s="2558"/>
      <c r="D2535" s="2827"/>
      <c r="E2535" s="3226"/>
      <c r="F2535" s="4476"/>
      <c r="G2535" s="3226"/>
      <c r="H2535" s="3226"/>
      <c r="I2535" s="3139"/>
      <c r="J2535" s="3227"/>
      <c r="K2535" s="2827"/>
      <c r="L2535" s="3226"/>
      <c r="M2535" s="3139"/>
      <c r="N2535" s="2768"/>
    </row>
    <row r="2536" spans="2:14" ht="18.75" hidden="1" customHeight="1" x14ac:dyDescent="0.25">
      <c r="B2536" s="440"/>
      <c r="C2536" s="2497" t="s">
        <v>4161</v>
      </c>
      <c r="D2536" s="2669">
        <f>SUM(D2537+D2542)</f>
        <v>1000000000</v>
      </c>
      <c r="E2536" s="2786">
        <f>D2536/D2381*100</f>
        <v>0.841897068216377</v>
      </c>
      <c r="F2536" s="3835"/>
      <c r="G2536" s="2719"/>
      <c r="H2536" s="2786"/>
      <c r="I2536" s="2744"/>
      <c r="J2536" s="2720"/>
      <c r="K2536" s="2720"/>
      <c r="L2536" s="2786"/>
      <c r="M2536" s="2744"/>
      <c r="N2536" s="2768"/>
    </row>
    <row r="2537" spans="2:14" ht="27" hidden="1" customHeight="1" x14ac:dyDescent="0.25">
      <c r="B2537" s="441"/>
      <c r="C2537" s="2491" t="s">
        <v>4256</v>
      </c>
      <c r="D2537" s="2692">
        <f>SUM(D2538:D2540)</f>
        <v>550338720</v>
      </c>
      <c r="E2537" s="3214">
        <f>D2537/D2381*100</f>
        <v>0.46332855489395353</v>
      </c>
      <c r="F2537" s="3834"/>
      <c r="G2537" s="2679"/>
      <c r="H2537" s="3214"/>
      <c r="I2537" s="899"/>
      <c r="J2537" s="2694"/>
      <c r="K2537" s="2694"/>
      <c r="L2537" s="2695"/>
      <c r="M2537" s="899"/>
      <c r="N2537" s="2768"/>
    </row>
    <row r="2538" spans="2:14" ht="17.25" hidden="1" customHeight="1" x14ac:dyDescent="0.25">
      <c r="B2538" s="441"/>
      <c r="C2538" s="2489" t="s">
        <v>4257</v>
      </c>
      <c r="D2538" s="2709">
        <v>282550000</v>
      </c>
      <c r="E2538" s="2879">
        <f>D2538/D2381*100</f>
        <v>0.23787801662453731</v>
      </c>
      <c r="F2538" s="4430"/>
      <c r="G2538" s="2685"/>
      <c r="H2538" s="2685"/>
      <c r="I2538" s="2685"/>
      <c r="J2538" s="2709"/>
      <c r="K2538" s="3236"/>
      <c r="L2538" s="2690"/>
      <c r="M2538" s="2685"/>
      <c r="N2538" s="2768"/>
    </row>
    <row r="2539" spans="2:14" ht="17.25" hidden="1" customHeight="1" x14ac:dyDescent="0.25">
      <c r="B2539" s="441"/>
      <c r="C2539" s="2489" t="s">
        <v>4258</v>
      </c>
      <c r="D2539" s="2709">
        <v>161068720</v>
      </c>
      <c r="E2539" s="2840">
        <f>D2539/D2381*100</f>
        <v>0.13560328314936451</v>
      </c>
      <c r="F2539" s="4430"/>
      <c r="G2539" s="2708"/>
      <c r="H2539" s="2708"/>
      <c r="I2539" s="2708"/>
      <c r="J2539" s="2709"/>
      <c r="K2539" s="3236"/>
      <c r="L2539" s="2710"/>
      <c r="M2539" s="2685"/>
      <c r="N2539" s="2768"/>
    </row>
    <row r="2540" spans="2:14" ht="17.25" hidden="1" customHeight="1" x14ac:dyDescent="0.25">
      <c r="B2540" s="441"/>
      <c r="C2540" s="2495" t="s">
        <v>4259</v>
      </c>
      <c r="D2540" s="2698">
        <v>106720000</v>
      </c>
      <c r="E2540" s="2810">
        <f>D2540/D2381*100</f>
        <v>8.9847255120051733E-2</v>
      </c>
      <c r="F2540" s="4473"/>
      <c r="G2540" s="2810"/>
      <c r="H2540" s="2810"/>
      <c r="I2540" s="2810"/>
      <c r="J2540" s="3224"/>
      <c r="K2540" s="2698"/>
      <c r="L2540" s="2810"/>
      <c r="M2540" s="911"/>
      <c r="N2540" s="2768"/>
    </row>
    <row r="2541" spans="2:14" ht="12" hidden="1" customHeight="1" x14ac:dyDescent="0.25">
      <c r="B2541" s="441"/>
      <c r="C2541" s="2495"/>
      <c r="D2541" s="2724"/>
      <c r="E2541" s="2810"/>
      <c r="F2541" s="4472"/>
      <c r="G2541" s="2840"/>
      <c r="H2541" s="2840"/>
      <c r="I2541" s="2840"/>
      <c r="J2541" s="3218"/>
      <c r="K2541" s="2724"/>
      <c r="L2541" s="2840"/>
      <c r="M2541" s="2755"/>
      <c r="N2541" s="2768"/>
    </row>
    <row r="2542" spans="2:14" ht="27" hidden="1" customHeight="1" x14ac:dyDescent="0.25">
      <c r="B2542" s="441"/>
      <c r="C2542" s="2491" t="s">
        <v>4260</v>
      </c>
      <c r="D2542" s="2692">
        <f>D2543</f>
        <v>449661280</v>
      </c>
      <c r="E2542" s="2813">
        <f>D2542/D2381*100</f>
        <v>0.37856851332242336</v>
      </c>
      <c r="F2542" s="4473"/>
      <c r="G2542" s="2810"/>
      <c r="H2542" s="2810"/>
      <c r="I2542" s="2810"/>
      <c r="J2542" s="3224"/>
      <c r="K2542" s="2698"/>
      <c r="L2542" s="2810"/>
      <c r="M2542" s="898"/>
      <c r="N2542" s="2768"/>
    </row>
    <row r="2543" spans="2:14" ht="18.75" hidden="1" customHeight="1" x14ac:dyDescent="0.25">
      <c r="B2543" s="441"/>
      <c r="C2543" s="2494" t="s">
        <v>4261</v>
      </c>
      <c r="D2543" s="2698">
        <v>449661280</v>
      </c>
      <c r="E2543" s="2810">
        <f>D2543/D2381*100</f>
        <v>0.37856851332242336</v>
      </c>
      <c r="F2543" s="4473"/>
      <c r="G2543" s="2810"/>
      <c r="H2543" s="2810"/>
      <c r="I2543" s="2810"/>
      <c r="J2543" s="3224"/>
      <c r="K2543" s="2698"/>
      <c r="L2543" s="2810"/>
      <c r="M2543" s="898"/>
      <c r="N2543" s="2768"/>
    </row>
    <row r="2544" spans="2:14" ht="15.75" hidden="1" customHeight="1" x14ac:dyDescent="0.25">
      <c r="B2544" s="441"/>
      <c r="C2544" s="2558"/>
      <c r="D2544" s="2827"/>
      <c r="E2544" s="2840"/>
      <c r="F2544" s="4476"/>
      <c r="G2544" s="2840"/>
      <c r="H2544" s="2840"/>
      <c r="I2544" s="2840"/>
      <c r="J2544" s="3227"/>
      <c r="K2544" s="2724"/>
      <c r="L2544" s="3226"/>
      <c r="M2544" s="2755"/>
      <c r="N2544" s="2768"/>
    </row>
    <row r="2545" spans="2:14" ht="16.5" hidden="1" customHeight="1" x14ac:dyDescent="0.25">
      <c r="B2545" s="440"/>
      <c r="C2545" s="2497" t="s">
        <v>4262</v>
      </c>
      <c r="D2545" s="2669">
        <f>SUM(D2546+D2549)</f>
        <v>2450000000</v>
      </c>
      <c r="E2545" s="2786">
        <f>D2545/D2381*100</f>
        <v>2.0626478171301232</v>
      </c>
      <c r="F2545" s="3835"/>
      <c r="G2545" s="2719"/>
      <c r="H2545" s="2719"/>
      <c r="I2545" s="2719"/>
      <c r="J2545" s="2720"/>
      <c r="K2545" s="2720"/>
      <c r="L2545" s="2719"/>
      <c r="M2545" s="2719"/>
      <c r="N2545" s="2768"/>
    </row>
    <row r="2546" spans="2:14" ht="18" hidden="1" customHeight="1" x14ac:dyDescent="0.25">
      <c r="B2546" s="441"/>
      <c r="C2546" s="2482" t="s">
        <v>4263</v>
      </c>
      <c r="D2546" s="2721">
        <f>D2547</f>
        <v>1000000000</v>
      </c>
      <c r="E2546" s="3214">
        <f>D2546/D2381*100</f>
        <v>0.841897068216377</v>
      </c>
      <c r="F2546" s="3839"/>
      <c r="G2546" s="2722"/>
      <c r="H2546" s="2722"/>
      <c r="I2546" s="2722"/>
      <c r="J2546" s="2723"/>
      <c r="K2546" s="2723"/>
      <c r="L2546" s="2722"/>
      <c r="M2546" s="2722"/>
      <c r="N2546" s="2768"/>
    </row>
    <row r="2547" spans="2:14" ht="18" hidden="1" customHeight="1" x14ac:dyDescent="0.25">
      <c r="B2547" s="441"/>
      <c r="C2547" s="2489" t="s">
        <v>4264</v>
      </c>
      <c r="D2547" s="2709">
        <v>1000000000</v>
      </c>
      <c r="E2547" s="2840">
        <f>D2547/D2381*100</f>
        <v>0.841897068216377</v>
      </c>
      <c r="F2547" s="4430"/>
      <c r="G2547" s="2708"/>
      <c r="H2547" s="2708"/>
      <c r="I2547" s="2708"/>
      <c r="J2547" s="2709"/>
      <c r="K2547" s="2831"/>
      <c r="L2547" s="2708"/>
      <c r="M2547" s="2708"/>
      <c r="N2547" s="2768"/>
    </row>
    <row r="2548" spans="2:14" ht="9.75" hidden="1" customHeight="1" x14ac:dyDescent="0.25">
      <c r="B2548" s="441"/>
      <c r="C2548" s="2482"/>
      <c r="D2548" s="2692"/>
      <c r="E2548" s="2810"/>
      <c r="F2548" s="4473"/>
      <c r="G2548" s="2810"/>
      <c r="H2548" s="2810"/>
      <c r="I2548" s="898"/>
      <c r="J2548" s="3224"/>
      <c r="K2548" s="2698"/>
      <c r="L2548" s="2810"/>
      <c r="M2548" s="898"/>
      <c r="N2548" s="2768"/>
    </row>
    <row r="2549" spans="2:14" ht="15.75" hidden="1" customHeight="1" x14ac:dyDescent="0.25">
      <c r="B2549" s="441"/>
      <c r="C2549" s="2491" t="s">
        <v>4265</v>
      </c>
      <c r="D2549" s="2692">
        <f>D2550</f>
        <v>1450000000</v>
      </c>
      <c r="E2549" s="2813">
        <f>D2549/D2381*100</f>
        <v>1.2207507489137466</v>
      </c>
      <c r="F2549" s="4473"/>
      <c r="G2549" s="2810"/>
      <c r="H2549" s="2810"/>
      <c r="I2549" s="898"/>
      <c r="J2549" s="3224"/>
      <c r="K2549" s="2698"/>
      <c r="L2549" s="2810"/>
      <c r="M2549" s="898"/>
      <c r="N2549" s="2768"/>
    </row>
    <row r="2550" spans="2:14" ht="14.25" hidden="1" customHeight="1" x14ac:dyDescent="0.25">
      <c r="B2550" s="441"/>
      <c r="C2550" s="2489" t="s">
        <v>4266</v>
      </c>
      <c r="D2550" s="896">
        <v>1450000000</v>
      </c>
      <c r="E2550" s="2810">
        <f>D2550/D2381*100</f>
        <v>1.2207507489137466</v>
      </c>
      <c r="F2550" s="4473"/>
      <c r="G2550" s="2810"/>
      <c r="H2550" s="2810"/>
      <c r="I2550" s="898"/>
      <c r="J2550" s="3224"/>
      <c r="K2550" s="2698"/>
      <c r="L2550" s="2810"/>
      <c r="M2550" s="898"/>
      <c r="N2550" s="2768"/>
    </row>
    <row r="2551" spans="2:14" ht="12" hidden="1" customHeight="1" x14ac:dyDescent="0.25">
      <c r="B2551" s="441"/>
      <c r="C2551" s="2506"/>
      <c r="D2551" s="2724"/>
      <c r="E2551" s="2840"/>
      <c r="F2551" s="4472"/>
      <c r="G2551" s="2840"/>
      <c r="H2551" s="2840"/>
      <c r="I2551" s="2755"/>
      <c r="J2551" s="3218"/>
      <c r="K2551" s="2724"/>
      <c r="L2551" s="2840"/>
      <c r="M2551" s="2755"/>
      <c r="N2551" s="2768"/>
    </row>
    <row r="2552" spans="2:14" ht="19.5" hidden="1" customHeight="1" x14ac:dyDescent="0.25">
      <c r="B2552" s="440"/>
      <c r="C2552" s="2497" t="s">
        <v>4267</v>
      </c>
      <c r="D2552" s="2669">
        <f>D2553</f>
        <v>22779366000</v>
      </c>
      <c r="E2552" s="2786">
        <f>D2552/D2381*100</f>
        <v>19.177881451227815</v>
      </c>
      <c r="F2552" s="3835"/>
      <c r="G2552" s="2719"/>
      <c r="H2552" s="2786"/>
      <c r="I2552" s="2744"/>
      <c r="J2552" s="2720"/>
      <c r="K2552" s="2720"/>
      <c r="L2552" s="2786"/>
      <c r="M2552" s="2744"/>
      <c r="N2552" s="2768"/>
    </row>
    <row r="2553" spans="2:14" ht="21" hidden="1" customHeight="1" x14ac:dyDescent="0.25">
      <c r="B2553" s="441"/>
      <c r="C2553" s="2569" t="s">
        <v>4268</v>
      </c>
      <c r="D2553" s="2676">
        <f>D2554</f>
        <v>22779366000</v>
      </c>
      <c r="E2553" s="3214">
        <f>D2553/D2381*100</f>
        <v>19.177881451227815</v>
      </c>
      <c r="F2553" s="3841"/>
      <c r="G2553" s="2725"/>
      <c r="H2553" s="3214"/>
      <c r="I2553" s="2759"/>
      <c r="J2553" s="2680"/>
      <c r="K2553" s="2680"/>
      <c r="L2553" s="2722"/>
      <c r="M2553" s="2759"/>
      <c r="N2553" s="2768"/>
    </row>
    <row r="2554" spans="2:14" ht="16.5" hidden="1" customHeight="1" x14ac:dyDescent="0.25">
      <c r="B2554" s="441"/>
      <c r="C2554" s="2490" t="s">
        <v>4269</v>
      </c>
      <c r="D2554" s="2767">
        <f>SUM(D2555:D2558)</f>
        <v>22779366000</v>
      </c>
      <c r="E2554" s="3214">
        <f>D2554/D2381*100</f>
        <v>19.177881451227815</v>
      </c>
      <c r="F2554" s="4430"/>
      <c r="G2554" s="2685"/>
      <c r="H2554" s="2685"/>
      <c r="I2554" s="896"/>
      <c r="J2554" s="2709"/>
      <c r="K2554" s="3236"/>
      <c r="L2554" s="2690"/>
      <c r="M2554" s="896"/>
      <c r="N2554" s="2768"/>
    </row>
    <row r="2555" spans="2:14" ht="17.25" hidden="1" customHeight="1" x14ac:dyDescent="0.25">
      <c r="B2555" s="441"/>
      <c r="C2555" s="2570" t="s">
        <v>4270</v>
      </c>
      <c r="D2555" s="2709">
        <v>4800000000</v>
      </c>
      <c r="E2555" s="2818">
        <f>D2555/D2381*100</f>
        <v>4.0411059274386085</v>
      </c>
      <c r="F2555" s="4430"/>
      <c r="G2555" s="2708"/>
      <c r="H2555" s="2685"/>
      <c r="I2555" s="2708"/>
      <c r="J2555" s="2709"/>
      <c r="K2555" s="3236"/>
      <c r="L2555" s="2690"/>
      <c r="M2555" s="2708"/>
      <c r="N2555" s="2768"/>
    </row>
    <row r="2556" spans="2:14" ht="15.75" hidden="1" customHeight="1" x14ac:dyDescent="0.25">
      <c r="B2556" s="441"/>
      <c r="C2556" s="2570" t="s">
        <v>4271</v>
      </c>
      <c r="D2556" s="2709">
        <v>200000000</v>
      </c>
      <c r="E2556" s="2818">
        <f>D2556/D2381*100</f>
        <v>0.16837941364327538</v>
      </c>
      <c r="F2556" s="4430"/>
      <c r="G2556" s="2708"/>
      <c r="H2556" s="2685"/>
      <c r="I2556" s="2708"/>
      <c r="J2556" s="2709"/>
      <c r="K2556" s="3236"/>
      <c r="L2556" s="2690"/>
      <c r="M2556" s="2708"/>
      <c r="N2556" s="2768"/>
    </row>
    <row r="2557" spans="2:14" ht="15.75" hidden="1" customHeight="1" x14ac:dyDescent="0.25">
      <c r="B2557" s="441"/>
      <c r="C2557" s="2489" t="s">
        <v>4272</v>
      </c>
      <c r="D2557" s="896">
        <v>3000000000</v>
      </c>
      <c r="E2557" s="2810">
        <f>D2557/D2381*100</f>
        <v>2.5256912046491307</v>
      </c>
      <c r="F2557" s="3868"/>
      <c r="G2557" s="2685"/>
      <c r="H2557" s="2685"/>
      <c r="I2557" s="2685"/>
      <c r="J2557" s="2709"/>
      <c r="K2557" s="3236"/>
      <c r="L2557" s="2690"/>
      <c r="M2557" s="2708"/>
      <c r="N2557" s="2768"/>
    </row>
    <row r="2558" spans="2:14" ht="19.5" hidden="1" customHeight="1" x14ac:dyDescent="0.25">
      <c r="B2558" s="441"/>
      <c r="C2558" s="2506" t="s">
        <v>7611</v>
      </c>
      <c r="D2558" s="2724">
        <f>14779365898+102</f>
        <v>14779366000</v>
      </c>
      <c r="E2558" s="2818">
        <f>D2558/D2381*100</f>
        <v>12.442704905496802</v>
      </c>
      <c r="F2558" s="4380"/>
      <c r="G2558" s="2830"/>
      <c r="H2558" s="2830"/>
      <c r="I2558" s="2830"/>
      <c r="J2558" s="911"/>
      <c r="K2558" s="911"/>
      <c r="L2558" s="911"/>
      <c r="M2558" s="911"/>
      <c r="N2558" s="2768"/>
    </row>
    <row r="2559" spans="2:14" ht="19.5" hidden="1" customHeight="1" thickBot="1" x14ac:dyDescent="0.3">
      <c r="B2559" s="441"/>
      <c r="C2559" s="4396"/>
      <c r="D2559" s="4399"/>
      <c r="E2559" s="4397"/>
      <c r="F2559" s="4477"/>
      <c r="G2559" s="4398"/>
      <c r="H2559" s="4398"/>
      <c r="I2559" s="4398"/>
      <c r="J2559" s="3154"/>
      <c r="K2559" s="3154"/>
      <c r="L2559" s="3154"/>
      <c r="M2559" s="3154"/>
      <c r="N2559" s="2756"/>
    </row>
    <row r="2560" spans="2:14" ht="17.25" hidden="1" customHeight="1" thickBot="1" x14ac:dyDescent="0.3">
      <c r="B2560" s="3155"/>
      <c r="C2560" s="2598" t="s">
        <v>7001</v>
      </c>
      <c r="D2560" s="3156">
        <f>SUM(D2562+D2611+D2661+D2668+D2674+D2693+D2697+D2714+D2721+D2725+D2745+D2770+3342+D2785+D2792+D2802+D2809+D2816+D2820+D2827+D2837+D2847+D2854+D2861)</f>
        <v>118389902000</v>
      </c>
      <c r="E2560" s="3326">
        <f>D2560/2512247400000*100</f>
        <v>4.7125096835606239</v>
      </c>
      <c r="F2560" s="4406"/>
      <c r="G2560" s="3327"/>
      <c r="H2560" s="3328"/>
      <c r="I2560" s="3329"/>
      <c r="J2560" s="3330"/>
      <c r="K2560" s="3330"/>
      <c r="L2560" s="3328"/>
      <c r="M2560" s="3329"/>
      <c r="N2560" s="2991"/>
    </row>
    <row r="2561" spans="1:16" s="121" customFormat="1" ht="7.5" hidden="1" customHeight="1" x14ac:dyDescent="0.25">
      <c r="A2561" s="16"/>
      <c r="B2561" s="439"/>
      <c r="C2561" s="2609"/>
      <c r="D2561" s="2721"/>
      <c r="E2561" s="4490"/>
      <c r="F2561" s="4487"/>
      <c r="G2561" s="4491"/>
      <c r="H2561" s="4492"/>
      <c r="I2561" s="4493"/>
      <c r="J2561" s="4494"/>
      <c r="K2561" s="4494"/>
      <c r="L2561" s="4492"/>
      <c r="M2561" s="4493"/>
      <c r="N2561" s="4495"/>
      <c r="P2561" s="619"/>
    </row>
    <row r="2562" spans="1:16" ht="18" hidden="1" customHeight="1" x14ac:dyDescent="0.25">
      <c r="B2562" s="440"/>
      <c r="C2562" s="2606" t="s">
        <v>2640</v>
      </c>
      <c r="D2562" s="2744">
        <f>SUM(D2563+D2569+D2572+D2586+D2591+D2595+D2604)</f>
        <v>42504738100</v>
      </c>
      <c r="E2562" s="2717">
        <f>D2562/D2560*100</f>
        <v>35.902334052105225</v>
      </c>
      <c r="F2562" s="3850"/>
      <c r="G2562" s="2909"/>
      <c r="H2562" s="2672"/>
      <c r="I2562" s="2909"/>
      <c r="J2562" s="2910"/>
      <c r="K2562" s="2910"/>
      <c r="L2562" s="2672"/>
      <c r="M2562" s="2909"/>
      <c r="N2562" s="2768"/>
    </row>
    <row r="2563" spans="1:16" ht="15.75" hidden="1" customHeight="1" x14ac:dyDescent="0.25">
      <c r="B2563" s="441"/>
      <c r="C2563" s="2599" t="s">
        <v>7613</v>
      </c>
      <c r="D2563" s="899">
        <f>SUM(D2564:D2567)</f>
        <v>3078978215</v>
      </c>
      <c r="E2563" s="2693">
        <f>D2563/D2560*100</f>
        <v>2.6007101644530461</v>
      </c>
      <c r="F2563" s="3853"/>
      <c r="G2563" s="2884"/>
      <c r="H2563" s="2695"/>
      <c r="I2563" s="2970"/>
      <c r="J2563" s="2883"/>
      <c r="K2563" s="2883"/>
      <c r="L2563" s="2695"/>
      <c r="M2563" s="2970"/>
      <c r="N2563" s="2768"/>
    </row>
    <row r="2564" spans="1:16" ht="17.25" hidden="1" customHeight="1" x14ac:dyDescent="0.25">
      <c r="B2564" s="441"/>
      <c r="C2564" s="2600" t="s">
        <v>7614</v>
      </c>
      <c r="D2564" s="3331">
        <v>485765010</v>
      </c>
      <c r="E2564" s="2688">
        <f>D2564/D2560*100</f>
        <v>0.41030949582169607</v>
      </c>
      <c r="F2564" s="3903"/>
      <c r="G2564" s="2816"/>
      <c r="H2564" s="2690"/>
      <c r="I2564" s="2757"/>
      <c r="J2564" s="3332"/>
      <c r="K2564" s="3333"/>
      <c r="L2564" s="2690"/>
      <c r="M2564" s="2757"/>
      <c r="N2564" s="2768"/>
    </row>
    <row r="2565" spans="1:16" ht="30" hidden="1" customHeight="1" x14ac:dyDescent="0.25">
      <c r="B2565" s="441"/>
      <c r="C2565" s="2600" t="s">
        <v>7615</v>
      </c>
      <c r="D2565" s="3331">
        <v>351363205</v>
      </c>
      <c r="E2565" s="2688">
        <f>D2565/D2560*100</f>
        <v>0.29678477561371747</v>
      </c>
      <c r="F2565" s="3903"/>
      <c r="G2565" s="2816"/>
      <c r="H2565" s="2690"/>
      <c r="I2565" s="2757"/>
      <c r="J2565" s="3332"/>
      <c r="K2565" s="3333"/>
      <c r="L2565" s="2690"/>
      <c r="M2565" s="2757"/>
      <c r="N2565" s="2768"/>
    </row>
    <row r="2566" spans="1:16" ht="17.25" hidden="1" customHeight="1" x14ac:dyDescent="0.25">
      <c r="B2566" s="441"/>
      <c r="C2566" s="2600" t="s">
        <v>7616</v>
      </c>
      <c r="D2566" s="3331">
        <v>1754850000</v>
      </c>
      <c r="E2566" s="2688">
        <f>D2566/D2560*100</f>
        <v>1.4822632423498416</v>
      </c>
      <c r="F2566" s="3903"/>
      <c r="G2566" s="2816"/>
      <c r="H2566" s="2690"/>
      <c r="I2566" s="2757"/>
      <c r="J2566" s="3332"/>
      <c r="K2566" s="3333"/>
      <c r="L2566" s="2690"/>
      <c r="M2566" s="2757"/>
      <c r="N2566" s="2768"/>
    </row>
    <row r="2567" spans="1:16" ht="18" hidden="1" customHeight="1" x14ac:dyDescent="0.25">
      <c r="B2567" s="441"/>
      <c r="C2567" s="2600" t="s">
        <v>7617</v>
      </c>
      <c r="D2567" s="3331">
        <v>487000000</v>
      </c>
      <c r="E2567" s="2688">
        <f>D2567/D2560*100</f>
        <v>0.41135265066779092</v>
      </c>
      <c r="F2567" s="3903"/>
      <c r="G2567" s="2816"/>
      <c r="H2567" s="2690"/>
      <c r="I2567" s="2757"/>
      <c r="J2567" s="3332"/>
      <c r="K2567" s="3333"/>
      <c r="L2567" s="2690"/>
      <c r="M2567" s="2757"/>
      <c r="N2567" s="2768"/>
    </row>
    <row r="2568" spans="1:16" ht="12.75" hidden="1" customHeight="1" x14ac:dyDescent="0.25">
      <c r="B2568" s="441"/>
      <c r="C2568" s="2600"/>
      <c r="D2568" s="3331"/>
      <c r="E2568" s="3334"/>
      <c r="F2568" s="3903"/>
      <c r="G2568" s="896"/>
      <c r="H2568" s="2702"/>
      <c r="I2568" s="3335"/>
      <c r="J2568" s="2851"/>
      <c r="K2568" s="896"/>
      <c r="L2568" s="2796"/>
      <c r="M2568" s="3335"/>
      <c r="N2568" s="2768"/>
    </row>
    <row r="2569" spans="1:16" ht="15.75" hidden="1" customHeight="1" x14ac:dyDescent="0.25">
      <c r="B2569" s="441"/>
      <c r="C2569" s="2599" t="s">
        <v>2485</v>
      </c>
      <c r="D2569" s="899">
        <f>D2570</f>
        <v>1276800000</v>
      </c>
      <c r="E2569" s="2693">
        <f>D2569/D2560*100</f>
        <v>1.0784703580546928</v>
      </c>
      <c r="F2569" s="3853"/>
      <c r="G2569" s="2884"/>
      <c r="H2569" s="2695"/>
      <c r="I2569" s="2970"/>
      <c r="J2569" s="2883"/>
      <c r="K2569" s="2883"/>
      <c r="L2569" s="2695"/>
      <c r="M2569" s="2970"/>
      <c r="N2569" s="2768"/>
    </row>
    <row r="2570" spans="1:16" ht="21" hidden="1" customHeight="1" x14ac:dyDescent="0.25">
      <c r="B2570" s="441"/>
      <c r="C2570" s="2600" t="s">
        <v>7618</v>
      </c>
      <c r="D2570" s="3331">
        <v>1276800000</v>
      </c>
      <c r="E2570" s="2688">
        <f>D2570/D2560*100</f>
        <v>1.0784703580546928</v>
      </c>
      <c r="F2570" s="4478"/>
      <c r="G2570" s="3337"/>
      <c r="H2570" s="2690"/>
      <c r="I2570" s="2757"/>
      <c r="J2570" s="3338"/>
      <c r="K2570" s="3338"/>
      <c r="L2570" s="2690"/>
      <c r="M2570" s="2757"/>
      <c r="N2570" s="2768"/>
    </row>
    <row r="2571" spans="1:16" ht="12" hidden="1" customHeight="1" x14ac:dyDescent="0.25">
      <c r="B2571" s="441"/>
      <c r="C2571" s="2601"/>
      <c r="D2571" s="896"/>
      <c r="E2571" s="3334"/>
      <c r="F2571" s="3868"/>
      <c r="G2571" s="896"/>
      <c r="H2571" s="2702"/>
      <c r="I2571" s="3335"/>
      <c r="J2571" s="2851"/>
      <c r="K2571" s="896"/>
      <c r="L2571" s="2796"/>
      <c r="M2571" s="3335"/>
      <c r="N2571" s="2768"/>
    </row>
    <row r="2572" spans="1:16" ht="17.25" hidden="1" customHeight="1" x14ac:dyDescent="0.25">
      <c r="B2572" s="441"/>
      <c r="C2572" s="2599" t="s">
        <v>248</v>
      </c>
      <c r="D2572" s="899">
        <f>SUM(D2573:D2584)</f>
        <v>32115423150</v>
      </c>
      <c r="E2572" s="2693">
        <f>D2572/D2560*100</f>
        <v>27.1268263656473</v>
      </c>
      <c r="F2572" s="3853"/>
      <c r="G2572" s="2884"/>
      <c r="H2572" s="2695"/>
      <c r="I2572" s="2970"/>
      <c r="J2572" s="2883"/>
      <c r="K2572" s="2883"/>
      <c r="L2572" s="2695"/>
      <c r="M2572" s="2970"/>
      <c r="N2572" s="2768"/>
    </row>
    <row r="2573" spans="1:16" ht="15.75" hidden="1" customHeight="1" x14ac:dyDescent="0.25">
      <c r="B2573" s="441"/>
      <c r="C2573" s="2600" t="s">
        <v>7619</v>
      </c>
      <c r="D2573" s="896">
        <v>3444118000</v>
      </c>
      <c r="E2573" s="2688">
        <f>D2573/D2560*100</f>
        <v>2.9091315575208432</v>
      </c>
      <c r="F2573" s="3868"/>
      <c r="G2573" s="2816"/>
      <c r="H2573" s="2690"/>
      <c r="I2573" s="2757"/>
      <c r="J2573" s="3338"/>
      <c r="K2573" s="3338"/>
      <c r="L2573" s="2690"/>
      <c r="M2573" s="2757"/>
      <c r="N2573" s="2768"/>
    </row>
    <row r="2574" spans="1:16" ht="16.5" hidden="1" customHeight="1" x14ac:dyDescent="0.25">
      <c r="B2574" s="441"/>
      <c r="C2574" s="2600" t="s">
        <v>7620</v>
      </c>
      <c r="D2574" s="896">
        <v>1300000000</v>
      </c>
      <c r="E2574" s="2688">
        <f>D2574/D2560*100</f>
        <v>1.0980666239591954</v>
      </c>
      <c r="F2574" s="3868"/>
      <c r="G2574" s="896"/>
      <c r="H2574" s="2702"/>
      <c r="I2574" s="3335"/>
      <c r="J2574" s="2851"/>
      <c r="K2574" s="896"/>
      <c r="L2574" s="2796"/>
      <c r="M2574" s="3335"/>
      <c r="N2574" s="2768"/>
    </row>
    <row r="2575" spans="1:16" ht="16.5" hidden="1" customHeight="1" x14ac:dyDescent="0.25">
      <c r="B2575" s="441"/>
      <c r="C2575" s="2600" t="s">
        <v>7621</v>
      </c>
      <c r="D2575" s="896">
        <v>3950000000</v>
      </c>
      <c r="E2575" s="2688">
        <f>D2575/D2560*100</f>
        <v>3.3364332035683244</v>
      </c>
      <c r="F2575" s="3868"/>
      <c r="G2575" s="896"/>
      <c r="H2575" s="2702"/>
      <c r="I2575" s="3335"/>
      <c r="J2575" s="2851"/>
      <c r="K2575" s="896"/>
      <c r="L2575" s="2796"/>
      <c r="M2575" s="3335"/>
      <c r="N2575" s="2768"/>
    </row>
    <row r="2576" spans="1:16" ht="15.75" hidden="1" customHeight="1" x14ac:dyDescent="0.25">
      <c r="B2576" s="441"/>
      <c r="C2576" s="2600" t="s">
        <v>7622</v>
      </c>
      <c r="D2576" s="896">
        <v>634000000</v>
      </c>
      <c r="E2576" s="2688">
        <f>D2576/D2560*100</f>
        <v>0.53551864583856146</v>
      </c>
      <c r="F2576" s="3868"/>
      <c r="G2576" s="896"/>
      <c r="H2576" s="2702"/>
      <c r="I2576" s="3335"/>
      <c r="J2576" s="2851"/>
      <c r="K2576" s="896"/>
      <c r="L2576" s="2796"/>
      <c r="M2576" s="3335"/>
      <c r="N2576" s="2768"/>
    </row>
    <row r="2577" spans="1:16" ht="15" hidden="1" customHeight="1" x14ac:dyDescent="0.25">
      <c r="B2577" s="441"/>
      <c r="C2577" s="2600" t="s">
        <v>7623</v>
      </c>
      <c r="D2577" s="896">
        <v>577469000</v>
      </c>
      <c r="E2577" s="2688">
        <f>D2577/D2560*100</f>
        <v>0.48776879636237896</v>
      </c>
      <c r="F2577" s="3868"/>
      <c r="G2577" s="896"/>
      <c r="H2577" s="2702"/>
      <c r="I2577" s="3335"/>
      <c r="J2577" s="2851"/>
      <c r="K2577" s="896"/>
      <c r="L2577" s="2796"/>
      <c r="M2577" s="3335"/>
      <c r="N2577" s="2768"/>
    </row>
    <row r="2578" spans="1:16" ht="18" hidden="1" customHeight="1" x14ac:dyDescent="0.25">
      <c r="B2578" s="441"/>
      <c r="C2578" s="2600" t="s">
        <v>7624</v>
      </c>
      <c r="D2578" s="896">
        <v>320698000</v>
      </c>
      <c r="E2578" s="2688">
        <f>D2578/D2560*100</f>
        <v>0.27088290013112776</v>
      </c>
      <c r="F2578" s="3868"/>
      <c r="G2578" s="896"/>
      <c r="H2578" s="2702"/>
      <c r="I2578" s="3335"/>
      <c r="J2578" s="2851"/>
      <c r="K2578" s="896"/>
      <c r="L2578" s="2796"/>
      <c r="M2578" s="3335"/>
      <c r="N2578" s="2768"/>
    </row>
    <row r="2579" spans="1:16" ht="18" hidden="1" customHeight="1" x14ac:dyDescent="0.25">
      <c r="B2579" s="441"/>
      <c r="C2579" s="2600" t="s">
        <v>7625</v>
      </c>
      <c r="D2579" s="896">
        <v>229431400</v>
      </c>
      <c r="E2579" s="2688">
        <f>D2579/D2560*100</f>
        <v>0.19379304832940902</v>
      </c>
      <c r="F2579" s="3868"/>
      <c r="G2579" s="896"/>
      <c r="H2579" s="2702"/>
      <c r="I2579" s="3335"/>
      <c r="J2579" s="2851"/>
      <c r="K2579" s="896"/>
      <c r="L2579" s="2796"/>
      <c r="M2579" s="3335"/>
      <c r="N2579" s="2768"/>
    </row>
    <row r="2580" spans="1:16" ht="18" hidden="1" customHeight="1" x14ac:dyDescent="0.25">
      <c r="B2580" s="441"/>
      <c r="C2580" s="2600" t="s">
        <v>7626</v>
      </c>
      <c r="D2580" s="896">
        <v>247639860</v>
      </c>
      <c r="E2580" s="2688">
        <f>D2580/D2560*100</f>
        <v>0.20917312694455986</v>
      </c>
      <c r="F2580" s="3868"/>
      <c r="G2580" s="896"/>
      <c r="H2580" s="2702"/>
      <c r="I2580" s="3335"/>
      <c r="J2580" s="2851"/>
      <c r="K2580" s="896"/>
      <c r="L2580" s="2796"/>
      <c r="M2580" s="3335"/>
      <c r="N2580" s="2768"/>
    </row>
    <row r="2581" spans="1:16" ht="18" hidden="1" customHeight="1" x14ac:dyDescent="0.25">
      <c r="B2581" s="441"/>
      <c r="C2581" s="2600" t="s">
        <v>7627</v>
      </c>
      <c r="D2581" s="896">
        <v>10608000000</v>
      </c>
      <c r="E2581" s="2688">
        <f>D2581/D2560*100</f>
        <v>8.9602236515070341</v>
      </c>
      <c r="F2581" s="3868"/>
      <c r="G2581" s="896"/>
      <c r="H2581" s="2702"/>
      <c r="I2581" s="3335"/>
      <c r="J2581" s="2851"/>
      <c r="K2581" s="896"/>
      <c r="L2581" s="2796"/>
      <c r="M2581" s="3335"/>
      <c r="N2581" s="2768"/>
    </row>
    <row r="2582" spans="1:16" ht="20.25" hidden="1" customHeight="1" x14ac:dyDescent="0.25">
      <c r="B2582" s="441"/>
      <c r="C2582" s="2600" t="s">
        <v>7628</v>
      </c>
      <c r="D2582" s="896">
        <v>6594599640</v>
      </c>
      <c r="E2582" s="2688">
        <f>D2582/D2560*100</f>
        <v>5.5702382792748661</v>
      </c>
      <c r="F2582" s="3868"/>
      <c r="G2582" s="896"/>
      <c r="H2582" s="2702"/>
      <c r="I2582" s="3335"/>
      <c r="J2582" s="2851"/>
      <c r="K2582" s="896"/>
      <c r="L2582" s="2796"/>
      <c r="M2582" s="3335"/>
      <c r="N2582" s="2768"/>
    </row>
    <row r="2583" spans="1:16" ht="18" hidden="1" customHeight="1" x14ac:dyDescent="0.25">
      <c r="B2583" s="441"/>
      <c r="C2583" s="2600" t="s">
        <v>7629</v>
      </c>
      <c r="D2583" s="896">
        <v>3050967250</v>
      </c>
      <c r="E2583" s="2688">
        <f>D2583/D2560*100</f>
        <v>2.5770502369365929</v>
      </c>
      <c r="F2583" s="3868"/>
      <c r="G2583" s="896"/>
      <c r="H2583" s="2702"/>
      <c r="I2583" s="3335"/>
      <c r="J2583" s="2851"/>
      <c r="K2583" s="896"/>
      <c r="L2583" s="2796"/>
      <c r="M2583" s="3335"/>
      <c r="N2583" s="2768"/>
    </row>
    <row r="2584" spans="1:16" ht="18" hidden="1" customHeight="1" x14ac:dyDescent="0.25">
      <c r="B2584" s="441"/>
      <c r="C2584" s="2600" t="s">
        <v>7630</v>
      </c>
      <c r="D2584" s="896">
        <v>1158500000</v>
      </c>
      <c r="E2584" s="2688">
        <f>D2584/D2560*100</f>
        <v>0.97854629527440606</v>
      </c>
      <c r="F2584" s="3868"/>
      <c r="G2584" s="896"/>
      <c r="H2584" s="2702"/>
      <c r="I2584" s="3335"/>
      <c r="J2584" s="2851"/>
      <c r="K2584" s="896"/>
      <c r="L2584" s="2796"/>
      <c r="M2584" s="3335"/>
      <c r="N2584" s="2768"/>
    </row>
    <row r="2585" spans="1:16" ht="11.25" hidden="1" customHeight="1" x14ac:dyDescent="0.25">
      <c r="B2585" s="441"/>
      <c r="C2585" s="2601"/>
      <c r="D2585" s="896"/>
      <c r="E2585" s="2688"/>
      <c r="F2585" s="3868"/>
      <c r="G2585" s="896"/>
      <c r="H2585" s="2702"/>
      <c r="I2585" s="3335"/>
      <c r="J2585" s="2851"/>
      <c r="K2585" s="896"/>
      <c r="L2585" s="2796"/>
      <c r="M2585" s="3335"/>
      <c r="N2585" s="2768"/>
    </row>
    <row r="2586" spans="1:16" s="32" customFormat="1" ht="19.5" hidden="1" customHeight="1" x14ac:dyDescent="0.25">
      <c r="A2586" s="1"/>
      <c r="B2586" s="441"/>
      <c r="C2586" s="2599" t="s">
        <v>658</v>
      </c>
      <c r="D2586" s="899">
        <f>SUM(D2587:D2589)</f>
        <v>373776619</v>
      </c>
      <c r="E2586" s="2693">
        <f>D2586/D2560*100</f>
        <v>0.31571663856939419</v>
      </c>
      <c r="F2586" s="3868"/>
      <c r="G2586" s="2796"/>
      <c r="H2586" s="2702"/>
      <c r="I2586" s="2970"/>
      <c r="J2586" s="3340"/>
      <c r="K2586" s="2796"/>
      <c r="L2586" s="2796"/>
      <c r="M2586" s="2970"/>
      <c r="N2586" s="2837"/>
      <c r="P2586" s="630"/>
    </row>
    <row r="2587" spans="1:16" s="196" customFormat="1" ht="28.5" hidden="1" customHeight="1" x14ac:dyDescent="0.25">
      <c r="A2587" s="12"/>
      <c r="B2587" s="448"/>
      <c r="C2587" s="2600" t="s">
        <v>7631</v>
      </c>
      <c r="D2587" s="896">
        <v>120575000</v>
      </c>
      <c r="E2587" s="2688">
        <f>D2587/D2560*100</f>
        <v>0.10184567937221538</v>
      </c>
      <c r="F2587" s="3868"/>
      <c r="G2587" s="896"/>
      <c r="H2587" s="2702"/>
      <c r="I2587" s="2757"/>
      <c r="J2587" s="2851"/>
      <c r="K2587" s="896"/>
      <c r="L2587" s="2796"/>
      <c r="M2587" s="2757"/>
      <c r="N2587" s="2951"/>
      <c r="P2587" s="631"/>
    </row>
    <row r="2588" spans="1:16" s="196" customFormat="1" ht="17.25" hidden="1" customHeight="1" x14ac:dyDescent="0.25">
      <c r="A2588" s="12"/>
      <c r="B2588" s="448"/>
      <c r="C2588" s="2600" t="s">
        <v>7632</v>
      </c>
      <c r="D2588" s="896">
        <v>127201619</v>
      </c>
      <c r="E2588" s="2688">
        <f>D2588/D2560*100</f>
        <v>0.10744296333651834</v>
      </c>
      <c r="F2588" s="3868"/>
      <c r="G2588" s="896"/>
      <c r="H2588" s="2702"/>
      <c r="I2588" s="2757"/>
      <c r="J2588" s="2851"/>
      <c r="K2588" s="896"/>
      <c r="L2588" s="2796"/>
      <c r="M2588" s="2757"/>
      <c r="N2588" s="2951"/>
      <c r="P2588" s="631"/>
    </row>
    <row r="2589" spans="1:16" s="196" customFormat="1" ht="17.25" hidden="1" customHeight="1" x14ac:dyDescent="0.25">
      <c r="A2589" s="12"/>
      <c r="B2589" s="448"/>
      <c r="C2589" s="2600" t="s">
        <v>7633</v>
      </c>
      <c r="D2589" s="896">
        <v>126000000</v>
      </c>
      <c r="E2589" s="2688">
        <f>D2589/D2560*100</f>
        <v>0.10642799586066048</v>
      </c>
      <c r="F2589" s="3868"/>
      <c r="G2589" s="896"/>
      <c r="H2589" s="2702"/>
      <c r="I2589" s="2757"/>
      <c r="J2589" s="2851"/>
      <c r="K2589" s="896"/>
      <c r="L2589" s="2796"/>
      <c r="M2589" s="2757"/>
      <c r="N2589" s="2951"/>
      <c r="P2589" s="631"/>
    </row>
    <row r="2590" spans="1:16" ht="12" hidden="1" customHeight="1" x14ac:dyDescent="0.25">
      <c r="B2590" s="441"/>
      <c r="C2590" s="2601"/>
      <c r="D2590" s="896"/>
      <c r="E2590" s="2688"/>
      <c r="F2590" s="3868"/>
      <c r="G2590" s="896"/>
      <c r="H2590" s="2702"/>
      <c r="I2590" s="3335"/>
      <c r="J2590" s="2851"/>
      <c r="K2590" s="896"/>
      <c r="L2590" s="2796"/>
      <c r="M2590" s="3335"/>
      <c r="N2590" s="2768"/>
    </row>
    <row r="2591" spans="1:16" s="32" customFormat="1" ht="17.25" hidden="1" customHeight="1" x14ac:dyDescent="0.25">
      <c r="A2591" s="1"/>
      <c r="B2591" s="441"/>
      <c r="C2591" s="2599" t="s">
        <v>663</v>
      </c>
      <c r="D2591" s="899">
        <f>SUM(D2592:D2593)</f>
        <v>733460140</v>
      </c>
      <c r="E2591" s="2693">
        <f>D2591/D2560*100</f>
        <v>0.6195293074911068</v>
      </c>
      <c r="F2591" s="3868"/>
      <c r="G2591" s="2796"/>
      <c r="H2591" s="2702"/>
      <c r="I2591" s="2970"/>
      <c r="J2591" s="3340"/>
      <c r="K2591" s="2796"/>
      <c r="L2591" s="2796"/>
      <c r="M2591" s="2970"/>
      <c r="N2591" s="2837"/>
      <c r="P2591" s="630"/>
    </row>
    <row r="2592" spans="1:16" s="196" customFormat="1" ht="29.25" hidden="1" customHeight="1" x14ac:dyDescent="0.25">
      <c r="A2592" s="12"/>
      <c r="B2592" s="448"/>
      <c r="C2592" s="2600" t="s">
        <v>7634</v>
      </c>
      <c r="D2592" s="896">
        <v>469180070</v>
      </c>
      <c r="E2592" s="2688">
        <f>D2592/D2560*100</f>
        <v>0.39630075037987617</v>
      </c>
      <c r="F2592" s="3868"/>
      <c r="G2592" s="896"/>
      <c r="H2592" s="2702"/>
      <c r="I2592" s="2757"/>
      <c r="J2592" s="2851"/>
      <c r="K2592" s="896"/>
      <c r="L2592" s="2796"/>
      <c r="M2592" s="2757"/>
      <c r="N2592" s="2951"/>
      <c r="P2592" s="631"/>
    </row>
    <row r="2593" spans="1:16" s="196" customFormat="1" ht="19.5" hidden="1" customHeight="1" x14ac:dyDescent="0.25">
      <c r="A2593" s="12"/>
      <c r="B2593" s="448"/>
      <c r="C2593" s="2600" t="s">
        <v>7635</v>
      </c>
      <c r="D2593" s="896">
        <v>264280070</v>
      </c>
      <c r="E2593" s="2688">
        <f>D2593/D2560*100</f>
        <v>0.22322855711123063</v>
      </c>
      <c r="F2593" s="3868"/>
      <c r="G2593" s="896"/>
      <c r="H2593" s="2702"/>
      <c r="I2593" s="2757"/>
      <c r="J2593" s="2851"/>
      <c r="K2593" s="896"/>
      <c r="L2593" s="2796"/>
      <c r="M2593" s="2757"/>
      <c r="N2593" s="2951"/>
      <c r="P2593" s="631"/>
    </row>
    <row r="2594" spans="1:16" ht="12" hidden="1" customHeight="1" x14ac:dyDescent="0.25">
      <c r="B2594" s="441"/>
      <c r="C2594" s="2601"/>
      <c r="D2594" s="896"/>
      <c r="E2594" s="2688"/>
      <c r="F2594" s="3868"/>
      <c r="G2594" s="896"/>
      <c r="H2594" s="2702"/>
      <c r="I2594" s="3335"/>
      <c r="J2594" s="2851"/>
      <c r="K2594" s="896"/>
      <c r="L2594" s="2796"/>
      <c r="M2594" s="3335"/>
      <c r="N2594" s="2768"/>
    </row>
    <row r="2595" spans="1:16" s="32" customFormat="1" ht="18" hidden="1" customHeight="1" x14ac:dyDescent="0.25">
      <c r="A2595" s="1"/>
      <c r="B2595" s="441"/>
      <c r="C2595" s="2599" t="s">
        <v>667</v>
      </c>
      <c r="D2595" s="899">
        <f>SUM(D2596:D2602)</f>
        <v>2638286236</v>
      </c>
      <c r="E2595" s="2693">
        <f>D2595/D2560*100</f>
        <v>2.2284723540019487</v>
      </c>
      <c r="F2595" s="3868"/>
      <c r="G2595" s="2796"/>
      <c r="H2595" s="2702"/>
      <c r="I2595" s="2970"/>
      <c r="J2595" s="3340"/>
      <c r="K2595" s="2796"/>
      <c r="L2595" s="2796"/>
      <c r="M2595" s="2970"/>
      <c r="N2595" s="2837"/>
      <c r="P2595" s="630"/>
    </row>
    <row r="2596" spans="1:16" s="196" customFormat="1" ht="15.75" hidden="1" customHeight="1" x14ac:dyDescent="0.25">
      <c r="A2596" s="12"/>
      <c r="B2596" s="448"/>
      <c r="C2596" s="2600" t="s">
        <v>7636</v>
      </c>
      <c r="D2596" s="896">
        <v>408087670</v>
      </c>
      <c r="E2596" s="2688">
        <f>D2596/D2560*100</f>
        <v>0.34469803852021097</v>
      </c>
      <c r="F2596" s="3868"/>
      <c r="G2596" s="896"/>
      <c r="H2596" s="2702"/>
      <c r="I2596" s="2757"/>
      <c r="J2596" s="2851"/>
      <c r="K2596" s="896"/>
      <c r="L2596" s="2796"/>
      <c r="M2596" s="2757"/>
      <c r="N2596" s="2951"/>
      <c r="P2596" s="631"/>
    </row>
    <row r="2597" spans="1:16" s="196" customFormat="1" ht="15.75" hidden="1" customHeight="1" x14ac:dyDescent="0.25">
      <c r="A2597" s="12"/>
      <c r="B2597" s="448"/>
      <c r="C2597" s="2600" t="s">
        <v>7637</v>
      </c>
      <c r="D2597" s="896">
        <v>446496560</v>
      </c>
      <c r="E2597" s="2688">
        <f>D2597/D2560*100</f>
        <v>0.37714074634507255</v>
      </c>
      <c r="F2597" s="3868"/>
      <c r="G2597" s="896"/>
      <c r="H2597" s="2702"/>
      <c r="I2597" s="2757"/>
      <c r="J2597" s="2851"/>
      <c r="K2597" s="896"/>
      <c r="L2597" s="2796"/>
      <c r="M2597" s="2757"/>
      <c r="N2597" s="2951"/>
      <c r="P2597" s="631"/>
    </row>
    <row r="2598" spans="1:16" s="196" customFormat="1" ht="17.25" hidden="1" customHeight="1" x14ac:dyDescent="0.25">
      <c r="A2598" s="12"/>
      <c r="B2598" s="448"/>
      <c r="C2598" s="2600" t="s">
        <v>7638</v>
      </c>
      <c r="D2598" s="896">
        <v>450000000</v>
      </c>
      <c r="E2598" s="2688">
        <f>D2598/D2560*100</f>
        <v>0.38009998521664456</v>
      </c>
      <c r="F2598" s="3868"/>
      <c r="G2598" s="896"/>
      <c r="H2598" s="2702"/>
      <c r="I2598" s="2757"/>
      <c r="J2598" s="2851"/>
      <c r="K2598" s="896"/>
      <c r="L2598" s="2796"/>
      <c r="M2598" s="2757"/>
      <c r="N2598" s="2951"/>
      <c r="P2598" s="631"/>
    </row>
    <row r="2599" spans="1:16" s="196" customFormat="1" ht="16.5" hidden="1" customHeight="1" x14ac:dyDescent="0.25">
      <c r="A2599" s="12"/>
      <c r="B2599" s="448"/>
      <c r="C2599" s="2600" t="s">
        <v>7640</v>
      </c>
      <c r="D2599" s="896">
        <v>480699230</v>
      </c>
      <c r="E2599" s="2688">
        <f>D2599/D2560*100</f>
        <v>0.40603060048144984</v>
      </c>
      <c r="F2599" s="3868"/>
      <c r="G2599" s="896"/>
      <c r="H2599" s="2702"/>
      <c r="I2599" s="2757"/>
      <c r="J2599" s="2851"/>
      <c r="K2599" s="896"/>
      <c r="L2599" s="2796"/>
      <c r="M2599" s="2757"/>
      <c r="N2599" s="2951"/>
      <c r="P2599" s="631"/>
    </row>
    <row r="2600" spans="1:16" s="196" customFormat="1" ht="16.5" hidden="1" customHeight="1" x14ac:dyDescent="0.25">
      <c r="A2600" s="12"/>
      <c r="B2600" s="448"/>
      <c r="C2600" s="2600" t="s">
        <v>7639</v>
      </c>
      <c r="D2600" s="896">
        <v>110127036</v>
      </c>
      <c r="E2600" s="2688">
        <f>D2600/D2560*100</f>
        <v>9.3020632790117519E-2</v>
      </c>
      <c r="F2600" s="3868"/>
      <c r="G2600" s="896"/>
      <c r="H2600" s="2702"/>
      <c r="I2600" s="2757"/>
      <c r="J2600" s="2851"/>
      <c r="K2600" s="896"/>
      <c r="L2600" s="2796"/>
      <c r="M2600" s="2757"/>
      <c r="N2600" s="2951"/>
      <c r="P2600" s="631"/>
    </row>
    <row r="2601" spans="1:16" s="196" customFormat="1" ht="19.5" hidden="1" customHeight="1" x14ac:dyDescent="0.25">
      <c r="A2601" s="12"/>
      <c r="B2601" s="448"/>
      <c r="C2601" s="2600" t="s">
        <v>7641</v>
      </c>
      <c r="D2601" s="896">
        <v>338246400</v>
      </c>
      <c r="E2601" s="2688">
        <f>D2601/D2560*100</f>
        <v>0.28570544808796278</v>
      </c>
      <c r="F2601" s="3868"/>
      <c r="G2601" s="896"/>
      <c r="H2601" s="2702"/>
      <c r="I2601" s="2757"/>
      <c r="J2601" s="2851"/>
      <c r="K2601" s="896"/>
      <c r="L2601" s="2796"/>
      <c r="M2601" s="2757"/>
      <c r="N2601" s="2951"/>
      <c r="P2601" s="631"/>
    </row>
    <row r="2602" spans="1:16" s="196" customFormat="1" ht="18.75" hidden="1" customHeight="1" x14ac:dyDescent="0.25">
      <c r="A2602" s="12"/>
      <c r="B2602" s="448"/>
      <c r="C2602" s="2600" t="s">
        <v>7642</v>
      </c>
      <c r="D2602" s="896">
        <v>404629340</v>
      </c>
      <c r="E2602" s="2688">
        <f>D2602/D2560*100</f>
        <v>0.34177690256049031</v>
      </c>
      <c r="F2602" s="3868"/>
      <c r="G2602" s="896"/>
      <c r="H2602" s="2702"/>
      <c r="I2602" s="2757"/>
      <c r="J2602" s="2851"/>
      <c r="K2602" s="896"/>
      <c r="L2602" s="2796"/>
      <c r="M2602" s="2757"/>
      <c r="N2602" s="2951"/>
      <c r="P2602" s="631"/>
    </row>
    <row r="2603" spans="1:16" s="196" customFormat="1" ht="9.75" hidden="1" customHeight="1" x14ac:dyDescent="0.25">
      <c r="A2603" s="12"/>
      <c r="B2603" s="448"/>
      <c r="C2603" s="2600"/>
      <c r="D2603" s="896"/>
      <c r="E2603" s="2688"/>
      <c r="F2603" s="3868"/>
      <c r="G2603" s="896"/>
      <c r="H2603" s="2702"/>
      <c r="I2603" s="2757"/>
      <c r="J2603" s="2851"/>
      <c r="K2603" s="896"/>
      <c r="L2603" s="2796"/>
      <c r="M2603" s="2757"/>
      <c r="N2603" s="2951"/>
      <c r="P2603" s="631"/>
    </row>
    <row r="2604" spans="1:16" s="32" customFormat="1" ht="21" hidden="1" customHeight="1" x14ac:dyDescent="0.25">
      <c r="A2604" s="1"/>
      <c r="B2604" s="441"/>
      <c r="C2604" s="2599" t="s">
        <v>670</v>
      </c>
      <c r="D2604" s="899">
        <f>SUM(D2605:D2609)</f>
        <v>2288013740</v>
      </c>
      <c r="E2604" s="2693">
        <f>D2604/D2560*100</f>
        <v>1.9326088638877323</v>
      </c>
      <c r="F2604" s="3853"/>
      <c r="G2604" s="899"/>
      <c r="H2604" s="2695"/>
      <c r="I2604" s="2970"/>
      <c r="J2604" s="2883"/>
      <c r="K2604" s="899"/>
      <c r="L2604" s="899"/>
      <c r="M2604" s="2970"/>
      <c r="N2604" s="2837"/>
      <c r="P2604" s="630"/>
    </row>
    <row r="2605" spans="1:16" s="196" customFormat="1" ht="16.5" hidden="1" customHeight="1" x14ac:dyDescent="0.25">
      <c r="A2605" s="12"/>
      <c r="B2605" s="448"/>
      <c r="C2605" s="2600" t="s">
        <v>7643</v>
      </c>
      <c r="D2605" s="896">
        <v>500000000</v>
      </c>
      <c r="E2605" s="2688">
        <f>D2605/D2560*100</f>
        <v>0.42233331690738291</v>
      </c>
      <c r="F2605" s="3868"/>
      <c r="G2605" s="896"/>
      <c r="H2605" s="2702"/>
      <c r="I2605" s="2757"/>
      <c r="J2605" s="2851"/>
      <c r="K2605" s="896"/>
      <c r="L2605" s="2796"/>
      <c r="M2605" s="2757"/>
      <c r="N2605" s="2951"/>
      <c r="P2605" s="631"/>
    </row>
    <row r="2606" spans="1:16" s="196" customFormat="1" ht="18.75" hidden="1" customHeight="1" x14ac:dyDescent="0.25">
      <c r="A2606" s="12"/>
      <c r="B2606" s="448"/>
      <c r="C2606" s="2600" t="s">
        <v>7644</v>
      </c>
      <c r="D2606" s="896">
        <v>408013740</v>
      </c>
      <c r="E2606" s="2688">
        <f>D2606/D2560*100</f>
        <v>0.34463559231597302</v>
      </c>
      <c r="F2606" s="3868"/>
      <c r="G2606" s="896"/>
      <c r="H2606" s="2702"/>
      <c r="I2606" s="2757"/>
      <c r="J2606" s="2851"/>
      <c r="K2606" s="896"/>
      <c r="L2606" s="2796"/>
      <c r="M2606" s="2757"/>
      <c r="N2606" s="2951"/>
      <c r="P2606" s="631"/>
    </row>
    <row r="2607" spans="1:16" s="196" customFormat="1" ht="19.5" hidden="1" customHeight="1" x14ac:dyDescent="0.25">
      <c r="A2607" s="12"/>
      <c r="B2607" s="448"/>
      <c r="C2607" s="2600" t="s">
        <v>7645</v>
      </c>
      <c r="D2607" s="896">
        <v>450000000</v>
      </c>
      <c r="E2607" s="2688">
        <f>D2607/D2560*100</f>
        <v>0.38009998521664456</v>
      </c>
      <c r="F2607" s="3868"/>
      <c r="G2607" s="896"/>
      <c r="H2607" s="2702"/>
      <c r="I2607" s="2757"/>
      <c r="J2607" s="2851"/>
      <c r="K2607" s="896"/>
      <c r="L2607" s="2796"/>
      <c r="M2607" s="2757"/>
      <c r="N2607" s="2951"/>
      <c r="P2607" s="631"/>
    </row>
    <row r="2608" spans="1:16" s="196" customFormat="1" ht="17.25" hidden="1" customHeight="1" x14ac:dyDescent="0.25">
      <c r="A2608" s="12"/>
      <c r="B2608" s="448"/>
      <c r="C2608" s="2600" t="s">
        <v>7646</v>
      </c>
      <c r="D2608" s="896">
        <v>450000000</v>
      </c>
      <c r="E2608" s="2688">
        <f>D2608/D2560*100</f>
        <v>0.38009998521664456</v>
      </c>
      <c r="F2608" s="3868"/>
      <c r="G2608" s="896"/>
      <c r="H2608" s="2702"/>
      <c r="I2608" s="2757"/>
      <c r="J2608" s="2851"/>
      <c r="K2608" s="896"/>
      <c r="L2608" s="2796"/>
      <c r="M2608" s="2757"/>
      <c r="N2608" s="2951"/>
      <c r="P2608" s="631"/>
    </row>
    <row r="2609" spans="1:16" s="196" customFormat="1" ht="18.75" hidden="1" customHeight="1" x14ac:dyDescent="0.25">
      <c r="A2609" s="12"/>
      <c r="B2609" s="448"/>
      <c r="C2609" s="2600" t="s">
        <v>7647</v>
      </c>
      <c r="D2609" s="896">
        <v>480000000</v>
      </c>
      <c r="E2609" s="2688">
        <f>D2609/D2560*100</f>
        <v>0.40543998423108757</v>
      </c>
      <c r="F2609" s="3868"/>
      <c r="G2609" s="896"/>
      <c r="H2609" s="2702"/>
      <c r="I2609" s="2757"/>
      <c r="J2609" s="2851"/>
      <c r="K2609" s="896"/>
      <c r="L2609" s="2796"/>
      <c r="M2609" s="2757"/>
      <c r="N2609" s="2951"/>
      <c r="P2609" s="631"/>
    </row>
    <row r="2610" spans="1:16" ht="12" hidden="1" customHeight="1" x14ac:dyDescent="0.25">
      <c r="B2610" s="441"/>
      <c r="C2610" s="2475"/>
      <c r="D2610" s="2769"/>
      <c r="E2610" s="3341"/>
      <c r="F2610" s="3872"/>
      <c r="G2610" s="2769"/>
      <c r="H2610" s="3084"/>
      <c r="I2610" s="3342"/>
      <c r="J2610" s="2913"/>
      <c r="K2610" s="2769"/>
      <c r="L2610" s="3343"/>
      <c r="M2610" s="3342"/>
      <c r="N2610" s="2768"/>
    </row>
    <row r="2611" spans="1:16" ht="16.5" hidden="1" customHeight="1" x14ac:dyDescent="0.25">
      <c r="B2611" s="440"/>
      <c r="C2611" s="2471" t="s">
        <v>398</v>
      </c>
      <c r="D2611" s="2744">
        <f>D2612+D2615+D2621+D2624+D2628+D2631+D2640+D2635+D2643+D2648+D2654+D2658</f>
        <v>20258465501</v>
      </c>
      <c r="E2611" s="2717">
        <f>D2611/D2560*100</f>
        <v>17.111649860982229</v>
      </c>
      <c r="F2611" s="3850"/>
      <c r="G2611" s="3344"/>
      <c r="H2611" s="3345"/>
      <c r="I2611" s="3344"/>
      <c r="J2611" s="2910"/>
      <c r="K2611" s="2910"/>
      <c r="L2611" s="2744"/>
      <c r="M2611" s="2909"/>
      <c r="N2611" s="2768"/>
    </row>
    <row r="2612" spans="1:16" ht="18.75" hidden="1" customHeight="1" x14ac:dyDescent="0.25">
      <c r="B2612" s="441"/>
      <c r="C2612" s="2599" t="s">
        <v>2126</v>
      </c>
      <c r="D2612" s="899">
        <f>SUM(D2613:D2613)</f>
        <v>768000000</v>
      </c>
      <c r="E2612" s="2764">
        <f>D2612/D2560*100</f>
        <v>0.64870397476974007</v>
      </c>
      <c r="F2612" s="3862"/>
      <c r="G2612" s="3163"/>
      <c r="H2612" s="3166"/>
      <c r="I2612" s="3163"/>
      <c r="J2612" s="3346"/>
      <c r="K2612" s="3346"/>
      <c r="L2612" s="2695"/>
      <c r="M2612" s="2915"/>
      <c r="N2612" s="2768"/>
    </row>
    <row r="2613" spans="1:16" ht="15.75" hidden="1" customHeight="1" x14ac:dyDescent="0.25">
      <c r="B2613" s="441"/>
      <c r="C2613" s="2600" t="s">
        <v>2127</v>
      </c>
      <c r="D2613" s="3331">
        <v>768000000</v>
      </c>
      <c r="E2613" s="2688">
        <f>D2613/D2560*100</f>
        <v>0.64870397476974007</v>
      </c>
      <c r="F2613" s="4478"/>
      <c r="G2613" s="3161"/>
      <c r="H2613" s="3162"/>
      <c r="I2613" s="3161"/>
      <c r="J2613" s="3338"/>
      <c r="K2613" s="3338"/>
      <c r="L2613" s="2690"/>
      <c r="M2613" s="2757"/>
      <c r="N2613" s="2768"/>
    </row>
    <row r="2614" spans="1:16" ht="12" hidden="1" customHeight="1" x14ac:dyDescent="0.25">
      <c r="B2614" s="441"/>
      <c r="C2614" s="2473"/>
      <c r="D2614" s="896"/>
      <c r="E2614" s="3341"/>
      <c r="F2614" s="3868"/>
      <c r="G2614" s="2709"/>
      <c r="H2614" s="2710"/>
      <c r="I2614" s="2709"/>
      <c r="J2614" s="2871"/>
      <c r="K2614" s="896"/>
      <c r="L2614" s="2796"/>
      <c r="M2614" s="3347"/>
      <c r="N2614" s="2768"/>
    </row>
    <row r="2615" spans="1:16" ht="17.25" hidden="1" customHeight="1" x14ac:dyDescent="0.25">
      <c r="B2615" s="441"/>
      <c r="C2615" s="2599" t="s">
        <v>678</v>
      </c>
      <c r="D2615" s="3348">
        <f>SUM(D2616:D2619)</f>
        <v>2243089000</v>
      </c>
      <c r="E2615" s="2693">
        <f>D2615/D2560*100</f>
        <v>1.8946624349769288</v>
      </c>
      <c r="F2615" s="3902"/>
      <c r="G2615" s="3180"/>
      <c r="H2615" s="3250"/>
      <c r="I2615" s="3180"/>
      <c r="J2615" s="3348"/>
      <c r="K2615" s="3348"/>
      <c r="L2615" s="2695"/>
      <c r="M2615" s="2970"/>
      <c r="N2615" s="2768"/>
    </row>
    <row r="2616" spans="1:16" ht="15.75" hidden="1" customHeight="1" x14ac:dyDescent="0.25">
      <c r="B2616" s="441"/>
      <c r="C2616" s="2600" t="s">
        <v>2128</v>
      </c>
      <c r="D2616" s="3331">
        <v>916030000</v>
      </c>
      <c r="E2616" s="2688">
        <f>D2616/D2560*100</f>
        <v>0.77373997657333982</v>
      </c>
      <c r="F2616" s="4478"/>
      <c r="G2616" s="3161"/>
      <c r="H2616" s="3162"/>
      <c r="I2616" s="3161"/>
      <c r="J2616" s="3338"/>
      <c r="K2616" s="3161"/>
      <c r="L2616" s="3162"/>
      <c r="M2616" s="3161"/>
      <c r="N2616" s="2768"/>
    </row>
    <row r="2617" spans="1:16" ht="15.75" hidden="1" customHeight="1" x14ac:dyDescent="0.25">
      <c r="B2617" s="441"/>
      <c r="C2617" s="2600" t="s">
        <v>2129</v>
      </c>
      <c r="D2617" s="3331">
        <v>149900000</v>
      </c>
      <c r="E2617" s="2688">
        <f>D2617/D2560*100</f>
        <v>0.12661552840883336</v>
      </c>
      <c r="F2617" s="4478"/>
      <c r="G2617" s="3161"/>
      <c r="H2617" s="3162"/>
      <c r="I2617" s="3161"/>
      <c r="J2617" s="3338"/>
      <c r="K2617" s="3338"/>
      <c r="L2617" s="2690"/>
      <c r="M2617" s="3335"/>
      <c r="N2617" s="2768"/>
    </row>
    <row r="2618" spans="1:16" ht="17.25" hidden="1" customHeight="1" x14ac:dyDescent="0.25">
      <c r="B2618" s="441"/>
      <c r="C2618" s="2600" t="s">
        <v>7648</v>
      </c>
      <c r="D2618" s="3331">
        <v>994650000</v>
      </c>
      <c r="E2618" s="2688">
        <f>D2618/D2560*100</f>
        <v>0.84014766732385671</v>
      </c>
      <c r="F2618" s="4478"/>
      <c r="G2618" s="896"/>
      <c r="H2618" s="2690"/>
      <c r="I2618" s="896"/>
      <c r="J2618" s="2851"/>
      <c r="K2618" s="896"/>
      <c r="L2618" s="2796"/>
      <c r="M2618" s="3335"/>
      <c r="N2618" s="2768"/>
    </row>
    <row r="2619" spans="1:16" ht="15.75" hidden="1" customHeight="1" x14ac:dyDescent="0.25">
      <c r="B2619" s="441"/>
      <c r="C2619" s="2600" t="s">
        <v>7649</v>
      </c>
      <c r="D2619" s="3331">
        <v>182509000</v>
      </c>
      <c r="E2619" s="2688">
        <f>D2619/D2560*100</f>
        <v>0.15415926267089908</v>
      </c>
      <c r="F2619" s="4478"/>
      <c r="G2619" s="896"/>
      <c r="H2619" s="2690"/>
      <c r="I2619" s="896"/>
      <c r="J2619" s="2851"/>
      <c r="K2619" s="896"/>
      <c r="L2619" s="2796"/>
      <c r="M2619" s="3335"/>
      <c r="N2619" s="2768"/>
    </row>
    <row r="2620" spans="1:16" ht="12" hidden="1" customHeight="1" x14ac:dyDescent="0.25">
      <c r="B2620" s="441"/>
      <c r="C2620" s="2600"/>
      <c r="D2620" s="3331"/>
      <c r="E2620" s="3349"/>
      <c r="F2620" s="4478"/>
      <c r="G2620" s="896"/>
      <c r="H2620" s="2690"/>
      <c r="I2620" s="896"/>
      <c r="J2620" s="2851"/>
      <c r="K2620" s="896"/>
      <c r="L2620" s="2796"/>
      <c r="M2620" s="3335"/>
      <c r="N2620" s="2768"/>
    </row>
    <row r="2621" spans="1:16" ht="15.75" hidden="1" customHeight="1" x14ac:dyDescent="0.25">
      <c r="B2621" s="441"/>
      <c r="C2621" s="2599" t="s">
        <v>2131</v>
      </c>
      <c r="D2621" s="3348">
        <f>SUM(D2622:D2622)</f>
        <v>232000000</v>
      </c>
      <c r="E2621" s="2764">
        <f>D2621/D2560*100</f>
        <v>0.19596265904502563</v>
      </c>
      <c r="F2621" s="3902"/>
      <c r="G2621" s="3163"/>
      <c r="H2621" s="3166"/>
      <c r="I2621" s="3163"/>
      <c r="J2621" s="3348"/>
      <c r="K2621" s="3348"/>
      <c r="L2621" s="2695"/>
      <c r="M2621" s="2970"/>
      <c r="N2621" s="2768"/>
    </row>
    <row r="2622" spans="1:16" ht="15.75" hidden="1" customHeight="1" x14ac:dyDescent="0.25">
      <c r="B2622" s="441"/>
      <c r="C2622" s="2600" t="s">
        <v>7650</v>
      </c>
      <c r="D2622" s="3331">
        <v>232000000</v>
      </c>
      <c r="E2622" s="2688">
        <f>D2622/D2560*100</f>
        <v>0.19596265904502563</v>
      </c>
      <c r="F2622" s="4478"/>
      <c r="G2622" s="3161"/>
      <c r="H2622" s="3162"/>
      <c r="I2622" s="3161"/>
      <c r="J2622" s="3338"/>
      <c r="K2622" s="3338"/>
      <c r="L2622" s="2690"/>
      <c r="M2622" s="2757"/>
      <c r="N2622" s="2768"/>
    </row>
    <row r="2623" spans="1:16" ht="10.5" hidden="1" customHeight="1" x14ac:dyDescent="0.25">
      <c r="B2623" s="441"/>
      <c r="C2623" s="2601"/>
      <c r="D2623" s="3350"/>
      <c r="E2623" s="3349"/>
      <c r="F2623" s="3902"/>
      <c r="G2623" s="896"/>
      <c r="H2623" s="2690"/>
      <c r="I2623" s="896"/>
      <c r="J2623" s="2851"/>
      <c r="K2623" s="896"/>
      <c r="L2623" s="2796"/>
      <c r="M2623" s="3335"/>
      <c r="N2623" s="2768"/>
    </row>
    <row r="2624" spans="1:16" ht="16.5" hidden="1" customHeight="1" x14ac:dyDescent="0.25">
      <c r="B2624" s="441"/>
      <c r="C2624" s="2599" t="s">
        <v>7651</v>
      </c>
      <c r="D2624" s="3348">
        <f>D2625+D2626</f>
        <v>629444000</v>
      </c>
      <c r="E2624" s="2764">
        <f>D2624/D2560*100</f>
        <v>0.53167034465490137</v>
      </c>
      <c r="F2624" s="3902"/>
      <c r="G2624" s="3163"/>
      <c r="H2624" s="3166"/>
      <c r="I2624" s="3163"/>
      <c r="J2624" s="3348"/>
      <c r="K2624" s="3348"/>
      <c r="L2624" s="2695"/>
      <c r="M2624" s="2970"/>
      <c r="N2624" s="2768"/>
    </row>
    <row r="2625" spans="2:14" ht="17.25" hidden="1" customHeight="1" x14ac:dyDescent="0.25">
      <c r="B2625" s="441"/>
      <c r="C2625" s="2600" t="s">
        <v>7652</v>
      </c>
      <c r="D2625" s="3331">
        <v>164134000</v>
      </c>
      <c r="E2625" s="2688">
        <f>D2625/D2560*100</f>
        <v>0.13863851327455276</v>
      </c>
      <c r="F2625" s="4478"/>
      <c r="G2625" s="2852"/>
      <c r="H2625" s="2855"/>
      <c r="I2625" s="2852"/>
      <c r="J2625" s="3338"/>
      <c r="K2625" s="3338"/>
      <c r="L2625" s="2690"/>
      <c r="M2625" s="2757"/>
      <c r="N2625" s="2768"/>
    </row>
    <row r="2626" spans="2:14" ht="21.75" hidden="1" customHeight="1" x14ac:dyDescent="0.25">
      <c r="B2626" s="441"/>
      <c r="C2626" s="2473" t="s">
        <v>7653</v>
      </c>
      <c r="D2626" s="3331">
        <v>465310000</v>
      </c>
      <c r="E2626" s="2688">
        <f>D2626/D2560*100</f>
        <v>0.39303183138034864</v>
      </c>
      <c r="F2626" s="3902"/>
      <c r="G2626" s="896"/>
      <c r="H2626" s="2690"/>
      <c r="I2626" s="896"/>
      <c r="J2626" s="2851"/>
      <c r="K2626" s="896"/>
      <c r="L2626" s="2796"/>
      <c r="M2626" s="3335"/>
      <c r="N2626" s="2768"/>
    </row>
    <row r="2627" spans="2:14" ht="12" hidden="1" customHeight="1" x14ac:dyDescent="0.25">
      <c r="B2627" s="441"/>
      <c r="C2627" s="2473"/>
      <c r="D2627" s="3350"/>
      <c r="E2627" s="3349"/>
      <c r="F2627" s="3902"/>
      <c r="G2627" s="896"/>
      <c r="H2627" s="2690"/>
      <c r="I2627" s="896"/>
      <c r="J2627" s="2851"/>
      <c r="K2627" s="896"/>
      <c r="L2627" s="2796"/>
      <c r="M2627" s="3335"/>
      <c r="N2627" s="2768"/>
    </row>
    <row r="2628" spans="2:14" ht="16.5" hidden="1" customHeight="1" x14ac:dyDescent="0.25">
      <c r="B2628" s="441"/>
      <c r="C2628" s="2599" t="s">
        <v>7654</v>
      </c>
      <c r="D2628" s="899">
        <f>D2629</f>
        <v>1305656500</v>
      </c>
      <c r="E2628" s="2764">
        <f>D2628/D2560*100</f>
        <v>1.1028444807733688</v>
      </c>
      <c r="F2628" s="3853"/>
      <c r="G2628" s="3163"/>
      <c r="H2628" s="3166"/>
      <c r="I2628" s="3163"/>
      <c r="J2628" s="2883"/>
      <c r="K2628" s="2883"/>
      <c r="L2628" s="2695"/>
      <c r="M2628" s="2970"/>
      <c r="N2628" s="2768"/>
    </row>
    <row r="2629" spans="2:14" ht="17.25" hidden="1" customHeight="1" x14ac:dyDescent="0.25">
      <c r="B2629" s="441"/>
      <c r="C2629" s="2600" t="s">
        <v>7655</v>
      </c>
      <c r="D2629" s="3331">
        <v>1305656500</v>
      </c>
      <c r="E2629" s="2688">
        <f>D2629/D2560*100</f>
        <v>1.1028444807733688</v>
      </c>
      <c r="F2629" s="4478"/>
      <c r="G2629" s="2852"/>
      <c r="H2629" s="2855"/>
      <c r="I2629" s="2852"/>
      <c r="J2629" s="3332"/>
      <c r="K2629" s="3333"/>
      <c r="L2629" s="2690"/>
      <c r="M2629" s="2757"/>
      <c r="N2629" s="2768"/>
    </row>
    <row r="2630" spans="2:14" ht="9.75" hidden="1" customHeight="1" x14ac:dyDescent="0.25">
      <c r="B2630" s="441"/>
      <c r="C2630" s="2473"/>
      <c r="D2630" s="896"/>
      <c r="E2630" s="3334"/>
      <c r="F2630" s="3868"/>
      <c r="G2630" s="896"/>
      <c r="H2630" s="2690"/>
      <c r="I2630" s="896"/>
      <c r="J2630" s="2851"/>
      <c r="K2630" s="896"/>
      <c r="L2630" s="2796"/>
      <c r="M2630" s="3335"/>
      <c r="N2630" s="2768"/>
    </row>
    <row r="2631" spans="2:14" ht="19.5" hidden="1" customHeight="1" x14ac:dyDescent="0.25">
      <c r="B2631" s="441"/>
      <c r="C2631" s="2599" t="s">
        <v>7656</v>
      </c>
      <c r="D2631" s="899">
        <f>SUM(D2632:D2633)</f>
        <v>297750000</v>
      </c>
      <c r="E2631" s="2764">
        <f>D2631/D2560*100</f>
        <v>0.2514994902183465</v>
      </c>
      <c r="F2631" s="3853"/>
      <c r="G2631" s="3163"/>
      <c r="H2631" s="3166"/>
      <c r="I2631" s="3163"/>
      <c r="J2631" s="2883"/>
      <c r="K2631" s="2883"/>
      <c r="L2631" s="2695"/>
      <c r="M2631" s="2970"/>
      <c r="N2631" s="2768"/>
    </row>
    <row r="2632" spans="2:14" ht="15.75" hidden="1" customHeight="1" x14ac:dyDescent="0.25">
      <c r="B2632" s="441"/>
      <c r="C2632" s="2600" t="s">
        <v>7657</v>
      </c>
      <c r="D2632" s="3331">
        <v>141900000</v>
      </c>
      <c r="E2632" s="2688">
        <f>D2632/D2560*100</f>
        <v>0.11985819533831527</v>
      </c>
      <c r="F2632" s="3903"/>
      <c r="G2632" s="2852"/>
      <c r="H2632" s="2855"/>
      <c r="I2632" s="2852"/>
      <c r="J2632" s="3332"/>
      <c r="K2632" s="3333"/>
      <c r="L2632" s="2690"/>
      <c r="M2632" s="2757"/>
      <c r="N2632" s="2768"/>
    </row>
    <row r="2633" spans="2:14" ht="20.25" hidden="1" customHeight="1" x14ac:dyDescent="0.25">
      <c r="B2633" s="441"/>
      <c r="C2633" s="2473" t="s">
        <v>7658</v>
      </c>
      <c r="D2633" s="896">
        <v>155850000</v>
      </c>
      <c r="E2633" s="2688">
        <f>D2633/D2560*100</f>
        <v>0.13164129488003123</v>
      </c>
      <c r="F2633" s="3868"/>
      <c r="G2633" s="896"/>
      <c r="H2633" s="2690"/>
      <c r="I2633" s="896"/>
      <c r="J2633" s="2851"/>
      <c r="K2633" s="896"/>
      <c r="L2633" s="2796"/>
      <c r="M2633" s="3335"/>
      <c r="N2633" s="2768"/>
    </row>
    <row r="2634" spans="2:14" ht="12" hidden="1" customHeight="1" x14ac:dyDescent="0.25">
      <c r="B2634" s="441"/>
      <c r="C2634" s="2473"/>
      <c r="D2634" s="896"/>
      <c r="E2634" s="3349"/>
      <c r="F2634" s="3868"/>
      <c r="G2634" s="896"/>
      <c r="H2634" s="2690"/>
      <c r="I2634" s="896"/>
      <c r="J2634" s="2851"/>
      <c r="K2634" s="896"/>
      <c r="L2634" s="2796"/>
      <c r="M2634" s="3335"/>
      <c r="N2634" s="2768"/>
    </row>
    <row r="2635" spans="2:14" ht="18" hidden="1" customHeight="1" x14ac:dyDescent="0.25">
      <c r="B2635" s="441"/>
      <c r="C2635" s="2491" t="s">
        <v>2140</v>
      </c>
      <c r="D2635" s="899">
        <f>SUM(D2636:D2638)</f>
        <v>1481347852</v>
      </c>
      <c r="E2635" s="2764">
        <f>D2635/D2560*100</f>
        <v>1.2512451036575738</v>
      </c>
      <c r="F2635" s="3853"/>
      <c r="G2635" s="3163"/>
      <c r="H2635" s="3166"/>
      <c r="I2635" s="3163"/>
      <c r="J2635" s="2883"/>
      <c r="K2635" s="2883"/>
      <c r="L2635" s="2695"/>
      <c r="M2635" s="2970"/>
      <c r="N2635" s="2768"/>
    </row>
    <row r="2636" spans="2:14" ht="15.75" hidden="1" customHeight="1" x14ac:dyDescent="0.25">
      <c r="B2636" s="441"/>
      <c r="C2636" s="2494" t="s">
        <v>7659</v>
      </c>
      <c r="D2636" s="3331">
        <v>957600000</v>
      </c>
      <c r="E2636" s="2688">
        <f>D2636/D2560*100</f>
        <v>0.80885276854101973</v>
      </c>
      <c r="F2636" s="3903"/>
      <c r="G2636" s="3161"/>
      <c r="H2636" s="3162"/>
      <c r="I2636" s="3161"/>
      <c r="J2636" s="3332"/>
      <c r="K2636" s="3333"/>
      <c r="L2636" s="2690"/>
      <c r="M2636" s="2757"/>
      <c r="N2636" s="2768"/>
    </row>
    <row r="2637" spans="2:14" ht="16.5" hidden="1" customHeight="1" x14ac:dyDescent="0.25">
      <c r="B2637" s="441"/>
      <c r="C2637" s="2494" t="s">
        <v>7660</v>
      </c>
      <c r="D2637" s="3331">
        <v>251597852</v>
      </c>
      <c r="E2637" s="2688">
        <f>D2637/D2560*100</f>
        <v>0.21251631072386562</v>
      </c>
      <c r="F2637" s="3903"/>
      <c r="G2637" s="3161"/>
      <c r="H2637" s="3162"/>
      <c r="I2637" s="3161"/>
      <c r="J2637" s="3332"/>
      <c r="K2637" s="3333"/>
      <c r="L2637" s="2690"/>
      <c r="M2637" s="2757"/>
      <c r="N2637" s="2768"/>
    </row>
    <row r="2638" spans="2:14" ht="15" hidden="1" customHeight="1" x14ac:dyDescent="0.25">
      <c r="B2638" s="441"/>
      <c r="C2638" s="2473" t="s">
        <v>7661</v>
      </c>
      <c r="D2638" s="896">
        <v>272150000</v>
      </c>
      <c r="E2638" s="2688">
        <f>D2638/D2560*100</f>
        <v>0.22987602439268848</v>
      </c>
      <c r="F2638" s="3868"/>
      <c r="G2638" s="896"/>
      <c r="H2638" s="2690"/>
      <c r="I2638" s="896"/>
      <c r="J2638" s="2851"/>
      <c r="K2638" s="896"/>
      <c r="L2638" s="2796"/>
      <c r="M2638" s="3335"/>
      <c r="N2638" s="2768"/>
    </row>
    <row r="2639" spans="2:14" ht="12" hidden="1" customHeight="1" x14ac:dyDescent="0.25">
      <c r="B2639" s="441"/>
      <c r="C2639" s="2473"/>
      <c r="D2639" s="896"/>
      <c r="E2639" s="3349"/>
      <c r="F2639" s="3868"/>
      <c r="G2639" s="896"/>
      <c r="H2639" s="2690"/>
      <c r="I2639" s="896"/>
      <c r="J2639" s="2851"/>
      <c r="K2639" s="896"/>
      <c r="L2639" s="2796"/>
      <c r="M2639" s="3335"/>
      <c r="N2639" s="2768"/>
    </row>
    <row r="2640" spans="2:14" ht="21" hidden="1" customHeight="1" x14ac:dyDescent="0.25">
      <c r="B2640" s="441"/>
      <c r="C2640" s="2491" t="s">
        <v>4168</v>
      </c>
      <c r="D2640" s="899">
        <f>D2641</f>
        <v>223862656</v>
      </c>
      <c r="E2640" s="2764">
        <f>D2640/D2560*100</f>
        <v>0.18908931608035287</v>
      </c>
      <c r="F2640" s="3853"/>
      <c r="G2640" s="3163"/>
      <c r="H2640" s="3166"/>
      <c r="I2640" s="3163"/>
      <c r="J2640" s="2883"/>
      <c r="K2640" s="2883"/>
      <c r="L2640" s="2695"/>
      <c r="M2640" s="2695"/>
      <c r="N2640" s="2768"/>
    </row>
    <row r="2641" spans="1:16" ht="16.5" hidden="1" customHeight="1" x14ac:dyDescent="0.25">
      <c r="B2641" s="441"/>
      <c r="C2641" s="2494" t="s">
        <v>7662</v>
      </c>
      <c r="D2641" s="3331">
        <v>223862656</v>
      </c>
      <c r="E2641" s="2688">
        <f>D2641/D2560*100</f>
        <v>0.18908931608035287</v>
      </c>
      <c r="F2641" s="3903"/>
      <c r="G2641" s="2852"/>
      <c r="H2641" s="2855"/>
      <c r="I2641" s="2852"/>
      <c r="J2641" s="3332"/>
      <c r="K2641" s="3333"/>
      <c r="L2641" s="2690"/>
      <c r="M2641" s="2690"/>
      <c r="N2641" s="2768"/>
    </row>
    <row r="2642" spans="1:16" ht="9.75" hidden="1" customHeight="1" x14ac:dyDescent="0.25">
      <c r="B2642" s="441"/>
      <c r="C2642" s="2494"/>
      <c r="D2642" s="3331"/>
      <c r="E2642" s="2688"/>
      <c r="F2642" s="3903"/>
      <c r="G2642" s="2852"/>
      <c r="H2642" s="2855"/>
      <c r="I2642" s="2852"/>
      <c r="J2642" s="3332"/>
      <c r="K2642" s="3333"/>
      <c r="L2642" s="2690"/>
      <c r="M2642" s="2690"/>
      <c r="N2642" s="2768"/>
    </row>
    <row r="2643" spans="1:16" s="32" customFormat="1" ht="18" hidden="1" customHeight="1" x14ac:dyDescent="0.25">
      <c r="A2643" s="1"/>
      <c r="B2643" s="441"/>
      <c r="C2643" s="2474" t="s">
        <v>4169</v>
      </c>
      <c r="D2643" s="899">
        <f>SUM(D2644:D2646)</f>
        <v>327802352</v>
      </c>
      <c r="E2643" s="2764">
        <f>D2643/D2560*100</f>
        <v>0.27688370922040295</v>
      </c>
      <c r="F2643" s="3853"/>
      <c r="G2643" s="899"/>
      <c r="H2643" s="2695"/>
      <c r="I2643" s="899"/>
      <c r="J2643" s="2883"/>
      <c r="K2643" s="899"/>
      <c r="L2643" s="899"/>
      <c r="M2643" s="2970"/>
      <c r="N2643" s="2837"/>
      <c r="P2643" s="630"/>
    </row>
    <row r="2644" spans="1:16" ht="16.5" hidden="1" customHeight="1" x14ac:dyDescent="0.25">
      <c r="B2644" s="441"/>
      <c r="C2644" s="2473" t="s">
        <v>7663</v>
      </c>
      <c r="D2644" s="896">
        <v>107750000</v>
      </c>
      <c r="E2644" s="2688">
        <f>D2644/D2560*100</f>
        <v>9.1012829793541E-2</v>
      </c>
      <c r="F2644" s="3868"/>
      <c r="G2644" s="896"/>
      <c r="H2644" s="2690"/>
      <c r="I2644" s="896"/>
      <c r="J2644" s="2851"/>
      <c r="K2644" s="896"/>
      <c r="L2644" s="2796"/>
      <c r="M2644" s="3335"/>
      <c r="N2644" s="2768"/>
    </row>
    <row r="2645" spans="1:16" ht="18" hidden="1" customHeight="1" x14ac:dyDescent="0.25">
      <c r="B2645" s="441"/>
      <c r="C2645" s="2473" t="s">
        <v>7664</v>
      </c>
      <c r="D2645" s="896">
        <v>218252352</v>
      </c>
      <c r="E2645" s="2688">
        <f>D2645/D2560*100</f>
        <v>0.18435047948599537</v>
      </c>
      <c r="F2645" s="3868"/>
      <c r="G2645" s="896"/>
      <c r="H2645" s="2690"/>
      <c r="I2645" s="896"/>
      <c r="J2645" s="2851"/>
      <c r="K2645" s="896"/>
      <c r="L2645" s="2796"/>
      <c r="M2645" s="3335"/>
      <c r="N2645" s="2768"/>
    </row>
    <row r="2646" spans="1:16" ht="18.75" hidden="1" customHeight="1" x14ac:dyDescent="0.25">
      <c r="B2646" s="441"/>
      <c r="C2646" s="2473" t="s">
        <v>7665</v>
      </c>
      <c r="D2646" s="896">
        <v>1800000</v>
      </c>
      <c r="E2646" s="2688">
        <f>D2646/D2560*100</f>
        <v>1.5203999408665784E-3</v>
      </c>
      <c r="F2646" s="3868"/>
      <c r="G2646" s="896"/>
      <c r="H2646" s="2690"/>
      <c r="I2646" s="896"/>
      <c r="J2646" s="2851"/>
      <c r="K2646" s="896"/>
      <c r="L2646" s="2796"/>
      <c r="M2646" s="3335"/>
      <c r="N2646" s="2768"/>
    </row>
    <row r="2647" spans="1:16" ht="11.25" hidden="1" customHeight="1" x14ac:dyDescent="0.25">
      <c r="B2647" s="441"/>
      <c r="C2647" s="2473"/>
      <c r="D2647" s="896"/>
      <c r="E2647" s="2688"/>
      <c r="F2647" s="3868"/>
      <c r="G2647" s="896"/>
      <c r="H2647" s="2690"/>
      <c r="I2647" s="896"/>
      <c r="J2647" s="2851"/>
      <c r="K2647" s="896"/>
      <c r="L2647" s="2796"/>
      <c r="M2647" s="3335"/>
      <c r="N2647" s="2768"/>
    </row>
    <row r="2648" spans="1:16" s="32" customFormat="1" ht="20.25" hidden="1" customHeight="1" x14ac:dyDescent="0.25">
      <c r="A2648" s="1"/>
      <c r="B2648" s="441"/>
      <c r="C2648" s="2474" t="s">
        <v>6740</v>
      </c>
      <c r="D2648" s="899">
        <f>SUM(D2649:D2652)</f>
        <v>2020075369</v>
      </c>
      <c r="E2648" s="2693">
        <f>D2648/D2560*100</f>
        <v>1.7062902619853506</v>
      </c>
      <c r="F2648" s="3853"/>
      <c r="G2648" s="899"/>
      <c r="H2648" s="2695"/>
      <c r="I2648" s="899"/>
      <c r="J2648" s="2883"/>
      <c r="K2648" s="899"/>
      <c r="L2648" s="899"/>
      <c r="M2648" s="2970"/>
      <c r="N2648" s="2837"/>
      <c r="P2648" s="630"/>
    </row>
    <row r="2649" spans="1:16" ht="18.75" hidden="1" customHeight="1" x14ac:dyDescent="0.25">
      <c r="B2649" s="441"/>
      <c r="C2649" s="2473" t="s">
        <v>7666</v>
      </c>
      <c r="D2649" s="896">
        <v>312950369</v>
      </c>
      <c r="E2649" s="2688">
        <f>D2649/D2560*100</f>
        <v>0.26433873473431879</v>
      </c>
      <c r="F2649" s="3868"/>
      <c r="G2649" s="896"/>
      <c r="H2649" s="2690"/>
      <c r="I2649" s="896"/>
      <c r="J2649" s="2851"/>
      <c r="K2649" s="896"/>
      <c r="L2649" s="2796"/>
      <c r="M2649" s="3335"/>
      <c r="N2649" s="2768"/>
    </row>
    <row r="2650" spans="1:16" ht="18.75" hidden="1" customHeight="1" x14ac:dyDescent="0.25">
      <c r="B2650" s="441"/>
      <c r="C2650" s="2473" t="s">
        <v>7667</v>
      </c>
      <c r="D2650" s="896">
        <v>442325000</v>
      </c>
      <c r="E2650" s="2688">
        <f>D2650/D2560*100</f>
        <v>0.37361716880211626</v>
      </c>
      <c r="F2650" s="3868"/>
      <c r="G2650" s="896"/>
      <c r="H2650" s="2690"/>
      <c r="I2650" s="896"/>
      <c r="J2650" s="2851"/>
      <c r="K2650" s="896"/>
      <c r="L2650" s="2796"/>
      <c r="M2650" s="3335"/>
      <c r="N2650" s="2768"/>
    </row>
    <row r="2651" spans="1:16" ht="18.75" hidden="1" customHeight="1" x14ac:dyDescent="0.25">
      <c r="B2651" s="441"/>
      <c r="C2651" s="2473" t="s">
        <v>7668</v>
      </c>
      <c r="D2651" s="896">
        <v>869800000</v>
      </c>
      <c r="E2651" s="2688">
        <f>D2651/D2560*100</f>
        <v>0.73469103809208325</v>
      </c>
      <c r="F2651" s="3868"/>
      <c r="G2651" s="896"/>
      <c r="H2651" s="2690"/>
      <c r="I2651" s="896"/>
      <c r="J2651" s="2851"/>
      <c r="K2651" s="896"/>
      <c r="L2651" s="2796"/>
      <c r="M2651" s="3335"/>
      <c r="N2651" s="2768"/>
    </row>
    <row r="2652" spans="1:16" ht="18.75" hidden="1" customHeight="1" x14ac:dyDescent="0.25">
      <c r="B2652" s="441"/>
      <c r="C2652" s="2473" t="s">
        <v>7669</v>
      </c>
      <c r="D2652" s="896">
        <v>395000000</v>
      </c>
      <c r="E2652" s="2688">
        <f>D2652/D2560*100</f>
        <v>0.33364332035683247</v>
      </c>
      <c r="F2652" s="3868"/>
      <c r="G2652" s="896"/>
      <c r="H2652" s="2690"/>
      <c r="I2652" s="896"/>
      <c r="J2652" s="2851"/>
      <c r="K2652" s="896"/>
      <c r="L2652" s="2796"/>
      <c r="M2652" s="3335"/>
      <c r="N2652" s="2768"/>
    </row>
    <row r="2653" spans="1:16" ht="14.25" hidden="1" customHeight="1" x14ac:dyDescent="0.25">
      <c r="B2653" s="441"/>
      <c r="C2653" s="2473"/>
      <c r="D2653" s="896"/>
      <c r="E2653" s="2688"/>
      <c r="F2653" s="3868"/>
      <c r="G2653" s="896"/>
      <c r="H2653" s="2690"/>
      <c r="I2653" s="896"/>
      <c r="J2653" s="2851"/>
      <c r="K2653" s="896"/>
      <c r="L2653" s="2796"/>
      <c r="M2653" s="3335"/>
      <c r="N2653" s="2768"/>
    </row>
    <row r="2654" spans="1:16" s="32" customFormat="1" ht="30.75" hidden="1" customHeight="1" x14ac:dyDescent="0.25">
      <c r="A2654" s="1"/>
      <c r="B2654" s="441"/>
      <c r="C2654" s="2474" t="s">
        <v>7670</v>
      </c>
      <c r="D2654" s="899">
        <f>SUM(D2655:D2656)</f>
        <v>10689437772</v>
      </c>
      <c r="E2654" s="2693">
        <f>D2654/D2560*100</f>
        <v>9.0290114202476506</v>
      </c>
      <c r="F2654" s="3853"/>
      <c r="G2654" s="899"/>
      <c r="H2654" s="2695"/>
      <c r="I2654" s="899"/>
      <c r="J2654" s="2883"/>
      <c r="K2654" s="899"/>
      <c r="L2654" s="899"/>
      <c r="M2654" s="2970"/>
      <c r="N2654" s="2837"/>
      <c r="P2654" s="630"/>
    </row>
    <row r="2655" spans="1:16" ht="18.75" hidden="1" customHeight="1" x14ac:dyDescent="0.25">
      <c r="B2655" s="441"/>
      <c r="C2655" s="2473" t="s">
        <v>7671</v>
      </c>
      <c r="D2655" s="896">
        <v>450000000</v>
      </c>
      <c r="E2655" s="2688">
        <f>D2655/D2560*100</f>
        <v>0.38009998521664456</v>
      </c>
      <c r="F2655" s="3868"/>
      <c r="G2655" s="896"/>
      <c r="H2655" s="2690"/>
      <c r="I2655" s="896"/>
      <c r="J2655" s="2851"/>
      <c r="K2655" s="896"/>
      <c r="L2655" s="2796"/>
      <c r="M2655" s="3335"/>
      <c r="N2655" s="2768"/>
    </row>
    <row r="2656" spans="1:16" ht="18.75" hidden="1" customHeight="1" x14ac:dyDescent="0.25">
      <c r="B2656" s="441"/>
      <c r="C2656" s="2473" t="s">
        <v>7672</v>
      </c>
      <c r="D2656" s="896">
        <v>10239437772</v>
      </c>
      <c r="E2656" s="2688">
        <f>D2656/D2560*100</f>
        <v>8.648911435031005</v>
      </c>
      <c r="F2656" s="3868"/>
      <c r="G2656" s="896"/>
      <c r="H2656" s="2690"/>
      <c r="I2656" s="896"/>
      <c r="J2656" s="2851"/>
      <c r="K2656" s="896"/>
      <c r="L2656" s="2796"/>
      <c r="M2656" s="3335"/>
      <c r="N2656" s="2768"/>
    </row>
    <row r="2657" spans="1:16" ht="9.75" hidden="1" customHeight="1" x14ac:dyDescent="0.25">
      <c r="B2657" s="441"/>
      <c r="C2657" s="2473"/>
      <c r="D2657" s="896"/>
      <c r="E2657" s="2688"/>
      <c r="F2657" s="3868"/>
      <c r="G2657" s="896"/>
      <c r="H2657" s="2690"/>
      <c r="I2657" s="896"/>
      <c r="J2657" s="2851"/>
      <c r="K2657" s="896"/>
      <c r="L2657" s="2796"/>
      <c r="M2657" s="3335"/>
      <c r="N2657" s="2768"/>
    </row>
    <row r="2658" spans="1:16" s="32" customFormat="1" ht="18" hidden="1" customHeight="1" x14ac:dyDescent="0.25">
      <c r="A2658" s="1"/>
      <c r="B2658" s="441"/>
      <c r="C2658" s="2474" t="s">
        <v>7673</v>
      </c>
      <c r="D2658" s="899">
        <f>D2659</f>
        <v>40000000</v>
      </c>
      <c r="E2658" s="2693">
        <f>D2658/D2560*100</f>
        <v>3.3786665352590631E-2</v>
      </c>
      <c r="F2658" s="3853"/>
      <c r="G2658" s="899"/>
      <c r="H2658" s="2695"/>
      <c r="I2658" s="899"/>
      <c r="J2658" s="2883"/>
      <c r="K2658" s="899"/>
      <c r="L2658" s="899"/>
      <c r="M2658" s="2970"/>
      <c r="N2658" s="2837"/>
      <c r="P2658" s="630"/>
    </row>
    <row r="2659" spans="1:16" ht="18.75" hidden="1" customHeight="1" x14ac:dyDescent="0.25">
      <c r="B2659" s="441"/>
      <c r="C2659" s="2473" t="s">
        <v>7674</v>
      </c>
      <c r="D2659" s="896">
        <v>40000000</v>
      </c>
      <c r="E2659" s="2688">
        <f>D2659/D2560*100</f>
        <v>3.3786665352590631E-2</v>
      </c>
      <c r="F2659" s="3868"/>
      <c r="G2659" s="896"/>
      <c r="H2659" s="2690"/>
      <c r="I2659" s="896"/>
      <c r="J2659" s="2851"/>
      <c r="K2659" s="896"/>
      <c r="L2659" s="2796"/>
      <c r="M2659" s="3335"/>
      <c r="N2659" s="2768"/>
    </row>
    <row r="2660" spans="1:16" ht="14.25" hidden="1" customHeight="1" x14ac:dyDescent="0.25">
      <c r="B2660" s="441"/>
      <c r="C2660" s="3753"/>
      <c r="D2660" s="2769"/>
      <c r="E2660" s="3352"/>
      <c r="F2660" s="3872"/>
      <c r="G2660" s="2709"/>
      <c r="H2660" s="2792"/>
      <c r="I2660" s="3342"/>
      <c r="J2660" s="2913"/>
      <c r="K2660" s="2769"/>
      <c r="L2660" s="3343"/>
      <c r="M2660" s="3342"/>
      <c r="N2660" s="2768"/>
    </row>
    <row r="2661" spans="1:16" ht="17.25" hidden="1" customHeight="1" x14ac:dyDescent="0.25">
      <c r="B2661" s="440"/>
      <c r="C2661" s="2471" t="s">
        <v>1789</v>
      </c>
      <c r="D2661" s="2744">
        <f>SUM(D2662+D2665)</f>
        <v>5451775000</v>
      </c>
      <c r="E2661" s="2717">
        <f>D2661/D2560*100</f>
        <v>4.6049324375654948</v>
      </c>
      <c r="F2661" s="3149"/>
      <c r="G2661" s="2909"/>
      <c r="H2661" s="2672"/>
      <c r="I2661" s="2909"/>
      <c r="J2661" s="2910"/>
      <c r="K2661" s="2910"/>
      <c r="L2661" s="2672"/>
      <c r="M2661" s="2909"/>
      <c r="N2661" s="2768"/>
    </row>
    <row r="2662" spans="1:16" ht="20.25" hidden="1" customHeight="1" x14ac:dyDescent="0.25">
      <c r="B2662" s="441"/>
      <c r="C2662" s="2491" t="s">
        <v>2154</v>
      </c>
      <c r="D2662" s="899">
        <f>D2663</f>
        <v>1520775000</v>
      </c>
      <c r="E2662" s="2693">
        <f>D2662/D2560*100</f>
        <v>1.2845479000396505</v>
      </c>
      <c r="F2662" s="3870"/>
      <c r="G2662" s="3163"/>
      <c r="H2662" s="3166"/>
      <c r="I2662" s="3163"/>
      <c r="J2662" s="3353"/>
      <c r="K2662" s="3353"/>
      <c r="L2662" s="2695"/>
      <c r="M2662" s="3163"/>
      <c r="N2662" s="2768"/>
    </row>
    <row r="2663" spans="1:16" ht="18.75" hidden="1" customHeight="1" x14ac:dyDescent="0.25">
      <c r="B2663" s="441"/>
      <c r="C2663" s="2494" t="s">
        <v>2155</v>
      </c>
      <c r="D2663" s="3331">
        <v>1520775000</v>
      </c>
      <c r="E2663" s="3354">
        <f>D2663/D2560*100</f>
        <v>1.2845479000396505</v>
      </c>
      <c r="F2663" s="3903"/>
      <c r="G2663" s="3161"/>
      <c r="H2663" s="3162"/>
      <c r="I2663" s="3161"/>
      <c r="J2663" s="3332"/>
      <c r="K2663" s="3333"/>
      <c r="L2663" s="2690"/>
      <c r="M2663" s="3161"/>
      <c r="N2663" s="2768"/>
    </row>
    <row r="2664" spans="1:16" ht="10.5" hidden="1" customHeight="1" x14ac:dyDescent="0.25">
      <c r="B2664" s="441"/>
      <c r="C2664" s="2473"/>
      <c r="D2664" s="896"/>
      <c r="E2664" s="3334"/>
      <c r="F2664" s="3868"/>
      <c r="G2664" s="896"/>
      <c r="H2664" s="2690"/>
      <c r="I2664" s="896"/>
      <c r="J2664" s="2851"/>
      <c r="K2664" s="896"/>
      <c r="L2664" s="896"/>
      <c r="M2664" s="896"/>
      <c r="N2664" s="2768"/>
    </row>
    <row r="2665" spans="1:16" ht="16.5" hidden="1" customHeight="1" x14ac:dyDescent="0.25">
      <c r="B2665" s="441"/>
      <c r="C2665" s="2491" t="s">
        <v>2156</v>
      </c>
      <c r="D2665" s="899">
        <f>SUM(D2666:D2666)</f>
        <v>3931000000</v>
      </c>
      <c r="E2665" s="2693">
        <f>D2665/D2560*100</f>
        <v>3.3203845375258436</v>
      </c>
      <c r="F2665" s="3853"/>
      <c r="G2665" s="2884"/>
      <c r="H2665" s="2695"/>
      <c r="I2665" s="899"/>
      <c r="J2665" s="2883"/>
      <c r="K2665" s="2883"/>
      <c r="L2665" s="2695"/>
      <c r="M2665" s="899"/>
      <c r="N2665" s="2768"/>
    </row>
    <row r="2666" spans="1:16" ht="16.5" hidden="1" customHeight="1" x14ac:dyDescent="0.25">
      <c r="B2666" s="441"/>
      <c r="C2666" s="2494" t="s">
        <v>2157</v>
      </c>
      <c r="D2666" s="896">
        <v>3931000000</v>
      </c>
      <c r="E2666" s="3354">
        <f>D2666/D2560*100</f>
        <v>3.3203845375258436</v>
      </c>
      <c r="F2666" s="3868"/>
      <c r="G2666" s="2816"/>
      <c r="H2666" s="2690"/>
      <c r="I2666" s="3161"/>
      <c r="J2666" s="3332"/>
      <c r="K2666" s="3333"/>
      <c r="L2666" s="2690"/>
      <c r="M2666" s="896"/>
      <c r="N2666" s="2768"/>
    </row>
    <row r="2667" spans="1:16" ht="7.5" hidden="1" customHeight="1" x14ac:dyDescent="0.25">
      <c r="B2667" s="441"/>
      <c r="C2667" s="2563"/>
      <c r="D2667" s="3025"/>
      <c r="E2667" s="3357"/>
      <c r="F2667" s="4479"/>
      <c r="G2667" s="3025"/>
      <c r="H2667" s="3358"/>
      <c r="I2667" s="3359"/>
      <c r="J2667" s="3360"/>
      <c r="K2667" s="3025"/>
      <c r="L2667" s="3361"/>
      <c r="M2667" s="3359"/>
      <c r="N2667" s="2768"/>
    </row>
    <row r="2668" spans="1:16" ht="32.25" hidden="1" customHeight="1" x14ac:dyDescent="0.25">
      <c r="B2668" s="440"/>
      <c r="C2668" s="2471" t="s">
        <v>7675</v>
      </c>
      <c r="D2668" s="2744">
        <f>SUM(D2669)</f>
        <v>4050000000</v>
      </c>
      <c r="E2668" s="2717">
        <f>D2668/D2560*100</f>
        <v>3.4208998669498012</v>
      </c>
      <c r="F2668" s="3844"/>
      <c r="G2668" s="2744"/>
      <c r="H2668" s="2672"/>
      <c r="I2668" s="2909"/>
      <c r="J2668" s="2744"/>
      <c r="K2668" s="2744"/>
      <c r="L2668" s="2672"/>
      <c r="M2668" s="2909"/>
      <c r="N2668" s="2768"/>
    </row>
    <row r="2669" spans="1:16" ht="18" hidden="1" customHeight="1" x14ac:dyDescent="0.25">
      <c r="B2669" s="441"/>
      <c r="C2669" s="2525" t="s">
        <v>290</v>
      </c>
      <c r="D2669" s="899">
        <f>SUM(D2670:D2672)</f>
        <v>4050000000</v>
      </c>
      <c r="E2669" s="2693">
        <f>D2669/D2560*100</f>
        <v>3.4208998669498012</v>
      </c>
      <c r="F2669" s="3862"/>
      <c r="G2669" s="2982"/>
      <c r="H2669" s="2695"/>
      <c r="I2669" s="2915"/>
      <c r="J2669" s="2983"/>
      <c r="K2669" s="2983"/>
      <c r="L2669" s="2695"/>
      <c r="M2669" s="2915"/>
      <c r="N2669" s="2768"/>
    </row>
    <row r="2670" spans="1:16" ht="32.25" hidden="1" customHeight="1" x14ac:dyDescent="0.25">
      <c r="B2670" s="441"/>
      <c r="C2670" s="2473" t="s">
        <v>7676</v>
      </c>
      <c r="D2670" s="3331"/>
      <c r="E2670" s="3354">
        <f>D2670/D2560*100</f>
        <v>0</v>
      </c>
      <c r="F2670" s="3903"/>
      <c r="G2670" s="2816"/>
      <c r="H2670" s="2690"/>
      <c r="I2670" s="3161"/>
      <c r="J2670" s="3332"/>
      <c r="K2670" s="3362"/>
      <c r="L2670" s="2690"/>
      <c r="M2670" s="2878"/>
      <c r="N2670" s="2768"/>
    </row>
    <row r="2671" spans="1:16" ht="20.25" hidden="1" customHeight="1" x14ac:dyDescent="0.25">
      <c r="B2671" s="441"/>
      <c r="C2671" s="2473" t="s">
        <v>7677</v>
      </c>
      <c r="D2671" s="3331"/>
      <c r="E2671" s="3354">
        <f>D2671/D2560*100</f>
        <v>0</v>
      </c>
      <c r="F2671" s="3903"/>
      <c r="G2671" s="3363"/>
      <c r="H2671" s="2690"/>
      <c r="I2671" s="2870"/>
      <c r="J2671" s="3351"/>
      <c r="K2671" s="3364"/>
      <c r="L2671" s="2690"/>
      <c r="M2671" s="2870"/>
      <c r="N2671" s="2768"/>
    </row>
    <row r="2672" spans="1:16" ht="16.5" hidden="1" customHeight="1" x14ac:dyDescent="0.25">
      <c r="B2672" s="441"/>
      <c r="C2672" s="2602" t="s">
        <v>7678</v>
      </c>
      <c r="D2672" s="3331">
        <v>4050000000</v>
      </c>
      <c r="E2672" s="3354">
        <f>D2672/D2560*100</f>
        <v>3.4208998669498012</v>
      </c>
      <c r="F2672" s="3903"/>
      <c r="G2672" s="2709"/>
      <c r="H2672" s="2710"/>
      <c r="I2672" s="2870"/>
      <c r="J2672" s="2871"/>
      <c r="K2672" s="2709"/>
      <c r="L2672" s="2709"/>
      <c r="M2672" s="2870"/>
      <c r="N2672" s="2768"/>
    </row>
    <row r="2673" spans="1:16" ht="12" hidden="1" customHeight="1" x14ac:dyDescent="0.25">
      <c r="B2673" s="441"/>
      <c r="C2673" s="2475"/>
      <c r="D2673" s="2769"/>
      <c r="E2673" s="3341"/>
      <c r="F2673" s="3872"/>
      <c r="G2673" s="2709"/>
      <c r="H2673" s="2792"/>
      <c r="I2673" s="3347"/>
      <c r="J2673" s="2871"/>
      <c r="K2673" s="2709"/>
      <c r="L2673" s="3355"/>
      <c r="M2673" s="3347"/>
      <c r="N2673" s="2768"/>
    </row>
    <row r="2674" spans="1:16" ht="17.25" hidden="1" customHeight="1" x14ac:dyDescent="0.25">
      <c r="B2674" s="440"/>
      <c r="C2674" s="2497" t="s">
        <v>7679</v>
      </c>
      <c r="D2674" s="2744">
        <f>SUM(D2675+D2678+D2681+D2684+D2687+D2690)</f>
        <v>1000000000</v>
      </c>
      <c r="E2674" s="2717">
        <f>D2674/D2560*100</f>
        <v>0.84466663381476581</v>
      </c>
      <c r="F2674" s="3850"/>
      <c r="G2674" s="2909"/>
      <c r="H2674" s="2672"/>
      <c r="I2674" s="2987"/>
      <c r="J2674" s="2910"/>
      <c r="K2674" s="2910"/>
      <c r="L2674" s="2672"/>
      <c r="M2674" s="2987"/>
      <c r="N2674" s="2768"/>
    </row>
    <row r="2675" spans="1:16" ht="18.75" hidden="1" customHeight="1" x14ac:dyDescent="0.25">
      <c r="B2675" s="441"/>
      <c r="C2675" s="2603" t="s">
        <v>7680</v>
      </c>
      <c r="D2675" s="2826">
        <f>D2676</f>
        <v>500000000</v>
      </c>
      <c r="E2675" s="2764">
        <f>D2675/D2560*100</f>
        <v>0.42233331690738291</v>
      </c>
      <c r="F2675" s="3905"/>
      <c r="G2675" s="3366"/>
      <c r="H2675" s="2695"/>
      <c r="I2675" s="3004"/>
      <c r="J2675" s="2890"/>
      <c r="K2675" s="2890"/>
      <c r="L2675" s="2695"/>
      <c r="M2675" s="3004"/>
      <c r="N2675" s="2768"/>
    </row>
    <row r="2676" spans="1:16" ht="17.25" hidden="1" customHeight="1" x14ac:dyDescent="0.25">
      <c r="B2676" s="441"/>
      <c r="C2676" s="2494" t="s">
        <v>7681</v>
      </c>
      <c r="D2676" s="3331">
        <v>500000000</v>
      </c>
      <c r="E2676" s="3367">
        <f>D2676/D2560*100</f>
        <v>0.42233331690738291</v>
      </c>
      <c r="F2676" s="3903"/>
      <c r="G2676" s="2816"/>
      <c r="H2676" s="2690"/>
      <c r="I2676" s="2757"/>
      <c r="J2676" s="3332"/>
      <c r="K2676" s="3333"/>
      <c r="L2676" s="2690"/>
      <c r="M2676" s="2757"/>
      <c r="N2676" s="2768"/>
    </row>
    <row r="2677" spans="1:16" ht="12" hidden="1" customHeight="1" x14ac:dyDescent="0.25">
      <c r="B2677" s="441"/>
      <c r="C2677" s="2551"/>
      <c r="D2677" s="896"/>
      <c r="E2677" s="3334"/>
      <c r="F2677" s="3868"/>
      <c r="G2677" s="896"/>
      <c r="H2677" s="2690"/>
      <c r="I2677" s="3335"/>
      <c r="J2677" s="2851"/>
      <c r="K2677" s="896"/>
      <c r="L2677" s="2796"/>
      <c r="M2677" s="3335"/>
      <c r="N2677" s="2768"/>
    </row>
    <row r="2678" spans="1:16" ht="21.75" hidden="1" customHeight="1" x14ac:dyDescent="0.25">
      <c r="B2678" s="441"/>
      <c r="C2678" s="2491" t="s">
        <v>7682</v>
      </c>
      <c r="D2678" s="899">
        <f>D2679</f>
        <v>0</v>
      </c>
      <c r="E2678" s="2764">
        <f>D2678/D2560*100</f>
        <v>0</v>
      </c>
      <c r="F2678" s="3852"/>
      <c r="G2678" s="3368"/>
      <c r="H2678" s="2695"/>
      <c r="I2678" s="2970"/>
      <c r="J2678" s="3369"/>
      <c r="K2678" s="3369"/>
      <c r="L2678" s="2695"/>
      <c r="M2678" s="2970"/>
      <c r="N2678" s="2768"/>
    </row>
    <row r="2679" spans="1:16" ht="18" hidden="1" customHeight="1" x14ac:dyDescent="0.25">
      <c r="B2679" s="441"/>
      <c r="C2679" s="2494" t="s">
        <v>7683</v>
      </c>
      <c r="D2679" s="3331">
        <v>0</v>
      </c>
      <c r="E2679" s="3354">
        <f>D2679/D2560*100</f>
        <v>0</v>
      </c>
      <c r="F2679" s="3903"/>
      <c r="G2679" s="2816"/>
      <c r="H2679" s="2690"/>
      <c r="I2679" s="2757"/>
      <c r="J2679" s="3332"/>
      <c r="K2679" s="3333"/>
      <c r="L2679" s="2690"/>
      <c r="M2679" s="2757"/>
      <c r="N2679" s="2768"/>
    </row>
    <row r="2680" spans="1:16" ht="9.75" hidden="1" customHeight="1" x14ac:dyDescent="0.25">
      <c r="B2680" s="441"/>
      <c r="C2680" s="2551"/>
      <c r="D2680" s="896"/>
      <c r="E2680" s="3334"/>
      <c r="F2680" s="3868"/>
      <c r="G2680" s="896"/>
      <c r="H2680" s="2690"/>
      <c r="I2680" s="3335"/>
      <c r="J2680" s="2851"/>
      <c r="K2680" s="896"/>
      <c r="L2680" s="2796"/>
      <c r="M2680" s="3347"/>
      <c r="N2680" s="2768"/>
    </row>
    <row r="2681" spans="1:16" ht="35.25" hidden="1" customHeight="1" x14ac:dyDescent="0.25">
      <c r="B2681" s="441"/>
      <c r="C2681" s="2491" t="s">
        <v>7684</v>
      </c>
      <c r="D2681" s="899">
        <f>D2682</f>
        <v>0</v>
      </c>
      <c r="E2681" s="2764">
        <f>D2681/D2560*100</f>
        <v>0</v>
      </c>
      <c r="F2681" s="3861"/>
      <c r="G2681" s="3369"/>
      <c r="H2681" s="2695"/>
      <c r="I2681" s="2970"/>
      <c r="J2681" s="3369"/>
      <c r="K2681" s="3369"/>
      <c r="L2681" s="2695"/>
      <c r="M2681" s="2970"/>
      <c r="N2681" s="2768"/>
    </row>
    <row r="2682" spans="1:16" ht="30" hidden="1" customHeight="1" x14ac:dyDescent="0.25">
      <c r="B2682" s="441"/>
      <c r="C2682" s="2494" t="s">
        <v>7685</v>
      </c>
      <c r="D2682" s="3331">
        <v>0</v>
      </c>
      <c r="E2682" s="3367">
        <f>D2682/D2560*100</f>
        <v>0</v>
      </c>
      <c r="F2682" s="3903"/>
      <c r="G2682" s="2816"/>
      <c r="H2682" s="2690"/>
      <c r="I2682" s="2757"/>
      <c r="J2682" s="3332"/>
      <c r="K2682" s="3333"/>
      <c r="L2682" s="2690"/>
      <c r="M2682" s="2757"/>
      <c r="N2682" s="2768"/>
    </row>
    <row r="2683" spans="1:16" ht="9.75" hidden="1" customHeight="1" x14ac:dyDescent="0.25">
      <c r="B2683" s="441"/>
      <c r="C2683" s="2473"/>
      <c r="D2683" s="896"/>
      <c r="E2683" s="3334"/>
      <c r="F2683" s="3868"/>
      <c r="G2683" s="896"/>
      <c r="H2683" s="2702"/>
      <c r="I2683" s="3335"/>
      <c r="J2683" s="2851"/>
      <c r="K2683" s="896"/>
      <c r="L2683" s="2796"/>
      <c r="M2683" s="3335"/>
      <c r="N2683" s="2768"/>
    </row>
    <row r="2684" spans="1:16" s="32" customFormat="1" ht="19.5" hidden="1" customHeight="1" x14ac:dyDescent="0.25">
      <c r="A2684" s="1"/>
      <c r="B2684" s="441"/>
      <c r="C2684" s="2474" t="s">
        <v>7686</v>
      </c>
      <c r="D2684" s="899">
        <f>D2685</f>
        <v>500000000</v>
      </c>
      <c r="E2684" s="2764">
        <f>D2684/D2560*100</f>
        <v>0.42233331690738291</v>
      </c>
      <c r="F2684" s="3853"/>
      <c r="G2684" s="899"/>
      <c r="H2684" s="2695"/>
      <c r="I2684" s="2970"/>
      <c r="J2684" s="2883"/>
      <c r="K2684" s="899"/>
      <c r="L2684" s="899"/>
      <c r="M2684" s="2970"/>
      <c r="N2684" s="2837"/>
      <c r="P2684" s="630"/>
    </row>
    <row r="2685" spans="1:16" ht="19.5" hidden="1" customHeight="1" x14ac:dyDescent="0.25">
      <c r="B2685" s="441"/>
      <c r="C2685" s="2473" t="s">
        <v>7687</v>
      </c>
      <c r="D2685" s="896">
        <v>500000000</v>
      </c>
      <c r="E2685" s="3367">
        <f>D2685/D2560*100</f>
        <v>0.42233331690738291</v>
      </c>
      <c r="F2685" s="3868"/>
      <c r="G2685" s="896"/>
      <c r="H2685" s="2702"/>
      <c r="I2685" s="3335"/>
      <c r="J2685" s="2851"/>
      <c r="K2685" s="896"/>
      <c r="L2685" s="2796"/>
      <c r="M2685" s="3335"/>
      <c r="N2685" s="2768"/>
    </row>
    <row r="2686" spans="1:16" ht="11.25" hidden="1" customHeight="1" x14ac:dyDescent="0.25">
      <c r="B2686" s="441"/>
      <c r="C2686" s="2473"/>
      <c r="D2686" s="896"/>
      <c r="E2686" s="3354"/>
      <c r="F2686" s="3868"/>
      <c r="G2686" s="896"/>
      <c r="H2686" s="2702"/>
      <c r="I2686" s="3335"/>
      <c r="J2686" s="2851"/>
      <c r="K2686" s="896"/>
      <c r="L2686" s="2796"/>
      <c r="M2686" s="3335"/>
      <c r="N2686" s="2768"/>
    </row>
    <row r="2687" spans="1:16" s="32" customFormat="1" ht="17.25" hidden="1" customHeight="1" x14ac:dyDescent="0.25">
      <c r="A2687" s="1"/>
      <c r="B2687" s="441"/>
      <c r="C2687" s="2474" t="s">
        <v>7688</v>
      </c>
      <c r="D2687" s="899">
        <f>D2688</f>
        <v>0</v>
      </c>
      <c r="E2687" s="3356">
        <f>D2687/D2560*100</f>
        <v>0</v>
      </c>
      <c r="F2687" s="3853"/>
      <c r="G2687" s="899"/>
      <c r="H2687" s="2695"/>
      <c r="I2687" s="2970"/>
      <c r="J2687" s="2883"/>
      <c r="K2687" s="899"/>
      <c r="L2687" s="899"/>
      <c r="M2687" s="2970"/>
      <c r="N2687" s="2837"/>
      <c r="P2687" s="630"/>
    </row>
    <row r="2688" spans="1:16" ht="19.5" hidden="1" customHeight="1" x14ac:dyDescent="0.25">
      <c r="B2688" s="441"/>
      <c r="C2688" s="2473" t="s">
        <v>7689</v>
      </c>
      <c r="D2688" s="896">
        <v>0</v>
      </c>
      <c r="E2688" s="3354">
        <f>D2688/D2560*100</f>
        <v>0</v>
      </c>
      <c r="F2688" s="3868"/>
      <c r="G2688" s="896"/>
      <c r="H2688" s="2702"/>
      <c r="I2688" s="3335"/>
      <c r="J2688" s="2851"/>
      <c r="K2688" s="896"/>
      <c r="L2688" s="2796"/>
      <c r="M2688" s="3335"/>
      <c r="N2688" s="2768"/>
    </row>
    <row r="2689" spans="1:16" ht="11.25" hidden="1" customHeight="1" x14ac:dyDescent="0.25">
      <c r="B2689" s="441"/>
      <c r="C2689" s="2473"/>
      <c r="D2689" s="896"/>
      <c r="E2689" s="3354"/>
      <c r="F2689" s="3868"/>
      <c r="G2689" s="896"/>
      <c r="H2689" s="2702"/>
      <c r="I2689" s="3335"/>
      <c r="J2689" s="2851"/>
      <c r="K2689" s="896"/>
      <c r="L2689" s="2796"/>
      <c r="M2689" s="3335"/>
      <c r="N2689" s="2768"/>
    </row>
    <row r="2690" spans="1:16" s="32" customFormat="1" ht="29.25" hidden="1" customHeight="1" x14ac:dyDescent="0.25">
      <c r="A2690" s="1"/>
      <c r="B2690" s="441"/>
      <c r="C2690" s="2474" t="s">
        <v>7690</v>
      </c>
      <c r="D2690" s="899">
        <f>D2691</f>
        <v>0</v>
      </c>
      <c r="E2690" s="3356">
        <f>D2690/D2560*100</f>
        <v>0</v>
      </c>
      <c r="F2690" s="3853"/>
      <c r="G2690" s="899"/>
      <c r="H2690" s="2695"/>
      <c r="I2690" s="2970"/>
      <c r="J2690" s="2883"/>
      <c r="K2690" s="899"/>
      <c r="L2690" s="899"/>
      <c r="M2690" s="2970"/>
      <c r="N2690" s="2837"/>
      <c r="P2690" s="630"/>
    </row>
    <row r="2691" spans="1:16" ht="23.25" hidden="1" customHeight="1" x14ac:dyDescent="0.25">
      <c r="B2691" s="441"/>
      <c r="C2691" s="2473" t="s">
        <v>7691</v>
      </c>
      <c r="D2691" s="896">
        <v>0</v>
      </c>
      <c r="E2691" s="3354">
        <f>D2691/D2560*100</f>
        <v>0</v>
      </c>
      <c r="F2691" s="3868"/>
      <c r="G2691" s="896"/>
      <c r="H2691" s="2702"/>
      <c r="I2691" s="3335"/>
      <c r="J2691" s="2851"/>
      <c r="K2691" s="896"/>
      <c r="L2691" s="2796"/>
      <c r="M2691" s="3335"/>
      <c r="N2691" s="2768"/>
    </row>
    <row r="2692" spans="1:16" ht="12" hidden="1" customHeight="1" x14ac:dyDescent="0.25">
      <c r="B2692" s="441"/>
      <c r="C2692" s="2475"/>
      <c r="D2692" s="2769"/>
      <c r="E2692" s="3341"/>
      <c r="F2692" s="3872"/>
      <c r="G2692" s="3025"/>
      <c r="H2692" s="3084"/>
      <c r="I2692" s="3342"/>
      <c r="J2692" s="2913"/>
      <c r="K2692" s="2769"/>
      <c r="L2692" s="3343"/>
      <c r="M2692" s="3342"/>
      <c r="N2692" s="2768"/>
    </row>
    <row r="2693" spans="1:16" ht="16.5" hidden="1" customHeight="1" x14ac:dyDescent="0.25">
      <c r="B2693" s="440"/>
      <c r="C2693" s="2497" t="s">
        <v>3305</v>
      </c>
      <c r="D2693" s="2744">
        <f>D2694</f>
        <v>84760000</v>
      </c>
      <c r="E2693" s="2717">
        <f>D2693/D2560*100</f>
        <v>7.1593943882139535E-2</v>
      </c>
      <c r="F2693" s="3850"/>
      <c r="G2693" s="2909"/>
      <c r="H2693" s="2672"/>
      <c r="I2693" s="2987"/>
      <c r="J2693" s="2910"/>
      <c r="K2693" s="2910"/>
      <c r="L2693" s="2672"/>
      <c r="M2693" s="2987"/>
      <c r="N2693" s="2768"/>
    </row>
    <row r="2694" spans="1:16" ht="20.25" hidden="1" customHeight="1" x14ac:dyDescent="0.25">
      <c r="B2694" s="441"/>
      <c r="C2694" s="2603" t="s">
        <v>7692</v>
      </c>
      <c r="D2694" s="3370">
        <f>D2695</f>
        <v>84760000</v>
      </c>
      <c r="E2694" s="2764">
        <f>D2694/D2560*100</f>
        <v>7.1593943882139535E-2</v>
      </c>
      <c r="F2694" s="3906"/>
      <c r="G2694" s="3163"/>
      <c r="H2694" s="3166"/>
      <c r="I2694" s="3163"/>
      <c r="J2694" s="3371"/>
      <c r="K2694" s="3163"/>
      <c r="L2694" s="3166"/>
      <c r="M2694" s="3163"/>
      <c r="N2694" s="2768"/>
    </row>
    <row r="2695" spans="1:16" ht="16.5" hidden="1" customHeight="1" x14ac:dyDescent="0.25">
      <c r="B2695" s="441"/>
      <c r="C2695" s="2494" t="s">
        <v>7693</v>
      </c>
      <c r="D2695" s="3331">
        <v>84760000</v>
      </c>
      <c r="E2695" s="3354">
        <f>D2695/D2560*100</f>
        <v>7.1593943882139535E-2</v>
      </c>
      <c r="F2695" s="3903"/>
      <c r="G2695" s="3161"/>
      <c r="H2695" s="3162"/>
      <c r="I2695" s="3161"/>
      <c r="J2695" s="3351"/>
      <c r="K2695" s="3161"/>
      <c r="L2695" s="3162"/>
      <c r="M2695" s="3161"/>
      <c r="N2695" s="2768"/>
    </row>
    <row r="2696" spans="1:16" ht="12" hidden="1" customHeight="1" x14ac:dyDescent="0.25">
      <c r="B2696" s="441"/>
      <c r="C2696" s="2475"/>
      <c r="D2696" s="2769"/>
      <c r="E2696" s="3341"/>
      <c r="F2696" s="3872"/>
      <c r="G2696" s="2769"/>
      <c r="H2696" s="3358"/>
      <c r="I2696" s="3342"/>
      <c r="J2696" s="2913"/>
      <c r="K2696" s="2769"/>
      <c r="L2696" s="3343"/>
      <c r="M2696" s="3342"/>
      <c r="N2696" s="2768"/>
    </row>
    <row r="2697" spans="1:16" ht="16.5" hidden="1" customHeight="1" x14ac:dyDescent="0.25">
      <c r="B2697" s="440"/>
      <c r="C2697" s="2497" t="s">
        <v>3306</v>
      </c>
      <c r="D2697" s="2744">
        <f>SUM(D2698+D2701+D2706+D2710)</f>
        <v>3000000000</v>
      </c>
      <c r="E2697" s="2717">
        <f>D2697/D2560*100</f>
        <v>2.5339999014442971</v>
      </c>
      <c r="F2697" s="3850"/>
      <c r="G2697" s="2909"/>
      <c r="H2697" s="2672"/>
      <c r="I2697" s="2987"/>
      <c r="J2697" s="2910"/>
      <c r="K2697" s="2910"/>
      <c r="L2697" s="2672"/>
      <c r="M2697" s="2987"/>
      <c r="N2697" s="2768"/>
    </row>
    <row r="2698" spans="1:16" ht="19.5" hidden="1" customHeight="1" x14ac:dyDescent="0.25">
      <c r="B2698" s="441"/>
      <c r="C2698" s="2482" t="s">
        <v>7694</v>
      </c>
      <c r="D2698" s="2751">
        <v>350000000</v>
      </c>
      <c r="E2698" s="2764">
        <f>D2698/D2560*100</f>
        <v>0.29563332183516799</v>
      </c>
      <c r="F2698" s="3851"/>
      <c r="G2698" s="3180"/>
      <c r="H2698" s="3250"/>
      <c r="I2698" s="3180"/>
      <c r="J2698" s="2889"/>
      <c r="K2698" s="2889"/>
      <c r="L2698" s="2695"/>
      <c r="M2698" s="3009"/>
      <c r="N2698" s="2768"/>
    </row>
    <row r="2699" spans="1:16" ht="19.5" hidden="1" customHeight="1" x14ac:dyDescent="0.25">
      <c r="B2699" s="441"/>
      <c r="C2699" s="2494" t="s">
        <v>7695</v>
      </c>
      <c r="D2699" s="3331">
        <v>350000000</v>
      </c>
      <c r="E2699" s="3367">
        <f>D2699/D2560*100</f>
        <v>0.29563332183516799</v>
      </c>
      <c r="F2699" s="3903"/>
      <c r="G2699" s="3161"/>
      <c r="H2699" s="3162"/>
      <c r="I2699" s="3161"/>
      <c r="J2699" s="3332"/>
      <c r="K2699" s="3333"/>
      <c r="L2699" s="2690"/>
      <c r="M2699" s="2757"/>
      <c r="N2699" s="2768"/>
    </row>
    <row r="2700" spans="1:16" ht="8.25" hidden="1" customHeight="1" x14ac:dyDescent="0.25">
      <c r="B2700" s="441"/>
      <c r="C2700" s="2551"/>
      <c r="D2700" s="896"/>
      <c r="E2700" s="3334"/>
      <c r="F2700" s="3868"/>
      <c r="G2700" s="896"/>
      <c r="H2700" s="2690"/>
      <c r="I2700" s="896"/>
      <c r="J2700" s="2851"/>
      <c r="K2700" s="896"/>
      <c r="L2700" s="2796"/>
      <c r="M2700" s="3335"/>
      <c r="N2700" s="2768"/>
    </row>
    <row r="2701" spans="1:16" ht="18.75" hidden="1" customHeight="1" x14ac:dyDescent="0.25">
      <c r="B2701" s="441"/>
      <c r="C2701" s="2491" t="s">
        <v>2209</v>
      </c>
      <c r="D2701" s="899">
        <f>SUM(D2702:D2704)</f>
        <v>1000000000</v>
      </c>
      <c r="E2701" s="2764">
        <f>D2701/D2560*100</f>
        <v>0.84466663381476581</v>
      </c>
      <c r="F2701" s="3853"/>
      <c r="G2701" s="3180"/>
      <c r="H2701" s="3250"/>
      <c r="I2701" s="3180"/>
      <c r="J2701" s="2883"/>
      <c r="K2701" s="3180"/>
      <c r="L2701" s="3250"/>
      <c r="M2701" s="3180"/>
      <c r="N2701" s="2768"/>
    </row>
    <row r="2702" spans="1:16" ht="17.25" hidden="1" customHeight="1" x14ac:dyDescent="0.25">
      <c r="B2702" s="441"/>
      <c r="C2702" s="2494" t="s">
        <v>7696</v>
      </c>
      <c r="D2702" s="3331">
        <v>250000000</v>
      </c>
      <c r="E2702" s="3367">
        <f>D2702/D2560*100</f>
        <v>0.21116665845369145</v>
      </c>
      <c r="F2702" s="3904"/>
      <c r="G2702" s="3161"/>
      <c r="H2702" s="3162"/>
      <c r="I2702" s="3161"/>
      <c r="J2702" s="3372"/>
      <c r="K2702" s="3161"/>
      <c r="L2702" s="3162"/>
      <c r="M2702" s="3161"/>
      <c r="N2702" s="2768"/>
    </row>
    <row r="2703" spans="1:16" s="196" customFormat="1" ht="15.75" hidden="1" customHeight="1" x14ac:dyDescent="0.25">
      <c r="A2703" s="12"/>
      <c r="B2703" s="448"/>
      <c r="C2703" s="2494" t="s">
        <v>7697</v>
      </c>
      <c r="D2703" s="896">
        <v>400000000</v>
      </c>
      <c r="E2703" s="3367">
        <f>D2703/D2560*100</f>
        <v>0.33786665352590628</v>
      </c>
      <c r="F2703" s="3868"/>
      <c r="G2703" s="896"/>
      <c r="H2703" s="2702"/>
      <c r="I2703" s="2757"/>
      <c r="J2703" s="2851"/>
      <c r="K2703" s="896"/>
      <c r="L2703" s="2796"/>
      <c r="M2703" s="2757"/>
      <c r="N2703" s="2951"/>
      <c r="P2703" s="631"/>
    </row>
    <row r="2704" spans="1:16" s="196" customFormat="1" ht="21" hidden="1" customHeight="1" x14ac:dyDescent="0.25">
      <c r="A2704" s="12"/>
      <c r="B2704" s="442"/>
      <c r="C2704" s="2494" t="s">
        <v>7698</v>
      </c>
      <c r="D2704" s="896">
        <v>350000000</v>
      </c>
      <c r="E2704" s="3367">
        <f>D2704/D2560*100</f>
        <v>0.29563332183516799</v>
      </c>
      <c r="F2704" s="3848"/>
      <c r="G2704" s="896"/>
      <c r="H2704" s="2690"/>
      <c r="I2704" s="2757"/>
      <c r="J2704" s="2851"/>
      <c r="K2704" s="896"/>
      <c r="L2704" s="896"/>
      <c r="M2704" s="2757"/>
      <c r="N2704" s="2951"/>
      <c r="P2704" s="631"/>
    </row>
    <row r="2705" spans="1:16" ht="12" hidden="1" customHeight="1" x14ac:dyDescent="0.25">
      <c r="B2705" s="441"/>
      <c r="C2705" s="2551"/>
      <c r="D2705" s="896"/>
      <c r="E2705" s="3349"/>
      <c r="F2705" s="3868"/>
      <c r="G2705" s="896"/>
      <c r="H2705" s="2702"/>
      <c r="I2705" s="3335"/>
      <c r="J2705" s="2851"/>
      <c r="K2705" s="896"/>
      <c r="L2705" s="2796"/>
      <c r="M2705" s="3335"/>
      <c r="N2705" s="2768"/>
    </row>
    <row r="2706" spans="1:16" ht="15.75" hidden="1" customHeight="1" x14ac:dyDescent="0.25">
      <c r="B2706" s="441"/>
      <c r="C2706" s="2491" t="s">
        <v>2212</v>
      </c>
      <c r="D2706" s="899">
        <f>SUM(D2707:D2708)</f>
        <v>750000000</v>
      </c>
      <c r="E2706" s="2764">
        <f>D2706/D2560*100</f>
        <v>0.63349997536107427</v>
      </c>
      <c r="F2706" s="3868"/>
      <c r="G2706" s="3339"/>
      <c r="H2706" s="2695"/>
      <c r="I2706" s="2970"/>
      <c r="J2706" s="3340"/>
      <c r="K2706" s="3340"/>
      <c r="L2706" s="2695"/>
      <c r="M2706" s="2970"/>
      <c r="N2706" s="2768"/>
    </row>
    <row r="2707" spans="1:16" ht="18.75" hidden="1" customHeight="1" x14ac:dyDescent="0.25">
      <c r="B2707" s="441"/>
      <c r="C2707" s="2494" t="s">
        <v>7699</v>
      </c>
      <c r="D2707" s="3331">
        <v>400000000</v>
      </c>
      <c r="E2707" s="3354">
        <f>D2707/D2560*100</f>
        <v>0.33786665352590628</v>
      </c>
      <c r="F2707" s="3903"/>
      <c r="G2707" s="3363"/>
      <c r="H2707" s="2690"/>
      <c r="I2707" s="2757"/>
      <c r="J2707" s="3351"/>
      <c r="K2707" s="3364"/>
      <c r="L2707" s="2690"/>
      <c r="M2707" s="2757"/>
      <c r="N2707" s="2768"/>
    </row>
    <row r="2708" spans="1:16" ht="29.25" hidden="1" customHeight="1" x14ac:dyDescent="0.25">
      <c r="B2708" s="441"/>
      <c r="C2708" s="2494" t="s">
        <v>7700</v>
      </c>
      <c r="D2708" s="3331">
        <v>350000000</v>
      </c>
      <c r="E2708" s="3354">
        <f>D2708/D2560*100</f>
        <v>0.29563332183516799</v>
      </c>
      <c r="F2708" s="3903"/>
      <c r="G2708" s="3363"/>
      <c r="H2708" s="2690"/>
      <c r="I2708" s="2757"/>
      <c r="J2708" s="3351"/>
      <c r="K2708" s="3364"/>
      <c r="L2708" s="2690"/>
      <c r="M2708" s="2757"/>
      <c r="N2708" s="2768"/>
    </row>
    <row r="2709" spans="1:16" ht="14.25" hidden="1" customHeight="1" x14ac:dyDescent="0.25">
      <c r="B2709" s="441"/>
      <c r="C2709" s="2494"/>
      <c r="D2709" s="3331"/>
      <c r="E2709" s="3354"/>
      <c r="F2709" s="3903"/>
      <c r="G2709" s="3363"/>
      <c r="H2709" s="2690"/>
      <c r="I2709" s="2757"/>
      <c r="J2709" s="3351"/>
      <c r="K2709" s="3364"/>
      <c r="L2709" s="2690"/>
      <c r="M2709" s="2757"/>
      <c r="N2709" s="2768"/>
    </row>
    <row r="2710" spans="1:16" s="32" customFormat="1" ht="18" hidden="1" customHeight="1" x14ac:dyDescent="0.25">
      <c r="A2710" s="1"/>
      <c r="B2710" s="441"/>
      <c r="C2710" s="2491" t="s">
        <v>2051</v>
      </c>
      <c r="D2710" s="3348">
        <f>SUM(D2711:D2712)</f>
        <v>900000000</v>
      </c>
      <c r="E2710" s="3356">
        <f>D2710/D2560*100</f>
        <v>0.76019997043328913</v>
      </c>
      <c r="F2710" s="3904"/>
      <c r="G2710" s="4498"/>
      <c r="H2710" s="2695"/>
      <c r="I2710" s="2970"/>
      <c r="J2710" s="3365"/>
      <c r="K2710" s="4499"/>
      <c r="L2710" s="2695"/>
      <c r="M2710" s="2970"/>
      <c r="N2710" s="2837"/>
      <c r="P2710" s="630"/>
    </row>
    <row r="2711" spans="1:16" ht="19.5" hidden="1" customHeight="1" x14ac:dyDescent="0.25">
      <c r="B2711" s="441"/>
      <c r="C2711" s="2494" t="s">
        <v>7701</v>
      </c>
      <c r="D2711" s="3331">
        <v>400000000</v>
      </c>
      <c r="E2711" s="3354">
        <f>D2711/D2560*100</f>
        <v>0.33786665352590628</v>
      </c>
      <c r="F2711" s="3903"/>
      <c r="G2711" s="3363"/>
      <c r="H2711" s="2690"/>
      <c r="I2711" s="2757"/>
      <c r="J2711" s="3351"/>
      <c r="K2711" s="3364"/>
      <c r="L2711" s="2690"/>
      <c r="M2711" s="2757"/>
      <c r="N2711" s="2768"/>
    </row>
    <row r="2712" spans="1:16" ht="17.25" hidden="1" customHeight="1" x14ac:dyDescent="0.25">
      <c r="B2712" s="441"/>
      <c r="C2712" s="2494" t="s">
        <v>7702</v>
      </c>
      <c r="D2712" s="3331">
        <v>500000000</v>
      </c>
      <c r="E2712" s="3354">
        <f>D2712/D2560*100</f>
        <v>0.42233331690738291</v>
      </c>
      <c r="F2712" s="3903"/>
      <c r="G2712" s="3363"/>
      <c r="H2712" s="2690"/>
      <c r="I2712" s="2757"/>
      <c r="J2712" s="3351"/>
      <c r="K2712" s="3364"/>
      <c r="L2712" s="2690"/>
      <c r="M2712" s="2757"/>
      <c r="N2712" s="2768"/>
    </row>
    <row r="2713" spans="1:16" ht="12" hidden="1" customHeight="1" x14ac:dyDescent="0.25">
      <c r="B2713" s="441"/>
      <c r="C2713" s="2475"/>
      <c r="D2713" s="2769"/>
      <c r="E2713" s="3341"/>
      <c r="F2713" s="3872"/>
      <c r="G2713" s="2769"/>
      <c r="H2713" s="3084"/>
      <c r="I2713" s="3342"/>
      <c r="J2713" s="2913"/>
      <c r="K2713" s="2769"/>
      <c r="L2713" s="3343"/>
      <c r="M2713" s="3342"/>
      <c r="N2713" s="2768"/>
    </row>
    <row r="2714" spans="1:16" s="27" customFormat="1" ht="30" hidden="1" customHeight="1" x14ac:dyDescent="0.25">
      <c r="A2714" s="6"/>
      <c r="B2714" s="4500"/>
      <c r="C2714" s="2471" t="s">
        <v>7703</v>
      </c>
      <c r="D2714" s="2744">
        <f>D2715</f>
        <v>699962600</v>
      </c>
      <c r="E2714" s="2717">
        <f>D2714/D2560*100</f>
        <v>0.59123505313823133</v>
      </c>
      <c r="F2714" s="3915"/>
      <c r="G2714" s="4501"/>
      <c r="H2714" s="4502"/>
      <c r="I2714" s="4503"/>
      <c r="J2714" s="4504"/>
      <c r="K2714" s="4504"/>
      <c r="L2714" s="4502"/>
      <c r="M2714" s="4501"/>
      <c r="N2714" s="2701"/>
      <c r="P2714" s="80"/>
    </row>
    <row r="2715" spans="1:16" ht="17.25" hidden="1" customHeight="1" x14ac:dyDescent="0.25">
      <c r="B2715" s="441"/>
      <c r="C2715" s="2491" t="s">
        <v>7704</v>
      </c>
      <c r="D2715" s="3348">
        <f>SUM(D2716:D2719)</f>
        <v>699962600</v>
      </c>
      <c r="E2715" s="2693">
        <f>D2715/D2560*100</f>
        <v>0.59123505313823133</v>
      </c>
      <c r="F2715" s="3904"/>
      <c r="G2715" s="3365"/>
      <c r="H2715" s="2695"/>
      <c r="I2715" s="899"/>
      <c r="J2715" s="3365"/>
      <c r="K2715" s="3365"/>
      <c r="L2715" s="2695"/>
      <c r="M2715" s="3376"/>
      <c r="N2715" s="2768"/>
    </row>
    <row r="2716" spans="1:16" ht="21.75" hidden="1" customHeight="1" x14ac:dyDescent="0.25">
      <c r="B2716" s="441"/>
      <c r="C2716" s="2494" t="s">
        <v>7705</v>
      </c>
      <c r="D2716" s="3331">
        <v>200000000</v>
      </c>
      <c r="E2716" s="3354">
        <f>D2716/D2560*100</f>
        <v>0.16893332676295314</v>
      </c>
      <c r="F2716" s="3903"/>
      <c r="G2716" s="3363"/>
      <c r="H2716" s="2690"/>
      <c r="I2716" s="896"/>
      <c r="J2716" s="3332"/>
      <c r="K2716" s="3333"/>
      <c r="L2716" s="2690"/>
      <c r="M2716" s="3335"/>
      <c r="N2716" s="2768"/>
    </row>
    <row r="2717" spans="1:16" ht="20.25" hidden="1" customHeight="1" x14ac:dyDescent="0.25">
      <c r="B2717" s="441"/>
      <c r="C2717" s="2495" t="s">
        <v>7706</v>
      </c>
      <c r="D2717" s="4514">
        <v>200000000</v>
      </c>
      <c r="E2717" s="3354">
        <f>D2717/D2560*100</f>
        <v>0.16893332676295314</v>
      </c>
      <c r="F2717" s="4515"/>
      <c r="G2717" s="4516"/>
      <c r="H2717" s="2710"/>
      <c r="I2717" s="2769"/>
      <c r="J2717" s="4517"/>
      <c r="K2717" s="4518"/>
      <c r="L2717" s="2710"/>
      <c r="M2717" s="3347"/>
      <c r="N2717" s="2768"/>
    </row>
    <row r="2718" spans="1:16" ht="18.75" hidden="1" customHeight="1" x14ac:dyDescent="0.25">
      <c r="B2718" s="441"/>
      <c r="C2718" s="2495" t="s">
        <v>7707</v>
      </c>
      <c r="D2718" s="4514">
        <v>200000000</v>
      </c>
      <c r="E2718" s="3354">
        <f>D2718/D2560*100</f>
        <v>0.16893332676295314</v>
      </c>
      <c r="F2718" s="4515"/>
      <c r="G2718" s="4516"/>
      <c r="H2718" s="2710"/>
      <c r="I2718" s="2769"/>
      <c r="J2718" s="4517"/>
      <c r="K2718" s="4518"/>
      <c r="L2718" s="2710"/>
      <c r="M2718" s="3347"/>
      <c r="N2718" s="2768"/>
    </row>
    <row r="2719" spans="1:16" ht="20.25" hidden="1" customHeight="1" x14ac:dyDescent="0.25">
      <c r="B2719" s="441"/>
      <c r="C2719" s="2495" t="s">
        <v>7708</v>
      </c>
      <c r="D2719" s="4514">
        <v>99962600</v>
      </c>
      <c r="E2719" s="3354">
        <f>D2719/D2560*100</f>
        <v>8.4435072849371906E-2</v>
      </c>
      <c r="F2719" s="4515"/>
      <c r="G2719" s="4516"/>
      <c r="H2719" s="2710"/>
      <c r="I2719" s="2769"/>
      <c r="J2719" s="4517"/>
      <c r="K2719" s="4518"/>
      <c r="L2719" s="2710"/>
      <c r="M2719" s="3347"/>
      <c r="N2719" s="2768"/>
    </row>
    <row r="2720" spans="1:16" ht="12" hidden="1" customHeight="1" x14ac:dyDescent="0.25">
      <c r="B2720" s="441"/>
      <c r="C2720" s="2604"/>
      <c r="D2720" s="3377"/>
      <c r="E2720" s="3352"/>
      <c r="F2720" s="3907"/>
      <c r="G2720" s="2716"/>
      <c r="H2720" s="2985"/>
      <c r="I2720" s="2753"/>
      <c r="J2720" s="2871"/>
      <c r="K2720" s="2709"/>
      <c r="L2720" s="2709"/>
      <c r="M2720" s="3347"/>
      <c r="N2720" s="2768"/>
    </row>
    <row r="2721" spans="1:16" ht="20.25" hidden="1" customHeight="1" x14ac:dyDescent="0.25">
      <c r="B2721" s="440"/>
      <c r="C2721" s="2497" t="s">
        <v>7709</v>
      </c>
      <c r="D2721" s="3378">
        <f>D2722</f>
        <v>0</v>
      </c>
      <c r="E2721" s="2717">
        <f>D2721/D2560*100</f>
        <v>0</v>
      </c>
      <c r="F2721" s="4480"/>
      <c r="G2721" s="3379"/>
      <c r="H2721" s="3380"/>
      <c r="I2721" s="2747"/>
      <c r="J2721" s="3381"/>
      <c r="K2721" s="3149"/>
      <c r="L2721" s="3149"/>
      <c r="M2721" s="3382"/>
      <c r="N2721" s="2768"/>
    </row>
    <row r="2722" spans="1:16" s="32" customFormat="1" ht="20.25" hidden="1" customHeight="1" x14ac:dyDescent="0.25">
      <c r="A2722" s="1"/>
      <c r="B2722" s="441"/>
      <c r="C2722" s="2482" t="s">
        <v>7711</v>
      </c>
      <c r="D2722" s="3383">
        <f>D2723</f>
        <v>0</v>
      </c>
      <c r="E2722" s="2693">
        <f>D2722/D2560*100</f>
        <v>0</v>
      </c>
      <c r="F2722" s="3908"/>
      <c r="G2722" s="3297"/>
      <c r="H2722" s="3384"/>
      <c r="I2722" s="3085"/>
      <c r="J2722" s="3385"/>
      <c r="K2722" s="3343"/>
      <c r="L2722" s="3343"/>
      <c r="M2722" s="3009"/>
      <c r="N2722" s="2837"/>
      <c r="P2722" s="630"/>
    </row>
    <row r="2723" spans="1:16" s="196" customFormat="1" ht="18.75" hidden="1" customHeight="1" x14ac:dyDescent="0.25">
      <c r="A2723" s="12"/>
      <c r="B2723" s="448"/>
      <c r="C2723" s="2494" t="s">
        <v>7712</v>
      </c>
      <c r="D2723" s="3331">
        <v>0</v>
      </c>
      <c r="E2723" s="3354">
        <f>D2723/D2560*100</f>
        <v>0</v>
      </c>
      <c r="F2723" s="3903"/>
      <c r="G2723" s="2689"/>
      <c r="H2723" s="2967"/>
      <c r="I2723" s="2757"/>
      <c r="J2723" s="2851"/>
      <c r="K2723" s="896"/>
      <c r="L2723" s="896"/>
      <c r="M2723" s="2757"/>
      <c r="N2723" s="2951"/>
      <c r="P2723" s="631"/>
    </row>
    <row r="2724" spans="1:16" ht="12" hidden="1" customHeight="1" x14ac:dyDescent="0.25">
      <c r="B2724" s="441"/>
      <c r="C2724" s="2556"/>
      <c r="D2724" s="3386"/>
      <c r="E2724" s="3341"/>
      <c r="F2724" s="3908"/>
      <c r="G2724" s="2991"/>
      <c r="H2724" s="2993"/>
      <c r="I2724" s="2753"/>
      <c r="J2724" s="2913"/>
      <c r="K2724" s="2769"/>
      <c r="L2724" s="2769"/>
      <c r="M2724" s="3342"/>
      <c r="N2724" s="2768"/>
    </row>
    <row r="2725" spans="1:16" ht="29.25" hidden="1" customHeight="1" x14ac:dyDescent="0.25">
      <c r="B2725" s="440"/>
      <c r="C2725" s="2497" t="s">
        <v>7710</v>
      </c>
      <c r="D2725" s="3378">
        <f>SUM(D2726+D2733+D2737+D2740)</f>
        <v>12976536776</v>
      </c>
      <c r="E2725" s="2717">
        <f>D2725/D2560*100</f>
        <v>10.960847637157432</v>
      </c>
      <c r="F2725" s="4480"/>
      <c r="G2725" s="3379"/>
      <c r="H2725" s="3380"/>
      <c r="I2725" s="2747"/>
      <c r="J2725" s="3381"/>
      <c r="K2725" s="3149"/>
      <c r="L2725" s="3149"/>
      <c r="M2725" s="3382"/>
      <c r="N2725" s="2768"/>
    </row>
    <row r="2726" spans="1:16" ht="19.5" hidden="1" customHeight="1" x14ac:dyDescent="0.25">
      <c r="B2726" s="441"/>
      <c r="C2726" s="4520" t="s">
        <v>7713</v>
      </c>
      <c r="D2726" s="4521">
        <f>SUM(D2727:D2731)</f>
        <v>1480702336</v>
      </c>
      <c r="E2726" s="2772">
        <f>D2726/D2560*100</f>
        <v>1.2506998578307802</v>
      </c>
      <c r="F2726" s="4522"/>
      <c r="G2726" s="4523"/>
      <c r="H2726" s="4524"/>
      <c r="I2726" s="4525"/>
      <c r="J2726" s="4526"/>
      <c r="K2726" s="4527"/>
      <c r="L2726" s="4527"/>
      <c r="M2726" s="4528"/>
      <c r="N2726" s="2768"/>
    </row>
    <row r="2727" spans="1:16" s="196" customFormat="1" ht="18.75" hidden="1" customHeight="1" x14ac:dyDescent="0.25">
      <c r="A2727" s="12"/>
      <c r="B2727" s="442"/>
      <c r="C2727" s="2494" t="s">
        <v>7714</v>
      </c>
      <c r="D2727" s="3331">
        <v>10000000</v>
      </c>
      <c r="E2727" s="2688">
        <f>D2727/D2560*100</f>
        <v>8.4466663381476577E-3</v>
      </c>
      <c r="F2727" s="3901"/>
      <c r="G2727" s="2689"/>
      <c r="H2727" s="2967"/>
      <c r="I2727" s="2757"/>
      <c r="J2727" s="2851"/>
      <c r="K2727" s="896"/>
      <c r="L2727" s="896"/>
      <c r="M2727" s="2757"/>
      <c r="N2727" s="2951"/>
      <c r="P2727" s="631"/>
    </row>
    <row r="2728" spans="1:16" s="196" customFormat="1" ht="15.75" hidden="1" customHeight="1" x14ac:dyDescent="0.25">
      <c r="A2728" s="12"/>
      <c r="B2728" s="448"/>
      <c r="C2728" s="2494" t="s">
        <v>7715</v>
      </c>
      <c r="D2728" s="3331">
        <v>78600000</v>
      </c>
      <c r="E2728" s="2763">
        <f>D2728/D2560*100</f>
        <v>6.6390797417840583E-2</v>
      </c>
      <c r="F2728" s="3903"/>
      <c r="G2728" s="2689"/>
      <c r="H2728" s="2967"/>
      <c r="I2728" s="2757"/>
      <c r="J2728" s="2851"/>
      <c r="K2728" s="896"/>
      <c r="L2728" s="896"/>
      <c r="M2728" s="2757"/>
      <c r="N2728" s="2951"/>
      <c r="P2728" s="631"/>
    </row>
    <row r="2729" spans="1:16" s="196" customFormat="1" ht="15.75" hidden="1" customHeight="1" x14ac:dyDescent="0.25">
      <c r="A2729" s="12"/>
      <c r="B2729" s="448"/>
      <c r="C2729" s="2494" t="s">
        <v>7716</v>
      </c>
      <c r="D2729" s="3331">
        <v>102000000</v>
      </c>
      <c r="E2729" s="2763">
        <f>D2729/D2560*100</f>
        <v>8.6155996649106101E-2</v>
      </c>
      <c r="F2729" s="3903"/>
      <c r="G2729" s="2689"/>
      <c r="H2729" s="2967"/>
      <c r="I2729" s="2757"/>
      <c r="J2729" s="2851"/>
      <c r="K2729" s="896"/>
      <c r="L2729" s="896"/>
      <c r="M2729" s="2757"/>
      <c r="N2729" s="2951"/>
      <c r="P2729" s="631"/>
    </row>
    <row r="2730" spans="1:16" s="196" customFormat="1" ht="16.5" hidden="1" customHeight="1" x14ac:dyDescent="0.25">
      <c r="A2730" s="12"/>
      <c r="B2730" s="448"/>
      <c r="C2730" s="2494" t="s">
        <v>7717</v>
      </c>
      <c r="D2730" s="3331">
        <v>25627336</v>
      </c>
      <c r="E2730" s="2763">
        <f>D2730/D2560*100</f>
        <v>2.1646555632759964E-2</v>
      </c>
      <c r="F2730" s="3903"/>
      <c r="G2730" s="2689"/>
      <c r="H2730" s="2967"/>
      <c r="I2730" s="2757"/>
      <c r="J2730" s="2851"/>
      <c r="K2730" s="896"/>
      <c r="L2730" s="896"/>
      <c r="M2730" s="2757"/>
      <c r="N2730" s="2951"/>
      <c r="P2730" s="631"/>
    </row>
    <row r="2731" spans="1:16" s="196" customFormat="1" ht="16.5" hidden="1" customHeight="1" x14ac:dyDescent="0.25">
      <c r="A2731" s="12"/>
      <c r="B2731" s="448"/>
      <c r="C2731" s="2495" t="s">
        <v>7718</v>
      </c>
      <c r="D2731" s="4514">
        <v>1264475000</v>
      </c>
      <c r="E2731" s="2763">
        <f>D2731/D2560*100</f>
        <v>1.0680598417929259</v>
      </c>
      <c r="F2731" s="4515"/>
      <c r="G2731" s="3288"/>
      <c r="H2731" s="2985"/>
      <c r="I2731" s="2742"/>
      <c r="J2731" s="2871"/>
      <c r="K2731" s="2709"/>
      <c r="L2731" s="2709"/>
      <c r="M2731" s="2742"/>
      <c r="N2731" s="3449"/>
      <c r="P2731" s="631"/>
    </row>
    <row r="2732" spans="1:16" s="196" customFormat="1" ht="12.75" hidden="1" customHeight="1" x14ac:dyDescent="0.25">
      <c r="A2732" s="12"/>
      <c r="B2732" s="448"/>
      <c r="C2732" s="2495"/>
      <c r="D2732" s="4514"/>
      <c r="E2732" s="2763"/>
      <c r="F2732" s="4515"/>
      <c r="G2732" s="3288"/>
      <c r="H2732" s="2985"/>
      <c r="I2732" s="2742"/>
      <c r="J2732" s="2871"/>
      <c r="K2732" s="2709"/>
      <c r="L2732" s="2709"/>
      <c r="M2732" s="2742"/>
      <c r="N2732" s="3449"/>
      <c r="P2732" s="631"/>
    </row>
    <row r="2733" spans="1:16" s="32" customFormat="1" ht="16.5" hidden="1" customHeight="1" x14ac:dyDescent="0.25">
      <c r="A2733" s="1"/>
      <c r="B2733" s="441"/>
      <c r="C2733" s="2496" t="s">
        <v>7719</v>
      </c>
      <c r="D2733" s="3374">
        <f>SUM(D2734:D2735)</f>
        <v>540657800</v>
      </c>
      <c r="E2733" s="2764">
        <f>D2733/D2560*100</f>
        <v>0.45667560397169682</v>
      </c>
      <c r="F2733" s="3907"/>
      <c r="G2733" s="4529"/>
      <c r="H2733" s="2976"/>
      <c r="I2733" s="3001"/>
      <c r="J2733" s="2882"/>
      <c r="K2733" s="2767"/>
      <c r="L2733" s="2767"/>
      <c r="M2733" s="3001"/>
      <c r="N2733" s="2668"/>
      <c r="P2733" s="630"/>
    </row>
    <row r="2734" spans="1:16" s="196" customFormat="1" ht="16.5" hidden="1" customHeight="1" x14ac:dyDescent="0.25">
      <c r="A2734" s="12"/>
      <c r="B2734" s="448"/>
      <c r="C2734" s="2495" t="s">
        <v>7720</v>
      </c>
      <c r="D2734" s="4514">
        <v>140297800</v>
      </c>
      <c r="E2734" s="2763">
        <f>D2734/D2560*100</f>
        <v>0.11850487045761723</v>
      </c>
      <c r="F2734" s="4515"/>
      <c r="G2734" s="3288"/>
      <c r="H2734" s="2985"/>
      <c r="I2734" s="2742"/>
      <c r="J2734" s="2871"/>
      <c r="K2734" s="2709"/>
      <c r="L2734" s="2709"/>
      <c r="M2734" s="2742"/>
      <c r="N2734" s="3449"/>
      <c r="P2734" s="631"/>
    </row>
    <row r="2735" spans="1:16" s="196" customFormat="1" ht="16.5" hidden="1" customHeight="1" x14ac:dyDescent="0.25">
      <c r="A2735" s="12"/>
      <c r="B2735" s="448"/>
      <c r="C2735" s="2495" t="s">
        <v>7721</v>
      </c>
      <c r="D2735" s="4514">
        <v>400360000</v>
      </c>
      <c r="E2735" s="2763">
        <f>D2735/D2560*100</f>
        <v>0.33817073351407961</v>
      </c>
      <c r="F2735" s="4515"/>
      <c r="G2735" s="3288"/>
      <c r="H2735" s="2985"/>
      <c r="I2735" s="2742"/>
      <c r="J2735" s="2871"/>
      <c r="K2735" s="2709"/>
      <c r="L2735" s="2709"/>
      <c r="M2735" s="2742"/>
      <c r="N2735" s="3449"/>
      <c r="P2735" s="631"/>
    </row>
    <row r="2736" spans="1:16" s="196" customFormat="1" ht="16.5" hidden="1" customHeight="1" x14ac:dyDescent="0.25">
      <c r="A2736" s="12"/>
      <c r="B2736" s="448"/>
      <c r="C2736" s="2495"/>
      <c r="D2736" s="4514"/>
      <c r="E2736" s="2763"/>
      <c r="F2736" s="4515"/>
      <c r="G2736" s="3288"/>
      <c r="H2736" s="2985"/>
      <c r="I2736" s="2742"/>
      <c r="J2736" s="2871"/>
      <c r="K2736" s="2709"/>
      <c r="L2736" s="2709"/>
      <c r="M2736" s="2742"/>
      <c r="N2736" s="3449"/>
      <c r="P2736" s="631"/>
    </row>
    <row r="2737" spans="1:16" s="32" customFormat="1" ht="17.25" hidden="1" customHeight="1" x14ac:dyDescent="0.25">
      <c r="A2737" s="1"/>
      <c r="B2737" s="441"/>
      <c r="C2737" s="2496" t="s">
        <v>7722</v>
      </c>
      <c r="D2737" s="3374">
        <f>D2738</f>
        <v>5536755000</v>
      </c>
      <c r="E2737" s="4519">
        <f>D2737/D2560*100</f>
        <v>4.6767122081070731</v>
      </c>
      <c r="F2737" s="3907"/>
      <c r="G2737" s="4529"/>
      <c r="H2737" s="2976"/>
      <c r="I2737" s="3001"/>
      <c r="J2737" s="2882"/>
      <c r="K2737" s="2767"/>
      <c r="L2737" s="2767"/>
      <c r="M2737" s="3001"/>
      <c r="N2737" s="2668"/>
      <c r="P2737" s="630"/>
    </row>
    <row r="2738" spans="1:16" s="196" customFormat="1" ht="19.5" hidden="1" customHeight="1" x14ac:dyDescent="0.25">
      <c r="A2738" s="12"/>
      <c r="B2738" s="448"/>
      <c r="C2738" s="2495" t="s">
        <v>7723</v>
      </c>
      <c r="D2738" s="4514">
        <v>5536755000</v>
      </c>
      <c r="E2738" s="2763">
        <f>D2738/D2560*100</f>
        <v>4.6767122081070731</v>
      </c>
      <c r="F2738" s="4515"/>
      <c r="G2738" s="3288"/>
      <c r="H2738" s="2985"/>
      <c r="I2738" s="2742"/>
      <c r="J2738" s="2871"/>
      <c r="K2738" s="2709"/>
      <c r="L2738" s="2709"/>
      <c r="M2738" s="2742"/>
      <c r="N2738" s="3449"/>
      <c r="P2738" s="631"/>
    </row>
    <row r="2739" spans="1:16" s="196" customFormat="1" ht="9.75" hidden="1" customHeight="1" x14ac:dyDescent="0.25">
      <c r="A2739" s="12"/>
      <c r="B2739" s="448"/>
      <c r="C2739" s="2495"/>
      <c r="D2739" s="4514"/>
      <c r="E2739" s="2763"/>
      <c r="F2739" s="4515"/>
      <c r="G2739" s="3288"/>
      <c r="H2739" s="2985"/>
      <c r="I2739" s="2742"/>
      <c r="J2739" s="2871"/>
      <c r="K2739" s="2709"/>
      <c r="L2739" s="2709"/>
      <c r="M2739" s="2742"/>
      <c r="N2739" s="3449"/>
      <c r="P2739" s="631"/>
    </row>
    <row r="2740" spans="1:16" s="32" customFormat="1" ht="16.5" hidden="1" customHeight="1" x14ac:dyDescent="0.25">
      <c r="A2740" s="1"/>
      <c r="B2740" s="441"/>
      <c r="C2740" s="2496" t="s">
        <v>7724</v>
      </c>
      <c r="D2740" s="3374">
        <f>SUM(D2741:D2743)</f>
        <v>5418421640</v>
      </c>
      <c r="E2740" s="2764">
        <f>D2740/D2560*100</f>
        <v>4.5767599672478818</v>
      </c>
      <c r="F2740" s="3907"/>
      <c r="G2740" s="4529"/>
      <c r="H2740" s="2976"/>
      <c r="I2740" s="3001"/>
      <c r="J2740" s="2882"/>
      <c r="K2740" s="2767"/>
      <c r="L2740" s="2767"/>
      <c r="M2740" s="3001"/>
      <c r="N2740" s="2668"/>
      <c r="P2740" s="630"/>
    </row>
    <row r="2741" spans="1:16" s="196" customFormat="1" ht="16.5" hidden="1" customHeight="1" x14ac:dyDescent="0.25">
      <c r="A2741" s="12"/>
      <c r="B2741" s="448"/>
      <c r="C2741" s="2495" t="s">
        <v>7725</v>
      </c>
      <c r="D2741" s="4514">
        <v>499950000</v>
      </c>
      <c r="E2741" s="2763">
        <f>D2741/D2560*100</f>
        <v>0.42229108357569212</v>
      </c>
      <c r="F2741" s="4515"/>
      <c r="G2741" s="3288"/>
      <c r="H2741" s="2985"/>
      <c r="I2741" s="2742"/>
      <c r="J2741" s="2871"/>
      <c r="K2741" s="2709"/>
      <c r="L2741" s="2709"/>
      <c r="M2741" s="2742"/>
      <c r="N2741" s="3449"/>
      <c r="P2741" s="631"/>
    </row>
    <row r="2742" spans="1:16" s="196" customFormat="1" ht="16.5" hidden="1" customHeight="1" x14ac:dyDescent="0.25">
      <c r="A2742" s="12"/>
      <c r="B2742" s="448"/>
      <c r="C2742" s="2495" t="s">
        <v>7726</v>
      </c>
      <c r="D2742" s="4514">
        <v>1473760000</v>
      </c>
      <c r="E2742" s="2763">
        <f>D2742/D2560*100</f>
        <v>1.2448358982508492</v>
      </c>
      <c r="F2742" s="4515"/>
      <c r="G2742" s="3288"/>
      <c r="H2742" s="2985"/>
      <c r="I2742" s="2742"/>
      <c r="J2742" s="2871"/>
      <c r="K2742" s="2709"/>
      <c r="L2742" s="2709"/>
      <c r="M2742" s="2742"/>
      <c r="N2742" s="3449"/>
      <c r="P2742" s="631"/>
    </row>
    <row r="2743" spans="1:16" s="196" customFormat="1" ht="16.5" hidden="1" customHeight="1" x14ac:dyDescent="0.25">
      <c r="A2743" s="12"/>
      <c r="B2743" s="448"/>
      <c r="C2743" s="2495" t="s">
        <v>7727</v>
      </c>
      <c r="D2743" s="4514">
        <v>3444711640</v>
      </c>
      <c r="E2743" s="2763">
        <f>D2743/D2560*100</f>
        <v>2.9096329854213412</v>
      </c>
      <c r="F2743" s="4515"/>
      <c r="G2743" s="3288"/>
      <c r="H2743" s="2985"/>
      <c r="I2743" s="2742"/>
      <c r="J2743" s="2871"/>
      <c r="K2743" s="2709"/>
      <c r="L2743" s="2709"/>
      <c r="M2743" s="2742"/>
      <c r="N2743" s="3449"/>
      <c r="P2743" s="631"/>
    </row>
    <row r="2744" spans="1:16" ht="12" hidden="1" customHeight="1" x14ac:dyDescent="0.25">
      <c r="B2744" s="441"/>
      <c r="C2744" s="2604"/>
      <c r="D2744" s="3377"/>
      <c r="E2744" s="3352"/>
      <c r="F2744" s="3907"/>
      <c r="G2744" s="2716"/>
      <c r="H2744" s="2985"/>
      <c r="I2744" s="2742"/>
      <c r="J2744" s="2871"/>
      <c r="K2744" s="2709"/>
      <c r="L2744" s="2709"/>
      <c r="M2744" s="3347"/>
      <c r="N2744" s="2743"/>
    </row>
    <row r="2745" spans="1:16" ht="17.25" hidden="1" customHeight="1" x14ac:dyDescent="0.25">
      <c r="B2745" s="441"/>
      <c r="C2745" s="2497" t="s">
        <v>7728</v>
      </c>
      <c r="D2745" s="3378">
        <f>SUM(D2746+D2749+D2755+D2760+D2764+D2767)</f>
        <v>6159465624</v>
      </c>
      <c r="E2745" s="2717">
        <f>D2745/D2560*100</f>
        <v>5.2026950947218449</v>
      </c>
      <c r="F2745" s="4480"/>
      <c r="G2745" s="3379"/>
      <c r="H2745" s="3380"/>
      <c r="I2745" s="2747"/>
      <c r="J2745" s="3381"/>
      <c r="K2745" s="3149"/>
      <c r="L2745" s="3149"/>
      <c r="M2745" s="3382"/>
      <c r="N2745" s="2750"/>
    </row>
    <row r="2746" spans="1:16" s="32" customFormat="1" ht="18" hidden="1" customHeight="1" x14ac:dyDescent="0.25">
      <c r="A2746" s="1"/>
      <c r="B2746" s="441"/>
      <c r="C2746" s="2569" t="s">
        <v>7729</v>
      </c>
      <c r="D2746" s="3129">
        <f>D2747</f>
        <v>353310000</v>
      </c>
      <c r="E2746" s="2764">
        <f>D2746/D2560*100</f>
        <v>0.29842916839309486</v>
      </c>
      <c r="F2746" s="3909"/>
      <c r="G2746" s="3310"/>
      <c r="H2746" s="2677"/>
      <c r="I2746" s="3005"/>
      <c r="J2746" s="2916"/>
      <c r="K2746" s="2759"/>
      <c r="L2746" s="2759"/>
      <c r="M2746" s="3005"/>
      <c r="N2746" s="2773"/>
      <c r="P2746" s="630"/>
    </row>
    <row r="2747" spans="1:16" ht="18" hidden="1" customHeight="1" x14ac:dyDescent="0.25">
      <c r="B2747" s="441"/>
      <c r="C2747" s="2494" t="s">
        <v>7730</v>
      </c>
      <c r="D2747" s="3331">
        <v>353310000</v>
      </c>
      <c r="E2747" s="2763">
        <f>D2747/D2560*100</f>
        <v>0.29842916839309486</v>
      </c>
      <c r="F2747" s="3904"/>
      <c r="G2747" s="2704"/>
      <c r="H2747" s="2967"/>
      <c r="I2747" s="2757"/>
      <c r="J2747" s="2851"/>
      <c r="K2747" s="896"/>
      <c r="L2747" s="896"/>
      <c r="M2747" s="3335"/>
      <c r="N2747" s="2768"/>
    </row>
    <row r="2748" spans="1:16" ht="11.25" hidden="1" customHeight="1" x14ac:dyDescent="0.25">
      <c r="B2748" s="441"/>
      <c r="C2748" s="2494"/>
      <c r="D2748" s="3331"/>
      <c r="E2748" s="2763"/>
      <c r="F2748" s="3904"/>
      <c r="G2748" s="2704"/>
      <c r="H2748" s="2967"/>
      <c r="I2748" s="2757"/>
      <c r="J2748" s="2851"/>
      <c r="K2748" s="896"/>
      <c r="L2748" s="896"/>
      <c r="M2748" s="3335"/>
      <c r="N2748" s="2768"/>
    </row>
    <row r="2749" spans="1:16" s="32" customFormat="1" ht="17.25" hidden="1" customHeight="1" x14ac:dyDescent="0.25">
      <c r="A2749" s="1"/>
      <c r="B2749" s="441"/>
      <c r="C2749" s="2491" t="s">
        <v>7731</v>
      </c>
      <c r="D2749" s="3348">
        <f>SUM(D2750:D2753)</f>
        <v>1454355624</v>
      </c>
      <c r="E2749" s="2764">
        <f>D2749/D2560*100</f>
        <v>1.228445669293653</v>
      </c>
      <c r="F2749" s="3904"/>
      <c r="G2749" s="3115"/>
      <c r="H2749" s="2969"/>
      <c r="I2749" s="2970"/>
      <c r="J2749" s="2883"/>
      <c r="K2749" s="899"/>
      <c r="L2749" s="899"/>
      <c r="M2749" s="2970"/>
      <c r="N2749" s="2837"/>
      <c r="P2749" s="630"/>
    </row>
    <row r="2750" spans="1:16" ht="17.25" hidden="1" customHeight="1" x14ac:dyDescent="0.25">
      <c r="B2750" s="441"/>
      <c r="C2750" s="2494" t="s">
        <v>7732</v>
      </c>
      <c r="D2750" s="3331">
        <v>349270000</v>
      </c>
      <c r="E2750" s="2763">
        <f>D2750/D2560*100</f>
        <v>0.29501671519248324</v>
      </c>
      <c r="F2750" s="3904"/>
      <c r="G2750" s="2704"/>
      <c r="H2750" s="2967"/>
      <c r="I2750" s="2757"/>
      <c r="J2750" s="2851"/>
      <c r="K2750" s="896"/>
      <c r="L2750" s="896"/>
      <c r="M2750" s="3335"/>
      <c r="N2750" s="2768"/>
    </row>
    <row r="2751" spans="1:16" s="196" customFormat="1" ht="16.5" hidden="1" customHeight="1" x14ac:dyDescent="0.25">
      <c r="A2751" s="12"/>
      <c r="B2751" s="442"/>
      <c r="C2751" s="2494" t="s">
        <v>7733</v>
      </c>
      <c r="D2751" s="3331">
        <v>200085624</v>
      </c>
      <c r="E2751" s="2763">
        <f>D2751/D2560*100</f>
        <v>0.16900565049880689</v>
      </c>
      <c r="F2751" s="3901"/>
      <c r="G2751" s="2689"/>
      <c r="H2751" s="2967"/>
      <c r="I2751" s="2757"/>
      <c r="J2751" s="2851"/>
      <c r="K2751" s="896"/>
      <c r="L2751" s="896"/>
      <c r="M2751" s="2757"/>
      <c r="N2751" s="2951"/>
      <c r="P2751" s="631"/>
    </row>
    <row r="2752" spans="1:16" s="196" customFormat="1" ht="15.75" hidden="1" customHeight="1" x14ac:dyDescent="0.25">
      <c r="A2752" s="12"/>
      <c r="B2752" s="442"/>
      <c r="C2752" s="2494" t="s">
        <v>7734</v>
      </c>
      <c r="D2752" s="3331">
        <v>345000000</v>
      </c>
      <c r="E2752" s="2763">
        <f>D2752/D2560*100</f>
        <v>0.29140998866609413</v>
      </c>
      <c r="F2752" s="3901"/>
      <c r="G2752" s="2689"/>
      <c r="H2752" s="2967"/>
      <c r="I2752" s="2757"/>
      <c r="J2752" s="2851"/>
      <c r="K2752" s="896"/>
      <c r="L2752" s="896"/>
      <c r="M2752" s="2757"/>
      <c r="N2752" s="2951"/>
      <c r="P2752" s="631"/>
    </row>
    <row r="2753" spans="1:16" ht="29.25" hidden="1" customHeight="1" x14ac:dyDescent="0.25">
      <c r="B2753" s="441"/>
      <c r="C2753" s="2494" t="s">
        <v>7735</v>
      </c>
      <c r="D2753" s="3331">
        <v>560000000</v>
      </c>
      <c r="E2753" s="2763">
        <f>D2753/D2560*100</f>
        <v>0.4730133149362688</v>
      </c>
      <c r="F2753" s="3904"/>
      <c r="G2753" s="2704"/>
      <c r="H2753" s="2967"/>
      <c r="I2753" s="2757"/>
      <c r="J2753" s="2851"/>
      <c r="K2753" s="896"/>
      <c r="L2753" s="896"/>
      <c r="M2753" s="3335"/>
      <c r="N2753" s="2768"/>
    </row>
    <row r="2754" spans="1:16" ht="12" hidden="1" customHeight="1" x14ac:dyDescent="0.25">
      <c r="B2754" s="441"/>
      <c r="C2754" s="2494"/>
      <c r="D2754" s="3331"/>
      <c r="E2754" s="2763"/>
      <c r="F2754" s="3904"/>
      <c r="G2754" s="2704"/>
      <c r="H2754" s="2967"/>
      <c r="I2754" s="2757"/>
      <c r="J2754" s="2851"/>
      <c r="K2754" s="896"/>
      <c r="L2754" s="896"/>
      <c r="M2754" s="3335"/>
      <c r="N2754" s="2768"/>
    </row>
    <row r="2755" spans="1:16" s="32" customFormat="1" ht="19.5" hidden="1" customHeight="1" x14ac:dyDescent="0.25">
      <c r="A2755" s="1"/>
      <c r="B2755" s="441"/>
      <c r="C2755" s="2491" t="s">
        <v>7736</v>
      </c>
      <c r="D2755" s="3348">
        <f>SUM(D2756:D2758)</f>
        <v>2648740000</v>
      </c>
      <c r="E2755" s="2764">
        <f>D2755/D2560*100</f>
        <v>2.2373022996505223</v>
      </c>
      <c r="F2755" s="3904"/>
      <c r="G2755" s="3115"/>
      <c r="H2755" s="2969"/>
      <c r="I2755" s="2970"/>
      <c r="J2755" s="2883"/>
      <c r="K2755" s="899"/>
      <c r="L2755" s="899"/>
      <c r="M2755" s="2970"/>
      <c r="N2755" s="2837"/>
      <c r="P2755" s="630"/>
    </row>
    <row r="2756" spans="1:16" s="196" customFormat="1" ht="15.75" hidden="1" customHeight="1" x14ac:dyDescent="0.25">
      <c r="A2756" s="12"/>
      <c r="B2756" s="442"/>
      <c r="C2756" s="2494" t="s">
        <v>7737</v>
      </c>
      <c r="D2756" s="3331">
        <v>538620000</v>
      </c>
      <c r="E2756" s="2763">
        <f>D2756/D2560*100</f>
        <v>0.45495434230530912</v>
      </c>
      <c r="F2756" s="3901"/>
      <c r="G2756" s="2689"/>
      <c r="H2756" s="2967"/>
      <c r="I2756" s="2757"/>
      <c r="J2756" s="2851"/>
      <c r="K2756" s="896"/>
      <c r="L2756" s="896"/>
      <c r="M2756" s="2757"/>
      <c r="N2756" s="2951"/>
      <c r="P2756" s="631"/>
    </row>
    <row r="2757" spans="1:16" s="196" customFormat="1" ht="16.5" hidden="1" customHeight="1" x14ac:dyDescent="0.25">
      <c r="A2757" s="12"/>
      <c r="B2757" s="442"/>
      <c r="C2757" s="2494" t="s">
        <v>7738</v>
      </c>
      <c r="D2757" s="3331">
        <v>1029700000</v>
      </c>
      <c r="E2757" s="2763">
        <f>D2757/D2560*100</f>
        <v>0.86975323283906425</v>
      </c>
      <c r="F2757" s="3901"/>
      <c r="G2757" s="2689"/>
      <c r="H2757" s="2967"/>
      <c r="I2757" s="2757"/>
      <c r="J2757" s="2851"/>
      <c r="K2757" s="896"/>
      <c r="L2757" s="896"/>
      <c r="M2757" s="2757"/>
      <c r="N2757" s="2951"/>
      <c r="P2757" s="631"/>
    </row>
    <row r="2758" spans="1:16" ht="18" hidden="1" customHeight="1" x14ac:dyDescent="0.25">
      <c r="B2758" s="441"/>
      <c r="C2758" s="2473" t="s">
        <v>7739</v>
      </c>
      <c r="D2758" s="896">
        <v>1080420000</v>
      </c>
      <c r="E2758" s="2763">
        <f>D2758/D2560*100</f>
        <v>0.9125947245061492</v>
      </c>
      <c r="F2758" s="3868"/>
      <c r="G2758" s="896"/>
      <c r="H2758" s="2690"/>
      <c r="I2758" s="896"/>
      <c r="J2758" s="2851"/>
      <c r="K2758" s="896"/>
      <c r="L2758" s="2796"/>
      <c r="M2758" s="3335"/>
      <c r="N2758" s="2768"/>
    </row>
    <row r="2759" spans="1:16" ht="11.25" hidden="1" customHeight="1" x14ac:dyDescent="0.25">
      <c r="B2759" s="441"/>
      <c r="C2759" s="2475"/>
      <c r="D2759" s="2769"/>
      <c r="E2759" s="2758"/>
      <c r="F2759" s="3872"/>
      <c r="G2759" s="2769"/>
      <c r="H2759" s="2752"/>
      <c r="I2759" s="2769"/>
      <c r="J2759" s="2913"/>
      <c r="K2759" s="2769"/>
      <c r="L2759" s="3343"/>
      <c r="M2759" s="3342"/>
      <c r="N2759" s="2768"/>
    </row>
    <row r="2760" spans="1:16" s="32" customFormat="1" ht="18" hidden="1" customHeight="1" x14ac:dyDescent="0.25">
      <c r="A2760" s="1"/>
      <c r="B2760" s="441"/>
      <c r="C2760" s="2474" t="s">
        <v>7740</v>
      </c>
      <c r="D2760" s="899">
        <f>SUM(D2761:D2762)</f>
        <v>603040000</v>
      </c>
      <c r="E2760" s="2764">
        <f>D2760/D2560*100</f>
        <v>0.50936776685565632</v>
      </c>
      <c r="F2760" s="3853"/>
      <c r="G2760" s="899"/>
      <c r="H2760" s="2695"/>
      <c r="I2760" s="899"/>
      <c r="J2760" s="2883"/>
      <c r="K2760" s="899"/>
      <c r="L2760" s="899"/>
      <c r="M2760" s="2970"/>
      <c r="N2760" s="2837"/>
      <c r="P2760" s="630"/>
    </row>
    <row r="2761" spans="1:16" ht="18" hidden="1" customHeight="1" x14ac:dyDescent="0.25">
      <c r="B2761" s="441"/>
      <c r="C2761" s="2473" t="s">
        <v>7741</v>
      </c>
      <c r="D2761" s="896">
        <v>277420000</v>
      </c>
      <c r="E2761" s="2763">
        <f>D2761/D2560*100</f>
        <v>0.23432741755289233</v>
      </c>
      <c r="F2761" s="3868"/>
      <c r="G2761" s="896"/>
      <c r="H2761" s="2690"/>
      <c r="I2761" s="896"/>
      <c r="J2761" s="2851"/>
      <c r="K2761" s="896"/>
      <c r="L2761" s="2796"/>
      <c r="M2761" s="3335"/>
      <c r="N2761" s="2768"/>
    </row>
    <row r="2762" spans="1:16" ht="18" hidden="1" customHeight="1" x14ac:dyDescent="0.25">
      <c r="B2762" s="441"/>
      <c r="C2762" s="2473" t="s">
        <v>7742</v>
      </c>
      <c r="D2762" s="896">
        <v>325620000</v>
      </c>
      <c r="E2762" s="2763">
        <f>D2762/D2560*100</f>
        <v>0.275040349302764</v>
      </c>
      <c r="F2762" s="3868"/>
      <c r="G2762" s="896"/>
      <c r="H2762" s="2690"/>
      <c r="I2762" s="896"/>
      <c r="J2762" s="2851"/>
      <c r="K2762" s="896"/>
      <c r="L2762" s="2796"/>
      <c r="M2762" s="3335"/>
      <c r="N2762" s="2768"/>
    </row>
    <row r="2763" spans="1:16" ht="12" hidden="1" customHeight="1" x14ac:dyDescent="0.25">
      <c r="B2763" s="441"/>
      <c r="C2763" s="2473"/>
      <c r="D2763" s="896"/>
      <c r="E2763" s="2688"/>
      <c r="F2763" s="3868"/>
      <c r="G2763" s="896"/>
      <c r="H2763" s="2690"/>
      <c r="I2763" s="896"/>
      <c r="J2763" s="2851"/>
      <c r="K2763" s="896"/>
      <c r="L2763" s="2796"/>
      <c r="M2763" s="3335"/>
      <c r="N2763" s="2768"/>
    </row>
    <row r="2764" spans="1:16" s="32" customFormat="1" ht="18" hidden="1" customHeight="1" x14ac:dyDescent="0.25">
      <c r="A2764" s="1"/>
      <c r="B2764" s="441"/>
      <c r="C2764" s="2474" t="s">
        <v>7743</v>
      </c>
      <c r="D2764" s="899">
        <f>D2765</f>
        <v>800020000</v>
      </c>
      <c r="E2764" s="2764">
        <f>D2764/D2560*100</f>
        <v>0.67575020038448896</v>
      </c>
      <c r="F2764" s="3853"/>
      <c r="G2764" s="899"/>
      <c r="H2764" s="2695"/>
      <c r="I2764" s="899"/>
      <c r="J2764" s="2883"/>
      <c r="K2764" s="899"/>
      <c r="L2764" s="899"/>
      <c r="M2764" s="2970"/>
      <c r="N2764" s="2837"/>
      <c r="P2764" s="630"/>
    </row>
    <row r="2765" spans="1:16" ht="18" hidden="1" customHeight="1" x14ac:dyDescent="0.25">
      <c r="B2765" s="441"/>
      <c r="C2765" s="2473" t="s">
        <v>7744</v>
      </c>
      <c r="D2765" s="896">
        <v>800020000</v>
      </c>
      <c r="E2765" s="2763">
        <f>D2765/D2560*100</f>
        <v>0.67575020038448896</v>
      </c>
      <c r="F2765" s="3868"/>
      <c r="G2765" s="896"/>
      <c r="H2765" s="2690"/>
      <c r="I2765" s="896"/>
      <c r="J2765" s="2851"/>
      <c r="K2765" s="896"/>
      <c r="L2765" s="2796"/>
      <c r="M2765" s="3335"/>
      <c r="N2765" s="2768"/>
    </row>
    <row r="2766" spans="1:16" ht="12.75" hidden="1" customHeight="1" x14ac:dyDescent="0.25">
      <c r="B2766" s="441"/>
      <c r="C2766" s="2473"/>
      <c r="D2766" s="896"/>
      <c r="E2766" s="2688"/>
      <c r="F2766" s="3868"/>
      <c r="G2766" s="896"/>
      <c r="H2766" s="2690"/>
      <c r="I2766" s="896"/>
      <c r="J2766" s="2851"/>
      <c r="K2766" s="896"/>
      <c r="L2766" s="2796"/>
      <c r="M2766" s="3335"/>
      <c r="N2766" s="2768"/>
    </row>
    <row r="2767" spans="1:16" s="32" customFormat="1" ht="18" hidden="1" customHeight="1" x14ac:dyDescent="0.25">
      <c r="A2767" s="1"/>
      <c r="B2767" s="441"/>
      <c r="C2767" s="2474" t="s">
        <v>7745</v>
      </c>
      <c r="D2767" s="899">
        <f>D2768</f>
        <v>300000000</v>
      </c>
      <c r="E2767" s="2764">
        <f>D2767/D2560*100</f>
        <v>0.25339999014442971</v>
      </c>
      <c r="F2767" s="3853"/>
      <c r="G2767" s="899"/>
      <c r="H2767" s="2695"/>
      <c r="I2767" s="899"/>
      <c r="J2767" s="2883"/>
      <c r="K2767" s="899"/>
      <c r="L2767" s="899"/>
      <c r="M2767" s="2970"/>
      <c r="N2767" s="2837"/>
      <c r="P2767" s="630"/>
    </row>
    <row r="2768" spans="1:16" ht="18" hidden="1" customHeight="1" x14ac:dyDescent="0.25">
      <c r="B2768" s="441"/>
      <c r="C2768" s="2473" t="s">
        <v>7746</v>
      </c>
      <c r="D2768" s="896">
        <v>300000000</v>
      </c>
      <c r="E2768" s="2763">
        <f>D2768/D2560*100</f>
        <v>0.25339999014442971</v>
      </c>
      <c r="F2768" s="3868"/>
      <c r="G2768" s="896"/>
      <c r="H2768" s="2690"/>
      <c r="I2768" s="896"/>
      <c r="J2768" s="2851"/>
      <c r="K2768" s="896"/>
      <c r="L2768" s="2796"/>
      <c r="M2768" s="3335"/>
      <c r="N2768" s="2768"/>
    </row>
    <row r="2769" spans="1:16" ht="12.75" hidden="1" customHeight="1" x14ac:dyDescent="0.25">
      <c r="B2769" s="441"/>
      <c r="C2769" s="2475"/>
      <c r="D2769" s="2769"/>
      <c r="E2769" s="3341"/>
      <c r="F2769" s="3872"/>
      <c r="G2769" s="2769"/>
      <c r="H2769" s="2752"/>
      <c r="I2769" s="2769"/>
      <c r="J2769" s="2913"/>
      <c r="K2769" s="2769"/>
      <c r="L2769" s="3343"/>
      <c r="M2769" s="3342"/>
      <c r="N2769" s="2768"/>
    </row>
    <row r="2770" spans="1:16" ht="18" hidden="1" customHeight="1" x14ac:dyDescent="0.25">
      <c r="B2770" s="440"/>
      <c r="C2770" s="2471" t="s">
        <v>7747</v>
      </c>
      <c r="D2770" s="2744">
        <f>SUM(D2771+D2774+D2779)</f>
        <v>11600000000</v>
      </c>
      <c r="E2770" s="2717">
        <f>D2770/D2560*100</f>
        <v>9.798132952251283</v>
      </c>
      <c r="F2770" s="3850"/>
      <c r="G2770" s="3181"/>
      <c r="H2770" s="3196"/>
      <c r="I2770" s="3181"/>
      <c r="J2770" s="2910"/>
      <c r="K2770" s="2910"/>
      <c r="L2770" s="3200"/>
      <c r="M2770" s="3387"/>
      <c r="N2770" s="2768"/>
    </row>
    <row r="2771" spans="1:16" ht="17.25" hidden="1" customHeight="1" x14ac:dyDescent="0.25">
      <c r="B2771" s="441"/>
      <c r="C2771" s="2521" t="s">
        <v>7748</v>
      </c>
      <c r="D2771" s="3188">
        <f>D2772</f>
        <v>2100000000</v>
      </c>
      <c r="E2771" s="2772">
        <f>D2771/D2560*100</f>
        <v>1.7737999310110082</v>
      </c>
      <c r="F2771" s="3910"/>
      <c r="G2771" s="3178"/>
      <c r="H2771" s="3388"/>
      <c r="I2771" s="3178"/>
      <c r="J2771" s="3389"/>
      <c r="K2771" s="3389"/>
      <c r="L2771" s="2695"/>
      <c r="M2771" s="3376"/>
      <c r="N2771" s="2768"/>
    </row>
    <row r="2772" spans="1:16" ht="17.25" hidden="1" customHeight="1" x14ac:dyDescent="0.25">
      <c r="B2772" s="441"/>
      <c r="C2772" s="2473" t="s">
        <v>7749</v>
      </c>
      <c r="D2772" s="896">
        <v>2100000000</v>
      </c>
      <c r="E2772" s="2688">
        <f>D2772/D2560*100</f>
        <v>1.7737999310110082</v>
      </c>
      <c r="F2772" s="3868"/>
      <c r="G2772" s="3161"/>
      <c r="H2772" s="3162"/>
      <c r="I2772" s="3161"/>
      <c r="J2772" s="2851"/>
      <c r="K2772" s="3333"/>
      <c r="L2772" s="2690"/>
      <c r="M2772" s="2757"/>
      <c r="N2772" s="2768"/>
    </row>
    <row r="2773" spans="1:16" ht="10.5" hidden="1" customHeight="1" x14ac:dyDescent="0.25">
      <c r="B2773" s="441"/>
      <c r="C2773" s="2476"/>
      <c r="D2773" s="2709"/>
      <c r="E2773" s="2688"/>
      <c r="F2773" s="4430"/>
      <c r="G2773" s="3174"/>
      <c r="H2773" s="3182"/>
      <c r="I2773" s="3174"/>
      <c r="J2773" s="2871"/>
      <c r="K2773" s="4518"/>
      <c r="L2773" s="2710"/>
      <c r="M2773" s="2742"/>
      <c r="N2773" s="2768"/>
    </row>
    <row r="2774" spans="1:16" s="32" customFormat="1" ht="17.25" hidden="1" customHeight="1" x14ac:dyDescent="0.25">
      <c r="A2774" s="1"/>
      <c r="B2774" s="441"/>
      <c r="C2774" s="2477" t="s">
        <v>7750</v>
      </c>
      <c r="D2774" s="2767">
        <f>SUM(D2775:D2777)</f>
        <v>3500000000</v>
      </c>
      <c r="E2774" s="2693">
        <f>D2774/D2560*100</f>
        <v>2.9563332183516802</v>
      </c>
      <c r="F2774" s="3849"/>
      <c r="G2774" s="3167"/>
      <c r="H2774" s="3183"/>
      <c r="I2774" s="3167"/>
      <c r="J2774" s="2882"/>
      <c r="K2774" s="3375"/>
      <c r="L2774" s="2821"/>
      <c r="M2774" s="3001"/>
      <c r="N2774" s="2837"/>
      <c r="P2774" s="630"/>
    </row>
    <row r="2775" spans="1:16" ht="17.25" hidden="1" customHeight="1" x14ac:dyDescent="0.25">
      <c r="B2775" s="441"/>
      <c r="C2775" s="2476" t="s">
        <v>7751</v>
      </c>
      <c r="D2775" s="2709">
        <v>2789350000</v>
      </c>
      <c r="E2775" s="2688">
        <f>D2775/D2560*100</f>
        <v>2.3560708750312167</v>
      </c>
      <c r="F2775" s="4430"/>
      <c r="G2775" s="3174"/>
      <c r="H2775" s="3182"/>
      <c r="I2775" s="3174"/>
      <c r="J2775" s="2871"/>
      <c r="K2775" s="4518"/>
      <c r="L2775" s="2710"/>
      <c r="M2775" s="2742"/>
      <c r="N2775" s="2768"/>
    </row>
    <row r="2776" spans="1:16" ht="17.25" hidden="1" customHeight="1" x14ac:dyDescent="0.25">
      <c r="B2776" s="441"/>
      <c r="C2776" s="2476" t="s">
        <v>7752</v>
      </c>
      <c r="D2776" s="2709">
        <v>515850000</v>
      </c>
      <c r="E2776" s="2688">
        <f>D2776/D2560*100</f>
        <v>0.43572128305334695</v>
      </c>
      <c r="F2776" s="4430"/>
      <c r="G2776" s="3174"/>
      <c r="H2776" s="3182"/>
      <c r="I2776" s="3174"/>
      <c r="J2776" s="2871"/>
      <c r="K2776" s="4518"/>
      <c r="L2776" s="2710"/>
      <c r="M2776" s="2742"/>
      <c r="N2776" s="2768"/>
    </row>
    <row r="2777" spans="1:16" ht="17.25" hidden="1" customHeight="1" x14ac:dyDescent="0.25">
      <c r="B2777" s="441"/>
      <c r="C2777" s="2476" t="s">
        <v>7753</v>
      </c>
      <c r="D2777" s="2709">
        <v>194800000</v>
      </c>
      <c r="E2777" s="2688">
        <f>D2777/D2560*100</f>
        <v>0.16454106026711635</v>
      </c>
      <c r="F2777" s="4430"/>
      <c r="G2777" s="3174"/>
      <c r="H2777" s="3182"/>
      <c r="I2777" s="3174"/>
      <c r="J2777" s="2871"/>
      <c r="K2777" s="4518"/>
      <c r="L2777" s="2710"/>
      <c r="M2777" s="2742"/>
      <c r="N2777" s="2768"/>
    </row>
    <row r="2778" spans="1:16" ht="12.75" hidden="1" customHeight="1" x14ac:dyDescent="0.25">
      <c r="B2778" s="441"/>
      <c r="C2778" s="2476"/>
      <c r="D2778" s="2709"/>
      <c r="E2778" s="2707"/>
      <c r="F2778" s="4430"/>
      <c r="G2778" s="3174"/>
      <c r="H2778" s="3182"/>
      <c r="I2778" s="3174"/>
      <c r="J2778" s="2871"/>
      <c r="K2778" s="4518"/>
      <c r="L2778" s="2710"/>
      <c r="M2778" s="2742"/>
      <c r="N2778" s="2768"/>
    </row>
    <row r="2779" spans="1:16" s="32" customFormat="1" ht="17.25" hidden="1" customHeight="1" x14ac:dyDescent="0.25">
      <c r="A2779" s="1"/>
      <c r="B2779" s="441"/>
      <c r="C2779" s="2477" t="s">
        <v>7754</v>
      </c>
      <c r="D2779" s="2767">
        <f>SUM(D2780:D2783)</f>
        <v>6000000000</v>
      </c>
      <c r="E2779" s="2693">
        <f>D2779/D2560*100</f>
        <v>5.0679998028885942</v>
      </c>
      <c r="F2779" s="3849"/>
      <c r="G2779" s="3167"/>
      <c r="H2779" s="3183"/>
      <c r="I2779" s="3167"/>
      <c r="J2779" s="2882"/>
      <c r="K2779" s="3375"/>
      <c r="L2779" s="2821"/>
      <c r="M2779" s="3001"/>
      <c r="N2779" s="2837"/>
      <c r="P2779" s="630"/>
    </row>
    <row r="2780" spans="1:16" ht="17.25" hidden="1" customHeight="1" x14ac:dyDescent="0.25">
      <c r="B2780" s="441"/>
      <c r="C2780" s="2476" t="s">
        <v>7755</v>
      </c>
      <c r="D2780" s="2709">
        <v>1100000000</v>
      </c>
      <c r="E2780" s="2688">
        <f>D2780/D2560*100</f>
        <v>0.92913329719624227</v>
      </c>
      <c r="F2780" s="4430"/>
      <c r="G2780" s="3174"/>
      <c r="H2780" s="3182"/>
      <c r="I2780" s="3174"/>
      <c r="J2780" s="2871"/>
      <c r="K2780" s="4518"/>
      <c r="L2780" s="2710"/>
      <c r="M2780" s="2742"/>
      <c r="N2780" s="2768"/>
    </row>
    <row r="2781" spans="1:16" ht="17.25" hidden="1" customHeight="1" x14ac:dyDescent="0.25">
      <c r="B2781" s="441"/>
      <c r="C2781" s="2476" t="s">
        <v>7756</v>
      </c>
      <c r="D2781" s="2709">
        <v>2500000000</v>
      </c>
      <c r="E2781" s="2688">
        <f>D2781/D2560*100</f>
        <v>2.1116665845369145</v>
      </c>
      <c r="F2781" s="4430"/>
      <c r="G2781" s="3174"/>
      <c r="H2781" s="3182"/>
      <c r="I2781" s="3174"/>
      <c r="J2781" s="2871"/>
      <c r="K2781" s="4518"/>
      <c r="L2781" s="2710"/>
      <c r="M2781" s="2742"/>
      <c r="N2781" s="2768"/>
    </row>
    <row r="2782" spans="1:16" ht="17.25" hidden="1" customHeight="1" x14ac:dyDescent="0.25">
      <c r="B2782" s="441"/>
      <c r="C2782" s="2476" t="s">
        <v>7757</v>
      </c>
      <c r="D2782" s="2709">
        <v>1200000000</v>
      </c>
      <c r="E2782" s="2688">
        <f>D2782/D2560*100</f>
        <v>1.0135999605777188</v>
      </c>
      <c r="F2782" s="4430"/>
      <c r="G2782" s="3174"/>
      <c r="H2782" s="3182"/>
      <c r="I2782" s="3174"/>
      <c r="J2782" s="2871"/>
      <c r="K2782" s="4518"/>
      <c r="L2782" s="2710"/>
      <c r="M2782" s="2742"/>
      <c r="N2782" s="2768"/>
    </row>
    <row r="2783" spans="1:16" ht="17.25" hidden="1" customHeight="1" x14ac:dyDescent="0.25">
      <c r="B2783" s="441"/>
      <c r="C2783" s="2476" t="s">
        <v>7758</v>
      </c>
      <c r="D2783" s="2709">
        <v>1200000000</v>
      </c>
      <c r="E2783" s="2688">
        <f>D2783/D2560*100</f>
        <v>1.0135999605777188</v>
      </c>
      <c r="F2783" s="4430"/>
      <c r="G2783" s="3174"/>
      <c r="H2783" s="3182"/>
      <c r="I2783" s="3174"/>
      <c r="J2783" s="2871"/>
      <c r="K2783" s="4518"/>
      <c r="L2783" s="2710"/>
      <c r="M2783" s="2742"/>
      <c r="N2783" s="2768"/>
    </row>
    <row r="2784" spans="1:16" ht="17.25" hidden="1" customHeight="1" x14ac:dyDescent="0.25">
      <c r="B2784" s="441"/>
      <c r="C2784" s="2476"/>
      <c r="D2784" s="2709"/>
      <c r="E2784" s="2707"/>
      <c r="F2784" s="4430"/>
      <c r="G2784" s="3174"/>
      <c r="H2784" s="3182"/>
      <c r="I2784" s="3174"/>
      <c r="J2784" s="2871"/>
      <c r="K2784" s="4518"/>
      <c r="L2784" s="2710"/>
      <c r="M2784" s="2742"/>
      <c r="N2784" s="2768"/>
    </row>
    <row r="2785" spans="1:16" s="32" customFormat="1" ht="17.25" hidden="1" customHeight="1" x14ac:dyDescent="0.25">
      <c r="A2785" s="1"/>
      <c r="B2785" s="440"/>
      <c r="C2785" s="2471" t="s">
        <v>7759</v>
      </c>
      <c r="D2785" s="2744">
        <f>SUM(D2786+D2789)</f>
        <v>200000000</v>
      </c>
      <c r="E2785" s="2717">
        <f>D2785/D2560*100</f>
        <v>0.16893332676295314</v>
      </c>
      <c r="F2785" s="3850"/>
      <c r="G2785" s="3181"/>
      <c r="H2785" s="3196"/>
      <c r="I2785" s="3181"/>
      <c r="J2785" s="2910"/>
      <c r="K2785" s="4531"/>
      <c r="L2785" s="2672"/>
      <c r="M2785" s="2987"/>
      <c r="N2785" s="2837"/>
      <c r="P2785" s="630"/>
    </row>
    <row r="2786" spans="1:16" s="32" customFormat="1" ht="20.25" hidden="1" customHeight="1" x14ac:dyDescent="0.25">
      <c r="A2786" s="1"/>
      <c r="B2786" s="441"/>
      <c r="C2786" s="2478" t="s">
        <v>2423</v>
      </c>
      <c r="D2786" s="2751">
        <f>D2787</f>
        <v>50000000</v>
      </c>
      <c r="E2786" s="2772">
        <f>D2786/D2560*100</f>
        <v>4.2233331690738285E-2</v>
      </c>
      <c r="F2786" s="3851"/>
      <c r="G2786" s="3193"/>
      <c r="H2786" s="3197"/>
      <c r="I2786" s="3193"/>
      <c r="J2786" s="2889"/>
      <c r="K2786" s="4530"/>
      <c r="L2786" s="2785"/>
      <c r="M2786" s="3009"/>
      <c r="N2786" s="2837"/>
      <c r="P2786" s="630"/>
    </row>
    <row r="2787" spans="1:16" ht="17.25" hidden="1" customHeight="1" x14ac:dyDescent="0.25">
      <c r="B2787" s="441"/>
      <c r="C2787" s="2476" t="s">
        <v>7760</v>
      </c>
      <c r="D2787" s="2709">
        <v>50000000</v>
      </c>
      <c r="E2787" s="2688">
        <f>D2787/D2560*100</f>
        <v>4.2233331690738285E-2</v>
      </c>
      <c r="F2787" s="4430"/>
      <c r="G2787" s="3174"/>
      <c r="H2787" s="3182"/>
      <c r="I2787" s="3174"/>
      <c r="J2787" s="2871"/>
      <c r="K2787" s="4518"/>
      <c r="L2787" s="2710"/>
      <c r="M2787" s="2742"/>
      <c r="N2787" s="2768"/>
    </row>
    <row r="2788" spans="1:16" ht="13.5" hidden="1" customHeight="1" x14ac:dyDescent="0.25">
      <c r="B2788" s="441"/>
      <c r="C2788" s="2476"/>
      <c r="D2788" s="2709"/>
      <c r="E2788" s="2688"/>
      <c r="F2788" s="4430"/>
      <c r="G2788" s="3174"/>
      <c r="H2788" s="3182"/>
      <c r="I2788" s="3174"/>
      <c r="J2788" s="2871"/>
      <c r="K2788" s="4518"/>
      <c r="L2788" s="2710"/>
      <c r="M2788" s="2742"/>
      <c r="N2788" s="2768"/>
    </row>
    <row r="2789" spans="1:16" s="32" customFormat="1" ht="17.25" hidden="1" customHeight="1" x14ac:dyDescent="0.25">
      <c r="A2789" s="1"/>
      <c r="B2789" s="441"/>
      <c r="C2789" s="2477" t="s">
        <v>7761</v>
      </c>
      <c r="D2789" s="2767">
        <f>D2790</f>
        <v>150000000</v>
      </c>
      <c r="E2789" s="2693">
        <f>D2789/D2560*100</f>
        <v>0.12669999507221485</v>
      </c>
      <c r="F2789" s="3849"/>
      <c r="G2789" s="3167"/>
      <c r="H2789" s="3183"/>
      <c r="I2789" s="3167"/>
      <c r="J2789" s="2882"/>
      <c r="K2789" s="3375"/>
      <c r="L2789" s="2821"/>
      <c r="M2789" s="3001"/>
      <c r="N2789" s="2837"/>
      <c r="P2789" s="630"/>
    </row>
    <row r="2790" spans="1:16" ht="17.25" hidden="1" customHeight="1" x14ac:dyDescent="0.25">
      <c r="B2790" s="441"/>
      <c r="C2790" s="2476" t="s">
        <v>7762</v>
      </c>
      <c r="D2790" s="2709">
        <v>150000000</v>
      </c>
      <c r="E2790" s="2688">
        <f>D2790/D2560*100</f>
        <v>0.12669999507221485</v>
      </c>
      <c r="F2790" s="4430"/>
      <c r="G2790" s="3174"/>
      <c r="H2790" s="3182"/>
      <c r="I2790" s="3174"/>
      <c r="J2790" s="2871"/>
      <c r="K2790" s="4518"/>
      <c r="L2790" s="2710"/>
      <c r="M2790" s="2742"/>
      <c r="N2790" s="2768"/>
    </row>
    <row r="2791" spans="1:16" ht="17.25" hidden="1" customHeight="1" x14ac:dyDescent="0.25">
      <c r="B2791" s="441"/>
      <c r="C2791" s="2476"/>
      <c r="D2791" s="2709"/>
      <c r="E2791" s="2707"/>
      <c r="F2791" s="4430"/>
      <c r="G2791" s="3174"/>
      <c r="H2791" s="3182"/>
      <c r="I2791" s="3174"/>
      <c r="J2791" s="2871"/>
      <c r="K2791" s="4518"/>
      <c r="L2791" s="2710"/>
      <c r="M2791" s="2742"/>
      <c r="N2791" s="2768"/>
    </row>
    <row r="2792" spans="1:16" s="32" customFormat="1" ht="17.25" hidden="1" customHeight="1" x14ac:dyDescent="0.25">
      <c r="A2792" s="1"/>
      <c r="B2792" s="440"/>
      <c r="C2792" s="2471" t="s">
        <v>7763</v>
      </c>
      <c r="D2792" s="2744">
        <f>SUM(D2793+D2796+D2799)</f>
        <v>260000000</v>
      </c>
      <c r="E2792" s="2717">
        <f>D2792/D2560*100</f>
        <v>0.21961332479183909</v>
      </c>
      <c r="F2792" s="3871"/>
      <c r="G2792" s="3202"/>
      <c r="H2792" s="4532"/>
      <c r="I2792" s="3202"/>
      <c r="J2792" s="4533"/>
      <c r="K2792" s="4534"/>
      <c r="L2792" s="2727"/>
      <c r="M2792" s="3083"/>
      <c r="N2792" s="2837"/>
      <c r="P2792" s="630"/>
    </row>
    <row r="2793" spans="1:16" s="32" customFormat="1" ht="17.25" hidden="1" customHeight="1" x14ac:dyDescent="0.25">
      <c r="A2793" s="1"/>
      <c r="B2793" s="441"/>
      <c r="C2793" s="2478" t="s">
        <v>7764</v>
      </c>
      <c r="D2793" s="2751">
        <f>D2794</f>
        <v>50000000</v>
      </c>
      <c r="E2793" s="2772">
        <f>D2793/D2560*100</f>
        <v>4.2233331690738285E-2</v>
      </c>
      <c r="F2793" s="3851"/>
      <c r="G2793" s="3193"/>
      <c r="H2793" s="3197"/>
      <c r="I2793" s="3193"/>
      <c r="J2793" s="2889"/>
      <c r="K2793" s="4530"/>
      <c r="L2793" s="2785"/>
      <c r="M2793" s="3009"/>
      <c r="N2793" s="2837"/>
      <c r="P2793" s="630"/>
    </row>
    <row r="2794" spans="1:16" ht="17.25" hidden="1" customHeight="1" x14ac:dyDescent="0.25">
      <c r="B2794" s="441"/>
      <c r="C2794" s="2476" t="s">
        <v>7765</v>
      </c>
      <c r="D2794" s="2709">
        <v>50000000</v>
      </c>
      <c r="E2794" s="2688">
        <f>D2794/D2560*100</f>
        <v>4.2233331690738285E-2</v>
      </c>
      <c r="F2794" s="4430"/>
      <c r="G2794" s="3174"/>
      <c r="H2794" s="3182"/>
      <c r="I2794" s="3174"/>
      <c r="J2794" s="2871"/>
      <c r="K2794" s="4518"/>
      <c r="L2794" s="2710"/>
      <c r="M2794" s="2742"/>
      <c r="N2794" s="2768"/>
    </row>
    <row r="2795" spans="1:16" ht="13.5" hidden="1" customHeight="1" x14ac:dyDescent="0.25">
      <c r="B2795" s="441"/>
      <c r="C2795" s="2476"/>
      <c r="D2795" s="2709"/>
      <c r="E2795" s="2688"/>
      <c r="F2795" s="4430"/>
      <c r="G2795" s="3174"/>
      <c r="H2795" s="3182"/>
      <c r="I2795" s="3174"/>
      <c r="J2795" s="2871"/>
      <c r="K2795" s="4518"/>
      <c r="L2795" s="2710"/>
      <c r="M2795" s="2742"/>
      <c r="N2795" s="2768"/>
    </row>
    <row r="2796" spans="1:16" s="32" customFormat="1" ht="17.25" hidden="1" customHeight="1" x14ac:dyDescent="0.25">
      <c r="A2796" s="1"/>
      <c r="B2796" s="441"/>
      <c r="C2796" s="2477" t="s">
        <v>7766</v>
      </c>
      <c r="D2796" s="2767">
        <f>D2797</f>
        <v>150000000</v>
      </c>
      <c r="E2796" s="2693">
        <f>D2796/D2560*100</f>
        <v>0.12669999507221485</v>
      </c>
      <c r="F2796" s="3849"/>
      <c r="G2796" s="3167"/>
      <c r="H2796" s="3183"/>
      <c r="I2796" s="3167"/>
      <c r="J2796" s="2882"/>
      <c r="K2796" s="3375"/>
      <c r="L2796" s="2821"/>
      <c r="M2796" s="3001"/>
      <c r="N2796" s="2837"/>
      <c r="P2796" s="630"/>
    </row>
    <row r="2797" spans="1:16" ht="17.25" hidden="1" customHeight="1" x14ac:dyDescent="0.25">
      <c r="B2797" s="441"/>
      <c r="C2797" s="2476" t="s">
        <v>7767</v>
      </c>
      <c r="D2797" s="2709">
        <v>150000000</v>
      </c>
      <c r="E2797" s="2688">
        <f>D2797/D2560*100</f>
        <v>0.12669999507221485</v>
      </c>
      <c r="F2797" s="4430"/>
      <c r="G2797" s="3174"/>
      <c r="H2797" s="3182"/>
      <c r="I2797" s="3174"/>
      <c r="J2797" s="2871"/>
      <c r="K2797" s="4518"/>
      <c r="L2797" s="2710"/>
      <c r="M2797" s="2742"/>
      <c r="N2797" s="2768"/>
    </row>
    <row r="2798" spans="1:16" ht="12.75" hidden="1" customHeight="1" x14ac:dyDescent="0.25">
      <c r="B2798" s="441"/>
      <c r="C2798" s="2476"/>
      <c r="D2798" s="2709"/>
      <c r="E2798" s="2688"/>
      <c r="F2798" s="4430"/>
      <c r="G2798" s="3174"/>
      <c r="H2798" s="3182"/>
      <c r="I2798" s="3174"/>
      <c r="J2798" s="2871"/>
      <c r="K2798" s="4518"/>
      <c r="L2798" s="2710"/>
      <c r="M2798" s="2742"/>
      <c r="N2798" s="2768"/>
    </row>
    <row r="2799" spans="1:16" s="32" customFormat="1" ht="17.25" hidden="1" customHeight="1" x14ac:dyDescent="0.25">
      <c r="A2799" s="1"/>
      <c r="B2799" s="441"/>
      <c r="C2799" s="2477" t="s">
        <v>7768</v>
      </c>
      <c r="D2799" s="2767">
        <f>D2800</f>
        <v>60000000</v>
      </c>
      <c r="E2799" s="2693">
        <f>D2799/D2560*100</f>
        <v>5.0679998028885946E-2</v>
      </c>
      <c r="F2799" s="3849"/>
      <c r="G2799" s="3167"/>
      <c r="H2799" s="3183"/>
      <c r="I2799" s="3167"/>
      <c r="J2799" s="2882"/>
      <c r="K2799" s="3375"/>
      <c r="L2799" s="2821"/>
      <c r="M2799" s="3001"/>
      <c r="N2799" s="2837"/>
      <c r="P2799" s="630"/>
    </row>
    <row r="2800" spans="1:16" ht="17.25" hidden="1" customHeight="1" x14ac:dyDescent="0.25">
      <c r="B2800" s="441"/>
      <c r="C2800" s="2476" t="s">
        <v>7769</v>
      </c>
      <c r="D2800" s="2709">
        <v>60000000</v>
      </c>
      <c r="E2800" s="2688">
        <f>D2800/D2560*100</f>
        <v>5.0679998028885946E-2</v>
      </c>
      <c r="F2800" s="4430"/>
      <c r="G2800" s="3174"/>
      <c r="H2800" s="3182"/>
      <c r="I2800" s="3174"/>
      <c r="J2800" s="2871"/>
      <c r="K2800" s="4518"/>
      <c r="L2800" s="2710"/>
      <c r="M2800" s="2742"/>
      <c r="N2800" s="2768"/>
    </row>
    <row r="2801" spans="1:16" ht="17.25" hidden="1" customHeight="1" x14ac:dyDescent="0.25">
      <c r="B2801" s="441"/>
      <c r="C2801" s="2476"/>
      <c r="D2801" s="2709"/>
      <c r="E2801" s="2707"/>
      <c r="F2801" s="4430"/>
      <c r="G2801" s="3174"/>
      <c r="H2801" s="3182"/>
      <c r="I2801" s="3174"/>
      <c r="J2801" s="2871"/>
      <c r="K2801" s="4518"/>
      <c r="L2801" s="2710"/>
      <c r="M2801" s="2742"/>
      <c r="N2801" s="2768"/>
    </row>
    <row r="2802" spans="1:16" s="32" customFormat="1" ht="17.25" hidden="1" customHeight="1" x14ac:dyDescent="0.25">
      <c r="A2802" s="1"/>
      <c r="B2802" s="440"/>
      <c r="C2802" s="2471" t="s">
        <v>7770</v>
      </c>
      <c r="D2802" s="2744">
        <f>SUM(D2803+D2806)</f>
        <v>200000000</v>
      </c>
      <c r="E2802" s="2717">
        <f>D2802/D2560*100</f>
        <v>0.16893332676295314</v>
      </c>
      <c r="F2802" s="3850"/>
      <c r="G2802" s="3181"/>
      <c r="H2802" s="3196"/>
      <c r="I2802" s="3181"/>
      <c r="J2802" s="2910"/>
      <c r="K2802" s="4531"/>
      <c r="L2802" s="2672"/>
      <c r="M2802" s="2987"/>
      <c r="N2802" s="2837"/>
      <c r="P2802" s="630"/>
    </row>
    <row r="2803" spans="1:16" s="32" customFormat="1" ht="21" hidden="1" customHeight="1" x14ac:dyDescent="0.25">
      <c r="A2803" s="1"/>
      <c r="B2803" s="441"/>
      <c r="C2803" s="2478" t="s">
        <v>6405</v>
      </c>
      <c r="D2803" s="2751">
        <f>D2804</f>
        <v>50000000</v>
      </c>
      <c r="E2803" s="2772">
        <f>D2803/D2560*100</f>
        <v>4.2233331690738285E-2</v>
      </c>
      <c r="F2803" s="3851"/>
      <c r="G2803" s="3193"/>
      <c r="H2803" s="3197"/>
      <c r="I2803" s="3193"/>
      <c r="J2803" s="2889"/>
      <c r="K2803" s="4530"/>
      <c r="L2803" s="2785"/>
      <c r="M2803" s="3009"/>
      <c r="N2803" s="2837"/>
      <c r="P2803" s="630"/>
    </row>
    <row r="2804" spans="1:16" ht="17.25" hidden="1" customHeight="1" x14ac:dyDescent="0.25">
      <c r="B2804" s="441"/>
      <c r="C2804" s="2476" t="s">
        <v>7771</v>
      </c>
      <c r="D2804" s="2709">
        <v>50000000</v>
      </c>
      <c r="E2804" s="2688">
        <f>D2804/D2560*100</f>
        <v>4.2233331690738285E-2</v>
      </c>
      <c r="F2804" s="4430"/>
      <c r="G2804" s="3174"/>
      <c r="H2804" s="3182"/>
      <c r="I2804" s="3174"/>
      <c r="J2804" s="2871"/>
      <c r="K2804" s="4518"/>
      <c r="L2804" s="2710"/>
      <c r="M2804" s="2742"/>
      <c r="N2804" s="2768"/>
    </row>
    <row r="2805" spans="1:16" ht="11.25" hidden="1" customHeight="1" x14ac:dyDescent="0.25">
      <c r="B2805" s="441"/>
      <c r="C2805" s="2476"/>
      <c r="D2805" s="2709"/>
      <c r="E2805" s="2688"/>
      <c r="F2805" s="4430"/>
      <c r="G2805" s="3174"/>
      <c r="H2805" s="3182"/>
      <c r="I2805" s="3174"/>
      <c r="J2805" s="2871"/>
      <c r="K2805" s="4518"/>
      <c r="L2805" s="2710"/>
      <c r="M2805" s="2742"/>
      <c r="N2805" s="2768"/>
    </row>
    <row r="2806" spans="1:16" s="32" customFormat="1" ht="18" hidden="1" customHeight="1" x14ac:dyDescent="0.25">
      <c r="A2806" s="1"/>
      <c r="B2806" s="441"/>
      <c r="C2806" s="2477" t="s">
        <v>7772</v>
      </c>
      <c r="D2806" s="2767">
        <f>D2807</f>
        <v>150000000</v>
      </c>
      <c r="E2806" s="2693">
        <f>D2806/D2560*100</f>
        <v>0.12669999507221485</v>
      </c>
      <c r="F2806" s="3849"/>
      <c r="G2806" s="3167"/>
      <c r="H2806" s="3183"/>
      <c r="I2806" s="3167"/>
      <c r="J2806" s="2882"/>
      <c r="K2806" s="3375"/>
      <c r="L2806" s="2821"/>
      <c r="M2806" s="3001"/>
      <c r="N2806" s="2837"/>
      <c r="P2806" s="630"/>
    </row>
    <row r="2807" spans="1:16" ht="17.25" hidden="1" customHeight="1" x14ac:dyDescent="0.25">
      <c r="B2807" s="441"/>
      <c r="C2807" s="2476" t="s">
        <v>7773</v>
      </c>
      <c r="D2807" s="2709">
        <v>150000000</v>
      </c>
      <c r="E2807" s="2688">
        <f>D2807/D2560*100</f>
        <v>0.12669999507221485</v>
      </c>
      <c r="F2807" s="4430"/>
      <c r="G2807" s="3174"/>
      <c r="H2807" s="3182"/>
      <c r="I2807" s="3174"/>
      <c r="J2807" s="2871"/>
      <c r="K2807" s="4518"/>
      <c r="L2807" s="2710"/>
      <c r="M2807" s="2742"/>
      <c r="N2807" s="2768"/>
    </row>
    <row r="2808" spans="1:16" ht="17.25" hidden="1" customHeight="1" x14ac:dyDescent="0.25">
      <c r="B2808" s="441"/>
      <c r="C2808" s="2476"/>
      <c r="D2808" s="2709"/>
      <c r="E2808" s="2707"/>
      <c r="F2808" s="4430"/>
      <c r="G2808" s="3174"/>
      <c r="H2808" s="3182"/>
      <c r="I2808" s="3174"/>
      <c r="J2808" s="2871"/>
      <c r="K2808" s="4518"/>
      <c r="L2808" s="2710"/>
      <c r="M2808" s="2742"/>
      <c r="N2808" s="2768"/>
    </row>
    <row r="2809" spans="1:16" s="32" customFormat="1" ht="18" hidden="1" customHeight="1" x14ac:dyDescent="0.25">
      <c r="A2809" s="1"/>
      <c r="B2809" s="440"/>
      <c r="C2809" s="2471" t="s">
        <v>7774</v>
      </c>
      <c r="D2809" s="2744">
        <f>SUM(D2810+D2813)</f>
        <v>210000000</v>
      </c>
      <c r="E2809" s="2717">
        <f>D2809/D2560*100</f>
        <v>0.17737999310110081</v>
      </c>
      <c r="F2809" s="3850"/>
      <c r="G2809" s="3181"/>
      <c r="H2809" s="3196"/>
      <c r="I2809" s="3181"/>
      <c r="J2809" s="2910"/>
      <c r="K2809" s="4531"/>
      <c r="L2809" s="2672"/>
      <c r="M2809" s="2987"/>
      <c r="N2809" s="2837"/>
      <c r="P2809" s="630"/>
    </row>
    <row r="2810" spans="1:16" s="32" customFormat="1" ht="17.25" hidden="1" customHeight="1" x14ac:dyDescent="0.25">
      <c r="A2810" s="1"/>
      <c r="B2810" s="441"/>
      <c r="C2810" s="2478" t="s">
        <v>7775</v>
      </c>
      <c r="D2810" s="2751">
        <f>D2811</f>
        <v>150000000</v>
      </c>
      <c r="E2810" s="2772">
        <f>D2810/D2560*100</f>
        <v>0.12669999507221485</v>
      </c>
      <c r="F2810" s="3851"/>
      <c r="G2810" s="3193"/>
      <c r="H2810" s="3197"/>
      <c r="I2810" s="3193"/>
      <c r="J2810" s="2889"/>
      <c r="K2810" s="4530"/>
      <c r="L2810" s="2785"/>
      <c r="M2810" s="3009"/>
      <c r="N2810" s="2837"/>
      <c r="P2810" s="630"/>
    </row>
    <row r="2811" spans="1:16" ht="17.25" hidden="1" customHeight="1" x14ac:dyDescent="0.25">
      <c r="B2811" s="441"/>
      <c r="C2811" s="2476" t="s">
        <v>7776</v>
      </c>
      <c r="D2811" s="2709">
        <v>150000000</v>
      </c>
      <c r="E2811" s="2688">
        <f>D2811/D2560*100</f>
        <v>0.12669999507221485</v>
      </c>
      <c r="F2811" s="4430"/>
      <c r="G2811" s="3174"/>
      <c r="H2811" s="3182"/>
      <c r="I2811" s="3174"/>
      <c r="J2811" s="2871"/>
      <c r="K2811" s="4518"/>
      <c r="L2811" s="2710"/>
      <c r="M2811" s="2742"/>
      <c r="N2811" s="2768"/>
    </row>
    <row r="2812" spans="1:16" ht="13.5" hidden="1" customHeight="1" x14ac:dyDescent="0.25">
      <c r="B2812" s="441"/>
      <c r="C2812" s="2476"/>
      <c r="D2812" s="2709"/>
      <c r="E2812" s="2688"/>
      <c r="F2812" s="4430"/>
      <c r="G2812" s="3174"/>
      <c r="H2812" s="3182"/>
      <c r="I2812" s="3174"/>
      <c r="J2812" s="2871"/>
      <c r="K2812" s="4518"/>
      <c r="L2812" s="2710"/>
      <c r="M2812" s="2742"/>
      <c r="N2812" s="2768"/>
    </row>
    <row r="2813" spans="1:16" s="32" customFormat="1" ht="17.25" hidden="1" customHeight="1" x14ac:dyDescent="0.25">
      <c r="A2813" s="1"/>
      <c r="B2813" s="441"/>
      <c r="C2813" s="2477" t="s">
        <v>7777</v>
      </c>
      <c r="D2813" s="2767">
        <f>D2814</f>
        <v>60000000</v>
      </c>
      <c r="E2813" s="2693">
        <f>D2813/D2560*100</f>
        <v>5.0679998028885946E-2</v>
      </c>
      <c r="F2813" s="3849"/>
      <c r="G2813" s="3167"/>
      <c r="H2813" s="3183"/>
      <c r="I2813" s="3167"/>
      <c r="J2813" s="2882"/>
      <c r="K2813" s="3375"/>
      <c r="L2813" s="2821"/>
      <c r="M2813" s="3001"/>
      <c r="N2813" s="2837"/>
      <c r="P2813" s="630"/>
    </row>
    <row r="2814" spans="1:16" ht="17.25" hidden="1" customHeight="1" x14ac:dyDescent="0.25">
      <c r="B2814" s="441"/>
      <c r="C2814" s="2476" t="s">
        <v>7778</v>
      </c>
      <c r="D2814" s="2709">
        <v>60000000</v>
      </c>
      <c r="E2814" s="2688">
        <f>D2814/D2560*100</f>
        <v>5.0679998028885946E-2</v>
      </c>
      <c r="F2814" s="4430"/>
      <c r="G2814" s="3174"/>
      <c r="H2814" s="3182"/>
      <c r="I2814" s="3174"/>
      <c r="J2814" s="2871"/>
      <c r="K2814" s="4518"/>
      <c r="L2814" s="2710"/>
      <c r="M2814" s="2742"/>
      <c r="N2814" s="2768"/>
    </row>
    <row r="2815" spans="1:16" ht="17.25" hidden="1" customHeight="1" x14ac:dyDescent="0.25">
      <c r="B2815" s="441"/>
      <c r="C2815" s="2476"/>
      <c r="D2815" s="2709"/>
      <c r="E2815" s="2707"/>
      <c r="F2815" s="4430"/>
      <c r="G2815" s="3174"/>
      <c r="H2815" s="3182"/>
      <c r="I2815" s="3174"/>
      <c r="J2815" s="2871"/>
      <c r="K2815" s="4518"/>
      <c r="L2815" s="2710"/>
      <c r="M2815" s="2742"/>
      <c r="N2815" s="2768"/>
    </row>
    <row r="2816" spans="1:16" s="32" customFormat="1" ht="17.25" hidden="1" customHeight="1" x14ac:dyDescent="0.25">
      <c r="A2816" s="1"/>
      <c r="B2816" s="440"/>
      <c r="C2816" s="2471" t="s">
        <v>7779</v>
      </c>
      <c r="D2816" s="2744">
        <v>150000000</v>
      </c>
      <c r="E2816" s="2717">
        <f>D2816/D2560*100</f>
        <v>0.12669999507221485</v>
      </c>
      <c r="F2816" s="3850"/>
      <c r="G2816" s="3181"/>
      <c r="H2816" s="3196"/>
      <c r="I2816" s="3181"/>
      <c r="J2816" s="2910"/>
      <c r="K2816" s="4531"/>
      <c r="L2816" s="2672"/>
      <c r="M2816" s="2987"/>
      <c r="N2816" s="2837"/>
      <c r="P2816" s="630"/>
    </row>
    <row r="2817" spans="1:16" s="32" customFormat="1" ht="17.25" hidden="1" customHeight="1" x14ac:dyDescent="0.25">
      <c r="A2817" s="1"/>
      <c r="B2817" s="441"/>
      <c r="C2817" s="2478" t="s">
        <v>7780</v>
      </c>
      <c r="D2817" s="2751">
        <v>150000000</v>
      </c>
      <c r="E2817" s="2772">
        <f>D2817/D2560*100</f>
        <v>0.12669999507221485</v>
      </c>
      <c r="F2817" s="3851"/>
      <c r="G2817" s="3193"/>
      <c r="H2817" s="3197"/>
      <c r="I2817" s="3193"/>
      <c r="J2817" s="2889"/>
      <c r="K2817" s="4530"/>
      <c r="L2817" s="2785"/>
      <c r="M2817" s="3009"/>
      <c r="N2817" s="2837"/>
      <c r="P2817" s="630"/>
    </row>
    <row r="2818" spans="1:16" ht="17.25" hidden="1" customHeight="1" x14ac:dyDescent="0.25">
      <c r="B2818" s="441"/>
      <c r="C2818" s="2476" t="s">
        <v>7781</v>
      </c>
      <c r="D2818" s="2709">
        <v>150000000</v>
      </c>
      <c r="E2818" s="2688">
        <f>D2818/D2560*100</f>
        <v>0.12669999507221485</v>
      </c>
      <c r="F2818" s="4430"/>
      <c r="G2818" s="3174"/>
      <c r="H2818" s="3182"/>
      <c r="I2818" s="3174"/>
      <c r="J2818" s="2871"/>
      <c r="K2818" s="4518"/>
      <c r="L2818" s="2710"/>
      <c r="M2818" s="2742"/>
      <c r="N2818" s="2768"/>
    </row>
    <row r="2819" spans="1:16" ht="17.25" hidden="1" customHeight="1" x14ac:dyDescent="0.25">
      <c r="B2819" s="441"/>
      <c r="C2819" s="2476"/>
      <c r="D2819" s="2709"/>
      <c r="E2819" s="2707"/>
      <c r="F2819" s="4430"/>
      <c r="G2819" s="3174"/>
      <c r="H2819" s="3182"/>
      <c r="I2819" s="3174"/>
      <c r="J2819" s="2871"/>
      <c r="K2819" s="4518"/>
      <c r="L2819" s="2710"/>
      <c r="M2819" s="2742"/>
      <c r="N2819" s="2768"/>
    </row>
    <row r="2820" spans="1:16" s="32" customFormat="1" ht="17.25" hidden="1" customHeight="1" x14ac:dyDescent="0.25">
      <c r="A2820" s="1"/>
      <c r="B2820" s="440"/>
      <c r="C2820" s="2471" t="s">
        <v>7782</v>
      </c>
      <c r="D2820" s="2744">
        <f>SUM(D2821+D2824)</f>
        <v>210000000</v>
      </c>
      <c r="E2820" s="2717">
        <f>D2820/D2560*100</f>
        <v>0.17737999310110081</v>
      </c>
      <c r="F2820" s="3850"/>
      <c r="G2820" s="3181"/>
      <c r="H2820" s="3196"/>
      <c r="I2820" s="3181"/>
      <c r="J2820" s="2910"/>
      <c r="K2820" s="4531"/>
      <c r="L2820" s="2672"/>
      <c r="M2820" s="2987"/>
      <c r="N2820" s="2837"/>
      <c r="P2820" s="630"/>
    </row>
    <row r="2821" spans="1:16" s="32" customFormat="1" ht="17.25" hidden="1" customHeight="1" x14ac:dyDescent="0.25">
      <c r="A2821" s="1"/>
      <c r="B2821" s="441"/>
      <c r="C2821" s="2478" t="s">
        <v>7783</v>
      </c>
      <c r="D2821" s="2751">
        <f>D2822</f>
        <v>150000000</v>
      </c>
      <c r="E2821" s="2772">
        <f>D2821/D2560*100</f>
        <v>0.12669999507221485</v>
      </c>
      <c r="F2821" s="3851"/>
      <c r="G2821" s="3193"/>
      <c r="H2821" s="3197"/>
      <c r="I2821" s="3193"/>
      <c r="J2821" s="2889"/>
      <c r="K2821" s="4530"/>
      <c r="L2821" s="2785"/>
      <c r="M2821" s="3009"/>
      <c r="N2821" s="2837"/>
      <c r="P2821" s="630"/>
    </row>
    <row r="2822" spans="1:16" ht="17.25" hidden="1" customHeight="1" x14ac:dyDescent="0.25">
      <c r="B2822" s="441"/>
      <c r="C2822" s="2476" t="s">
        <v>7784</v>
      </c>
      <c r="D2822" s="2709">
        <v>150000000</v>
      </c>
      <c r="E2822" s="2688">
        <f>D2822/D2560*100</f>
        <v>0.12669999507221485</v>
      </c>
      <c r="F2822" s="4430"/>
      <c r="G2822" s="3174"/>
      <c r="H2822" s="3182"/>
      <c r="I2822" s="3174"/>
      <c r="J2822" s="2871"/>
      <c r="K2822" s="4518"/>
      <c r="L2822" s="2710"/>
      <c r="M2822" s="2742"/>
      <c r="N2822" s="2768"/>
    </row>
    <row r="2823" spans="1:16" ht="12.75" hidden="1" customHeight="1" x14ac:dyDescent="0.25">
      <c r="B2823" s="441"/>
      <c r="C2823" s="2476"/>
      <c r="D2823" s="2709"/>
      <c r="E2823" s="2688"/>
      <c r="F2823" s="4430"/>
      <c r="G2823" s="3174"/>
      <c r="H2823" s="3182"/>
      <c r="I2823" s="3174"/>
      <c r="J2823" s="2871"/>
      <c r="K2823" s="4518"/>
      <c r="L2823" s="2710"/>
      <c r="M2823" s="2742"/>
      <c r="N2823" s="2768"/>
    </row>
    <row r="2824" spans="1:16" s="32" customFormat="1" ht="17.25" hidden="1" customHeight="1" x14ac:dyDescent="0.25">
      <c r="A2824" s="1"/>
      <c r="B2824" s="441"/>
      <c r="C2824" s="2477" t="s">
        <v>7785</v>
      </c>
      <c r="D2824" s="2767">
        <f>D2825</f>
        <v>60000000</v>
      </c>
      <c r="E2824" s="2693">
        <f>D2824/D2560*100</f>
        <v>5.0679998028885946E-2</v>
      </c>
      <c r="F2824" s="3849"/>
      <c r="G2824" s="3167"/>
      <c r="H2824" s="3183"/>
      <c r="I2824" s="3167"/>
      <c r="J2824" s="2882"/>
      <c r="K2824" s="3375"/>
      <c r="L2824" s="2821"/>
      <c r="M2824" s="3001"/>
      <c r="N2824" s="2837"/>
      <c r="P2824" s="630"/>
    </row>
    <row r="2825" spans="1:16" ht="21.75" hidden="1" customHeight="1" x14ac:dyDescent="0.25">
      <c r="B2825" s="441"/>
      <c r="C2825" s="2476" t="s">
        <v>7786</v>
      </c>
      <c r="D2825" s="2709">
        <v>60000000</v>
      </c>
      <c r="E2825" s="2688">
        <f>D2825/D2560*100</f>
        <v>5.0679998028885946E-2</v>
      </c>
      <c r="F2825" s="4430"/>
      <c r="G2825" s="3174"/>
      <c r="H2825" s="3182"/>
      <c r="I2825" s="3174"/>
      <c r="J2825" s="2871"/>
      <c r="K2825" s="4518"/>
      <c r="L2825" s="2710"/>
      <c r="M2825" s="2742"/>
      <c r="N2825" s="2768"/>
    </row>
    <row r="2826" spans="1:16" ht="17.25" hidden="1" customHeight="1" x14ac:dyDescent="0.25">
      <c r="B2826" s="441"/>
      <c r="C2826" s="2476"/>
      <c r="D2826" s="2709"/>
      <c r="E2826" s="2707"/>
      <c r="F2826" s="4430"/>
      <c r="G2826" s="3174"/>
      <c r="H2826" s="3182"/>
      <c r="I2826" s="3174"/>
      <c r="J2826" s="2871"/>
      <c r="K2826" s="4518"/>
      <c r="L2826" s="2710"/>
      <c r="M2826" s="2742"/>
      <c r="N2826" s="2768"/>
    </row>
    <row r="2827" spans="1:16" s="32" customFormat="1" ht="17.25" hidden="1" customHeight="1" x14ac:dyDescent="0.25">
      <c r="A2827" s="1"/>
      <c r="B2827" s="440"/>
      <c r="C2827" s="2471" t="s">
        <v>7787</v>
      </c>
      <c r="D2827" s="2744">
        <f>SUM(D2828+D2831+D2834)</f>
        <v>250000000</v>
      </c>
      <c r="E2827" s="2717">
        <f>D2827/D2560*100</f>
        <v>0.21116665845369145</v>
      </c>
      <c r="F2827" s="3850"/>
      <c r="G2827" s="3181"/>
      <c r="H2827" s="3196"/>
      <c r="I2827" s="3181"/>
      <c r="J2827" s="2910"/>
      <c r="K2827" s="4531"/>
      <c r="L2827" s="2672"/>
      <c r="M2827" s="2987"/>
      <c r="N2827" s="2837"/>
      <c r="P2827" s="630"/>
    </row>
    <row r="2828" spans="1:16" s="32" customFormat="1" ht="17.25" hidden="1" customHeight="1" x14ac:dyDescent="0.25">
      <c r="A2828" s="1"/>
      <c r="B2828" s="441"/>
      <c r="C2828" s="2478" t="s">
        <v>7788</v>
      </c>
      <c r="D2828" s="2751">
        <f>D2829</f>
        <v>50000000</v>
      </c>
      <c r="E2828" s="2772">
        <f>D2828/D2560*100</f>
        <v>4.2233331690738285E-2</v>
      </c>
      <c r="F2828" s="3851"/>
      <c r="G2828" s="3193"/>
      <c r="H2828" s="3197"/>
      <c r="I2828" s="3193"/>
      <c r="J2828" s="2889"/>
      <c r="K2828" s="4530"/>
      <c r="L2828" s="2785"/>
      <c r="M2828" s="3009"/>
      <c r="N2828" s="2837"/>
      <c r="P2828" s="630"/>
    </row>
    <row r="2829" spans="1:16" ht="17.25" hidden="1" customHeight="1" x14ac:dyDescent="0.25">
      <c r="B2829" s="441"/>
      <c r="C2829" s="2476" t="s">
        <v>7789</v>
      </c>
      <c r="D2829" s="2709">
        <v>50000000</v>
      </c>
      <c r="E2829" s="2688">
        <f>D2829/D2560*100</f>
        <v>4.2233331690738285E-2</v>
      </c>
      <c r="F2829" s="4430"/>
      <c r="G2829" s="3174"/>
      <c r="H2829" s="3182"/>
      <c r="I2829" s="3174"/>
      <c r="J2829" s="2871"/>
      <c r="K2829" s="4518"/>
      <c r="L2829" s="2710"/>
      <c r="M2829" s="2742"/>
      <c r="N2829" s="2768"/>
    </row>
    <row r="2830" spans="1:16" ht="10.5" hidden="1" customHeight="1" x14ac:dyDescent="0.25">
      <c r="B2830" s="441"/>
      <c r="C2830" s="2476"/>
      <c r="D2830" s="2709"/>
      <c r="E2830" s="2688"/>
      <c r="F2830" s="4430"/>
      <c r="G2830" s="3174"/>
      <c r="H2830" s="3182"/>
      <c r="I2830" s="3174"/>
      <c r="J2830" s="2871"/>
      <c r="K2830" s="4518"/>
      <c r="L2830" s="2710"/>
      <c r="M2830" s="2742"/>
      <c r="N2830" s="2768"/>
    </row>
    <row r="2831" spans="1:16" s="32" customFormat="1" ht="17.25" hidden="1" customHeight="1" x14ac:dyDescent="0.25">
      <c r="A2831" s="1"/>
      <c r="B2831" s="441"/>
      <c r="C2831" s="2477" t="s">
        <v>7790</v>
      </c>
      <c r="D2831" s="2767">
        <f>D2832</f>
        <v>100000000</v>
      </c>
      <c r="E2831" s="2693">
        <f>D2831/D2560*100</f>
        <v>8.446666338147657E-2</v>
      </c>
      <c r="F2831" s="3849"/>
      <c r="G2831" s="3167"/>
      <c r="H2831" s="3183"/>
      <c r="I2831" s="3167"/>
      <c r="J2831" s="2882"/>
      <c r="K2831" s="3375"/>
      <c r="L2831" s="2821"/>
      <c r="M2831" s="3001"/>
      <c r="N2831" s="2837"/>
      <c r="P2831" s="630"/>
    </row>
    <row r="2832" spans="1:16" ht="17.25" hidden="1" customHeight="1" x14ac:dyDescent="0.25">
      <c r="B2832" s="441"/>
      <c r="C2832" s="2476" t="s">
        <v>7791</v>
      </c>
      <c r="D2832" s="2709">
        <v>100000000</v>
      </c>
      <c r="E2832" s="2688">
        <f>D2832/D2560*100</f>
        <v>8.446666338147657E-2</v>
      </c>
      <c r="F2832" s="4430"/>
      <c r="G2832" s="3174"/>
      <c r="H2832" s="3182"/>
      <c r="I2832" s="3174"/>
      <c r="J2832" s="2871"/>
      <c r="K2832" s="4518"/>
      <c r="L2832" s="2710"/>
      <c r="M2832" s="2742"/>
      <c r="N2832" s="2768"/>
    </row>
    <row r="2833" spans="1:16" ht="11.25" hidden="1" customHeight="1" x14ac:dyDescent="0.25">
      <c r="B2833" s="441"/>
      <c r="C2833" s="2476"/>
      <c r="D2833" s="2709"/>
      <c r="E2833" s="2688"/>
      <c r="F2833" s="4430"/>
      <c r="G2833" s="3174"/>
      <c r="H2833" s="3182"/>
      <c r="I2833" s="3174"/>
      <c r="J2833" s="2871"/>
      <c r="K2833" s="4518"/>
      <c r="L2833" s="2710"/>
      <c r="M2833" s="2742"/>
      <c r="N2833" s="2768"/>
    </row>
    <row r="2834" spans="1:16" s="32" customFormat="1" ht="17.25" hidden="1" customHeight="1" x14ac:dyDescent="0.25">
      <c r="A2834" s="1"/>
      <c r="B2834" s="441"/>
      <c r="C2834" s="2477" t="s">
        <v>7792</v>
      </c>
      <c r="D2834" s="2767">
        <f>D2835</f>
        <v>100000000</v>
      </c>
      <c r="E2834" s="2693">
        <f>D2834/D2560*100</f>
        <v>8.446666338147657E-2</v>
      </c>
      <c r="F2834" s="3849"/>
      <c r="G2834" s="3167"/>
      <c r="H2834" s="3183"/>
      <c r="I2834" s="3167"/>
      <c r="J2834" s="2882"/>
      <c r="K2834" s="3375"/>
      <c r="L2834" s="2821"/>
      <c r="M2834" s="3001"/>
      <c r="N2834" s="2837"/>
      <c r="P2834" s="630"/>
    </row>
    <row r="2835" spans="1:16" ht="17.25" hidden="1" customHeight="1" x14ac:dyDescent="0.25">
      <c r="B2835" s="441"/>
      <c r="C2835" s="2476" t="s">
        <v>7793</v>
      </c>
      <c r="D2835" s="2709">
        <v>100000000</v>
      </c>
      <c r="E2835" s="2688">
        <f>D2835/D2560*100</f>
        <v>8.446666338147657E-2</v>
      </c>
      <c r="F2835" s="4430"/>
      <c r="G2835" s="3174"/>
      <c r="H2835" s="3182"/>
      <c r="I2835" s="3174"/>
      <c r="J2835" s="2871"/>
      <c r="K2835" s="4518"/>
      <c r="L2835" s="2710"/>
      <c r="M2835" s="2742"/>
      <c r="N2835" s="2768"/>
    </row>
    <row r="2836" spans="1:16" ht="17.25" hidden="1" customHeight="1" x14ac:dyDescent="0.25">
      <c r="B2836" s="441"/>
      <c r="C2836" s="2476"/>
      <c r="D2836" s="2709"/>
      <c r="E2836" s="2707"/>
      <c r="F2836" s="4430"/>
      <c r="G2836" s="3174"/>
      <c r="H2836" s="3182"/>
      <c r="I2836" s="3174"/>
      <c r="J2836" s="2871"/>
      <c r="K2836" s="4518"/>
      <c r="L2836" s="2710"/>
      <c r="M2836" s="2742"/>
      <c r="N2836" s="2768"/>
    </row>
    <row r="2837" spans="1:16" s="32" customFormat="1" ht="17.25" hidden="1" customHeight="1" x14ac:dyDescent="0.25">
      <c r="A2837" s="1"/>
      <c r="B2837" s="440"/>
      <c r="C2837" s="2471" t="s">
        <v>7794</v>
      </c>
      <c r="D2837" s="2744">
        <f>SUM(D2838+D2841+D2844)</f>
        <v>300000000</v>
      </c>
      <c r="E2837" s="2717">
        <f>D2837/D2560*100</f>
        <v>0.25339999014442971</v>
      </c>
      <c r="F2837" s="3850"/>
      <c r="G2837" s="3181"/>
      <c r="H2837" s="3196"/>
      <c r="I2837" s="3181"/>
      <c r="J2837" s="2910"/>
      <c r="K2837" s="4531"/>
      <c r="L2837" s="2672"/>
      <c r="M2837" s="2987"/>
      <c r="N2837" s="2837"/>
      <c r="P2837" s="630"/>
    </row>
    <row r="2838" spans="1:16" s="32" customFormat="1" ht="17.25" hidden="1" customHeight="1" x14ac:dyDescent="0.25">
      <c r="A2838" s="1"/>
      <c r="B2838" s="441"/>
      <c r="C2838" s="2478" t="s">
        <v>7795</v>
      </c>
      <c r="D2838" s="2751">
        <f>D2839</f>
        <v>100000000</v>
      </c>
      <c r="E2838" s="2772">
        <f>D2838/D2560*100</f>
        <v>8.446666338147657E-2</v>
      </c>
      <c r="F2838" s="3851"/>
      <c r="G2838" s="3193"/>
      <c r="H2838" s="3197"/>
      <c r="I2838" s="3193"/>
      <c r="J2838" s="2889"/>
      <c r="K2838" s="4530"/>
      <c r="L2838" s="2785"/>
      <c r="M2838" s="3009"/>
      <c r="N2838" s="2837"/>
      <c r="P2838" s="630"/>
    </row>
    <row r="2839" spans="1:16" ht="17.25" hidden="1" customHeight="1" x14ac:dyDescent="0.25">
      <c r="B2839" s="441"/>
      <c r="C2839" s="2476" t="s">
        <v>7796</v>
      </c>
      <c r="D2839" s="2709">
        <v>100000000</v>
      </c>
      <c r="E2839" s="2688">
        <f>D2839/D2560*100</f>
        <v>8.446666338147657E-2</v>
      </c>
      <c r="F2839" s="4430"/>
      <c r="G2839" s="3174"/>
      <c r="H2839" s="3182"/>
      <c r="I2839" s="3174"/>
      <c r="J2839" s="2871"/>
      <c r="K2839" s="4518"/>
      <c r="L2839" s="2710"/>
      <c r="M2839" s="2742"/>
      <c r="N2839" s="2768"/>
    </row>
    <row r="2840" spans="1:16" ht="10.5" hidden="1" customHeight="1" x14ac:dyDescent="0.25">
      <c r="B2840" s="441"/>
      <c r="C2840" s="2476"/>
      <c r="D2840" s="2709"/>
      <c r="E2840" s="2688"/>
      <c r="F2840" s="4430"/>
      <c r="G2840" s="3174"/>
      <c r="H2840" s="3182"/>
      <c r="I2840" s="3174"/>
      <c r="J2840" s="2871"/>
      <c r="K2840" s="4518"/>
      <c r="L2840" s="2710"/>
      <c r="M2840" s="2742"/>
      <c r="N2840" s="2768"/>
    </row>
    <row r="2841" spans="1:16" s="32" customFormat="1" ht="17.25" hidden="1" customHeight="1" x14ac:dyDescent="0.25">
      <c r="A2841" s="1"/>
      <c r="B2841" s="441"/>
      <c r="C2841" s="2477" t="s">
        <v>7797</v>
      </c>
      <c r="D2841" s="2767">
        <f>D2842</f>
        <v>50000000</v>
      </c>
      <c r="E2841" s="2693">
        <f>D2841/D2560*100</f>
        <v>4.2233331690738285E-2</v>
      </c>
      <c r="F2841" s="3849"/>
      <c r="G2841" s="3167"/>
      <c r="H2841" s="3183"/>
      <c r="I2841" s="3167"/>
      <c r="J2841" s="2882"/>
      <c r="K2841" s="3375"/>
      <c r="L2841" s="2821"/>
      <c r="M2841" s="3001"/>
      <c r="N2841" s="2837"/>
      <c r="P2841" s="630"/>
    </row>
    <row r="2842" spans="1:16" ht="17.25" hidden="1" customHeight="1" x14ac:dyDescent="0.25">
      <c r="B2842" s="441"/>
      <c r="C2842" s="2476" t="s">
        <v>7798</v>
      </c>
      <c r="D2842" s="2709">
        <v>50000000</v>
      </c>
      <c r="E2842" s="2688">
        <f>D2842/D2560*100</f>
        <v>4.2233331690738285E-2</v>
      </c>
      <c r="F2842" s="4430"/>
      <c r="G2842" s="3174"/>
      <c r="H2842" s="3182"/>
      <c r="I2842" s="3174"/>
      <c r="J2842" s="2871"/>
      <c r="K2842" s="4518"/>
      <c r="L2842" s="2710"/>
      <c r="M2842" s="2742"/>
      <c r="N2842" s="2768"/>
    </row>
    <row r="2843" spans="1:16" ht="11.25" hidden="1" customHeight="1" x14ac:dyDescent="0.25">
      <c r="B2843" s="441"/>
      <c r="C2843" s="2476"/>
      <c r="D2843" s="2709"/>
      <c r="E2843" s="2688"/>
      <c r="F2843" s="4430"/>
      <c r="G2843" s="3174"/>
      <c r="H2843" s="3182"/>
      <c r="I2843" s="3174"/>
      <c r="J2843" s="2871"/>
      <c r="K2843" s="4518"/>
      <c r="L2843" s="2710"/>
      <c r="M2843" s="2742"/>
      <c r="N2843" s="2768"/>
    </row>
    <row r="2844" spans="1:16" s="32" customFormat="1" ht="17.25" hidden="1" customHeight="1" x14ac:dyDescent="0.25">
      <c r="A2844" s="1"/>
      <c r="B2844" s="441"/>
      <c r="C2844" s="2477" t="s">
        <v>7799</v>
      </c>
      <c r="D2844" s="2767">
        <f>D2845</f>
        <v>150000000</v>
      </c>
      <c r="E2844" s="2693">
        <f>D2844/D2560*100</f>
        <v>0.12669999507221485</v>
      </c>
      <c r="F2844" s="3849"/>
      <c r="G2844" s="3167"/>
      <c r="H2844" s="3183"/>
      <c r="I2844" s="3167"/>
      <c r="J2844" s="2882"/>
      <c r="K2844" s="3375"/>
      <c r="L2844" s="2821"/>
      <c r="M2844" s="3001"/>
      <c r="N2844" s="2837"/>
      <c r="P2844" s="630"/>
    </row>
    <row r="2845" spans="1:16" ht="17.25" hidden="1" customHeight="1" x14ac:dyDescent="0.25">
      <c r="B2845" s="441"/>
      <c r="C2845" s="2476" t="s">
        <v>7800</v>
      </c>
      <c r="D2845" s="2709">
        <v>150000000</v>
      </c>
      <c r="E2845" s="2688">
        <f>D2845/D2560*100</f>
        <v>0.12669999507221485</v>
      </c>
      <c r="F2845" s="4430"/>
      <c r="G2845" s="3174"/>
      <c r="H2845" s="3182"/>
      <c r="I2845" s="3174"/>
      <c r="J2845" s="2871"/>
      <c r="K2845" s="4518"/>
      <c r="L2845" s="2710"/>
      <c r="M2845" s="2742"/>
      <c r="N2845" s="2768"/>
    </row>
    <row r="2846" spans="1:16" ht="17.25" hidden="1" customHeight="1" x14ac:dyDescent="0.25">
      <c r="B2846" s="441"/>
      <c r="C2846" s="2476"/>
      <c r="D2846" s="2709"/>
      <c r="E2846" s="2707"/>
      <c r="F2846" s="4430"/>
      <c r="G2846" s="3174"/>
      <c r="H2846" s="3182"/>
      <c r="I2846" s="3174"/>
      <c r="J2846" s="2871"/>
      <c r="K2846" s="4518"/>
      <c r="L2846" s="2710"/>
      <c r="M2846" s="2742"/>
      <c r="N2846" s="2768"/>
    </row>
    <row r="2847" spans="1:16" s="32" customFormat="1" ht="17.25" hidden="1" customHeight="1" x14ac:dyDescent="0.25">
      <c r="A2847" s="1"/>
      <c r="B2847" s="440"/>
      <c r="C2847" s="2471" t="s">
        <v>7801</v>
      </c>
      <c r="D2847" s="2744">
        <f>SUM(D2848+D2851)</f>
        <v>210000000</v>
      </c>
      <c r="E2847" s="2717">
        <f>D2847/D2560*100</f>
        <v>0.17737999310110081</v>
      </c>
      <c r="F2847" s="3850"/>
      <c r="G2847" s="3181"/>
      <c r="H2847" s="3196"/>
      <c r="I2847" s="3181"/>
      <c r="J2847" s="2910"/>
      <c r="K2847" s="4531"/>
      <c r="L2847" s="2672"/>
      <c r="M2847" s="2987"/>
      <c r="N2847" s="2837"/>
      <c r="P2847" s="630"/>
    </row>
    <row r="2848" spans="1:16" s="32" customFormat="1" ht="17.25" hidden="1" customHeight="1" x14ac:dyDescent="0.25">
      <c r="A2848" s="1"/>
      <c r="B2848" s="441"/>
      <c r="C2848" s="2478" t="s">
        <v>7802</v>
      </c>
      <c r="D2848" s="2751">
        <f>D2849</f>
        <v>150000000</v>
      </c>
      <c r="E2848" s="2772">
        <f>D2848/D2560*100</f>
        <v>0.12669999507221485</v>
      </c>
      <c r="F2848" s="3851"/>
      <c r="G2848" s="3193"/>
      <c r="H2848" s="3197"/>
      <c r="I2848" s="3193"/>
      <c r="J2848" s="2889"/>
      <c r="K2848" s="4530"/>
      <c r="L2848" s="2785"/>
      <c r="M2848" s="3009"/>
      <c r="N2848" s="2837"/>
      <c r="P2848" s="630"/>
    </row>
    <row r="2849" spans="1:16" ht="17.25" hidden="1" customHeight="1" x14ac:dyDescent="0.25">
      <c r="B2849" s="441"/>
      <c r="C2849" s="2476" t="s">
        <v>7803</v>
      </c>
      <c r="D2849" s="2709">
        <v>150000000</v>
      </c>
      <c r="E2849" s="2688">
        <f>D2849/D2560*100</f>
        <v>0.12669999507221485</v>
      </c>
      <c r="F2849" s="4430"/>
      <c r="G2849" s="3174"/>
      <c r="H2849" s="3182"/>
      <c r="I2849" s="3174"/>
      <c r="J2849" s="2871"/>
      <c r="K2849" s="4518"/>
      <c r="L2849" s="2710"/>
      <c r="M2849" s="2742"/>
      <c r="N2849" s="2768"/>
    </row>
    <row r="2850" spans="1:16" ht="9" hidden="1" customHeight="1" x14ac:dyDescent="0.25">
      <c r="B2850" s="441"/>
      <c r="C2850" s="2476"/>
      <c r="D2850" s="2709"/>
      <c r="E2850" s="2688"/>
      <c r="F2850" s="4430"/>
      <c r="G2850" s="3174"/>
      <c r="H2850" s="3182"/>
      <c r="I2850" s="3174"/>
      <c r="J2850" s="2871"/>
      <c r="K2850" s="4518"/>
      <c r="L2850" s="2710"/>
      <c r="M2850" s="2742"/>
      <c r="N2850" s="2768"/>
    </row>
    <row r="2851" spans="1:16" s="32" customFormat="1" ht="17.25" hidden="1" customHeight="1" x14ac:dyDescent="0.25">
      <c r="A2851" s="1"/>
      <c r="B2851" s="441"/>
      <c r="C2851" s="2477" t="s">
        <v>7804</v>
      </c>
      <c r="D2851" s="2767">
        <f>D2852</f>
        <v>60000000</v>
      </c>
      <c r="E2851" s="2693">
        <f>D2851/D2560*100</f>
        <v>5.0679998028885946E-2</v>
      </c>
      <c r="F2851" s="3849"/>
      <c r="G2851" s="3167"/>
      <c r="H2851" s="3183"/>
      <c r="I2851" s="3167"/>
      <c r="J2851" s="2882"/>
      <c r="K2851" s="3375"/>
      <c r="L2851" s="2821"/>
      <c r="M2851" s="3001"/>
      <c r="N2851" s="2837"/>
      <c r="P2851" s="630"/>
    </row>
    <row r="2852" spans="1:16" ht="17.25" hidden="1" customHeight="1" x14ac:dyDescent="0.25">
      <c r="B2852" s="441"/>
      <c r="C2852" s="2476" t="s">
        <v>7805</v>
      </c>
      <c r="D2852" s="2709">
        <v>60000000</v>
      </c>
      <c r="E2852" s="2688">
        <f>D2852/D2560*100</f>
        <v>5.0679998028885946E-2</v>
      </c>
      <c r="F2852" s="4430"/>
      <c r="G2852" s="3174"/>
      <c r="H2852" s="3182"/>
      <c r="I2852" s="3174"/>
      <c r="J2852" s="2871"/>
      <c r="K2852" s="4518"/>
      <c r="L2852" s="2710"/>
      <c r="M2852" s="2742"/>
      <c r="N2852" s="2768"/>
    </row>
    <row r="2853" spans="1:16" ht="17.25" hidden="1" customHeight="1" x14ac:dyDescent="0.25">
      <c r="B2853" s="441"/>
      <c r="C2853" s="2476"/>
      <c r="D2853" s="2709"/>
      <c r="E2853" s="2707"/>
      <c r="F2853" s="4430"/>
      <c r="G2853" s="3174"/>
      <c r="H2853" s="3182"/>
      <c r="I2853" s="3174"/>
      <c r="J2853" s="2871"/>
      <c r="K2853" s="4518"/>
      <c r="L2853" s="2710"/>
      <c r="M2853" s="2742"/>
      <c r="N2853" s="2768"/>
    </row>
    <row r="2854" spans="1:16" s="32" customFormat="1" ht="17.25" hidden="1" customHeight="1" x14ac:dyDescent="0.25">
      <c r="A2854" s="1"/>
      <c r="B2854" s="440"/>
      <c r="C2854" s="2471" t="s">
        <v>7806</v>
      </c>
      <c r="D2854" s="2744">
        <f>SUM(D2855+D2858)</f>
        <v>210000000</v>
      </c>
      <c r="E2854" s="2717">
        <f>D2854/D2560*100</f>
        <v>0.17737999310110081</v>
      </c>
      <c r="F2854" s="3850"/>
      <c r="G2854" s="3181"/>
      <c r="H2854" s="3196"/>
      <c r="I2854" s="3181"/>
      <c r="J2854" s="2910"/>
      <c r="K2854" s="4531"/>
      <c r="L2854" s="2672"/>
      <c r="M2854" s="2987"/>
      <c r="N2854" s="2837"/>
      <c r="P2854" s="630"/>
    </row>
    <row r="2855" spans="1:16" s="32" customFormat="1" ht="17.25" hidden="1" customHeight="1" x14ac:dyDescent="0.25">
      <c r="A2855" s="1"/>
      <c r="B2855" s="441"/>
      <c r="C2855" s="2478" t="s">
        <v>7807</v>
      </c>
      <c r="D2855" s="2751">
        <f>D2856</f>
        <v>150000000</v>
      </c>
      <c r="E2855" s="2772">
        <f>D2855/D2560*100</f>
        <v>0.12669999507221485</v>
      </c>
      <c r="F2855" s="3851"/>
      <c r="G2855" s="3193"/>
      <c r="H2855" s="3197"/>
      <c r="I2855" s="3193"/>
      <c r="J2855" s="2889"/>
      <c r="K2855" s="4530"/>
      <c r="L2855" s="2785"/>
      <c r="M2855" s="3009"/>
      <c r="N2855" s="2837"/>
      <c r="P2855" s="630"/>
    </row>
    <row r="2856" spans="1:16" ht="17.25" hidden="1" customHeight="1" x14ac:dyDescent="0.25">
      <c r="B2856" s="441"/>
      <c r="C2856" s="2476" t="s">
        <v>7808</v>
      </c>
      <c r="D2856" s="2709">
        <v>150000000</v>
      </c>
      <c r="E2856" s="2688">
        <f>D2856/D2560*100</f>
        <v>0.12669999507221485</v>
      </c>
      <c r="F2856" s="4430"/>
      <c r="G2856" s="3174"/>
      <c r="H2856" s="3182"/>
      <c r="I2856" s="3174"/>
      <c r="J2856" s="2871"/>
      <c r="K2856" s="4518"/>
      <c r="L2856" s="2710"/>
      <c r="M2856" s="2742"/>
      <c r="N2856" s="2768"/>
    </row>
    <row r="2857" spans="1:16" ht="9.75" hidden="1" customHeight="1" x14ac:dyDescent="0.25">
      <c r="B2857" s="441"/>
      <c r="C2857" s="2476"/>
      <c r="D2857" s="2709"/>
      <c r="E2857" s="2688"/>
      <c r="F2857" s="4430"/>
      <c r="G2857" s="3174"/>
      <c r="H2857" s="3182"/>
      <c r="I2857" s="3174"/>
      <c r="J2857" s="2871"/>
      <c r="K2857" s="4518"/>
      <c r="L2857" s="2710"/>
      <c r="M2857" s="2742"/>
      <c r="N2857" s="2768"/>
    </row>
    <row r="2858" spans="1:16" s="32" customFormat="1" ht="17.25" hidden="1" customHeight="1" x14ac:dyDescent="0.25">
      <c r="A2858" s="1"/>
      <c r="B2858" s="441"/>
      <c r="C2858" s="2477" t="s">
        <v>7809</v>
      </c>
      <c r="D2858" s="2767">
        <f>D2859</f>
        <v>60000000</v>
      </c>
      <c r="E2858" s="2693">
        <f>D2858/D2560*100</f>
        <v>5.0679998028885946E-2</v>
      </c>
      <c r="F2858" s="3849"/>
      <c r="G2858" s="3167"/>
      <c r="H2858" s="3183"/>
      <c r="I2858" s="3167"/>
      <c r="J2858" s="2882"/>
      <c r="K2858" s="3375"/>
      <c r="L2858" s="2821"/>
      <c r="M2858" s="3001"/>
      <c r="N2858" s="2837"/>
      <c r="P2858" s="630"/>
    </row>
    <row r="2859" spans="1:16" ht="17.25" hidden="1" customHeight="1" x14ac:dyDescent="0.25">
      <c r="B2859" s="441"/>
      <c r="C2859" s="2476" t="s">
        <v>7810</v>
      </c>
      <c r="D2859" s="2709">
        <v>60000000</v>
      </c>
      <c r="E2859" s="2688">
        <f>D2859/D2560*100</f>
        <v>5.0679998028885946E-2</v>
      </c>
      <c r="F2859" s="4430"/>
      <c r="G2859" s="3174"/>
      <c r="H2859" s="3182"/>
      <c r="I2859" s="3174"/>
      <c r="J2859" s="2871"/>
      <c r="K2859" s="4518"/>
      <c r="L2859" s="2710"/>
      <c r="M2859" s="2742"/>
      <c r="N2859" s="2768"/>
    </row>
    <row r="2860" spans="1:16" ht="14.25" hidden="1" customHeight="1" x14ac:dyDescent="0.25">
      <c r="B2860" s="441"/>
      <c r="C2860" s="2605"/>
      <c r="D2860" s="911"/>
      <c r="E2860" s="3352"/>
      <c r="F2860" s="3859"/>
      <c r="G2860" s="2716"/>
      <c r="H2860" s="2710"/>
      <c r="I2860" s="911"/>
      <c r="J2860" s="911"/>
      <c r="K2860" s="911"/>
      <c r="L2860" s="911"/>
      <c r="M2860" s="911"/>
      <c r="N2860" s="2768"/>
    </row>
    <row r="2861" spans="1:16" s="32" customFormat="1" ht="16.5" hidden="1" customHeight="1" x14ac:dyDescent="0.25">
      <c r="A2861" s="1"/>
      <c r="B2861" s="440"/>
      <c r="C2861" s="2606" t="s">
        <v>7811</v>
      </c>
      <c r="D2861" s="2744">
        <f>D2862</f>
        <v>8404195057</v>
      </c>
      <c r="E2861" s="2717">
        <f>D2861/D2560*100</f>
        <v>7.0987431487188832</v>
      </c>
      <c r="F2861" s="3863"/>
      <c r="G2861" s="3293"/>
      <c r="H2861" s="2727"/>
      <c r="I2861" s="2744"/>
      <c r="J2861" s="2744"/>
      <c r="K2861" s="2744"/>
      <c r="L2861" s="2744"/>
      <c r="M2861" s="2744"/>
      <c r="N2861" s="2837"/>
      <c r="P2861" s="630"/>
    </row>
    <row r="2862" spans="1:16" ht="19.5" hidden="1" customHeight="1" x14ac:dyDescent="0.25">
      <c r="B2862" s="441"/>
      <c r="C2862" s="2587" t="s">
        <v>7812</v>
      </c>
      <c r="D2862" s="2751">
        <f>SUM(D2863:D2865)</f>
        <v>8404195057</v>
      </c>
      <c r="E2862" s="2772">
        <f>D2862/D2560*100</f>
        <v>7.0987431487188832</v>
      </c>
      <c r="F2862" s="3860"/>
      <c r="G2862" s="2991"/>
      <c r="H2862" s="2752"/>
      <c r="I2862" s="2755"/>
      <c r="J2862" s="2755"/>
      <c r="K2862" s="2755"/>
      <c r="L2862" s="2755"/>
      <c r="M2862" s="2755"/>
      <c r="N2862" s="2768"/>
    </row>
    <row r="2863" spans="1:16" ht="17.25" hidden="1" customHeight="1" x14ac:dyDescent="0.25">
      <c r="B2863" s="441"/>
      <c r="C2863" s="2524" t="s">
        <v>7813</v>
      </c>
      <c r="D2863" s="896">
        <v>6657800000</v>
      </c>
      <c r="E2863" s="2688">
        <f>D2863/D2560*100</f>
        <v>5.6236215146119468</v>
      </c>
      <c r="F2863" s="3862"/>
      <c r="G2863" s="2704"/>
      <c r="H2863" s="2690"/>
      <c r="I2863" s="898"/>
      <c r="J2863" s="898"/>
      <c r="K2863" s="898"/>
      <c r="L2863" s="898"/>
      <c r="M2863" s="898"/>
      <c r="N2863" s="2768"/>
    </row>
    <row r="2864" spans="1:16" ht="17.25" hidden="1" customHeight="1" x14ac:dyDescent="0.25">
      <c r="B2864" s="441"/>
      <c r="C2864" s="2524" t="s">
        <v>7814</v>
      </c>
      <c r="D2864" s="896">
        <v>500000000</v>
      </c>
      <c r="E2864" s="2688">
        <f>D2864/D2560*100</f>
        <v>0.42233331690738291</v>
      </c>
      <c r="F2864" s="3862"/>
      <c r="G2864" s="2704"/>
      <c r="H2864" s="2690"/>
      <c r="I2864" s="898"/>
      <c r="J2864" s="898"/>
      <c r="K2864" s="898"/>
      <c r="L2864" s="898"/>
      <c r="M2864" s="898"/>
      <c r="N2864" s="2768"/>
    </row>
    <row r="2865" spans="2:18" ht="17.25" hidden="1" customHeight="1" x14ac:dyDescent="0.25">
      <c r="B2865" s="441"/>
      <c r="C2865" s="2524" t="s">
        <v>7815</v>
      </c>
      <c r="D2865" s="896">
        <f>1250000000-3604189-754</f>
        <v>1246395057</v>
      </c>
      <c r="E2865" s="2688">
        <f>D2865/D2560*100</f>
        <v>1.0527883171995531</v>
      </c>
      <c r="F2865" s="3862"/>
      <c r="G2865" s="2704"/>
      <c r="H2865" s="2690"/>
      <c r="I2865" s="898"/>
      <c r="J2865" s="898"/>
      <c r="K2865" s="898"/>
      <c r="L2865" s="898"/>
      <c r="M2865" s="898"/>
      <c r="N2865" s="2768"/>
    </row>
    <row r="2866" spans="2:18" ht="19.5" hidden="1" customHeight="1" thickBot="1" x14ac:dyDescent="0.3">
      <c r="B2866" s="441"/>
      <c r="C2866" s="2506"/>
      <c r="D2866" s="2724"/>
      <c r="E2866" s="2840"/>
      <c r="F2866" s="4380"/>
      <c r="G2866" s="2830"/>
      <c r="H2866" s="2830"/>
      <c r="I2866" s="2830"/>
      <c r="J2866" s="2755"/>
      <c r="K2866" s="2755"/>
      <c r="L2866" s="2755"/>
      <c r="M2866" s="2755"/>
      <c r="N2866" s="2768"/>
    </row>
    <row r="2867" spans="2:18" s="1" customFormat="1" ht="16.5" hidden="1" customHeight="1" thickBot="1" x14ac:dyDescent="0.3">
      <c r="B2867" s="3155"/>
      <c r="C2867" s="2562" t="s">
        <v>7002</v>
      </c>
      <c r="D2867" s="3156">
        <f>SUM(D2869+D2949+D2976+D2990+D3080+D3115+D3120+D3140+D3170+D3174+D3189+D3193+D3205+D3212+D3219+D3233+D3278+D3312+D3347+D3351)</f>
        <v>117124750000</v>
      </c>
      <c r="E2867" s="3157">
        <f>D2867/2512247400000*100</f>
        <v>4.6621503121070003</v>
      </c>
      <c r="F2867" s="4405"/>
      <c r="G2867" s="3213"/>
      <c r="H2867" s="3157"/>
      <c r="I2867" s="3156"/>
      <c r="J2867" s="3213"/>
      <c r="K2867" s="3213"/>
      <c r="L2867" s="3241"/>
      <c r="M2867" s="3156"/>
      <c r="N2867" s="2837"/>
      <c r="P2867" s="220" t="s">
        <v>4148</v>
      </c>
    </row>
    <row r="2868" spans="2:18" s="1" customFormat="1" ht="6.75" hidden="1" customHeight="1" x14ac:dyDescent="0.25">
      <c r="B2868" s="439"/>
      <c r="C2868" s="2503"/>
      <c r="D2868" s="2952"/>
      <c r="E2868" s="2955"/>
      <c r="F2868" s="3896"/>
      <c r="G2868" s="3242"/>
      <c r="H2868" s="2955"/>
      <c r="I2868" s="2952"/>
      <c r="J2868" s="3242"/>
      <c r="K2868" s="3242"/>
      <c r="L2868" s="3094"/>
      <c r="M2868" s="2952"/>
      <c r="N2868" s="2837"/>
      <c r="P2868" s="220"/>
    </row>
    <row r="2869" spans="2:18" ht="15.75" hidden="1" customHeight="1" x14ac:dyDescent="0.25">
      <c r="B2869" s="440"/>
      <c r="C2869" s="2575" t="s">
        <v>630</v>
      </c>
      <c r="D2869" s="2952">
        <f>SUM(D2870+D2877+D2898+D2905+D2923+D2928+D2941)</f>
        <v>29203691200</v>
      </c>
      <c r="E2869" s="3095">
        <f>D2869/D2867*100</f>
        <v>24.933834394523789</v>
      </c>
      <c r="F2869" s="4407"/>
      <c r="G2869" s="3095"/>
      <c r="H2869" s="3095"/>
      <c r="I2869" s="2959"/>
      <c r="J2869" s="3094"/>
      <c r="K2869" s="3094"/>
      <c r="L2869" s="2720"/>
      <c r="M2869" s="2744"/>
      <c r="N2869" s="2768"/>
      <c r="P2869" s="5080" t="s">
        <v>2101</v>
      </c>
      <c r="Q2869" s="5081"/>
      <c r="R2869" s="5081"/>
    </row>
    <row r="2870" spans="2:18" ht="17.25" hidden="1" customHeight="1" x14ac:dyDescent="0.25">
      <c r="B2870" s="441"/>
      <c r="C2870" s="2576" t="s">
        <v>1802</v>
      </c>
      <c r="D2870" s="899">
        <f>SUM(D2871:D2875)</f>
        <v>1200000000</v>
      </c>
      <c r="E2870" s="2693">
        <f>D2870/D2867*100</f>
        <v>1.0245486116299074</v>
      </c>
      <c r="F2870" s="3852"/>
      <c r="G2870" s="2679"/>
      <c r="H2870" s="2679"/>
      <c r="I2870" s="2679"/>
      <c r="J2870" s="2732"/>
      <c r="K2870" s="2732"/>
      <c r="L2870" s="2732"/>
      <c r="M2870" s="899"/>
      <c r="N2870" s="2768"/>
    </row>
    <row r="2871" spans="2:18" ht="14.25" hidden="1" customHeight="1" x14ac:dyDescent="0.25">
      <c r="B2871" s="441"/>
      <c r="C2871" s="2577" t="s">
        <v>5146</v>
      </c>
      <c r="D2871" s="896">
        <v>300000000</v>
      </c>
      <c r="E2871" s="2763">
        <f>D2871/D2867*100</f>
        <v>0.25613715290747685</v>
      </c>
      <c r="F2871" s="4449"/>
      <c r="G2871" s="2685"/>
      <c r="H2871" s="2685"/>
      <c r="I2871" s="2685"/>
      <c r="J2871" s="2686"/>
      <c r="K2871" s="2686"/>
      <c r="L2871" s="2690"/>
      <c r="M2871" s="3243"/>
      <c r="N2871" s="2768"/>
      <c r="P2871" s="655" t="s">
        <v>4149</v>
      </c>
      <c r="Q2871" s="656">
        <v>9500000000</v>
      </c>
    </row>
    <row r="2872" spans="2:18" ht="13.5" hidden="1" customHeight="1" x14ac:dyDescent="0.25">
      <c r="B2872" s="441"/>
      <c r="C2872" s="2577" t="s">
        <v>5147</v>
      </c>
      <c r="D2872" s="896">
        <v>400000000</v>
      </c>
      <c r="E2872" s="2763">
        <f>D2872/D2867*100</f>
        <v>0.34151620387663578</v>
      </c>
      <c r="F2872" s="3852"/>
      <c r="G2872" s="3244"/>
      <c r="H2872" s="2763"/>
      <c r="I2872" s="2755"/>
      <c r="J2872" s="896"/>
      <c r="K2872" s="2975"/>
      <c r="L2872" s="3243"/>
      <c r="M2872" s="3243"/>
      <c r="N2872" s="2768"/>
      <c r="P2872" s="617" t="s">
        <v>4150</v>
      </c>
      <c r="Q2872" s="35">
        <v>19320000000</v>
      </c>
    </row>
    <row r="2873" spans="2:18" ht="15.75" hidden="1" customHeight="1" x14ac:dyDescent="0.25">
      <c r="B2873" s="441"/>
      <c r="C2873" s="2577" t="s">
        <v>5148</v>
      </c>
      <c r="D2873" s="896">
        <v>150000000</v>
      </c>
      <c r="E2873" s="2763">
        <f>D2873/D2867*100</f>
        <v>0.12806857645373843</v>
      </c>
      <c r="F2873" s="3852"/>
      <c r="G2873" s="3245"/>
      <c r="H2873" s="2763"/>
      <c r="I2873" s="2755"/>
      <c r="J2873" s="896"/>
      <c r="K2873" s="2975"/>
      <c r="L2873" s="3243"/>
      <c r="M2873" s="3243"/>
      <c r="N2873" s="2768"/>
    </row>
    <row r="2874" spans="2:18" ht="15.75" hidden="1" customHeight="1" x14ac:dyDescent="0.25">
      <c r="B2874" s="441"/>
      <c r="C2874" s="2577" t="s">
        <v>5150</v>
      </c>
      <c r="D2874" s="896">
        <v>100000000</v>
      </c>
      <c r="E2874" s="2763">
        <f>D2874/D2867*100</f>
        <v>8.5379050969158946E-2</v>
      </c>
      <c r="F2874" s="3852"/>
      <c r="G2874" s="3245"/>
      <c r="H2874" s="2763"/>
      <c r="I2874" s="2755"/>
      <c r="J2874" s="896"/>
      <c r="K2874" s="2975"/>
      <c r="L2874" s="3243"/>
      <c r="M2874" s="3243"/>
      <c r="N2874" s="2768"/>
    </row>
    <row r="2875" spans="2:18" ht="18" hidden="1" customHeight="1" x14ac:dyDescent="0.25">
      <c r="B2875" s="441"/>
      <c r="C2875" s="2577" t="s">
        <v>5149</v>
      </c>
      <c r="D2875" s="896">
        <v>250000000</v>
      </c>
      <c r="E2875" s="2763">
        <f>D2875/D2867*100</f>
        <v>0.21344762742289738</v>
      </c>
      <c r="F2875" s="3852"/>
      <c r="G2875" s="3245"/>
      <c r="H2875" s="2763"/>
      <c r="I2875" s="2755"/>
      <c r="J2875" s="896"/>
      <c r="K2875" s="2975"/>
      <c r="L2875" s="3243"/>
      <c r="M2875" s="3243"/>
      <c r="N2875" s="2768"/>
    </row>
    <row r="2876" spans="2:18" ht="12" hidden="1" customHeight="1" x14ac:dyDescent="0.25">
      <c r="B2876" s="441"/>
      <c r="C2876" s="2577"/>
      <c r="D2876" s="898"/>
      <c r="E2876" s="2763"/>
      <c r="F2876" s="3852"/>
      <c r="G2876" s="3245"/>
      <c r="H2876" s="2763"/>
      <c r="I2876" s="2755"/>
      <c r="J2876" s="896"/>
      <c r="K2876" s="2975"/>
      <c r="L2876" s="3243"/>
      <c r="M2876" s="3243"/>
      <c r="N2876" s="2768"/>
    </row>
    <row r="2877" spans="2:18" ht="17.25" hidden="1" customHeight="1" x14ac:dyDescent="0.25">
      <c r="B2877" s="441"/>
      <c r="C2877" s="2576" t="s">
        <v>1807</v>
      </c>
      <c r="D2877" s="899">
        <f>SUM(D2878:D2896)</f>
        <v>19204000000</v>
      </c>
      <c r="E2877" s="2764">
        <f>D2877/D2867*100</f>
        <v>16.396192948117285</v>
      </c>
      <c r="F2877" s="3879"/>
      <c r="G2877" s="3246"/>
      <c r="H2877" s="2764"/>
      <c r="I2877" s="2732"/>
      <c r="J2877" s="3247"/>
      <c r="K2877" s="3247"/>
      <c r="L2877" s="2732"/>
      <c r="M2877" s="2732"/>
      <c r="N2877" s="2768"/>
    </row>
    <row r="2878" spans="2:18" ht="16.5" hidden="1" customHeight="1" x14ac:dyDescent="0.25">
      <c r="B2878" s="441"/>
      <c r="C2878" s="2578" t="s">
        <v>5151</v>
      </c>
      <c r="D2878" s="896">
        <v>500000000</v>
      </c>
      <c r="E2878" s="2763">
        <f>D2878/D2867*100</f>
        <v>0.42689525484579477</v>
      </c>
      <c r="F2878" s="4449"/>
      <c r="G2878" s="3161"/>
      <c r="H2878" s="2763"/>
      <c r="I2878" s="3243"/>
      <c r="J2878" s="2686"/>
      <c r="K2878" s="3243"/>
      <c r="L2878" s="2690"/>
      <c r="M2878" s="3243"/>
      <c r="N2878" s="2768"/>
    </row>
    <row r="2879" spans="2:18" ht="15.75" hidden="1" customHeight="1" x14ac:dyDescent="0.25">
      <c r="B2879" s="441"/>
      <c r="C2879" s="2578" t="s">
        <v>5152</v>
      </c>
      <c r="D2879" s="896">
        <v>500000000</v>
      </c>
      <c r="E2879" s="2763">
        <f>D2879/D2867*100</f>
        <v>0.42689525484579477</v>
      </c>
      <c r="F2879" s="4449"/>
      <c r="G2879" s="3161"/>
      <c r="H2879" s="2763"/>
      <c r="I2879" s="3248"/>
      <c r="J2879" s="2686"/>
      <c r="K2879" s="3243"/>
      <c r="L2879" s="2690"/>
      <c r="M2879" s="3243"/>
      <c r="N2879" s="2768"/>
    </row>
    <row r="2880" spans="2:18" ht="17.25" hidden="1" customHeight="1" x14ac:dyDescent="0.25">
      <c r="B2880" s="441"/>
      <c r="C2880" s="2578" t="s">
        <v>5153</v>
      </c>
      <c r="D2880" s="896">
        <v>500000000</v>
      </c>
      <c r="E2880" s="2763">
        <f>D2880/D2867*100</f>
        <v>0.42689525484579477</v>
      </c>
      <c r="F2880" s="4449"/>
      <c r="G2880" s="3161"/>
      <c r="H2880" s="2763"/>
      <c r="I2880" s="898"/>
      <c r="J2880" s="2686"/>
      <c r="K2880" s="896"/>
      <c r="L2880" s="2690"/>
      <c r="M2880" s="896"/>
      <c r="N2880" s="2768"/>
    </row>
    <row r="2881" spans="2:14" ht="15.75" hidden="1" customHeight="1" x14ac:dyDescent="0.25">
      <c r="B2881" s="441"/>
      <c r="C2881" s="2578" t="s">
        <v>5154</v>
      </c>
      <c r="D2881" s="896">
        <v>200000000</v>
      </c>
      <c r="E2881" s="2763">
        <f>D2881/D2867*100</f>
        <v>0.17075810193831789</v>
      </c>
      <c r="F2881" s="4449"/>
      <c r="G2881" s="3161"/>
      <c r="H2881" s="2763"/>
      <c r="I2881" s="3161"/>
      <c r="J2881" s="2686"/>
      <c r="K2881" s="3161"/>
      <c r="L2881" s="2763"/>
      <c r="M2881" s="3161"/>
      <c r="N2881" s="2768"/>
    </row>
    <row r="2882" spans="2:14" ht="18" hidden="1" customHeight="1" x14ac:dyDescent="0.25">
      <c r="B2882" s="441"/>
      <c r="C2882" s="2578" t="s">
        <v>5155</v>
      </c>
      <c r="D2882" s="896">
        <v>250000000</v>
      </c>
      <c r="E2882" s="2763">
        <f>D2882/D2867*100</f>
        <v>0.21344762742289738</v>
      </c>
      <c r="F2882" s="4449"/>
      <c r="G2882" s="3161"/>
      <c r="H2882" s="2763"/>
      <c r="I2882" s="2685"/>
      <c r="J2882" s="2686"/>
      <c r="K2882" s="896"/>
      <c r="L2882" s="2690"/>
      <c r="M2882" s="3243"/>
      <c r="N2882" s="2768"/>
    </row>
    <row r="2883" spans="2:14" ht="14.25" hidden="1" customHeight="1" x14ac:dyDescent="0.25">
      <c r="B2883" s="441"/>
      <c r="C2883" s="2578" t="s">
        <v>5156</v>
      </c>
      <c r="D2883" s="896">
        <v>1000000000</v>
      </c>
      <c r="E2883" s="2763">
        <f>D2883/D2867*100</f>
        <v>0.85379050969158954</v>
      </c>
      <c r="F2883" s="4449"/>
      <c r="G2883" s="3161"/>
      <c r="H2883" s="3161"/>
      <c r="I2883" s="3161"/>
      <c r="J2883" s="2686"/>
      <c r="K2883" s="896"/>
      <c r="L2883" s="2690"/>
      <c r="M2883" s="3243"/>
      <c r="N2883" s="2768"/>
    </row>
    <row r="2884" spans="2:14" ht="18.75" hidden="1" customHeight="1" x14ac:dyDescent="0.25">
      <c r="B2884" s="441"/>
      <c r="C2884" s="2578" t="s">
        <v>5157</v>
      </c>
      <c r="D2884" s="896">
        <v>150000000</v>
      </c>
      <c r="E2884" s="2763">
        <f>D2884/D2867*100</f>
        <v>0.12806857645373843</v>
      </c>
      <c r="F2884" s="4449"/>
      <c r="G2884" s="3161"/>
      <c r="H2884" s="3161"/>
      <c r="I2884" s="3161"/>
      <c r="J2884" s="2686"/>
      <c r="K2884" s="896"/>
      <c r="L2884" s="2690"/>
      <c r="M2884" s="3243"/>
      <c r="N2884" s="2768"/>
    </row>
    <row r="2885" spans="2:14" ht="15.75" hidden="1" customHeight="1" x14ac:dyDescent="0.25">
      <c r="B2885" s="441"/>
      <c r="C2885" s="2578" t="s">
        <v>5158</v>
      </c>
      <c r="D2885" s="896">
        <v>250000000</v>
      </c>
      <c r="E2885" s="2763">
        <f>D2885/D2867*100</f>
        <v>0.21344762742289738</v>
      </c>
      <c r="F2885" s="4449"/>
      <c r="G2885" s="3161"/>
      <c r="H2885" s="3161"/>
      <c r="I2885" s="3161"/>
      <c r="J2885" s="2686"/>
      <c r="K2885" s="3243"/>
      <c r="L2885" s="2690"/>
      <c r="M2885" s="3243"/>
      <c r="N2885" s="2768"/>
    </row>
    <row r="2886" spans="2:14" ht="15" hidden="1" customHeight="1" x14ac:dyDescent="0.25">
      <c r="B2886" s="441"/>
      <c r="C2886" s="2578" t="s">
        <v>5159</v>
      </c>
      <c r="D2886" s="896">
        <v>5000000000</v>
      </c>
      <c r="E2886" s="2763">
        <f>D2886/D2867*100</f>
        <v>4.2689525484579471</v>
      </c>
      <c r="F2886" s="4449"/>
      <c r="G2886" s="3161"/>
      <c r="H2886" s="3161"/>
      <c r="I2886" s="3161"/>
      <c r="J2886" s="2686"/>
      <c r="K2886" s="3243"/>
      <c r="L2886" s="2690"/>
      <c r="M2886" s="3243"/>
      <c r="N2886" s="2768"/>
    </row>
    <row r="2887" spans="2:14" ht="15" hidden="1" customHeight="1" x14ac:dyDescent="0.25">
      <c r="B2887" s="441"/>
      <c r="C2887" s="2578" t="s">
        <v>5160</v>
      </c>
      <c r="D2887" s="896">
        <v>500000000</v>
      </c>
      <c r="E2887" s="2763">
        <f>D2887/D2867*100</f>
        <v>0.42689525484579477</v>
      </c>
      <c r="F2887" s="4449"/>
      <c r="G2887" s="3161"/>
      <c r="H2887" s="3161"/>
      <c r="I2887" s="3161"/>
      <c r="J2887" s="2686"/>
      <c r="K2887" s="3243"/>
      <c r="L2887" s="2690"/>
      <c r="M2887" s="3243"/>
      <c r="N2887" s="2768"/>
    </row>
    <row r="2888" spans="2:14" ht="16.5" hidden="1" customHeight="1" x14ac:dyDescent="0.25">
      <c r="B2888" s="441"/>
      <c r="C2888" s="2578" t="s">
        <v>5161</v>
      </c>
      <c r="D2888" s="896">
        <v>500000000</v>
      </c>
      <c r="E2888" s="2763">
        <f>D2888/D2867*100</f>
        <v>0.42689525484579477</v>
      </c>
      <c r="F2888" s="4449"/>
      <c r="G2888" s="3161"/>
      <c r="H2888" s="3161"/>
      <c r="I2888" s="3161"/>
      <c r="J2888" s="2686"/>
      <c r="K2888" s="896"/>
      <c r="L2888" s="2690"/>
      <c r="M2888" s="3243"/>
      <c r="N2888" s="2768"/>
    </row>
    <row r="2889" spans="2:14" ht="17.25" hidden="1" customHeight="1" x14ac:dyDescent="0.25">
      <c r="B2889" s="441"/>
      <c r="C2889" s="2578" t="s">
        <v>5162</v>
      </c>
      <c r="D2889" s="896">
        <v>150000000</v>
      </c>
      <c r="E2889" s="2763">
        <f>D2889/D2867*100</f>
        <v>0.12806857645373843</v>
      </c>
      <c r="F2889" s="4449"/>
      <c r="G2889" s="3161"/>
      <c r="H2889" s="3161"/>
      <c r="I2889" s="3161"/>
      <c r="J2889" s="2686"/>
      <c r="K2889" s="896"/>
      <c r="L2889" s="2690"/>
      <c r="M2889" s="3243"/>
      <c r="N2889" s="2768"/>
    </row>
    <row r="2890" spans="2:14" ht="18" hidden="1" customHeight="1" x14ac:dyDescent="0.25">
      <c r="B2890" s="441"/>
      <c r="C2890" s="2578" t="s">
        <v>5163</v>
      </c>
      <c r="D2890" s="896">
        <v>7000000000</v>
      </c>
      <c r="E2890" s="2763">
        <f>D2890/D2867*100</f>
        <v>5.9765335678411269</v>
      </c>
      <c r="F2890" s="4449"/>
      <c r="G2890" s="3161"/>
      <c r="H2890" s="3161"/>
      <c r="I2890" s="3161"/>
      <c r="J2890" s="2686"/>
      <c r="K2890" s="896"/>
      <c r="L2890" s="2690"/>
      <c r="M2890" s="3243"/>
      <c r="N2890" s="2768"/>
    </row>
    <row r="2891" spans="2:14" ht="17.25" hidden="1" customHeight="1" x14ac:dyDescent="0.25">
      <c r="B2891" s="441"/>
      <c r="C2891" s="2578" t="s">
        <v>5164</v>
      </c>
      <c r="D2891" s="896">
        <v>200000000</v>
      </c>
      <c r="E2891" s="2763">
        <f>D2891/D2867*100</f>
        <v>0.17075810193831789</v>
      </c>
      <c r="F2891" s="4449"/>
      <c r="G2891" s="3161"/>
      <c r="H2891" s="3161"/>
      <c r="I2891" s="3161"/>
      <c r="J2891" s="2686"/>
      <c r="K2891" s="896"/>
      <c r="L2891" s="2690"/>
      <c r="M2891" s="898"/>
      <c r="N2891" s="2768"/>
    </row>
    <row r="2892" spans="2:14" ht="17.25" hidden="1" customHeight="1" x14ac:dyDescent="0.25">
      <c r="B2892" s="441"/>
      <c r="C2892" s="2578" t="s">
        <v>5165</v>
      </c>
      <c r="D2892" s="896">
        <v>750000000</v>
      </c>
      <c r="E2892" s="2763">
        <f>D2892/D2867*100</f>
        <v>0.64034288226869207</v>
      </c>
      <c r="F2892" s="4449"/>
      <c r="G2892" s="3161"/>
      <c r="H2892" s="3161"/>
      <c r="I2892" s="3161"/>
      <c r="J2892" s="2686"/>
      <c r="K2892" s="896"/>
      <c r="L2892" s="2690"/>
      <c r="M2892" s="896"/>
      <c r="N2892" s="2768"/>
    </row>
    <row r="2893" spans="2:14" ht="16.5" hidden="1" customHeight="1" x14ac:dyDescent="0.25">
      <c r="B2893" s="441"/>
      <c r="C2893" s="2578" t="s">
        <v>5166</v>
      </c>
      <c r="D2893" s="896">
        <v>610000000</v>
      </c>
      <c r="E2893" s="2763">
        <f>D2893/D2867*100</f>
        <v>0.52081221091186958</v>
      </c>
      <c r="F2893" s="4449"/>
      <c r="G2893" s="3161"/>
      <c r="H2893" s="3161"/>
      <c r="I2893" s="3161"/>
      <c r="J2893" s="2686"/>
      <c r="K2893" s="896"/>
      <c r="L2893" s="2690"/>
      <c r="M2893" s="3243"/>
      <c r="N2893" s="2768"/>
    </row>
    <row r="2894" spans="2:14" ht="17.25" hidden="1" customHeight="1" x14ac:dyDescent="0.25">
      <c r="B2894" s="441"/>
      <c r="C2894" s="2578" t="s">
        <v>5167</v>
      </c>
      <c r="D2894" s="896">
        <v>794000000</v>
      </c>
      <c r="E2894" s="2763">
        <f>D2894/D2867*100</f>
        <v>0.67790966469512215</v>
      </c>
      <c r="F2894" s="4449"/>
      <c r="G2894" s="3161"/>
      <c r="H2894" s="3161"/>
      <c r="I2894" s="3161"/>
      <c r="J2894" s="2686"/>
      <c r="K2894" s="2700"/>
      <c r="L2894" s="2690"/>
      <c r="M2894" s="2685"/>
      <c r="N2894" s="2768"/>
    </row>
    <row r="2895" spans="2:14" ht="17.25" hidden="1" customHeight="1" x14ac:dyDescent="0.25">
      <c r="B2895" s="441"/>
      <c r="C2895" s="2578" t="s">
        <v>5168</v>
      </c>
      <c r="D2895" s="896">
        <v>150000000</v>
      </c>
      <c r="E2895" s="2763">
        <f>D2895/D2867*100</f>
        <v>0.12806857645373843</v>
      </c>
      <c r="F2895" s="4449"/>
      <c r="G2895" s="3161"/>
      <c r="H2895" s="3161"/>
      <c r="I2895" s="3161"/>
      <c r="J2895" s="2686"/>
      <c r="K2895" s="2700"/>
      <c r="L2895" s="2690"/>
      <c r="M2895" s="2685"/>
      <c r="N2895" s="2768"/>
    </row>
    <row r="2896" spans="2:14" ht="16.5" hidden="1" customHeight="1" x14ac:dyDescent="0.25">
      <c r="B2896" s="441"/>
      <c r="C2896" s="2578" t="s">
        <v>5169</v>
      </c>
      <c r="D2896" s="896">
        <v>200000000</v>
      </c>
      <c r="E2896" s="2763">
        <f>D2896/D2867*100</f>
        <v>0.17075810193831789</v>
      </c>
      <c r="F2896" s="4449"/>
      <c r="G2896" s="3161"/>
      <c r="H2896" s="3161"/>
      <c r="I2896" s="3161"/>
      <c r="J2896" s="2686"/>
      <c r="K2896" s="2700"/>
      <c r="L2896" s="2690"/>
      <c r="M2896" s="2685"/>
      <c r="N2896" s="2768"/>
    </row>
    <row r="2897" spans="2:14" ht="11.25" hidden="1" customHeight="1" x14ac:dyDescent="0.25">
      <c r="B2897" s="441"/>
      <c r="C2897" s="2577"/>
      <c r="D2897" s="898"/>
      <c r="E2897" s="2763"/>
      <c r="F2897" s="3852"/>
      <c r="G2897" s="2685"/>
      <c r="H2897" s="2763"/>
      <c r="I2897" s="2685"/>
      <c r="J2897" s="896"/>
      <c r="K2897" s="2700"/>
      <c r="L2897" s="2804"/>
      <c r="M2897" s="2685"/>
      <c r="N2897" s="2768"/>
    </row>
    <row r="2898" spans="2:14" ht="18" hidden="1" customHeight="1" x14ac:dyDescent="0.25">
      <c r="B2898" s="441"/>
      <c r="C2898" s="2576" t="s">
        <v>1846</v>
      </c>
      <c r="D2898" s="899">
        <f>SUM(D2899:D2903)</f>
        <v>900000000</v>
      </c>
      <c r="E2898" s="2764">
        <f>D2898/D2867*100</f>
        <v>0.76841145872243055</v>
      </c>
      <c r="F2898" s="3852"/>
      <c r="G2898" s="2693"/>
      <c r="H2898" s="2764"/>
      <c r="I2898" s="2679"/>
      <c r="J2898" s="3247"/>
      <c r="K2898" s="3247"/>
      <c r="L2898" s="2732"/>
      <c r="M2898" s="899"/>
      <c r="N2898" s="2768"/>
    </row>
    <row r="2899" spans="2:14" ht="15.75" hidden="1" customHeight="1" x14ac:dyDescent="0.25">
      <c r="B2899" s="441"/>
      <c r="C2899" s="2577" t="s">
        <v>5170</v>
      </c>
      <c r="D2899" s="896">
        <v>150000000</v>
      </c>
      <c r="E2899" s="2763">
        <f>D2899/D2867*100</f>
        <v>0.12806857645373843</v>
      </c>
      <c r="F2899" s="4449"/>
      <c r="G2899" s="3161"/>
      <c r="H2899" s="3161"/>
      <c r="I2899" s="3161"/>
      <c r="J2899" s="2686"/>
      <c r="K2899" s="896"/>
      <c r="L2899" s="2690"/>
      <c r="M2899" s="896"/>
      <c r="N2899" s="2768"/>
    </row>
    <row r="2900" spans="2:14" ht="18" hidden="1" customHeight="1" x14ac:dyDescent="0.25">
      <c r="B2900" s="441"/>
      <c r="C2900" s="2577" t="s">
        <v>5171</v>
      </c>
      <c r="D2900" s="896">
        <v>150000000</v>
      </c>
      <c r="E2900" s="2763">
        <f>D2900/D2867*100</f>
        <v>0.12806857645373843</v>
      </c>
      <c r="F2900" s="4449"/>
      <c r="G2900" s="3162"/>
      <c r="H2900" s="2763"/>
      <c r="I2900" s="2685"/>
      <c r="J2900" s="896"/>
      <c r="K2900" s="2700"/>
      <c r="L2900" s="2690"/>
      <c r="M2900" s="2685"/>
      <c r="N2900" s="2768"/>
    </row>
    <row r="2901" spans="2:14" ht="17.25" hidden="1" customHeight="1" x14ac:dyDescent="0.25">
      <c r="B2901" s="441"/>
      <c r="C2901" s="2577" t="s">
        <v>5172</v>
      </c>
      <c r="D2901" s="896">
        <v>200000000</v>
      </c>
      <c r="E2901" s="2763">
        <f>D2901/D2867*100</f>
        <v>0.17075810193831789</v>
      </c>
      <c r="F2901" s="4449"/>
      <c r="G2901" s="3164"/>
      <c r="H2901" s="2763"/>
      <c r="I2901" s="2830"/>
      <c r="J2901" s="896"/>
      <c r="K2901" s="2700"/>
      <c r="L2901" s="2690"/>
      <c r="M2901" s="2685"/>
      <c r="N2901" s="2768"/>
    </row>
    <row r="2902" spans="2:14" ht="31.5" hidden="1" customHeight="1" x14ac:dyDescent="0.25">
      <c r="B2902" s="441"/>
      <c r="C2902" s="2577" t="s">
        <v>5173</v>
      </c>
      <c r="D2902" s="896">
        <v>200000000</v>
      </c>
      <c r="E2902" s="2763">
        <f>D2902/D2867*100</f>
        <v>0.17075810193831789</v>
      </c>
      <c r="F2902" s="4449"/>
      <c r="G2902" s="3164"/>
      <c r="H2902" s="2763"/>
      <c r="I2902" s="2830"/>
      <c r="J2902" s="896"/>
      <c r="K2902" s="2700"/>
      <c r="L2902" s="2690"/>
      <c r="M2902" s="2685"/>
      <c r="N2902" s="2768"/>
    </row>
    <row r="2903" spans="2:14" ht="19.5" hidden="1" customHeight="1" x14ac:dyDescent="0.25">
      <c r="B2903" s="441"/>
      <c r="C2903" s="2577" t="s">
        <v>5174</v>
      </c>
      <c r="D2903" s="898">
        <v>200000000</v>
      </c>
      <c r="E2903" s="2763">
        <f>D2903/D2867*100</f>
        <v>0.17075810193831789</v>
      </c>
      <c r="F2903" s="3852"/>
      <c r="G2903" s="3249"/>
      <c r="H2903" s="2763"/>
      <c r="I2903" s="2755"/>
      <c r="J2903" s="896"/>
      <c r="K2903" s="896"/>
      <c r="L2903" s="2690"/>
      <c r="M2903" s="896"/>
      <c r="N2903" s="2768"/>
    </row>
    <row r="2904" spans="2:14" ht="12" hidden="1" customHeight="1" x14ac:dyDescent="0.25">
      <c r="B2904" s="441"/>
      <c r="C2904" s="2577"/>
      <c r="D2904" s="898"/>
      <c r="E2904" s="2763"/>
      <c r="F2904" s="3852"/>
      <c r="G2904" s="3249"/>
      <c r="H2904" s="2763"/>
      <c r="I2904" s="2755"/>
      <c r="J2904" s="896"/>
      <c r="K2904" s="896"/>
      <c r="L2904" s="2760"/>
      <c r="M2904" s="896"/>
      <c r="N2904" s="2768"/>
    </row>
    <row r="2905" spans="2:14" ht="20.25" hidden="1" customHeight="1" x14ac:dyDescent="0.25">
      <c r="B2905" s="441"/>
      <c r="C2905" s="2576" t="s">
        <v>1851</v>
      </c>
      <c r="D2905" s="899">
        <f>SUM(D2906:D2921)</f>
        <v>2900000000</v>
      </c>
      <c r="E2905" s="2764">
        <f>D2905/D2867*100</f>
        <v>2.47599247810561</v>
      </c>
      <c r="F2905" s="3852"/>
      <c r="G2905" s="2693"/>
      <c r="H2905" s="2764"/>
      <c r="I2905" s="2679"/>
      <c r="J2905" s="3247"/>
      <c r="K2905" s="3247"/>
      <c r="L2905" s="2732"/>
      <c r="M2905" s="899"/>
      <c r="N2905" s="2768"/>
    </row>
    <row r="2906" spans="2:14" ht="18" hidden="1" customHeight="1" x14ac:dyDescent="0.25">
      <c r="B2906" s="441"/>
      <c r="C2906" s="2577" t="s">
        <v>5175</v>
      </c>
      <c r="D2906" s="896">
        <v>250000000</v>
      </c>
      <c r="E2906" s="2763">
        <f>D2906/D2867*100</f>
        <v>0.21344762742289738</v>
      </c>
      <c r="F2906" s="4449"/>
      <c r="G2906" s="3161"/>
      <c r="H2906" s="3161"/>
      <c r="I2906" s="3161"/>
      <c r="J2906" s="3161"/>
      <c r="K2906" s="3161"/>
      <c r="L2906" s="3161"/>
      <c r="M2906" s="3161"/>
      <c r="N2906" s="2768"/>
    </row>
    <row r="2907" spans="2:14" ht="15.75" hidden="1" customHeight="1" x14ac:dyDescent="0.25">
      <c r="B2907" s="441"/>
      <c r="C2907" s="2577" t="s">
        <v>5176</v>
      </c>
      <c r="D2907" s="896">
        <v>200000000</v>
      </c>
      <c r="E2907" s="2763">
        <f>D2907/D2867*100</f>
        <v>0.17075810193831789</v>
      </c>
      <c r="F2907" s="4449"/>
      <c r="G2907" s="3161"/>
      <c r="H2907" s="3161"/>
      <c r="I2907" s="3161"/>
      <c r="J2907" s="3161"/>
      <c r="K2907" s="3161"/>
      <c r="L2907" s="3161"/>
      <c r="M2907" s="3161"/>
      <c r="N2907" s="2768"/>
    </row>
    <row r="2908" spans="2:14" ht="18" hidden="1" customHeight="1" x14ac:dyDescent="0.25">
      <c r="B2908" s="441"/>
      <c r="C2908" s="2577" t="s">
        <v>5177</v>
      </c>
      <c r="D2908" s="896">
        <v>250000000</v>
      </c>
      <c r="E2908" s="2763">
        <f>D2908/D2867*100</f>
        <v>0.21344762742289738</v>
      </c>
      <c r="F2908" s="4449"/>
      <c r="G2908" s="2855"/>
      <c r="H2908" s="2855"/>
      <c r="I2908" s="2855"/>
      <c r="J2908" s="2852"/>
      <c r="K2908" s="2852"/>
      <c r="L2908" s="2855"/>
      <c r="M2908" s="2855"/>
      <c r="N2908" s="2768"/>
    </row>
    <row r="2909" spans="2:14" ht="15.75" hidden="1" customHeight="1" x14ac:dyDescent="0.25">
      <c r="B2909" s="441"/>
      <c r="C2909" s="2577" t="s">
        <v>5178</v>
      </c>
      <c r="D2909" s="896">
        <v>150000000</v>
      </c>
      <c r="E2909" s="2763">
        <f>D2909/D2867*100</f>
        <v>0.12806857645373843</v>
      </c>
      <c r="F2909" s="4449"/>
      <c r="G2909" s="3161"/>
      <c r="H2909" s="3161"/>
      <c r="I2909" s="3161"/>
      <c r="J2909" s="3161"/>
      <c r="K2909" s="3161"/>
      <c r="L2909" s="3161"/>
      <c r="M2909" s="3161"/>
      <c r="N2909" s="2768"/>
    </row>
    <row r="2910" spans="2:14" ht="17.25" hidden="1" customHeight="1" x14ac:dyDescent="0.25">
      <c r="B2910" s="441"/>
      <c r="C2910" s="2577" t="s">
        <v>5179</v>
      </c>
      <c r="D2910" s="896">
        <v>200000000</v>
      </c>
      <c r="E2910" s="2763">
        <f>D2910/D2867*100</f>
        <v>0.17075810193831789</v>
      </c>
      <c r="F2910" s="4449"/>
      <c r="G2910" s="3162"/>
      <c r="H2910" s="2763"/>
      <c r="I2910" s="2685"/>
      <c r="J2910" s="896"/>
      <c r="K2910" s="2700"/>
      <c r="L2910" s="2690"/>
      <c r="M2910" s="2685"/>
      <c r="N2910" s="2768"/>
    </row>
    <row r="2911" spans="2:14" ht="15.75" hidden="1" customHeight="1" x14ac:dyDescent="0.25">
      <c r="B2911" s="441"/>
      <c r="C2911" s="2577" t="s">
        <v>5180</v>
      </c>
      <c r="D2911" s="896">
        <v>200000000</v>
      </c>
      <c r="E2911" s="2763">
        <f>D2911/D2867*100</f>
        <v>0.17075810193831789</v>
      </c>
      <c r="F2911" s="4449"/>
      <c r="G2911" s="3162"/>
      <c r="H2911" s="2763"/>
      <c r="I2911" s="2755"/>
      <c r="J2911" s="2686"/>
      <c r="K2911" s="896"/>
      <c r="L2911" s="2690"/>
      <c r="M2911" s="896"/>
      <c r="N2911" s="2768"/>
    </row>
    <row r="2912" spans="2:14" ht="33.75" hidden="1" customHeight="1" x14ac:dyDescent="0.25">
      <c r="B2912" s="441"/>
      <c r="C2912" s="2577" t="s">
        <v>5181</v>
      </c>
      <c r="D2912" s="896">
        <v>200000000</v>
      </c>
      <c r="E2912" s="2763">
        <f>D2912/D2867*100</f>
        <v>0.17075810193831789</v>
      </c>
      <c r="F2912" s="4449"/>
      <c r="G2912" s="3162"/>
      <c r="H2912" s="2763"/>
      <c r="I2912" s="898"/>
      <c r="J2912" s="2686"/>
      <c r="K2912" s="898"/>
      <c r="L2912" s="2690"/>
      <c r="M2912" s="896"/>
      <c r="N2912" s="2768"/>
    </row>
    <row r="2913" spans="2:14" ht="15.75" hidden="1" customHeight="1" x14ac:dyDescent="0.25">
      <c r="B2913" s="441"/>
      <c r="C2913" s="2577" t="s">
        <v>5182</v>
      </c>
      <c r="D2913" s="896">
        <v>150000000</v>
      </c>
      <c r="E2913" s="2763">
        <f>D2913/D2867*100</f>
        <v>0.12806857645373843</v>
      </c>
      <c r="F2913" s="4449"/>
      <c r="G2913" s="3161"/>
      <c r="H2913" s="3161"/>
      <c r="I2913" s="3161"/>
      <c r="J2913" s="3161"/>
      <c r="K2913" s="3161"/>
      <c r="L2913" s="3161"/>
      <c r="M2913" s="3161"/>
      <c r="N2913" s="2768"/>
    </row>
    <row r="2914" spans="2:14" ht="18" hidden="1" customHeight="1" x14ac:dyDescent="0.25">
      <c r="B2914" s="441"/>
      <c r="C2914" s="2577" t="s">
        <v>5183</v>
      </c>
      <c r="D2914" s="896">
        <v>150000000</v>
      </c>
      <c r="E2914" s="2763">
        <f>D2914/D2867*100</f>
        <v>0.12806857645373843</v>
      </c>
      <c r="F2914" s="4449"/>
      <c r="G2914" s="3161"/>
      <c r="H2914" s="3161"/>
      <c r="I2914" s="3161"/>
      <c r="J2914" s="3161"/>
      <c r="K2914" s="3161"/>
      <c r="L2914" s="3161"/>
      <c r="M2914" s="3161"/>
      <c r="N2914" s="2768"/>
    </row>
    <row r="2915" spans="2:14" ht="15.75" hidden="1" customHeight="1" x14ac:dyDescent="0.25">
      <c r="B2915" s="441"/>
      <c r="C2915" s="2577" t="s">
        <v>5184</v>
      </c>
      <c r="D2915" s="896">
        <v>150000000</v>
      </c>
      <c r="E2915" s="2763">
        <f>D2915/D2867*100</f>
        <v>0.12806857645373843</v>
      </c>
      <c r="F2915" s="4449"/>
      <c r="G2915" s="3161"/>
      <c r="H2915" s="3161"/>
      <c r="I2915" s="3161"/>
      <c r="J2915" s="3161"/>
      <c r="K2915" s="3161"/>
      <c r="L2915" s="3161"/>
      <c r="M2915" s="3161"/>
      <c r="N2915" s="2768"/>
    </row>
    <row r="2916" spans="2:14" ht="15.75" hidden="1" customHeight="1" x14ac:dyDescent="0.25">
      <c r="B2916" s="441"/>
      <c r="C2916" s="2577" t="s">
        <v>5185</v>
      </c>
      <c r="D2916" s="896">
        <v>150000000</v>
      </c>
      <c r="E2916" s="2763">
        <f>D2916/D2867*100</f>
        <v>0.12806857645373843</v>
      </c>
      <c r="F2916" s="4449"/>
      <c r="G2916" s="3161"/>
      <c r="H2916" s="3161"/>
      <c r="I2916" s="3161"/>
      <c r="J2916" s="3161"/>
      <c r="K2916" s="3161"/>
      <c r="L2916" s="3161"/>
      <c r="M2916" s="3161"/>
      <c r="N2916" s="2768"/>
    </row>
    <row r="2917" spans="2:14" ht="16.5" hidden="1" customHeight="1" x14ac:dyDescent="0.25">
      <c r="B2917" s="441"/>
      <c r="C2917" s="2577" t="s">
        <v>5186</v>
      </c>
      <c r="D2917" s="896">
        <v>150000000</v>
      </c>
      <c r="E2917" s="2763">
        <f>D2917/D2867*100</f>
        <v>0.12806857645373843</v>
      </c>
      <c r="F2917" s="4449"/>
      <c r="G2917" s="2855"/>
      <c r="H2917" s="2763"/>
      <c r="I2917" s="896"/>
      <c r="J2917" s="2686"/>
      <c r="K2917" s="896"/>
      <c r="L2917" s="2690"/>
      <c r="M2917" s="896"/>
      <c r="N2917" s="2768"/>
    </row>
    <row r="2918" spans="2:14" ht="17.25" hidden="1" customHeight="1" x14ac:dyDescent="0.25">
      <c r="B2918" s="441"/>
      <c r="C2918" s="2577" t="s">
        <v>5187</v>
      </c>
      <c r="D2918" s="896">
        <v>150000000</v>
      </c>
      <c r="E2918" s="2763">
        <f>D2918/D2867*100</f>
        <v>0.12806857645373843</v>
      </c>
      <c r="F2918" s="4449"/>
      <c r="G2918" s="3162"/>
      <c r="H2918" s="2763"/>
      <c r="I2918" s="2769"/>
      <c r="J2918" s="2686"/>
      <c r="K2918" s="896"/>
      <c r="L2918" s="2690"/>
      <c r="M2918" s="896"/>
      <c r="N2918" s="2768"/>
    </row>
    <row r="2919" spans="2:14" ht="15.75" hidden="1" customHeight="1" x14ac:dyDescent="0.25">
      <c r="B2919" s="441"/>
      <c r="C2919" s="2577" t="s">
        <v>5188</v>
      </c>
      <c r="D2919" s="896">
        <v>200000000</v>
      </c>
      <c r="E2919" s="2763">
        <f>D2919/D2867*100</f>
        <v>0.17075810193831789</v>
      </c>
      <c r="F2919" s="4449"/>
      <c r="G2919" s="3164"/>
      <c r="H2919" s="2763"/>
      <c r="I2919" s="2769"/>
      <c r="J2919" s="2686"/>
      <c r="K2919" s="896"/>
      <c r="L2919" s="2760"/>
      <c r="M2919" s="896"/>
      <c r="N2919" s="2768"/>
    </row>
    <row r="2920" spans="2:14" ht="17.25" hidden="1" customHeight="1" x14ac:dyDescent="0.25">
      <c r="B2920" s="441"/>
      <c r="C2920" s="2577" t="s">
        <v>5189</v>
      </c>
      <c r="D2920" s="896">
        <v>150000000</v>
      </c>
      <c r="E2920" s="2763">
        <f>D2920/D2867*100</f>
        <v>0.12806857645373843</v>
      </c>
      <c r="F2920" s="4449"/>
      <c r="G2920" s="3164"/>
      <c r="H2920" s="2763"/>
      <c r="I2920" s="2769"/>
      <c r="J2920" s="2686"/>
      <c r="K2920" s="896"/>
      <c r="L2920" s="2760"/>
      <c r="M2920" s="896"/>
      <c r="N2920" s="2768"/>
    </row>
    <row r="2921" spans="2:14" ht="18.75" hidden="1" customHeight="1" x14ac:dyDescent="0.25">
      <c r="B2921" s="441"/>
      <c r="C2921" s="2577" t="s">
        <v>5190</v>
      </c>
      <c r="D2921" s="896">
        <v>200000000</v>
      </c>
      <c r="E2921" s="2763">
        <f>D2921/D2867*100</f>
        <v>0.17075810193831789</v>
      </c>
      <c r="F2921" s="4449"/>
      <c r="G2921" s="3164"/>
      <c r="H2921" s="2763"/>
      <c r="I2921" s="2769"/>
      <c r="J2921" s="2686"/>
      <c r="K2921" s="896"/>
      <c r="L2921" s="2760"/>
      <c r="M2921" s="896"/>
      <c r="N2921" s="2768"/>
    </row>
    <row r="2922" spans="2:14" ht="12" hidden="1" customHeight="1" x14ac:dyDescent="0.25">
      <c r="B2922" s="441"/>
      <c r="C2922" s="2577"/>
      <c r="D2922" s="896"/>
      <c r="E2922" s="2763"/>
      <c r="F2922" s="4449"/>
      <c r="G2922" s="2804"/>
      <c r="H2922" s="2763"/>
      <c r="I2922" s="2685"/>
      <c r="J2922" s="896"/>
      <c r="K2922" s="896"/>
      <c r="L2922" s="3243"/>
      <c r="M2922" s="896"/>
      <c r="N2922" s="2768"/>
    </row>
    <row r="2923" spans="2:14" ht="18.75" hidden="1" customHeight="1" x14ac:dyDescent="0.25">
      <c r="B2923" s="441"/>
      <c r="C2923" s="2576" t="s">
        <v>1267</v>
      </c>
      <c r="D2923" s="899">
        <f>SUM(D2924:D2926)</f>
        <v>500000000</v>
      </c>
      <c r="E2923" s="2764">
        <f>D2923/D2867*100</f>
        <v>0.42689525484579477</v>
      </c>
      <c r="F2923" s="3852"/>
      <c r="G2923" s="3250"/>
      <c r="H2923" s="3250"/>
      <c r="I2923" s="3250"/>
      <c r="J2923" s="3247"/>
      <c r="K2923" s="3180"/>
      <c r="L2923" s="3250"/>
      <c r="M2923" s="3250"/>
      <c r="N2923" s="2768"/>
    </row>
    <row r="2924" spans="2:14" ht="17.25" hidden="1" customHeight="1" x14ac:dyDescent="0.25">
      <c r="B2924" s="441"/>
      <c r="C2924" s="2577" t="s">
        <v>5191</v>
      </c>
      <c r="D2924" s="896">
        <v>150000000</v>
      </c>
      <c r="E2924" s="2763">
        <f>D2924/D2867*100</f>
        <v>0.12806857645373843</v>
      </c>
      <c r="F2924" s="4449"/>
      <c r="G2924" s="3161"/>
      <c r="H2924" s="3161"/>
      <c r="I2924" s="3161"/>
      <c r="J2924" s="2686"/>
      <c r="K2924" s="3161"/>
      <c r="L2924" s="3161"/>
      <c r="M2924" s="3161"/>
      <c r="N2924" s="2768"/>
    </row>
    <row r="2925" spans="2:14" ht="16.5" hidden="1" customHeight="1" x14ac:dyDescent="0.25">
      <c r="B2925" s="441"/>
      <c r="C2925" s="2577" t="s">
        <v>5192</v>
      </c>
      <c r="D2925" s="896">
        <v>150000000</v>
      </c>
      <c r="E2925" s="2763">
        <f>D2925/D2867*100</f>
        <v>0.12806857645373843</v>
      </c>
      <c r="F2925" s="4449"/>
      <c r="G2925" s="3244"/>
      <c r="H2925" s="2763"/>
      <c r="I2925" s="2769"/>
      <c r="J2925" s="896"/>
      <c r="K2925" s="896"/>
      <c r="L2925" s="3243"/>
      <c r="M2925" s="896"/>
      <c r="N2925" s="2768"/>
    </row>
    <row r="2926" spans="2:14" ht="19.5" hidden="1" customHeight="1" x14ac:dyDescent="0.25">
      <c r="B2926" s="441"/>
      <c r="C2926" s="2577" t="s">
        <v>5193</v>
      </c>
      <c r="D2926" s="896">
        <v>200000000</v>
      </c>
      <c r="E2926" s="2763">
        <f>D2926/D2867*100</f>
        <v>0.17075810193831789</v>
      </c>
      <c r="F2926" s="4449"/>
      <c r="G2926" s="3244"/>
      <c r="H2926" s="2763"/>
      <c r="I2926" s="2769"/>
      <c r="J2926" s="896"/>
      <c r="K2926" s="896"/>
      <c r="L2926" s="3243"/>
      <c r="M2926" s="896"/>
      <c r="N2926" s="2768"/>
    </row>
    <row r="2927" spans="2:14" ht="12" hidden="1" customHeight="1" x14ac:dyDescent="0.25">
      <c r="B2927" s="441"/>
      <c r="C2927" s="2577"/>
      <c r="D2927" s="896"/>
      <c r="E2927" s="2763"/>
      <c r="F2927" s="4449"/>
      <c r="G2927" s="3244"/>
      <c r="H2927" s="2763"/>
      <c r="I2927" s="2769"/>
      <c r="J2927" s="896"/>
      <c r="K2927" s="896"/>
      <c r="L2927" s="3243"/>
      <c r="M2927" s="896"/>
      <c r="N2927" s="2768"/>
    </row>
    <row r="2928" spans="2:14" ht="21.75" hidden="1" customHeight="1" x14ac:dyDescent="0.25">
      <c r="B2928" s="441"/>
      <c r="C2928" s="2576" t="s">
        <v>1871</v>
      </c>
      <c r="D2928" s="899">
        <f>SUM(D2929:D2939)</f>
        <v>3449691200</v>
      </c>
      <c r="E2928" s="2764">
        <f>D2928/D2867*100</f>
        <v>2.9453136079265909</v>
      </c>
      <c r="F2928" s="3852"/>
      <c r="G2928" s="2693"/>
      <c r="H2928" s="2764"/>
      <c r="I2928" s="2751"/>
      <c r="J2928" s="3247"/>
      <c r="K2928" s="3247"/>
      <c r="L2928" s="2732"/>
      <c r="M2928" s="899"/>
      <c r="N2928" s="2768"/>
    </row>
    <row r="2929" spans="2:14" ht="18" hidden="1" customHeight="1" x14ac:dyDescent="0.25">
      <c r="B2929" s="441"/>
      <c r="C2929" s="2577" t="s">
        <v>5194</v>
      </c>
      <c r="D2929" s="896">
        <v>300000000</v>
      </c>
      <c r="E2929" s="2763">
        <f>D2929/D2867*100</f>
        <v>0.25613715290747685</v>
      </c>
      <c r="F2929" s="4449"/>
      <c r="G2929" s="3161"/>
      <c r="H2929" s="2763"/>
      <c r="I2929" s="2685"/>
      <c r="J2929" s="896"/>
      <c r="K2929" s="2700"/>
      <c r="L2929" s="2690"/>
      <c r="M2929" s="2685"/>
      <c r="N2929" s="2768"/>
    </row>
    <row r="2930" spans="2:14" ht="17.25" hidden="1" customHeight="1" x14ac:dyDescent="0.25">
      <c r="B2930" s="441"/>
      <c r="C2930" s="2577" t="s">
        <v>5195</v>
      </c>
      <c r="D2930" s="896">
        <v>1049691200</v>
      </c>
      <c r="E2930" s="2763">
        <f>D2930/D2867*100</f>
        <v>0.89621638466677622</v>
      </c>
      <c r="F2930" s="4449"/>
      <c r="G2930" s="3161"/>
      <c r="H2930" s="3161"/>
      <c r="I2930" s="3161"/>
      <c r="J2930" s="898"/>
      <c r="K2930" s="3161"/>
      <c r="L2930" s="3161"/>
      <c r="M2930" s="3161"/>
      <c r="N2930" s="2768"/>
    </row>
    <row r="2931" spans="2:14" ht="18" hidden="1" customHeight="1" x14ac:dyDescent="0.25">
      <c r="B2931" s="441"/>
      <c r="C2931" s="2577" t="s">
        <v>5197</v>
      </c>
      <c r="D2931" s="896">
        <v>150000000</v>
      </c>
      <c r="E2931" s="2763">
        <f>D2931/D2867*100</f>
        <v>0.12806857645373843</v>
      </c>
      <c r="F2931" s="4449"/>
      <c r="G2931" s="3161"/>
      <c r="H2931" s="3161"/>
      <c r="I2931" s="3161"/>
      <c r="J2931" s="2686"/>
      <c r="K2931" s="2686"/>
      <c r="L2931" s="2690"/>
      <c r="M2931" s="896"/>
      <c r="N2931" s="2768"/>
    </row>
    <row r="2932" spans="2:14" ht="16.5" hidden="1" customHeight="1" x14ac:dyDescent="0.25">
      <c r="B2932" s="441"/>
      <c r="C2932" s="2577" t="s">
        <v>5196</v>
      </c>
      <c r="D2932" s="896">
        <v>300000000</v>
      </c>
      <c r="E2932" s="2763">
        <f>D2932/D2867*100</f>
        <v>0.25613715290747685</v>
      </c>
      <c r="F2932" s="4449"/>
      <c r="G2932" s="3161"/>
      <c r="H2932" s="2763"/>
      <c r="I2932" s="2685"/>
      <c r="J2932" s="2686"/>
      <c r="K2932" s="896"/>
      <c r="L2932" s="2690"/>
      <c r="M2932" s="896"/>
      <c r="N2932" s="2768"/>
    </row>
    <row r="2933" spans="2:14" ht="16.5" hidden="1" customHeight="1" x14ac:dyDescent="0.25">
      <c r="B2933" s="441"/>
      <c r="C2933" s="2577" t="s">
        <v>5198</v>
      </c>
      <c r="D2933" s="896">
        <v>150000000</v>
      </c>
      <c r="E2933" s="2763">
        <f>D2933/D2867*100</f>
        <v>0.12806857645373843</v>
      </c>
      <c r="F2933" s="4449"/>
      <c r="G2933" s="3161"/>
      <c r="H2933" s="2763"/>
      <c r="I2933" s="2685"/>
      <c r="J2933" s="2686"/>
      <c r="K2933" s="896"/>
      <c r="L2933" s="2690"/>
      <c r="M2933" s="896"/>
      <c r="N2933" s="2768"/>
    </row>
    <row r="2934" spans="2:14" ht="16.5" hidden="1" customHeight="1" x14ac:dyDescent="0.25">
      <c r="B2934" s="441"/>
      <c r="C2934" s="2577" t="s">
        <v>5199</v>
      </c>
      <c r="D2934" s="896">
        <v>300000000</v>
      </c>
      <c r="E2934" s="2763">
        <f>D2934/D2867*100</f>
        <v>0.25613715290747685</v>
      </c>
      <c r="F2934" s="4449"/>
      <c r="G2934" s="3161"/>
      <c r="H2934" s="2763"/>
      <c r="I2934" s="2769"/>
      <c r="J2934" s="2686"/>
      <c r="K2934" s="896"/>
      <c r="L2934" s="2690"/>
      <c r="M2934" s="896"/>
      <c r="N2934" s="2768"/>
    </row>
    <row r="2935" spans="2:14" ht="18" hidden="1" customHeight="1" x14ac:dyDescent="0.25">
      <c r="B2935" s="441"/>
      <c r="C2935" s="2577" t="s">
        <v>5200</v>
      </c>
      <c r="D2935" s="896">
        <v>300000000</v>
      </c>
      <c r="E2935" s="2763">
        <f>D2935/D2867*100</f>
        <v>0.25613715290747685</v>
      </c>
      <c r="F2935" s="4449"/>
      <c r="G2935" s="3161"/>
      <c r="H2935" s="2763"/>
      <c r="I2935" s="2685"/>
      <c r="J2935" s="2686"/>
      <c r="K2935" s="2700"/>
      <c r="L2935" s="2690"/>
      <c r="M2935" s="2685"/>
      <c r="N2935" s="2768"/>
    </row>
    <row r="2936" spans="2:14" ht="18" hidden="1" customHeight="1" x14ac:dyDescent="0.25">
      <c r="B2936" s="441"/>
      <c r="C2936" s="2577" t="s">
        <v>5201</v>
      </c>
      <c r="D2936" s="896">
        <v>300000000</v>
      </c>
      <c r="E2936" s="2763">
        <f>D2936/D2867*100</f>
        <v>0.25613715290747685</v>
      </c>
      <c r="F2936" s="4449"/>
      <c r="G2936" s="3161"/>
      <c r="H2936" s="3161"/>
      <c r="I2936" s="3161"/>
      <c r="J2936" s="2686"/>
      <c r="K2936" s="2700"/>
      <c r="L2936" s="2690"/>
      <c r="M2936" s="2685"/>
      <c r="N2936" s="2768"/>
    </row>
    <row r="2937" spans="2:14" ht="16.5" hidden="1" customHeight="1" x14ac:dyDescent="0.25">
      <c r="B2937" s="441"/>
      <c r="C2937" s="2577" t="s">
        <v>5202</v>
      </c>
      <c r="D2937" s="896">
        <v>200000000</v>
      </c>
      <c r="E2937" s="2763">
        <f>D2937/D2867*100</f>
        <v>0.17075810193831789</v>
      </c>
      <c r="F2937" s="4449"/>
      <c r="G2937" s="3161"/>
      <c r="H2937" s="2763"/>
      <c r="I2937" s="2769"/>
      <c r="J2937" s="2686"/>
      <c r="K2937" s="896"/>
      <c r="L2937" s="2690"/>
      <c r="M2937" s="896"/>
      <c r="N2937" s="2768"/>
    </row>
    <row r="2938" spans="2:14" ht="19.5" hidden="1" customHeight="1" x14ac:dyDescent="0.25">
      <c r="B2938" s="441"/>
      <c r="C2938" s="2577" t="s">
        <v>5203</v>
      </c>
      <c r="D2938" s="896">
        <v>200000000</v>
      </c>
      <c r="E2938" s="2763">
        <f>D2938/D2867*100</f>
        <v>0.17075810193831789</v>
      </c>
      <c r="F2938" s="4449"/>
      <c r="G2938" s="3161"/>
      <c r="H2938" s="2763"/>
      <c r="I2938" s="2769"/>
      <c r="J2938" s="2686"/>
      <c r="K2938" s="896"/>
      <c r="L2938" s="2690"/>
      <c r="M2938" s="896"/>
      <c r="N2938" s="2768"/>
    </row>
    <row r="2939" spans="2:14" ht="21" hidden="1" customHeight="1" x14ac:dyDescent="0.25">
      <c r="B2939" s="441"/>
      <c r="C2939" s="2577" t="s">
        <v>5204</v>
      </c>
      <c r="D2939" s="896">
        <v>200000000</v>
      </c>
      <c r="E2939" s="2763">
        <f>D2939/D2867*100</f>
        <v>0.17075810193831789</v>
      </c>
      <c r="F2939" s="4449"/>
      <c r="G2939" s="3251"/>
      <c r="H2939" s="2763"/>
      <c r="I2939" s="2769"/>
      <c r="J2939" s="2686"/>
      <c r="K2939" s="896"/>
      <c r="L2939" s="3243"/>
      <c r="M2939" s="896"/>
      <c r="N2939" s="2768"/>
    </row>
    <row r="2940" spans="2:14" ht="12" hidden="1" customHeight="1" x14ac:dyDescent="0.25">
      <c r="B2940" s="441"/>
      <c r="C2940" s="2577"/>
      <c r="D2940" s="896"/>
      <c r="E2940" s="2763"/>
      <c r="F2940" s="4449"/>
      <c r="G2940" s="3251"/>
      <c r="H2940" s="2763"/>
      <c r="I2940" s="2769"/>
      <c r="J2940" s="2686"/>
      <c r="K2940" s="896"/>
      <c r="L2940" s="3243"/>
      <c r="M2940" s="2709"/>
      <c r="N2940" s="2768"/>
    </row>
    <row r="2941" spans="2:14" ht="18" hidden="1" customHeight="1" x14ac:dyDescent="0.25">
      <c r="B2941" s="441"/>
      <c r="C2941" s="2576" t="s">
        <v>5208</v>
      </c>
      <c r="D2941" s="899">
        <f>SUM(D2942:D2947)</f>
        <v>1050000000</v>
      </c>
      <c r="E2941" s="2764">
        <f>D2941/D2867*100</f>
        <v>0.89648003517616892</v>
      </c>
      <c r="F2941" s="3852"/>
      <c r="G2941" s="2693"/>
      <c r="H2941" s="2764"/>
      <c r="I2941" s="2751"/>
      <c r="J2941" s="3247"/>
      <c r="K2941" s="3247"/>
      <c r="L2941" s="2732"/>
      <c r="M2941" s="2767"/>
      <c r="N2941" s="2768"/>
    </row>
    <row r="2942" spans="2:14" ht="16.5" hidden="1" customHeight="1" x14ac:dyDescent="0.25">
      <c r="B2942" s="441"/>
      <c r="C2942" s="2577" t="s">
        <v>5205</v>
      </c>
      <c r="D2942" s="896">
        <v>200000000</v>
      </c>
      <c r="E2942" s="2763">
        <f>D2942/D2867*100</f>
        <v>0.17075810193831789</v>
      </c>
      <c r="F2942" s="4449"/>
      <c r="G2942" s="3161"/>
      <c r="H2942" s="3161"/>
      <c r="I2942" s="3161"/>
      <c r="J2942" s="3161"/>
      <c r="K2942" s="3161"/>
      <c r="L2942" s="3161"/>
      <c r="M2942" s="3161"/>
      <c r="N2942" s="2768"/>
    </row>
    <row r="2943" spans="2:14" ht="14.25" hidden="1" customHeight="1" x14ac:dyDescent="0.25">
      <c r="B2943" s="441"/>
      <c r="C2943" s="2577" t="s">
        <v>5206</v>
      </c>
      <c r="D2943" s="896">
        <v>200000000</v>
      </c>
      <c r="E2943" s="2763">
        <f>D2943/D2867*100</f>
        <v>0.17075810193831789</v>
      </c>
      <c r="F2943" s="4449"/>
      <c r="G2943" s="3161"/>
      <c r="H2943" s="3161"/>
      <c r="I2943" s="3161"/>
      <c r="J2943" s="3161"/>
      <c r="K2943" s="3161"/>
      <c r="L2943" s="3161"/>
      <c r="M2943" s="3161"/>
      <c r="N2943" s="2768"/>
    </row>
    <row r="2944" spans="2:14" ht="18" hidden="1" customHeight="1" x14ac:dyDescent="0.25">
      <c r="B2944" s="441"/>
      <c r="C2944" s="2577" t="s">
        <v>5207</v>
      </c>
      <c r="D2944" s="896">
        <v>150000000</v>
      </c>
      <c r="E2944" s="2763">
        <f>D2944/D2867*100</f>
        <v>0.12806857645373843</v>
      </c>
      <c r="F2944" s="4449"/>
      <c r="G2944" s="3161"/>
      <c r="H2944" s="2763"/>
      <c r="I2944" s="896"/>
      <c r="J2944" s="2686"/>
      <c r="K2944" s="3161"/>
      <c r="L2944" s="2690"/>
      <c r="M2944" s="896"/>
      <c r="N2944" s="2768"/>
    </row>
    <row r="2945" spans="2:14" ht="17.25" hidden="1" customHeight="1" x14ac:dyDescent="0.25">
      <c r="B2945" s="441"/>
      <c r="C2945" s="2577" t="s">
        <v>5209</v>
      </c>
      <c r="D2945" s="896">
        <v>200000000</v>
      </c>
      <c r="E2945" s="2763">
        <f>D2945/D2867*100</f>
        <v>0.17075810193831789</v>
      </c>
      <c r="F2945" s="4449"/>
      <c r="G2945" s="3161"/>
      <c r="H2945" s="2763"/>
      <c r="I2945" s="896"/>
      <c r="J2945" s="2686"/>
      <c r="K2945" s="3161"/>
      <c r="L2945" s="2690"/>
      <c r="M2945" s="896"/>
      <c r="N2945" s="2768"/>
    </row>
    <row r="2946" spans="2:14" ht="31.5" hidden="1" customHeight="1" x14ac:dyDescent="0.25">
      <c r="B2946" s="441"/>
      <c r="C2946" s="2577" t="s">
        <v>5210</v>
      </c>
      <c r="D2946" s="896">
        <v>150000000</v>
      </c>
      <c r="E2946" s="2763">
        <f>D2946/D2867*100</f>
        <v>0.12806857645373843</v>
      </c>
      <c r="F2946" s="4449"/>
      <c r="G2946" s="3161"/>
      <c r="H2946" s="2763"/>
      <c r="I2946" s="2755"/>
      <c r="J2946" s="2686"/>
      <c r="K2946" s="3161"/>
      <c r="L2946" s="2690"/>
      <c r="M2946" s="2709"/>
      <c r="N2946" s="2768"/>
    </row>
    <row r="2947" spans="2:14" ht="21.75" hidden="1" customHeight="1" x14ac:dyDescent="0.25">
      <c r="B2947" s="441"/>
      <c r="C2947" s="2577" t="s">
        <v>5211</v>
      </c>
      <c r="D2947" s="896">
        <v>150000000</v>
      </c>
      <c r="E2947" s="2763">
        <f>D2947/D2867*100</f>
        <v>0.12806857645373843</v>
      </c>
      <c r="F2947" s="4449"/>
      <c r="G2947" s="2855"/>
      <c r="H2947" s="2855"/>
      <c r="I2947" s="2855"/>
      <c r="J2947" s="2686"/>
      <c r="K2947" s="896"/>
      <c r="L2947" s="2690"/>
      <c r="M2947" s="896"/>
      <c r="N2947" s="2768"/>
    </row>
    <row r="2948" spans="2:14" ht="12" hidden="1" customHeight="1" x14ac:dyDescent="0.25">
      <c r="B2948" s="441"/>
      <c r="C2948" s="2475"/>
      <c r="D2948" s="2769"/>
      <c r="E2948" s="2758"/>
      <c r="F2948" s="4447"/>
      <c r="G2948" s="2830"/>
      <c r="H2948" s="2758"/>
      <c r="I2948" s="2708"/>
      <c r="J2948" s="2709"/>
      <c r="K2948" s="2709"/>
      <c r="L2948" s="3248"/>
      <c r="M2948" s="2709"/>
      <c r="N2948" s="2768"/>
    </row>
    <row r="2949" spans="2:14" ht="17.25" hidden="1" customHeight="1" x14ac:dyDescent="0.25">
      <c r="B2949" s="440"/>
      <c r="C2949" s="2579" t="s">
        <v>1889</v>
      </c>
      <c r="D2949" s="3252">
        <f>SUM(D2950+D2955+D2958+D2970+D2973)</f>
        <v>7520000000</v>
      </c>
      <c r="E2949" s="3253">
        <f>D2949/D2867*100</f>
        <v>6.4205046328807542</v>
      </c>
      <c r="F2949" s="3897"/>
      <c r="G2949" s="3254"/>
      <c r="H2949" s="2672"/>
      <c r="I2949" s="2744"/>
      <c r="J2949" s="3255"/>
      <c r="K2949" s="3255"/>
      <c r="L2949" s="3256"/>
      <c r="M2949" s="2744"/>
      <c r="N2949" s="2768"/>
    </row>
    <row r="2950" spans="2:14" ht="16.5" hidden="1" customHeight="1" x14ac:dyDescent="0.25">
      <c r="B2950" s="441"/>
      <c r="C2950" s="2580" t="s">
        <v>1890</v>
      </c>
      <c r="D2950" s="3103">
        <f>SUM(D2951:D2953)</f>
        <v>330000000</v>
      </c>
      <c r="E2950" s="2693">
        <f>D2950/D2867*100</f>
        <v>0.28175086819822454</v>
      </c>
      <c r="F2950" s="3898"/>
      <c r="G2950" s="3166"/>
      <c r="H2950" s="2693"/>
      <c r="I2950" s="3258"/>
      <c r="J2950" s="3259"/>
      <c r="K2950" s="3259"/>
      <c r="L2950" s="2732"/>
      <c r="M2950" s="899"/>
      <c r="N2950" s="2768"/>
    </row>
    <row r="2951" spans="2:14" ht="17.25" hidden="1" customHeight="1" x14ac:dyDescent="0.25">
      <c r="B2951" s="441"/>
      <c r="C2951" s="2577" t="s">
        <v>5212</v>
      </c>
      <c r="D2951" s="896">
        <v>100000000</v>
      </c>
      <c r="E2951" s="2688">
        <f>D2951/D2867*100</f>
        <v>8.5379050969158946E-2</v>
      </c>
      <c r="F2951" s="4449"/>
      <c r="G2951" s="3162"/>
      <c r="H2951" s="2763"/>
      <c r="I2951" s="3162"/>
      <c r="J2951" s="2686"/>
      <c r="K2951" s="896"/>
      <c r="L2951" s="2690"/>
      <c r="M2951" s="896"/>
      <c r="N2951" s="2768"/>
    </row>
    <row r="2952" spans="2:14" ht="18.75" hidden="1" customHeight="1" x14ac:dyDescent="0.25">
      <c r="B2952" s="441"/>
      <c r="C2952" s="2581" t="s">
        <v>5213</v>
      </c>
      <c r="D2952" s="896">
        <v>130000000</v>
      </c>
      <c r="E2952" s="2688">
        <f>D2952/D2867*100</f>
        <v>0.11099276625990664</v>
      </c>
      <c r="F2952" s="4449"/>
      <c r="G2952" s="3260"/>
      <c r="H2952" s="2690"/>
      <c r="I2952" s="898"/>
      <c r="J2952" s="898"/>
      <c r="K2952" s="898"/>
      <c r="L2952" s="2686"/>
      <c r="M2952" s="898"/>
      <c r="N2952" s="2768"/>
    </row>
    <row r="2953" spans="2:14" ht="15.75" hidden="1" customHeight="1" x14ac:dyDescent="0.25">
      <c r="B2953" s="441"/>
      <c r="C2953" s="2581" t="s">
        <v>5214</v>
      </c>
      <c r="D2953" s="896">
        <v>100000000</v>
      </c>
      <c r="E2953" s="2688">
        <f>D2953/D2867*100</f>
        <v>8.5379050969158946E-2</v>
      </c>
      <c r="F2953" s="4449"/>
      <c r="G2953" s="3261"/>
      <c r="H2953" s="2760"/>
      <c r="I2953" s="898"/>
      <c r="J2953" s="898"/>
      <c r="K2953" s="898"/>
      <c r="L2953" s="3243"/>
      <c r="M2953" s="898"/>
      <c r="N2953" s="2768"/>
    </row>
    <row r="2954" spans="2:14" ht="12" hidden="1" customHeight="1" x14ac:dyDescent="0.25">
      <c r="B2954" s="441"/>
      <c r="C2954" s="2581"/>
      <c r="D2954" s="896"/>
      <c r="E2954" s="2688"/>
      <c r="F2954" s="4449"/>
      <c r="G2954" s="3261"/>
      <c r="H2954" s="2760"/>
      <c r="I2954" s="898"/>
      <c r="J2954" s="898"/>
      <c r="K2954" s="898"/>
      <c r="L2954" s="3243"/>
      <c r="M2954" s="898"/>
      <c r="N2954" s="2768"/>
    </row>
    <row r="2955" spans="2:14" ht="16.5" hidden="1" customHeight="1" x14ac:dyDescent="0.25">
      <c r="B2955" s="441"/>
      <c r="C2955" s="2582" t="s">
        <v>5215</v>
      </c>
      <c r="D2955" s="3103">
        <f>SUM(D2956)</f>
        <v>100000000</v>
      </c>
      <c r="E2955" s="2693">
        <f>D2955/D2867*100</f>
        <v>8.5379050969158946E-2</v>
      </c>
      <c r="F2955" s="3898"/>
      <c r="G2955" s="3262"/>
      <c r="H2955" s="2764"/>
      <c r="I2955" s="3166"/>
      <c r="J2955" s="3259"/>
      <c r="K2955" s="3259"/>
      <c r="L2955" s="2732"/>
      <c r="M2955" s="899"/>
      <c r="N2955" s="2768"/>
    </row>
    <row r="2956" spans="2:14" ht="15.75" hidden="1" customHeight="1" x14ac:dyDescent="0.25">
      <c r="B2956" s="441"/>
      <c r="C2956" s="2577" t="s">
        <v>5216</v>
      </c>
      <c r="D2956" s="896">
        <v>100000000</v>
      </c>
      <c r="E2956" s="2688">
        <f>D2956/D2867*100</f>
        <v>8.5379050969158946E-2</v>
      </c>
      <c r="F2956" s="4449"/>
      <c r="G2956" s="3161"/>
      <c r="H2956" s="2763"/>
      <c r="I2956" s="3162"/>
      <c r="J2956" s="2686"/>
      <c r="K2956" s="896"/>
      <c r="L2956" s="2690"/>
      <c r="M2956" s="896"/>
      <c r="N2956" s="2768"/>
    </row>
    <row r="2957" spans="2:14" ht="12" hidden="1" customHeight="1" x14ac:dyDescent="0.25">
      <c r="B2957" s="441"/>
      <c r="C2957" s="2581"/>
      <c r="D2957" s="896"/>
      <c r="E2957" s="2688"/>
      <c r="F2957" s="4449"/>
      <c r="G2957" s="3260"/>
      <c r="H2957" s="2690"/>
      <c r="I2957" s="898"/>
      <c r="J2957" s="898"/>
      <c r="K2957" s="898"/>
      <c r="L2957" s="2686"/>
      <c r="M2957" s="898"/>
      <c r="N2957" s="2768"/>
    </row>
    <row r="2958" spans="2:14" ht="18" hidden="1" customHeight="1" x14ac:dyDescent="0.25">
      <c r="B2958" s="441"/>
      <c r="C2958" s="2582" t="s">
        <v>5218</v>
      </c>
      <c r="D2958" s="3103">
        <f>SUM(D2959:D2968)</f>
        <v>1100000000</v>
      </c>
      <c r="E2958" s="2693">
        <f>D2958/D2867*100</f>
        <v>0.93916956066074853</v>
      </c>
      <c r="F2958" s="3898"/>
      <c r="G2958" s="3257"/>
      <c r="H2958" s="2764"/>
      <c r="I2958" s="899"/>
      <c r="J2958" s="3259"/>
      <c r="K2958" s="3259"/>
      <c r="L2958" s="2732"/>
      <c r="M2958" s="899"/>
      <c r="N2958" s="2768"/>
    </row>
    <row r="2959" spans="2:14" ht="15" hidden="1" customHeight="1" x14ac:dyDescent="0.25">
      <c r="B2959" s="441"/>
      <c r="C2959" s="2577" t="s">
        <v>5217</v>
      </c>
      <c r="D2959" s="896">
        <v>100000000</v>
      </c>
      <c r="E2959" s="2688">
        <f>D2959/D2867*100</f>
        <v>8.5379050969158946E-2</v>
      </c>
      <c r="F2959" s="4449"/>
      <c r="G2959" s="3161"/>
      <c r="H2959" s="2763"/>
      <c r="I2959" s="896"/>
      <c r="J2959" s="896"/>
      <c r="K2959" s="896"/>
      <c r="L2959" s="2690"/>
      <c r="M2959" s="896"/>
      <c r="N2959" s="2768"/>
    </row>
    <row r="2960" spans="2:14" ht="15" hidden="1" customHeight="1" x14ac:dyDescent="0.25">
      <c r="B2960" s="441"/>
      <c r="C2960" s="2581" t="s">
        <v>5219</v>
      </c>
      <c r="D2960" s="896">
        <v>100000000</v>
      </c>
      <c r="E2960" s="2688">
        <f>D2960/D2867*100</f>
        <v>8.5379050969158946E-2</v>
      </c>
      <c r="F2960" s="4449"/>
      <c r="G2960" s="3165"/>
      <c r="H2960" s="2763"/>
      <c r="I2960" s="896"/>
      <c r="J2960" s="896"/>
      <c r="K2960" s="896"/>
      <c r="L2960" s="2690"/>
      <c r="M2960" s="896"/>
      <c r="N2960" s="2768"/>
    </row>
    <row r="2961" spans="2:14" ht="15" hidden="1" customHeight="1" x14ac:dyDescent="0.25">
      <c r="B2961" s="441"/>
      <c r="C2961" s="2581" t="s">
        <v>5220</v>
      </c>
      <c r="D2961" s="896">
        <v>100000000</v>
      </c>
      <c r="E2961" s="2688">
        <f>D2961/D2867*100</f>
        <v>8.5379050969158946E-2</v>
      </c>
      <c r="F2961" s="4449"/>
      <c r="G2961" s="3165"/>
      <c r="H2961" s="2763"/>
      <c r="I2961" s="896"/>
      <c r="J2961" s="896"/>
      <c r="K2961" s="896"/>
      <c r="L2961" s="2690"/>
      <c r="M2961" s="896"/>
      <c r="N2961" s="2768"/>
    </row>
    <row r="2962" spans="2:14" ht="15" hidden="1" customHeight="1" x14ac:dyDescent="0.25">
      <c r="B2962" s="441"/>
      <c r="C2962" s="2581" t="s">
        <v>5221</v>
      </c>
      <c r="D2962" s="896">
        <v>100000000</v>
      </c>
      <c r="E2962" s="2688">
        <f>D2962/D2867*100</f>
        <v>8.5379050969158946E-2</v>
      </c>
      <c r="F2962" s="4449"/>
      <c r="G2962" s="3165"/>
      <c r="H2962" s="2763"/>
      <c r="I2962" s="896"/>
      <c r="J2962" s="896"/>
      <c r="K2962" s="896"/>
      <c r="L2962" s="2690"/>
      <c r="M2962" s="896"/>
      <c r="N2962" s="2768"/>
    </row>
    <row r="2963" spans="2:14" ht="15" hidden="1" customHeight="1" x14ac:dyDescent="0.25">
      <c r="B2963" s="441"/>
      <c r="C2963" s="2581" t="s">
        <v>5222</v>
      </c>
      <c r="D2963" s="896">
        <v>100000000</v>
      </c>
      <c r="E2963" s="2688">
        <f>D2963/D2867*100</f>
        <v>8.5379050969158946E-2</v>
      </c>
      <c r="F2963" s="4449"/>
      <c r="G2963" s="3165"/>
      <c r="H2963" s="2763"/>
      <c r="I2963" s="896"/>
      <c r="J2963" s="896"/>
      <c r="K2963" s="896"/>
      <c r="L2963" s="2690"/>
      <c r="M2963" s="896"/>
      <c r="N2963" s="2768"/>
    </row>
    <row r="2964" spans="2:14" ht="15" hidden="1" customHeight="1" x14ac:dyDescent="0.25">
      <c r="B2964" s="441"/>
      <c r="C2964" s="2581" t="s">
        <v>5223</v>
      </c>
      <c r="D2964" s="896">
        <v>100000000</v>
      </c>
      <c r="E2964" s="2688">
        <f>D2964/D2867*100</f>
        <v>8.5379050969158946E-2</v>
      </c>
      <c r="F2964" s="4449"/>
      <c r="G2964" s="3165"/>
      <c r="H2964" s="2763"/>
      <c r="I2964" s="896"/>
      <c r="J2964" s="896"/>
      <c r="K2964" s="896"/>
      <c r="L2964" s="2690"/>
      <c r="M2964" s="896"/>
      <c r="N2964" s="2768"/>
    </row>
    <row r="2965" spans="2:14" ht="16.5" hidden="1" customHeight="1" x14ac:dyDescent="0.25">
      <c r="B2965" s="441"/>
      <c r="C2965" s="2581" t="s">
        <v>5224</v>
      </c>
      <c r="D2965" s="896">
        <v>100000000</v>
      </c>
      <c r="E2965" s="2688">
        <f>D2965/D2867*100</f>
        <v>8.5379050969158946E-2</v>
      </c>
      <c r="F2965" s="4449"/>
      <c r="G2965" s="3165"/>
      <c r="H2965" s="2763"/>
      <c r="I2965" s="896"/>
      <c r="J2965" s="896"/>
      <c r="K2965" s="896"/>
      <c r="L2965" s="2690"/>
      <c r="M2965" s="896"/>
      <c r="N2965" s="2768"/>
    </row>
    <row r="2966" spans="2:14" ht="15" hidden="1" customHeight="1" x14ac:dyDescent="0.25">
      <c r="B2966" s="441"/>
      <c r="C2966" s="2581" t="s">
        <v>5225</v>
      </c>
      <c r="D2966" s="896">
        <v>100000000</v>
      </c>
      <c r="E2966" s="2688">
        <f>D2966/D2867*100</f>
        <v>8.5379050969158946E-2</v>
      </c>
      <c r="F2966" s="4449"/>
      <c r="G2966" s="3165"/>
      <c r="H2966" s="2763"/>
      <c r="I2966" s="896"/>
      <c r="J2966" s="896"/>
      <c r="K2966" s="896"/>
      <c r="L2966" s="2690"/>
      <c r="M2966" s="896"/>
      <c r="N2966" s="2768"/>
    </row>
    <row r="2967" spans="2:14" ht="15" hidden="1" customHeight="1" x14ac:dyDescent="0.25">
      <c r="B2967" s="441"/>
      <c r="C2967" s="2581" t="s">
        <v>5226</v>
      </c>
      <c r="D2967" s="896">
        <v>100000000</v>
      </c>
      <c r="E2967" s="2688">
        <f>D2967/D2867*100</f>
        <v>8.5379050969158946E-2</v>
      </c>
      <c r="F2967" s="4449"/>
      <c r="G2967" s="3165"/>
      <c r="H2967" s="2763"/>
      <c r="I2967" s="896"/>
      <c r="J2967" s="896"/>
      <c r="K2967" s="896"/>
      <c r="L2967" s="2690"/>
      <c r="M2967" s="896"/>
      <c r="N2967" s="2768"/>
    </row>
    <row r="2968" spans="2:14" ht="15" hidden="1" customHeight="1" x14ac:dyDescent="0.25">
      <c r="B2968" s="441"/>
      <c r="C2968" s="2581" t="s">
        <v>5227</v>
      </c>
      <c r="D2968" s="896">
        <v>200000000</v>
      </c>
      <c r="E2968" s="2688">
        <f>D2968/D2867*100</f>
        <v>0.17075810193831789</v>
      </c>
      <c r="F2968" s="4449"/>
      <c r="G2968" s="3165"/>
      <c r="H2968" s="2763"/>
      <c r="I2968" s="896"/>
      <c r="J2968" s="896"/>
      <c r="K2968" s="896"/>
      <c r="L2968" s="2690"/>
      <c r="M2968" s="896"/>
      <c r="N2968" s="2768"/>
    </row>
    <row r="2969" spans="2:14" ht="12" hidden="1" customHeight="1" x14ac:dyDescent="0.25">
      <c r="B2969" s="441"/>
      <c r="C2969" s="2581"/>
      <c r="D2969" s="896"/>
      <c r="E2969" s="2688"/>
      <c r="F2969" s="4449"/>
      <c r="G2969" s="3260"/>
      <c r="H2969" s="2690"/>
      <c r="I2969" s="898"/>
      <c r="J2969" s="898"/>
      <c r="K2969" s="898"/>
      <c r="L2969" s="2686"/>
      <c r="M2969" s="898"/>
      <c r="N2969" s="2768"/>
    </row>
    <row r="2970" spans="2:14" ht="17.25" hidden="1" customHeight="1" x14ac:dyDescent="0.25">
      <c r="B2970" s="441"/>
      <c r="C2970" s="2582" t="s">
        <v>5228</v>
      </c>
      <c r="D2970" s="3103">
        <f>SUM(D2971:D2971)</f>
        <v>5000000000</v>
      </c>
      <c r="E2970" s="2693">
        <f>D2970/D2867*100</f>
        <v>4.2689525484579471</v>
      </c>
      <c r="F2970" s="3898"/>
      <c r="G2970" s="3166"/>
      <c r="H2970" s="3166"/>
      <c r="I2970" s="3166"/>
      <c r="J2970" s="3259"/>
      <c r="K2970" s="3259"/>
      <c r="L2970" s="2732"/>
      <c r="M2970" s="899"/>
      <c r="N2970" s="2768"/>
    </row>
    <row r="2971" spans="2:14" ht="16.5" hidden="1" customHeight="1" x14ac:dyDescent="0.25">
      <c r="B2971" s="441"/>
      <c r="C2971" s="2577" t="s">
        <v>5229</v>
      </c>
      <c r="D2971" s="896">
        <v>5000000000</v>
      </c>
      <c r="E2971" s="2688">
        <f>D2971/D2867*100</f>
        <v>4.2689525484579471</v>
      </c>
      <c r="F2971" s="4449"/>
      <c r="G2971" s="3162"/>
      <c r="H2971" s="3162"/>
      <c r="I2971" s="3162"/>
      <c r="J2971" s="2686"/>
      <c r="K2971" s="2852"/>
      <c r="L2971" s="2855"/>
      <c r="M2971" s="2855"/>
      <c r="N2971" s="2768"/>
    </row>
    <row r="2972" spans="2:14" ht="12" hidden="1" customHeight="1" x14ac:dyDescent="0.25">
      <c r="B2972" s="441"/>
      <c r="C2972" s="2581"/>
      <c r="D2972" s="896"/>
      <c r="E2972" s="2688"/>
      <c r="F2972" s="4449"/>
      <c r="G2972" s="3162"/>
      <c r="H2972" s="3162"/>
      <c r="I2972" s="3162"/>
      <c r="J2972" s="898"/>
      <c r="K2972" s="898"/>
      <c r="L2972" s="2686"/>
      <c r="M2972" s="898"/>
      <c r="N2972" s="2768"/>
    </row>
    <row r="2973" spans="2:14" ht="20.25" hidden="1" customHeight="1" x14ac:dyDescent="0.25">
      <c r="B2973" s="441"/>
      <c r="C2973" s="2582" t="s">
        <v>5230</v>
      </c>
      <c r="D2973" s="3103">
        <f>SUM(D2974:D2974)</f>
        <v>990000000</v>
      </c>
      <c r="E2973" s="2693">
        <f>D2973/D2867*100</f>
        <v>0.84525260459467366</v>
      </c>
      <c r="F2973" s="3898"/>
      <c r="G2973" s="3166"/>
      <c r="H2973" s="3166"/>
      <c r="I2973" s="3166"/>
      <c r="J2973" s="3259"/>
      <c r="K2973" s="3259"/>
      <c r="L2973" s="2732"/>
      <c r="M2973" s="899"/>
      <c r="N2973" s="2768"/>
    </row>
    <row r="2974" spans="2:14" ht="18" hidden="1" customHeight="1" x14ac:dyDescent="0.25">
      <c r="B2974" s="441"/>
      <c r="C2974" s="2577" t="s">
        <v>5231</v>
      </c>
      <c r="D2974" s="896">
        <v>990000000</v>
      </c>
      <c r="E2974" s="2688">
        <f>D2974/D2867*100</f>
        <v>0.84525260459467366</v>
      </c>
      <c r="F2974" s="4449"/>
      <c r="G2974" s="2855"/>
      <c r="H2974" s="2855"/>
      <c r="I2974" s="2855"/>
      <c r="J2974" s="2686"/>
      <c r="K2974" s="896"/>
      <c r="L2974" s="2690"/>
      <c r="M2974" s="896"/>
      <c r="N2974" s="2768"/>
    </row>
    <row r="2975" spans="2:14" ht="12" hidden="1" customHeight="1" x14ac:dyDescent="0.25">
      <c r="B2975" s="441"/>
      <c r="C2975" s="2583"/>
      <c r="D2975" s="2894"/>
      <c r="E2975" s="3263"/>
      <c r="F2975" s="4481"/>
      <c r="G2975" s="3264"/>
      <c r="H2975" s="3054"/>
      <c r="I2975" s="3006"/>
      <c r="J2975" s="3006"/>
      <c r="K2975" s="3006"/>
      <c r="L2975" s="3265"/>
      <c r="M2975" s="3006"/>
      <c r="N2975" s="2768"/>
    </row>
    <row r="2976" spans="2:14" ht="19.5" hidden="1" customHeight="1" x14ac:dyDescent="0.25">
      <c r="B2976" s="440"/>
      <c r="C2976" s="2584" t="s">
        <v>286</v>
      </c>
      <c r="D2976" s="2744">
        <f>SUM(D2977+D2980+D2983)</f>
        <v>10700000000</v>
      </c>
      <c r="E2976" s="2717">
        <f>D2976/D2867*100</f>
        <v>9.135558453700007</v>
      </c>
      <c r="F2976" s="3844"/>
      <c r="G2976" s="2744"/>
      <c r="H2976" s="2672"/>
      <c r="I2976" s="2744"/>
      <c r="J2976" s="2744"/>
      <c r="K2976" s="2744"/>
      <c r="L2976" s="3256"/>
      <c r="M2976" s="2744"/>
      <c r="N2976" s="2768"/>
    </row>
    <row r="2977" spans="1:16" ht="20.25" hidden="1" customHeight="1" x14ac:dyDescent="0.25">
      <c r="B2977" s="441"/>
      <c r="C2977" s="2576" t="s">
        <v>103</v>
      </c>
      <c r="D2977" s="899">
        <f>SUM(D2978)</f>
        <v>500000000</v>
      </c>
      <c r="E2977" s="2693">
        <f>D2977/D2867*100</f>
        <v>0.42689525484579477</v>
      </c>
      <c r="F2977" s="3852"/>
      <c r="G2977" s="3250"/>
      <c r="H2977" s="3250"/>
      <c r="I2977" s="3250"/>
      <c r="J2977" s="3247"/>
      <c r="K2977" s="3180"/>
      <c r="L2977" s="3250"/>
      <c r="M2977" s="3250"/>
      <c r="N2977" s="2768"/>
    </row>
    <row r="2978" spans="1:16" ht="18.75" hidden="1" customHeight="1" x14ac:dyDescent="0.25">
      <c r="B2978" s="441"/>
      <c r="C2978" s="2577" t="s">
        <v>5232</v>
      </c>
      <c r="D2978" s="896">
        <v>500000000</v>
      </c>
      <c r="E2978" s="2688">
        <f>D2978/D2867*100</f>
        <v>0.42689525484579477</v>
      </c>
      <c r="F2978" s="4449"/>
      <c r="G2978" s="3162"/>
      <c r="H2978" s="3162"/>
      <c r="I2978" s="3162"/>
      <c r="J2978" s="2686"/>
      <c r="K2978" s="3161"/>
      <c r="L2978" s="3162"/>
      <c r="M2978" s="3162"/>
      <c r="N2978" s="2768"/>
    </row>
    <row r="2979" spans="1:16" ht="12.75" hidden="1" customHeight="1" x14ac:dyDescent="0.25">
      <c r="B2979" s="441"/>
      <c r="C2979" s="2585"/>
      <c r="D2979" s="2769"/>
      <c r="E2979" s="2688"/>
      <c r="F2979" s="4451"/>
      <c r="G2979" s="3169"/>
      <c r="H2979" s="3169"/>
      <c r="I2979" s="3169"/>
      <c r="J2979" s="3248"/>
      <c r="K2979" s="3170"/>
      <c r="L2979" s="3169"/>
      <c r="M2979" s="3169"/>
      <c r="N2979" s="2768"/>
    </row>
    <row r="2980" spans="1:16" ht="31.5" hidden="1" customHeight="1" x14ac:dyDescent="0.25">
      <c r="B2980" s="441"/>
      <c r="C2980" s="2576" t="s">
        <v>5233</v>
      </c>
      <c r="D2980" s="899">
        <f>D2981</f>
        <v>200000000</v>
      </c>
      <c r="E2980" s="2693">
        <f>D2980/D2867*100</f>
        <v>0.17075810193831789</v>
      </c>
      <c r="F2980" s="4449"/>
      <c r="G2980" s="3162"/>
      <c r="H2980" s="3162"/>
      <c r="I2980" s="3162"/>
      <c r="J2980" s="2686"/>
      <c r="K2980" s="3161"/>
      <c r="L2980" s="3162"/>
      <c r="M2980" s="3162"/>
      <c r="N2980" s="2768"/>
    </row>
    <row r="2981" spans="1:16" ht="23.25" hidden="1" customHeight="1" x14ac:dyDescent="0.25">
      <c r="B2981" s="441"/>
      <c r="C2981" s="2577" t="s">
        <v>5234</v>
      </c>
      <c r="D2981" s="896">
        <v>200000000</v>
      </c>
      <c r="E2981" s="2688">
        <f>D2981/D2867*100</f>
        <v>0.17075810193831789</v>
      </c>
      <c r="F2981" s="4449"/>
      <c r="G2981" s="3162"/>
      <c r="H2981" s="3162"/>
      <c r="I2981" s="3162"/>
      <c r="J2981" s="2686"/>
      <c r="K2981" s="3161"/>
      <c r="L2981" s="3162"/>
      <c r="M2981" s="3162"/>
      <c r="N2981" s="2768"/>
    </row>
    <row r="2982" spans="1:16" ht="9.75" hidden="1" customHeight="1" x14ac:dyDescent="0.25">
      <c r="B2982" s="441"/>
      <c r="C2982" s="2577"/>
      <c r="D2982" s="896"/>
      <c r="E2982" s="2688"/>
      <c r="F2982" s="4449"/>
      <c r="G2982" s="3162"/>
      <c r="H2982" s="3162"/>
      <c r="I2982" s="3162"/>
      <c r="J2982" s="2686"/>
      <c r="K2982" s="3161"/>
      <c r="L2982" s="3162"/>
      <c r="M2982" s="3162"/>
      <c r="N2982" s="2768"/>
    </row>
    <row r="2983" spans="1:16" s="32" customFormat="1" ht="17.25" hidden="1" customHeight="1" x14ac:dyDescent="0.25">
      <c r="A2983" s="1"/>
      <c r="B2983" s="441"/>
      <c r="C2983" s="2576" t="s">
        <v>5235</v>
      </c>
      <c r="D2983" s="899">
        <f>SUM(D2984:D2988)</f>
        <v>10000000000</v>
      </c>
      <c r="E2983" s="2693">
        <f>D2983/D2867*100</f>
        <v>8.5379050969158943</v>
      </c>
      <c r="F2983" s="3852"/>
      <c r="G2983" s="3166"/>
      <c r="H2983" s="3166"/>
      <c r="I2983" s="3166"/>
      <c r="J2983" s="3247"/>
      <c r="K2983" s="3163"/>
      <c r="L2983" s="3166"/>
      <c r="M2983" s="3166"/>
      <c r="N2983" s="2837"/>
      <c r="P2983" s="630"/>
    </row>
    <row r="2984" spans="1:16" ht="28.5" hidden="1" customHeight="1" x14ac:dyDescent="0.25">
      <c r="B2984" s="441"/>
      <c r="C2984" s="2577" t="s">
        <v>5236</v>
      </c>
      <c r="D2984" s="896">
        <v>3570000000</v>
      </c>
      <c r="E2984" s="2688">
        <f>D2984/D2867*100</f>
        <v>3.0480321195989748</v>
      </c>
      <c r="F2984" s="4449"/>
      <c r="G2984" s="3162"/>
      <c r="H2984" s="3162"/>
      <c r="I2984" s="3162"/>
      <c r="J2984" s="2686"/>
      <c r="K2984" s="3161"/>
      <c r="L2984" s="3162"/>
      <c r="M2984" s="3162"/>
      <c r="N2984" s="2768"/>
    </row>
    <row r="2985" spans="1:16" ht="18.75" hidden="1" customHeight="1" x14ac:dyDescent="0.25">
      <c r="B2985" s="441"/>
      <c r="C2985" s="2577" t="s">
        <v>5237</v>
      </c>
      <c r="D2985" s="896">
        <v>5300000000</v>
      </c>
      <c r="E2985" s="2688">
        <f>D2985/D2867*100</f>
        <v>4.5250897013654239</v>
      </c>
      <c r="F2985" s="4449"/>
      <c r="G2985" s="3162"/>
      <c r="H2985" s="3162"/>
      <c r="I2985" s="3162"/>
      <c r="J2985" s="2686"/>
      <c r="K2985" s="3161"/>
      <c r="L2985" s="3162"/>
      <c r="M2985" s="3162"/>
      <c r="N2985" s="2768"/>
    </row>
    <row r="2986" spans="1:16" ht="17.25" hidden="1" customHeight="1" x14ac:dyDescent="0.25">
      <c r="B2986" s="441"/>
      <c r="C2986" s="2577" t="s">
        <v>5238</v>
      </c>
      <c r="D2986" s="896">
        <v>930000000</v>
      </c>
      <c r="E2986" s="2688">
        <f>D2986/D2867*100</f>
        <v>0.79402517401317829</v>
      </c>
      <c r="F2986" s="4449"/>
      <c r="G2986" s="3162"/>
      <c r="H2986" s="3162"/>
      <c r="I2986" s="3162"/>
      <c r="J2986" s="2686"/>
      <c r="K2986" s="3161"/>
      <c r="L2986" s="3162"/>
      <c r="M2986" s="3162"/>
      <c r="N2986" s="2768"/>
    </row>
    <row r="2987" spans="1:16" ht="15.75" hidden="1" customHeight="1" x14ac:dyDescent="0.25">
      <c r="B2987" s="441"/>
      <c r="C2987" s="2577" t="s">
        <v>5239</v>
      </c>
      <c r="D2987" s="896">
        <v>100000000</v>
      </c>
      <c r="E2987" s="2688">
        <f>D2987/D2867*100</f>
        <v>8.5379050969158946E-2</v>
      </c>
      <c r="F2987" s="4449"/>
      <c r="G2987" s="3162"/>
      <c r="H2987" s="3162"/>
      <c r="I2987" s="3162"/>
      <c r="J2987" s="2686"/>
      <c r="K2987" s="3161"/>
      <c r="L2987" s="3162"/>
      <c r="M2987" s="3162"/>
      <c r="N2987" s="2768"/>
    </row>
    <row r="2988" spans="1:16" ht="18" hidden="1" customHeight="1" x14ac:dyDescent="0.25">
      <c r="B2988" s="441"/>
      <c r="C2988" s="2577" t="s">
        <v>5240</v>
      </c>
      <c r="D2988" s="896">
        <v>100000000</v>
      </c>
      <c r="E2988" s="2688">
        <f>D2988/D2867*100</f>
        <v>8.5379050969158946E-2</v>
      </c>
      <c r="F2988" s="4449"/>
      <c r="G2988" s="3162"/>
      <c r="H2988" s="3162"/>
      <c r="I2988" s="3162"/>
      <c r="J2988" s="2686"/>
      <c r="K2988" s="3161"/>
      <c r="L2988" s="3162"/>
      <c r="M2988" s="3162"/>
      <c r="N2988" s="2768"/>
    </row>
    <row r="2989" spans="1:16" ht="12" hidden="1" customHeight="1" x14ac:dyDescent="0.25">
      <c r="B2989" s="441"/>
      <c r="C2989" s="2586"/>
      <c r="D2989" s="2751"/>
      <c r="E2989" s="2758"/>
      <c r="F2989" s="3845"/>
      <c r="G2989" s="3261"/>
      <c r="H2989" s="2752"/>
      <c r="I2989" s="2755"/>
      <c r="J2989" s="2755"/>
      <c r="K2989" s="2755"/>
      <c r="L2989" s="3248"/>
      <c r="M2989" s="2755"/>
      <c r="N2989" s="2768"/>
    </row>
    <row r="2990" spans="1:16" ht="18" hidden="1" customHeight="1" x14ac:dyDescent="0.25">
      <c r="B2990" s="440"/>
      <c r="C2990" s="2584" t="s">
        <v>1940</v>
      </c>
      <c r="D2990" s="2744">
        <f>SUM(D2991+D2996+D3000+D3009+D3018+D3044+D3048)</f>
        <v>1930000000</v>
      </c>
      <c r="E2990" s="2717">
        <f>D2990/D2867*100</f>
        <v>1.6478156837047679</v>
      </c>
      <c r="F2990" s="3888"/>
      <c r="G2990" s="3196"/>
      <c r="H2990" s="3196"/>
      <c r="I2990" s="3196"/>
      <c r="J2990" s="3256"/>
      <c r="K2990" s="3256"/>
      <c r="L2990" s="3256"/>
      <c r="M2990" s="2744"/>
      <c r="N2990" s="2768"/>
    </row>
    <row r="2991" spans="1:16" ht="18.75" hidden="1" customHeight="1" x14ac:dyDescent="0.25">
      <c r="B2991" s="441"/>
      <c r="C2991" s="2576" t="s">
        <v>5241</v>
      </c>
      <c r="D2991" s="899">
        <f>SUM(D2992:D2994)</f>
        <v>0</v>
      </c>
      <c r="E2991" s="2693">
        <f>D2991/D2867*100</f>
        <v>0</v>
      </c>
      <c r="F2991" s="3852"/>
      <c r="G2991" s="3162"/>
      <c r="H2991" s="3164"/>
      <c r="I2991" s="3164"/>
      <c r="J2991" s="902"/>
      <c r="K2991" s="2759"/>
      <c r="L2991" s="2732"/>
      <c r="M2991" s="2759"/>
      <c r="N2991" s="2768"/>
    </row>
    <row r="2992" spans="1:16" ht="17.25" hidden="1" customHeight="1" x14ac:dyDescent="0.25">
      <c r="B2992" s="441"/>
      <c r="C2992" s="2577" t="s">
        <v>5242</v>
      </c>
      <c r="D2992" s="896">
        <v>0</v>
      </c>
      <c r="E2992" s="2763">
        <f>D2992/D2867*100</f>
        <v>0</v>
      </c>
      <c r="F2992" s="3852"/>
      <c r="G2992" s="3162"/>
      <c r="H2992" s="3164"/>
      <c r="I2992" s="3164"/>
      <c r="J2992" s="902"/>
      <c r="K2992" s="2759"/>
      <c r="L2992" s="2732"/>
      <c r="M2992" s="2759"/>
      <c r="N2992" s="2768"/>
    </row>
    <row r="2993" spans="2:14" ht="17.25" hidden="1" customHeight="1" x14ac:dyDescent="0.25">
      <c r="B2993" s="441"/>
      <c r="C2993" s="2585" t="s">
        <v>5243</v>
      </c>
      <c r="D2993" s="896">
        <v>0</v>
      </c>
      <c r="E2993" s="2758">
        <f>D2993/D2867*100</f>
        <v>0</v>
      </c>
      <c r="F2993" s="3845"/>
      <c r="G2993" s="3169"/>
      <c r="H2993" s="3169"/>
      <c r="I2993" s="3169"/>
      <c r="J2993" s="2755"/>
      <c r="K2993" s="2751"/>
      <c r="L2993" s="3266"/>
      <c r="M2993" s="2751"/>
      <c r="N2993" s="2768"/>
    </row>
    <row r="2994" spans="2:14" ht="17.25" hidden="1" customHeight="1" x14ac:dyDescent="0.25">
      <c r="B2994" s="441"/>
      <c r="C2994" s="2577" t="s">
        <v>5244</v>
      </c>
      <c r="D2994" s="896">
        <v>0</v>
      </c>
      <c r="E2994" s="2688">
        <f>D2994/D2867*100</f>
        <v>0</v>
      </c>
      <c r="F2994" s="3852"/>
      <c r="G2994" s="3162"/>
      <c r="H2994" s="3162"/>
      <c r="I2994" s="3162"/>
      <c r="J2994" s="898"/>
      <c r="K2994" s="899"/>
      <c r="L2994" s="3247"/>
      <c r="M2994" s="899"/>
      <c r="N2994" s="2768"/>
    </row>
    <row r="2995" spans="2:14" ht="11.25" hidden="1" customHeight="1" x14ac:dyDescent="0.25">
      <c r="B2995" s="441"/>
      <c r="C2995" s="2586"/>
      <c r="D2995" s="2751"/>
      <c r="E2995" s="3267"/>
      <c r="F2995" s="3845"/>
      <c r="G2995" s="3169"/>
      <c r="H2995" s="3164"/>
      <c r="I2995" s="3164"/>
      <c r="J2995" s="902"/>
      <c r="K2995" s="2759"/>
      <c r="L2995" s="2732"/>
      <c r="M2995" s="2759"/>
      <c r="N2995" s="2768"/>
    </row>
    <row r="2996" spans="2:14" ht="14.25" hidden="1" customHeight="1" x14ac:dyDescent="0.25">
      <c r="B2996" s="441"/>
      <c r="C2996" s="2576" t="s">
        <v>5245</v>
      </c>
      <c r="D2996" s="899">
        <f>SUM(D2997:D2998)</f>
        <v>0</v>
      </c>
      <c r="E2996" s="2693">
        <f>D2996/D2867*100</f>
        <v>0</v>
      </c>
      <c r="F2996" s="3852"/>
      <c r="G2996" s="3166"/>
      <c r="H2996" s="3166"/>
      <c r="I2996" s="3166"/>
      <c r="J2996" s="2732"/>
      <c r="K2996" s="2732"/>
      <c r="L2996" s="2732"/>
      <c r="M2996" s="899"/>
      <c r="N2996" s="2768"/>
    </row>
    <row r="2997" spans="2:14" ht="16.5" hidden="1" customHeight="1" x14ac:dyDescent="0.25">
      <c r="B2997" s="441"/>
      <c r="C2997" s="2577" t="s">
        <v>5246</v>
      </c>
      <c r="D2997" s="896">
        <v>0</v>
      </c>
      <c r="E2997" s="2763">
        <f>D2997/D2867*100</f>
        <v>0</v>
      </c>
      <c r="F2997" s="4449"/>
      <c r="G2997" s="3162"/>
      <c r="H2997" s="3162"/>
      <c r="I2997" s="3162"/>
      <c r="J2997" s="896"/>
      <c r="K2997" s="896"/>
      <c r="L2997" s="2690"/>
      <c r="M2997" s="896"/>
      <c r="N2997" s="2768"/>
    </row>
    <row r="2998" spans="2:14" ht="15" hidden="1" customHeight="1" x14ac:dyDescent="0.25">
      <c r="B2998" s="441"/>
      <c r="C2998" s="2577" t="s">
        <v>5247</v>
      </c>
      <c r="D2998" s="896">
        <v>0</v>
      </c>
      <c r="E2998" s="2763">
        <f>D2998/D2867*100</f>
        <v>0</v>
      </c>
      <c r="F2998" s="4449"/>
      <c r="G2998" s="3162"/>
      <c r="H2998" s="3162"/>
      <c r="I2998" s="3162"/>
      <c r="J2998" s="898"/>
      <c r="K2998" s="896"/>
      <c r="L2998" s="2690"/>
      <c r="M2998" s="898"/>
      <c r="N2998" s="2768"/>
    </row>
    <row r="2999" spans="2:14" ht="12" hidden="1" customHeight="1" x14ac:dyDescent="0.25">
      <c r="B2999" s="441"/>
      <c r="C2999" s="2576"/>
      <c r="D2999" s="899"/>
      <c r="E2999" s="2763"/>
      <c r="F2999" s="3852"/>
      <c r="G2999" s="3162"/>
      <c r="H2999" s="3162"/>
      <c r="I2999" s="3162"/>
      <c r="J2999" s="911"/>
      <c r="K2999" s="911"/>
      <c r="L2999" s="3248"/>
      <c r="M2999" s="911"/>
      <c r="N2999" s="2768"/>
    </row>
    <row r="3000" spans="2:14" ht="19.5" hidden="1" customHeight="1" x14ac:dyDescent="0.25">
      <c r="B3000" s="441"/>
      <c r="C3000" s="2576" t="s">
        <v>5248</v>
      </c>
      <c r="D3000" s="899">
        <f>SUM(D3001:D3007)</f>
        <v>0</v>
      </c>
      <c r="E3000" s="2764">
        <f>D3000/D2867*100</f>
        <v>0</v>
      </c>
      <c r="F3000" s="3852"/>
      <c r="G3000" s="3166"/>
      <c r="H3000" s="3166"/>
      <c r="I3000" s="3166"/>
      <c r="J3000" s="3247"/>
      <c r="K3000" s="3247"/>
      <c r="L3000" s="2732"/>
      <c r="M3000" s="899"/>
      <c r="N3000" s="2768"/>
    </row>
    <row r="3001" spans="2:14" ht="15.75" hidden="1" customHeight="1" x14ac:dyDescent="0.25">
      <c r="B3001" s="441"/>
      <c r="C3001" s="2577" t="s">
        <v>5249</v>
      </c>
      <c r="D3001" s="896">
        <v>0</v>
      </c>
      <c r="E3001" s="2763">
        <f>D3001/D2867*100</f>
        <v>0</v>
      </c>
      <c r="F3001" s="4449"/>
      <c r="G3001" s="3162"/>
      <c r="H3001" s="3162"/>
      <c r="I3001" s="3162"/>
      <c r="J3001" s="2686"/>
      <c r="K3001" s="896"/>
      <c r="L3001" s="2690"/>
      <c r="M3001" s="896"/>
      <c r="N3001" s="2768"/>
    </row>
    <row r="3002" spans="2:14" ht="13.5" hidden="1" customHeight="1" x14ac:dyDescent="0.25">
      <c r="B3002" s="441"/>
      <c r="C3002" s="2577" t="s">
        <v>5250</v>
      </c>
      <c r="D3002" s="896">
        <v>0</v>
      </c>
      <c r="E3002" s="2763">
        <f>D3002/D2867*100</f>
        <v>0</v>
      </c>
      <c r="F3002" s="4449"/>
      <c r="G3002" s="3162"/>
      <c r="H3002" s="3162"/>
      <c r="I3002" s="3162"/>
      <c r="J3002" s="2686"/>
      <c r="K3002" s="896"/>
      <c r="L3002" s="2690"/>
      <c r="M3002" s="2690"/>
      <c r="N3002" s="2768"/>
    </row>
    <row r="3003" spans="2:14" ht="15.75" hidden="1" customHeight="1" x14ac:dyDescent="0.25">
      <c r="B3003" s="441"/>
      <c r="C3003" s="2577" t="s">
        <v>5251</v>
      </c>
      <c r="D3003" s="896">
        <v>0</v>
      </c>
      <c r="E3003" s="2763">
        <f>D3003/D2867*100</f>
        <v>0</v>
      </c>
      <c r="F3003" s="4449"/>
      <c r="G3003" s="3162"/>
      <c r="H3003" s="3162"/>
      <c r="I3003" s="3162"/>
      <c r="J3003" s="2686"/>
      <c r="K3003" s="896"/>
      <c r="L3003" s="2690"/>
      <c r="M3003" s="896"/>
      <c r="N3003" s="2768"/>
    </row>
    <row r="3004" spans="2:14" ht="14.25" hidden="1" customHeight="1" x14ac:dyDescent="0.25">
      <c r="B3004" s="441"/>
      <c r="C3004" s="2577" t="s">
        <v>5252</v>
      </c>
      <c r="D3004" s="896">
        <v>0</v>
      </c>
      <c r="E3004" s="2763">
        <f>D3004/D2867*100</f>
        <v>0</v>
      </c>
      <c r="F3004" s="4449"/>
      <c r="G3004" s="3162"/>
      <c r="H3004" s="3162"/>
      <c r="I3004" s="3162"/>
      <c r="J3004" s="2686"/>
      <c r="K3004" s="896"/>
      <c r="L3004" s="2690"/>
      <c r="M3004" s="896"/>
      <c r="N3004" s="2768"/>
    </row>
    <row r="3005" spans="2:14" ht="15.75" hidden="1" customHeight="1" x14ac:dyDescent="0.25">
      <c r="B3005" s="441"/>
      <c r="C3005" s="2577" t="s">
        <v>5253</v>
      </c>
      <c r="D3005" s="896">
        <v>0</v>
      </c>
      <c r="E3005" s="2763">
        <f>D3005/D2867*100</f>
        <v>0</v>
      </c>
      <c r="F3005" s="4449"/>
      <c r="G3005" s="3162"/>
      <c r="H3005" s="3162"/>
      <c r="I3005" s="3162"/>
      <c r="J3005" s="2686"/>
      <c r="K3005" s="896"/>
      <c r="L3005" s="2690"/>
      <c r="M3005" s="896"/>
      <c r="N3005" s="2768"/>
    </row>
    <row r="3006" spans="2:14" ht="15.75" hidden="1" customHeight="1" x14ac:dyDescent="0.25">
      <c r="B3006" s="441"/>
      <c r="C3006" s="2577" t="s">
        <v>5254</v>
      </c>
      <c r="D3006" s="896">
        <v>0</v>
      </c>
      <c r="E3006" s="2763">
        <f>D3006/D2867*100</f>
        <v>0</v>
      </c>
      <c r="F3006" s="4449"/>
      <c r="G3006" s="3162"/>
      <c r="H3006" s="3162"/>
      <c r="I3006" s="3162"/>
      <c r="J3006" s="2686"/>
      <c r="K3006" s="896"/>
      <c r="L3006" s="2690"/>
      <c r="M3006" s="896"/>
      <c r="N3006" s="2768"/>
    </row>
    <row r="3007" spans="2:14" ht="15" hidden="1" customHeight="1" x14ac:dyDescent="0.25">
      <c r="B3007" s="441"/>
      <c r="C3007" s="2577" t="s">
        <v>5546</v>
      </c>
      <c r="D3007" s="896">
        <v>0</v>
      </c>
      <c r="E3007" s="2763">
        <f>D3007/D2867*100</f>
        <v>0</v>
      </c>
      <c r="F3007" s="4449"/>
      <c r="G3007" s="3162"/>
      <c r="H3007" s="3162"/>
      <c r="I3007" s="3162"/>
      <c r="J3007" s="2686"/>
      <c r="K3007" s="896"/>
      <c r="L3007" s="2690"/>
      <c r="M3007" s="896"/>
      <c r="N3007" s="2768"/>
    </row>
    <row r="3008" spans="2:14" ht="12" hidden="1" customHeight="1" x14ac:dyDescent="0.25">
      <c r="B3008" s="441"/>
      <c r="C3008" s="2587"/>
      <c r="D3008" s="2709"/>
      <c r="E3008" s="2758"/>
      <c r="F3008" s="4447"/>
      <c r="G3008" s="3245"/>
      <c r="H3008" s="2752"/>
      <c r="I3008" s="2755"/>
      <c r="J3008" s="911"/>
      <c r="K3008" s="911"/>
      <c r="L3008" s="2710"/>
      <c r="M3008" s="911"/>
      <c r="N3008" s="2768"/>
    </row>
    <row r="3009" spans="2:14" ht="18.75" hidden="1" customHeight="1" x14ac:dyDescent="0.25">
      <c r="B3009" s="441"/>
      <c r="C3009" s="2576" t="s">
        <v>5255</v>
      </c>
      <c r="D3009" s="899">
        <f>SUM(D3010:D3016)</f>
        <v>0</v>
      </c>
      <c r="E3009" s="2764">
        <f>D3009/D2869*100</f>
        <v>0</v>
      </c>
      <c r="F3009" s="4446"/>
      <c r="G3009" s="3244"/>
      <c r="H3009" s="2690"/>
      <c r="I3009" s="898"/>
      <c r="J3009" s="898"/>
      <c r="K3009" s="898"/>
      <c r="L3009" s="2690"/>
      <c r="M3009" s="898"/>
      <c r="N3009" s="2768"/>
    </row>
    <row r="3010" spans="2:14" ht="15.75" hidden="1" customHeight="1" x14ac:dyDescent="0.25">
      <c r="B3010" s="441"/>
      <c r="C3010" s="2577" t="s">
        <v>5256</v>
      </c>
      <c r="D3010" s="896">
        <v>0</v>
      </c>
      <c r="E3010" s="2763">
        <f>D3010/D2867*100</f>
        <v>0</v>
      </c>
      <c r="F3010" s="4446"/>
      <c r="G3010" s="3244"/>
      <c r="H3010" s="2690"/>
      <c r="I3010" s="898"/>
      <c r="J3010" s="898"/>
      <c r="K3010" s="898"/>
      <c r="L3010" s="2690"/>
      <c r="M3010" s="898"/>
      <c r="N3010" s="2768"/>
    </row>
    <row r="3011" spans="2:14" ht="15.75" hidden="1" customHeight="1" x14ac:dyDescent="0.25">
      <c r="B3011" s="441"/>
      <c r="C3011" s="2577" t="s">
        <v>5257</v>
      </c>
      <c r="D3011" s="896">
        <v>0</v>
      </c>
      <c r="E3011" s="2763">
        <f>D3011/D2867*100</f>
        <v>0</v>
      </c>
      <c r="F3011" s="4446"/>
      <c r="G3011" s="3244"/>
      <c r="H3011" s="2690"/>
      <c r="I3011" s="898"/>
      <c r="J3011" s="898"/>
      <c r="K3011" s="898"/>
      <c r="L3011" s="2690"/>
      <c r="M3011" s="898"/>
      <c r="N3011" s="2768"/>
    </row>
    <row r="3012" spans="2:14" ht="16.5" hidden="1" customHeight="1" x14ac:dyDescent="0.25">
      <c r="B3012" s="441"/>
      <c r="C3012" s="2577" t="s">
        <v>5258</v>
      </c>
      <c r="D3012" s="896">
        <v>0</v>
      </c>
      <c r="E3012" s="2763">
        <f>D3012/D2867*100</f>
        <v>0</v>
      </c>
      <c r="F3012" s="4446"/>
      <c r="G3012" s="3244"/>
      <c r="H3012" s="2690"/>
      <c r="I3012" s="898"/>
      <c r="J3012" s="898"/>
      <c r="K3012" s="898"/>
      <c r="L3012" s="2690"/>
      <c r="M3012" s="898"/>
      <c r="N3012" s="2768"/>
    </row>
    <row r="3013" spans="2:14" ht="16.5" hidden="1" customHeight="1" x14ac:dyDescent="0.25">
      <c r="B3013" s="441"/>
      <c r="C3013" s="2577" t="s">
        <v>5259</v>
      </c>
      <c r="D3013" s="896">
        <v>0</v>
      </c>
      <c r="E3013" s="2763">
        <f>D3013/D2867*100</f>
        <v>0</v>
      </c>
      <c r="F3013" s="4446"/>
      <c r="G3013" s="3244"/>
      <c r="H3013" s="2690"/>
      <c r="I3013" s="898"/>
      <c r="J3013" s="898"/>
      <c r="K3013" s="898"/>
      <c r="L3013" s="2690"/>
      <c r="M3013" s="898"/>
      <c r="N3013" s="2768"/>
    </row>
    <row r="3014" spans="2:14" ht="14.25" hidden="1" customHeight="1" x14ac:dyDescent="0.25">
      <c r="B3014" s="441"/>
      <c r="C3014" s="2577" t="s">
        <v>5260</v>
      </c>
      <c r="D3014" s="896">
        <v>0</v>
      </c>
      <c r="E3014" s="2763">
        <f>D3014/D2867*100</f>
        <v>0</v>
      </c>
      <c r="F3014" s="4446"/>
      <c r="G3014" s="3244"/>
      <c r="H3014" s="2690"/>
      <c r="I3014" s="898"/>
      <c r="J3014" s="898"/>
      <c r="K3014" s="898"/>
      <c r="L3014" s="2690"/>
      <c r="M3014" s="898"/>
      <c r="N3014" s="2768"/>
    </row>
    <row r="3015" spans="2:14" ht="14.25" hidden="1" customHeight="1" x14ac:dyDescent="0.25">
      <c r="B3015" s="441"/>
      <c r="C3015" s="2577" t="s">
        <v>5261</v>
      </c>
      <c r="D3015" s="896">
        <v>0</v>
      </c>
      <c r="E3015" s="2763">
        <f>D3015/D2867*100</f>
        <v>0</v>
      </c>
      <c r="F3015" s="4446"/>
      <c r="G3015" s="3244"/>
      <c r="H3015" s="2690"/>
      <c r="I3015" s="898"/>
      <c r="J3015" s="898"/>
      <c r="K3015" s="898"/>
      <c r="L3015" s="2690"/>
      <c r="M3015" s="898"/>
      <c r="N3015" s="2768"/>
    </row>
    <row r="3016" spans="2:14" ht="17.25" hidden="1" customHeight="1" x14ac:dyDescent="0.25">
      <c r="B3016" s="441"/>
      <c r="C3016" s="2577" t="s">
        <v>5262</v>
      </c>
      <c r="D3016" s="896">
        <v>0</v>
      </c>
      <c r="E3016" s="2763">
        <f>D3016/D2867*100</f>
        <v>0</v>
      </c>
      <c r="F3016" s="4446"/>
      <c r="G3016" s="3244"/>
      <c r="H3016" s="2690"/>
      <c r="I3016" s="898"/>
      <c r="J3016" s="898"/>
      <c r="K3016" s="898"/>
      <c r="L3016" s="2690"/>
      <c r="M3016" s="898"/>
      <c r="N3016" s="2768"/>
    </row>
    <row r="3017" spans="2:14" ht="12" hidden="1" customHeight="1" x14ac:dyDescent="0.25">
      <c r="B3017" s="441"/>
      <c r="C3017" s="2576"/>
      <c r="D3017" s="896"/>
      <c r="E3017" s="2688"/>
      <c r="F3017" s="4446"/>
      <c r="G3017" s="3244"/>
      <c r="H3017" s="2690"/>
      <c r="I3017" s="898"/>
      <c r="J3017" s="898"/>
      <c r="K3017" s="898"/>
      <c r="L3017" s="2690"/>
      <c r="M3017" s="898"/>
      <c r="N3017" s="2768"/>
    </row>
    <row r="3018" spans="2:14" ht="21" hidden="1" customHeight="1" x14ac:dyDescent="0.25">
      <c r="B3018" s="441"/>
      <c r="C3018" s="2576" t="s">
        <v>5263</v>
      </c>
      <c r="D3018" s="899">
        <f>SUM(D3019:D3042)</f>
        <v>0</v>
      </c>
      <c r="E3018" s="2764">
        <f>D3018/D2867*100</f>
        <v>0</v>
      </c>
      <c r="F3018" s="4446"/>
      <c r="G3018" s="3244"/>
      <c r="H3018" s="2690"/>
      <c r="I3018" s="898"/>
      <c r="J3018" s="898"/>
      <c r="K3018" s="898"/>
      <c r="L3018" s="2690"/>
      <c r="M3018" s="898"/>
      <c r="N3018" s="2768"/>
    </row>
    <row r="3019" spans="2:14" ht="18" hidden="1" customHeight="1" x14ac:dyDescent="0.25">
      <c r="B3019" s="441"/>
      <c r="C3019" s="2577" t="s">
        <v>5264</v>
      </c>
      <c r="D3019" s="896">
        <v>0</v>
      </c>
      <c r="E3019" s="2763">
        <f>D3019/D2867*100</f>
        <v>0</v>
      </c>
      <c r="F3019" s="4446"/>
      <c r="G3019" s="3244"/>
      <c r="H3019" s="2690"/>
      <c r="I3019" s="898"/>
      <c r="J3019" s="898"/>
      <c r="K3019" s="898"/>
      <c r="L3019" s="2690"/>
      <c r="M3019" s="898"/>
      <c r="N3019" s="2768"/>
    </row>
    <row r="3020" spans="2:14" ht="19.5" hidden="1" customHeight="1" x14ac:dyDescent="0.25">
      <c r="B3020" s="441"/>
      <c r="C3020" s="2577" t="s">
        <v>5265</v>
      </c>
      <c r="D3020" s="896">
        <v>0</v>
      </c>
      <c r="E3020" s="2763">
        <f>D3020/D2867*100</f>
        <v>0</v>
      </c>
      <c r="F3020" s="4446"/>
      <c r="G3020" s="3244"/>
      <c r="H3020" s="2690"/>
      <c r="I3020" s="898"/>
      <c r="J3020" s="898"/>
      <c r="K3020" s="898"/>
      <c r="L3020" s="2690"/>
      <c r="M3020" s="898"/>
      <c r="N3020" s="2768"/>
    </row>
    <row r="3021" spans="2:14" ht="19.5" hidden="1" customHeight="1" x14ac:dyDescent="0.25">
      <c r="B3021" s="441"/>
      <c r="C3021" s="2577" t="s">
        <v>5266</v>
      </c>
      <c r="D3021" s="896">
        <v>0</v>
      </c>
      <c r="E3021" s="2763">
        <f>D3021/D2867*100</f>
        <v>0</v>
      </c>
      <c r="F3021" s="4446"/>
      <c r="G3021" s="3244"/>
      <c r="H3021" s="2690"/>
      <c r="I3021" s="898"/>
      <c r="J3021" s="898"/>
      <c r="K3021" s="898"/>
      <c r="L3021" s="2690"/>
      <c r="M3021" s="898"/>
      <c r="N3021" s="2768"/>
    </row>
    <row r="3022" spans="2:14" ht="16.5" hidden="1" customHeight="1" x14ac:dyDescent="0.25">
      <c r="B3022" s="441"/>
      <c r="C3022" s="2577" t="s">
        <v>5267</v>
      </c>
      <c r="D3022" s="896">
        <v>0</v>
      </c>
      <c r="E3022" s="2763">
        <f>D3022/D2867*100</f>
        <v>0</v>
      </c>
      <c r="F3022" s="4446"/>
      <c r="G3022" s="3244"/>
      <c r="H3022" s="2690"/>
      <c r="I3022" s="898"/>
      <c r="J3022" s="898"/>
      <c r="K3022" s="898"/>
      <c r="L3022" s="2690"/>
      <c r="M3022" s="898"/>
      <c r="N3022" s="2768"/>
    </row>
    <row r="3023" spans="2:14" ht="19.5" hidden="1" customHeight="1" x14ac:dyDescent="0.25">
      <c r="B3023" s="441"/>
      <c r="C3023" s="2577" t="s">
        <v>5268</v>
      </c>
      <c r="D3023" s="896">
        <v>0</v>
      </c>
      <c r="E3023" s="2763">
        <f>D3023/D2867*100</f>
        <v>0</v>
      </c>
      <c r="F3023" s="4446"/>
      <c r="G3023" s="3244"/>
      <c r="H3023" s="2690"/>
      <c r="I3023" s="898"/>
      <c r="J3023" s="898"/>
      <c r="K3023" s="898"/>
      <c r="L3023" s="2690"/>
      <c r="M3023" s="898"/>
      <c r="N3023" s="2768"/>
    </row>
    <row r="3024" spans="2:14" ht="16.5" hidden="1" customHeight="1" x14ac:dyDescent="0.25">
      <c r="B3024" s="441"/>
      <c r="C3024" s="2577" t="s">
        <v>5269</v>
      </c>
      <c r="D3024" s="896">
        <v>0</v>
      </c>
      <c r="E3024" s="2763">
        <f>D3024/D2867*100</f>
        <v>0</v>
      </c>
      <c r="F3024" s="4446"/>
      <c r="G3024" s="3244"/>
      <c r="H3024" s="2690"/>
      <c r="I3024" s="898"/>
      <c r="J3024" s="898"/>
      <c r="K3024" s="898"/>
      <c r="L3024" s="2690"/>
      <c r="M3024" s="898"/>
      <c r="N3024" s="2768"/>
    </row>
    <row r="3025" spans="1:16" ht="19.5" hidden="1" customHeight="1" x14ac:dyDescent="0.25">
      <c r="B3025" s="441"/>
      <c r="C3025" s="2577" t="s">
        <v>5270</v>
      </c>
      <c r="D3025" s="896">
        <v>0</v>
      </c>
      <c r="E3025" s="2763">
        <f>D3025/D2867*100</f>
        <v>0</v>
      </c>
      <c r="F3025" s="4446"/>
      <c r="G3025" s="3244"/>
      <c r="H3025" s="2690"/>
      <c r="I3025" s="898"/>
      <c r="J3025" s="898"/>
      <c r="K3025" s="898"/>
      <c r="L3025" s="2690"/>
      <c r="M3025" s="898"/>
      <c r="N3025" s="2768"/>
    </row>
    <row r="3026" spans="1:16" ht="18" hidden="1" customHeight="1" x14ac:dyDescent="0.25">
      <c r="B3026" s="441"/>
      <c r="C3026" s="2577" t="s">
        <v>5271</v>
      </c>
      <c r="D3026" s="896">
        <v>0</v>
      </c>
      <c r="E3026" s="2763">
        <f>D3026/D2867*100</f>
        <v>0</v>
      </c>
      <c r="F3026" s="4446"/>
      <c r="G3026" s="3244"/>
      <c r="H3026" s="2690"/>
      <c r="I3026" s="898"/>
      <c r="J3026" s="898"/>
      <c r="K3026" s="898"/>
      <c r="L3026" s="2690"/>
      <c r="M3026" s="898"/>
      <c r="N3026" s="2768"/>
    </row>
    <row r="3027" spans="1:16" ht="16.5" hidden="1" customHeight="1" x14ac:dyDescent="0.25">
      <c r="B3027" s="441"/>
      <c r="C3027" s="2577" t="s">
        <v>5272</v>
      </c>
      <c r="D3027" s="896">
        <v>0</v>
      </c>
      <c r="E3027" s="2763">
        <f>D3027/D2867*100</f>
        <v>0</v>
      </c>
      <c r="F3027" s="4446"/>
      <c r="G3027" s="3244"/>
      <c r="H3027" s="2690"/>
      <c r="I3027" s="898"/>
      <c r="J3027" s="898"/>
      <c r="K3027" s="898"/>
      <c r="L3027" s="2690"/>
      <c r="M3027" s="898"/>
      <c r="N3027" s="2768"/>
    </row>
    <row r="3028" spans="1:16" ht="19.5" hidden="1" customHeight="1" x14ac:dyDescent="0.25">
      <c r="B3028" s="441"/>
      <c r="C3028" s="2577" t="s">
        <v>5273</v>
      </c>
      <c r="D3028" s="896">
        <v>0</v>
      </c>
      <c r="E3028" s="2763">
        <f>D3028/D2867*100</f>
        <v>0</v>
      </c>
      <c r="F3028" s="4446"/>
      <c r="G3028" s="3244"/>
      <c r="H3028" s="2690"/>
      <c r="I3028" s="898"/>
      <c r="J3028" s="898"/>
      <c r="K3028" s="898"/>
      <c r="L3028" s="2690"/>
      <c r="M3028" s="898"/>
      <c r="N3028" s="2768"/>
    </row>
    <row r="3029" spans="1:16" ht="19.5" hidden="1" customHeight="1" x14ac:dyDescent="0.25">
      <c r="B3029" s="441"/>
      <c r="C3029" s="2577" t="s">
        <v>5274</v>
      </c>
      <c r="D3029" s="896">
        <v>0</v>
      </c>
      <c r="E3029" s="2763">
        <f>D3029/D2867*100</f>
        <v>0</v>
      </c>
      <c r="F3029" s="4446"/>
      <c r="G3029" s="3244"/>
      <c r="H3029" s="2690"/>
      <c r="I3029" s="898"/>
      <c r="J3029" s="898"/>
      <c r="K3029" s="898"/>
      <c r="L3029" s="2690"/>
      <c r="M3029" s="898"/>
      <c r="N3029" s="2768"/>
    </row>
    <row r="3030" spans="1:16" ht="19.5" hidden="1" customHeight="1" x14ac:dyDescent="0.25">
      <c r="B3030" s="441"/>
      <c r="C3030" s="2577" t="s">
        <v>5275</v>
      </c>
      <c r="D3030" s="896">
        <v>0</v>
      </c>
      <c r="E3030" s="2763">
        <f>D3030/D2867*100</f>
        <v>0</v>
      </c>
      <c r="F3030" s="4446"/>
      <c r="G3030" s="3244"/>
      <c r="H3030" s="2690"/>
      <c r="I3030" s="898"/>
      <c r="J3030" s="898"/>
      <c r="K3030" s="898"/>
      <c r="L3030" s="2690"/>
      <c r="M3030" s="898"/>
      <c r="N3030" s="2768"/>
    </row>
    <row r="3031" spans="1:16" ht="19.5" hidden="1" customHeight="1" x14ac:dyDescent="0.25">
      <c r="B3031" s="441"/>
      <c r="C3031" s="2577" t="s">
        <v>5276</v>
      </c>
      <c r="D3031" s="896">
        <v>0</v>
      </c>
      <c r="E3031" s="2763">
        <f>D3031/D2867*100</f>
        <v>0</v>
      </c>
      <c r="F3031" s="4446"/>
      <c r="G3031" s="3244"/>
      <c r="H3031" s="2690"/>
      <c r="I3031" s="898"/>
      <c r="J3031" s="898"/>
      <c r="K3031" s="898"/>
      <c r="L3031" s="2690"/>
      <c r="M3031" s="898"/>
      <c r="N3031" s="2768"/>
    </row>
    <row r="3032" spans="1:16" ht="19.5" hidden="1" customHeight="1" x14ac:dyDescent="0.25">
      <c r="B3032" s="441"/>
      <c r="C3032" s="2577" t="s">
        <v>5277</v>
      </c>
      <c r="D3032" s="896">
        <v>0</v>
      </c>
      <c r="E3032" s="2763">
        <f>D3032/D2867*100</f>
        <v>0</v>
      </c>
      <c r="F3032" s="4446"/>
      <c r="G3032" s="3244"/>
      <c r="H3032" s="2690"/>
      <c r="I3032" s="898"/>
      <c r="J3032" s="898"/>
      <c r="K3032" s="898"/>
      <c r="L3032" s="2690"/>
      <c r="M3032" s="898"/>
      <c r="N3032" s="2768"/>
    </row>
    <row r="3033" spans="1:16" ht="19.5" hidden="1" customHeight="1" x14ac:dyDescent="0.25">
      <c r="B3033" s="441"/>
      <c r="C3033" s="2577" t="s">
        <v>5278</v>
      </c>
      <c r="D3033" s="896">
        <v>0</v>
      </c>
      <c r="E3033" s="2763">
        <f>D3033/D2867*100</f>
        <v>0</v>
      </c>
      <c r="F3033" s="4446"/>
      <c r="G3033" s="3244"/>
      <c r="H3033" s="2690"/>
      <c r="I3033" s="898"/>
      <c r="J3033" s="898"/>
      <c r="K3033" s="898"/>
      <c r="L3033" s="2690"/>
      <c r="M3033" s="898"/>
      <c r="N3033" s="2768"/>
    </row>
    <row r="3034" spans="1:16" ht="19.5" hidden="1" customHeight="1" x14ac:dyDescent="0.25">
      <c r="B3034" s="441"/>
      <c r="C3034" s="2577" t="s">
        <v>5279</v>
      </c>
      <c r="D3034" s="896">
        <v>0</v>
      </c>
      <c r="E3034" s="2763">
        <f>D3034/D2867*100</f>
        <v>0</v>
      </c>
      <c r="F3034" s="4446"/>
      <c r="G3034" s="3244"/>
      <c r="H3034" s="2690"/>
      <c r="I3034" s="898"/>
      <c r="J3034" s="898"/>
      <c r="K3034" s="898"/>
      <c r="L3034" s="2690"/>
      <c r="M3034" s="898"/>
      <c r="N3034" s="2768"/>
    </row>
    <row r="3035" spans="1:16" ht="19.5" hidden="1" customHeight="1" x14ac:dyDescent="0.25">
      <c r="B3035" s="441"/>
      <c r="C3035" s="2577" t="s">
        <v>5280</v>
      </c>
      <c r="D3035" s="896">
        <v>0</v>
      </c>
      <c r="E3035" s="2763">
        <f>D3035/D2867*100</f>
        <v>0</v>
      </c>
      <c r="F3035" s="4446"/>
      <c r="G3035" s="3244"/>
      <c r="H3035" s="2690"/>
      <c r="I3035" s="898"/>
      <c r="J3035" s="898"/>
      <c r="K3035" s="898"/>
      <c r="L3035" s="2690"/>
      <c r="M3035" s="898"/>
      <c r="N3035" s="2768"/>
    </row>
    <row r="3036" spans="1:16" ht="17.25" hidden="1" customHeight="1" x14ac:dyDescent="0.25">
      <c r="B3036" s="441"/>
      <c r="C3036" s="2577" t="s">
        <v>5281</v>
      </c>
      <c r="D3036" s="896">
        <v>0</v>
      </c>
      <c r="E3036" s="2763">
        <f>D3036/D2867*100</f>
        <v>0</v>
      </c>
      <c r="F3036" s="4446"/>
      <c r="G3036" s="3244"/>
      <c r="H3036" s="2690"/>
      <c r="I3036" s="898"/>
      <c r="J3036" s="898"/>
      <c r="K3036" s="898"/>
      <c r="L3036" s="2690"/>
      <c r="M3036" s="898"/>
      <c r="N3036" s="2768"/>
    </row>
    <row r="3037" spans="1:16" s="196" customFormat="1" ht="16.5" hidden="1" customHeight="1" x14ac:dyDescent="0.25">
      <c r="A3037" s="12"/>
      <c r="B3037" s="442"/>
      <c r="C3037" s="2577" t="s">
        <v>5282</v>
      </c>
      <c r="D3037" s="896">
        <v>0</v>
      </c>
      <c r="E3037" s="2763">
        <f>D3037/D2867*100</f>
        <v>0</v>
      </c>
      <c r="F3037" s="4446"/>
      <c r="G3037" s="3244"/>
      <c r="H3037" s="2690"/>
      <c r="I3037" s="896"/>
      <c r="J3037" s="896"/>
      <c r="K3037" s="896"/>
      <c r="L3037" s="2690"/>
      <c r="M3037" s="896"/>
      <c r="N3037" s="2951"/>
      <c r="P3037" s="631"/>
    </row>
    <row r="3038" spans="1:16" s="196" customFormat="1" ht="17.25" hidden="1" customHeight="1" x14ac:dyDescent="0.25">
      <c r="A3038" s="12"/>
      <c r="B3038" s="442"/>
      <c r="C3038" s="2577" t="s">
        <v>5283</v>
      </c>
      <c r="D3038" s="896">
        <v>0</v>
      </c>
      <c r="E3038" s="2763">
        <f>D3038/D2867*100</f>
        <v>0</v>
      </c>
      <c r="F3038" s="4446"/>
      <c r="G3038" s="3244"/>
      <c r="H3038" s="2690"/>
      <c r="I3038" s="896"/>
      <c r="J3038" s="896"/>
      <c r="K3038" s="896"/>
      <c r="L3038" s="2690"/>
      <c r="M3038" s="896"/>
      <c r="N3038" s="2951"/>
      <c r="P3038" s="631"/>
    </row>
    <row r="3039" spans="1:16" s="196" customFormat="1" ht="17.25" hidden="1" customHeight="1" x14ac:dyDescent="0.25">
      <c r="A3039" s="12"/>
      <c r="B3039" s="442"/>
      <c r="C3039" s="2577" t="s">
        <v>5284</v>
      </c>
      <c r="D3039" s="896">
        <v>0</v>
      </c>
      <c r="E3039" s="2763">
        <f>D3039/D2867*100</f>
        <v>0</v>
      </c>
      <c r="F3039" s="4446"/>
      <c r="G3039" s="3244"/>
      <c r="H3039" s="2690"/>
      <c r="I3039" s="896"/>
      <c r="J3039" s="896"/>
      <c r="K3039" s="896"/>
      <c r="L3039" s="2690"/>
      <c r="M3039" s="896"/>
      <c r="N3039" s="2951"/>
      <c r="P3039" s="631"/>
    </row>
    <row r="3040" spans="1:16" s="196" customFormat="1" ht="18" hidden="1" customHeight="1" x14ac:dyDescent="0.25">
      <c r="A3040" s="12"/>
      <c r="B3040" s="442"/>
      <c r="C3040" s="2577" t="s">
        <v>5285</v>
      </c>
      <c r="D3040" s="896">
        <v>0</v>
      </c>
      <c r="E3040" s="2763">
        <f>D3040/D2867*100</f>
        <v>0</v>
      </c>
      <c r="F3040" s="4446"/>
      <c r="G3040" s="3244"/>
      <c r="H3040" s="2690"/>
      <c r="I3040" s="896"/>
      <c r="J3040" s="896"/>
      <c r="K3040" s="896"/>
      <c r="L3040" s="2690"/>
      <c r="M3040" s="896"/>
      <c r="N3040" s="2951"/>
      <c r="P3040" s="631"/>
    </row>
    <row r="3041" spans="1:16" s="196" customFormat="1" ht="16.5" hidden="1" customHeight="1" x14ac:dyDescent="0.25">
      <c r="A3041" s="12"/>
      <c r="B3041" s="442"/>
      <c r="C3041" s="2577" t="s">
        <v>5286</v>
      </c>
      <c r="D3041" s="896">
        <v>0</v>
      </c>
      <c r="E3041" s="2763">
        <f>D3041/D2867*100</f>
        <v>0</v>
      </c>
      <c r="F3041" s="4446"/>
      <c r="G3041" s="3244"/>
      <c r="H3041" s="2690"/>
      <c r="I3041" s="896"/>
      <c r="J3041" s="896"/>
      <c r="K3041" s="896"/>
      <c r="L3041" s="2690"/>
      <c r="M3041" s="896"/>
      <c r="N3041" s="2951"/>
      <c r="P3041" s="631"/>
    </row>
    <row r="3042" spans="1:16" s="196" customFormat="1" ht="18" hidden="1" customHeight="1" x14ac:dyDescent="0.25">
      <c r="A3042" s="12"/>
      <c r="B3042" s="442"/>
      <c r="C3042" s="2577" t="s">
        <v>5287</v>
      </c>
      <c r="D3042" s="896">
        <v>0</v>
      </c>
      <c r="E3042" s="2763">
        <f>D3042/D2867*100</f>
        <v>0</v>
      </c>
      <c r="F3042" s="4446"/>
      <c r="G3042" s="3244"/>
      <c r="H3042" s="2690"/>
      <c r="I3042" s="896"/>
      <c r="J3042" s="896"/>
      <c r="K3042" s="896"/>
      <c r="L3042" s="2690"/>
      <c r="M3042" s="896"/>
      <c r="N3042" s="2951"/>
      <c r="P3042" s="631"/>
    </row>
    <row r="3043" spans="1:16" ht="12" hidden="1" customHeight="1" x14ac:dyDescent="0.25">
      <c r="B3043" s="441"/>
      <c r="C3043" s="2576"/>
      <c r="D3043" s="896"/>
      <c r="E3043" s="2763"/>
      <c r="F3043" s="4446"/>
      <c r="G3043" s="3244"/>
      <c r="H3043" s="2690"/>
      <c r="I3043" s="898"/>
      <c r="J3043" s="898"/>
      <c r="K3043" s="898"/>
      <c r="L3043" s="2690"/>
      <c r="M3043" s="898"/>
      <c r="N3043" s="2768"/>
    </row>
    <row r="3044" spans="1:16" ht="20.25" hidden="1" customHeight="1" x14ac:dyDescent="0.25">
      <c r="B3044" s="441"/>
      <c r="C3044" s="2576" t="s">
        <v>5288</v>
      </c>
      <c r="D3044" s="899">
        <f>SUM(D3045:D3046)</f>
        <v>0</v>
      </c>
      <c r="E3044" s="2764">
        <f>D3044/D2867*100</f>
        <v>0</v>
      </c>
      <c r="F3044" s="4446"/>
      <c r="G3044" s="3244"/>
      <c r="H3044" s="2690"/>
      <c r="I3044" s="898"/>
      <c r="J3044" s="898"/>
      <c r="K3044" s="898"/>
      <c r="L3044" s="2690"/>
      <c r="M3044" s="898"/>
      <c r="N3044" s="2768"/>
    </row>
    <row r="3045" spans="1:16" ht="14.25" hidden="1" customHeight="1" x14ac:dyDescent="0.25">
      <c r="B3045" s="441"/>
      <c r="C3045" s="2577" t="s">
        <v>5289</v>
      </c>
      <c r="D3045" s="896">
        <v>0</v>
      </c>
      <c r="E3045" s="2763">
        <f>D3045/D2867*100</f>
        <v>0</v>
      </c>
      <c r="F3045" s="4446"/>
      <c r="G3045" s="3244"/>
      <c r="H3045" s="2690"/>
      <c r="I3045" s="898"/>
      <c r="J3045" s="898"/>
      <c r="K3045" s="898"/>
      <c r="L3045" s="2690"/>
      <c r="M3045" s="898"/>
      <c r="N3045" s="2768"/>
    </row>
    <row r="3046" spans="1:16" ht="16.5" hidden="1" customHeight="1" x14ac:dyDescent="0.25">
      <c r="B3046" s="441"/>
      <c r="C3046" s="2577" t="s">
        <v>5290</v>
      </c>
      <c r="D3046" s="896">
        <v>0</v>
      </c>
      <c r="E3046" s="2763">
        <f>D3046/D2867*100</f>
        <v>0</v>
      </c>
      <c r="F3046" s="4446"/>
      <c r="G3046" s="3244"/>
      <c r="H3046" s="2690"/>
      <c r="I3046" s="898"/>
      <c r="J3046" s="898"/>
      <c r="K3046" s="898"/>
      <c r="L3046" s="2690"/>
      <c r="M3046" s="898"/>
      <c r="N3046" s="2768"/>
    </row>
    <row r="3047" spans="1:16" ht="12" hidden="1" customHeight="1" x14ac:dyDescent="0.25">
      <c r="B3047" s="441"/>
      <c r="C3047" s="2577"/>
      <c r="D3047" s="896"/>
      <c r="E3047" s="2688"/>
      <c r="F3047" s="4446"/>
      <c r="G3047" s="3244"/>
      <c r="H3047" s="2690"/>
      <c r="I3047" s="898"/>
      <c r="J3047" s="898"/>
      <c r="K3047" s="898"/>
      <c r="L3047" s="2690"/>
      <c r="M3047" s="898"/>
      <c r="N3047" s="2768"/>
    </row>
    <row r="3048" spans="1:16" ht="17.25" hidden="1" customHeight="1" x14ac:dyDescent="0.25">
      <c r="B3048" s="441"/>
      <c r="C3048" s="2576" t="s">
        <v>5291</v>
      </c>
      <c r="D3048" s="899">
        <f>SUM(D3049:D3078)</f>
        <v>1930000000</v>
      </c>
      <c r="E3048" s="2764">
        <f>D3048/D2867*100</f>
        <v>1.6478156837047679</v>
      </c>
      <c r="F3048" s="4446"/>
      <c r="G3048" s="3244"/>
      <c r="H3048" s="2690"/>
      <c r="I3048" s="898"/>
      <c r="J3048" s="898"/>
      <c r="K3048" s="898"/>
      <c r="L3048" s="2690"/>
      <c r="M3048" s="898"/>
      <c r="N3048" s="2768"/>
    </row>
    <row r="3049" spans="1:16" ht="17.25" hidden="1" customHeight="1" x14ac:dyDescent="0.25">
      <c r="B3049" s="441"/>
      <c r="C3049" s="2577" t="s">
        <v>5292</v>
      </c>
      <c r="D3049" s="896">
        <v>0</v>
      </c>
      <c r="E3049" s="2763">
        <f>D3049/D2867*100</f>
        <v>0</v>
      </c>
      <c r="F3049" s="4446"/>
      <c r="G3049" s="3244"/>
      <c r="H3049" s="2690"/>
      <c r="I3049" s="898"/>
      <c r="J3049" s="898"/>
      <c r="K3049" s="898"/>
      <c r="L3049" s="2690"/>
      <c r="M3049" s="898"/>
      <c r="N3049" s="2768"/>
    </row>
    <row r="3050" spans="1:16" ht="15.75" hidden="1" customHeight="1" x14ac:dyDescent="0.25">
      <c r="B3050" s="441"/>
      <c r="C3050" s="2577" t="s">
        <v>5293</v>
      </c>
      <c r="D3050" s="896">
        <v>0</v>
      </c>
      <c r="E3050" s="2763">
        <f>D3050/D2867*100</f>
        <v>0</v>
      </c>
      <c r="F3050" s="4446"/>
      <c r="G3050" s="3244"/>
      <c r="H3050" s="2690"/>
      <c r="I3050" s="898"/>
      <c r="J3050" s="898"/>
      <c r="K3050" s="898"/>
      <c r="L3050" s="2690"/>
      <c r="M3050" s="898"/>
      <c r="N3050" s="2768"/>
    </row>
    <row r="3051" spans="1:16" ht="17.25" hidden="1" customHeight="1" x14ac:dyDescent="0.25">
      <c r="B3051" s="441"/>
      <c r="C3051" s="2577" t="s">
        <v>5294</v>
      </c>
      <c r="D3051" s="896">
        <v>0</v>
      </c>
      <c r="E3051" s="2763">
        <f>D3051/D2867*100</f>
        <v>0</v>
      </c>
      <c r="F3051" s="4446"/>
      <c r="G3051" s="3244"/>
      <c r="H3051" s="2690"/>
      <c r="I3051" s="898"/>
      <c r="J3051" s="898"/>
      <c r="K3051" s="898"/>
      <c r="L3051" s="2690"/>
      <c r="M3051" s="898"/>
      <c r="N3051" s="2768"/>
    </row>
    <row r="3052" spans="1:16" ht="16.5" hidden="1" customHeight="1" x14ac:dyDescent="0.25">
      <c r="B3052" s="441"/>
      <c r="C3052" s="2577" t="s">
        <v>5295</v>
      </c>
      <c r="D3052" s="896">
        <v>0</v>
      </c>
      <c r="E3052" s="2763">
        <f>D3052/D2867*100</f>
        <v>0</v>
      </c>
      <c r="F3052" s="4446"/>
      <c r="G3052" s="3244"/>
      <c r="H3052" s="2690"/>
      <c r="I3052" s="898"/>
      <c r="J3052" s="898"/>
      <c r="K3052" s="898"/>
      <c r="L3052" s="2690"/>
      <c r="M3052" s="898"/>
      <c r="N3052" s="2768"/>
    </row>
    <row r="3053" spans="1:16" ht="19.5" hidden="1" customHeight="1" x14ac:dyDescent="0.25">
      <c r="B3053" s="441"/>
      <c r="C3053" s="2577" t="s">
        <v>5296</v>
      </c>
      <c r="D3053" s="896">
        <v>0</v>
      </c>
      <c r="E3053" s="2763">
        <f>D3053/D2867*100</f>
        <v>0</v>
      </c>
      <c r="F3053" s="4446"/>
      <c r="G3053" s="3244"/>
      <c r="H3053" s="2690"/>
      <c r="I3053" s="898"/>
      <c r="J3053" s="898"/>
      <c r="K3053" s="898"/>
      <c r="L3053" s="2690"/>
      <c r="M3053" s="898"/>
      <c r="N3053" s="2768"/>
    </row>
    <row r="3054" spans="1:16" ht="17.25" hidden="1" customHeight="1" x14ac:dyDescent="0.25">
      <c r="B3054" s="441"/>
      <c r="C3054" s="2577" t="s">
        <v>5297</v>
      </c>
      <c r="D3054" s="896">
        <v>0</v>
      </c>
      <c r="E3054" s="2763">
        <f>D3054/D2867*100</f>
        <v>0</v>
      </c>
      <c r="F3054" s="4446"/>
      <c r="G3054" s="3244"/>
      <c r="H3054" s="2690"/>
      <c r="I3054" s="898"/>
      <c r="J3054" s="898"/>
      <c r="K3054" s="898"/>
      <c r="L3054" s="2690"/>
      <c r="M3054" s="898"/>
      <c r="N3054" s="2768"/>
    </row>
    <row r="3055" spans="1:16" ht="18.75" hidden="1" customHeight="1" x14ac:dyDescent="0.25">
      <c r="B3055" s="441"/>
      <c r="C3055" s="2577" t="s">
        <v>5298</v>
      </c>
      <c r="D3055" s="896">
        <v>0</v>
      </c>
      <c r="E3055" s="2763">
        <f>D3055/D2867*100</f>
        <v>0</v>
      </c>
      <c r="F3055" s="4446"/>
      <c r="G3055" s="3244"/>
      <c r="H3055" s="2690"/>
      <c r="I3055" s="898"/>
      <c r="J3055" s="898"/>
      <c r="K3055" s="898"/>
      <c r="L3055" s="2690"/>
      <c r="M3055" s="898"/>
      <c r="N3055" s="2768"/>
    </row>
    <row r="3056" spans="1:16" ht="16.5" hidden="1" customHeight="1" x14ac:dyDescent="0.25">
      <c r="B3056" s="441"/>
      <c r="C3056" s="2577" t="s">
        <v>5299</v>
      </c>
      <c r="D3056" s="896">
        <v>0</v>
      </c>
      <c r="E3056" s="2763">
        <f>D3056/D2867*100</f>
        <v>0</v>
      </c>
      <c r="F3056" s="4446"/>
      <c r="G3056" s="3244"/>
      <c r="H3056" s="2690"/>
      <c r="I3056" s="898"/>
      <c r="J3056" s="898"/>
      <c r="K3056" s="898"/>
      <c r="L3056" s="2690"/>
      <c r="M3056" s="898"/>
      <c r="N3056" s="2768"/>
    </row>
    <row r="3057" spans="2:14" ht="17.25" hidden="1" customHeight="1" x14ac:dyDescent="0.25">
      <c r="B3057" s="441"/>
      <c r="C3057" s="2577" t="s">
        <v>5300</v>
      </c>
      <c r="D3057" s="896">
        <v>0</v>
      </c>
      <c r="E3057" s="2763">
        <f>D3057/D2867*100</f>
        <v>0</v>
      </c>
      <c r="F3057" s="4446"/>
      <c r="G3057" s="3244"/>
      <c r="H3057" s="2690"/>
      <c r="I3057" s="898"/>
      <c r="J3057" s="898"/>
      <c r="K3057" s="898"/>
      <c r="L3057" s="2690"/>
      <c r="M3057" s="898"/>
      <c r="N3057" s="2768"/>
    </row>
    <row r="3058" spans="2:14" ht="18" hidden="1" customHeight="1" x14ac:dyDescent="0.25">
      <c r="B3058" s="441"/>
      <c r="C3058" s="2577" t="s">
        <v>5301</v>
      </c>
      <c r="D3058" s="896">
        <v>0</v>
      </c>
      <c r="E3058" s="2763">
        <f>D3058/D2867*100</f>
        <v>0</v>
      </c>
      <c r="F3058" s="4446"/>
      <c r="G3058" s="3244"/>
      <c r="H3058" s="2690"/>
      <c r="I3058" s="898"/>
      <c r="J3058" s="898"/>
      <c r="K3058" s="898"/>
      <c r="L3058" s="2690"/>
      <c r="M3058" s="898"/>
      <c r="N3058" s="2768"/>
    </row>
    <row r="3059" spans="2:14" ht="18.75" hidden="1" customHeight="1" x14ac:dyDescent="0.25">
      <c r="B3059" s="441"/>
      <c r="C3059" s="2577" t="s">
        <v>5302</v>
      </c>
      <c r="D3059" s="896">
        <v>0</v>
      </c>
      <c r="E3059" s="2763">
        <f>D3059/D2867*100</f>
        <v>0</v>
      </c>
      <c r="F3059" s="4446"/>
      <c r="G3059" s="3244"/>
      <c r="H3059" s="2690"/>
      <c r="I3059" s="898"/>
      <c r="J3059" s="898"/>
      <c r="K3059" s="898"/>
      <c r="L3059" s="2690"/>
      <c r="M3059" s="898"/>
      <c r="N3059" s="2768"/>
    </row>
    <row r="3060" spans="2:14" ht="18.75" hidden="1" customHeight="1" x14ac:dyDescent="0.25">
      <c r="B3060" s="441"/>
      <c r="C3060" s="2577" t="s">
        <v>5303</v>
      </c>
      <c r="D3060" s="896">
        <v>0</v>
      </c>
      <c r="E3060" s="2763">
        <f>D3060/D2867*100</f>
        <v>0</v>
      </c>
      <c r="F3060" s="4446"/>
      <c r="G3060" s="3244"/>
      <c r="H3060" s="2690"/>
      <c r="I3060" s="898"/>
      <c r="J3060" s="898"/>
      <c r="K3060" s="898"/>
      <c r="L3060" s="2690"/>
      <c r="M3060" s="898"/>
      <c r="N3060" s="2768"/>
    </row>
    <row r="3061" spans="2:14" ht="18" hidden="1" customHeight="1" x14ac:dyDescent="0.25">
      <c r="B3061" s="441"/>
      <c r="C3061" s="2577" t="s">
        <v>5304</v>
      </c>
      <c r="D3061" s="896">
        <v>0</v>
      </c>
      <c r="E3061" s="2763">
        <f>D3061/D2867*100</f>
        <v>0</v>
      </c>
      <c r="F3061" s="4446"/>
      <c r="G3061" s="3244"/>
      <c r="H3061" s="2690"/>
      <c r="I3061" s="898"/>
      <c r="J3061" s="898"/>
      <c r="K3061" s="898"/>
      <c r="L3061" s="2690"/>
      <c r="M3061" s="898"/>
      <c r="N3061" s="2768"/>
    </row>
    <row r="3062" spans="2:14" ht="17.25" hidden="1" customHeight="1" x14ac:dyDescent="0.25">
      <c r="B3062" s="441"/>
      <c r="C3062" s="2577" t="s">
        <v>5305</v>
      </c>
      <c r="D3062" s="896">
        <v>100000000</v>
      </c>
      <c r="E3062" s="2763">
        <f>D3062/D2867*100</f>
        <v>8.5379050969158946E-2</v>
      </c>
      <c r="F3062" s="4446"/>
      <c r="G3062" s="3244"/>
      <c r="H3062" s="2690"/>
      <c r="I3062" s="898"/>
      <c r="J3062" s="898"/>
      <c r="K3062" s="898"/>
      <c r="L3062" s="2690"/>
      <c r="M3062" s="898"/>
      <c r="N3062" s="2768"/>
    </row>
    <row r="3063" spans="2:14" ht="17.25" hidden="1" customHeight="1" x14ac:dyDescent="0.25">
      <c r="B3063" s="441"/>
      <c r="C3063" s="2585" t="s">
        <v>5307</v>
      </c>
      <c r="D3063" s="2769">
        <v>100000000</v>
      </c>
      <c r="E3063" s="2758">
        <f>D3063/D2867*100</f>
        <v>8.5379050969158946E-2</v>
      </c>
      <c r="F3063" s="4453"/>
      <c r="G3063" s="3268"/>
      <c r="H3063" s="2752"/>
      <c r="I3063" s="2755"/>
      <c r="J3063" s="2755"/>
      <c r="K3063" s="2755"/>
      <c r="L3063" s="2752"/>
      <c r="M3063" s="2755"/>
      <c r="N3063" s="2768"/>
    </row>
    <row r="3064" spans="2:14" ht="17.25" hidden="1" customHeight="1" x14ac:dyDescent="0.25">
      <c r="B3064" s="441"/>
      <c r="C3064" s="2577" t="s">
        <v>5306</v>
      </c>
      <c r="D3064" s="896">
        <v>100000000</v>
      </c>
      <c r="E3064" s="2688">
        <f>D3064/D2867*100</f>
        <v>8.5379050969158946E-2</v>
      </c>
      <c r="F3064" s="4446"/>
      <c r="G3064" s="3244"/>
      <c r="H3064" s="2690"/>
      <c r="I3064" s="898"/>
      <c r="J3064" s="898"/>
      <c r="K3064" s="898"/>
      <c r="L3064" s="2690"/>
      <c r="M3064" s="898"/>
      <c r="N3064" s="2768"/>
    </row>
    <row r="3065" spans="2:14" ht="15.75" hidden="1" customHeight="1" x14ac:dyDescent="0.25">
      <c r="B3065" s="441"/>
      <c r="C3065" s="2577" t="s">
        <v>5308</v>
      </c>
      <c r="D3065" s="896">
        <v>100000000</v>
      </c>
      <c r="E3065" s="2688">
        <f>D3065/D2867*100</f>
        <v>8.5379050969158946E-2</v>
      </c>
      <c r="F3065" s="4446"/>
      <c r="G3065" s="3244"/>
      <c r="H3065" s="2690"/>
      <c r="I3065" s="898"/>
      <c r="J3065" s="898"/>
      <c r="K3065" s="898"/>
      <c r="L3065" s="2690"/>
      <c r="M3065" s="898"/>
      <c r="N3065" s="2768"/>
    </row>
    <row r="3066" spans="2:14" ht="18.75" hidden="1" customHeight="1" x14ac:dyDescent="0.25">
      <c r="B3066" s="441"/>
      <c r="C3066" s="2577" t="s">
        <v>5309</v>
      </c>
      <c r="D3066" s="896">
        <v>150000000</v>
      </c>
      <c r="E3066" s="2688">
        <f>D3066/D2867*100</f>
        <v>0.12806857645373843</v>
      </c>
      <c r="F3066" s="4446"/>
      <c r="G3066" s="3244"/>
      <c r="H3066" s="2690"/>
      <c r="I3066" s="898"/>
      <c r="J3066" s="898"/>
      <c r="K3066" s="898"/>
      <c r="L3066" s="2690"/>
      <c r="M3066" s="898"/>
      <c r="N3066" s="2768"/>
    </row>
    <row r="3067" spans="2:14" ht="17.25" hidden="1" customHeight="1" x14ac:dyDescent="0.25">
      <c r="B3067" s="441"/>
      <c r="C3067" s="2577" t="s">
        <v>5310</v>
      </c>
      <c r="D3067" s="896">
        <v>150000000</v>
      </c>
      <c r="E3067" s="2688">
        <f>D3067/D2867*100</f>
        <v>0.12806857645373843</v>
      </c>
      <c r="F3067" s="4446"/>
      <c r="G3067" s="3244"/>
      <c r="H3067" s="2690"/>
      <c r="I3067" s="898"/>
      <c r="J3067" s="898"/>
      <c r="K3067" s="898"/>
      <c r="L3067" s="2690"/>
      <c r="M3067" s="898"/>
      <c r="N3067" s="2768"/>
    </row>
    <row r="3068" spans="2:14" ht="17.25" hidden="1" customHeight="1" x14ac:dyDescent="0.25">
      <c r="B3068" s="441"/>
      <c r="C3068" s="2577" t="s">
        <v>5311</v>
      </c>
      <c r="D3068" s="896">
        <v>150000000</v>
      </c>
      <c r="E3068" s="2688">
        <f>D3068/D2867*100</f>
        <v>0.12806857645373843</v>
      </c>
      <c r="F3068" s="4446"/>
      <c r="G3068" s="3244"/>
      <c r="H3068" s="2690"/>
      <c r="I3068" s="898"/>
      <c r="J3068" s="898"/>
      <c r="K3068" s="898"/>
      <c r="L3068" s="2690"/>
      <c r="M3068" s="898"/>
      <c r="N3068" s="2768"/>
    </row>
    <row r="3069" spans="2:14" ht="16.5" hidden="1" customHeight="1" x14ac:dyDescent="0.25">
      <c r="B3069" s="441"/>
      <c r="C3069" s="2577" t="s">
        <v>5312</v>
      </c>
      <c r="D3069" s="896">
        <v>70000000</v>
      </c>
      <c r="E3069" s="2688">
        <f>D3069/D2867*100</f>
        <v>5.976533567841126E-2</v>
      </c>
      <c r="F3069" s="4446"/>
      <c r="G3069" s="3244"/>
      <c r="H3069" s="2690"/>
      <c r="I3069" s="898"/>
      <c r="J3069" s="898"/>
      <c r="K3069" s="898"/>
      <c r="L3069" s="2690"/>
      <c r="M3069" s="898"/>
      <c r="N3069" s="2768"/>
    </row>
    <row r="3070" spans="2:14" ht="19.5" hidden="1" customHeight="1" x14ac:dyDescent="0.25">
      <c r="B3070" s="441"/>
      <c r="C3070" s="2577" t="s">
        <v>5313</v>
      </c>
      <c r="D3070" s="896">
        <v>70000000</v>
      </c>
      <c r="E3070" s="2688">
        <f>D3070/D2867*100</f>
        <v>5.976533567841126E-2</v>
      </c>
      <c r="F3070" s="4446"/>
      <c r="G3070" s="3244"/>
      <c r="H3070" s="2690"/>
      <c r="I3070" s="898"/>
      <c r="J3070" s="898"/>
      <c r="K3070" s="898"/>
      <c r="L3070" s="2690"/>
      <c r="M3070" s="898"/>
      <c r="N3070" s="2768"/>
    </row>
    <row r="3071" spans="2:14" ht="16.5" hidden="1" customHeight="1" x14ac:dyDescent="0.25">
      <c r="B3071" s="441"/>
      <c r="C3071" s="2577" t="s">
        <v>5314</v>
      </c>
      <c r="D3071" s="896">
        <v>150000000</v>
      </c>
      <c r="E3071" s="2688">
        <f>D3071/D2867*100</f>
        <v>0.12806857645373843</v>
      </c>
      <c r="F3071" s="4446"/>
      <c r="G3071" s="3244"/>
      <c r="H3071" s="2690"/>
      <c r="I3071" s="898"/>
      <c r="J3071" s="898"/>
      <c r="K3071" s="898"/>
      <c r="L3071" s="2690"/>
      <c r="M3071" s="898"/>
      <c r="N3071" s="2768"/>
    </row>
    <row r="3072" spans="2:14" ht="17.25" hidden="1" customHeight="1" x14ac:dyDescent="0.25">
      <c r="B3072" s="441"/>
      <c r="C3072" s="2577" t="s">
        <v>5315</v>
      </c>
      <c r="D3072" s="896">
        <v>150000000</v>
      </c>
      <c r="E3072" s="2688">
        <f>D3072/D2867*100</f>
        <v>0.12806857645373843</v>
      </c>
      <c r="F3072" s="4446"/>
      <c r="G3072" s="3244"/>
      <c r="H3072" s="2690"/>
      <c r="I3072" s="898"/>
      <c r="J3072" s="898"/>
      <c r="K3072" s="898"/>
      <c r="L3072" s="2690"/>
      <c r="M3072" s="898"/>
      <c r="N3072" s="2768"/>
    </row>
    <row r="3073" spans="2:14" ht="18" hidden="1" customHeight="1" x14ac:dyDescent="0.25">
      <c r="B3073" s="441"/>
      <c r="C3073" s="2577" t="s">
        <v>5316</v>
      </c>
      <c r="D3073" s="896">
        <v>90000000</v>
      </c>
      <c r="E3073" s="2688">
        <f>D3073/D2867*100</f>
        <v>7.6841145872243055E-2</v>
      </c>
      <c r="F3073" s="4446"/>
      <c r="G3073" s="3244"/>
      <c r="H3073" s="2690"/>
      <c r="I3073" s="898"/>
      <c r="J3073" s="898"/>
      <c r="K3073" s="898"/>
      <c r="L3073" s="2690"/>
      <c r="M3073" s="898"/>
      <c r="N3073" s="2768"/>
    </row>
    <row r="3074" spans="2:14" ht="17.25" hidden="1" customHeight="1" x14ac:dyDescent="0.25">
      <c r="B3074" s="441"/>
      <c r="C3074" s="2577" t="s">
        <v>5317</v>
      </c>
      <c r="D3074" s="896">
        <v>100000000</v>
      </c>
      <c r="E3074" s="2688">
        <f>D3074/D2867*100</f>
        <v>8.5379050969158946E-2</v>
      </c>
      <c r="F3074" s="4446"/>
      <c r="G3074" s="3244"/>
      <c r="H3074" s="2690"/>
      <c r="I3074" s="898"/>
      <c r="J3074" s="898"/>
      <c r="K3074" s="898"/>
      <c r="L3074" s="2690"/>
      <c r="M3074" s="898"/>
      <c r="N3074" s="2768"/>
    </row>
    <row r="3075" spans="2:14" ht="22.5" hidden="1" customHeight="1" x14ac:dyDescent="0.25">
      <c r="B3075" s="441"/>
      <c r="C3075" s="2577" t="s">
        <v>5318</v>
      </c>
      <c r="D3075" s="896">
        <v>100000000</v>
      </c>
      <c r="E3075" s="2688">
        <f>D3075/D2867*100</f>
        <v>8.5379050969158946E-2</v>
      </c>
      <c r="F3075" s="4446"/>
      <c r="G3075" s="3244"/>
      <c r="H3075" s="2690"/>
      <c r="I3075" s="898"/>
      <c r="J3075" s="898"/>
      <c r="K3075" s="898"/>
      <c r="L3075" s="2690"/>
      <c r="M3075" s="898"/>
      <c r="N3075" s="2768"/>
    </row>
    <row r="3076" spans="2:14" ht="17.25" hidden="1" customHeight="1" x14ac:dyDescent="0.25">
      <c r="B3076" s="441"/>
      <c r="C3076" s="2577" t="s">
        <v>5319</v>
      </c>
      <c r="D3076" s="896">
        <v>100000000</v>
      </c>
      <c r="E3076" s="2688">
        <f>D3076/D2867*100</f>
        <v>8.5379050969158946E-2</v>
      </c>
      <c r="F3076" s="4446"/>
      <c r="G3076" s="3244"/>
      <c r="H3076" s="2690"/>
      <c r="I3076" s="898"/>
      <c r="J3076" s="898"/>
      <c r="K3076" s="898"/>
      <c r="L3076" s="2690"/>
      <c r="M3076" s="898"/>
      <c r="N3076" s="2768"/>
    </row>
    <row r="3077" spans="2:14" ht="20.25" hidden="1" customHeight="1" x14ac:dyDescent="0.25">
      <c r="B3077" s="441"/>
      <c r="C3077" s="2577" t="s">
        <v>5320</v>
      </c>
      <c r="D3077" s="896">
        <v>150000000</v>
      </c>
      <c r="E3077" s="2688">
        <f>D3077/D2867*100</f>
        <v>0.12806857645373843</v>
      </c>
      <c r="F3077" s="4446"/>
      <c r="G3077" s="3244"/>
      <c r="H3077" s="2690"/>
      <c r="I3077" s="898"/>
      <c r="J3077" s="898"/>
      <c r="K3077" s="898"/>
      <c r="L3077" s="2690"/>
      <c r="M3077" s="898"/>
      <c r="N3077" s="2768"/>
    </row>
    <row r="3078" spans="2:14" ht="18.75" hidden="1" customHeight="1" x14ac:dyDescent="0.25">
      <c r="B3078" s="441"/>
      <c r="C3078" s="2577" t="s">
        <v>5321</v>
      </c>
      <c r="D3078" s="896">
        <v>100000000</v>
      </c>
      <c r="E3078" s="2688">
        <f>D3078/D2867*100</f>
        <v>8.5379050969158946E-2</v>
      </c>
      <c r="F3078" s="4446"/>
      <c r="G3078" s="3244"/>
      <c r="H3078" s="2690"/>
      <c r="I3078" s="898"/>
      <c r="J3078" s="898"/>
      <c r="K3078" s="898"/>
      <c r="L3078" s="2690"/>
      <c r="M3078" s="898"/>
      <c r="N3078" s="2768"/>
    </row>
    <row r="3079" spans="2:14" ht="12" hidden="1" customHeight="1" x14ac:dyDescent="0.25">
      <c r="B3079" s="441"/>
      <c r="C3079" s="2585"/>
      <c r="D3079" s="2769"/>
      <c r="E3079" s="2758"/>
      <c r="F3079" s="4453"/>
      <c r="G3079" s="3268"/>
      <c r="H3079" s="2752"/>
      <c r="I3079" s="2755"/>
      <c r="J3079" s="2755"/>
      <c r="K3079" s="2755"/>
      <c r="L3079" s="2752"/>
      <c r="M3079" s="2755"/>
      <c r="N3079" s="2768"/>
    </row>
    <row r="3080" spans="2:14" ht="16.5" hidden="1" customHeight="1" x14ac:dyDescent="0.25">
      <c r="B3080" s="440"/>
      <c r="C3080" s="2584" t="s">
        <v>1984</v>
      </c>
      <c r="D3080" s="2744">
        <f>SUM(D3081+D3100+D3104+D3108+D3111)</f>
        <v>4855000000</v>
      </c>
      <c r="E3080" s="2717">
        <f>D3080/D2867*100</f>
        <v>4.1451529245526668</v>
      </c>
      <c r="F3080" s="3888"/>
      <c r="G3080" s="2717"/>
      <c r="H3080" s="2672"/>
      <c r="I3080" s="2744"/>
      <c r="J3080" s="3256"/>
      <c r="K3080" s="3256"/>
      <c r="L3080" s="3256"/>
      <c r="M3080" s="2744"/>
      <c r="N3080" s="2768"/>
    </row>
    <row r="3081" spans="2:14" ht="30" hidden="1" customHeight="1" x14ac:dyDescent="0.25">
      <c r="B3081" s="449"/>
      <c r="C3081" s="2576" t="s">
        <v>5322</v>
      </c>
      <c r="D3081" s="899">
        <f>SUM(D3082:D3098)</f>
        <v>4005000000</v>
      </c>
      <c r="E3081" s="2693">
        <f>D3081/D2867*100</f>
        <v>3.4194309913148162</v>
      </c>
      <c r="F3081" s="3852"/>
      <c r="G3081" s="2693"/>
      <c r="H3081" s="2695"/>
      <c r="I3081" s="899"/>
      <c r="J3081" s="2732"/>
      <c r="K3081" s="2732"/>
      <c r="L3081" s="2732"/>
      <c r="M3081" s="899"/>
      <c r="N3081" s="2768"/>
    </row>
    <row r="3082" spans="2:14" ht="17.25" hidden="1" customHeight="1" x14ac:dyDescent="0.25">
      <c r="B3082" s="449"/>
      <c r="C3082" s="2577" t="s">
        <v>1985</v>
      </c>
      <c r="D3082" s="896">
        <v>100000000</v>
      </c>
      <c r="E3082" s="2763">
        <f>D3082/D2867*100</f>
        <v>8.5379050969158946E-2</v>
      </c>
      <c r="F3082" s="4449"/>
      <c r="G3082" s="2855"/>
      <c r="H3082" s="2690"/>
      <c r="I3082" s="896"/>
      <c r="J3082" s="2686"/>
      <c r="K3082" s="896"/>
      <c r="L3082" s="2690"/>
      <c r="M3082" s="896"/>
      <c r="N3082" s="2768"/>
    </row>
    <row r="3083" spans="2:14" ht="18" hidden="1" customHeight="1" x14ac:dyDescent="0.25">
      <c r="B3083" s="449"/>
      <c r="C3083" s="2577" t="s">
        <v>5323</v>
      </c>
      <c r="D3083" s="896">
        <v>850000000</v>
      </c>
      <c r="E3083" s="2763">
        <f>D3083/D2867*100</f>
        <v>0.72572193323785106</v>
      </c>
      <c r="F3083" s="4449"/>
      <c r="G3083" s="2852"/>
      <c r="H3083" s="2690"/>
      <c r="I3083" s="896"/>
      <c r="J3083" s="2686"/>
      <c r="K3083" s="896"/>
      <c r="L3083" s="2690"/>
      <c r="M3083" s="896"/>
      <c r="N3083" s="2768"/>
    </row>
    <row r="3084" spans="2:14" ht="17.25" hidden="1" customHeight="1" x14ac:dyDescent="0.25">
      <c r="B3084" s="449"/>
      <c r="C3084" s="2577" t="s">
        <v>5324</v>
      </c>
      <c r="D3084" s="896">
        <v>100000000</v>
      </c>
      <c r="E3084" s="2763">
        <f>D3084/D2867*100</f>
        <v>8.5379050969158946E-2</v>
      </c>
      <c r="F3084" s="4449"/>
      <c r="G3084" s="3244"/>
      <c r="H3084" s="2695"/>
      <c r="I3084" s="896"/>
      <c r="J3084" s="2686"/>
      <c r="K3084" s="896"/>
      <c r="L3084" s="2690"/>
      <c r="M3084" s="896"/>
      <c r="N3084" s="2768"/>
    </row>
    <row r="3085" spans="2:14" ht="17.25" hidden="1" customHeight="1" x14ac:dyDescent="0.25">
      <c r="B3085" s="449"/>
      <c r="C3085" s="2577" t="s">
        <v>5325</v>
      </c>
      <c r="D3085" s="896">
        <v>100000000</v>
      </c>
      <c r="E3085" s="2763">
        <f>D3085/D2867*100</f>
        <v>8.5379050969158946E-2</v>
      </c>
      <c r="F3085" s="4449"/>
      <c r="G3085" s="3244"/>
      <c r="H3085" s="2695"/>
      <c r="I3085" s="896"/>
      <c r="J3085" s="2686"/>
      <c r="K3085" s="896"/>
      <c r="L3085" s="2760"/>
      <c r="M3085" s="896"/>
      <c r="N3085" s="2768"/>
    </row>
    <row r="3086" spans="2:14" ht="18" hidden="1" customHeight="1" x14ac:dyDescent="0.25">
      <c r="B3086" s="449"/>
      <c r="C3086" s="2577" t="s">
        <v>5326</v>
      </c>
      <c r="D3086" s="896">
        <v>450000000</v>
      </c>
      <c r="E3086" s="2763">
        <f>D3086/D2867*100</f>
        <v>0.38420572936121528</v>
      </c>
      <c r="F3086" s="4449"/>
      <c r="G3086" s="3244"/>
      <c r="H3086" s="2695"/>
      <c r="I3086" s="896"/>
      <c r="J3086" s="2686"/>
      <c r="K3086" s="896"/>
      <c r="L3086" s="2760"/>
      <c r="M3086" s="896"/>
      <c r="N3086" s="2768"/>
    </row>
    <row r="3087" spans="2:14" ht="16.5" hidden="1" customHeight="1" x14ac:dyDescent="0.25">
      <c r="B3087" s="449"/>
      <c r="C3087" s="2577" t="s">
        <v>5327</v>
      </c>
      <c r="D3087" s="896">
        <v>380000000</v>
      </c>
      <c r="E3087" s="2763">
        <f>D3087/D2867*100</f>
        <v>0.32444039368280403</v>
      </c>
      <c r="F3087" s="4449"/>
      <c r="G3087" s="3244"/>
      <c r="H3087" s="2695"/>
      <c r="I3087" s="896"/>
      <c r="J3087" s="2686"/>
      <c r="K3087" s="896"/>
      <c r="L3087" s="2760"/>
      <c r="M3087" s="896"/>
      <c r="N3087" s="2768"/>
    </row>
    <row r="3088" spans="2:14" ht="21.75" hidden="1" customHeight="1" x14ac:dyDescent="0.25">
      <c r="B3088" s="449"/>
      <c r="C3088" s="2577" t="s">
        <v>5328</v>
      </c>
      <c r="D3088" s="896">
        <v>200000000</v>
      </c>
      <c r="E3088" s="2763">
        <f>D3088/D2867*100</f>
        <v>0.17075810193831789</v>
      </c>
      <c r="F3088" s="4449"/>
      <c r="G3088" s="3244"/>
      <c r="H3088" s="2695"/>
      <c r="I3088" s="896"/>
      <c r="J3088" s="2686"/>
      <c r="K3088" s="896"/>
      <c r="L3088" s="2760"/>
      <c r="M3088" s="896"/>
      <c r="N3088" s="2768"/>
    </row>
    <row r="3089" spans="1:16" ht="15.75" hidden="1" customHeight="1" x14ac:dyDescent="0.25">
      <c r="B3089" s="449"/>
      <c r="C3089" s="2577" t="s">
        <v>5329</v>
      </c>
      <c r="D3089" s="896">
        <v>100000000</v>
      </c>
      <c r="E3089" s="2763">
        <f>D3089/D2867*100</f>
        <v>8.5379050969158946E-2</v>
      </c>
      <c r="F3089" s="4449"/>
      <c r="G3089" s="3244"/>
      <c r="H3089" s="2695"/>
      <c r="I3089" s="896"/>
      <c r="J3089" s="2686"/>
      <c r="K3089" s="896"/>
      <c r="L3089" s="2760"/>
      <c r="M3089" s="896"/>
      <c r="N3089" s="2768"/>
    </row>
    <row r="3090" spans="1:16" ht="16.5" hidden="1" customHeight="1" x14ac:dyDescent="0.25">
      <c r="B3090" s="449"/>
      <c r="C3090" s="2577" t="s">
        <v>5330</v>
      </c>
      <c r="D3090" s="896">
        <v>150000000</v>
      </c>
      <c r="E3090" s="2763">
        <f>D3090/D2867*100</f>
        <v>0.12806857645373843</v>
      </c>
      <c r="F3090" s="4449"/>
      <c r="G3090" s="3244"/>
      <c r="H3090" s="2695"/>
      <c r="I3090" s="896"/>
      <c r="J3090" s="2686"/>
      <c r="K3090" s="896"/>
      <c r="L3090" s="2760"/>
      <c r="M3090" s="896"/>
      <c r="N3090" s="2768"/>
    </row>
    <row r="3091" spans="1:16" ht="18.75" hidden="1" customHeight="1" x14ac:dyDescent="0.25">
      <c r="B3091" s="449"/>
      <c r="C3091" s="2577" t="s">
        <v>5331</v>
      </c>
      <c r="D3091" s="896">
        <v>200000000</v>
      </c>
      <c r="E3091" s="2763">
        <f>D3091/D2867*100</f>
        <v>0.17075810193831789</v>
      </c>
      <c r="F3091" s="4449"/>
      <c r="G3091" s="3244"/>
      <c r="H3091" s="2695"/>
      <c r="I3091" s="896"/>
      <c r="J3091" s="2686"/>
      <c r="K3091" s="896"/>
      <c r="L3091" s="2760"/>
      <c r="M3091" s="896"/>
      <c r="N3091" s="2768"/>
    </row>
    <row r="3092" spans="1:16" ht="15.75" hidden="1" customHeight="1" x14ac:dyDescent="0.25">
      <c r="B3092" s="449"/>
      <c r="C3092" s="2577" t="s">
        <v>5332</v>
      </c>
      <c r="D3092" s="896">
        <v>125000000</v>
      </c>
      <c r="E3092" s="2763">
        <f>D3092/D2867*100</f>
        <v>0.10672381371144869</v>
      </c>
      <c r="F3092" s="4449"/>
      <c r="G3092" s="3244"/>
      <c r="H3092" s="2695"/>
      <c r="I3092" s="896"/>
      <c r="J3092" s="2686"/>
      <c r="K3092" s="896"/>
      <c r="L3092" s="2760"/>
      <c r="M3092" s="896"/>
      <c r="N3092" s="2768"/>
    </row>
    <row r="3093" spans="1:16" ht="14.25" hidden="1" customHeight="1" x14ac:dyDescent="0.25">
      <c r="B3093" s="449"/>
      <c r="C3093" s="2577" t="s">
        <v>5333</v>
      </c>
      <c r="D3093" s="896">
        <v>200000000</v>
      </c>
      <c r="E3093" s="2763">
        <f>D3093/D2867*100</f>
        <v>0.17075810193831789</v>
      </c>
      <c r="F3093" s="4449"/>
      <c r="G3093" s="3244"/>
      <c r="H3093" s="2695"/>
      <c r="I3093" s="896"/>
      <c r="J3093" s="2686"/>
      <c r="K3093" s="896"/>
      <c r="L3093" s="2760"/>
      <c r="M3093" s="896"/>
      <c r="N3093" s="2768"/>
    </row>
    <row r="3094" spans="1:16" ht="15.75" hidden="1" customHeight="1" x14ac:dyDescent="0.25">
      <c r="B3094" s="449"/>
      <c r="C3094" s="2577" t="s">
        <v>5334</v>
      </c>
      <c r="D3094" s="896">
        <v>100000000</v>
      </c>
      <c r="E3094" s="2763">
        <f>D3094/D2867*100</f>
        <v>8.5379050969158946E-2</v>
      </c>
      <c r="F3094" s="4449"/>
      <c r="G3094" s="3244"/>
      <c r="H3094" s="2695"/>
      <c r="I3094" s="896"/>
      <c r="J3094" s="2686"/>
      <c r="K3094" s="896"/>
      <c r="L3094" s="2760"/>
      <c r="M3094" s="896"/>
      <c r="N3094" s="2768"/>
    </row>
    <row r="3095" spans="1:16" ht="16.5" hidden="1" customHeight="1" x14ac:dyDescent="0.25">
      <c r="B3095" s="449"/>
      <c r="C3095" s="2577" t="s">
        <v>5336</v>
      </c>
      <c r="D3095" s="896">
        <v>150000000</v>
      </c>
      <c r="E3095" s="2763">
        <f>D3095/D2867*100</f>
        <v>0.12806857645373843</v>
      </c>
      <c r="F3095" s="4449"/>
      <c r="G3095" s="3244"/>
      <c r="H3095" s="2695"/>
      <c r="I3095" s="896"/>
      <c r="J3095" s="2686"/>
      <c r="K3095" s="896"/>
      <c r="L3095" s="2760"/>
      <c r="M3095" s="896"/>
      <c r="N3095" s="2768"/>
    </row>
    <row r="3096" spans="1:16" ht="14.25" hidden="1" customHeight="1" x14ac:dyDescent="0.25">
      <c r="B3096" s="449"/>
      <c r="C3096" s="2577" t="s">
        <v>5335</v>
      </c>
      <c r="D3096" s="896">
        <v>200000000</v>
      </c>
      <c r="E3096" s="2763">
        <f>D3096/D2867*100</f>
        <v>0.17075810193831789</v>
      </c>
      <c r="F3096" s="4449"/>
      <c r="G3096" s="3244"/>
      <c r="H3096" s="2695"/>
      <c r="I3096" s="896"/>
      <c r="J3096" s="2686"/>
      <c r="K3096" s="896"/>
      <c r="L3096" s="2760"/>
      <c r="M3096" s="896"/>
      <c r="N3096" s="2768"/>
    </row>
    <row r="3097" spans="1:16" ht="13.5" hidden="1" customHeight="1" x14ac:dyDescent="0.25">
      <c r="B3097" s="449"/>
      <c r="C3097" s="2577" t="s">
        <v>5337</v>
      </c>
      <c r="D3097" s="896">
        <v>200000000</v>
      </c>
      <c r="E3097" s="2763">
        <f>D3097/D2867*100</f>
        <v>0.17075810193831789</v>
      </c>
      <c r="F3097" s="4449"/>
      <c r="G3097" s="3244"/>
      <c r="H3097" s="2695"/>
      <c r="I3097" s="896"/>
      <c r="J3097" s="2686"/>
      <c r="K3097" s="896"/>
      <c r="L3097" s="2760"/>
      <c r="M3097" s="896"/>
      <c r="N3097" s="2768"/>
    </row>
    <row r="3098" spans="1:16" ht="15.75" hidden="1" customHeight="1" x14ac:dyDescent="0.25">
      <c r="B3098" s="449"/>
      <c r="C3098" s="2577" t="s">
        <v>5338</v>
      </c>
      <c r="D3098" s="896">
        <v>400000000</v>
      </c>
      <c r="E3098" s="2763">
        <f>D3098/D2867*100</f>
        <v>0.34151620387663578</v>
      </c>
      <c r="F3098" s="4449"/>
      <c r="G3098" s="3244"/>
      <c r="H3098" s="2695"/>
      <c r="I3098" s="896"/>
      <c r="J3098" s="2686"/>
      <c r="K3098" s="896"/>
      <c r="L3098" s="2760"/>
      <c r="M3098" s="896"/>
      <c r="N3098" s="2768"/>
    </row>
    <row r="3099" spans="1:16" ht="9.75" hidden="1" customHeight="1" x14ac:dyDescent="0.25">
      <c r="B3099" s="445"/>
      <c r="C3099" s="2577"/>
      <c r="D3099" s="896"/>
      <c r="E3099" s="2763"/>
      <c r="F3099" s="4449"/>
      <c r="G3099" s="3268"/>
      <c r="H3099" s="2821"/>
      <c r="I3099" s="2709"/>
      <c r="J3099" s="2714"/>
      <c r="K3099" s="2709"/>
      <c r="L3099" s="2752"/>
      <c r="M3099" s="2709"/>
      <c r="N3099" s="2768"/>
    </row>
    <row r="3100" spans="1:16" s="32" customFormat="1" ht="21.75" hidden="1" customHeight="1" x14ac:dyDescent="0.25">
      <c r="A3100" s="1"/>
      <c r="B3100" s="445"/>
      <c r="C3100" s="2576" t="s">
        <v>5339</v>
      </c>
      <c r="D3100" s="899">
        <f>SUM(D3101:D3102)</f>
        <v>300000000</v>
      </c>
      <c r="E3100" s="2764">
        <f>D3100/D2867*100</f>
        <v>0.25613715290747685</v>
      </c>
      <c r="F3100" s="3852"/>
      <c r="G3100" s="3269"/>
      <c r="H3100" s="2821"/>
      <c r="I3100" s="2767"/>
      <c r="J3100" s="3270"/>
      <c r="K3100" s="2767"/>
      <c r="L3100" s="2785"/>
      <c r="M3100" s="2767"/>
      <c r="N3100" s="2837"/>
      <c r="P3100" s="630"/>
    </row>
    <row r="3101" spans="1:16" ht="16.5" hidden="1" customHeight="1" x14ac:dyDescent="0.25">
      <c r="B3101" s="445"/>
      <c r="C3101" s="2577" t="s">
        <v>5340</v>
      </c>
      <c r="D3101" s="896">
        <v>100000000</v>
      </c>
      <c r="E3101" s="2763">
        <f>D3101/D2867*100</f>
        <v>8.5379050969158946E-2</v>
      </c>
      <c r="F3101" s="4449"/>
      <c r="G3101" s="3244"/>
      <c r="H3101" s="2821"/>
      <c r="I3101" s="2709"/>
      <c r="J3101" s="2714"/>
      <c r="K3101" s="2709"/>
      <c r="L3101" s="2752"/>
      <c r="M3101" s="2709"/>
      <c r="N3101" s="2768"/>
    </row>
    <row r="3102" spans="1:16" ht="19.5" hidden="1" customHeight="1" x14ac:dyDescent="0.25">
      <c r="B3102" s="445"/>
      <c r="C3102" s="2577" t="s">
        <v>5341</v>
      </c>
      <c r="D3102" s="896">
        <v>200000000</v>
      </c>
      <c r="E3102" s="2763">
        <f>D3102/D2867*100</f>
        <v>0.17075810193831789</v>
      </c>
      <c r="F3102" s="4449"/>
      <c r="G3102" s="3244"/>
      <c r="H3102" s="2821"/>
      <c r="I3102" s="2709"/>
      <c r="J3102" s="2714"/>
      <c r="K3102" s="2709"/>
      <c r="L3102" s="2752"/>
      <c r="M3102" s="2709"/>
      <c r="N3102" s="2768"/>
    </row>
    <row r="3103" spans="1:16" ht="12" hidden="1" customHeight="1" x14ac:dyDescent="0.25">
      <c r="B3103" s="445"/>
      <c r="C3103" s="2577"/>
      <c r="D3103" s="896"/>
      <c r="E3103" s="2763"/>
      <c r="F3103" s="4449"/>
      <c r="G3103" s="3244"/>
      <c r="H3103" s="2821"/>
      <c r="I3103" s="2709"/>
      <c r="J3103" s="2714"/>
      <c r="K3103" s="2709"/>
      <c r="L3103" s="2752"/>
      <c r="M3103" s="2709"/>
      <c r="N3103" s="2768"/>
    </row>
    <row r="3104" spans="1:16" s="32" customFormat="1" ht="19.5" hidden="1" customHeight="1" x14ac:dyDescent="0.25">
      <c r="A3104" s="1"/>
      <c r="B3104" s="445"/>
      <c r="C3104" s="2576" t="s">
        <v>5342</v>
      </c>
      <c r="D3104" s="899">
        <f>SUM(D3105:D3106)</f>
        <v>200000000</v>
      </c>
      <c r="E3104" s="2764">
        <f>D3104/D2867*100</f>
        <v>0.17075810193831789</v>
      </c>
      <c r="F3104" s="3852"/>
      <c r="G3104" s="3269"/>
      <c r="H3104" s="2821"/>
      <c r="I3104" s="2767"/>
      <c r="J3104" s="3270"/>
      <c r="K3104" s="2767"/>
      <c r="L3104" s="2785"/>
      <c r="M3104" s="2767"/>
      <c r="N3104" s="2837"/>
      <c r="P3104" s="630"/>
    </row>
    <row r="3105" spans="1:16" ht="15.75" hidden="1" customHeight="1" x14ac:dyDescent="0.25">
      <c r="B3105" s="445"/>
      <c r="C3105" s="2577" t="s">
        <v>5343</v>
      </c>
      <c r="D3105" s="896">
        <v>100000000</v>
      </c>
      <c r="E3105" s="2763">
        <f>D3105/D2867*100</f>
        <v>8.5379050969158946E-2</v>
      </c>
      <c r="F3105" s="4449"/>
      <c r="G3105" s="3244"/>
      <c r="H3105" s="2821"/>
      <c r="I3105" s="2709"/>
      <c r="J3105" s="2714"/>
      <c r="K3105" s="2709"/>
      <c r="L3105" s="2752"/>
      <c r="M3105" s="2709"/>
      <c r="N3105" s="2768"/>
    </row>
    <row r="3106" spans="1:16" ht="24" hidden="1" customHeight="1" x14ac:dyDescent="0.25">
      <c r="B3106" s="445"/>
      <c r="C3106" s="2577" t="s">
        <v>5344</v>
      </c>
      <c r="D3106" s="896">
        <v>100000000</v>
      </c>
      <c r="E3106" s="2763">
        <f>D3106/D2867*100</f>
        <v>8.5379050969158946E-2</v>
      </c>
      <c r="F3106" s="4449"/>
      <c r="G3106" s="3244"/>
      <c r="H3106" s="2821"/>
      <c r="I3106" s="2709"/>
      <c r="J3106" s="2714"/>
      <c r="K3106" s="2709"/>
      <c r="L3106" s="2752"/>
      <c r="M3106" s="2709"/>
      <c r="N3106" s="2768"/>
    </row>
    <row r="3107" spans="1:16" ht="12.75" hidden="1" customHeight="1" x14ac:dyDescent="0.25">
      <c r="B3107" s="445"/>
      <c r="C3107" s="2577"/>
      <c r="D3107" s="896"/>
      <c r="E3107" s="2763"/>
      <c r="F3107" s="4449"/>
      <c r="G3107" s="3244"/>
      <c r="H3107" s="2821"/>
      <c r="I3107" s="2709"/>
      <c r="J3107" s="2714"/>
      <c r="K3107" s="2709"/>
      <c r="L3107" s="2752"/>
      <c r="M3107" s="2709"/>
      <c r="N3107" s="2768"/>
    </row>
    <row r="3108" spans="1:16" s="32" customFormat="1" ht="15.75" hidden="1" customHeight="1" x14ac:dyDescent="0.25">
      <c r="A3108" s="1"/>
      <c r="B3108" s="445"/>
      <c r="C3108" s="2576" t="s">
        <v>5345</v>
      </c>
      <c r="D3108" s="899">
        <f>D3109</f>
        <v>100000000</v>
      </c>
      <c r="E3108" s="2764">
        <f>D3108/D2867*100</f>
        <v>8.5379050969158946E-2</v>
      </c>
      <c r="F3108" s="3852"/>
      <c r="G3108" s="3269"/>
      <c r="H3108" s="2821"/>
      <c r="I3108" s="2767"/>
      <c r="J3108" s="3270"/>
      <c r="K3108" s="2767"/>
      <c r="L3108" s="2785"/>
      <c r="M3108" s="2767"/>
      <c r="N3108" s="2837"/>
      <c r="P3108" s="630"/>
    </row>
    <row r="3109" spans="1:16" ht="22.5" hidden="1" customHeight="1" x14ac:dyDescent="0.25">
      <c r="B3109" s="445"/>
      <c r="C3109" s="2577" t="s">
        <v>5346</v>
      </c>
      <c r="D3109" s="896">
        <v>100000000</v>
      </c>
      <c r="E3109" s="2763">
        <f>D3109/D2867*100</f>
        <v>8.5379050969158946E-2</v>
      </c>
      <c r="F3109" s="4449"/>
      <c r="G3109" s="3244"/>
      <c r="H3109" s="2821"/>
      <c r="I3109" s="2709"/>
      <c r="J3109" s="2714"/>
      <c r="K3109" s="2709"/>
      <c r="L3109" s="2752"/>
      <c r="M3109" s="2709"/>
      <c r="N3109" s="2768"/>
    </row>
    <row r="3110" spans="1:16" ht="9" hidden="1" customHeight="1" x14ac:dyDescent="0.25">
      <c r="B3110" s="445"/>
      <c r="C3110" s="2577"/>
      <c r="D3110" s="896"/>
      <c r="E3110" s="2763"/>
      <c r="F3110" s="4449"/>
      <c r="G3110" s="3244"/>
      <c r="H3110" s="2821"/>
      <c r="I3110" s="2709"/>
      <c r="J3110" s="2714"/>
      <c r="K3110" s="2709"/>
      <c r="L3110" s="2752"/>
      <c r="M3110" s="2709"/>
      <c r="N3110" s="2768"/>
    </row>
    <row r="3111" spans="1:16" s="32" customFormat="1" ht="18" hidden="1" customHeight="1" x14ac:dyDescent="0.25">
      <c r="A3111" s="1"/>
      <c r="B3111" s="445"/>
      <c r="C3111" s="2576" t="s">
        <v>5347</v>
      </c>
      <c r="D3111" s="899">
        <f>SUM(D3112:D3113)</f>
        <v>250000000</v>
      </c>
      <c r="E3111" s="2764">
        <f>D3111/D2867*100</f>
        <v>0.21344762742289738</v>
      </c>
      <c r="F3111" s="3852"/>
      <c r="G3111" s="3269"/>
      <c r="H3111" s="2821"/>
      <c r="I3111" s="2767"/>
      <c r="J3111" s="3270"/>
      <c r="K3111" s="2767"/>
      <c r="L3111" s="2785"/>
      <c r="M3111" s="2767"/>
      <c r="N3111" s="2837"/>
      <c r="P3111" s="630"/>
    </row>
    <row r="3112" spans="1:16" ht="15.75" hidden="1" customHeight="1" x14ac:dyDescent="0.25">
      <c r="B3112" s="445"/>
      <c r="C3112" s="2577" t="s">
        <v>5348</v>
      </c>
      <c r="D3112" s="896">
        <v>100000000</v>
      </c>
      <c r="E3112" s="2763">
        <f>D3112/D2867*100</f>
        <v>8.5379050969158946E-2</v>
      </c>
      <c r="F3112" s="4449"/>
      <c r="G3112" s="3244"/>
      <c r="H3112" s="2821"/>
      <c r="I3112" s="2709"/>
      <c r="J3112" s="2714"/>
      <c r="K3112" s="2709"/>
      <c r="L3112" s="2752"/>
      <c r="M3112" s="2709"/>
      <c r="N3112" s="2768"/>
    </row>
    <row r="3113" spans="1:16" ht="15.75" hidden="1" customHeight="1" x14ac:dyDescent="0.25">
      <c r="B3113" s="445"/>
      <c r="C3113" s="2577" t="s">
        <v>5349</v>
      </c>
      <c r="D3113" s="896">
        <v>150000000</v>
      </c>
      <c r="E3113" s="2763">
        <f>D3113/D2867*100</f>
        <v>0.12806857645373843</v>
      </c>
      <c r="F3113" s="4449"/>
      <c r="G3113" s="3244"/>
      <c r="H3113" s="2821"/>
      <c r="I3113" s="2709"/>
      <c r="J3113" s="2714"/>
      <c r="K3113" s="2709"/>
      <c r="L3113" s="2752"/>
      <c r="M3113" s="2709"/>
      <c r="N3113" s="2768"/>
    </row>
    <row r="3114" spans="1:16" ht="14.25" hidden="1" customHeight="1" x14ac:dyDescent="0.25">
      <c r="B3114" s="445"/>
      <c r="C3114" s="2588"/>
      <c r="D3114" s="898"/>
      <c r="E3114" s="2763"/>
      <c r="F3114" s="3852"/>
      <c r="G3114" s="3271"/>
      <c r="H3114" s="2710"/>
      <c r="I3114" s="911"/>
      <c r="J3114" s="3272"/>
      <c r="K3114" s="911"/>
      <c r="L3114" s="2710"/>
      <c r="M3114" s="911"/>
      <c r="N3114" s="2768"/>
    </row>
    <row r="3115" spans="1:16" ht="20.25" hidden="1" customHeight="1" x14ac:dyDescent="0.25">
      <c r="B3115" s="440"/>
      <c r="C3115" s="2584" t="s">
        <v>2355</v>
      </c>
      <c r="D3115" s="2744">
        <f>SUM(D3116)</f>
        <v>1476308800</v>
      </c>
      <c r="E3115" s="2717">
        <f>D3115/D2867*100</f>
        <v>1.260458442814179</v>
      </c>
      <c r="F3115" s="3888"/>
      <c r="G3115" s="2717"/>
      <c r="H3115" s="2672"/>
      <c r="I3115" s="2744"/>
      <c r="J3115" s="3256"/>
      <c r="K3115" s="3256"/>
      <c r="L3115" s="3256"/>
      <c r="M3115" s="2744"/>
      <c r="N3115" s="2768"/>
    </row>
    <row r="3116" spans="1:16" ht="21.75" hidden="1" customHeight="1" x14ac:dyDescent="0.25">
      <c r="B3116" s="449"/>
      <c r="C3116" s="2576" t="s">
        <v>5350</v>
      </c>
      <c r="D3116" s="899">
        <f>SUM(D3117:D3118)</f>
        <v>1476308800</v>
      </c>
      <c r="E3116" s="2693">
        <f>D3116/D2867*100</f>
        <v>1.260458442814179</v>
      </c>
      <c r="F3116" s="3852"/>
      <c r="G3116" s="3180"/>
      <c r="H3116" s="2695"/>
      <c r="I3116" s="899"/>
      <c r="J3116" s="3180"/>
      <c r="K3116" s="3180"/>
      <c r="L3116" s="2732"/>
      <c r="M3116" s="899"/>
      <c r="N3116" s="2768"/>
    </row>
    <row r="3117" spans="1:16" ht="17.25" hidden="1" customHeight="1" x14ac:dyDescent="0.25">
      <c r="B3117" s="449"/>
      <c r="C3117" s="2577" t="s">
        <v>5351</v>
      </c>
      <c r="D3117" s="896">
        <v>1200000000</v>
      </c>
      <c r="E3117" s="2763">
        <f>D3117/D2867*100</f>
        <v>1.0245486116299074</v>
      </c>
      <c r="F3117" s="4449"/>
      <c r="G3117" s="3161"/>
      <c r="H3117" s="2690"/>
      <c r="I3117" s="896"/>
      <c r="J3117" s="2686"/>
      <c r="K3117" s="896"/>
      <c r="L3117" s="2690"/>
      <c r="M3117" s="896"/>
      <c r="N3117" s="2768"/>
    </row>
    <row r="3118" spans="1:16" ht="18.75" hidden="1" customHeight="1" x14ac:dyDescent="0.25">
      <c r="B3118" s="449"/>
      <c r="C3118" s="2577" t="s">
        <v>5352</v>
      </c>
      <c r="D3118" s="896">
        <v>276308800</v>
      </c>
      <c r="E3118" s="2763">
        <f>D3118/D2867*100</f>
        <v>0.23590983118427147</v>
      </c>
      <c r="F3118" s="4449"/>
      <c r="G3118" s="3161"/>
      <c r="H3118" s="2690"/>
      <c r="I3118" s="896"/>
      <c r="J3118" s="2686"/>
      <c r="K3118" s="896"/>
      <c r="L3118" s="2690"/>
      <c r="M3118" s="896"/>
      <c r="N3118" s="2768"/>
    </row>
    <row r="3119" spans="1:16" ht="18" hidden="1" customHeight="1" x14ac:dyDescent="0.25">
      <c r="B3119" s="445"/>
      <c r="C3119" s="2589"/>
      <c r="D3119" s="2755"/>
      <c r="E3119" s="2758"/>
      <c r="F3119" s="3864"/>
      <c r="G3119" s="3271"/>
      <c r="H3119" s="2752"/>
      <c r="I3119" s="2755"/>
      <c r="J3119" s="3273"/>
      <c r="K3119" s="2755"/>
      <c r="L3119" s="2752"/>
      <c r="M3119" s="2755"/>
      <c r="N3119" s="2768"/>
    </row>
    <row r="3120" spans="1:16" ht="18.75" hidden="1" customHeight="1" x14ac:dyDescent="0.25">
      <c r="B3120" s="440"/>
      <c r="C3120" s="2584" t="s">
        <v>3306</v>
      </c>
      <c r="D3120" s="2744">
        <f>SUM(D3121+D3126+D3131+D3134)</f>
        <v>2000000000</v>
      </c>
      <c r="E3120" s="2717">
        <f>D3120/D2867*100</f>
        <v>1.7075810193831791</v>
      </c>
      <c r="F3120" s="3888"/>
      <c r="G3120" s="2717"/>
      <c r="H3120" s="2672"/>
      <c r="I3120" s="2744"/>
      <c r="J3120" s="3256"/>
      <c r="K3120" s="3256"/>
      <c r="L3120" s="3256"/>
      <c r="M3120" s="2744"/>
      <c r="N3120" s="2768"/>
    </row>
    <row r="3121" spans="2:14" ht="14.25" hidden="1" customHeight="1" x14ac:dyDescent="0.25">
      <c r="B3121" s="441"/>
      <c r="C3121" s="2576" t="s">
        <v>5353</v>
      </c>
      <c r="D3121" s="899">
        <f>SUM(D3122:D3124)</f>
        <v>700000000</v>
      </c>
      <c r="E3121" s="2693">
        <f>D3121/D2867*100</f>
        <v>0.59765335678411269</v>
      </c>
      <c r="F3121" s="3852"/>
      <c r="G3121" s="3166"/>
      <c r="H3121" s="2695"/>
      <c r="I3121" s="899"/>
      <c r="J3121" s="3247"/>
      <c r="K3121" s="3247"/>
      <c r="L3121" s="2732"/>
      <c r="M3121" s="899"/>
      <c r="N3121" s="2768"/>
    </row>
    <row r="3122" spans="2:14" ht="18" hidden="1" customHeight="1" x14ac:dyDescent="0.25">
      <c r="B3122" s="441"/>
      <c r="C3122" s="2577" t="s">
        <v>5354</v>
      </c>
      <c r="D3122" s="896">
        <v>300000000</v>
      </c>
      <c r="E3122" s="2763">
        <f>D3122/D2867*100</f>
        <v>0.25613715290747685</v>
      </c>
      <c r="F3122" s="4449"/>
      <c r="G3122" s="3161"/>
      <c r="H3122" s="2690"/>
      <c r="I3122" s="2685"/>
      <c r="J3122" s="2686"/>
      <c r="K3122" s="896"/>
      <c r="L3122" s="2690"/>
      <c r="M3122" s="896"/>
      <c r="N3122" s="2768"/>
    </row>
    <row r="3123" spans="2:14" ht="17.25" hidden="1" customHeight="1" x14ac:dyDescent="0.25">
      <c r="B3123" s="441"/>
      <c r="C3123" s="2577" t="s">
        <v>5355</v>
      </c>
      <c r="D3123" s="896">
        <v>250000000</v>
      </c>
      <c r="E3123" s="2763">
        <f>D3123/D2867*100</f>
        <v>0.21344762742289738</v>
      </c>
      <c r="F3123" s="4449"/>
      <c r="G3123" s="3161"/>
      <c r="H3123" s="3161"/>
      <c r="I3123" s="3161"/>
      <c r="J3123" s="2686"/>
      <c r="K3123" s="896"/>
      <c r="L3123" s="2690"/>
      <c r="M3123" s="896"/>
      <c r="N3123" s="2768"/>
    </row>
    <row r="3124" spans="2:14" ht="17.25" hidden="1" customHeight="1" x14ac:dyDescent="0.25">
      <c r="B3124" s="441"/>
      <c r="C3124" s="2577" t="s">
        <v>5356</v>
      </c>
      <c r="D3124" s="896">
        <v>150000000</v>
      </c>
      <c r="E3124" s="2763">
        <f>D3124/D2867*100</f>
        <v>0.12806857645373843</v>
      </c>
      <c r="F3124" s="4449"/>
      <c r="G3124" s="3161"/>
      <c r="H3124" s="3161"/>
      <c r="I3124" s="3161"/>
      <c r="J3124" s="2686"/>
      <c r="K3124" s="896"/>
      <c r="L3124" s="2690"/>
      <c r="M3124" s="896"/>
      <c r="N3124" s="2768"/>
    </row>
    <row r="3125" spans="2:14" ht="13.5" hidden="1" customHeight="1" x14ac:dyDescent="0.25">
      <c r="B3125" s="441"/>
      <c r="C3125" s="2577"/>
      <c r="D3125" s="896"/>
      <c r="E3125" s="2763"/>
      <c r="F3125" s="4449"/>
      <c r="G3125" s="3274"/>
      <c r="H3125" s="2690"/>
      <c r="I3125" s="896"/>
      <c r="J3125" s="896"/>
      <c r="K3125" s="896"/>
      <c r="L3125" s="2690"/>
      <c r="M3125" s="896"/>
      <c r="N3125" s="2768"/>
    </row>
    <row r="3126" spans="2:14" ht="13.5" hidden="1" customHeight="1" x14ac:dyDescent="0.25">
      <c r="B3126" s="441"/>
      <c r="C3126" s="2576" t="s">
        <v>4353</v>
      </c>
      <c r="D3126" s="899">
        <f>SUM(D3127:D3129)</f>
        <v>500000000</v>
      </c>
      <c r="E3126" s="2764">
        <f>D3126/D2867*100</f>
        <v>0.42689525484579477</v>
      </c>
      <c r="F3126" s="3852"/>
      <c r="G3126" s="3166"/>
      <c r="H3126" s="2695"/>
      <c r="I3126" s="899"/>
      <c r="J3126" s="3247"/>
      <c r="K3126" s="3247"/>
      <c r="L3126" s="2732"/>
      <c r="M3126" s="899"/>
      <c r="N3126" s="2768"/>
    </row>
    <row r="3127" spans="2:14" ht="16.5" hidden="1" customHeight="1" x14ac:dyDescent="0.25">
      <c r="B3127" s="441"/>
      <c r="C3127" s="2577" t="s">
        <v>5357</v>
      </c>
      <c r="D3127" s="896">
        <v>150000000</v>
      </c>
      <c r="E3127" s="2763">
        <f>D3127/D2867*100</f>
        <v>0.12806857645373843</v>
      </c>
      <c r="F3127" s="4449"/>
      <c r="G3127" s="3161"/>
      <c r="H3127" s="2690"/>
      <c r="I3127" s="2685"/>
      <c r="J3127" s="2686"/>
      <c r="K3127" s="896"/>
      <c r="L3127" s="2690"/>
      <c r="M3127" s="896"/>
      <c r="N3127" s="2768"/>
    </row>
    <row r="3128" spans="2:14" ht="31.5" hidden="1" customHeight="1" x14ac:dyDescent="0.25">
      <c r="B3128" s="441"/>
      <c r="C3128" s="2577" t="s">
        <v>5358</v>
      </c>
      <c r="D3128" s="896">
        <v>150000000</v>
      </c>
      <c r="E3128" s="2763">
        <f>D3128/D2867*100</f>
        <v>0.12806857645373843</v>
      </c>
      <c r="F3128" s="4449"/>
      <c r="G3128" s="3161"/>
      <c r="H3128" s="3161"/>
      <c r="I3128" s="3161"/>
      <c r="J3128" s="2686"/>
      <c r="K3128" s="898"/>
      <c r="L3128" s="2690"/>
      <c r="M3128" s="896"/>
      <c r="N3128" s="2768"/>
    </row>
    <row r="3129" spans="2:14" ht="18.75" hidden="1" customHeight="1" x14ac:dyDescent="0.25">
      <c r="B3129" s="441"/>
      <c r="C3129" s="2577" t="s">
        <v>5359</v>
      </c>
      <c r="D3129" s="896">
        <v>200000000</v>
      </c>
      <c r="E3129" s="2763">
        <f>D3129/D2867*100</f>
        <v>0.17075810193831789</v>
      </c>
      <c r="F3129" s="4449"/>
      <c r="G3129" s="3161"/>
      <c r="H3129" s="3161"/>
      <c r="I3129" s="3161"/>
      <c r="J3129" s="2686"/>
      <c r="K3129" s="3161"/>
      <c r="L3129" s="3161"/>
      <c r="M3129" s="3161"/>
      <c r="N3129" s="2768"/>
    </row>
    <row r="3130" spans="2:14" ht="12" hidden="1" customHeight="1" x14ac:dyDescent="0.25">
      <c r="B3130" s="441"/>
      <c r="C3130" s="2588"/>
      <c r="D3130" s="898"/>
      <c r="E3130" s="2763"/>
      <c r="F3130" s="3852"/>
      <c r="G3130" s="3274"/>
      <c r="H3130" s="2690"/>
      <c r="I3130" s="2769"/>
      <c r="J3130" s="896"/>
      <c r="K3130" s="896"/>
      <c r="L3130" s="2760"/>
      <c r="M3130" s="2709"/>
      <c r="N3130" s="2768"/>
    </row>
    <row r="3131" spans="2:14" ht="29.25" hidden="1" customHeight="1" x14ac:dyDescent="0.25">
      <c r="B3131" s="441"/>
      <c r="C3131" s="2580" t="s">
        <v>5360</v>
      </c>
      <c r="D3131" s="3103">
        <f>SUM(D3132:D3132)</f>
        <v>300000000</v>
      </c>
      <c r="E3131" s="2764">
        <f>D3131/D2867*100</f>
        <v>0.25613715290747685</v>
      </c>
      <c r="F3131" s="3898"/>
      <c r="G3131" s="3166"/>
      <c r="H3131" s="2695"/>
      <c r="I3131" s="2751"/>
      <c r="J3131" s="3259"/>
      <c r="K3131" s="3259"/>
      <c r="L3131" s="2732"/>
      <c r="M3131" s="2767"/>
      <c r="N3131" s="2768"/>
    </row>
    <row r="3132" spans="2:14" ht="22.5" hidden="1" customHeight="1" x14ac:dyDescent="0.25">
      <c r="B3132" s="441"/>
      <c r="C3132" s="2590" t="s">
        <v>5361</v>
      </c>
      <c r="D3132" s="3097">
        <v>300000000</v>
      </c>
      <c r="E3132" s="2763">
        <f>D3132/D2867*100</f>
        <v>0.25613715290747685</v>
      </c>
      <c r="F3132" s="4462"/>
      <c r="G3132" s="2855"/>
      <c r="H3132" s="2855"/>
      <c r="I3132" s="2855"/>
      <c r="J3132" s="3276"/>
      <c r="K3132" s="2852"/>
      <c r="L3132" s="2855"/>
      <c r="M3132" s="2855"/>
      <c r="N3132" s="2768"/>
    </row>
    <row r="3133" spans="2:14" ht="12.75" hidden="1" customHeight="1" x14ac:dyDescent="0.25">
      <c r="B3133" s="441"/>
      <c r="C3133" s="2590"/>
      <c r="D3133" s="3097"/>
      <c r="E3133" s="2763"/>
      <c r="F3133" s="4462"/>
      <c r="G3133" s="3274"/>
      <c r="H3133" s="2690"/>
      <c r="I3133" s="898"/>
      <c r="J3133" s="898"/>
      <c r="K3133" s="898"/>
      <c r="L3133" s="2690"/>
      <c r="M3133" s="898"/>
      <c r="N3133" s="2768"/>
    </row>
    <row r="3134" spans="2:14" ht="18" hidden="1" customHeight="1" x14ac:dyDescent="0.25">
      <c r="B3134" s="441"/>
      <c r="C3134" s="2580" t="s">
        <v>2051</v>
      </c>
      <c r="D3134" s="3103">
        <f>SUM(D3135:D3138)</f>
        <v>500000000</v>
      </c>
      <c r="E3134" s="2764">
        <f>D3134/D2867*100</f>
        <v>0.42689525484579477</v>
      </c>
      <c r="F3134" s="3898"/>
      <c r="G3134" s="3163"/>
      <c r="H3134" s="2695"/>
      <c r="I3134" s="899"/>
      <c r="J3134" s="3259"/>
      <c r="K3134" s="3259"/>
      <c r="L3134" s="2732"/>
      <c r="M3134" s="899"/>
      <c r="N3134" s="2768"/>
    </row>
    <row r="3135" spans="2:14" ht="18.75" hidden="1" customHeight="1" x14ac:dyDescent="0.25">
      <c r="B3135" s="441"/>
      <c r="C3135" s="2590" t="s">
        <v>5362</v>
      </c>
      <c r="D3135" s="3097">
        <v>150000000</v>
      </c>
      <c r="E3135" s="2763">
        <f>D3135/D2867*100</f>
        <v>0.12806857645373843</v>
      </c>
      <c r="F3135" s="4462"/>
      <c r="G3135" s="3161"/>
      <c r="H3135" s="2690"/>
      <c r="I3135" s="896"/>
      <c r="J3135" s="3276"/>
      <c r="K3135" s="896"/>
      <c r="L3135" s="2690"/>
      <c r="M3135" s="896"/>
      <c r="N3135" s="2768"/>
    </row>
    <row r="3136" spans="2:14" ht="14.25" hidden="1" customHeight="1" x14ac:dyDescent="0.25">
      <c r="B3136" s="441"/>
      <c r="C3136" s="2590" t="s">
        <v>5363</v>
      </c>
      <c r="D3136" s="3097">
        <v>100000000</v>
      </c>
      <c r="E3136" s="2763">
        <f>D3136/D2867*100</f>
        <v>8.5379050969158946E-2</v>
      </c>
      <c r="F3136" s="4462"/>
      <c r="G3136" s="3275"/>
      <c r="H3136" s="2690"/>
      <c r="I3136" s="896"/>
      <c r="J3136" s="3276"/>
      <c r="K3136" s="896"/>
      <c r="L3136" s="2690"/>
      <c r="M3136" s="896"/>
      <c r="N3136" s="2768"/>
    </row>
    <row r="3137" spans="1:16" ht="15.75" hidden="1" customHeight="1" x14ac:dyDescent="0.25">
      <c r="B3137" s="441"/>
      <c r="C3137" s="2590" t="s">
        <v>5364</v>
      </c>
      <c r="D3137" s="3097">
        <v>100000000</v>
      </c>
      <c r="E3137" s="2763">
        <f>D3137/D2867*100</f>
        <v>8.5379050969158946E-2</v>
      </c>
      <c r="F3137" s="4462"/>
      <c r="G3137" s="3161"/>
      <c r="H3137" s="2690"/>
      <c r="I3137" s="896"/>
      <c r="J3137" s="3276"/>
      <c r="K3137" s="896"/>
      <c r="L3137" s="2690"/>
      <c r="M3137" s="896"/>
      <c r="N3137" s="2768"/>
    </row>
    <row r="3138" spans="1:16" ht="20.25" hidden="1" customHeight="1" x14ac:dyDescent="0.25">
      <c r="B3138" s="441"/>
      <c r="C3138" s="2590" t="s">
        <v>5365</v>
      </c>
      <c r="D3138" s="3097">
        <v>150000000</v>
      </c>
      <c r="E3138" s="2763">
        <f>D3138/D2867*100</f>
        <v>0.12806857645373843</v>
      </c>
      <c r="F3138" s="4462"/>
      <c r="G3138" s="3161"/>
      <c r="H3138" s="3161"/>
      <c r="I3138" s="3161"/>
      <c r="J3138" s="3276"/>
      <c r="K3138" s="896"/>
      <c r="L3138" s="2690"/>
      <c r="M3138" s="896"/>
      <c r="N3138" s="2768"/>
    </row>
    <row r="3139" spans="1:16" ht="15.75" hidden="1" customHeight="1" x14ac:dyDescent="0.25">
      <c r="B3139" s="441"/>
      <c r="C3139" s="2585"/>
      <c r="D3139" s="2769"/>
      <c r="E3139" s="2758"/>
      <c r="F3139" s="4451"/>
      <c r="G3139" s="3271"/>
      <c r="H3139" s="2752"/>
      <c r="I3139" s="2755"/>
      <c r="J3139" s="2755"/>
      <c r="K3139" s="2755"/>
      <c r="L3139" s="2752"/>
      <c r="M3139" s="2755"/>
      <c r="N3139" s="2768"/>
    </row>
    <row r="3140" spans="1:16" ht="18.75" hidden="1" customHeight="1" x14ac:dyDescent="0.25">
      <c r="B3140" s="440"/>
      <c r="C3140" s="2579" t="s">
        <v>5366</v>
      </c>
      <c r="D3140" s="3252">
        <f>SUM(D3141+D3147+D3154+D3162)</f>
        <v>5009320000</v>
      </c>
      <c r="E3140" s="2717">
        <f>D3140/D2867*100</f>
        <v>4.2769098760082729</v>
      </c>
      <c r="F3140" s="3897"/>
      <c r="G3140" s="2719"/>
      <c r="H3140" s="2719"/>
      <c r="I3140" s="2719"/>
      <c r="J3140" s="3255"/>
      <c r="K3140" s="3255"/>
      <c r="L3140" s="3256"/>
      <c r="M3140" s="2744"/>
      <c r="N3140" s="2768"/>
    </row>
    <row r="3141" spans="1:16" ht="18" hidden="1" customHeight="1" x14ac:dyDescent="0.25">
      <c r="B3141" s="449"/>
      <c r="C3141" s="2580" t="s">
        <v>2057</v>
      </c>
      <c r="D3141" s="3103">
        <f>SUM(D3142:D3145)</f>
        <v>800000000</v>
      </c>
      <c r="E3141" s="2693">
        <f>D3141/D2867*100</f>
        <v>0.68303240775327156</v>
      </c>
      <c r="F3141" s="3898"/>
      <c r="G3141" s="3161"/>
      <c r="H3141" s="3161"/>
      <c r="I3141" s="3161"/>
      <c r="J3141" s="3259"/>
      <c r="K3141" s="3259"/>
      <c r="L3141" s="3247"/>
      <c r="M3141" s="899"/>
      <c r="N3141" s="2768"/>
    </row>
    <row r="3142" spans="1:16" ht="15.75" hidden="1" customHeight="1" x14ac:dyDescent="0.25">
      <c r="B3142" s="449"/>
      <c r="C3142" s="2590" t="s">
        <v>5367</v>
      </c>
      <c r="D3142" s="3097">
        <v>200000000</v>
      </c>
      <c r="E3142" s="2688">
        <f>D3142/D2867*100</f>
        <v>0.17075810193831789</v>
      </c>
      <c r="F3142" s="4462"/>
      <c r="G3142" s="3161"/>
      <c r="H3142" s="3161"/>
      <c r="I3142" s="3161"/>
      <c r="J3142" s="3276"/>
      <c r="K3142" s="896"/>
      <c r="L3142" s="2690"/>
      <c r="M3142" s="896"/>
      <c r="N3142" s="2768"/>
    </row>
    <row r="3143" spans="1:16" ht="15.75" hidden="1" customHeight="1" x14ac:dyDescent="0.25">
      <c r="B3143" s="445"/>
      <c r="C3143" s="2590" t="s">
        <v>5368</v>
      </c>
      <c r="D3143" s="3097">
        <v>200000000</v>
      </c>
      <c r="E3143" s="2688">
        <f>D3143/D2867*100</f>
        <v>0.17075810193831789</v>
      </c>
      <c r="F3143" s="4462"/>
      <c r="G3143" s="3269"/>
      <c r="H3143" s="3277"/>
      <c r="I3143" s="3269"/>
      <c r="J3143" s="898"/>
      <c r="K3143" s="898"/>
      <c r="L3143" s="898"/>
      <c r="M3143" s="898"/>
      <c r="N3143" s="2768"/>
    </row>
    <row r="3144" spans="1:16" ht="18.75" hidden="1" customHeight="1" x14ac:dyDescent="0.25">
      <c r="B3144" s="441"/>
      <c r="C3144" s="2590" t="s">
        <v>5369</v>
      </c>
      <c r="D3144" s="3097">
        <v>200000000</v>
      </c>
      <c r="E3144" s="2688">
        <f>D3144/D2867*100</f>
        <v>0.17075810193831789</v>
      </c>
      <c r="F3144" s="4462"/>
      <c r="G3144" s="3269"/>
      <c r="H3144" s="3277"/>
      <c r="I3144" s="3269"/>
      <c r="J3144" s="898"/>
      <c r="K3144" s="898"/>
      <c r="L3144" s="898"/>
      <c r="M3144" s="898"/>
      <c r="N3144" s="2768"/>
    </row>
    <row r="3145" spans="1:16" ht="28.5" hidden="1" customHeight="1" x14ac:dyDescent="0.25">
      <c r="B3145" s="441"/>
      <c r="C3145" s="2590" t="s">
        <v>5370</v>
      </c>
      <c r="D3145" s="3097">
        <v>200000000</v>
      </c>
      <c r="E3145" s="2688">
        <f>D3145/D2867*100</f>
        <v>0.17075810193831789</v>
      </c>
      <c r="F3145" s="4462"/>
      <c r="G3145" s="3269"/>
      <c r="H3145" s="3277"/>
      <c r="I3145" s="3269"/>
      <c r="J3145" s="898"/>
      <c r="K3145" s="898"/>
      <c r="L3145" s="898"/>
      <c r="M3145" s="898"/>
      <c r="N3145" s="2768"/>
    </row>
    <row r="3146" spans="1:16" ht="11.25" hidden="1" customHeight="1" x14ac:dyDescent="0.25">
      <c r="B3146" s="441"/>
      <c r="C3146" s="2590"/>
      <c r="D3146" s="3097"/>
      <c r="E3146" s="2688"/>
      <c r="F3146" s="4462"/>
      <c r="G3146" s="3269"/>
      <c r="H3146" s="3277"/>
      <c r="I3146" s="3269"/>
      <c r="J3146" s="898"/>
      <c r="K3146" s="898"/>
      <c r="L3146" s="898"/>
      <c r="M3146" s="898"/>
      <c r="N3146" s="2768"/>
    </row>
    <row r="3147" spans="1:16" s="32" customFormat="1" ht="18" hidden="1" customHeight="1" x14ac:dyDescent="0.25">
      <c r="A3147" s="1"/>
      <c r="B3147" s="441"/>
      <c r="C3147" s="2580" t="s">
        <v>5371</v>
      </c>
      <c r="D3147" s="3103">
        <f>SUM(D3148:D3152)</f>
        <v>1000000000</v>
      </c>
      <c r="E3147" s="2693">
        <f>D3147/D2867*100</f>
        <v>0.85379050969158954</v>
      </c>
      <c r="F3147" s="3898"/>
      <c r="G3147" s="3269"/>
      <c r="H3147" s="3277"/>
      <c r="I3147" s="3269"/>
      <c r="J3147" s="899"/>
      <c r="K3147" s="899"/>
      <c r="L3147" s="899"/>
      <c r="M3147" s="899"/>
      <c r="N3147" s="2837"/>
      <c r="P3147" s="630"/>
    </row>
    <row r="3148" spans="1:16" ht="18" hidden="1" customHeight="1" x14ac:dyDescent="0.25">
      <c r="B3148" s="441"/>
      <c r="C3148" s="2590" t="s">
        <v>5373</v>
      </c>
      <c r="D3148" s="3097">
        <v>200000000</v>
      </c>
      <c r="E3148" s="2688">
        <f>D3148/D2867*100</f>
        <v>0.17075810193831789</v>
      </c>
      <c r="F3148" s="4462"/>
      <c r="G3148" s="3269"/>
      <c r="H3148" s="3277"/>
      <c r="I3148" s="3269"/>
      <c r="J3148" s="898"/>
      <c r="K3148" s="898"/>
      <c r="L3148" s="898"/>
      <c r="M3148" s="898"/>
      <c r="N3148" s="2768"/>
    </row>
    <row r="3149" spans="1:16" ht="28.5" hidden="1" customHeight="1" x14ac:dyDescent="0.25">
      <c r="B3149" s="441"/>
      <c r="C3149" s="2590" t="s">
        <v>5372</v>
      </c>
      <c r="D3149" s="3097">
        <v>200000000</v>
      </c>
      <c r="E3149" s="2688">
        <f>D3149/D2867*100</f>
        <v>0.17075810193831789</v>
      </c>
      <c r="F3149" s="4462"/>
      <c r="G3149" s="3269"/>
      <c r="H3149" s="3277"/>
      <c r="I3149" s="3269"/>
      <c r="J3149" s="898"/>
      <c r="K3149" s="898"/>
      <c r="L3149" s="898"/>
      <c r="M3149" s="898"/>
      <c r="N3149" s="2768"/>
    </row>
    <row r="3150" spans="1:16" ht="17.25" hidden="1" customHeight="1" x14ac:dyDescent="0.25">
      <c r="B3150" s="441"/>
      <c r="C3150" s="2590" t="s">
        <v>5374</v>
      </c>
      <c r="D3150" s="3097">
        <v>200000000</v>
      </c>
      <c r="E3150" s="2688">
        <f>D3150/D2867*100</f>
        <v>0.17075810193831789</v>
      </c>
      <c r="F3150" s="4462"/>
      <c r="G3150" s="3269"/>
      <c r="H3150" s="3277"/>
      <c r="I3150" s="3269"/>
      <c r="J3150" s="898"/>
      <c r="K3150" s="898"/>
      <c r="L3150" s="898"/>
      <c r="M3150" s="898"/>
      <c r="N3150" s="2768"/>
    </row>
    <row r="3151" spans="1:16" ht="15.75" hidden="1" customHeight="1" x14ac:dyDescent="0.25">
      <c r="B3151" s="441"/>
      <c r="C3151" s="2590" t="s">
        <v>5375</v>
      </c>
      <c r="D3151" s="3097">
        <v>200000000</v>
      </c>
      <c r="E3151" s="2688">
        <f>D3151/D2867*100</f>
        <v>0.17075810193831789</v>
      </c>
      <c r="F3151" s="4462"/>
      <c r="G3151" s="3269"/>
      <c r="H3151" s="3277"/>
      <c r="I3151" s="3269"/>
      <c r="J3151" s="898"/>
      <c r="K3151" s="898"/>
      <c r="L3151" s="898"/>
      <c r="M3151" s="898"/>
      <c r="N3151" s="2768"/>
    </row>
    <row r="3152" spans="1:16" ht="18" hidden="1" customHeight="1" x14ac:dyDescent="0.25">
      <c r="B3152" s="441"/>
      <c r="C3152" s="2590" t="s">
        <v>5376</v>
      </c>
      <c r="D3152" s="3097">
        <v>200000000</v>
      </c>
      <c r="E3152" s="2688">
        <f>D3152/D2867*100</f>
        <v>0.17075810193831789</v>
      </c>
      <c r="F3152" s="4462"/>
      <c r="G3152" s="3269"/>
      <c r="H3152" s="3277"/>
      <c r="I3152" s="3269"/>
      <c r="J3152" s="898"/>
      <c r="K3152" s="898"/>
      <c r="L3152" s="898"/>
      <c r="M3152" s="898"/>
      <c r="N3152" s="2768"/>
    </row>
    <row r="3153" spans="1:16" ht="12" hidden="1" customHeight="1" x14ac:dyDescent="0.25">
      <c r="B3153" s="441"/>
      <c r="C3153" s="2590"/>
      <c r="D3153" s="3097"/>
      <c r="E3153" s="2688"/>
      <c r="F3153" s="4462"/>
      <c r="G3153" s="3269"/>
      <c r="H3153" s="3277"/>
      <c r="I3153" s="3269"/>
      <c r="J3153" s="898"/>
      <c r="K3153" s="898"/>
      <c r="L3153" s="898"/>
      <c r="M3153" s="898"/>
      <c r="N3153" s="2768"/>
    </row>
    <row r="3154" spans="1:16" s="32" customFormat="1" ht="28.5" hidden="1" customHeight="1" x14ac:dyDescent="0.25">
      <c r="A3154" s="1"/>
      <c r="B3154" s="441"/>
      <c r="C3154" s="2580" t="s">
        <v>5377</v>
      </c>
      <c r="D3154" s="3103">
        <f>SUM(D3155:D3160)</f>
        <v>1250000000</v>
      </c>
      <c r="E3154" s="2693">
        <f>D3154/D2867*100</f>
        <v>1.0672381371144868</v>
      </c>
      <c r="F3154" s="3898"/>
      <c r="G3154" s="3269"/>
      <c r="H3154" s="3277"/>
      <c r="I3154" s="3269"/>
      <c r="J3154" s="899"/>
      <c r="K3154" s="899"/>
      <c r="L3154" s="899"/>
      <c r="M3154" s="899"/>
      <c r="N3154" s="2837"/>
      <c r="P3154" s="630"/>
    </row>
    <row r="3155" spans="1:16" ht="18" hidden="1" customHeight="1" x14ac:dyDescent="0.25">
      <c r="B3155" s="441"/>
      <c r="C3155" s="2590" t="s">
        <v>5378</v>
      </c>
      <c r="D3155" s="3097">
        <v>350000000</v>
      </c>
      <c r="E3155" s="2688">
        <f>D3155/D2867*100</f>
        <v>0.29882667839205634</v>
      </c>
      <c r="F3155" s="4462"/>
      <c r="G3155" s="3269"/>
      <c r="H3155" s="3277"/>
      <c r="I3155" s="3269"/>
      <c r="J3155" s="898"/>
      <c r="K3155" s="898"/>
      <c r="L3155" s="898"/>
      <c r="M3155" s="898"/>
      <c r="N3155" s="2768"/>
    </row>
    <row r="3156" spans="1:16" ht="17.25" hidden="1" customHeight="1" x14ac:dyDescent="0.25">
      <c r="B3156" s="441"/>
      <c r="C3156" s="2590" t="s">
        <v>5379</v>
      </c>
      <c r="D3156" s="3097">
        <v>150000000</v>
      </c>
      <c r="E3156" s="2688">
        <f>D3156/D2867*100</f>
        <v>0.12806857645373843</v>
      </c>
      <c r="F3156" s="4462"/>
      <c r="G3156" s="3269"/>
      <c r="H3156" s="3277"/>
      <c r="I3156" s="3269"/>
      <c r="J3156" s="898"/>
      <c r="K3156" s="898"/>
      <c r="L3156" s="898"/>
      <c r="M3156" s="898"/>
      <c r="N3156" s="2768"/>
    </row>
    <row r="3157" spans="1:16" ht="17.25" hidden="1" customHeight="1" x14ac:dyDescent="0.25">
      <c r="B3157" s="441"/>
      <c r="C3157" s="2590" t="s">
        <v>5380</v>
      </c>
      <c r="D3157" s="3097">
        <v>200000000</v>
      </c>
      <c r="E3157" s="2688">
        <f>D3157/D2867*100</f>
        <v>0.17075810193831789</v>
      </c>
      <c r="F3157" s="4462"/>
      <c r="G3157" s="3269"/>
      <c r="H3157" s="3277"/>
      <c r="I3157" s="3269"/>
      <c r="J3157" s="898"/>
      <c r="K3157" s="898"/>
      <c r="L3157" s="898"/>
      <c r="M3157" s="898"/>
      <c r="N3157" s="2768"/>
    </row>
    <row r="3158" spans="1:16" ht="17.25" hidden="1" customHeight="1" x14ac:dyDescent="0.25">
      <c r="B3158" s="441"/>
      <c r="C3158" s="2590" t="s">
        <v>5381</v>
      </c>
      <c r="D3158" s="3097">
        <v>200000000</v>
      </c>
      <c r="E3158" s="2688">
        <f>D3158/D2867*100</f>
        <v>0.17075810193831789</v>
      </c>
      <c r="F3158" s="4462"/>
      <c r="G3158" s="3269"/>
      <c r="H3158" s="3277"/>
      <c r="I3158" s="3269"/>
      <c r="J3158" s="898"/>
      <c r="K3158" s="898"/>
      <c r="L3158" s="898"/>
      <c r="M3158" s="898"/>
      <c r="N3158" s="2768"/>
    </row>
    <row r="3159" spans="1:16" ht="19.5" hidden="1" customHeight="1" x14ac:dyDescent="0.25">
      <c r="B3159" s="441"/>
      <c r="C3159" s="2590" t="s">
        <v>5382</v>
      </c>
      <c r="D3159" s="3097">
        <v>150000000</v>
      </c>
      <c r="E3159" s="2688">
        <f>D3159/D2867*100</f>
        <v>0.12806857645373843</v>
      </c>
      <c r="F3159" s="4462"/>
      <c r="G3159" s="3269"/>
      <c r="H3159" s="3277"/>
      <c r="I3159" s="3269"/>
      <c r="J3159" s="898"/>
      <c r="K3159" s="898"/>
      <c r="L3159" s="898"/>
      <c r="M3159" s="898"/>
      <c r="N3159" s="2768"/>
    </row>
    <row r="3160" spans="1:16" ht="33.75" hidden="1" customHeight="1" x14ac:dyDescent="0.25">
      <c r="B3160" s="441"/>
      <c r="C3160" s="2590" t="s">
        <v>5383</v>
      </c>
      <c r="D3160" s="3097">
        <v>200000000</v>
      </c>
      <c r="E3160" s="2688">
        <f>D3160/D2867*100</f>
        <v>0.17075810193831789</v>
      </c>
      <c r="F3160" s="4462"/>
      <c r="G3160" s="3269"/>
      <c r="H3160" s="3277"/>
      <c r="I3160" s="3269"/>
      <c r="J3160" s="898"/>
      <c r="K3160" s="898"/>
      <c r="L3160" s="898"/>
      <c r="M3160" s="898"/>
      <c r="N3160" s="2768"/>
    </row>
    <row r="3161" spans="1:16" ht="12.75" hidden="1" customHeight="1" x14ac:dyDescent="0.25">
      <c r="B3161" s="441"/>
      <c r="C3161" s="2590"/>
      <c r="D3161" s="3097"/>
      <c r="E3161" s="2688"/>
      <c r="F3161" s="4462"/>
      <c r="G3161" s="3269"/>
      <c r="H3161" s="3277"/>
      <c r="I3161" s="3269"/>
      <c r="J3161" s="898"/>
      <c r="K3161" s="898"/>
      <c r="L3161" s="898"/>
      <c r="M3161" s="898"/>
      <c r="N3161" s="2768"/>
    </row>
    <row r="3162" spans="1:16" s="32" customFormat="1" ht="19.5" hidden="1" customHeight="1" x14ac:dyDescent="0.25">
      <c r="A3162" s="1"/>
      <c r="B3162" s="441"/>
      <c r="C3162" s="2580" t="s">
        <v>5384</v>
      </c>
      <c r="D3162" s="3103">
        <f>SUM(D3163:D3168)</f>
        <v>1959320000</v>
      </c>
      <c r="E3162" s="2693">
        <f>D3162/D2867*100</f>
        <v>1.6728488214489252</v>
      </c>
      <c r="F3162" s="3898"/>
      <c r="G3162" s="3269"/>
      <c r="H3162" s="3277"/>
      <c r="I3162" s="3269"/>
      <c r="J3162" s="899"/>
      <c r="K3162" s="899"/>
      <c r="L3162" s="899"/>
      <c r="M3162" s="899"/>
      <c r="N3162" s="2837"/>
      <c r="P3162" s="630"/>
    </row>
    <row r="3163" spans="1:16" ht="14.25" hidden="1" customHeight="1" x14ac:dyDescent="0.25">
      <c r="B3163" s="441"/>
      <c r="C3163" s="2590" t="s">
        <v>5385</v>
      </c>
      <c r="D3163" s="3097">
        <v>709320000</v>
      </c>
      <c r="E3163" s="2688">
        <f>D3163/D2867*100</f>
        <v>0.60561068433443821</v>
      </c>
      <c r="F3163" s="4462"/>
      <c r="G3163" s="3269"/>
      <c r="H3163" s="3277"/>
      <c r="I3163" s="3269"/>
      <c r="J3163" s="898"/>
      <c r="K3163" s="898"/>
      <c r="L3163" s="898"/>
      <c r="M3163" s="898"/>
      <c r="N3163" s="2768"/>
    </row>
    <row r="3164" spans="1:16" ht="15.75" hidden="1" customHeight="1" x14ac:dyDescent="0.25">
      <c r="B3164" s="441"/>
      <c r="C3164" s="2590" t="s">
        <v>5386</v>
      </c>
      <c r="D3164" s="3097">
        <v>200000000</v>
      </c>
      <c r="E3164" s="2688">
        <f>D3164/D2867*100</f>
        <v>0.17075810193831789</v>
      </c>
      <c r="F3164" s="4462"/>
      <c r="G3164" s="3269"/>
      <c r="H3164" s="3277"/>
      <c r="I3164" s="3269"/>
      <c r="J3164" s="898"/>
      <c r="K3164" s="898"/>
      <c r="L3164" s="898"/>
      <c r="M3164" s="898"/>
      <c r="N3164" s="2768"/>
    </row>
    <row r="3165" spans="1:16" ht="16.5" hidden="1" customHeight="1" x14ac:dyDescent="0.25">
      <c r="B3165" s="441"/>
      <c r="C3165" s="2590" t="s">
        <v>5387</v>
      </c>
      <c r="D3165" s="3097">
        <v>150000000</v>
      </c>
      <c r="E3165" s="2688">
        <f>D3165/D2867*100</f>
        <v>0.12806857645373843</v>
      </c>
      <c r="F3165" s="4462"/>
      <c r="G3165" s="3269"/>
      <c r="H3165" s="3277"/>
      <c r="I3165" s="3269"/>
      <c r="J3165" s="898"/>
      <c r="K3165" s="898"/>
      <c r="L3165" s="898"/>
      <c r="M3165" s="898"/>
      <c r="N3165" s="2768"/>
    </row>
    <row r="3166" spans="1:16" ht="15.75" hidden="1" customHeight="1" x14ac:dyDescent="0.25">
      <c r="B3166" s="441"/>
      <c r="C3166" s="2590" t="s">
        <v>5388</v>
      </c>
      <c r="D3166" s="3097">
        <v>100000000</v>
      </c>
      <c r="E3166" s="2688">
        <f>D3166/D2867*100</f>
        <v>8.5379050969158946E-2</v>
      </c>
      <c r="F3166" s="4462"/>
      <c r="G3166" s="3269"/>
      <c r="H3166" s="3277"/>
      <c r="I3166" s="3269"/>
      <c r="J3166" s="898"/>
      <c r="K3166" s="898"/>
      <c r="L3166" s="898"/>
      <c r="M3166" s="898"/>
      <c r="N3166" s="2768"/>
    </row>
    <row r="3167" spans="1:16" ht="15" hidden="1" customHeight="1" x14ac:dyDescent="0.25">
      <c r="B3167" s="441"/>
      <c r="C3167" s="2590" t="s">
        <v>5389</v>
      </c>
      <c r="D3167" s="3097">
        <v>600000000</v>
      </c>
      <c r="E3167" s="2688">
        <f>D3167/D2867*100</f>
        <v>0.5122743058149537</v>
      </c>
      <c r="F3167" s="4462"/>
      <c r="G3167" s="3269"/>
      <c r="H3167" s="3277"/>
      <c r="I3167" s="3269"/>
      <c r="J3167" s="898"/>
      <c r="K3167" s="898"/>
      <c r="L3167" s="898"/>
      <c r="M3167" s="898"/>
      <c r="N3167" s="2768"/>
    </row>
    <row r="3168" spans="1:16" ht="18" hidden="1" customHeight="1" x14ac:dyDescent="0.25">
      <c r="B3168" s="441"/>
      <c r="C3168" s="2590" t="s">
        <v>5390</v>
      </c>
      <c r="D3168" s="3097">
        <v>200000000</v>
      </c>
      <c r="E3168" s="2688">
        <f>D3168/D2867*100</f>
        <v>0.17075810193831789</v>
      </c>
      <c r="F3168" s="4462"/>
      <c r="G3168" s="3269"/>
      <c r="H3168" s="3277"/>
      <c r="I3168" s="3269"/>
      <c r="J3168" s="898"/>
      <c r="K3168" s="898"/>
      <c r="L3168" s="898"/>
      <c r="M3168" s="898"/>
      <c r="N3168" s="2768"/>
    </row>
    <row r="3169" spans="2:14" ht="14.25" hidden="1" customHeight="1" x14ac:dyDescent="0.25">
      <c r="B3169" s="441"/>
      <c r="C3169" s="2591"/>
      <c r="D3169" s="3134"/>
      <c r="E3169" s="2758"/>
      <c r="F3169" s="4467"/>
      <c r="G3169" s="3261"/>
      <c r="H3169" s="3279"/>
      <c r="I3169" s="3261"/>
      <c r="J3169" s="2755"/>
      <c r="K3169" s="2755"/>
      <c r="L3169" s="2755"/>
      <c r="M3169" s="2755"/>
      <c r="N3169" s="2768"/>
    </row>
    <row r="3170" spans="2:14" ht="16.5" hidden="1" customHeight="1" x14ac:dyDescent="0.25">
      <c r="B3170" s="440"/>
      <c r="C3170" s="2579" t="s">
        <v>5391</v>
      </c>
      <c r="D3170" s="3252">
        <f>SUM(D3171)</f>
        <v>500000000</v>
      </c>
      <c r="E3170" s="2717">
        <f>D3170/D2867*100</f>
        <v>0.42689525484579477</v>
      </c>
      <c r="F3170" s="3897"/>
      <c r="G3170" s="3254"/>
      <c r="H3170" s="2719"/>
      <c r="I3170" s="2719"/>
      <c r="J3170" s="3255"/>
      <c r="K3170" s="3255"/>
      <c r="L3170" s="3256"/>
      <c r="M3170" s="2719"/>
      <c r="N3170" s="2768"/>
    </row>
    <row r="3171" spans="2:14" ht="18.75" hidden="1" customHeight="1" x14ac:dyDescent="0.25">
      <c r="B3171" s="441"/>
      <c r="C3171" s="2582" t="s">
        <v>5392</v>
      </c>
      <c r="D3171" s="3280">
        <f>SUM(D3172:D3172)</f>
        <v>500000000</v>
      </c>
      <c r="E3171" s="2764">
        <f>D3171/D2867*100</f>
        <v>0.42689525484579477</v>
      </c>
      <c r="F3171" s="3899"/>
      <c r="G3171" s="3163"/>
      <c r="H3171" s="3163"/>
      <c r="I3171" s="3163"/>
      <c r="J3171" s="3282"/>
      <c r="K3171" s="3282"/>
      <c r="L3171" s="2732"/>
      <c r="M3171" s="2725"/>
      <c r="N3171" s="2768"/>
    </row>
    <row r="3172" spans="2:14" ht="18" hidden="1" customHeight="1" x14ac:dyDescent="0.25">
      <c r="B3172" s="441"/>
      <c r="C3172" s="2577" t="s">
        <v>5393</v>
      </c>
      <c r="D3172" s="896">
        <v>500000000</v>
      </c>
      <c r="E3172" s="2763">
        <f>D3172/D2867*100</f>
        <v>0.42689525484579477</v>
      </c>
      <c r="F3172" s="4449"/>
      <c r="G3172" s="3161"/>
      <c r="H3172" s="3161"/>
      <c r="I3172" s="3161"/>
      <c r="J3172" s="2686"/>
      <c r="K3172" s="2700"/>
      <c r="L3172" s="3243"/>
      <c r="M3172" s="2685"/>
      <c r="N3172" s="2768"/>
    </row>
    <row r="3173" spans="2:14" ht="12" hidden="1" customHeight="1" x14ac:dyDescent="0.25">
      <c r="B3173" s="441"/>
      <c r="C3173" s="2587"/>
      <c r="D3173" s="2767"/>
      <c r="E3173" s="2758"/>
      <c r="F3173" s="3845"/>
      <c r="G3173" s="3261"/>
      <c r="H3173" s="2752"/>
      <c r="I3173" s="2755"/>
      <c r="J3173" s="911"/>
      <c r="K3173" s="911"/>
      <c r="L3173" s="911"/>
      <c r="M3173" s="911"/>
      <c r="N3173" s="2768"/>
    </row>
    <row r="3174" spans="2:14" ht="16.5" hidden="1" customHeight="1" x14ac:dyDescent="0.25">
      <c r="B3174" s="440"/>
      <c r="C3174" s="2584" t="s">
        <v>5394</v>
      </c>
      <c r="D3174" s="2744">
        <f>SUM(D3175+D3181)</f>
        <v>3110000000</v>
      </c>
      <c r="E3174" s="2717">
        <f>D3174/D2867*100</f>
        <v>2.6552884851408436</v>
      </c>
      <c r="F3174" s="3888"/>
      <c r="G3174" s="2719"/>
      <c r="H3174" s="2719"/>
      <c r="I3174" s="2719"/>
      <c r="J3174" s="3256"/>
      <c r="K3174" s="3256"/>
      <c r="L3174" s="3256"/>
      <c r="M3174" s="2744"/>
      <c r="N3174" s="2768"/>
    </row>
    <row r="3175" spans="2:14" ht="17.25" hidden="1" customHeight="1" x14ac:dyDescent="0.25">
      <c r="B3175" s="441"/>
      <c r="C3175" s="2592" t="s">
        <v>5395</v>
      </c>
      <c r="D3175" s="2759">
        <f>SUM(D3176:D3179)</f>
        <v>1150000000</v>
      </c>
      <c r="E3175" s="2764">
        <f>D3175/D2867*100</f>
        <v>0.98185908614532791</v>
      </c>
      <c r="F3175" s="3875"/>
      <c r="G3175" s="3163"/>
      <c r="H3175" s="3163"/>
      <c r="I3175" s="3163"/>
      <c r="J3175" s="2732"/>
      <c r="K3175" s="2732"/>
      <c r="L3175" s="2732"/>
      <c r="M3175" s="2759"/>
      <c r="N3175" s="2768"/>
    </row>
    <row r="3176" spans="2:14" ht="18" hidden="1" customHeight="1" x14ac:dyDescent="0.25">
      <c r="B3176" s="441"/>
      <c r="C3176" s="2577" t="s">
        <v>5396</v>
      </c>
      <c r="D3176" s="896">
        <v>200000000</v>
      </c>
      <c r="E3176" s="2763">
        <f>D3176/D2867*100</f>
        <v>0.17075810193831789</v>
      </c>
      <c r="F3176" s="4449"/>
      <c r="G3176" s="3161"/>
      <c r="H3176" s="3161"/>
      <c r="I3176" s="3161"/>
      <c r="J3176" s="2686"/>
      <c r="K3176" s="3161"/>
      <c r="L3176" s="3161"/>
      <c r="M3176" s="3161"/>
      <c r="N3176" s="2768"/>
    </row>
    <row r="3177" spans="2:14" ht="16.5" hidden="1" customHeight="1" x14ac:dyDescent="0.25">
      <c r="B3177" s="441"/>
      <c r="C3177" s="2577" t="s">
        <v>5397</v>
      </c>
      <c r="D3177" s="896">
        <v>250000000</v>
      </c>
      <c r="E3177" s="2763">
        <f>D3177/D2867*100</f>
        <v>0.21344762742289738</v>
      </c>
      <c r="F3177" s="4449"/>
      <c r="G3177" s="3161"/>
      <c r="H3177" s="3161"/>
      <c r="I3177" s="3161"/>
      <c r="J3177" s="2686"/>
      <c r="K3177" s="3244"/>
      <c r="L3177" s="2690"/>
      <c r="M3177" s="896"/>
      <c r="N3177" s="2768"/>
    </row>
    <row r="3178" spans="2:14" ht="18" hidden="1" customHeight="1" x14ac:dyDescent="0.25">
      <c r="B3178" s="441"/>
      <c r="C3178" s="2577" t="s">
        <v>5398</v>
      </c>
      <c r="D3178" s="896">
        <v>350000000</v>
      </c>
      <c r="E3178" s="2763">
        <f>D3178/D2867*100</f>
        <v>0.29882667839205634</v>
      </c>
      <c r="F3178" s="4449"/>
      <c r="G3178" s="3161"/>
      <c r="H3178" s="3161"/>
      <c r="I3178" s="3161"/>
      <c r="J3178" s="2686"/>
      <c r="K3178" s="3161"/>
      <c r="L3178" s="3161"/>
      <c r="M3178" s="3161"/>
      <c r="N3178" s="2768"/>
    </row>
    <row r="3179" spans="2:14" ht="18" hidden="1" customHeight="1" x14ac:dyDescent="0.25">
      <c r="B3179" s="441"/>
      <c r="C3179" s="2593" t="s">
        <v>5399</v>
      </c>
      <c r="D3179" s="2709">
        <v>350000000</v>
      </c>
      <c r="E3179" s="2758">
        <f>D3179/D2867*100</f>
        <v>0.29882667839205634</v>
      </c>
      <c r="F3179" s="4454"/>
      <c r="G3179" s="3170"/>
      <c r="H3179" s="3170"/>
      <c r="I3179" s="3170"/>
      <c r="J3179" s="2714"/>
      <c r="K3179" s="3174"/>
      <c r="L3179" s="3174"/>
      <c r="M3179" s="3174"/>
      <c r="N3179" s="2768"/>
    </row>
    <row r="3180" spans="2:14" ht="9.75" hidden="1" customHeight="1" x14ac:dyDescent="0.25">
      <c r="B3180" s="441"/>
      <c r="C3180" s="2594"/>
      <c r="D3180" s="3109"/>
      <c r="E3180" s="2688"/>
      <c r="F3180" s="3898"/>
      <c r="G3180" s="3285"/>
      <c r="H3180" s="2690"/>
      <c r="I3180" s="898"/>
      <c r="J3180" s="3286"/>
      <c r="K3180" s="898"/>
      <c r="L3180" s="2690"/>
      <c r="M3180" s="898"/>
      <c r="N3180" s="2768"/>
    </row>
    <row r="3181" spans="2:14" ht="19.5" hidden="1" customHeight="1" x14ac:dyDescent="0.25">
      <c r="B3181" s="441"/>
      <c r="C3181" s="2580" t="s">
        <v>5400</v>
      </c>
      <c r="D3181" s="3103">
        <f>SUM(D3182:D3187)</f>
        <v>1960000000</v>
      </c>
      <c r="E3181" s="2693">
        <f>D3181/D2867*100</f>
        <v>1.6734293989955153</v>
      </c>
      <c r="F3181" s="3898"/>
      <c r="G3181" s="3285"/>
      <c r="H3181" s="2690"/>
      <c r="I3181" s="898"/>
      <c r="J3181" s="3286"/>
      <c r="K3181" s="898"/>
      <c r="L3181" s="2690"/>
      <c r="M3181" s="898"/>
      <c r="N3181" s="2768"/>
    </row>
    <row r="3182" spans="2:14" ht="14.25" hidden="1" customHeight="1" x14ac:dyDescent="0.25">
      <c r="B3182" s="441"/>
      <c r="C3182" s="2590" t="s">
        <v>5401</v>
      </c>
      <c r="D3182" s="3097">
        <v>150000000</v>
      </c>
      <c r="E3182" s="2688">
        <f>D3182/D2867*100</f>
        <v>0.12806857645373843</v>
      </c>
      <c r="F3182" s="3898"/>
      <c r="G3182" s="3285"/>
      <c r="H3182" s="2690"/>
      <c r="I3182" s="898"/>
      <c r="J3182" s="3286"/>
      <c r="K3182" s="898"/>
      <c r="L3182" s="2690"/>
      <c r="M3182" s="898"/>
      <c r="N3182" s="2768"/>
    </row>
    <row r="3183" spans="2:14" ht="16.5" hidden="1" customHeight="1" x14ac:dyDescent="0.25">
      <c r="B3183" s="441"/>
      <c r="C3183" s="2590" t="s">
        <v>5402</v>
      </c>
      <c r="D3183" s="3097">
        <v>230000000</v>
      </c>
      <c r="E3183" s="2688">
        <f>D3183/D2867*100</f>
        <v>0.19637181722906558</v>
      </c>
      <c r="F3183" s="3898"/>
      <c r="G3183" s="3285"/>
      <c r="H3183" s="2690"/>
      <c r="I3183" s="898"/>
      <c r="J3183" s="3286"/>
      <c r="K3183" s="898"/>
      <c r="L3183" s="2690"/>
      <c r="M3183" s="898"/>
      <c r="N3183" s="2768"/>
    </row>
    <row r="3184" spans="2:14" ht="15.75" hidden="1" customHeight="1" x14ac:dyDescent="0.25">
      <c r="B3184" s="441"/>
      <c r="C3184" s="2590" t="s">
        <v>5403</v>
      </c>
      <c r="D3184" s="3097">
        <v>200000000</v>
      </c>
      <c r="E3184" s="2688">
        <f>D3184/D2867*100</f>
        <v>0.17075810193831789</v>
      </c>
      <c r="F3184" s="3898"/>
      <c r="G3184" s="3285"/>
      <c r="H3184" s="2690"/>
      <c r="I3184" s="898"/>
      <c r="J3184" s="3286"/>
      <c r="K3184" s="898"/>
      <c r="L3184" s="2690"/>
      <c r="M3184" s="898"/>
      <c r="N3184" s="2768"/>
    </row>
    <row r="3185" spans="1:16" ht="15.75" hidden="1" customHeight="1" x14ac:dyDescent="0.25">
      <c r="B3185" s="441"/>
      <c r="C3185" s="2590" t="s">
        <v>5404</v>
      </c>
      <c r="D3185" s="3097">
        <v>380000000</v>
      </c>
      <c r="E3185" s="2688">
        <f>D3185/D2867*100</f>
        <v>0.32444039368280403</v>
      </c>
      <c r="F3185" s="3898"/>
      <c r="G3185" s="3285"/>
      <c r="H3185" s="2690"/>
      <c r="I3185" s="898"/>
      <c r="J3185" s="3286"/>
      <c r="K3185" s="898"/>
      <c r="L3185" s="2690"/>
      <c r="M3185" s="898"/>
      <c r="N3185" s="2768"/>
    </row>
    <row r="3186" spans="1:16" ht="15.75" hidden="1" customHeight="1" x14ac:dyDescent="0.25">
      <c r="B3186" s="441"/>
      <c r="C3186" s="2590" t="s">
        <v>5405</v>
      </c>
      <c r="D3186" s="3097">
        <v>500000000</v>
      </c>
      <c r="E3186" s="2688">
        <f>D3186/D2867*100</f>
        <v>0.42689525484579477</v>
      </c>
      <c r="F3186" s="3898"/>
      <c r="G3186" s="3285"/>
      <c r="H3186" s="2690"/>
      <c r="I3186" s="898"/>
      <c r="J3186" s="3286"/>
      <c r="K3186" s="898"/>
      <c r="L3186" s="2690"/>
      <c r="M3186" s="898"/>
      <c r="N3186" s="2768"/>
    </row>
    <row r="3187" spans="1:16" ht="18.75" hidden="1" customHeight="1" x14ac:dyDescent="0.25">
      <c r="B3187" s="441"/>
      <c r="C3187" s="2590" t="s">
        <v>5406</v>
      </c>
      <c r="D3187" s="3097">
        <v>500000000</v>
      </c>
      <c r="E3187" s="2688">
        <f>D3187/D2867*100</f>
        <v>0.42689525484579477</v>
      </c>
      <c r="F3187" s="3898"/>
      <c r="G3187" s="3285"/>
      <c r="H3187" s="2690"/>
      <c r="I3187" s="898"/>
      <c r="J3187" s="3286"/>
      <c r="K3187" s="898"/>
      <c r="L3187" s="2690"/>
      <c r="M3187" s="898"/>
      <c r="N3187" s="2768"/>
    </row>
    <row r="3188" spans="1:16" ht="12" hidden="1" customHeight="1" x14ac:dyDescent="0.25">
      <c r="B3188" s="441"/>
      <c r="C3188" s="2595"/>
      <c r="D3188" s="3287"/>
      <c r="E3188" s="4175"/>
      <c r="F3188" s="4176"/>
      <c r="G3188" s="4177"/>
      <c r="H3188" s="3024"/>
      <c r="I3188" s="3139"/>
      <c r="J3188" s="4178"/>
      <c r="K3188" s="2755"/>
      <c r="L3188" s="2752"/>
      <c r="M3188" s="2755"/>
      <c r="N3188" s="2768"/>
    </row>
    <row r="3189" spans="1:16" ht="18" hidden="1" customHeight="1" x14ac:dyDescent="0.25">
      <c r="B3189" s="440"/>
      <c r="C3189" s="2584" t="s">
        <v>5407</v>
      </c>
      <c r="D3189" s="2744">
        <f>D3190</f>
        <v>500000000</v>
      </c>
      <c r="E3189" s="2717">
        <f>D3189/D2867*100</f>
        <v>0.42689525484579477</v>
      </c>
      <c r="F3189" s="3888"/>
      <c r="G3189" s="2670"/>
      <c r="H3189" s="2672"/>
      <c r="I3189" s="2744"/>
      <c r="J3189" s="2987"/>
      <c r="K3189" s="2987"/>
      <c r="L3189" s="3256"/>
      <c r="M3189" s="2744"/>
      <c r="N3189" s="2768"/>
    </row>
    <row r="3190" spans="1:16" ht="17.25" hidden="1" customHeight="1" x14ac:dyDescent="0.25">
      <c r="B3190" s="441"/>
      <c r="C3190" s="2576" t="s">
        <v>5408</v>
      </c>
      <c r="D3190" s="899">
        <f>SUM(D3191:D3191)</f>
        <v>500000000</v>
      </c>
      <c r="E3190" s="2693">
        <f>D3190/D2867*100</f>
        <v>0.42689525484579477</v>
      </c>
      <c r="F3190" s="3852"/>
      <c r="G3190" s="3163"/>
      <c r="H3190" s="2695"/>
      <c r="I3190" s="899"/>
      <c r="J3190" s="2970"/>
      <c r="K3190" s="2970"/>
      <c r="L3190" s="2732"/>
      <c r="M3190" s="899"/>
      <c r="N3190" s="2768"/>
    </row>
    <row r="3191" spans="1:16" ht="30.75" hidden="1" customHeight="1" x14ac:dyDescent="0.25">
      <c r="B3191" s="441"/>
      <c r="C3191" s="2593" t="s">
        <v>5409</v>
      </c>
      <c r="D3191" s="2709">
        <v>500000000</v>
      </c>
      <c r="E3191" s="2763">
        <f>D3191/D2867*100</f>
        <v>0.42689525484579477</v>
      </c>
      <c r="F3191" s="4454"/>
      <c r="G3191" s="3161"/>
      <c r="H3191" s="3161"/>
      <c r="I3191" s="3161"/>
      <c r="J3191" s="2742"/>
      <c r="K3191" s="3161"/>
      <c r="L3191" s="3161"/>
      <c r="M3191" s="3161"/>
      <c r="N3191" s="2768"/>
      <c r="P3191" s="628"/>
    </row>
    <row r="3192" spans="1:16" ht="12" hidden="1" customHeight="1" x14ac:dyDescent="0.25">
      <c r="B3192" s="441"/>
      <c r="C3192" s="2476"/>
      <c r="D3192" s="3109"/>
      <c r="E3192" s="2758"/>
      <c r="F3192" s="3873"/>
      <c r="G3192" s="3288"/>
      <c r="H3192" s="3289"/>
      <c r="I3192" s="3290"/>
      <c r="J3192" s="3291"/>
      <c r="K3192" s="911"/>
      <c r="L3192" s="911"/>
      <c r="M3192" s="911"/>
      <c r="N3192" s="2768"/>
    </row>
    <row r="3193" spans="1:16" s="32" customFormat="1" ht="19.5" hidden="1" customHeight="1" x14ac:dyDescent="0.25">
      <c r="A3193" s="1"/>
      <c r="B3193" s="440"/>
      <c r="C3193" s="2471" t="s">
        <v>831</v>
      </c>
      <c r="D3193" s="3252">
        <f>SUM(D3194+D3199+D3202)</f>
        <v>2000000000</v>
      </c>
      <c r="E3193" s="2717">
        <f>D3193/D2867*100</f>
        <v>1.7075810193831791</v>
      </c>
      <c r="F3193" s="3897"/>
      <c r="G3193" s="3293"/>
      <c r="H3193" s="3254"/>
      <c r="I3193" s="3294"/>
      <c r="J3193" s="3295"/>
      <c r="K3193" s="2744"/>
      <c r="L3193" s="2744"/>
      <c r="M3193" s="2744"/>
      <c r="N3193" s="2837"/>
      <c r="P3193" s="630"/>
    </row>
    <row r="3194" spans="1:16" s="32" customFormat="1" ht="19.5" hidden="1" customHeight="1" x14ac:dyDescent="0.25">
      <c r="A3194" s="1"/>
      <c r="B3194" s="441"/>
      <c r="C3194" s="2478" t="s">
        <v>5410</v>
      </c>
      <c r="D3194" s="3296">
        <f>SUM(D3195:D3197)</f>
        <v>1350000000</v>
      </c>
      <c r="E3194" s="2693">
        <f>D3194/D2867*100</f>
        <v>1.152617188083646</v>
      </c>
      <c r="F3194" s="3900"/>
      <c r="G3194" s="3297"/>
      <c r="H3194" s="3298"/>
      <c r="I3194" s="3299"/>
      <c r="J3194" s="3300"/>
      <c r="K3194" s="2751"/>
      <c r="L3194" s="2751"/>
      <c r="M3194" s="2751"/>
      <c r="N3194" s="2837"/>
      <c r="P3194" s="630"/>
    </row>
    <row r="3195" spans="1:16" ht="18" hidden="1" customHeight="1" x14ac:dyDescent="0.25">
      <c r="B3195" s="441"/>
      <c r="C3195" s="2473" t="s">
        <v>5411</v>
      </c>
      <c r="D3195" s="3097">
        <v>400000000</v>
      </c>
      <c r="E3195" s="2763">
        <f>D3195/D2867*100</f>
        <v>0.34151620387663578</v>
      </c>
      <c r="F3195" s="3898"/>
      <c r="G3195" s="2689"/>
      <c r="H3195" s="3301"/>
      <c r="I3195" s="3302"/>
      <c r="J3195" s="3303"/>
      <c r="K3195" s="898"/>
      <c r="L3195" s="898"/>
      <c r="M3195" s="2755"/>
      <c r="N3195" s="2768"/>
    </row>
    <row r="3196" spans="1:16" ht="16.5" hidden="1" customHeight="1" x14ac:dyDescent="0.25">
      <c r="B3196" s="441"/>
      <c r="C3196" s="2473" t="s">
        <v>5412</v>
      </c>
      <c r="D3196" s="3097">
        <v>150000000</v>
      </c>
      <c r="E3196" s="2763">
        <f>D3196/D2867*100</f>
        <v>0.12806857645373843</v>
      </c>
      <c r="F3196" s="3898"/>
      <c r="G3196" s="2689"/>
      <c r="H3196" s="3301"/>
      <c r="I3196" s="3302"/>
      <c r="J3196" s="3303"/>
      <c r="K3196" s="898"/>
      <c r="L3196" s="898"/>
      <c r="M3196" s="2755"/>
      <c r="N3196" s="2768"/>
    </row>
    <row r="3197" spans="1:16" ht="18" hidden="1" customHeight="1" x14ac:dyDescent="0.25">
      <c r="B3197" s="441"/>
      <c r="C3197" s="2473" t="s">
        <v>5413</v>
      </c>
      <c r="D3197" s="3097">
        <v>800000000</v>
      </c>
      <c r="E3197" s="2763">
        <f>D3197/D2867*100</f>
        <v>0.68303240775327156</v>
      </c>
      <c r="F3197" s="3898"/>
      <c r="G3197" s="2689"/>
      <c r="H3197" s="3301"/>
      <c r="I3197" s="3302"/>
      <c r="J3197" s="3303"/>
      <c r="K3197" s="898"/>
      <c r="L3197" s="898"/>
      <c r="M3197" s="2755"/>
      <c r="N3197" s="2768"/>
    </row>
    <row r="3198" spans="1:16" ht="12" hidden="1" customHeight="1" x14ac:dyDescent="0.25">
      <c r="B3198" s="441"/>
      <c r="C3198" s="2473"/>
      <c r="D3198" s="3103"/>
      <c r="E3198" s="2763"/>
      <c r="F3198" s="3898"/>
      <c r="G3198" s="2689"/>
      <c r="H3198" s="3301"/>
      <c r="I3198" s="3302"/>
      <c r="J3198" s="3303"/>
      <c r="K3198" s="898"/>
      <c r="L3198" s="898"/>
      <c r="M3198" s="2755"/>
      <c r="N3198" s="2768"/>
    </row>
    <row r="3199" spans="1:16" s="32" customFormat="1" ht="18" hidden="1" customHeight="1" x14ac:dyDescent="0.25">
      <c r="A3199" s="1"/>
      <c r="B3199" s="441"/>
      <c r="C3199" s="2474" t="s">
        <v>5414</v>
      </c>
      <c r="D3199" s="3103">
        <f>D3200</f>
        <v>300000000</v>
      </c>
      <c r="E3199" s="2764">
        <f>D3199/D2867*100</f>
        <v>0.25613715290747685</v>
      </c>
      <c r="F3199" s="3898"/>
      <c r="G3199" s="3115"/>
      <c r="H3199" s="3257"/>
      <c r="I3199" s="3304"/>
      <c r="J3199" s="3305"/>
      <c r="K3199" s="899"/>
      <c r="L3199" s="899"/>
      <c r="M3199" s="2751"/>
      <c r="N3199" s="2837"/>
      <c r="P3199" s="630"/>
    </row>
    <row r="3200" spans="1:16" ht="20.25" hidden="1" customHeight="1" x14ac:dyDescent="0.25">
      <c r="B3200" s="441"/>
      <c r="C3200" s="2473" t="s">
        <v>5416</v>
      </c>
      <c r="D3200" s="3097">
        <v>300000000</v>
      </c>
      <c r="E3200" s="2763">
        <f>D3200/D2867*100</f>
        <v>0.25613715290747685</v>
      </c>
      <c r="F3200" s="3898"/>
      <c r="G3200" s="2689"/>
      <c r="H3200" s="3301"/>
      <c r="I3200" s="3302"/>
      <c r="J3200" s="3303"/>
      <c r="K3200" s="898"/>
      <c r="L3200" s="898"/>
      <c r="M3200" s="2755"/>
      <c r="N3200" s="2768"/>
    </row>
    <row r="3201" spans="1:16" ht="12" hidden="1" customHeight="1" x14ac:dyDescent="0.25">
      <c r="B3201" s="441"/>
      <c r="C3201" s="2473"/>
      <c r="D3201" s="3103"/>
      <c r="E3201" s="2763"/>
      <c r="F3201" s="3898"/>
      <c r="G3201" s="2689"/>
      <c r="H3201" s="3301"/>
      <c r="I3201" s="3302"/>
      <c r="J3201" s="3303"/>
      <c r="K3201" s="898"/>
      <c r="L3201" s="898"/>
      <c r="M3201" s="2755"/>
      <c r="N3201" s="2768"/>
    </row>
    <row r="3202" spans="1:16" s="32" customFormat="1" ht="18" hidden="1" customHeight="1" x14ac:dyDescent="0.25">
      <c r="A3202" s="1"/>
      <c r="B3202" s="441"/>
      <c r="C3202" s="2474" t="s">
        <v>5415</v>
      </c>
      <c r="D3202" s="3103">
        <f>D3203</f>
        <v>350000000</v>
      </c>
      <c r="E3202" s="2764">
        <f>D3202/D2867*100</f>
        <v>0.29882667839205634</v>
      </c>
      <c r="F3202" s="3898"/>
      <c r="G3202" s="3115"/>
      <c r="H3202" s="3257"/>
      <c r="I3202" s="3304"/>
      <c r="J3202" s="3305"/>
      <c r="K3202" s="899"/>
      <c r="L3202" s="899"/>
      <c r="M3202" s="2751"/>
      <c r="N3202" s="2837"/>
      <c r="P3202" s="630"/>
    </row>
    <row r="3203" spans="1:16" ht="18.75" hidden="1" customHeight="1" x14ac:dyDescent="0.25">
      <c r="B3203" s="441"/>
      <c r="C3203" s="2473" t="s">
        <v>5417</v>
      </c>
      <c r="D3203" s="3103">
        <v>350000000</v>
      </c>
      <c r="E3203" s="2763">
        <f>D3203/D2867*100</f>
        <v>0.29882667839205634</v>
      </c>
      <c r="F3203" s="3898"/>
      <c r="G3203" s="2689"/>
      <c r="H3203" s="3301"/>
      <c r="I3203" s="3302"/>
      <c r="J3203" s="3303"/>
      <c r="K3203" s="898"/>
      <c r="L3203" s="898"/>
      <c r="M3203" s="2755"/>
      <c r="N3203" s="2768"/>
    </row>
    <row r="3204" spans="1:16" ht="12" hidden="1" customHeight="1" x14ac:dyDescent="0.25">
      <c r="B3204" s="441"/>
      <c r="C3204" s="2476"/>
      <c r="D3204" s="3109"/>
      <c r="E3204" s="2707"/>
      <c r="F3204" s="3873"/>
      <c r="G3204" s="3288"/>
      <c r="H3204" s="3289"/>
      <c r="I3204" s="3290"/>
      <c r="J3204" s="3291"/>
      <c r="K3204" s="911"/>
      <c r="L3204" s="911"/>
      <c r="M3204" s="2755"/>
      <c r="N3204" s="2768"/>
    </row>
    <row r="3205" spans="1:16" ht="18" hidden="1" customHeight="1" x14ac:dyDescent="0.25">
      <c r="B3205" s="440"/>
      <c r="C3205" s="2471" t="s">
        <v>846</v>
      </c>
      <c r="D3205" s="3252">
        <f>SUM(D3206+D3209)</f>
        <v>1000000000</v>
      </c>
      <c r="E3205" s="2717">
        <f>D3205/D2867*100</f>
        <v>0.85379050969158954</v>
      </c>
      <c r="F3205" s="3897"/>
      <c r="G3205" s="3306"/>
      <c r="H3205" s="3307"/>
      <c r="I3205" s="3308"/>
      <c r="J3205" s="3309"/>
      <c r="K3205" s="2749"/>
      <c r="L3205" s="2749"/>
      <c r="M3205" s="2749"/>
      <c r="N3205" s="2768"/>
    </row>
    <row r="3206" spans="1:16" s="32" customFormat="1" ht="19.5" hidden="1" customHeight="1" x14ac:dyDescent="0.25">
      <c r="A3206" s="1"/>
      <c r="B3206" s="441"/>
      <c r="C3206" s="2472" t="s">
        <v>5418</v>
      </c>
      <c r="D3206" s="3280">
        <f>D3207</f>
        <v>500000000</v>
      </c>
      <c r="E3206" s="2693">
        <f>D3206/D2867*100</f>
        <v>0.42689525484579477</v>
      </c>
      <c r="F3206" s="3899"/>
      <c r="G3206" s="3310"/>
      <c r="H3206" s="3281"/>
      <c r="I3206" s="3311"/>
      <c r="J3206" s="3312"/>
      <c r="K3206" s="2759"/>
      <c r="L3206" s="2759"/>
      <c r="M3206" s="2751"/>
      <c r="N3206" s="2837"/>
      <c r="P3206" s="630"/>
    </row>
    <row r="3207" spans="1:16" ht="15" hidden="1" customHeight="1" x14ac:dyDescent="0.25">
      <c r="B3207" s="441"/>
      <c r="C3207" s="2473" t="s">
        <v>5419</v>
      </c>
      <c r="D3207" s="3097">
        <v>500000000</v>
      </c>
      <c r="E3207" s="2688">
        <f>D3207/D2867*100</f>
        <v>0.42689525484579477</v>
      </c>
      <c r="F3207" s="3898"/>
      <c r="G3207" s="2689"/>
      <c r="H3207" s="3301"/>
      <c r="I3207" s="3302"/>
      <c r="J3207" s="3303"/>
      <c r="K3207" s="898"/>
      <c r="L3207" s="898"/>
      <c r="M3207" s="2755"/>
      <c r="N3207" s="2768"/>
    </row>
    <row r="3208" spans="1:16" ht="12" hidden="1" customHeight="1" x14ac:dyDescent="0.25">
      <c r="B3208" s="441"/>
      <c r="C3208" s="2473"/>
      <c r="D3208" s="3103"/>
      <c r="E3208" s="2688"/>
      <c r="F3208" s="3898"/>
      <c r="G3208" s="2689"/>
      <c r="H3208" s="3301"/>
      <c r="I3208" s="3302"/>
      <c r="J3208" s="3303"/>
      <c r="K3208" s="898"/>
      <c r="L3208" s="898"/>
      <c r="M3208" s="2755"/>
      <c r="N3208" s="2768"/>
    </row>
    <row r="3209" spans="1:16" s="32" customFormat="1" ht="20.25" hidden="1" customHeight="1" x14ac:dyDescent="0.25">
      <c r="A3209" s="1"/>
      <c r="B3209" s="441"/>
      <c r="C3209" s="2474" t="s">
        <v>5420</v>
      </c>
      <c r="D3209" s="3103">
        <f>D3210</f>
        <v>500000000</v>
      </c>
      <c r="E3209" s="2693">
        <f>D3209/D2867*100</f>
        <v>0.42689525484579477</v>
      </c>
      <c r="F3209" s="3898"/>
      <c r="G3209" s="3115"/>
      <c r="H3209" s="3257"/>
      <c r="I3209" s="3304"/>
      <c r="J3209" s="3305"/>
      <c r="K3209" s="899"/>
      <c r="L3209" s="899"/>
      <c r="M3209" s="2751"/>
      <c r="N3209" s="2837"/>
      <c r="P3209" s="630"/>
    </row>
    <row r="3210" spans="1:16" ht="15.75" hidden="1" customHeight="1" x14ac:dyDescent="0.25">
      <c r="B3210" s="441"/>
      <c r="C3210" s="2473" t="s">
        <v>5421</v>
      </c>
      <c r="D3210" s="3097">
        <v>500000000</v>
      </c>
      <c r="E3210" s="2688">
        <f>D3210/D2867*100</f>
        <v>0.42689525484579477</v>
      </c>
      <c r="F3210" s="3898"/>
      <c r="G3210" s="2689"/>
      <c r="H3210" s="3301"/>
      <c r="I3210" s="3302"/>
      <c r="J3210" s="3303"/>
      <c r="K3210" s="898"/>
      <c r="L3210" s="898"/>
      <c r="M3210" s="2755"/>
      <c r="N3210" s="2768"/>
    </row>
    <row r="3211" spans="1:16" ht="12" hidden="1" customHeight="1" x14ac:dyDescent="0.25">
      <c r="B3211" s="441"/>
      <c r="C3211" s="2476"/>
      <c r="D3211" s="3109"/>
      <c r="E3211" s="2707"/>
      <c r="F3211" s="3873"/>
      <c r="G3211" s="3288"/>
      <c r="H3211" s="3289"/>
      <c r="I3211" s="3290"/>
      <c r="J3211" s="3291"/>
      <c r="K3211" s="911"/>
      <c r="L3211" s="911"/>
      <c r="M3211" s="2755"/>
      <c r="N3211" s="2768"/>
    </row>
    <row r="3212" spans="1:16" ht="18" hidden="1" customHeight="1" x14ac:dyDescent="0.25">
      <c r="B3212" s="440"/>
      <c r="C3212" s="2471" t="s">
        <v>5422</v>
      </c>
      <c r="D3212" s="3252">
        <f>SUM(D3213+D3216)</f>
        <v>1500000000</v>
      </c>
      <c r="E3212" s="2717">
        <f>D3212/D2867*100</f>
        <v>1.2806857645373841</v>
      </c>
      <c r="F3212" s="3897"/>
      <c r="G3212" s="3306"/>
      <c r="H3212" s="3307"/>
      <c r="I3212" s="3308"/>
      <c r="J3212" s="3309"/>
      <c r="K3212" s="2749"/>
      <c r="L3212" s="2749"/>
      <c r="M3212" s="2749"/>
      <c r="N3212" s="2768"/>
    </row>
    <row r="3213" spans="1:16" s="32" customFormat="1" ht="19.5" hidden="1" customHeight="1" x14ac:dyDescent="0.25">
      <c r="A3213" s="1"/>
      <c r="B3213" s="441"/>
      <c r="C3213" s="2472" t="s">
        <v>5423</v>
      </c>
      <c r="D3213" s="3280">
        <f>D3214</f>
        <v>1000000000</v>
      </c>
      <c r="E3213" s="2693">
        <f>D3213/D2867*100</f>
        <v>0.85379050969158954</v>
      </c>
      <c r="F3213" s="3899"/>
      <c r="G3213" s="3310"/>
      <c r="H3213" s="3281"/>
      <c r="I3213" s="3311"/>
      <c r="J3213" s="3312"/>
      <c r="K3213" s="2759"/>
      <c r="L3213" s="2759"/>
      <c r="M3213" s="2751"/>
      <c r="N3213" s="2837"/>
      <c r="P3213" s="630"/>
    </row>
    <row r="3214" spans="1:16" ht="18.75" hidden="1" customHeight="1" x14ac:dyDescent="0.25">
      <c r="B3214" s="441"/>
      <c r="C3214" s="2473" t="s">
        <v>5424</v>
      </c>
      <c r="D3214" s="3097">
        <v>1000000000</v>
      </c>
      <c r="E3214" s="2688">
        <f>D3214/D2867*100</f>
        <v>0.85379050969158954</v>
      </c>
      <c r="F3214" s="3898"/>
      <c r="G3214" s="2689"/>
      <c r="H3214" s="3301"/>
      <c r="I3214" s="3302"/>
      <c r="J3214" s="3303"/>
      <c r="K3214" s="898"/>
      <c r="L3214" s="898"/>
      <c r="M3214" s="2755"/>
      <c r="N3214" s="2768"/>
    </row>
    <row r="3215" spans="1:16" ht="12" hidden="1" customHeight="1" x14ac:dyDescent="0.25">
      <c r="B3215" s="441"/>
      <c r="C3215" s="2473"/>
      <c r="D3215" s="3103"/>
      <c r="E3215" s="2688"/>
      <c r="F3215" s="3898"/>
      <c r="G3215" s="2689"/>
      <c r="H3215" s="3301"/>
      <c r="I3215" s="3302"/>
      <c r="J3215" s="3303"/>
      <c r="K3215" s="898"/>
      <c r="L3215" s="898"/>
      <c r="M3215" s="2755"/>
      <c r="N3215" s="2768"/>
    </row>
    <row r="3216" spans="1:16" s="32" customFormat="1" ht="18" hidden="1" customHeight="1" x14ac:dyDescent="0.25">
      <c r="A3216" s="1"/>
      <c r="B3216" s="441"/>
      <c r="C3216" s="2474" t="s">
        <v>5425</v>
      </c>
      <c r="D3216" s="3103">
        <f>D3217</f>
        <v>500000000</v>
      </c>
      <c r="E3216" s="2693">
        <f>D3216/D2867*100</f>
        <v>0.42689525484579477</v>
      </c>
      <c r="F3216" s="3898"/>
      <c r="G3216" s="3115"/>
      <c r="H3216" s="3257"/>
      <c r="I3216" s="3304"/>
      <c r="J3216" s="3305"/>
      <c r="K3216" s="899"/>
      <c r="L3216" s="899"/>
      <c r="M3216" s="2751"/>
      <c r="N3216" s="2837"/>
      <c r="P3216" s="630"/>
    </row>
    <row r="3217" spans="1:16" ht="16.5" hidden="1" customHeight="1" x14ac:dyDescent="0.25">
      <c r="B3217" s="441"/>
      <c r="C3217" s="2473" t="s">
        <v>5426</v>
      </c>
      <c r="D3217" s="3097">
        <v>500000000</v>
      </c>
      <c r="E3217" s="2688">
        <f>D3217/D2867*100</f>
        <v>0.42689525484579477</v>
      </c>
      <c r="F3217" s="3898"/>
      <c r="G3217" s="2689"/>
      <c r="H3217" s="3301"/>
      <c r="I3217" s="3302"/>
      <c r="J3217" s="3303"/>
      <c r="K3217" s="898"/>
      <c r="L3217" s="898"/>
      <c r="M3217" s="2755"/>
      <c r="N3217" s="2768"/>
    </row>
    <row r="3218" spans="1:16" ht="12" hidden="1" customHeight="1" x14ac:dyDescent="0.25">
      <c r="B3218" s="441"/>
      <c r="C3218" s="2476"/>
      <c r="D3218" s="3109"/>
      <c r="E3218" s="2707"/>
      <c r="F3218" s="3873"/>
      <c r="G3218" s="3288"/>
      <c r="H3218" s="3289"/>
      <c r="I3218" s="3290"/>
      <c r="J3218" s="3291"/>
      <c r="K3218" s="911"/>
      <c r="L3218" s="911"/>
      <c r="M3218" s="2755"/>
      <c r="N3218" s="2768"/>
    </row>
    <row r="3219" spans="1:16" ht="18" hidden="1" customHeight="1" x14ac:dyDescent="0.25">
      <c r="B3219" s="440"/>
      <c r="C3219" s="2471" t="s">
        <v>5427</v>
      </c>
      <c r="D3219" s="3252">
        <f>SUM(D3220+D3224+D3229)</f>
        <v>2177800000</v>
      </c>
      <c r="E3219" s="2717">
        <f>D3219/D2867*100</f>
        <v>1.8593849720063436</v>
      </c>
      <c r="F3219" s="3897"/>
      <c r="G3219" s="3306"/>
      <c r="H3219" s="3307"/>
      <c r="I3219" s="3308"/>
      <c r="J3219" s="3309"/>
      <c r="K3219" s="2749"/>
      <c r="L3219" s="2749"/>
      <c r="M3219" s="2749"/>
      <c r="N3219" s="2768"/>
    </row>
    <row r="3220" spans="1:16" s="32" customFormat="1" ht="21" hidden="1" customHeight="1" x14ac:dyDescent="0.25">
      <c r="A3220" s="1"/>
      <c r="B3220" s="441"/>
      <c r="C3220" s="2478" t="s">
        <v>5428</v>
      </c>
      <c r="D3220" s="3296">
        <f>SUM(D3221:D3222)</f>
        <v>850000000</v>
      </c>
      <c r="E3220" s="2693">
        <f>D3220/D2867*100</f>
        <v>0.72572193323785106</v>
      </c>
      <c r="F3220" s="3900"/>
      <c r="G3220" s="3297"/>
      <c r="H3220" s="3298"/>
      <c r="I3220" s="3299"/>
      <c r="J3220" s="3300"/>
      <c r="K3220" s="2751"/>
      <c r="L3220" s="2751"/>
      <c r="M3220" s="2751"/>
      <c r="N3220" s="2668"/>
      <c r="P3220" s="630"/>
    </row>
    <row r="3221" spans="1:16" ht="16.5" hidden="1" customHeight="1" x14ac:dyDescent="0.25">
      <c r="B3221" s="441"/>
      <c r="C3221" s="2473" t="s">
        <v>5429</v>
      </c>
      <c r="D3221" s="3097">
        <v>650000000</v>
      </c>
      <c r="E3221" s="2688">
        <f>D3221/D2867*100</f>
        <v>0.55496383129953319</v>
      </c>
      <c r="F3221" s="3898"/>
      <c r="G3221" s="2689"/>
      <c r="H3221" s="3301"/>
      <c r="I3221" s="3302"/>
      <c r="J3221" s="3303"/>
      <c r="K3221" s="898"/>
      <c r="L3221" s="898"/>
      <c r="M3221" s="898"/>
      <c r="N3221" s="2768"/>
    </row>
    <row r="3222" spans="1:16" ht="16.5" hidden="1" customHeight="1" x14ac:dyDescent="0.25">
      <c r="B3222" s="441"/>
      <c r="C3222" s="2473" t="s">
        <v>5430</v>
      </c>
      <c r="D3222" s="3097">
        <v>200000000</v>
      </c>
      <c r="E3222" s="2688">
        <f>D3222/D2867*100</f>
        <v>0.17075810193831789</v>
      </c>
      <c r="F3222" s="3898"/>
      <c r="G3222" s="2689"/>
      <c r="H3222" s="3301"/>
      <c r="I3222" s="3302"/>
      <c r="J3222" s="3303"/>
      <c r="K3222" s="898"/>
      <c r="L3222" s="898"/>
      <c r="M3222" s="898"/>
      <c r="N3222" s="2768"/>
    </row>
    <row r="3223" spans="1:16" ht="12" hidden="1" customHeight="1" x14ac:dyDescent="0.25">
      <c r="B3223" s="441"/>
      <c r="C3223" s="2473"/>
      <c r="D3223" s="3103"/>
      <c r="E3223" s="2688"/>
      <c r="F3223" s="3898"/>
      <c r="G3223" s="2689"/>
      <c r="H3223" s="3301"/>
      <c r="I3223" s="3302"/>
      <c r="J3223" s="3303"/>
      <c r="K3223" s="898"/>
      <c r="L3223" s="898"/>
      <c r="M3223" s="898"/>
      <c r="N3223" s="2768"/>
    </row>
    <row r="3224" spans="1:16" s="32" customFormat="1" ht="18.75" hidden="1" customHeight="1" x14ac:dyDescent="0.25">
      <c r="A3224" s="1"/>
      <c r="B3224" s="441"/>
      <c r="C3224" s="2474" t="s">
        <v>5431</v>
      </c>
      <c r="D3224" s="3103">
        <f>SUM(D3225:D3227)</f>
        <v>627800000</v>
      </c>
      <c r="E3224" s="2693">
        <f>D3224/D2867*100</f>
        <v>0.53600968198437982</v>
      </c>
      <c r="F3224" s="3898"/>
      <c r="G3224" s="3115"/>
      <c r="H3224" s="3257"/>
      <c r="I3224" s="3304"/>
      <c r="J3224" s="3305"/>
      <c r="K3224" s="899"/>
      <c r="L3224" s="899"/>
      <c r="M3224" s="899"/>
      <c r="N3224" s="2837"/>
      <c r="P3224" s="630"/>
    </row>
    <row r="3225" spans="1:16" ht="18.75" hidden="1" customHeight="1" x14ac:dyDescent="0.25">
      <c r="B3225" s="441"/>
      <c r="C3225" s="2473" t="s">
        <v>5432</v>
      </c>
      <c r="D3225" s="3097">
        <v>400000000</v>
      </c>
      <c r="E3225" s="2688">
        <f>D3225/D2867*100</f>
        <v>0.34151620387663578</v>
      </c>
      <c r="F3225" s="3898"/>
      <c r="G3225" s="2689"/>
      <c r="H3225" s="3301"/>
      <c r="I3225" s="3302"/>
      <c r="J3225" s="3303"/>
      <c r="K3225" s="898"/>
      <c r="L3225" s="898"/>
      <c r="M3225" s="898"/>
      <c r="N3225" s="2768"/>
    </row>
    <row r="3226" spans="1:16" ht="18" hidden="1" customHeight="1" x14ac:dyDescent="0.25">
      <c r="B3226" s="441"/>
      <c r="C3226" s="2473" t="s">
        <v>5433</v>
      </c>
      <c r="D3226" s="3097">
        <v>127800000</v>
      </c>
      <c r="E3226" s="2688">
        <f>D3226/D2867*100</f>
        <v>0.10911442713858513</v>
      </c>
      <c r="F3226" s="3898"/>
      <c r="G3226" s="2689"/>
      <c r="H3226" s="3301"/>
      <c r="I3226" s="3302"/>
      <c r="J3226" s="3303"/>
      <c r="K3226" s="898"/>
      <c r="L3226" s="898"/>
      <c r="M3226" s="898"/>
      <c r="N3226" s="2768"/>
    </row>
    <row r="3227" spans="1:16" ht="15.75" hidden="1" customHeight="1" x14ac:dyDescent="0.25">
      <c r="B3227" s="441"/>
      <c r="C3227" s="2473" t="s">
        <v>5434</v>
      </c>
      <c r="D3227" s="3097">
        <v>100000000</v>
      </c>
      <c r="E3227" s="2688">
        <f>D3227/D2867*100</f>
        <v>8.5379050969158946E-2</v>
      </c>
      <c r="F3227" s="3898"/>
      <c r="G3227" s="2689"/>
      <c r="H3227" s="3301"/>
      <c r="I3227" s="3302"/>
      <c r="J3227" s="3303"/>
      <c r="K3227" s="898"/>
      <c r="L3227" s="898"/>
      <c r="M3227" s="898"/>
      <c r="N3227" s="2768"/>
    </row>
    <row r="3228" spans="1:16" ht="12" hidden="1" customHeight="1" x14ac:dyDescent="0.25">
      <c r="B3228" s="441"/>
      <c r="C3228" s="2473"/>
      <c r="D3228" s="3103"/>
      <c r="E3228" s="2688"/>
      <c r="F3228" s="3898"/>
      <c r="G3228" s="2689"/>
      <c r="H3228" s="3301"/>
      <c r="I3228" s="3302"/>
      <c r="J3228" s="3303"/>
      <c r="K3228" s="898"/>
      <c r="L3228" s="898"/>
      <c r="M3228" s="898"/>
      <c r="N3228" s="2768"/>
    </row>
    <row r="3229" spans="1:16" s="32" customFormat="1" ht="18.75" hidden="1" customHeight="1" x14ac:dyDescent="0.25">
      <c r="A3229" s="1"/>
      <c r="B3229" s="441"/>
      <c r="C3229" s="2474" t="s">
        <v>5435</v>
      </c>
      <c r="D3229" s="3103">
        <f>SUM(D3230:D3231)</f>
        <v>700000000</v>
      </c>
      <c r="E3229" s="2693">
        <f>D3229/D2867*100</f>
        <v>0.59765335678411269</v>
      </c>
      <c r="F3229" s="3898"/>
      <c r="G3229" s="3115"/>
      <c r="H3229" s="3257"/>
      <c r="I3229" s="3304"/>
      <c r="J3229" s="3305"/>
      <c r="K3229" s="899"/>
      <c r="L3229" s="899"/>
      <c r="M3229" s="899"/>
      <c r="N3229" s="2837"/>
      <c r="P3229" s="630"/>
    </row>
    <row r="3230" spans="1:16" ht="18" hidden="1" customHeight="1" x14ac:dyDescent="0.25">
      <c r="B3230" s="441"/>
      <c r="C3230" s="2473" t="s">
        <v>5436</v>
      </c>
      <c r="D3230" s="3097">
        <v>300000000</v>
      </c>
      <c r="E3230" s="2688">
        <f>D3230/D2867*100</f>
        <v>0.25613715290747685</v>
      </c>
      <c r="F3230" s="3898"/>
      <c r="G3230" s="2689"/>
      <c r="H3230" s="3301"/>
      <c r="I3230" s="3302"/>
      <c r="J3230" s="3303"/>
      <c r="K3230" s="898"/>
      <c r="L3230" s="898"/>
      <c r="M3230" s="898"/>
      <c r="N3230" s="2768"/>
    </row>
    <row r="3231" spans="1:16" ht="18" hidden="1" customHeight="1" x14ac:dyDescent="0.25">
      <c r="B3231" s="441"/>
      <c r="C3231" s="2473" t="s">
        <v>5437</v>
      </c>
      <c r="D3231" s="3097">
        <v>400000000</v>
      </c>
      <c r="E3231" s="2688">
        <f>D3231/D2867*100</f>
        <v>0.34151620387663578</v>
      </c>
      <c r="F3231" s="3898"/>
      <c r="G3231" s="2689"/>
      <c r="H3231" s="3301"/>
      <c r="I3231" s="3302"/>
      <c r="J3231" s="3303"/>
      <c r="K3231" s="898"/>
      <c r="L3231" s="898"/>
      <c r="M3231" s="898"/>
      <c r="N3231" s="2768"/>
    </row>
    <row r="3232" spans="1:16" ht="16.5" hidden="1" customHeight="1" x14ac:dyDescent="0.25">
      <c r="B3232" s="441"/>
      <c r="C3232" s="2476"/>
      <c r="D3232" s="3104"/>
      <c r="E3232" s="2707"/>
      <c r="F3232" s="3873"/>
      <c r="G3232" s="3288"/>
      <c r="H3232" s="3289"/>
      <c r="I3232" s="3290"/>
      <c r="J3232" s="3291"/>
      <c r="K3232" s="911"/>
      <c r="L3232" s="911"/>
      <c r="M3232" s="911"/>
      <c r="N3232" s="2768"/>
    </row>
    <row r="3233" spans="1:16" ht="16.5" hidden="1" customHeight="1" x14ac:dyDescent="0.25">
      <c r="B3233" s="440"/>
      <c r="C3233" s="2471" t="s">
        <v>874</v>
      </c>
      <c r="D3233" s="3252">
        <f>SUM(D3234+D3239+D3245)</f>
        <v>10767880000</v>
      </c>
      <c r="E3233" s="2717">
        <f>D3233/D2867*100</f>
        <v>9.1935137534978733</v>
      </c>
      <c r="F3233" s="3897"/>
      <c r="G3233" s="3293"/>
      <c r="H3233" s="3254"/>
      <c r="I3233" s="3294"/>
      <c r="J3233" s="3295"/>
      <c r="K3233" s="2744"/>
      <c r="L3233" s="2744"/>
      <c r="M3233" s="2744"/>
      <c r="N3233" s="2768"/>
    </row>
    <row r="3234" spans="1:16" s="32" customFormat="1" ht="18.75" hidden="1" customHeight="1" x14ac:dyDescent="0.25">
      <c r="A3234" s="1"/>
      <c r="B3234" s="441"/>
      <c r="C3234" s="2472" t="s">
        <v>5438</v>
      </c>
      <c r="D3234" s="3280">
        <f>SUM(D3235:D3237)</f>
        <v>875000000</v>
      </c>
      <c r="E3234" s="2693">
        <f>D3234/D2867*100</f>
        <v>0.74706669598014086</v>
      </c>
      <c r="F3234" s="3899"/>
      <c r="G3234" s="3310"/>
      <c r="H3234" s="3281"/>
      <c r="I3234" s="3311"/>
      <c r="J3234" s="3312"/>
      <c r="K3234" s="2759"/>
      <c r="L3234" s="2759"/>
      <c r="M3234" s="2759"/>
      <c r="N3234" s="2837"/>
      <c r="P3234" s="630"/>
    </row>
    <row r="3235" spans="1:16" ht="17.25" hidden="1" customHeight="1" x14ac:dyDescent="0.25">
      <c r="B3235" s="441"/>
      <c r="C3235" s="2473" t="s">
        <v>5439</v>
      </c>
      <c r="D3235" s="3097">
        <v>250000000</v>
      </c>
      <c r="E3235" s="2688">
        <f>D3235/D2867*100</f>
        <v>0.21344762742289738</v>
      </c>
      <c r="F3235" s="3898"/>
      <c r="G3235" s="2689"/>
      <c r="H3235" s="3301"/>
      <c r="I3235" s="3302"/>
      <c r="J3235" s="3303"/>
      <c r="K3235" s="898"/>
      <c r="L3235" s="898"/>
      <c r="M3235" s="898"/>
      <c r="N3235" s="2768"/>
    </row>
    <row r="3236" spans="1:16" ht="20.25" hidden="1" customHeight="1" x14ac:dyDescent="0.25">
      <c r="B3236" s="441"/>
      <c r="C3236" s="2473" t="s">
        <v>5440</v>
      </c>
      <c r="D3236" s="3097">
        <v>275000000</v>
      </c>
      <c r="E3236" s="2688">
        <f>D3236/D2867*100</f>
        <v>0.23479239016518713</v>
      </c>
      <c r="F3236" s="3898"/>
      <c r="G3236" s="2689"/>
      <c r="H3236" s="3301"/>
      <c r="I3236" s="3302"/>
      <c r="J3236" s="3303"/>
      <c r="K3236" s="898"/>
      <c r="L3236" s="898"/>
      <c r="M3236" s="898"/>
      <c r="N3236" s="2768"/>
    </row>
    <row r="3237" spans="1:16" ht="20.25" hidden="1" customHeight="1" x14ac:dyDescent="0.25">
      <c r="B3237" s="441"/>
      <c r="C3237" s="2473" t="s">
        <v>5441</v>
      </c>
      <c r="D3237" s="3097">
        <v>350000000</v>
      </c>
      <c r="E3237" s="2688">
        <f>D3237/D2867*100</f>
        <v>0.29882667839205634</v>
      </c>
      <c r="F3237" s="3898"/>
      <c r="G3237" s="2689"/>
      <c r="H3237" s="3301"/>
      <c r="I3237" s="3302"/>
      <c r="J3237" s="3303"/>
      <c r="K3237" s="898"/>
      <c r="L3237" s="898"/>
      <c r="M3237" s="898"/>
      <c r="N3237" s="2768"/>
    </row>
    <row r="3238" spans="1:16" ht="13.5" hidden="1" customHeight="1" x14ac:dyDescent="0.25">
      <c r="B3238" s="441"/>
      <c r="C3238" s="2473"/>
      <c r="D3238" s="3097"/>
      <c r="E3238" s="2688"/>
      <c r="F3238" s="3898"/>
      <c r="G3238" s="2689"/>
      <c r="H3238" s="3301"/>
      <c r="I3238" s="3302"/>
      <c r="J3238" s="3303"/>
      <c r="K3238" s="898"/>
      <c r="L3238" s="898"/>
      <c r="M3238" s="898"/>
      <c r="N3238" s="2768"/>
    </row>
    <row r="3239" spans="1:16" s="32" customFormat="1" ht="18" hidden="1" customHeight="1" x14ac:dyDescent="0.25">
      <c r="A3239" s="1"/>
      <c r="B3239" s="441"/>
      <c r="C3239" s="2474" t="s">
        <v>5442</v>
      </c>
      <c r="D3239" s="3103">
        <f>SUM(D3240:D3243)</f>
        <v>1284382000</v>
      </c>
      <c r="E3239" s="2693">
        <f>D3239/D2867*100</f>
        <v>1.0965931624187031</v>
      </c>
      <c r="F3239" s="3898"/>
      <c r="G3239" s="3115"/>
      <c r="H3239" s="3257"/>
      <c r="I3239" s="3304"/>
      <c r="J3239" s="3305"/>
      <c r="K3239" s="899"/>
      <c r="L3239" s="899"/>
      <c r="M3239" s="899"/>
      <c r="N3239" s="2837"/>
      <c r="P3239" s="630"/>
    </row>
    <row r="3240" spans="1:16" ht="18" hidden="1" customHeight="1" x14ac:dyDescent="0.25">
      <c r="B3240" s="441"/>
      <c r="C3240" s="2473" t="s">
        <v>5443</v>
      </c>
      <c r="D3240" s="3097">
        <v>384382000</v>
      </c>
      <c r="E3240" s="2688">
        <f>D3240/D2867*100</f>
        <v>0.32818170369627259</v>
      </c>
      <c r="F3240" s="3898"/>
      <c r="G3240" s="2689"/>
      <c r="H3240" s="3301"/>
      <c r="I3240" s="3302"/>
      <c r="J3240" s="3303"/>
      <c r="K3240" s="898"/>
      <c r="L3240" s="898"/>
      <c r="M3240" s="898"/>
      <c r="N3240" s="2768"/>
    </row>
    <row r="3241" spans="1:16" ht="16.5" hidden="1" customHeight="1" x14ac:dyDescent="0.25">
      <c r="B3241" s="441"/>
      <c r="C3241" s="2473" t="s">
        <v>5444</v>
      </c>
      <c r="D3241" s="3097">
        <v>400000000</v>
      </c>
      <c r="E3241" s="2688">
        <f>D3241/D2867*100</f>
        <v>0.34151620387663578</v>
      </c>
      <c r="F3241" s="3898"/>
      <c r="G3241" s="2689"/>
      <c r="H3241" s="3301"/>
      <c r="I3241" s="3302"/>
      <c r="J3241" s="3303"/>
      <c r="K3241" s="898"/>
      <c r="L3241" s="898"/>
      <c r="M3241" s="898"/>
      <c r="N3241" s="2768"/>
    </row>
    <row r="3242" spans="1:16" ht="15.75" hidden="1" customHeight="1" x14ac:dyDescent="0.25">
      <c r="B3242" s="441"/>
      <c r="C3242" s="2473" t="s">
        <v>5445</v>
      </c>
      <c r="D3242" s="3097">
        <v>250000000</v>
      </c>
      <c r="E3242" s="2688">
        <f>D3242/D2867*100</f>
        <v>0.21344762742289738</v>
      </c>
      <c r="F3242" s="3898"/>
      <c r="G3242" s="2689"/>
      <c r="H3242" s="3301"/>
      <c r="I3242" s="3302"/>
      <c r="J3242" s="3303"/>
      <c r="K3242" s="898"/>
      <c r="L3242" s="898"/>
      <c r="M3242" s="898"/>
      <c r="N3242" s="2768"/>
    </row>
    <row r="3243" spans="1:16" ht="17.25" hidden="1" customHeight="1" x14ac:dyDescent="0.25">
      <c r="B3243" s="441"/>
      <c r="C3243" s="2473" t="s">
        <v>5446</v>
      </c>
      <c r="D3243" s="3097">
        <v>250000000</v>
      </c>
      <c r="E3243" s="2688">
        <f>D3243/D2867*100</f>
        <v>0.21344762742289738</v>
      </c>
      <c r="F3243" s="3898"/>
      <c r="G3243" s="2689"/>
      <c r="H3243" s="3301"/>
      <c r="I3243" s="3302"/>
      <c r="J3243" s="3303"/>
      <c r="K3243" s="898"/>
      <c r="L3243" s="898"/>
      <c r="M3243" s="898"/>
      <c r="N3243" s="2768"/>
    </row>
    <row r="3244" spans="1:16" ht="9.75" hidden="1" customHeight="1" x14ac:dyDescent="0.25">
      <c r="B3244" s="441"/>
      <c r="C3244" s="2473"/>
      <c r="D3244" s="3097"/>
      <c r="E3244" s="2688"/>
      <c r="F3244" s="3898"/>
      <c r="G3244" s="2689"/>
      <c r="H3244" s="3301"/>
      <c r="I3244" s="3302"/>
      <c r="J3244" s="3303"/>
      <c r="K3244" s="898"/>
      <c r="L3244" s="898"/>
      <c r="M3244" s="898"/>
      <c r="N3244" s="2768"/>
    </row>
    <row r="3245" spans="1:16" s="32" customFormat="1" ht="20.25" hidden="1" customHeight="1" x14ac:dyDescent="0.25">
      <c r="A3245" s="1"/>
      <c r="B3245" s="441"/>
      <c r="C3245" s="2474" t="s">
        <v>5447</v>
      </c>
      <c r="D3245" s="3103">
        <f>SUM(D3246:D3276)</f>
        <v>8608498000</v>
      </c>
      <c r="E3245" s="2693">
        <f>D3245/D2867*100</f>
        <v>7.3498538950990291</v>
      </c>
      <c r="F3245" s="3898"/>
      <c r="G3245" s="3115"/>
      <c r="H3245" s="3257"/>
      <c r="I3245" s="3304"/>
      <c r="J3245" s="3305"/>
      <c r="K3245" s="899"/>
      <c r="L3245" s="899"/>
      <c r="M3245" s="899"/>
      <c r="N3245" s="2837"/>
      <c r="P3245" s="630"/>
    </row>
    <row r="3246" spans="1:16" ht="19.5" hidden="1" customHeight="1" x14ac:dyDescent="0.25">
      <c r="B3246" s="441"/>
      <c r="C3246" s="2473" t="s">
        <v>5448</v>
      </c>
      <c r="D3246" s="3097">
        <v>500000000</v>
      </c>
      <c r="E3246" s="2688">
        <f>D3246/D2867*100</f>
        <v>0.42689525484579477</v>
      </c>
      <c r="F3246" s="3898"/>
      <c r="G3246" s="2689"/>
      <c r="H3246" s="3301"/>
      <c r="I3246" s="3302"/>
      <c r="J3246" s="3303"/>
      <c r="K3246" s="898"/>
      <c r="L3246" s="898"/>
      <c r="M3246" s="898"/>
      <c r="N3246" s="2768"/>
    </row>
    <row r="3247" spans="1:16" ht="17.25" hidden="1" customHeight="1" x14ac:dyDescent="0.25">
      <c r="B3247" s="441"/>
      <c r="C3247" s="2473" t="s">
        <v>5449</v>
      </c>
      <c r="D3247" s="3097">
        <v>300000000</v>
      </c>
      <c r="E3247" s="2688">
        <f>D3247/D2867*100</f>
        <v>0.25613715290747685</v>
      </c>
      <c r="F3247" s="3898"/>
      <c r="G3247" s="2689"/>
      <c r="H3247" s="3301"/>
      <c r="I3247" s="3302"/>
      <c r="J3247" s="3303"/>
      <c r="K3247" s="898"/>
      <c r="L3247" s="898"/>
      <c r="M3247" s="898"/>
      <c r="N3247" s="2768"/>
    </row>
    <row r="3248" spans="1:16" ht="20.25" hidden="1" customHeight="1" x14ac:dyDescent="0.25">
      <c r="B3248" s="441"/>
      <c r="C3248" s="2473" t="s">
        <v>5450</v>
      </c>
      <c r="D3248" s="3097">
        <v>275000000</v>
      </c>
      <c r="E3248" s="2688">
        <f>D3248/D2867*100</f>
        <v>0.23479239016518713</v>
      </c>
      <c r="F3248" s="3898"/>
      <c r="G3248" s="2689"/>
      <c r="H3248" s="3301"/>
      <c r="I3248" s="3302"/>
      <c r="J3248" s="3303"/>
      <c r="K3248" s="898"/>
      <c r="L3248" s="898"/>
      <c r="M3248" s="898"/>
      <c r="N3248" s="2768"/>
    </row>
    <row r="3249" spans="2:14" ht="18" hidden="1" customHeight="1" x14ac:dyDescent="0.25">
      <c r="B3249" s="441"/>
      <c r="C3249" s="2473" t="s">
        <v>5451</v>
      </c>
      <c r="D3249" s="3097">
        <v>350000000</v>
      </c>
      <c r="E3249" s="2688">
        <f>D3249/D2867*100</f>
        <v>0.29882667839205634</v>
      </c>
      <c r="F3249" s="3898"/>
      <c r="G3249" s="2689"/>
      <c r="H3249" s="3301"/>
      <c r="I3249" s="3302"/>
      <c r="J3249" s="3303"/>
      <c r="K3249" s="898"/>
      <c r="L3249" s="898"/>
      <c r="M3249" s="898"/>
      <c r="N3249" s="2768"/>
    </row>
    <row r="3250" spans="2:14" ht="18" hidden="1" customHeight="1" x14ac:dyDescent="0.25">
      <c r="B3250" s="441"/>
      <c r="C3250" s="2473" t="s">
        <v>5452</v>
      </c>
      <c r="D3250" s="3097">
        <v>200000000</v>
      </c>
      <c r="E3250" s="2688">
        <f>D3250/D2867*100</f>
        <v>0.17075810193831789</v>
      </c>
      <c r="F3250" s="3898"/>
      <c r="G3250" s="2689"/>
      <c r="H3250" s="3301"/>
      <c r="I3250" s="3302"/>
      <c r="J3250" s="3303"/>
      <c r="K3250" s="898"/>
      <c r="L3250" s="898"/>
      <c r="M3250" s="898"/>
      <c r="N3250" s="2768"/>
    </row>
    <row r="3251" spans="2:14" ht="18.75" hidden="1" customHeight="1" x14ac:dyDescent="0.25">
      <c r="B3251" s="441"/>
      <c r="C3251" s="2473" t="s">
        <v>5453</v>
      </c>
      <c r="D3251" s="3097">
        <v>225000000</v>
      </c>
      <c r="E3251" s="2688">
        <f>D3251/D2867*100</f>
        <v>0.19210286468060764</v>
      </c>
      <c r="F3251" s="3898"/>
      <c r="G3251" s="2689"/>
      <c r="H3251" s="3301"/>
      <c r="I3251" s="3302"/>
      <c r="J3251" s="3303"/>
      <c r="K3251" s="898"/>
      <c r="L3251" s="898"/>
      <c r="M3251" s="898"/>
      <c r="N3251" s="2768"/>
    </row>
    <row r="3252" spans="2:14" ht="20.25" hidden="1" customHeight="1" x14ac:dyDescent="0.25">
      <c r="B3252" s="441"/>
      <c r="C3252" s="2473" t="s">
        <v>5454</v>
      </c>
      <c r="D3252" s="3097">
        <v>500000000</v>
      </c>
      <c r="E3252" s="2688">
        <f>D3252/D2867*100</f>
        <v>0.42689525484579477</v>
      </c>
      <c r="F3252" s="3898"/>
      <c r="G3252" s="2689"/>
      <c r="H3252" s="3301"/>
      <c r="I3252" s="3302"/>
      <c r="J3252" s="3303"/>
      <c r="K3252" s="898"/>
      <c r="L3252" s="898"/>
      <c r="M3252" s="898"/>
      <c r="N3252" s="2768"/>
    </row>
    <row r="3253" spans="2:14" ht="16.5" hidden="1" customHeight="1" x14ac:dyDescent="0.25">
      <c r="B3253" s="441"/>
      <c r="C3253" s="2473" t="s">
        <v>5455</v>
      </c>
      <c r="D3253" s="3097">
        <v>500000000</v>
      </c>
      <c r="E3253" s="2688">
        <f>D3253/D2867*100</f>
        <v>0.42689525484579477</v>
      </c>
      <c r="F3253" s="3898"/>
      <c r="G3253" s="2689"/>
      <c r="H3253" s="3301"/>
      <c r="I3253" s="3302"/>
      <c r="J3253" s="3303"/>
      <c r="K3253" s="898"/>
      <c r="L3253" s="898"/>
      <c r="M3253" s="898"/>
      <c r="N3253" s="2768"/>
    </row>
    <row r="3254" spans="2:14" ht="18" hidden="1" customHeight="1" x14ac:dyDescent="0.25">
      <c r="B3254" s="441"/>
      <c r="C3254" s="2473" t="s">
        <v>5456</v>
      </c>
      <c r="D3254" s="3097">
        <v>500000000</v>
      </c>
      <c r="E3254" s="2688">
        <f>D3254/D2867*100</f>
        <v>0.42689525484579477</v>
      </c>
      <c r="F3254" s="3898"/>
      <c r="G3254" s="2689"/>
      <c r="H3254" s="3301"/>
      <c r="I3254" s="3302"/>
      <c r="J3254" s="3303"/>
      <c r="K3254" s="898"/>
      <c r="L3254" s="898"/>
      <c r="M3254" s="898"/>
      <c r="N3254" s="2768"/>
    </row>
    <row r="3255" spans="2:14" ht="19.5" hidden="1" customHeight="1" x14ac:dyDescent="0.25">
      <c r="B3255" s="441"/>
      <c r="C3255" s="2473" t="s">
        <v>5457</v>
      </c>
      <c r="D3255" s="3097">
        <v>400000000</v>
      </c>
      <c r="E3255" s="2688">
        <f>D3255/D2867*100</f>
        <v>0.34151620387663578</v>
      </c>
      <c r="F3255" s="3898"/>
      <c r="G3255" s="2689"/>
      <c r="H3255" s="3301"/>
      <c r="I3255" s="3302"/>
      <c r="J3255" s="3303"/>
      <c r="K3255" s="898"/>
      <c r="L3255" s="898"/>
      <c r="M3255" s="898"/>
      <c r="N3255" s="2768"/>
    </row>
    <row r="3256" spans="2:14" ht="20.25" hidden="1" customHeight="1" x14ac:dyDescent="0.25">
      <c r="B3256" s="441"/>
      <c r="C3256" s="2473" t="s">
        <v>5458</v>
      </c>
      <c r="D3256" s="3097">
        <v>200000000</v>
      </c>
      <c r="E3256" s="2688">
        <f>D3256/D2867*100</f>
        <v>0.17075810193831789</v>
      </c>
      <c r="F3256" s="3898"/>
      <c r="G3256" s="2689"/>
      <c r="H3256" s="3301"/>
      <c r="I3256" s="3302"/>
      <c r="J3256" s="3303"/>
      <c r="K3256" s="898"/>
      <c r="L3256" s="898"/>
      <c r="M3256" s="898"/>
      <c r="N3256" s="2768"/>
    </row>
    <row r="3257" spans="2:14" ht="20.25" hidden="1" customHeight="1" x14ac:dyDescent="0.25">
      <c r="B3257" s="441"/>
      <c r="C3257" s="2473" t="s">
        <v>5459</v>
      </c>
      <c r="D3257" s="3097">
        <v>400000000</v>
      </c>
      <c r="E3257" s="2688">
        <f>D3257/D2867*100</f>
        <v>0.34151620387663578</v>
      </c>
      <c r="F3257" s="3898"/>
      <c r="G3257" s="2689"/>
      <c r="H3257" s="3301"/>
      <c r="I3257" s="3302"/>
      <c r="J3257" s="3303"/>
      <c r="K3257" s="898"/>
      <c r="L3257" s="898"/>
      <c r="M3257" s="898"/>
      <c r="N3257" s="2768"/>
    </row>
    <row r="3258" spans="2:14" ht="20.25" hidden="1" customHeight="1" x14ac:dyDescent="0.25">
      <c r="B3258" s="441"/>
      <c r="C3258" s="2473" t="s">
        <v>5460</v>
      </c>
      <c r="D3258" s="3097">
        <v>300000000</v>
      </c>
      <c r="E3258" s="2688">
        <f>D3258/D2867*100</f>
        <v>0.25613715290747685</v>
      </c>
      <c r="F3258" s="3898"/>
      <c r="G3258" s="2689"/>
      <c r="H3258" s="3301"/>
      <c r="I3258" s="3302"/>
      <c r="J3258" s="3303"/>
      <c r="K3258" s="898"/>
      <c r="L3258" s="898"/>
      <c r="M3258" s="898"/>
      <c r="N3258" s="2768"/>
    </row>
    <row r="3259" spans="2:14" ht="20.25" hidden="1" customHeight="1" x14ac:dyDescent="0.25">
      <c r="B3259" s="441"/>
      <c r="C3259" s="2473" t="s">
        <v>5461</v>
      </c>
      <c r="D3259" s="3097">
        <v>363498000</v>
      </c>
      <c r="E3259" s="2688">
        <f>D3259/D2867*100</f>
        <v>0.31035114269187342</v>
      </c>
      <c r="F3259" s="3898"/>
      <c r="G3259" s="2689"/>
      <c r="H3259" s="3301"/>
      <c r="I3259" s="3302"/>
      <c r="J3259" s="3303"/>
      <c r="K3259" s="898"/>
      <c r="L3259" s="898"/>
      <c r="M3259" s="898"/>
      <c r="N3259" s="2768"/>
    </row>
    <row r="3260" spans="2:14" ht="20.25" hidden="1" customHeight="1" x14ac:dyDescent="0.25">
      <c r="B3260" s="441"/>
      <c r="C3260" s="2473" t="s">
        <v>5462</v>
      </c>
      <c r="D3260" s="3097">
        <v>250000000</v>
      </c>
      <c r="E3260" s="2688">
        <f>D3260/D2867*100</f>
        <v>0.21344762742289738</v>
      </c>
      <c r="F3260" s="3898"/>
      <c r="G3260" s="2689"/>
      <c r="H3260" s="3301"/>
      <c r="I3260" s="3302"/>
      <c r="J3260" s="3303"/>
      <c r="K3260" s="898"/>
      <c r="L3260" s="898"/>
      <c r="M3260" s="898"/>
      <c r="N3260" s="2768"/>
    </row>
    <row r="3261" spans="2:14" ht="20.25" hidden="1" customHeight="1" x14ac:dyDescent="0.25">
      <c r="B3261" s="441"/>
      <c r="C3261" s="2473" t="s">
        <v>5463</v>
      </c>
      <c r="D3261" s="3097">
        <v>250000000</v>
      </c>
      <c r="E3261" s="2688">
        <f>D3261/D2867*100</f>
        <v>0.21344762742289738</v>
      </c>
      <c r="F3261" s="3898"/>
      <c r="G3261" s="2689"/>
      <c r="H3261" s="3301"/>
      <c r="I3261" s="3302"/>
      <c r="J3261" s="3303"/>
      <c r="K3261" s="898"/>
      <c r="L3261" s="898"/>
      <c r="M3261" s="898"/>
      <c r="N3261" s="2768"/>
    </row>
    <row r="3262" spans="2:14" ht="20.25" hidden="1" customHeight="1" x14ac:dyDescent="0.25">
      <c r="B3262" s="441"/>
      <c r="C3262" s="2473" t="s">
        <v>5464</v>
      </c>
      <c r="D3262" s="3097">
        <v>200000000</v>
      </c>
      <c r="E3262" s="2688">
        <f>D3262/D2867*100</f>
        <v>0.17075810193831789</v>
      </c>
      <c r="F3262" s="3898"/>
      <c r="G3262" s="2689"/>
      <c r="H3262" s="3301"/>
      <c r="I3262" s="3302"/>
      <c r="J3262" s="3303"/>
      <c r="K3262" s="898"/>
      <c r="L3262" s="898"/>
      <c r="M3262" s="898"/>
      <c r="N3262" s="2768"/>
    </row>
    <row r="3263" spans="2:14" ht="20.25" hidden="1" customHeight="1" x14ac:dyDescent="0.25">
      <c r="B3263" s="441"/>
      <c r="C3263" s="2473" t="s">
        <v>5465</v>
      </c>
      <c r="D3263" s="3097">
        <v>200000000</v>
      </c>
      <c r="E3263" s="2688">
        <f>D3263/D2867*100</f>
        <v>0.17075810193831789</v>
      </c>
      <c r="F3263" s="3898"/>
      <c r="G3263" s="2689"/>
      <c r="H3263" s="3301"/>
      <c r="I3263" s="3302"/>
      <c r="J3263" s="3303"/>
      <c r="K3263" s="898"/>
      <c r="L3263" s="898"/>
      <c r="M3263" s="898"/>
      <c r="N3263" s="2768"/>
    </row>
    <row r="3264" spans="2:14" ht="20.25" hidden="1" customHeight="1" x14ac:dyDescent="0.25">
      <c r="B3264" s="441"/>
      <c r="C3264" s="2473" t="s">
        <v>5466</v>
      </c>
      <c r="D3264" s="3097">
        <v>250000000</v>
      </c>
      <c r="E3264" s="2688">
        <f>D3264/D2867*100</f>
        <v>0.21344762742289738</v>
      </c>
      <c r="F3264" s="3898"/>
      <c r="G3264" s="2689"/>
      <c r="H3264" s="3301"/>
      <c r="I3264" s="3302"/>
      <c r="J3264" s="3303"/>
      <c r="K3264" s="898"/>
      <c r="L3264" s="898"/>
      <c r="M3264" s="898"/>
      <c r="N3264" s="2768"/>
    </row>
    <row r="3265" spans="1:16" ht="20.25" hidden="1" customHeight="1" x14ac:dyDescent="0.25">
      <c r="B3265" s="441"/>
      <c r="C3265" s="2473" t="s">
        <v>5467</v>
      </c>
      <c r="D3265" s="3097">
        <v>150000000</v>
      </c>
      <c r="E3265" s="2688">
        <f>D3265/D2867*100</f>
        <v>0.12806857645373843</v>
      </c>
      <c r="F3265" s="3898"/>
      <c r="G3265" s="2689"/>
      <c r="H3265" s="3301"/>
      <c r="I3265" s="3302"/>
      <c r="J3265" s="3303"/>
      <c r="K3265" s="898"/>
      <c r="L3265" s="898"/>
      <c r="M3265" s="898"/>
      <c r="N3265" s="2768"/>
    </row>
    <row r="3266" spans="1:16" ht="20.25" hidden="1" customHeight="1" x14ac:dyDescent="0.25">
      <c r="B3266" s="441"/>
      <c r="C3266" s="2473" t="s">
        <v>5468</v>
      </c>
      <c r="D3266" s="3097">
        <v>275000000</v>
      </c>
      <c r="E3266" s="2688">
        <f>D3266/D2867*100</f>
        <v>0.23479239016518713</v>
      </c>
      <c r="F3266" s="3898"/>
      <c r="G3266" s="2689"/>
      <c r="H3266" s="3301"/>
      <c r="I3266" s="3302"/>
      <c r="J3266" s="3303"/>
      <c r="K3266" s="898"/>
      <c r="L3266" s="898"/>
      <c r="M3266" s="898"/>
      <c r="N3266" s="2768"/>
    </row>
    <row r="3267" spans="1:16" ht="20.25" hidden="1" customHeight="1" x14ac:dyDescent="0.25">
      <c r="B3267" s="441"/>
      <c r="C3267" s="2473" t="s">
        <v>5469</v>
      </c>
      <c r="D3267" s="3097">
        <v>300000000</v>
      </c>
      <c r="E3267" s="2688">
        <f>D3267/D2867*100</f>
        <v>0.25613715290747685</v>
      </c>
      <c r="F3267" s="3898"/>
      <c r="G3267" s="2689"/>
      <c r="H3267" s="3301"/>
      <c r="I3267" s="3302"/>
      <c r="J3267" s="3303"/>
      <c r="K3267" s="898"/>
      <c r="L3267" s="898"/>
      <c r="M3267" s="898"/>
      <c r="N3267" s="2768"/>
    </row>
    <row r="3268" spans="1:16" ht="20.25" hidden="1" customHeight="1" x14ac:dyDescent="0.25">
      <c r="B3268" s="441"/>
      <c r="C3268" s="2473" t="s">
        <v>5470</v>
      </c>
      <c r="D3268" s="3097">
        <v>100000000</v>
      </c>
      <c r="E3268" s="2688">
        <f>D3268/D2867*100</f>
        <v>8.5379050969158946E-2</v>
      </c>
      <c r="F3268" s="3898"/>
      <c r="G3268" s="2689"/>
      <c r="H3268" s="3301"/>
      <c r="I3268" s="3302"/>
      <c r="J3268" s="3303"/>
      <c r="K3268" s="898"/>
      <c r="L3268" s="898"/>
      <c r="M3268" s="898"/>
      <c r="N3268" s="2768"/>
    </row>
    <row r="3269" spans="1:16" ht="20.25" hidden="1" customHeight="1" x14ac:dyDescent="0.25">
      <c r="B3269" s="441"/>
      <c r="C3269" s="2473" t="s">
        <v>5471</v>
      </c>
      <c r="D3269" s="3097">
        <v>100000000</v>
      </c>
      <c r="E3269" s="2688">
        <f>D3269/D2867*100</f>
        <v>8.5379050969158946E-2</v>
      </c>
      <c r="F3269" s="3898"/>
      <c r="G3269" s="2689"/>
      <c r="H3269" s="3301"/>
      <c r="I3269" s="3302"/>
      <c r="J3269" s="3303"/>
      <c r="K3269" s="898"/>
      <c r="L3269" s="898"/>
      <c r="M3269" s="898"/>
      <c r="N3269" s="2768"/>
    </row>
    <row r="3270" spans="1:16" ht="20.25" hidden="1" customHeight="1" x14ac:dyDescent="0.25">
      <c r="B3270" s="441"/>
      <c r="C3270" s="2473" t="s">
        <v>5472</v>
      </c>
      <c r="D3270" s="3097">
        <v>200000000</v>
      </c>
      <c r="E3270" s="2688">
        <f>D3270/D2867*100</f>
        <v>0.17075810193831789</v>
      </c>
      <c r="F3270" s="3898"/>
      <c r="G3270" s="2689"/>
      <c r="H3270" s="3301"/>
      <c r="I3270" s="3302"/>
      <c r="J3270" s="3303"/>
      <c r="K3270" s="898"/>
      <c r="L3270" s="898"/>
      <c r="M3270" s="898"/>
      <c r="N3270" s="2768"/>
    </row>
    <row r="3271" spans="1:16" ht="20.25" hidden="1" customHeight="1" x14ac:dyDescent="0.25">
      <c r="B3271" s="441"/>
      <c r="C3271" s="2473" t="s">
        <v>5473</v>
      </c>
      <c r="D3271" s="3097">
        <v>350000000</v>
      </c>
      <c r="E3271" s="2688">
        <f>D3271/D2867*100</f>
        <v>0.29882667839205634</v>
      </c>
      <c r="F3271" s="3898"/>
      <c r="G3271" s="2689"/>
      <c r="H3271" s="3301"/>
      <c r="I3271" s="3302"/>
      <c r="J3271" s="3303"/>
      <c r="K3271" s="898"/>
      <c r="L3271" s="898"/>
      <c r="M3271" s="898"/>
      <c r="N3271" s="2768"/>
    </row>
    <row r="3272" spans="1:16" ht="20.25" hidden="1" customHeight="1" x14ac:dyDescent="0.25">
      <c r="B3272" s="441"/>
      <c r="C3272" s="2473" t="s">
        <v>5474</v>
      </c>
      <c r="D3272" s="3097">
        <v>240000000</v>
      </c>
      <c r="E3272" s="2688">
        <f>D3272/D2867*100</f>
        <v>0.20490972232598148</v>
      </c>
      <c r="F3272" s="3898"/>
      <c r="G3272" s="2689"/>
      <c r="H3272" s="3301"/>
      <c r="I3272" s="3302"/>
      <c r="J3272" s="3303"/>
      <c r="K3272" s="898"/>
      <c r="L3272" s="898"/>
      <c r="M3272" s="898"/>
      <c r="N3272" s="2768"/>
    </row>
    <row r="3273" spans="1:16" ht="20.25" hidden="1" customHeight="1" x14ac:dyDescent="0.25">
      <c r="B3273" s="441"/>
      <c r="C3273" s="2473" t="s">
        <v>6672</v>
      </c>
      <c r="D3273" s="3097">
        <v>280000000</v>
      </c>
      <c r="E3273" s="2688">
        <f>D3273/D2867*100</f>
        <v>0.23906134271364504</v>
      </c>
      <c r="F3273" s="3898"/>
      <c r="G3273" s="2689"/>
      <c r="H3273" s="3301"/>
      <c r="I3273" s="3302"/>
      <c r="J3273" s="3303"/>
      <c r="K3273" s="898"/>
      <c r="L3273" s="898"/>
      <c r="M3273" s="898"/>
      <c r="N3273" s="2768"/>
    </row>
    <row r="3274" spans="1:16" ht="20.25" hidden="1" customHeight="1" x14ac:dyDescent="0.25">
      <c r="B3274" s="441"/>
      <c r="C3274" s="2473" t="s">
        <v>5475</v>
      </c>
      <c r="D3274" s="3097">
        <v>200000000</v>
      </c>
      <c r="E3274" s="2688">
        <f>D3274/D2867*100</f>
        <v>0.17075810193831789</v>
      </c>
      <c r="F3274" s="3898"/>
      <c r="G3274" s="2689"/>
      <c r="H3274" s="3301"/>
      <c r="I3274" s="3302"/>
      <c r="J3274" s="3303"/>
      <c r="K3274" s="898"/>
      <c r="L3274" s="898"/>
      <c r="M3274" s="898"/>
      <c r="N3274" s="2768"/>
    </row>
    <row r="3275" spans="1:16" ht="20.25" hidden="1" customHeight="1" x14ac:dyDescent="0.25">
      <c r="B3275" s="441"/>
      <c r="C3275" s="2473" t="s">
        <v>5476</v>
      </c>
      <c r="D3275" s="3097">
        <v>125000000</v>
      </c>
      <c r="E3275" s="2688">
        <f>D3275/D2867*100</f>
        <v>0.10672381371144869</v>
      </c>
      <c r="F3275" s="3898"/>
      <c r="G3275" s="2689"/>
      <c r="H3275" s="3301"/>
      <c r="I3275" s="3302"/>
      <c r="J3275" s="3303"/>
      <c r="K3275" s="898"/>
      <c r="L3275" s="898"/>
      <c r="M3275" s="898"/>
      <c r="N3275" s="2768"/>
    </row>
    <row r="3276" spans="1:16" ht="20.25" hidden="1" customHeight="1" x14ac:dyDescent="0.25">
      <c r="B3276" s="441"/>
      <c r="C3276" s="2473" t="s">
        <v>5477</v>
      </c>
      <c r="D3276" s="3097">
        <v>125000000</v>
      </c>
      <c r="E3276" s="2688">
        <f>D3276/D2867*100</f>
        <v>0.10672381371144869</v>
      </c>
      <c r="F3276" s="3898"/>
      <c r="G3276" s="2689"/>
      <c r="H3276" s="3301"/>
      <c r="I3276" s="3302"/>
      <c r="J3276" s="3303"/>
      <c r="K3276" s="898"/>
      <c r="L3276" s="898"/>
      <c r="M3276" s="898"/>
      <c r="N3276" s="2768"/>
    </row>
    <row r="3277" spans="1:16" ht="16.5" hidden="1" customHeight="1" x14ac:dyDescent="0.25">
      <c r="B3277" s="441"/>
      <c r="C3277" s="2476"/>
      <c r="D3277" s="3104"/>
      <c r="E3277" s="2707"/>
      <c r="F3277" s="3873"/>
      <c r="G3277" s="3288"/>
      <c r="H3277" s="3289"/>
      <c r="I3277" s="3290"/>
      <c r="J3277" s="3291"/>
      <c r="K3277" s="911"/>
      <c r="L3277" s="911"/>
      <c r="M3277" s="911"/>
      <c r="N3277" s="2768"/>
    </row>
    <row r="3278" spans="1:16" ht="18" hidden="1" customHeight="1" x14ac:dyDescent="0.25">
      <c r="B3278" s="440"/>
      <c r="C3278" s="2471" t="s">
        <v>1175</v>
      </c>
      <c r="D3278" s="3252">
        <f>SUM(D3279+D3297+D3303)</f>
        <v>6530000000</v>
      </c>
      <c r="E3278" s="2717">
        <f>D3278/D2867*100</f>
        <v>5.57525202828608</v>
      </c>
      <c r="F3278" s="3897"/>
      <c r="G3278" s="3306"/>
      <c r="H3278" s="3307"/>
      <c r="I3278" s="3308"/>
      <c r="J3278" s="3309"/>
      <c r="K3278" s="2749"/>
      <c r="L3278" s="2749"/>
      <c r="M3278" s="2749"/>
      <c r="N3278" s="2768"/>
    </row>
    <row r="3279" spans="1:16" s="32" customFormat="1" ht="32.25" hidden="1" customHeight="1" x14ac:dyDescent="0.25">
      <c r="A3279" s="1"/>
      <c r="B3279" s="441"/>
      <c r="C3279" s="2472" t="s">
        <v>5478</v>
      </c>
      <c r="D3279" s="3280">
        <f>SUM(D3280:D3295)</f>
        <v>2530000000</v>
      </c>
      <c r="E3279" s="2693">
        <f>D3279/D2867*100</f>
        <v>2.1600899895197214</v>
      </c>
      <c r="F3279" s="3899"/>
      <c r="G3279" s="3310"/>
      <c r="H3279" s="3281"/>
      <c r="I3279" s="3311"/>
      <c r="J3279" s="3312"/>
      <c r="K3279" s="2759"/>
      <c r="L3279" s="2759"/>
      <c r="M3279" s="2759"/>
      <c r="N3279" s="2837"/>
      <c r="P3279" s="630"/>
    </row>
    <row r="3280" spans="1:16" ht="18" hidden="1" customHeight="1" x14ac:dyDescent="0.25">
      <c r="B3280" s="441"/>
      <c r="C3280" s="2473" t="s">
        <v>5479</v>
      </c>
      <c r="D3280" s="3097">
        <v>300000000</v>
      </c>
      <c r="E3280" s="2688">
        <f>D3280/D2867*100</f>
        <v>0.25613715290747685</v>
      </c>
      <c r="F3280" s="3898"/>
      <c r="G3280" s="2689"/>
      <c r="H3280" s="3301"/>
      <c r="I3280" s="3302"/>
      <c r="J3280" s="3303"/>
      <c r="K3280" s="898"/>
      <c r="L3280" s="898"/>
      <c r="M3280" s="898"/>
      <c r="N3280" s="2768"/>
    </row>
    <row r="3281" spans="2:14" ht="17.25" hidden="1" customHeight="1" x14ac:dyDescent="0.25">
      <c r="B3281" s="441"/>
      <c r="C3281" s="2473" t="s">
        <v>5480</v>
      </c>
      <c r="D3281" s="3097">
        <v>150000000</v>
      </c>
      <c r="E3281" s="2688">
        <f>D3281/D2867*100</f>
        <v>0.12806857645373843</v>
      </c>
      <c r="F3281" s="3898"/>
      <c r="G3281" s="2689"/>
      <c r="H3281" s="3301"/>
      <c r="I3281" s="3302"/>
      <c r="J3281" s="3303"/>
      <c r="K3281" s="898"/>
      <c r="L3281" s="898"/>
      <c r="M3281" s="898"/>
      <c r="N3281" s="2768"/>
    </row>
    <row r="3282" spans="2:14" ht="20.25" hidden="1" customHeight="1" x14ac:dyDescent="0.25">
      <c r="B3282" s="441"/>
      <c r="C3282" s="2473" t="s">
        <v>5481</v>
      </c>
      <c r="D3282" s="3097">
        <v>150000000</v>
      </c>
      <c r="E3282" s="2688">
        <f>D3282/D2867*100</f>
        <v>0.12806857645373843</v>
      </c>
      <c r="F3282" s="3898"/>
      <c r="G3282" s="2689"/>
      <c r="H3282" s="3301"/>
      <c r="I3282" s="3302"/>
      <c r="J3282" s="3303"/>
      <c r="K3282" s="898"/>
      <c r="L3282" s="898"/>
      <c r="M3282" s="898"/>
      <c r="N3282" s="2768"/>
    </row>
    <row r="3283" spans="2:14" ht="16.5" hidden="1" customHeight="1" x14ac:dyDescent="0.25">
      <c r="B3283" s="441"/>
      <c r="C3283" s="2473" t="s">
        <v>5482</v>
      </c>
      <c r="D3283" s="3097">
        <v>400000000</v>
      </c>
      <c r="E3283" s="2688">
        <f>D3283/D2867*100</f>
        <v>0.34151620387663578</v>
      </c>
      <c r="F3283" s="3898"/>
      <c r="G3283" s="2689"/>
      <c r="H3283" s="3301"/>
      <c r="I3283" s="3302"/>
      <c r="J3283" s="3303"/>
      <c r="K3283" s="898"/>
      <c r="L3283" s="898"/>
      <c r="M3283" s="898"/>
      <c r="N3283" s="2768"/>
    </row>
    <row r="3284" spans="2:14" ht="20.25" hidden="1" customHeight="1" x14ac:dyDescent="0.25">
      <c r="B3284" s="441"/>
      <c r="C3284" s="2473" t="s">
        <v>5483</v>
      </c>
      <c r="D3284" s="3097">
        <v>250000000</v>
      </c>
      <c r="E3284" s="2688">
        <f>D3284/D2867*100</f>
        <v>0.21344762742289738</v>
      </c>
      <c r="F3284" s="3898"/>
      <c r="G3284" s="2689"/>
      <c r="H3284" s="3301"/>
      <c r="I3284" s="3302"/>
      <c r="J3284" s="3303"/>
      <c r="K3284" s="898"/>
      <c r="L3284" s="898"/>
      <c r="M3284" s="898"/>
      <c r="N3284" s="2768"/>
    </row>
    <row r="3285" spans="2:14" ht="17.25" hidden="1" customHeight="1" x14ac:dyDescent="0.25">
      <c r="B3285" s="441"/>
      <c r="C3285" s="2473" t="s">
        <v>5484</v>
      </c>
      <c r="D3285" s="3097">
        <v>250000000</v>
      </c>
      <c r="E3285" s="2688">
        <f>D3285/D2867*100</f>
        <v>0.21344762742289738</v>
      </c>
      <c r="F3285" s="3898"/>
      <c r="G3285" s="2689"/>
      <c r="H3285" s="3301"/>
      <c r="I3285" s="3302"/>
      <c r="J3285" s="3303"/>
      <c r="K3285" s="898"/>
      <c r="L3285" s="898"/>
      <c r="M3285" s="898"/>
      <c r="N3285" s="2768"/>
    </row>
    <row r="3286" spans="2:14" ht="20.25" hidden="1" customHeight="1" x14ac:dyDescent="0.25">
      <c r="B3286" s="441"/>
      <c r="C3286" s="2473" t="s">
        <v>5485</v>
      </c>
      <c r="D3286" s="3097">
        <v>200000000</v>
      </c>
      <c r="E3286" s="2688">
        <f>D3286/D2867*100</f>
        <v>0.17075810193831789</v>
      </c>
      <c r="F3286" s="3898"/>
      <c r="G3286" s="2689"/>
      <c r="H3286" s="3301"/>
      <c r="I3286" s="3302"/>
      <c r="J3286" s="3303"/>
      <c r="K3286" s="898"/>
      <c r="L3286" s="898"/>
      <c r="M3286" s="898"/>
      <c r="N3286" s="2768"/>
    </row>
    <row r="3287" spans="2:14" ht="19.5" hidden="1" customHeight="1" x14ac:dyDescent="0.25">
      <c r="B3287" s="441"/>
      <c r="C3287" s="2473" t="s">
        <v>5486</v>
      </c>
      <c r="D3287" s="3097">
        <v>100000000</v>
      </c>
      <c r="E3287" s="2688">
        <f>D3287/D2867*100</f>
        <v>8.5379050969158946E-2</v>
      </c>
      <c r="F3287" s="3898"/>
      <c r="G3287" s="2689"/>
      <c r="H3287" s="3301"/>
      <c r="I3287" s="3302"/>
      <c r="J3287" s="3303"/>
      <c r="K3287" s="898"/>
      <c r="L3287" s="898"/>
      <c r="M3287" s="898"/>
      <c r="N3287" s="2768"/>
    </row>
    <row r="3288" spans="2:14" ht="20.25" hidden="1" customHeight="1" x14ac:dyDescent="0.25">
      <c r="B3288" s="441"/>
      <c r="C3288" s="2473" t="s">
        <v>5487</v>
      </c>
      <c r="D3288" s="3097">
        <v>100000000</v>
      </c>
      <c r="E3288" s="2688">
        <f>D3288/D2867*100</f>
        <v>8.5379050969158946E-2</v>
      </c>
      <c r="F3288" s="3898"/>
      <c r="G3288" s="2689"/>
      <c r="H3288" s="3301"/>
      <c r="I3288" s="3302"/>
      <c r="J3288" s="3303"/>
      <c r="K3288" s="898"/>
      <c r="L3288" s="898"/>
      <c r="M3288" s="898"/>
      <c r="N3288" s="2768"/>
    </row>
    <row r="3289" spans="2:14" ht="28.5" hidden="1" customHeight="1" x14ac:dyDescent="0.25">
      <c r="B3289" s="441"/>
      <c r="C3289" s="2473" t="s">
        <v>5488</v>
      </c>
      <c r="D3289" s="3097">
        <v>100000000</v>
      </c>
      <c r="E3289" s="2688">
        <f>D3289/D2867*100</f>
        <v>8.5379050969158946E-2</v>
      </c>
      <c r="F3289" s="3898"/>
      <c r="G3289" s="2689"/>
      <c r="H3289" s="3301"/>
      <c r="I3289" s="3302"/>
      <c r="J3289" s="3303"/>
      <c r="K3289" s="898"/>
      <c r="L3289" s="898"/>
      <c r="M3289" s="898"/>
      <c r="N3289" s="2768"/>
    </row>
    <row r="3290" spans="2:14" ht="18" hidden="1" customHeight="1" x14ac:dyDescent="0.25">
      <c r="B3290" s="441"/>
      <c r="C3290" s="2473" t="s">
        <v>5489</v>
      </c>
      <c r="D3290" s="3097">
        <v>100000000</v>
      </c>
      <c r="E3290" s="2688">
        <f>D3290/D2867*100</f>
        <v>8.5379050969158946E-2</v>
      </c>
      <c r="F3290" s="3898"/>
      <c r="G3290" s="2689"/>
      <c r="H3290" s="3301"/>
      <c r="I3290" s="3302"/>
      <c r="J3290" s="3303"/>
      <c r="K3290" s="898"/>
      <c r="L3290" s="898"/>
      <c r="M3290" s="898"/>
      <c r="N3290" s="2768"/>
    </row>
    <row r="3291" spans="2:14" ht="18" hidden="1" customHeight="1" x14ac:dyDescent="0.25">
      <c r="B3291" s="441"/>
      <c r="C3291" s="2473" t="s">
        <v>5490</v>
      </c>
      <c r="D3291" s="3097">
        <v>100000000</v>
      </c>
      <c r="E3291" s="2688">
        <f>D3291/D2867*100</f>
        <v>8.5379050969158946E-2</v>
      </c>
      <c r="F3291" s="3898"/>
      <c r="G3291" s="2689"/>
      <c r="H3291" s="3301"/>
      <c r="I3291" s="3302"/>
      <c r="J3291" s="3303"/>
      <c r="K3291" s="898"/>
      <c r="L3291" s="898"/>
      <c r="M3291" s="898"/>
      <c r="N3291" s="2768"/>
    </row>
    <row r="3292" spans="2:14" ht="20.25" hidden="1" customHeight="1" x14ac:dyDescent="0.25">
      <c r="B3292" s="441"/>
      <c r="C3292" s="2473" t="s">
        <v>5491</v>
      </c>
      <c r="D3292" s="3097">
        <v>65000000</v>
      </c>
      <c r="E3292" s="2688">
        <f>D3292/D2867*100</f>
        <v>5.5496383129953322E-2</v>
      </c>
      <c r="F3292" s="3898"/>
      <c r="G3292" s="2689"/>
      <c r="H3292" s="3301"/>
      <c r="I3292" s="3302"/>
      <c r="J3292" s="3303"/>
      <c r="K3292" s="898"/>
      <c r="L3292" s="898"/>
      <c r="M3292" s="898"/>
      <c r="N3292" s="2768"/>
    </row>
    <row r="3293" spans="2:14" ht="20.25" hidden="1" customHeight="1" x14ac:dyDescent="0.25">
      <c r="B3293" s="441"/>
      <c r="C3293" s="2473" t="s">
        <v>5492</v>
      </c>
      <c r="D3293" s="3097">
        <v>100000000</v>
      </c>
      <c r="E3293" s="2688">
        <f>D3293/D2867*100</f>
        <v>8.5379050969158946E-2</v>
      </c>
      <c r="F3293" s="3898"/>
      <c r="G3293" s="2689"/>
      <c r="H3293" s="3301"/>
      <c r="I3293" s="3302"/>
      <c r="J3293" s="3303"/>
      <c r="K3293" s="898"/>
      <c r="L3293" s="898"/>
      <c r="M3293" s="898"/>
      <c r="N3293" s="2768"/>
    </row>
    <row r="3294" spans="2:14" ht="20.25" hidden="1" customHeight="1" x14ac:dyDescent="0.25">
      <c r="B3294" s="441"/>
      <c r="C3294" s="2473" t="s">
        <v>5493</v>
      </c>
      <c r="D3294" s="3097">
        <v>100000000</v>
      </c>
      <c r="E3294" s="2688">
        <f>D3294/D2867*100</f>
        <v>8.5379050969158946E-2</v>
      </c>
      <c r="F3294" s="3898"/>
      <c r="G3294" s="2689"/>
      <c r="H3294" s="3301"/>
      <c r="I3294" s="3302"/>
      <c r="J3294" s="3303"/>
      <c r="K3294" s="898"/>
      <c r="L3294" s="898"/>
      <c r="M3294" s="898"/>
      <c r="N3294" s="2768"/>
    </row>
    <row r="3295" spans="2:14" ht="20.25" hidden="1" customHeight="1" x14ac:dyDescent="0.25">
      <c r="B3295" s="441"/>
      <c r="C3295" s="2473" t="s">
        <v>5494</v>
      </c>
      <c r="D3295" s="3097">
        <v>65000000</v>
      </c>
      <c r="E3295" s="2688">
        <f>D3295/D2867*100</f>
        <v>5.5496383129953322E-2</v>
      </c>
      <c r="F3295" s="3898"/>
      <c r="G3295" s="2689"/>
      <c r="H3295" s="3301"/>
      <c r="I3295" s="3302"/>
      <c r="J3295" s="3303"/>
      <c r="K3295" s="898"/>
      <c r="L3295" s="898"/>
      <c r="M3295" s="898"/>
      <c r="N3295" s="2768"/>
    </row>
    <row r="3296" spans="2:14" ht="12.75" hidden="1" customHeight="1" x14ac:dyDescent="0.25">
      <c r="B3296" s="441"/>
      <c r="C3296" s="2473"/>
      <c r="D3296" s="3097"/>
      <c r="E3296" s="2688"/>
      <c r="F3296" s="3898"/>
      <c r="G3296" s="2689"/>
      <c r="H3296" s="3301"/>
      <c r="I3296" s="3302"/>
      <c r="J3296" s="3303"/>
      <c r="K3296" s="898"/>
      <c r="L3296" s="898"/>
      <c r="M3296" s="898"/>
      <c r="N3296" s="2768"/>
    </row>
    <row r="3297" spans="1:16" s="32" customFormat="1" ht="20.25" hidden="1" customHeight="1" x14ac:dyDescent="0.25">
      <c r="A3297" s="1"/>
      <c r="B3297" s="441"/>
      <c r="C3297" s="2474" t="s">
        <v>5495</v>
      </c>
      <c r="D3297" s="3103">
        <f>SUM(D3298:D3301)</f>
        <v>1500000000</v>
      </c>
      <c r="E3297" s="2693">
        <f>D3297/D2867*100</f>
        <v>1.2806857645373841</v>
      </c>
      <c r="F3297" s="3898"/>
      <c r="G3297" s="3115"/>
      <c r="H3297" s="3257"/>
      <c r="I3297" s="3304"/>
      <c r="J3297" s="3305"/>
      <c r="K3297" s="899"/>
      <c r="L3297" s="899"/>
      <c r="M3297" s="899"/>
      <c r="N3297" s="2837"/>
      <c r="P3297" s="630"/>
    </row>
    <row r="3298" spans="1:16" ht="18" hidden="1" customHeight="1" x14ac:dyDescent="0.25">
      <c r="B3298" s="441"/>
      <c r="C3298" s="2473" t="s">
        <v>5496</v>
      </c>
      <c r="D3298" s="3097">
        <v>400000000</v>
      </c>
      <c r="E3298" s="2688">
        <f>D3298/D2867*100</f>
        <v>0.34151620387663578</v>
      </c>
      <c r="F3298" s="3898"/>
      <c r="G3298" s="2689"/>
      <c r="H3298" s="3301"/>
      <c r="I3298" s="3302"/>
      <c r="J3298" s="3303"/>
      <c r="K3298" s="898"/>
      <c r="L3298" s="898"/>
      <c r="M3298" s="898"/>
      <c r="N3298" s="2768"/>
    </row>
    <row r="3299" spans="1:16" ht="18" hidden="1" customHeight="1" x14ac:dyDescent="0.25">
      <c r="B3299" s="441"/>
      <c r="C3299" s="2473" t="s">
        <v>5497</v>
      </c>
      <c r="D3299" s="3097">
        <v>300000000</v>
      </c>
      <c r="E3299" s="2688">
        <f>D3299/D2867*100</f>
        <v>0.25613715290747685</v>
      </c>
      <c r="F3299" s="3898"/>
      <c r="G3299" s="2689"/>
      <c r="H3299" s="3301"/>
      <c r="I3299" s="3302"/>
      <c r="J3299" s="3303"/>
      <c r="K3299" s="898"/>
      <c r="L3299" s="898"/>
      <c r="M3299" s="898"/>
      <c r="N3299" s="2768"/>
    </row>
    <row r="3300" spans="1:16" ht="20.25" hidden="1" customHeight="1" x14ac:dyDescent="0.25">
      <c r="B3300" s="441"/>
      <c r="C3300" s="2473" t="s">
        <v>5498</v>
      </c>
      <c r="D3300" s="3097">
        <v>300000000</v>
      </c>
      <c r="E3300" s="2688">
        <f>D3300/D2867*100</f>
        <v>0.25613715290747685</v>
      </c>
      <c r="F3300" s="3898"/>
      <c r="G3300" s="2689"/>
      <c r="H3300" s="3301"/>
      <c r="I3300" s="3302"/>
      <c r="J3300" s="3303"/>
      <c r="K3300" s="898"/>
      <c r="L3300" s="898"/>
      <c r="M3300" s="898"/>
      <c r="N3300" s="2768"/>
    </row>
    <row r="3301" spans="1:16" ht="30" hidden="1" customHeight="1" x14ac:dyDescent="0.25">
      <c r="B3301" s="441"/>
      <c r="C3301" s="2473" t="s">
        <v>5499</v>
      </c>
      <c r="D3301" s="3097">
        <v>500000000</v>
      </c>
      <c r="E3301" s="2688">
        <f>D3301/D2867*100</f>
        <v>0.42689525484579477</v>
      </c>
      <c r="F3301" s="3898"/>
      <c r="G3301" s="2689"/>
      <c r="H3301" s="3301"/>
      <c r="I3301" s="3302"/>
      <c r="J3301" s="3303"/>
      <c r="K3301" s="898"/>
      <c r="L3301" s="898"/>
      <c r="M3301" s="898"/>
      <c r="N3301" s="2768"/>
    </row>
    <row r="3302" spans="1:16" ht="12" hidden="1" customHeight="1" x14ac:dyDescent="0.25">
      <c r="B3302" s="441"/>
      <c r="C3302" s="2473"/>
      <c r="D3302" s="3097"/>
      <c r="E3302" s="2688"/>
      <c r="F3302" s="3898"/>
      <c r="G3302" s="2689"/>
      <c r="H3302" s="3301"/>
      <c r="I3302" s="3302"/>
      <c r="J3302" s="3303"/>
      <c r="K3302" s="898"/>
      <c r="L3302" s="898"/>
      <c r="M3302" s="898"/>
      <c r="N3302" s="2768"/>
    </row>
    <row r="3303" spans="1:16" s="32" customFormat="1" ht="30" hidden="1" customHeight="1" x14ac:dyDescent="0.25">
      <c r="A3303" s="1"/>
      <c r="B3303" s="441"/>
      <c r="C3303" s="2474" t="s">
        <v>5500</v>
      </c>
      <c r="D3303" s="3103">
        <f>SUM(D3304:D3310)</f>
        <v>2500000000</v>
      </c>
      <c r="E3303" s="2693">
        <f>D3303/D2867*100</f>
        <v>2.1344762742289736</v>
      </c>
      <c r="F3303" s="3898"/>
      <c r="G3303" s="3115"/>
      <c r="H3303" s="3257"/>
      <c r="I3303" s="3304"/>
      <c r="J3303" s="3305"/>
      <c r="K3303" s="899"/>
      <c r="L3303" s="899"/>
      <c r="M3303" s="899"/>
      <c r="N3303" s="2837"/>
      <c r="P3303" s="630"/>
    </row>
    <row r="3304" spans="1:16" ht="18.75" hidden="1" customHeight="1" x14ac:dyDescent="0.25">
      <c r="B3304" s="441"/>
      <c r="C3304" s="2473" t="s">
        <v>5501</v>
      </c>
      <c r="D3304" s="3097">
        <v>150000000</v>
      </c>
      <c r="E3304" s="2688">
        <f>D3304/D2867*100</f>
        <v>0.12806857645373843</v>
      </c>
      <c r="F3304" s="3898"/>
      <c r="G3304" s="2689"/>
      <c r="H3304" s="3301"/>
      <c r="I3304" s="3302"/>
      <c r="J3304" s="3303"/>
      <c r="K3304" s="898"/>
      <c r="L3304" s="898"/>
      <c r="M3304" s="898"/>
      <c r="N3304" s="2768"/>
    </row>
    <row r="3305" spans="1:16" ht="18" hidden="1" customHeight="1" x14ac:dyDescent="0.25">
      <c r="B3305" s="441"/>
      <c r="C3305" s="2473" t="s">
        <v>5502</v>
      </c>
      <c r="D3305" s="3097">
        <v>300000000</v>
      </c>
      <c r="E3305" s="2688">
        <f>D3305/D2867*100</f>
        <v>0.25613715290747685</v>
      </c>
      <c r="F3305" s="3898"/>
      <c r="G3305" s="2689"/>
      <c r="H3305" s="3301"/>
      <c r="I3305" s="3302"/>
      <c r="J3305" s="3303"/>
      <c r="K3305" s="898"/>
      <c r="L3305" s="898"/>
      <c r="M3305" s="898"/>
      <c r="N3305" s="2768"/>
    </row>
    <row r="3306" spans="1:16" ht="16.5" hidden="1" customHeight="1" x14ac:dyDescent="0.25">
      <c r="B3306" s="441"/>
      <c r="C3306" s="2473" t="s">
        <v>5503</v>
      </c>
      <c r="D3306" s="3097">
        <v>400000000</v>
      </c>
      <c r="E3306" s="2688">
        <f>D3306/D2867*100</f>
        <v>0.34151620387663578</v>
      </c>
      <c r="F3306" s="3898"/>
      <c r="G3306" s="2689"/>
      <c r="H3306" s="3301"/>
      <c r="I3306" s="3302"/>
      <c r="J3306" s="3303"/>
      <c r="K3306" s="898"/>
      <c r="L3306" s="898"/>
      <c r="M3306" s="898"/>
      <c r="N3306" s="2768"/>
    </row>
    <row r="3307" spans="1:16" ht="17.25" hidden="1" customHeight="1" x14ac:dyDescent="0.25">
      <c r="B3307" s="441"/>
      <c r="C3307" s="2473" t="s">
        <v>5504</v>
      </c>
      <c r="D3307" s="3097">
        <v>350000000</v>
      </c>
      <c r="E3307" s="2688">
        <f>D3307/D2867*100</f>
        <v>0.29882667839205634</v>
      </c>
      <c r="F3307" s="3898"/>
      <c r="G3307" s="2689"/>
      <c r="H3307" s="3301"/>
      <c r="I3307" s="3302"/>
      <c r="J3307" s="3303"/>
      <c r="K3307" s="898"/>
      <c r="L3307" s="898"/>
      <c r="M3307" s="898"/>
      <c r="N3307" s="2768"/>
    </row>
    <row r="3308" spans="1:16" ht="18.75" hidden="1" customHeight="1" x14ac:dyDescent="0.25">
      <c r="B3308" s="441"/>
      <c r="C3308" s="2473" t="s">
        <v>5505</v>
      </c>
      <c r="D3308" s="3097">
        <v>200000000</v>
      </c>
      <c r="E3308" s="2688">
        <f>D3308/D2867*100</f>
        <v>0.17075810193831789</v>
      </c>
      <c r="F3308" s="3898"/>
      <c r="G3308" s="2689"/>
      <c r="H3308" s="3301"/>
      <c r="I3308" s="3302"/>
      <c r="J3308" s="3303"/>
      <c r="K3308" s="898"/>
      <c r="L3308" s="898"/>
      <c r="M3308" s="898"/>
      <c r="N3308" s="2768"/>
    </row>
    <row r="3309" spans="1:16" ht="15.75" hidden="1" customHeight="1" x14ac:dyDescent="0.25">
      <c r="B3309" s="441"/>
      <c r="C3309" s="2473" t="s">
        <v>5506</v>
      </c>
      <c r="D3309" s="3097">
        <v>600000000</v>
      </c>
      <c r="E3309" s="2688">
        <f>D3309/D2867*100</f>
        <v>0.5122743058149537</v>
      </c>
      <c r="F3309" s="3898"/>
      <c r="G3309" s="2689"/>
      <c r="H3309" s="3301"/>
      <c r="I3309" s="3302"/>
      <c r="J3309" s="3303"/>
      <c r="K3309" s="898"/>
      <c r="L3309" s="898"/>
      <c r="M3309" s="898"/>
      <c r="N3309" s="2768"/>
    </row>
    <row r="3310" spans="1:16" ht="21" hidden="1" customHeight="1" x14ac:dyDescent="0.25">
      <c r="B3310" s="441"/>
      <c r="C3310" s="2473" t="s">
        <v>5507</v>
      </c>
      <c r="D3310" s="3097">
        <v>500000000</v>
      </c>
      <c r="E3310" s="2688">
        <f>D3310/D2867*100</f>
        <v>0.42689525484579477</v>
      </c>
      <c r="F3310" s="3898"/>
      <c r="G3310" s="2689"/>
      <c r="H3310" s="3301"/>
      <c r="I3310" s="3302"/>
      <c r="J3310" s="3303"/>
      <c r="K3310" s="898"/>
      <c r="L3310" s="898"/>
      <c r="M3310" s="898"/>
      <c r="N3310" s="2768"/>
    </row>
    <row r="3311" spans="1:16" ht="17.25" hidden="1" customHeight="1" x14ac:dyDescent="0.25">
      <c r="B3311" s="441"/>
      <c r="C3311" s="2476"/>
      <c r="D3311" s="3104"/>
      <c r="E3311" s="2707"/>
      <c r="F3311" s="3873"/>
      <c r="G3311" s="3288"/>
      <c r="H3311" s="3289"/>
      <c r="I3311" s="3290"/>
      <c r="J3311" s="3291"/>
      <c r="K3311" s="911"/>
      <c r="L3311" s="911"/>
      <c r="M3311" s="911"/>
      <c r="N3311" s="2768"/>
    </row>
    <row r="3312" spans="1:16" s="32" customFormat="1" ht="18.75" hidden="1" customHeight="1" x14ac:dyDescent="0.25">
      <c r="A3312" s="1"/>
      <c r="B3312" s="440"/>
      <c r="C3312" s="2471" t="s">
        <v>5508</v>
      </c>
      <c r="D3312" s="3252">
        <f>SUM(D3313+D3316+D3319+D3323+D3328+D3334+D3341)</f>
        <v>3850000000</v>
      </c>
      <c r="E3312" s="2717">
        <f>D3312/D2867*100</f>
        <v>3.2870934623126193</v>
      </c>
      <c r="F3312" s="3897"/>
      <c r="G3312" s="3293"/>
      <c r="H3312" s="3254"/>
      <c r="I3312" s="3294"/>
      <c r="J3312" s="3295"/>
      <c r="K3312" s="2744"/>
      <c r="L3312" s="2744"/>
      <c r="M3312" s="2744"/>
      <c r="N3312" s="2837"/>
      <c r="P3312" s="630"/>
    </row>
    <row r="3313" spans="1:16" ht="18" hidden="1" customHeight="1" x14ac:dyDescent="0.25">
      <c r="B3313" s="441"/>
      <c r="C3313" s="2472" t="s">
        <v>5509</v>
      </c>
      <c r="D3313" s="3280">
        <f>D3314</f>
        <v>200000000</v>
      </c>
      <c r="E3313" s="2693">
        <f>D3313/D2867*100</f>
        <v>0.17075810193831789</v>
      </c>
      <c r="F3313" s="3899"/>
      <c r="G3313" s="3057"/>
      <c r="H3313" s="3313"/>
      <c r="I3313" s="3314"/>
      <c r="J3313" s="3315"/>
      <c r="K3313" s="902"/>
      <c r="L3313" s="902"/>
      <c r="M3313" s="902"/>
      <c r="N3313" s="2768"/>
    </row>
    <row r="3314" spans="1:16" ht="17.25" hidden="1" customHeight="1" x14ac:dyDescent="0.25">
      <c r="B3314" s="441"/>
      <c r="C3314" s="2473" t="s">
        <v>5510</v>
      </c>
      <c r="D3314" s="3097">
        <v>200000000</v>
      </c>
      <c r="E3314" s="2688">
        <f>D3314/D2867*100</f>
        <v>0.17075810193831789</v>
      </c>
      <c r="F3314" s="3898"/>
      <c r="G3314" s="2689"/>
      <c r="H3314" s="3301"/>
      <c r="I3314" s="3302"/>
      <c r="J3314" s="3303"/>
      <c r="K3314" s="898"/>
      <c r="L3314" s="898"/>
      <c r="M3314" s="898"/>
      <c r="N3314" s="2768"/>
    </row>
    <row r="3315" spans="1:16" ht="10.5" hidden="1" customHeight="1" x14ac:dyDescent="0.25">
      <c r="B3315" s="441"/>
      <c r="C3315" s="2473"/>
      <c r="D3315" s="3097"/>
      <c r="E3315" s="2688"/>
      <c r="F3315" s="3898"/>
      <c r="G3315" s="2689"/>
      <c r="H3315" s="3301"/>
      <c r="I3315" s="3302"/>
      <c r="J3315" s="3303"/>
      <c r="K3315" s="898"/>
      <c r="L3315" s="898"/>
      <c r="M3315" s="898"/>
      <c r="N3315" s="2768"/>
    </row>
    <row r="3316" spans="1:16" s="32" customFormat="1" ht="18" hidden="1" customHeight="1" x14ac:dyDescent="0.25">
      <c r="A3316" s="1"/>
      <c r="B3316" s="441"/>
      <c r="C3316" s="2474" t="s">
        <v>5511</v>
      </c>
      <c r="D3316" s="3103">
        <f>D3317</f>
        <v>250000000</v>
      </c>
      <c r="E3316" s="2693">
        <f>D3316/D2867*100</f>
        <v>0.21344762742289738</v>
      </c>
      <c r="F3316" s="3898"/>
      <c r="G3316" s="3115"/>
      <c r="H3316" s="3257"/>
      <c r="I3316" s="3304"/>
      <c r="J3316" s="3305"/>
      <c r="K3316" s="899"/>
      <c r="L3316" s="899"/>
      <c r="M3316" s="899"/>
      <c r="N3316" s="2837"/>
      <c r="P3316" s="630"/>
    </row>
    <row r="3317" spans="1:16" ht="18" hidden="1" customHeight="1" x14ac:dyDescent="0.25">
      <c r="B3317" s="441"/>
      <c r="C3317" s="2473" t="s">
        <v>5512</v>
      </c>
      <c r="D3317" s="3097">
        <v>250000000</v>
      </c>
      <c r="E3317" s="2688">
        <f>D3317/D2867*100</f>
        <v>0.21344762742289738</v>
      </c>
      <c r="F3317" s="3898"/>
      <c r="G3317" s="2689"/>
      <c r="H3317" s="3301"/>
      <c r="I3317" s="3302"/>
      <c r="J3317" s="3303"/>
      <c r="K3317" s="898"/>
      <c r="L3317" s="898"/>
      <c r="M3317" s="898"/>
      <c r="N3317" s="2768"/>
    </row>
    <row r="3318" spans="1:16" ht="8.25" hidden="1" customHeight="1" x14ac:dyDescent="0.25">
      <c r="B3318" s="441"/>
      <c r="C3318" s="2473"/>
      <c r="D3318" s="3097"/>
      <c r="E3318" s="2688"/>
      <c r="F3318" s="3898"/>
      <c r="G3318" s="2689"/>
      <c r="H3318" s="3301"/>
      <c r="I3318" s="3302"/>
      <c r="J3318" s="3303"/>
      <c r="K3318" s="898"/>
      <c r="L3318" s="898"/>
      <c r="M3318" s="898"/>
      <c r="N3318" s="2768"/>
    </row>
    <row r="3319" spans="1:16" s="32" customFormat="1" ht="20.25" hidden="1" customHeight="1" x14ac:dyDescent="0.25">
      <c r="A3319" s="1"/>
      <c r="B3319" s="441"/>
      <c r="C3319" s="2474" t="s">
        <v>5513</v>
      </c>
      <c r="D3319" s="3103">
        <f>SUM(D3320:D3321)</f>
        <v>300000000</v>
      </c>
      <c r="E3319" s="2693">
        <f>D3319/D2867*100</f>
        <v>0.25613715290747685</v>
      </c>
      <c r="F3319" s="3898"/>
      <c r="G3319" s="3115"/>
      <c r="H3319" s="3257"/>
      <c r="I3319" s="3304"/>
      <c r="J3319" s="3305"/>
      <c r="K3319" s="899"/>
      <c r="L3319" s="899"/>
      <c r="M3319" s="899"/>
      <c r="N3319" s="2837"/>
      <c r="P3319" s="630"/>
    </row>
    <row r="3320" spans="1:16" ht="16.5" hidden="1" customHeight="1" x14ac:dyDescent="0.25">
      <c r="B3320" s="441"/>
      <c r="C3320" s="2473" t="s">
        <v>5514</v>
      </c>
      <c r="D3320" s="3097">
        <v>150000000</v>
      </c>
      <c r="E3320" s="2688">
        <f>D3320/D2867*100</f>
        <v>0.12806857645373843</v>
      </c>
      <c r="F3320" s="3898"/>
      <c r="G3320" s="2689"/>
      <c r="H3320" s="3301"/>
      <c r="I3320" s="3302"/>
      <c r="J3320" s="3303"/>
      <c r="K3320" s="898"/>
      <c r="L3320" s="898"/>
      <c r="M3320" s="898"/>
      <c r="N3320" s="2768"/>
    </row>
    <row r="3321" spans="1:16" ht="18" hidden="1" customHeight="1" x14ac:dyDescent="0.25">
      <c r="B3321" s="441"/>
      <c r="C3321" s="2473" t="s">
        <v>5517</v>
      </c>
      <c r="D3321" s="3097">
        <v>150000000</v>
      </c>
      <c r="E3321" s="2688">
        <f>D3321/D2867*100</f>
        <v>0.12806857645373843</v>
      </c>
      <c r="F3321" s="3898"/>
      <c r="G3321" s="2689"/>
      <c r="H3321" s="3301"/>
      <c r="I3321" s="3302"/>
      <c r="J3321" s="3303"/>
      <c r="K3321" s="898"/>
      <c r="L3321" s="898"/>
      <c r="M3321" s="898"/>
      <c r="N3321" s="2768"/>
    </row>
    <row r="3322" spans="1:16" ht="9.75" hidden="1" customHeight="1" x14ac:dyDescent="0.25">
      <c r="B3322" s="441"/>
      <c r="C3322" s="2473"/>
      <c r="D3322" s="3097"/>
      <c r="E3322" s="2688"/>
      <c r="F3322" s="3898"/>
      <c r="G3322" s="2689"/>
      <c r="H3322" s="3301"/>
      <c r="I3322" s="3302"/>
      <c r="J3322" s="3303"/>
      <c r="K3322" s="898"/>
      <c r="L3322" s="898"/>
      <c r="M3322" s="898"/>
      <c r="N3322" s="2768"/>
    </row>
    <row r="3323" spans="1:16" s="32" customFormat="1" ht="20.25" hidden="1" customHeight="1" x14ac:dyDescent="0.25">
      <c r="A3323" s="1"/>
      <c r="B3323" s="441"/>
      <c r="C3323" s="2474" t="s">
        <v>5515</v>
      </c>
      <c r="D3323" s="3103">
        <f>SUM(D3324:D3326)</f>
        <v>650000000</v>
      </c>
      <c r="E3323" s="2693">
        <f>D3323/D2867*100</f>
        <v>0.55496383129953319</v>
      </c>
      <c r="F3323" s="3898"/>
      <c r="G3323" s="3115"/>
      <c r="H3323" s="3257"/>
      <c r="I3323" s="3304"/>
      <c r="J3323" s="3305"/>
      <c r="K3323" s="899"/>
      <c r="L3323" s="899"/>
      <c r="M3323" s="899"/>
      <c r="N3323" s="2837"/>
      <c r="P3323" s="630"/>
    </row>
    <row r="3324" spans="1:16" ht="18" hidden="1" customHeight="1" x14ac:dyDescent="0.25">
      <c r="B3324" s="441"/>
      <c r="C3324" s="2473" t="s">
        <v>5516</v>
      </c>
      <c r="D3324" s="3097">
        <v>150000000</v>
      </c>
      <c r="E3324" s="2688">
        <f>D3324/D2867*100</f>
        <v>0.12806857645373843</v>
      </c>
      <c r="F3324" s="3898"/>
      <c r="G3324" s="2689"/>
      <c r="H3324" s="3301"/>
      <c r="I3324" s="3302"/>
      <c r="J3324" s="3303"/>
      <c r="K3324" s="898"/>
      <c r="L3324" s="898"/>
      <c r="M3324" s="898"/>
      <c r="N3324" s="2768"/>
    </row>
    <row r="3325" spans="1:16" ht="16.5" hidden="1" customHeight="1" x14ac:dyDescent="0.25">
      <c r="B3325" s="441"/>
      <c r="C3325" s="2473" t="s">
        <v>5519</v>
      </c>
      <c r="D3325" s="3097">
        <v>300000000</v>
      </c>
      <c r="E3325" s="2688">
        <f>D3325/D2867*100</f>
        <v>0.25613715290747685</v>
      </c>
      <c r="F3325" s="3898"/>
      <c r="G3325" s="2689"/>
      <c r="H3325" s="3301"/>
      <c r="I3325" s="3302"/>
      <c r="J3325" s="3303"/>
      <c r="K3325" s="898"/>
      <c r="L3325" s="898"/>
      <c r="M3325" s="898"/>
      <c r="N3325" s="2768"/>
    </row>
    <row r="3326" spans="1:16" ht="18" hidden="1" customHeight="1" x14ac:dyDescent="0.25">
      <c r="B3326" s="441"/>
      <c r="C3326" s="2473" t="s">
        <v>5518</v>
      </c>
      <c r="D3326" s="3097">
        <v>200000000</v>
      </c>
      <c r="E3326" s="2688">
        <f>D3326/D2867*100</f>
        <v>0.17075810193831789</v>
      </c>
      <c r="F3326" s="3898"/>
      <c r="G3326" s="2689"/>
      <c r="H3326" s="3301"/>
      <c r="I3326" s="3302"/>
      <c r="J3326" s="3303"/>
      <c r="K3326" s="898"/>
      <c r="L3326" s="898"/>
      <c r="M3326" s="898"/>
      <c r="N3326" s="2768"/>
    </row>
    <row r="3327" spans="1:16" ht="11.25" hidden="1" customHeight="1" x14ac:dyDescent="0.25">
      <c r="B3327" s="441"/>
      <c r="C3327" s="2473"/>
      <c r="D3327" s="3097"/>
      <c r="E3327" s="2688"/>
      <c r="F3327" s="3898"/>
      <c r="G3327" s="2689"/>
      <c r="H3327" s="3301"/>
      <c r="I3327" s="3302"/>
      <c r="J3327" s="3303"/>
      <c r="K3327" s="898"/>
      <c r="L3327" s="898"/>
      <c r="M3327" s="898"/>
      <c r="N3327" s="2768"/>
    </row>
    <row r="3328" spans="1:16" s="32" customFormat="1" ht="21" hidden="1" customHeight="1" x14ac:dyDescent="0.25">
      <c r="A3328" s="1"/>
      <c r="B3328" s="441"/>
      <c r="C3328" s="2474" t="s">
        <v>5520</v>
      </c>
      <c r="D3328" s="3103">
        <f>SUM(D3329:D3332)</f>
        <v>850000000</v>
      </c>
      <c r="E3328" s="2693">
        <f>D3328/D2867*100</f>
        <v>0.72572193323785106</v>
      </c>
      <c r="F3328" s="3898"/>
      <c r="G3328" s="3115"/>
      <c r="H3328" s="3257"/>
      <c r="I3328" s="3304"/>
      <c r="J3328" s="3305"/>
      <c r="K3328" s="899"/>
      <c r="L3328" s="899"/>
      <c r="M3328" s="899"/>
      <c r="N3328" s="2837"/>
      <c r="P3328" s="630"/>
    </row>
    <row r="3329" spans="1:16" ht="27.75" hidden="1" customHeight="1" x14ac:dyDescent="0.25">
      <c r="B3329" s="441"/>
      <c r="C3329" s="2473" t="s">
        <v>5521</v>
      </c>
      <c r="D3329" s="3097">
        <v>350000000</v>
      </c>
      <c r="E3329" s="2688">
        <f>D3329/D2867*100</f>
        <v>0.29882667839205634</v>
      </c>
      <c r="F3329" s="3898"/>
      <c r="G3329" s="2689"/>
      <c r="H3329" s="3301"/>
      <c r="I3329" s="3302"/>
      <c r="J3329" s="3303"/>
      <c r="K3329" s="898"/>
      <c r="L3329" s="898"/>
      <c r="M3329" s="898"/>
      <c r="N3329" s="2768"/>
    </row>
    <row r="3330" spans="1:16" ht="33" hidden="1" customHeight="1" x14ac:dyDescent="0.25">
      <c r="B3330" s="441"/>
      <c r="C3330" s="2473" t="s">
        <v>5522</v>
      </c>
      <c r="D3330" s="3097">
        <v>200000000</v>
      </c>
      <c r="E3330" s="2688">
        <f>D3330/D2867*100</f>
        <v>0.17075810193831789</v>
      </c>
      <c r="F3330" s="3898"/>
      <c r="G3330" s="2689"/>
      <c r="H3330" s="3301"/>
      <c r="I3330" s="3302"/>
      <c r="J3330" s="3303"/>
      <c r="K3330" s="898"/>
      <c r="L3330" s="898"/>
      <c r="M3330" s="898"/>
      <c r="N3330" s="2768"/>
    </row>
    <row r="3331" spans="1:16" ht="18" hidden="1" customHeight="1" x14ac:dyDescent="0.25">
      <c r="B3331" s="441"/>
      <c r="C3331" s="2473" t="s">
        <v>5523</v>
      </c>
      <c r="D3331" s="3097">
        <v>150000000</v>
      </c>
      <c r="E3331" s="2688">
        <f>D3331/D2867*100</f>
        <v>0.12806857645373843</v>
      </c>
      <c r="F3331" s="3898"/>
      <c r="G3331" s="2689"/>
      <c r="H3331" s="3301"/>
      <c r="I3331" s="3302"/>
      <c r="J3331" s="3303"/>
      <c r="K3331" s="898"/>
      <c r="L3331" s="898"/>
      <c r="M3331" s="898"/>
      <c r="N3331" s="2768"/>
    </row>
    <row r="3332" spans="1:16" ht="21" hidden="1" customHeight="1" x14ac:dyDescent="0.25">
      <c r="B3332" s="441"/>
      <c r="C3332" s="2473" t="s">
        <v>5543</v>
      </c>
      <c r="D3332" s="3097">
        <v>150000000</v>
      </c>
      <c r="E3332" s="2688">
        <f>D3332/D2867*100</f>
        <v>0.12806857645373843</v>
      </c>
      <c r="F3332" s="3898"/>
      <c r="G3332" s="2689"/>
      <c r="H3332" s="3301"/>
      <c r="I3332" s="3302"/>
      <c r="J3332" s="3303"/>
      <c r="K3332" s="898"/>
      <c r="L3332" s="898"/>
      <c r="M3332" s="898"/>
      <c r="N3332" s="2768"/>
    </row>
    <row r="3333" spans="1:16" ht="12" hidden="1" customHeight="1" x14ac:dyDescent="0.25">
      <c r="B3333" s="441"/>
      <c r="C3333" s="2473"/>
      <c r="D3333" s="3097"/>
      <c r="E3333" s="2688"/>
      <c r="F3333" s="3898"/>
      <c r="G3333" s="2689"/>
      <c r="H3333" s="3301"/>
      <c r="I3333" s="3302"/>
      <c r="J3333" s="3303"/>
      <c r="K3333" s="898"/>
      <c r="L3333" s="898"/>
      <c r="M3333" s="898"/>
      <c r="N3333" s="2768"/>
    </row>
    <row r="3334" spans="1:16" s="32" customFormat="1" ht="20.25" hidden="1" customHeight="1" x14ac:dyDescent="0.25">
      <c r="A3334" s="1"/>
      <c r="B3334" s="441"/>
      <c r="C3334" s="2474" t="s">
        <v>5524</v>
      </c>
      <c r="D3334" s="3103">
        <f>SUM(D3335:D3339)</f>
        <v>1050000000</v>
      </c>
      <c r="E3334" s="2693">
        <f>D3334/D2867*100</f>
        <v>0.89648003517616892</v>
      </c>
      <c r="F3334" s="3898"/>
      <c r="G3334" s="3115"/>
      <c r="H3334" s="3257"/>
      <c r="I3334" s="3304"/>
      <c r="J3334" s="3305"/>
      <c r="K3334" s="899"/>
      <c r="L3334" s="899"/>
      <c r="M3334" s="899"/>
      <c r="N3334" s="2837"/>
      <c r="P3334" s="630"/>
    </row>
    <row r="3335" spans="1:16" ht="18" hidden="1" customHeight="1" x14ac:dyDescent="0.25">
      <c r="B3335" s="441"/>
      <c r="C3335" s="2473" t="s">
        <v>5525</v>
      </c>
      <c r="D3335" s="3097">
        <v>250000000</v>
      </c>
      <c r="E3335" s="2688">
        <f>D3335/D2867*100</f>
        <v>0.21344762742289738</v>
      </c>
      <c r="F3335" s="3898"/>
      <c r="G3335" s="2689"/>
      <c r="H3335" s="3301"/>
      <c r="I3335" s="3302"/>
      <c r="J3335" s="3303"/>
      <c r="K3335" s="898"/>
      <c r="L3335" s="898"/>
      <c r="M3335" s="898"/>
      <c r="N3335" s="2768"/>
    </row>
    <row r="3336" spans="1:16" ht="16.5" hidden="1" customHeight="1" x14ac:dyDescent="0.25">
      <c r="B3336" s="441"/>
      <c r="C3336" s="2473" t="s">
        <v>5527</v>
      </c>
      <c r="D3336" s="3097">
        <v>300000000</v>
      </c>
      <c r="E3336" s="2688">
        <f>D3336/D2867*100</f>
        <v>0.25613715290747685</v>
      </c>
      <c r="F3336" s="3898"/>
      <c r="G3336" s="2689"/>
      <c r="H3336" s="3301"/>
      <c r="I3336" s="3302"/>
      <c r="J3336" s="3303"/>
      <c r="K3336" s="898"/>
      <c r="L3336" s="898"/>
      <c r="M3336" s="898"/>
      <c r="N3336" s="2768"/>
    </row>
    <row r="3337" spans="1:16" ht="18" hidden="1" customHeight="1" x14ac:dyDescent="0.25">
      <c r="B3337" s="441"/>
      <c r="C3337" s="2473" t="s">
        <v>5526</v>
      </c>
      <c r="D3337" s="3097">
        <v>200000000</v>
      </c>
      <c r="E3337" s="2688">
        <f>D3337/D2867*100</f>
        <v>0.17075810193831789</v>
      </c>
      <c r="F3337" s="3898"/>
      <c r="G3337" s="2689"/>
      <c r="H3337" s="3301"/>
      <c r="I3337" s="3302"/>
      <c r="J3337" s="3303"/>
      <c r="K3337" s="898"/>
      <c r="L3337" s="898"/>
      <c r="M3337" s="898"/>
      <c r="N3337" s="2768"/>
    </row>
    <row r="3338" spans="1:16" ht="18" hidden="1" customHeight="1" x14ac:dyDescent="0.25">
      <c r="B3338" s="441"/>
      <c r="C3338" s="2473" t="s">
        <v>5528</v>
      </c>
      <c r="D3338" s="3097">
        <v>100000000</v>
      </c>
      <c r="E3338" s="2688">
        <f>D3338/D2867*100</f>
        <v>8.5379050969158946E-2</v>
      </c>
      <c r="F3338" s="3898"/>
      <c r="G3338" s="2689"/>
      <c r="H3338" s="3301"/>
      <c r="I3338" s="3302"/>
      <c r="J3338" s="3303"/>
      <c r="K3338" s="898"/>
      <c r="L3338" s="898"/>
      <c r="M3338" s="898"/>
      <c r="N3338" s="2768"/>
    </row>
    <row r="3339" spans="1:16" ht="21" hidden="1" customHeight="1" x14ac:dyDescent="0.25">
      <c r="B3339" s="441"/>
      <c r="C3339" s="2473" t="s">
        <v>5529</v>
      </c>
      <c r="D3339" s="3097">
        <v>200000000</v>
      </c>
      <c r="E3339" s="2688">
        <f>D3339/D2867*100</f>
        <v>0.17075810193831789</v>
      </c>
      <c r="F3339" s="3898"/>
      <c r="G3339" s="2689"/>
      <c r="H3339" s="3301"/>
      <c r="I3339" s="3302"/>
      <c r="J3339" s="3303"/>
      <c r="K3339" s="898"/>
      <c r="L3339" s="898"/>
      <c r="M3339" s="898"/>
      <c r="N3339" s="2768"/>
    </row>
    <row r="3340" spans="1:16" ht="9.75" hidden="1" customHeight="1" x14ac:dyDescent="0.25">
      <c r="B3340" s="441"/>
      <c r="C3340" s="2473"/>
      <c r="D3340" s="3097"/>
      <c r="E3340" s="2688"/>
      <c r="F3340" s="3898"/>
      <c r="G3340" s="2689"/>
      <c r="H3340" s="3301"/>
      <c r="I3340" s="3302"/>
      <c r="J3340" s="3303"/>
      <c r="K3340" s="898"/>
      <c r="L3340" s="898"/>
      <c r="M3340" s="898"/>
      <c r="N3340" s="2768"/>
    </row>
    <row r="3341" spans="1:16" s="32" customFormat="1" ht="21" hidden="1" customHeight="1" x14ac:dyDescent="0.25">
      <c r="A3341" s="1"/>
      <c r="B3341" s="441"/>
      <c r="C3341" s="2474" t="s">
        <v>5530</v>
      </c>
      <c r="D3341" s="3103">
        <f>SUM(D3342:D3345)</f>
        <v>550000000</v>
      </c>
      <c r="E3341" s="2693">
        <f>D3341/D2867*100</f>
        <v>0.46958478033037426</v>
      </c>
      <c r="F3341" s="3898"/>
      <c r="G3341" s="3115"/>
      <c r="H3341" s="3257"/>
      <c r="I3341" s="3304"/>
      <c r="J3341" s="3305"/>
      <c r="K3341" s="899"/>
      <c r="L3341" s="899"/>
      <c r="M3341" s="899"/>
      <c r="N3341" s="2837"/>
      <c r="P3341" s="630"/>
    </row>
    <row r="3342" spans="1:16" ht="30" hidden="1" customHeight="1" x14ac:dyDescent="0.25">
      <c r="B3342" s="441"/>
      <c r="C3342" s="2473" t="s">
        <v>5531</v>
      </c>
      <c r="D3342" s="3097">
        <v>200000000</v>
      </c>
      <c r="E3342" s="2688">
        <f>D3342/D2867*100</f>
        <v>0.17075810193831789</v>
      </c>
      <c r="F3342" s="3898"/>
      <c r="G3342" s="2689"/>
      <c r="H3342" s="3301"/>
      <c r="I3342" s="3302"/>
      <c r="J3342" s="3303"/>
      <c r="K3342" s="898"/>
      <c r="L3342" s="898"/>
      <c r="M3342" s="898"/>
      <c r="N3342" s="2768"/>
    </row>
    <row r="3343" spans="1:16" ht="30" hidden="1" customHeight="1" x14ac:dyDescent="0.25">
      <c r="B3343" s="441"/>
      <c r="C3343" s="2473" t="s">
        <v>5532</v>
      </c>
      <c r="D3343" s="3097">
        <v>100000000</v>
      </c>
      <c r="E3343" s="2688">
        <f>D3343/D2867*100</f>
        <v>8.5379050969158946E-2</v>
      </c>
      <c r="F3343" s="3898"/>
      <c r="G3343" s="2689"/>
      <c r="H3343" s="3301"/>
      <c r="I3343" s="3302"/>
      <c r="J3343" s="3303"/>
      <c r="K3343" s="898"/>
      <c r="L3343" s="898"/>
      <c r="M3343" s="898"/>
      <c r="N3343" s="2768"/>
    </row>
    <row r="3344" spans="1:16" ht="17.25" hidden="1" customHeight="1" x14ac:dyDescent="0.25">
      <c r="B3344" s="441"/>
      <c r="C3344" s="2473" t="s">
        <v>5533</v>
      </c>
      <c r="D3344" s="3097">
        <v>150000000</v>
      </c>
      <c r="E3344" s="2688">
        <f>D3344/D2867*100</f>
        <v>0.12806857645373843</v>
      </c>
      <c r="F3344" s="3898"/>
      <c r="G3344" s="2689"/>
      <c r="H3344" s="3301"/>
      <c r="I3344" s="3302"/>
      <c r="J3344" s="3303"/>
      <c r="K3344" s="898"/>
      <c r="L3344" s="898"/>
      <c r="M3344" s="898"/>
      <c r="N3344" s="2768"/>
    </row>
    <row r="3345" spans="1:16" ht="15.75" hidden="1" customHeight="1" x14ac:dyDescent="0.25">
      <c r="B3345" s="441"/>
      <c r="C3345" s="2473" t="s">
        <v>5534</v>
      </c>
      <c r="D3345" s="3097">
        <v>100000000</v>
      </c>
      <c r="E3345" s="2688">
        <f>D3345/D2867*100</f>
        <v>8.5379050969158946E-2</v>
      </c>
      <c r="F3345" s="3898"/>
      <c r="G3345" s="2689"/>
      <c r="H3345" s="3301"/>
      <c r="I3345" s="3302"/>
      <c r="J3345" s="3303"/>
      <c r="K3345" s="898"/>
      <c r="L3345" s="898"/>
      <c r="M3345" s="898"/>
      <c r="N3345" s="2768"/>
    </row>
    <row r="3346" spans="1:16" ht="15.75" hidden="1" customHeight="1" x14ac:dyDescent="0.25">
      <c r="B3346" s="441"/>
      <c r="C3346" s="2476"/>
      <c r="D3346" s="3104"/>
      <c r="E3346" s="2707"/>
      <c r="F3346" s="3873"/>
      <c r="G3346" s="3288"/>
      <c r="H3346" s="3289"/>
      <c r="I3346" s="3290"/>
      <c r="J3346" s="3291"/>
      <c r="K3346" s="911"/>
      <c r="L3346" s="911"/>
      <c r="M3346" s="911"/>
      <c r="N3346" s="2768"/>
    </row>
    <row r="3347" spans="1:16" s="32" customFormat="1" ht="18.75" hidden="1" customHeight="1" x14ac:dyDescent="0.25">
      <c r="A3347" s="1"/>
      <c r="B3347" s="440"/>
      <c r="C3347" s="2471" t="s">
        <v>5535</v>
      </c>
      <c r="D3347" s="3252">
        <f>D3348</f>
        <v>1500000000</v>
      </c>
      <c r="E3347" s="2717">
        <f>D3347/D2867*100</f>
        <v>1.2806857645373841</v>
      </c>
      <c r="F3347" s="3897"/>
      <c r="G3347" s="3293"/>
      <c r="H3347" s="3254"/>
      <c r="I3347" s="3294"/>
      <c r="J3347" s="3295"/>
      <c r="K3347" s="2744"/>
      <c r="L3347" s="2744"/>
      <c r="M3347" s="2744"/>
      <c r="N3347" s="2837"/>
      <c r="P3347" s="630"/>
    </row>
    <row r="3348" spans="1:16" s="32" customFormat="1" ht="32.25" hidden="1" customHeight="1" x14ac:dyDescent="0.25">
      <c r="A3348" s="1"/>
      <c r="B3348" s="441"/>
      <c r="C3348" s="2472" t="s">
        <v>5536</v>
      </c>
      <c r="D3348" s="3280">
        <f>D3349</f>
        <v>1500000000</v>
      </c>
      <c r="E3348" s="2693">
        <f>D3348/D2867*100</f>
        <v>1.2806857645373841</v>
      </c>
      <c r="F3348" s="3899"/>
      <c r="G3348" s="3310"/>
      <c r="H3348" s="3281"/>
      <c r="I3348" s="3311"/>
      <c r="J3348" s="3312"/>
      <c r="K3348" s="2759"/>
      <c r="L3348" s="2759"/>
      <c r="M3348" s="2759"/>
      <c r="N3348" s="2837"/>
      <c r="P3348" s="630"/>
    </row>
    <row r="3349" spans="1:16" ht="28.5" hidden="1" customHeight="1" x14ac:dyDescent="0.25">
      <c r="B3349" s="441"/>
      <c r="C3349" s="2473" t="s">
        <v>5537</v>
      </c>
      <c r="D3349" s="3097">
        <v>1500000000</v>
      </c>
      <c r="E3349" s="2688">
        <f>D3349/D2867*100</f>
        <v>1.2806857645373841</v>
      </c>
      <c r="F3349" s="3898"/>
      <c r="G3349" s="2689"/>
      <c r="H3349" s="3301"/>
      <c r="I3349" s="3302"/>
      <c r="J3349" s="3303"/>
      <c r="K3349" s="898"/>
      <c r="L3349" s="898"/>
      <c r="M3349" s="898"/>
      <c r="N3349" s="2768"/>
    </row>
    <row r="3350" spans="1:16" ht="12" hidden="1" customHeight="1" x14ac:dyDescent="0.25">
      <c r="B3350" s="441"/>
      <c r="C3350" s="2475"/>
      <c r="D3350" s="3296"/>
      <c r="E3350" s="2758"/>
      <c r="F3350" s="3900"/>
      <c r="G3350" s="3316"/>
      <c r="H3350" s="3317"/>
      <c r="I3350" s="3318"/>
      <c r="J3350" s="3319"/>
      <c r="K3350" s="2755"/>
      <c r="L3350" s="2755"/>
      <c r="M3350" s="2755"/>
      <c r="N3350" s="2877"/>
    </row>
    <row r="3351" spans="1:16" ht="17.25" hidden="1" customHeight="1" x14ac:dyDescent="0.25">
      <c r="B3351" s="440"/>
      <c r="C3351" s="2579" t="s">
        <v>5538</v>
      </c>
      <c r="D3351" s="3252">
        <f>D3353</f>
        <v>20994750000</v>
      </c>
      <c r="E3351" s="2717">
        <f>D3351/D2867*100</f>
        <v>17.925118303347499</v>
      </c>
      <c r="F3351" s="3897"/>
      <c r="G3351" s="3292"/>
      <c r="H3351" s="3254"/>
      <c r="I3351" s="3294"/>
      <c r="J3351" s="3320"/>
      <c r="K3351" s="3320"/>
      <c r="L3351" s="3256"/>
      <c r="M3351" s="2744"/>
      <c r="N3351" s="2768"/>
    </row>
    <row r="3352" spans="1:16" ht="9.75" hidden="1" customHeight="1" x14ac:dyDescent="0.25">
      <c r="B3352" s="441"/>
      <c r="C3352" s="2580"/>
      <c r="D3352" s="3103"/>
      <c r="E3352" s="2693"/>
      <c r="F3352" s="3898"/>
      <c r="G3352" s="3284"/>
      <c r="H3352" s="3257"/>
      <c r="I3352" s="3304"/>
      <c r="J3352" s="3286"/>
      <c r="K3352" s="3286"/>
      <c r="L3352" s="3247"/>
      <c r="M3352" s="899"/>
      <c r="N3352" s="2768"/>
    </row>
    <row r="3353" spans="1:16" ht="18" hidden="1" customHeight="1" x14ac:dyDescent="0.25">
      <c r="B3353" s="441"/>
      <c r="C3353" s="2596" t="s">
        <v>5540</v>
      </c>
      <c r="D3353" s="3296">
        <f>SUM(D3354+D3356+D3359)</f>
        <v>20994750000</v>
      </c>
      <c r="E3353" s="2764">
        <f>D3353/D2867*100</f>
        <v>17.925118303347499</v>
      </c>
      <c r="F3353" s="3900"/>
      <c r="G3353" s="3321"/>
      <c r="H3353" s="3281"/>
      <c r="I3353" s="3282"/>
      <c r="J3353" s="3322"/>
      <c r="K3353" s="3322"/>
      <c r="L3353" s="2732"/>
      <c r="M3353" s="2759"/>
      <c r="N3353" s="2768"/>
    </row>
    <row r="3354" spans="1:16" ht="18.75" hidden="1" customHeight="1" x14ac:dyDescent="0.25">
      <c r="B3354" s="441"/>
      <c r="C3354" s="2594" t="s">
        <v>5539</v>
      </c>
      <c r="D3354" s="3109">
        <v>230000000</v>
      </c>
      <c r="E3354" s="2764">
        <f>D3354/D2867*100</f>
        <v>0.19637181722906558</v>
      </c>
      <c r="F3354" s="4465"/>
      <c r="G3354" s="2855"/>
      <c r="H3354" s="2855"/>
      <c r="I3354" s="2855"/>
      <c r="J3354" s="3323"/>
      <c r="K3354" s="3323"/>
      <c r="L3354" s="3243"/>
      <c r="M3354" s="896"/>
      <c r="N3354" s="2768"/>
    </row>
    <row r="3355" spans="1:16" ht="9.75" hidden="1" customHeight="1" x14ac:dyDescent="0.25">
      <c r="B3355" s="441"/>
      <c r="C3355" s="2597"/>
      <c r="D3355" s="3104"/>
      <c r="E3355" s="2758"/>
      <c r="F3355" s="4465"/>
      <c r="G3355" s="3182"/>
      <c r="H3355" s="3182"/>
      <c r="I3355" s="3182"/>
      <c r="J3355" s="3323"/>
      <c r="K3355" s="3161"/>
      <c r="L3355" s="3243"/>
      <c r="M3355" s="3276"/>
      <c r="N3355" s="2768"/>
    </row>
    <row r="3356" spans="1:16" s="32" customFormat="1" ht="15.75" hidden="1" customHeight="1" x14ac:dyDescent="0.25">
      <c r="A3356" s="1"/>
      <c r="B3356" s="441"/>
      <c r="C3356" s="2580" t="s">
        <v>5541</v>
      </c>
      <c r="D3356" s="3103">
        <f>D3357</f>
        <v>1436330000</v>
      </c>
      <c r="E3356" s="2693">
        <f>D3356/D2867*100</f>
        <v>1.2263249227853208</v>
      </c>
      <c r="F3356" s="3898"/>
      <c r="G3356" s="3166"/>
      <c r="H3356" s="3166"/>
      <c r="I3356" s="3166"/>
      <c r="J3356" s="3283"/>
      <c r="K3356" s="3167"/>
      <c r="L3356" s="3266"/>
      <c r="M3356" s="3324"/>
      <c r="N3356" s="2837"/>
      <c r="P3356" s="630"/>
    </row>
    <row r="3357" spans="1:16" ht="17.25" hidden="1" customHeight="1" x14ac:dyDescent="0.25">
      <c r="B3357" s="441"/>
      <c r="C3357" s="2590" t="s">
        <v>5548</v>
      </c>
      <c r="D3357" s="3097">
        <f>1500000000-63669631-369</f>
        <v>1436330000</v>
      </c>
      <c r="E3357" s="2758">
        <f>D3357/D2867*100</f>
        <v>1.2263249227853208</v>
      </c>
      <c r="F3357" s="4462"/>
      <c r="G3357" s="3162"/>
      <c r="H3357" s="3162"/>
      <c r="I3357" s="3162"/>
      <c r="J3357" s="3323"/>
      <c r="K3357" s="3174"/>
      <c r="L3357" s="3248"/>
      <c r="M3357" s="3325"/>
      <c r="N3357" s="2768"/>
    </row>
    <row r="3358" spans="1:16" ht="9" hidden="1" customHeight="1" x14ac:dyDescent="0.25">
      <c r="B3358" s="441"/>
      <c r="C3358" s="2580"/>
      <c r="D3358" s="3103"/>
      <c r="E3358" s="2693"/>
      <c r="F3358" s="4462"/>
      <c r="G3358" s="3162"/>
      <c r="H3358" s="3162"/>
      <c r="I3358" s="3162"/>
      <c r="J3358" s="3323"/>
      <c r="K3358" s="3174"/>
      <c r="L3358" s="3248"/>
      <c r="M3358" s="3325"/>
      <c r="N3358" s="2768"/>
    </row>
    <row r="3359" spans="1:16" s="32" customFormat="1" ht="21.75" hidden="1" customHeight="1" x14ac:dyDescent="0.25">
      <c r="A3359" s="1"/>
      <c r="B3359" s="441"/>
      <c r="C3359" s="2580" t="s">
        <v>5542</v>
      </c>
      <c r="D3359" s="3103">
        <v>19328420000</v>
      </c>
      <c r="E3359" s="2693">
        <f>D3359/D2867*100</f>
        <v>16.502421563333115</v>
      </c>
      <c r="F3359" s="3898"/>
      <c r="G3359" s="3166"/>
      <c r="H3359" s="3166"/>
      <c r="I3359" s="3166"/>
      <c r="J3359" s="3283"/>
      <c r="K3359" s="3167"/>
      <c r="L3359" s="3266"/>
      <c r="M3359" s="3324"/>
      <c r="N3359" s="2837"/>
      <c r="P3359" s="630"/>
    </row>
    <row r="3360" spans="1:16" ht="14.25" hidden="1" customHeight="1" thickBot="1" x14ac:dyDescent="0.3">
      <c r="B3360" s="441"/>
      <c r="C3360" s="2607"/>
      <c r="D3360" s="2755"/>
      <c r="E3360" s="3341"/>
      <c r="F3360" s="3860"/>
      <c r="G3360" s="2991"/>
      <c r="H3360" s="2752"/>
      <c r="I3360" s="2755"/>
      <c r="J3360" s="2755"/>
      <c r="K3360" s="2755"/>
      <c r="L3360" s="2755"/>
      <c r="M3360" s="2755"/>
      <c r="N3360" s="2768"/>
    </row>
    <row r="3361" spans="1:16" ht="15.75" hidden="1" customHeight="1" thickBot="1" x14ac:dyDescent="0.3">
      <c r="B3361" s="3075"/>
      <c r="C3361" s="2598" t="s">
        <v>2231</v>
      </c>
      <c r="D3361" s="3156">
        <f>(D3363+D3416+D3482+D3493+D3517+D3539+D3543+D3557+D3565+D3583+D3594+D3598+D3607+D3618+D3622+D3643+D3651+D3659+D3663+D3676)</f>
        <v>114128848000</v>
      </c>
      <c r="E3361" s="3326">
        <f>D3361/2512247400000*100</f>
        <v>4.5428984422473677</v>
      </c>
      <c r="F3361" s="4406"/>
      <c r="G3361" s="3327"/>
      <c r="H3361" s="3390"/>
      <c r="I3361" s="3156"/>
      <c r="J3361" s="3330"/>
      <c r="K3361" s="3330"/>
      <c r="L3361" s="3391"/>
      <c r="M3361" s="3392"/>
      <c r="N3361" s="2768"/>
      <c r="P3361" s="657"/>
    </row>
    <row r="3362" spans="1:16" ht="6.75" hidden="1" customHeight="1" x14ac:dyDescent="0.25">
      <c r="B3362" s="441"/>
      <c r="C3362" s="2521"/>
      <c r="D3362" s="2755"/>
      <c r="E3362" s="3341"/>
      <c r="F3362" s="3860"/>
      <c r="G3362" s="3343"/>
      <c r="H3362" s="3084"/>
      <c r="I3362" s="2751"/>
      <c r="J3362" s="3385"/>
      <c r="K3362" s="3343"/>
      <c r="L3362" s="3343"/>
      <c r="M3362" s="2751"/>
      <c r="N3362" s="2768"/>
    </row>
    <row r="3363" spans="1:16" ht="16.5" hidden="1" customHeight="1" x14ac:dyDescent="0.25">
      <c r="B3363" s="440"/>
      <c r="C3363" s="2532" t="s">
        <v>3314</v>
      </c>
      <c r="D3363" s="2744">
        <f>D3364+D3368+D3390+D3400+D3406</f>
        <v>28210305000</v>
      </c>
      <c r="E3363" s="2717">
        <f>D3363/D3361*100</f>
        <v>24.717944230892439</v>
      </c>
      <c r="F3363" s="3850"/>
      <c r="G3363" s="2909"/>
      <c r="H3363" s="3254"/>
      <c r="I3363" s="2987"/>
      <c r="J3363" s="2910"/>
      <c r="K3363" s="2910"/>
      <c r="L3363" s="3254"/>
      <c r="M3363" s="2987"/>
      <c r="N3363" s="2768"/>
      <c r="P3363" s="44"/>
    </row>
    <row r="3364" spans="1:16" ht="15.75" hidden="1" customHeight="1" x14ac:dyDescent="0.25">
      <c r="A3364"/>
      <c r="B3364" s="460"/>
      <c r="C3364" s="2608" t="s">
        <v>243</v>
      </c>
      <c r="D3364" s="2692">
        <f>SUM(D3365:D3366)</f>
        <v>500000000</v>
      </c>
      <c r="E3364" s="2693">
        <f>D3364/D3361*100</f>
        <v>0.43810132912232674</v>
      </c>
      <c r="F3364" s="3853"/>
      <c r="G3364" s="3394"/>
      <c r="H3364" s="3257"/>
      <c r="I3364" s="3163"/>
      <c r="J3364" s="3395"/>
      <c r="K3364" s="3396"/>
      <c r="L3364" s="3259"/>
      <c r="M3364" s="3259"/>
      <c r="N3364" s="2768"/>
    </row>
    <row r="3365" spans="1:16" ht="14.25" hidden="1" customHeight="1" x14ac:dyDescent="0.25">
      <c r="A3365"/>
      <c r="B3365" s="441"/>
      <c r="C3365" s="2473" t="s">
        <v>5558</v>
      </c>
      <c r="D3365" s="3397">
        <v>300000000</v>
      </c>
      <c r="E3365" s="2688">
        <f>D3365/D3361*100</f>
        <v>0.26286079747339602</v>
      </c>
      <c r="F3365" s="3868"/>
      <c r="G3365" s="3161"/>
      <c r="H3365" s="3275"/>
      <c r="I3365" s="3161"/>
      <c r="J3365" s="3398"/>
      <c r="K3365" s="3399"/>
      <c r="L3365" s="3276"/>
      <c r="M3365" s="3276"/>
      <c r="N3365" s="2768"/>
    </row>
    <row r="3366" spans="1:16" ht="15.75" hidden="1" customHeight="1" x14ac:dyDescent="0.25">
      <c r="A3366"/>
      <c r="B3366" s="441"/>
      <c r="C3366" s="2473" t="s">
        <v>5559</v>
      </c>
      <c r="D3366" s="3397">
        <v>200000000</v>
      </c>
      <c r="E3366" s="2688">
        <f>D3366/D3361*100</f>
        <v>0.17524053164893069</v>
      </c>
      <c r="F3366" s="3868"/>
      <c r="G3366" s="3161"/>
      <c r="H3366" s="3275"/>
      <c r="I3366" s="3161"/>
      <c r="J3366" s="3398"/>
      <c r="K3366" s="3399"/>
      <c r="L3366" s="3276"/>
      <c r="M3366" s="3276"/>
      <c r="N3366" s="2768"/>
    </row>
    <row r="3367" spans="1:16" ht="9.75" hidden="1" customHeight="1" x14ac:dyDescent="0.25">
      <c r="A3367"/>
      <c r="B3367" s="441"/>
      <c r="C3367" s="2473"/>
      <c r="D3367" s="896"/>
      <c r="E3367" s="3341"/>
      <c r="F3367" s="4446"/>
      <c r="G3367" s="3400"/>
      <c r="H3367" s="3401"/>
      <c r="I3367" s="3402"/>
      <c r="J3367" s="3398"/>
      <c r="K3367" s="3400"/>
      <c r="L3367" s="3259"/>
      <c r="M3367" s="3402"/>
      <c r="N3367" s="2768"/>
    </row>
    <row r="3368" spans="1:16" ht="15.75" hidden="1" customHeight="1" x14ac:dyDescent="0.25">
      <c r="A3368"/>
      <c r="B3368" s="439"/>
      <c r="C3368" s="2609" t="s">
        <v>1247</v>
      </c>
      <c r="D3368" s="2692">
        <f>SUM(D3369:D3388)</f>
        <v>20484826000</v>
      </c>
      <c r="E3368" s="2693">
        <f>D3368/D3361*100</f>
        <v>17.948858994879192</v>
      </c>
      <c r="F3368" s="3853"/>
      <c r="G3368" s="3394"/>
      <c r="H3368" s="3257"/>
      <c r="I3368" s="3403"/>
      <c r="J3368" s="3395"/>
      <c r="K3368" s="3395"/>
      <c r="L3368" s="3259"/>
      <c r="M3368" s="3403"/>
      <c r="N3368" s="2768"/>
    </row>
    <row r="3369" spans="1:16" ht="12.75" hidden="1" customHeight="1" x14ac:dyDescent="0.25">
      <c r="A3369"/>
      <c r="B3369" s="441"/>
      <c r="C3369" s="2473" t="s">
        <v>5560</v>
      </c>
      <c r="D3369" s="3397">
        <v>612605000</v>
      </c>
      <c r="E3369" s="2688">
        <f>D3369/D3361*100</f>
        <v>0.53676612945396596</v>
      </c>
      <c r="F3369" s="3868"/>
      <c r="G3369" s="3400"/>
      <c r="H3369" s="3275"/>
      <c r="I3369" s="3404"/>
      <c r="J3369" s="3398"/>
      <c r="K3369" s="3405"/>
      <c r="L3369" s="3276"/>
      <c r="M3369" s="3404"/>
      <c r="N3369" s="2768"/>
    </row>
    <row r="3370" spans="1:16" ht="15.75" hidden="1" customHeight="1" x14ac:dyDescent="0.25">
      <c r="A3370"/>
      <c r="B3370" s="441"/>
      <c r="C3370" s="2473" t="s">
        <v>5561</v>
      </c>
      <c r="D3370" s="3397">
        <v>1800000000</v>
      </c>
      <c r="E3370" s="2688">
        <f>D3370/D3361*100</f>
        <v>1.5771647848403765</v>
      </c>
      <c r="F3370" s="3868"/>
      <c r="G3370" s="3400"/>
      <c r="H3370" s="3275"/>
      <c r="I3370" s="3404"/>
      <c r="J3370" s="3398"/>
      <c r="K3370" s="3405"/>
      <c r="L3370" s="3276"/>
      <c r="M3370" s="3404"/>
      <c r="N3370" s="2768"/>
    </row>
    <row r="3371" spans="1:16" ht="15.75" hidden="1" customHeight="1" x14ac:dyDescent="0.25">
      <c r="A3371"/>
      <c r="B3371" s="441"/>
      <c r="C3371" s="2473" t="s">
        <v>5562</v>
      </c>
      <c r="D3371" s="3397">
        <v>700000000</v>
      </c>
      <c r="E3371" s="2688">
        <f>D3371/D3361*100</f>
        <v>0.61334186077125741</v>
      </c>
      <c r="F3371" s="3868"/>
      <c r="G3371" s="3400"/>
      <c r="H3371" s="3275"/>
      <c r="I3371" s="3404"/>
      <c r="J3371" s="3398"/>
      <c r="K3371" s="3405"/>
      <c r="L3371" s="3276"/>
      <c r="M3371" s="3404"/>
      <c r="N3371" s="2768"/>
    </row>
    <row r="3372" spans="1:16" ht="14.25" hidden="1" customHeight="1" x14ac:dyDescent="0.25">
      <c r="A3372"/>
      <c r="B3372" s="441"/>
      <c r="C3372" s="2473" t="s">
        <v>5563</v>
      </c>
      <c r="D3372" s="896">
        <v>200000000</v>
      </c>
      <c r="E3372" s="2688">
        <f>D3372/D3361*100</f>
        <v>0.17524053164893069</v>
      </c>
      <c r="F3372" s="3868"/>
      <c r="G3372" s="3161"/>
      <c r="H3372" s="3275"/>
      <c r="I3372" s="3404"/>
      <c r="J3372" s="3398"/>
      <c r="K3372" s="3405"/>
      <c r="L3372" s="3276"/>
      <c r="M3372" s="3404"/>
      <c r="N3372" s="2768"/>
    </row>
    <row r="3373" spans="1:16" ht="15.75" hidden="1" customHeight="1" x14ac:dyDescent="0.25">
      <c r="A3373"/>
      <c r="B3373" s="441"/>
      <c r="C3373" s="2473" t="s">
        <v>5564</v>
      </c>
      <c r="D3373" s="896">
        <v>300000000</v>
      </c>
      <c r="E3373" s="2688">
        <f>D3373/D3361*100</f>
        <v>0.26286079747339602</v>
      </c>
      <c r="F3373" s="3868"/>
      <c r="G3373" s="3161"/>
      <c r="H3373" s="3275"/>
      <c r="I3373" s="3404"/>
      <c r="J3373" s="3398"/>
      <c r="K3373" s="3405"/>
      <c r="L3373" s="3276"/>
      <c r="M3373" s="3161"/>
      <c r="N3373" s="2768"/>
    </row>
    <row r="3374" spans="1:16" ht="14.25" hidden="1" customHeight="1" x14ac:dyDescent="0.25">
      <c r="A3374"/>
      <c r="B3374" s="441"/>
      <c r="C3374" s="2473" t="s">
        <v>5565</v>
      </c>
      <c r="D3374" s="896">
        <v>200000000</v>
      </c>
      <c r="E3374" s="2688">
        <f>D3374/D3361*100</f>
        <v>0.17524053164893069</v>
      </c>
      <c r="F3374" s="3868"/>
      <c r="G3374" s="3161"/>
      <c r="H3374" s="3275"/>
      <c r="I3374" s="3404"/>
      <c r="J3374" s="3398"/>
      <c r="K3374" s="3405"/>
      <c r="L3374" s="3276"/>
      <c r="M3374" s="3404"/>
      <c r="N3374" s="2768"/>
    </row>
    <row r="3375" spans="1:16" ht="15.75" hidden="1" customHeight="1" x14ac:dyDescent="0.25">
      <c r="A3375"/>
      <c r="B3375" s="441"/>
      <c r="C3375" s="2473" t="s">
        <v>5566</v>
      </c>
      <c r="D3375" s="896">
        <v>100000000</v>
      </c>
      <c r="E3375" s="2688">
        <f>D3375/D3361*100</f>
        <v>8.7620265824465346E-2</v>
      </c>
      <c r="F3375" s="3868"/>
      <c r="G3375" s="3161"/>
      <c r="H3375" s="3275"/>
      <c r="I3375" s="3404"/>
      <c r="J3375" s="3398"/>
      <c r="K3375" s="3405"/>
      <c r="L3375" s="3276"/>
      <c r="M3375" s="3161"/>
      <c r="N3375" s="2768"/>
    </row>
    <row r="3376" spans="1:16" ht="14.25" hidden="1" customHeight="1" x14ac:dyDescent="0.25">
      <c r="A3376"/>
      <c r="B3376" s="441"/>
      <c r="C3376" s="2473" t="s">
        <v>5567</v>
      </c>
      <c r="D3376" s="896">
        <v>100000000</v>
      </c>
      <c r="E3376" s="2688">
        <f>D3376/D3361*100</f>
        <v>8.7620265824465346E-2</v>
      </c>
      <c r="F3376" s="3868"/>
      <c r="G3376" s="3161"/>
      <c r="H3376" s="3275"/>
      <c r="I3376" s="3404"/>
      <c r="J3376" s="3398"/>
      <c r="K3376" s="3405"/>
      <c r="L3376" s="3276"/>
      <c r="M3376" s="3404"/>
      <c r="N3376" s="2768"/>
    </row>
    <row r="3377" spans="1:14" ht="14.25" hidden="1" customHeight="1" x14ac:dyDescent="0.25">
      <c r="A3377"/>
      <c r="B3377" s="441"/>
      <c r="C3377" s="2473" t="s">
        <v>5568</v>
      </c>
      <c r="D3377" s="896">
        <v>150000000</v>
      </c>
      <c r="E3377" s="2688">
        <f>D3377/D3361*100</f>
        <v>0.13143039873669801</v>
      </c>
      <c r="F3377" s="3868"/>
      <c r="G3377" s="3400"/>
      <c r="H3377" s="3275"/>
      <c r="I3377" s="3404"/>
      <c r="J3377" s="3398"/>
      <c r="K3377" s="3405"/>
      <c r="L3377" s="3276"/>
      <c r="M3377" s="3404"/>
      <c r="N3377" s="2768"/>
    </row>
    <row r="3378" spans="1:14" ht="14.25" hidden="1" customHeight="1" x14ac:dyDescent="0.25">
      <c r="A3378"/>
      <c r="B3378" s="441"/>
      <c r="C3378" s="2473" t="s">
        <v>5570</v>
      </c>
      <c r="D3378" s="896">
        <v>2500000000</v>
      </c>
      <c r="E3378" s="2688">
        <f>D3378/D3361*100</f>
        <v>2.1905066456116336</v>
      </c>
      <c r="F3378" s="3868"/>
      <c r="G3378" s="3161"/>
      <c r="H3378" s="3275"/>
      <c r="I3378" s="3404"/>
      <c r="J3378" s="3398"/>
      <c r="K3378" s="3405"/>
      <c r="L3378" s="3276"/>
      <c r="M3378" s="3161"/>
      <c r="N3378" s="2768"/>
    </row>
    <row r="3379" spans="1:14" ht="14.25" hidden="1" customHeight="1" x14ac:dyDescent="0.25">
      <c r="A3379"/>
      <c r="B3379" s="441"/>
      <c r="C3379" s="2473" t="s">
        <v>5571</v>
      </c>
      <c r="D3379" s="896">
        <v>1900000000</v>
      </c>
      <c r="E3379" s="2688">
        <f>D3379/D3361*100</f>
        <v>1.6647850506648416</v>
      </c>
      <c r="F3379" s="3868"/>
      <c r="G3379" s="3400"/>
      <c r="H3379" s="3275"/>
      <c r="I3379" s="3404"/>
      <c r="J3379" s="3398"/>
      <c r="K3379" s="3405"/>
      <c r="L3379" s="3276"/>
      <c r="M3379" s="3404"/>
      <c r="N3379" s="2768"/>
    </row>
    <row r="3380" spans="1:14" ht="15" hidden="1" customHeight="1" x14ac:dyDescent="0.25">
      <c r="A3380"/>
      <c r="B3380" s="441"/>
      <c r="C3380" s="2473" t="s">
        <v>5569</v>
      </c>
      <c r="D3380" s="896">
        <v>2200000000</v>
      </c>
      <c r="E3380" s="2688">
        <f>D3380/D3361*100</f>
        <v>1.9276458481382375</v>
      </c>
      <c r="F3380" s="3868"/>
      <c r="G3380" s="3161"/>
      <c r="H3380" s="3275"/>
      <c r="I3380" s="3404"/>
      <c r="J3380" s="3398"/>
      <c r="K3380" s="3405"/>
      <c r="L3380" s="3276"/>
      <c r="M3380" s="3404"/>
      <c r="N3380" s="2768"/>
    </row>
    <row r="3381" spans="1:14" ht="15" hidden="1" customHeight="1" x14ac:dyDescent="0.25">
      <c r="A3381"/>
      <c r="B3381" s="441"/>
      <c r="C3381" s="2473" t="s">
        <v>5572</v>
      </c>
      <c r="D3381" s="896">
        <v>200000000</v>
      </c>
      <c r="E3381" s="2688">
        <f>D3381/D3361*100</f>
        <v>0.17524053164893069</v>
      </c>
      <c r="F3381" s="3868"/>
      <c r="G3381" s="3400"/>
      <c r="H3381" s="3275"/>
      <c r="I3381" s="3404"/>
      <c r="J3381" s="3398"/>
      <c r="K3381" s="3405"/>
      <c r="L3381" s="3276"/>
      <c r="M3381" s="3404"/>
      <c r="N3381" s="2768"/>
    </row>
    <row r="3382" spans="1:14" ht="14.25" hidden="1" customHeight="1" x14ac:dyDescent="0.25">
      <c r="A3382"/>
      <c r="B3382" s="441"/>
      <c r="C3382" s="2473" t="s">
        <v>5573</v>
      </c>
      <c r="D3382" s="896">
        <v>150000000</v>
      </c>
      <c r="E3382" s="2688">
        <f>D3382/D3361*100</f>
        <v>0.13143039873669801</v>
      </c>
      <c r="F3382" s="3868"/>
      <c r="G3382" s="3161"/>
      <c r="H3382" s="3275"/>
      <c r="I3382" s="3404"/>
      <c r="J3382" s="3398"/>
      <c r="K3382" s="3405"/>
      <c r="L3382" s="3276"/>
      <c r="M3382" s="3161"/>
      <c r="N3382" s="2768"/>
    </row>
    <row r="3383" spans="1:14" ht="13.5" hidden="1" customHeight="1" x14ac:dyDescent="0.25">
      <c r="A3383"/>
      <c r="B3383" s="441"/>
      <c r="C3383" s="2473" t="s">
        <v>5574</v>
      </c>
      <c r="D3383" s="896">
        <v>500000000</v>
      </c>
      <c r="E3383" s="2688">
        <f>D3383/D3361*100</f>
        <v>0.43810132912232674</v>
      </c>
      <c r="F3383" s="3868"/>
      <c r="G3383" s="3161"/>
      <c r="H3383" s="3275"/>
      <c r="I3383" s="3404"/>
      <c r="J3383" s="3398"/>
      <c r="K3383" s="3405"/>
      <c r="L3383" s="3276"/>
      <c r="M3383" s="3404"/>
      <c r="N3383" s="2768"/>
    </row>
    <row r="3384" spans="1:14" ht="14.25" hidden="1" customHeight="1" x14ac:dyDescent="0.25">
      <c r="A3384"/>
      <c r="B3384" s="441"/>
      <c r="C3384" s="2473" t="s">
        <v>5575</v>
      </c>
      <c r="D3384" s="896">
        <v>600000000</v>
      </c>
      <c r="E3384" s="2688">
        <f>D3384/D3361*100</f>
        <v>0.52572159494679205</v>
      </c>
      <c r="F3384" s="3868"/>
      <c r="G3384" s="3161"/>
      <c r="H3384" s="3275"/>
      <c r="I3384" s="3404"/>
      <c r="J3384" s="3398"/>
      <c r="K3384" s="3405"/>
      <c r="L3384" s="3276"/>
      <c r="M3384" s="3404"/>
      <c r="N3384" s="2768"/>
    </row>
    <row r="3385" spans="1:14" ht="15.75" hidden="1" customHeight="1" x14ac:dyDescent="0.25">
      <c r="A3385"/>
      <c r="B3385" s="441"/>
      <c r="C3385" s="2473" t="s">
        <v>5576</v>
      </c>
      <c r="D3385" s="896">
        <v>500000000</v>
      </c>
      <c r="E3385" s="2688">
        <f>D3385/D3361*100</f>
        <v>0.43810132912232674</v>
      </c>
      <c r="F3385" s="3868"/>
      <c r="G3385" s="3161"/>
      <c r="H3385" s="3275"/>
      <c r="I3385" s="3404"/>
      <c r="J3385" s="3398"/>
      <c r="K3385" s="3405"/>
      <c r="L3385" s="3276"/>
      <c r="M3385" s="3404"/>
      <c r="N3385" s="2768"/>
    </row>
    <row r="3386" spans="1:14" ht="16.5" hidden="1" customHeight="1" x14ac:dyDescent="0.25">
      <c r="A3386"/>
      <c r="B3386" s="441"/>
      <c r="C3386" s="2473" t="s">
        <v>5577</v>
      </c>
      <c r="D3386" s="896">
        <v>6920000000</v>
      </c>
      <c r="E3386" s="2688">
        <f>D3386/D3361*100</f>
        <v>6.0633223950530013</v>
      </c>
      <c r="F3386" s="3868"/>
      <c r="G3386" s="3161"/>
      <c r="H3386" s="3275"/>
      <c r="I3386" s="3404"/>
      <c r="J3386" s="3398"/>
      <c r="K3386" s="3405"/>
      <c r="L3386" s="3276"/>
      <c r="M3386" s="3404"/>
      <c r="N3386" s="2768"/>
    </row>
    <row r="3387" spans="1:14" ht="16.5" hidden="1" customHeight="1" x14ac:dyDescent="0.25">
      <c r="A3387"/>
      <c r="B3387" s="441"/>
      <c r="C3387" s="2473" t="s">
        <v>5578</v>
      </c>
      <c r="D3387" s="896">
        <v>200000000</v>
      </c>
      <c r="E3387" s="2688">
        <f>D3387/D3361*100</f>
        <v>0.17524053164893069</v>
      </c>
      <c r="F3387" s="3868"/>
      <c r="G3387" s="3161"/>
      <c r="H3387" s="3275"/>
      <c r="I3387" s="3404"/>
      <c r="J3387" s="3398"/>
      <c r="K3387" s="3405"/>
      <c r="L3387" s="3276"/>
      <c r="M3387" s="3404"/>
      <c r="N3387" s="2768"/>
    </row>
    <row r="3388" spans="1:14" ht="16.5" hidden="1" customHeight="1" x14ac:dyDescent="0.25">
      <c r="A3388"/>
      <c r="B3388" s="441"/>
      <c r="C3388" s="2473" t="s">
        <v>5579</v>
      </c>
      <c r="D3388" s="896">
        <v>652221000</v>
      </c>
      <c r="E3388" s="2688">
        <f>D3388/D3361*100</f>
        <v>0.57147777396298616</v>
      </c>
      <c r="F3388" s="3868"/>
      <c r="G3388" s="3161"/>
      <c r="H3388" s="3275"/>
      <c r="I3388" s="3404"/>
      <c r="J3388" s="3398"/>
      <c r="K3388" s="3405"/>
      <c r="L3388" s="3276"/>
      <c r="M3388" s="3404"/>
      <c r="N3388" s="2768"/>
    </row>
    <row r="3389" spans="1:14" ht="13.5" hidden="1" customHeight="1" x14ac:dyDescent="0.25">
      <c r="B3389" s="441"/>
      <c r="C3389" s="2473"/>
      <c r="D3389" s="898"/>
      <c r="E3389" s="2688"/>
      <c r="F3389" s="3868"/>
      <c r="G3389" s="3161"/>
      <c r="H3389" s="3275"/>
      <c r="I3389" s="3404"/>
      <c r="J3389" s="3398"/>
      <c r="K3389" s="3405"/>
      <c r="L3389" s="3276"/>
      <c r="M3389" s="3404"/>
      <c r="N3389" s="2768"/>
    </row>
    <row r="3390" spans="1:14" ht="18.75" hidden="1" customHeight="1" x14ac:dyDescent="0.25">
      <c r="B3390" s="439"/>
      <c r="C3390" s="2491" t="s">
        <v>5580</v>
      </c>
      <c r="D3390" s="2692">
        <f>SUM(D3391:D3398)</f>
        <v>700000000</v>
      </c>
      <c r="E3390" s="2693">
        <f>D3390/D3361*100</f>
        <v>0.61334186077125741</v>
      </c>
      <c r="F3390" s="3868"/>
      <c r="G3390" s="3161"/>
      <c r="H3390" s="3275"/>
      <c r="I3390" s="3404"/>
      <c r="J3390" s="3398"/>
      <c r="K3390" s="3405"/>
      <c r="L3390" s="3276"/>
      <c r="M3390" s="3404"/>
      <c r="N3390" s="2768"/>
    </row>
    <row r="3391" spans="1:14" ht="15" hidden="1" customHeight="1" x14ac:dyDescent="0.25">
      <c r="B3391" s="441"/>
      <c r="C3391" s="2473" t="s">
        <v>5581</v>
      </c>
      <c r="D3391" s="896">
        <v>50000000</v>
      </c>
      <c r="E3391" s="2688">
        <f>D3391/D3361*100</f>
        <v>4.3810132912232673E-2</v>
      </c>
      <c r="F3391" s="3868"/>
      <c r="G3391" s="3161"/>
      <c r="H3391" s="3275"/>
      <c r="I3391" s="3404"/>
      <c r="J3391" s="3398"/>
      <c r="K3391" s="3405"/>
      <c r="L3391" s="3276"/>
      <c r="M3391" s="3404"/>
      <c r="N3391" s="2768"/>
    </row>
    <row r="3392" spans="1:14" ht="18.75" hidden="1" customHeight="1" x14ac:dyDescent="0.25">
      <c r="A3392"/>
      <c r="B3392" s="441"/>
      <c r="C3392" s="2473" t="s">
        <v>5582</v>
      </c>
      <c r="D3392" s="896">
        <v>63682500</v>
      </c>
      <c r="E3392" s="2688">
        <f>D3392/D3361*100</f>
        <v>5.5798775783665142E-2</v>
      </c>
      <c r="F3392" s="3868"/>
      <c r="G3392" s="3161"/>
      <c r="H3392" s="3275"/>
      <c r="I3392" s="3404"/>
      <c r="J3392" s="3398"/>
      <c r="K3392" s="3405"/>
      <c r="L3392" s="3276"/>
      <c r="M3392" s="3276"/>
      <c r="N3392" s="2768"/>
    </row>
    <row r="3393" spans="1:14" ht="15.75" hidden="1" customHeight="1" x14ac:dyDescent="0.25">
      <c r="A3393"/>
      <c r="B3393" s="441"/>
      <c r="C3393" s="2473" t="s">
        <v>5583</v>
      </c>
      <c r="D3393" s="896">
        <v>63597500</v>
      </c>
      <c r="E3393" s="2688">
        <f>D3393/D3361*100</f>
        <v>5.5724298557714345E-2</v>
      </c>
      <c r="F3393" s="4446"/>
      <c r="G3393" s="3400"/>
      <c r="H3393" s="3407"/>
      <c r="I3393" s="3400"/>
      <c r="J3393" s="3398"/>
      <c r="K3393" s="3405"/>
      <c r="L3393" s="3400"/>
      <c r="M3393" s="3400"/>
      <c r="N3393" s="2768"/>
    </row>
    <row r="3394" spans="1:14" ht="16.5" hidden="1" customHeight="1" x14ac:dyDescent="0.25">
      <c r="A3394"/>
      <c r="B3394" s="441"/>
      <c r="C3394" s="2473" t="s">
        <v>5584</v>
      </c>
      <c r="D3394" s="896">
        <v>72720000</v>
      </c>
      <c r="E3394" s="2688">
        <f>D3394/D3361*100</f>
        <v>6.3717457307551198E-2</v>
      </c>
      <c r="F3394" s="4446"/>
      <c r="G3394" s="3400"/>
      <c r="H3394" s="3407"/>
      <c r="I3394" s="3400"/>
      <c r="J3394" s="3398"/>
      <c r="K3394" s="3405"/>
      <c r="L3394" s="3400"/>
      <c r="M3394" s="3400"/>
      <c r="N3394" s="2768"/>
    </row>
    <row r="3395" spans="1:14" ht="13.5" hidden="1" customHeight="1" x14ac:dyDescent="0.25">
      <c r="A3395"/>
      <c r="B3395" s="441"/>
      <c r="C3395" s="2473" t="s">
        <v>5585</v>
      </c>
      <c r="D3395" s="896">
        <v>150000000</v>
      </c>
      <c r="E3395" s="2688">
        <f>D3395/D3361*100</f>
        <v>0.13143039873669801</v>
      </c>
      <c r="F3395" s="4446"/>
      <c r="G3395" s="3400"/>
      <c r="H3395" s="3407"/>
      <c r="I3395" s="3400"/>
      <c r="J3395" s="3398"/>
      <c r="K3395" s="3405"/>
      <c r="L3395" s="3400"/>
      <c r="M3395" s="3400"/>
      <c r="N3395" s="2768"/>
    </row>
    <row r="3396" spans="1:14" ht="17.25" hidden="1" customHeight="1" x14ac:dyDescent="0.25">
      <c r="A3396"/>
      <c r="B3396" s="441"/>
      <c r="C3396" s="2473" t="s">
        <v>5586</v>
      </c>
      <c r="D3396" s="896">
        <v>60000000</v>
      </c>
      <c r="E3396" s="2688">
        <f>D3396/D3361*100</f>
        <v>5.2572159494679208E-2</v>
      </c>
      <c r="F3396" s="4446"/>
      <c r="G3396" s="3400"/>
      <c r="H3396" s="3407"/>
      <c r="I3396" s="3400"/>
      <c r="J3396" s="3398"/>
      <c r="K3396" s="3405"/>
      <c r="L3396" s="3400"/>
      <c r="M3396" s="3400"/>
      <c r="N3396" s="2768"/>
    </row>
    <row r="3397" spans="1:14" ht="15.75" hidden="1" customHeight="1" x14ac:dyDescent="0.25">
      <c r="A3397"/>
      <c r="B3397" s="441"/>
      <c r="C3397" s="2473" t="s">
        <v>5587</v>
      </c>
      <c r="D3397" s="896">
        <v>120000000</v>
      </c>
      <c r="E3397" s="2688">
        <f>D3397/D3361*100</f>
        <v>0.10514431898935842</v>
      </c>
      <c r="F3397" s="4446"/>
      <c r="G3397" s="3400"/>
      <c r="H3397" s="3407"/>
      <c r="I3397" s="3400"/>
      <c r="J3397" s="3398"/>
      <c r="K3397" s="3405"/>
      <c r="L3397" s="3400"/>
      <c r="M3397" s="3400"/>
      <c r="N3397" s="2768"/>
    </row>
    <row r="3398" spans="1:14" ht="15" hidden="1" customHeight="1" x14ac:dyDescent="0.25">
      <c r="A3398"/>
      <c r="B3398" s="441"/>
      <c r="C3398" s="2473" t="s">
        <v>5588</v>
      </c>
      <c r="D3398" s="896">
        <v>120000000</v>
      </c>
      <c r="E3398" s="2688">
        <f>D3398/D3361*100</f>
        <v>0.10514431898935842</v>
      </c>
      <c r="F3398" s="4446"/>
      <c r="G3398" s="3400"/>
      <c r="H3398" s="3407"/>
      <c r="I3398" s="3400"/>
      <c r="J3398" s="3398"/>
      <c r="K3398" s="3405"/>
      <c r="L3398" s="3400"/>
      <c r="M3398" s="3400"/>
      <c r="N3398" s="2768"/>
    </row>
    <row r="3399" spans="1:14" ht="12" hidden="1" customHeight="1" x14ac:dyDescent="0.25">
      <c r="A3399"/>
      <c r="B3399" s="441"/>
      <c r="C3399" s="2473"/>
      <c r="D3399" s="896"/>
      <c r="E3399" s="2688"/>
      <c r="F3399" s="4446"/>
      <c r="G3399" s="3400"/>
      <c r="H3399" s="3407"/>
      <c r="I3399" s="3400"/>
      <c r="J3399" s="3398"/>
      <c r="K3399" s="3405"/>
      <c r="L3399" s="3400"/>
      <c r="M3399" s="3400"/>
      <c r="N3399" s="2768"/>
    </row>
    <row r="3400" spans="1:14" ht="17.25" hidden="1" customHeight="1" x14ac:dyDescent="0.25">
      <c r="A3400"/>
      <c r="B3400" s="461"/>
      <c r="C3400" s="2609" t="s">
        <v>5589</v>
      </c>
      <c r="D3400" s="2692">
        <f>SUM(D3401:D3404)</f>
        <v>982000000</v>
      </c>
      <c r="E3400" s="2693">
        <f>D3400/D3361*100</f>
        <v>0.8604310103962497</v>
      </c>
      <c r="F3400" s="3853"/>
      <c r="G3400" s="3394"/>
      <c r="H3400" s="3257"/>
      <c r="I3400" s="3403"/>
      <c r="J3400" s="3395"/>
      <c r="K3400" s="3395"/>
      <c r="L3400" s="3259"/>
      <c r="M3400" s="3403"/>
      <c r="N3400" s="2768"/>
    </row>
    <row r="3401" spans="1:14" ht="18" hidden="1" customHeight="1" x14ac:dyDescent="0.25">
      <c r="A3401"/>
      <c r="B3401" s="441"/>
      <c r="C3401" s="2473" t="s">
        <v>5590</v>
      </c>
      <c r="D3401" s="896">
        <v>78000000</v>
      </c>
      <c r="E3401" s="2688">
        <f>D3401/D3361*100</f>
        <v>6.8343807343082957E-2</v>
      </c>
      <c r="F3401" s="3868"/>
      <c r="G3401" s="3400"/>
      <c r="H3401" s="3275"/>
      <c r="I3401" s="3404"/>
      <c r="J3401" s="3398"/>
      <c r="K3401" s="3398"/>
      <c r="L3401" s="3276"/>
      <c r="M3401" s="3404"/>
      <c r="N3401" s="2768"/>
    </row>
    <row r="3402" spans="1:14" ht="15.75" hidden="1" customHeight="1" x14ac:dyDescent="0.25">
      <c r="A3402"/>
      <c r="B3402" s="441"/>
      <c r="C3402" s="2473" t="s">
        <v>5591</v>
      </c>
      <c r="D3402" s="896">
        <v>500000000</v>
      </c>
      <c r="E3402" s="2688">
        <f>D3402/D3361*100</f>
        <v>0.43810132912232674</v>
      </c>
      <c r="F3402" s="3868"/>
      <c r="G3402" s="3400"/>
      <c r="H3402" s="3275"/>
      <c r="I3402" s="3404"/>
      <c r="J3402" s="3398"/>
      <c r="K3402" s="3398"/>
      <c r="L3402" s="3276"/>
      <c r="M3402" s="3404"/>
      <c r="N3402" s="2768"/>
    </row>
    <row r="3403" spans="1:14" ht="19.5" hidden="1" customHeight="1" x14ac:dyDescent="0.25">
      <c r="A3403"/>
      <c r="B3403" s="441"/>
      <c r="C3403" s="2473" t="s">
        <v>5592</v>
      </c>
      <c r="D3403" s="896">
        <v>100000000</v>
      </c>
      <c r="E3403" s="2688">
        <f>D3403/D3361*100</f>
        <v>8.7620265824465346E-2</v>
      </c>
      <c r="F3403" s="3868"/>
      <c r="G3403" s="3400"/>
      <c r="H3403" s="3275"/>
      <c r="I3403" s="3404"/>
      <c r="J3403" s="3398"/>
      <c r="K3403" s="3398"/>
      <c r="L3403" s="3276"/>
      <c r="M3403" s="3404"/>
      <c r="N3403" s="2768"/>
    </row>
    <row r="3404" spans="1:14" ht="15" hidden="1" customHeight="1" x14ac:dyDescent="0.25">
      <c r="B3404" s="441"/>
      <c r="C3404" s="2473" t="s">
        <v>5593</v>
      </c>
      <c r="D3404" s="896">
        <v>304000000</v>
      </c>
      <c r="E3404" s="2688">
        <f>D3404/D3361*100</f>
        <v>0.26636560810637466</v>
      </c>
      <c r="F3404" s="3868"/>
      <c r="G3404" s="3400"/>
      <c r="H3404" s="3275"/>
      <c r="I3404" s="3404"/>
      <c r="J3404" s="3398"/>
      <c r="K3404" s="3398"/>
      <c r="L3404" s="3276"/>
      <c r="M3404" s="3404"/>
      <c r="N3404" s="2768"/>
    </row>
    <row r="3405" spans="1:14" ht="9" hidden="1" customHeight="1" x14ac:dyDescent="0.25">
      <c r="B3405" s="441"/>
      <c r="C3405" s="2473"/>
      <c r="D3405" s="896"/>
      <c r="E3405" s="2688"/>
      <c r="F3405" s="3868"/>
      <c r="G3405" s="3400"/>
      <c r="H3405" s="3275"/>
      <c r="I3405" s="3404"/>
      <c r="J3405" s="3398"/>
      <c r="K3405" s="3398"/>
      <c r="L3405" s="3276"/>
      <c r="M3405" s="3404"/>
      <c r="N3405" s="2768"/>
    </row>
    <row r="3406" spans="1:14" ht="18.75" hidden="1" customHeight="1" x14ac:dyDescent="0.25">
      <c r="A3406"/>
      <c r="B3406" s="439"/>
      <c r="C3406" s="2491" t="s">
        <v>5594</v>
      </c>
      <c r="D3406" s="2692">
        <f>SUM(D3407:D3414)</f>
        <v>5543479000</v>
      </c>
      <c r="E3406" s="2693">
        <f>D3406/D3361*100</f>
        <v>4.8572110357234131</v>
      </c>
      <c r="F3406" s="3853"/>
      <c r="G3406" s="3394"/>
      <c r="H3406" s="3257"/>
      <c r="I3406" s="3403"/>
      <c r="J3406" s="3395"/>
      <c r="K3406" s="3395"/>
      <c r="L3406" s="3259"/>
      <c r="M3406" s="3403"/>
      <c r="N3406" s="2768"/>
    </row>
    <row r="3407" spans="1:14" ht="15.75" hidden="1" customHeight="1" x14ac:dyDescent="0.25">
      <c r="A3407"/>
      <c r="B3407" s="441"/>
      <c r="C3407" s="2473" t="s">
        <v>5595</v>
      </c>
      <c r="D3407" s="896">
        <v>3600000000</v>
      </c>
      <c r="E3407" s="2688">
        <f>D3407/D3361*100</f>
        <v>3.154329569680753</v>
      </c>
      <c r="F3407" s="3868"/>
      <c r="G3407" s="3161"/>
      <c r="H3407" s="3162"/>
      <c r="I3407" s="3161"/>
      <c r="J3407" s="3398"/>
      <c r="K3407" s="3398"/>
      <c r="L3407" s="3276"/>
      <c r="M3407" s="3404"/>
      <c r="N3407" s="2768"/>
    </row>
    <row r="3408" spans="1:14" ht="30.75" hidden="1" customHeight="1" x14ac:dyDescent="0.25">
      <c r="A3408"/>
      <c r="B3408" s="441"/>
      <c r="C3408" s="2473" t="s">
        <v>5596</v>
      </c>
      <c r="D3408" s="896">
        <v>170000000</v>
      </c>
      <c r="E3408" s="2688">
        <f>D3408/D3361*100</f>
        <v>0.1489544519015911</v>
      </c>
      <c r="F3408" s="3868"/>
      <c r="G3408" s="3161"/>
      <c r="H3408" s="3162"/>
      <c r="I3408" s="3161"/>
      <c r="J3408" s="3398"/>
      <c r="K3408" s="3398"/>
      <c r="L3408" s="3276"/>
      <c r="M3408" s="3404"/>
      <c r="N3408" s="2768"/>
    </row>
    <row r="3409" spans="1:16" ht="15.75" hidden="1" customHeight="1" x14ac:dyDescent="0.25">
      <c r="A3409"/>
      <c r="B3409" s="441"/>
      <c r="C3409" s="2473" t="s">
        <v>5597</v>
      </c>
      <c r="D3409" s="896">
        <v>588380250</v>
      </c>
      <c r="E3409" s="2688">
        <f>D3409/D3361*100</f>
        <v>0.51554033910865371</v>
      </c>
      <c r="F3409" s="3868"/>
      <c r="G3409" s="3161"/>
      <c r="H3409" s="3162"/>
      <c r="I3409" s="3161"/>
      <c r="J3409" s="3398"/>
      <c r="K3409" s="3398"/>
      <c r="L3409" s="3276"/>
      <c r="M3409" s="3404"/>
      <c r="N3409" s="2768"/>
    </row>
    <row r="3410" spans="1:16" ht="15.75" hidden="1" customHeight="1" x14ac:dyDescent="0.25">
      <c r="A3410"/>
      <c r="B3410" s="441"/>
      <c r="C3410" s="2473" t="s">
        <v>5598</v>
      </c>
      <c r="D3410" s="896">
        <v>200000000</v>
      </c>
      <c r="E3410" s="2688">
        <f>D3410/D3361*100</f>
        <v>0.17524053164893069</v>
      </c>
      <c r="F3410" s="3868"/>
      <c r="G3410" s="3161"/>
      <c r="H3410" s="3162"/>
      <c r="I3410" s="3161"/>
      <c r="J3410" s="3398"/>
      <c r="K3410" s="3398"/>
      <c r="L3410" s="3276"/>
      <c r="M3410" s="3404"/>
      <c r="N3410" s="2768"/>
    </row>
    <row r="3411" spans="1:16" ht="15.75" hidden="1" customHeight="1" x14ac:dyDescent="0.25">
      <c r="A3411"/>
      <c r="B3411" s="441"/>
      <c r="C3411" s="2473" t="s">
        <v>5599</v>
      </c>
      <c r="D3411" s="896">
        <v>285098750</v>
      </c>
      <c r="E3411" s="2688">
        <f>D3411/D3361*100</f>
        <v>0.2498042826122279</v>
      </c>
      <c r="F3411" s="3868"/>
      <c r="G3411" s="3161"/>
      <c r="H3411" s="3162"/>
      <c r="I3411" s="3161"/>
      <c r="J3411" s="3398"/>
      <c r="K3411" s="3398"/>
      <c r="L3411" s="3276"/>
      <c r="M3411" s="3404"/>
      <c r="N3411" s="2768"/>
    </row>
    <row r="3412" spans="1:16" ht="15.75" hidden="1" customHeight="1" x14ac:dyDescent="0.25">
      <c r="A3412"/>
      <c r="B3412" s="441"/>
      <c r="C3412" s="2473" t="s">
        <v>5600</v>
      </c>
      <c r="D3412" s="896">
        <v>200000000</v>
      </c>
      <c r="E3412" s="2688">
        <f>D3412/D3361*100</f>
        <v>0.17524053164893069</v>
      </c>
      <c r="F3412" s="3868"/>
      <c r="G3412" s="3161"/>
      <c r="H3412" s="3162"/>
      <c r="I3412" s="3161"/>
      <c r="J3412" s="3398"/>
      <c r="K3412" s="3398"/>
      <c r="L3412" s="3276"/>
      <c r="M3412" s="3404"/>
      <c r="N3412" s="2768"/>
    </row>
    <row r="3413" spans="1:16" ht="15.75" hidden="1" customHeight="1" x14ac:dyDescent="0.25">
      <c r="A3413"/>
      <c r="B3413" s="441"/>
      <c r="C3413" s="2473" t="s">
        <v>5601</v>
      </c>
      <c r="D3413" s="896">
        <v>200000000</v>
      </c>
      <c r="E3413" s="2688">
        <f>D3413/D3361*100</f>
        <v>0.17524053164893069</v>
      </c>
      <c r="F3413" s="3868"/>
      <c r="G3413" s="3161"/>
      <c r="H3413" s="3162"/>
      <c r="I3413" s="3161"/>
      <c r="J3413" s="3398"/>
      <c r="K3413" s="3398"/>
      <c r="L3413" s="3276"/>
      <c r="M3413" s="3404"/>
      <c r="N3413" s="2768"/>
    </row>
    <row r="3414" spans="1:16" ht="15.75" hidden="1" customHeight="1" x14ac:dyDescent="0.25">
      <c r="A3414"/>
      <c r="B3414" s="441"/>
      <c r="C3414" s="2473" t="s">
        <v>5602</v>
      </c>
      <c r="D3414" s="896">
        <v>300000000</v>
      </c>
      <c r="E3414" s="2688">
        <f>D3414/D3361*100</f>
        <v>0.26286079747339602</v>
      </c>
      <c r="F3414" s="3868"/>
      <c r="G3414" s="3161"/>
      <c r="H3414" s="3162"/>
      <c r="I3414" s="3161"/>
      <c r="J3414" s="3398"/>
      <c r="K3414" s="3398"/>
      <c r="L3414" s="3276"/>
      <c r="M3414" s="3404"/>
      <c r="N3414" s="2768"/>
    </row>
    <row r="3415" spans="1:16" ht="12" hidden="1" customHeight="1" x14ac:dyDescent="0.25">
      <c r="B3415" s="441"/>
      <c r="C3415" s="2528"/>
      <c r="D3415" s="2769"/>
      <c r="E3415" s="3341"/>
      <c r="F3415" s="4482"/>
      <c r="G3415" s="3161"/>
      <c r="H3415" s="3409"/>
      <c r="I3415" s="2757"/>
      <c r="J3415" s="2913"/>
      <c r="K3415" s="2769"/>
      <c r="L3415" s="3343"/>
      <c r="M3415" s="3342"/>
      <c r="N3415" s="2768"/>
    </row>
    <row r="3416" spans="1:16" s="1" customFormat="1" ht="16.5" hidden="1" customHeight="1" x14ac:dyDescent="0.25">
      <c r="B3416" s="440"/>
      <c r="C3416" s="2471" t="s">
        <v>398</v>
      </c>
      <c r="D3416" s="2744">
        <f>D3417+D3422+D3430+D3444+D3448+D3454+D3461+D3469</f>
        <v>6805000000</v>
      </c>
      <c r="E3416" s="2717">
        <f>D3416/D3361*100</f>
        <v>5.9625590893548663</v>
      </c>
      <c r="F3416" s="3850"/>
      <c r="G3416" s="2909"/>
      <c r="H3416" s="3254"/>
      <c r="I3416" s="2987"/>
      <c r="J3416" s="2910"/>
      <c r="K3416" s="2910"/>
      <c r="L3416" s="3254"/>
      <c r="M3416" s="2987"/>
      <c r="N3416" s="2837"/>
      <c r="P3416" s="220"/>
    </row>
    <row r="3417" spans="1:16" ht="16.5" hidden="1" customHeight="1" x14ac:dyDescent="0.25">
      <c r="B3417" s="441"/>
      <c r="C3417" s="2599" t="s">
        <v>5603</v>
      </c>
      <c r="D3417" s="2692">
        <f>SUM(D3418:D3420)</f>
        <v>270000000</v>
      </c>
      <c r="E3417" s="2693">
        <f>D3417/D3361*100</f>
        <v>0.23657471772605643</v>
      </c>
      <c r="F3417" s="3851"/>
      <c r="G3417" s="3163"/>
      <c r="H3417" s="3166"/>
      <c r="I3417" s="3163"/>
      <c r="J3417" s="2883"/>
      <c r="K3417" s="2883"/>
      <c r="L3417" s="3259"/>
      <c r="M3417" s="2970"/>
      <c r="N3417" s="2768"/>
    </row>
    <row r="3418" spans="1:16" ht="18.75" hidden="1" customHeight="1" x14ac:dyDescent="0.25">
      <c r="B3418" s="441"/>
      <c r="C3418" s="2610" t="s">
        <v>5604</v>
      </c>
      <c r="D3418" s="896">
        <v>90000000</v>
      </c>
      <c r="E3418" s="2688">
        <f>D3418/D3361*100</f>
        <v>7.8858239242018804E-2</v>
      </c>
      <c r="F3418" s="3868"/>
      <c r="G3418" s="3161"/>
      <c r="H3418" s="3162"/>
      <c r="I3418" s="3161"/>
      <c r="J3418" s="2851"/>
      <c r="K3418" s="3408"/>
      <c r="L3418" s="3276"/>
      <c r="M3418" s="2757"/>
      <c r="N3418" s="2768"/>
    </row>
    <row r="3419" spans="1:16" ht="17.25" hidden="1" customHeight="1" x14ac:dyDescent="0.25">
      <c r="B3419" s="441"/>
      <c r="C3419" s="2611" t="s">
        <v>5605</v>
      </c>
      <c r="D3419" s="896">
        <v>80000000</v>
      </c>
      <c r="E3419" s="2688">
        <f>D3419/D3361*100</f>
        <v>7.0096212659572277E-2</v>
      </c>
      <c r="F3419" s="3868"/>
      <c r="G3419" s="3161"/>
      <c r="H3419" s="3162"/>
      <c r="I3419" s="3161"/>
      <c r="J3419" s="2851"/>
      <c r="K3419" s="3405"/>
      <c r="L3419" s="3276"/>
      <c r="M3419" s="2757"/>
      <c r="N3419" s="2768"/>
    </row>
    <row r="3420" spans="1:16" ht="17.25" hidden="1" customHeight="1" x14ac:dyDescent="0.25">
      <c r="B3420" s="441"/>
      <c r="C3420" s="2611" t="s">
        <v>5606</v>
      </c>
      <c r="D3420" s="896">
        <v>100000000</v>
      </c>
      <c r="E3420" s="2688">
        <f>D3420/D3361*100</f>
        <v>8.7620265824465346E-2</v>
      </c>
      <c r="F3420" s="3868"/>
      <c r="G3420" s="3161"/>
      <c r="H3420" s="3162"/>
      <c r="I3420" s="3161"/>
      <c r="J3420" s="2851"/>
      <c r="K3420" s="3405"/>
      <c r="L3420" s="3276"/>
      <c r="M3420" s="2757"/>
      <c r="N3420" s="2768"/>
    </row>
    <row r="3421" spans="1:16" ht="8.25" hidden="1" customHeight="1" x14ac:dyDescent="0.25">
      <c r="B3421" s="441"/>
      <c r="C3421" s="2473"/>
      <c r="D3421" s="896"/>
      <c r="E3421" s="2688"/>
      <c r="F3421" s="3868"/>
      <c r="G3421" s="3161"/>
      <c r="H3421" s="3162"/>
      <c r="I3421" s="3161"/>
      <c r="J3421" s="2851"/>
      <c r="K3421" s="3405"/>
      <c r="L3421" s="3276"/>
      <c r="M3421" s="2757"/>
      <c r="N3421" s="2768"/>
    </row>
    <row r="3422" spans="1:16" ht="21" hidden="1" customHeight="1" x14ac:dyDescent="0.25">
      <c r="B3422" s="441"/>
      <c r="C3422" s="2609" t="s">
        <v>2281</v>
      </c>
      <c r="D3422" s="2692">
        <f>SUM(D3423:D3428)</f>
        <v>960000000</v>
      </c>
      <c r="E3422" s="2693">
        <f>D3422/D3361*100</f>
        <v>0.84115455191486732</v>
      </c>
      <c r="F3422" s="3868"/>
      <c r="G3422" s="3161"/>
      <c r="H3422" s="3162"/>
      <c r="I3422" s="3161"/>
      <c r="J3422" s="2851"/>
      <c r="K3422" s="3405"/>
      <c r="L3422" s="3276"/>
      <c r="M3422" s="2757"/>
      <c r="N3422" s="2768"/>
    </row>
    <row r="3423" spans="1:16" ht="17.25" hidden="1" customHeight="1" x14ac:dyDescent="0.25">
      <c r="B3423" s="441"/>
      <c r="C3423" s="2611" t="s">
        <v>5607</v>
      </c>
      <c r="D3423" s="896">
        <v>75000000</v>
      </c>
      <c r="E3423" s="2688">
        <f>D3423/D3361*100</f>
        <v>6.5715199368349006E-2</v>
      </c>
      <c r="F3423" s="3868"/>
      <c r="G3423" s="3161"/>
      <c r="H3423" s="3162"/>
      <c r="I3423" s="3161"/>
      <c r="J3423" s="2851"/>
      <c r="K3423" s="3405"/>
      <c r="L3423" s="3276"/>
      <c r="M3423" s="2757"/>
      <c r="N3423" s="2768"/>
    </row>
    <row r="3424" spans="1:16" ht="15.75" hidden="1" customHeight="1" x14ac:dyDescent="0.25">
      <c r="B3424" s="441"/>
      <c r="C3424" s="2611" t="s">
        <v>5608</v>
      </c>
      <c r="D3424" s="896">
        <v>60000000</v>
      </c>
      <c r="E3424" s="2688">
        <f>D3424/D3361*100</f>
        <v>5.2572159494679208E-2</v>
      </c>
      <c r="F3424" s="3868"/>
      <c r="G3424" s="3161"/>
      <c r="H3424" s="3162"/>
      <c r="I3424" s="3161"/>
      <c r="J3424" s="2851"/>
      <c r="K3424" s="3408"/>
      <c r="L3424" s="3276"/>
      <c r="M3424" s="2757"/>
      <c r="N3424" s="2768"/>
    </row>
    <row r="3425" spans="2:14" ht="17.25" hidden="1" customHeight="1" x14ac:dyDescent="0.25">
      <c r="B3425" s="441"/>
      <c r="C3425" s="2611" t="s">
        <v>5609</v>
      </c>
      <c r="D3425" s="896">
        <v>250000000</v>
      </c>
      <c r="E3425" s="2688">
        <f>D3425/D3361*100</f>
        <v>0.21905066456116337</v>
      </c>
      <c r="F3425" s="3868"/>
      <c r="G3425" s="3161"/>
      <c r="H3425" s="3162"/>
      <c r="I3425" s="3161"/>
      <c r="J3425" s="2851"/>
      <c r="K3425" s="3405"/>
      <c r="L3425" s="3276"/>
      <c r="M3425" s="2757"/>
      <c r="N3425" s="2768"/>
    </row>
    <row r="3426" spans="2:14" ht="17.25" hidden="1" customHeight="1" x14ac:dyDescent="0.25">
      <c r="B3426" s="441"/>
      <c r="C3426" s="2611" t="s">
        <v>5610</v>
      </c>
      <c r="D3426" s="896">
        <v>70000000</v>
      </c>
      <c r="E3426" s="2688">
        <f>D3426/D3361*100</f>
        <v>6.1334186077125742E-2</v>
      </c>
      <c r="F3426" s="3861"/>
      <c r="G3426" s="898"/>
      <c r="H3426" s="3035"/>
      <c r="I3426" s="3335"/>
      <c r="J3426" s="2912"/>
      <c r="K3426" s="898"/>
      <c r="L3426" s="3276"/>
      <c r="M3426" s="2757"/>
      <c r="N3426" s="2768"/>
    </row>
    <row r="3427" spans="2:14" ht="15.75" hidden="1" customHeight="1" x14ac:dyDescent="0.25">
      <c r="B3427" s="441"/>
      <c r="C3427" s="2611" t="s">
        <v>5611</v>
      </c>
      <c r="D3427" s="896">
        <v>300000000</v>
      </c>
      <c r="E3427" s="2688">
        <f>D3427/D3361*100</f>
        <v>0.26286079747339602</v>
      </c>
      <c r="F3427" s="3853"/>
      <c r="G3427" s="3163"/>
      <c r="H3427" s="3166"/>
      <c r="I3427" s="3163"/>
      <c r="J3427" s="2883"/>
      <c r="K3427" s="2883"/>
      <c r="L3427" s="3259"/>
      <c r="M3427" s="3259"/>
      <c r="N3427" s="2768"/>
    </row>
    <row r="3428" spans="2:14" ht="32.25" hidden="1" customHeight="1" x14ac:dyDescent="0.25">
      <c r="B3428" s="441"/>
      <c r="C3428" s="2611" t="s">
        <v>5612</v>
      </c>
      <c r="D3428" s="896">
        <v>205000000</v>
      </c>
      <c r="E3428" s="2688">
        <f>D3428/D3361*100</f>
        <v>0.17962154494015395</v>
      </c>
      <c r="F3428" s="3868"/>
      <c r="G3428" s="3161"/>
      <c r="H3428" s="3162"/>
      <c r="I3428" s="3161"/>
      <c r="J3428" s="2851"/>
      <c r="K3428" s="3408"/>
      <c r="L3428" s="3276"/>
      <c r="M3428" s="3276"/>
      <c r="N3428" s="2768"/>
    </row>
    <row r="3429" spans="2:14" ht="9.75" hidden="1" customHeight="1" x14ac:dyDescent="0.25">
      <c r="B3429" s="441"/>
      <c r="C3429" s="2612"/>
      <c r="D3429" s="898"/>
      <c r="E3429" s="2688"/>
      <c r="F3429" s="3868"/>
      <c r="G3429" s="3161"/>
      <c r="H3429" s="3275"/>
      <c r="I3429" s="3161"/>
      <c r="J3429" s="2851"/>
      <c r="K3429" s="3405"/>
      <c r="L3429" s="3276"/>
      <c r="M3429" s="2757"/>
      <c r="N3429" s="2768"/>
    </row>
    <row r="3430" spans="2:14" ht="18" hidden="1" customHeight="1" x14ac:dyDescent="0.25">
      <c r="B3430" s="441"/>
      <c r="C3430" s="2613" t="s">
        <v>5613</v>
      </c>
      <c r="D3430" s="2692">
        <f>SUM(D3431:D3442)</f>
        <v>1780000000</v>
      </c>
      <c r="E3430" s="2693">
        <f>D3430/D3361*100</f>
        <v>1.5596407316754832</v>
      </c>
      <c r="F3430" s="3868"/>
      <c r="G3430" s="3161"/>
      <c r="H3430" s="3275"/>
      <c r="I3430" s="3161"/>
      <c r="J3430" s="2851"/>
      <c r="K3430" s="3408"/>
      <c r="L3430" s="3276"/>
      <c r="M3430" s="2757"/>
      <c r="N3430" s="2768"/>
    </row>
    <row r="3431" spans="2:14" ht="15" hidden="1" customHeight="1" x14ac:dyDescent="0.25">
      <c r="B3431" s="441"/>
      <c r="C3431" s="2611" t="s">
        <v>5614</v>
      </c>
      <c r="D3431" s="896">
        <v>150000000</v>
      </c>
      <c r="E3431" s="2688">
        <f>D3431/D3361*100</f>
        <v>0.13143039873669801</v>
      </c>
      <c r="F3431" s="3868"/>
      <c r="G3431" s="2878"/>
      <c r="H3431" s="3275"/>
      <c r="I3431" s="2757"/>
      <c r="J3431" s="2851"/>
      <c r="K3431" s="3408"/>
      <c r="L3431" s="3276"/>
      <c r="M3431" s="2757"/>
      <c r="N3431" s="2768"/>
    </row>
    <row r="3432" spans="2:14" ht="15.75" hidden="1" customHeight="1" x14ac:dyDescent="0.25">
      <c r="B3432" s="441"/>
      <c r="C3432" s="2611" t="s">
        <v>5615</v>
      </c>
      <c r="D3432" s="896">
        <v>100000000</v>
      </c>
      <c r="E3432" s="2688">
        <f>D3432/D3361*100</f>
        <v>8.7620265824465346E-2</v>
      </c>
      <c r="F3432" s="3868"/>
      <c r="G3432" s="3161"/>
      <c r="H3432" s="3275"/>
      <c r="I3432" s="3161"/>
      <c r="J3432" s="2851"/>
      <c r="K3432" s="3408"/>
      <c r="L3432" s="3276"/>
      <c r="M3432" s="2757"/>
      <c r="N3432" s="2768"/>
    </row>
    <row r="3433" spans="2:14" ht="17.25" hidden="1" customHeight="1" x14ac:dyDescent="0.25">
      <c r="B3433" s="441"/>
      <c r="C3433" s="2611" t="s">
        <v>5616</v>
      </c>
      <c r="D3433" s="896">
        <v>80000000</v>
      </c>
      <c r="E3433" s="2688">
        <f>D3433/D3361*100</f>
        <v>7.0096212659572277E-2</v>
      </c>
      <c r="F3433" s="3861"/>
      <c r="G3433" s="898"/>
      <c r="H3433" s="3035"/>
      <c r="I3433" s="3335"/>
      <c r="J3433" s="2912"/>
      <c r="K3433" s="898"/>
      <c r="L3433" s="898"/>
      <c r="M3433" s="3335"/>
      <c r="N3433" s="2768"/>
    </row>
    <row r="3434" spans="2:14" ht="17.25" hidden="1" customHeight="1" x14ac:dyDescent="0.25">
      <c r="B3434" s="441"/>
      <c r="C3434" s="2611" t="s">
        <v>5617</v>
      </c>
      <c r="D3434" s="896">
        <v>80000000</v>
      </c>
      <c r="E3434" s="2688">
        <f>D3434/D3361*100</f>
        <v>7.0096212659572277E-2</v>
      </c>
      <c r="F3434" s="3861"/>
      <c r="G3434" s="898"/>
      <c r="H3434" s="3035"/>
      <c r="I3434" s="3335"/>
      <c r="J3434" s="2912"/>
      <c r="K3434" s="898"/>
      <c r="L3434" s="898"/>
      <c r="M3434" s="3335"/>
      <c r="N3434" s="2768"/>
    </row>
    <row r="3435" spans="2:14" ht="31.5" hidden="1" customHeight="1" x14ac:dyDescent="0.25">
      <c r="B3435" s="441"/>
      <c r="C3435" s="2611" t="s">
        <v>5618</v>
      </c>
      <c r="D3435" s="896">
        <v>405000000</v>
      </c>
      <c r="E3435" s="2688">
        <f>D3435/D3361*100</f>
        <v>0.35486207658908464</v>
      </c>
      <c r="F3435" s="3861"/>
      <c r="G3435" s="898"/>
      <c r="H3435" s="3035"/>
      <c r="I3435" s="3335"/>
      <c r="J3435" s="2912"/>
      <c r="K3435" s="898"/>
      <c r="L3435" s="898"/>
      <c r="M3435" s="3335"/>
      <c r="N3435" s="2768"/>
    </row>
    <row r="3436" spans="2:14" ht="30.75" hidden="1" customHeight="1" x14ac:dyDescent="0.25">
      <c r="B3436" s="441"/>
      <c r="C3436" s="2611" t="s">
        <v>5619</v>
      </c>
      <c r="D3436" s="896">
        <v>350000000</v>
      </c>
      <c r="E3436" s="2688">
        <f>D3436/D3361*100</f>
        <v>0.3066709303856287</v>
      </c>
      <c r="F3436" s="3861"/>
      <c r="G3436" s="898"/>
      <c r="H3436" s="3035"/>
      <c r="I3436" s="3335"/>
      <c r="J3436" s="2912"/>
      <c r="K3436" s="898"/>
      <c r="L3436" s="898"/>
      <c r="M3436" s="3335"/>
      <c r="N3436" s="2768"/>
    </row>
    <row r="3437" spans="2:14" ht="17.25" hidden="1" customHeight="1" x14ac:dyDescent="0.25">
      <c r="B3437" s="441"/>
      <c r="C3437" s="2611" t="s">
        <v>5620</v>
      </c>
      <c r="D3437" s="896">
        <v>100000000</v>
      </c>
      <c r="E3437" s="2688">
        <f>D3437/D3361*100</f>
        <v>8.7620265824465346E-2</v>
      </c>
      <c r="F3437" s="3861"/>
      <c r="G3437" s="898"/>
      <c r="H3437" s="3035"/>
      <c r="I3437" s="3335"/>
      <c r="J3437" s="2912"/>
      <c r="K3437" s="898"/>
      <c r="L3437" s="898"/>
      <c r="M3437" s="3335"/>
      <c r="N3437" s="2768"/>
    </row>
    <row r="3438" spans="2:14" ht="17.25" hidden="1" customHeight="1" x14ac:dyDescent="0.25">
      <c r="B3438" s="441"/>
      <c r="C3438" s="2611" t="s">
        <v>5621</v>
      </c>
      <c r="D3438" s="896">
        <v>100000000</v>
      </c>
      <c r="E3438" s="2688">
        <f>D3438/D3361*100</f>
        <v>8.7620265824465346E-2</v>
      </c>
      <c r="F3438" s="3861"/>
      <c r="G3438" s="898"/>
      <c r="H3438" s="3035"/>
      <c r="I3438" s="3335"/>
      <c r="J3438" s="2912"/>
      <c r="K3438" s="898"/>
      <c r="L3438" s="898"/>
      <c r="M3438" s="3335"/>
      <c r="N3438" s="2768"/>
    </row>
    <row r="3439" spans="2:14" ht="17.25" hidden="1" customHeight="1" x14ac:dyDescent="0.25">
      <c r="B3439" s="441"/>
      <c r="C3439" s="2611" t="s">
        <v>5622</v>
      </c>
      <c r="D3439" s="896">
        <v>150000000</v>
      </c>
      <c r="E3439" s="2688">
        <f>D3439/D3361*100</f>
        <v>0.13143039873669801</v>
      </c>
      <c r="F3439" s="3861"/>
      <c r="G3439" s="898"/>
      <c r="H3439" s="3035"/>
      <c r="I3439" s="3335"/>
      <c r="J3439" s="2912"/>
      <c r="K3439" s="898"/>
      <c r="L3439" s="898"/>
      <c r="M3439" s="3335"/>
      <c r="N3439" s="2768"/>
    </row>
    <row r="3440" spans="2:14" ht="17.25" hidden="1" customHeight="1" x14ac:dyDescent="0.25">
      <c r="B3440" s="441"/>
      <c r="C3440" s="2611" t="s">
        <v>5623</v>
      </c>
      <c r="D3440" s="896">
        <v>85000000</v>
      </c>
      <c r="E3440" s="2688">
        <f>D3440/D3361*100</f>
        <v>7.4477225950795548E-2</v>
      </c>
      <c r="F3440" s="3861"/>
      <c r="G3440" s="898"/>
      <c r="H3440" s="3035"/>
      <c r="I3440" s="3335"/>
      <c r="J3440" s="2912"/>
      <c r="K3440" s="898"/>
      <c r="L3440" s="898"/>
      <c r="M3440" s="3335"/>
      <c r="N3440" s="2768"/>
    </row>
    <row r="3441" spans="2:14" ht="17.25" hidden="1" customHeight="1" x14ac:dyDescent="0.25">
      <c r="B3441" s="441"/>
      <c r="C3441" s="2611" t="s">
        <v>5624</v>
      </c>
      <c r="D3441" s="896">
        <v>80000000</v>
      </c>
      <c r="E3441" s="2688">
        <f>D3441/D3361*100</f>
        <v>7.0096212659572277E-2</v>
      </c>
      <c r="F3441" s="3861"/>
      <c r="G3441" s="898"/>
      <c r="H3441" s="3035"/>
      <c r="I3441" s="3335"/>
      <c r="J3441" s="2912"/>
      <c r="K3441" s="898"/>
      <c r="L3441" s="898"/>
      <c r="M3441" s="3335"/>
      <c r="N3441" s="2768"/>
    </row>
    <row r="3442" spans="2:14" ht="17.25" hidden="1" customHeight="1" x14ac:dyDescent="0.25">
      <c r="B3442" s="441"/>
      <c r="C3442" s="2611" t="s">
        <v>5625</v>
      </c>
      <c r="D3442" s="896">
        <v>100000000</v>
      </c>
      <c r="E3442" s="2688">
        <f>D3442/D3361*100</f>
        <v>8.7620265824465346E-2</v>
      </c>
      <c r="F3442" s="3861"/>
      <c r="G3442" s="898"/>
      <c r="H3442" s="3035"/>
      <c r="I3442" s="3335"/>
      <c r="J3442" s="2912"/>
      <c r="K3442" s="898"/>
      <c r="L3442" s="898"/>
      <c r="M3442" s="3335"/>
      <c r="N3442" s="2768"/>
    </row>
    <row r="3443" spans="2:14" ht="11.25" hidden="1" customHeight="1" x14ac:dyDescent="0.25">
      <c r="B3443" s="441"/>
      <c r="C3443" s="2473"/>
      <c r="D3443" s="896"/>
      <c r="E3443" s="2693"/>
      <c r="F3443" s="3853"/>
      <c r="G3443" s="2884"/>
      <c r="H3443" s="3257"/>
      <c r="I3443" s="2884"/>
      <c r="J3443" s="2883"/>
      <c r="K3443" s="2883"/>
      <c r="L3443" s="3259"/>
      <c r="M3443" s="2884"/>
      <c r="N3443" s="2768"/>
    </row>
    <row r="3444" spans="2:14" ht="16.5" hidden="1" customHeight="1" x14ac:dyDescent="0.25">
      <c r="B3444" s="441"/>
      <c r="C3444" s="2609" t="s">
        <v>5626</v>
      </c>
      <c r="D3444" s="2692">
        <f>SUM(D3445:D3446)</f>
        <v>155000000</v>
      </c>
      <c r="E3444" s="2693">
        <f>D3444/D3361*100</f>
        <v>0.1358114120279213</v>
      </c>
      <c r="F3444" s="3868"/>
      <c r="G3444" s="896"/>
      <c r="H3444" s="3275"/>
      <c r="I3444" s="2757"/>
      <c r="J3444" s="2851"/>
      <c r="K3444" s="896"/>
      <c r="L3444" s="3276"/>
      <c r="M3444" s="2757"/>
      <c r="N3444" s="2768"/>
    </row>
    <row r="3445" spans="2:14" ht="18.75" hidden="1" customHeight="1" x14ac:dyDescent="0.25">
      <c r="B3445" s="441"/>
      <c r="C3445" s="2611" t="s">
        <v>5627</v>
      </c>
      <c r="D3445" s="896">
        <v>80000000</v>
      </c>
      <c r="E3445" s="2688">
        <f>D3445/D3361*100</f>
        <v>7.0096212659572277E-2</v>
      </c>
      <c r="F3445" s="3868"/>
      <c r="G3445" s="3161"/>
      <c r="H3445" s="3275"/>
      <c r="I3445" s="3161"/>
      <c r="J3445" s="2851"/>
      <c r="K3445" s="896"/>
      <c r="L3445" s="3276"/>
      <c r="M3445" s="2757"/>
      <c r="N3445" s="2768"/>
    </row>
    <row r="3446" spans="2:14" ht="18.75" hidden="1" customHeight="1" x14ac:dyDescent="0.25">
      <c r="B3446" s="441"/>
      <c r="C3446" s="2611" t="s">
        <v>5628</v>
      </c>
      <c r="D3446" s="896">
        <v>75000000</v>
      </c>
      <c r="E3446" s="2688">
        <f>D3446/D3361*100</f>
        <v>6.5715199368349006E-2</v>
      </c>
      <c r="F3446" s="3868"/>
      <c r="G3446" s="3161"/>
      <c r="H3446" s="3275"/>
      <c r="I3446" s="3161"/>
      <c r="J3446" s="2851"/>
      <c r="K3446" s="896"/>
      <c r="L3446" s="3276"/>
      <c r="M3446" s="2757"/>
      <c r="N3446" s="2768"/>
    </row>
    <row r="3447" spans="2:14" ht="12" hidden="1" customHeight="1" x14ac:dyDescent="0.25">
      <c r="B3447" s="441"/>
      <c r="C3447" s="2473"/>
      <c r="D3447" s="896"/>
      <c r="E3447" s="2688"/>
      <c r="F3447" s="3868"/>
      <c r="G3447" s="896"/>
      <c r="H3447" s="3275"/>
      <c r="I3447" s="2757"/>
      <c r="J3447" s="2851"/>
      <c r="K3447" s="3405"/>
      <c r="L3447" s="3276"/>
      <c r="M3447" s="2757"/>
      <c r="N3447" s="2768"/>
    </row>
    <row r="3448" spans="2:14" ht="16.5" hidden="1" customHeight="1" x14ac:dyDescent="0.25">
      <c r="B3448" s="441"/>
      <c r="C3448" s="2609" t="s">
        <v>5629</v>
      </c>
      <c r="D3448" s="2692">
        <f>SUM(D3449:D3452)</f>
        <v>385000000</v>
      </c>
      <c r="E3448" s="2693">
        <f>D3448/D3361*100</f>
        <v>0.33733802342419156</v>
      </c>
      <c r="F3448" s="3853"/>
      <c r="G3448" s="2884"/>
      <c r="H3448" s="3257"/>
      <c r="I3448" s="2884"/>
      <c r="J3448" s="2883"/>
      <c r="K3448" s="2883"/>
      <c r="L3448" s="3259"/>
      <c r="M3448" s="2884"/>
      <c r="N3448" s="2768"/>
    </row>
    <row r="3449" spans="2:14" ht="16.5" hidden="1" customHeight="1" x14ac:dyDescent="0.25">
      <c r="B3449" s="441"/>
      <c r="C3449" s="2611" t="s">
        <v>5630</v>
      </c>
      <c r="D3449" s="896">
        <v>150000000</v>
      </c>
      <c r="E3449" s="2688">
        <f>D3449/D3361*100</f>
        <v>0.13143039873669801</v>
      </c>
      <c r="F3449" s="3868"/>
      <c r="G3449" s="896"/>
      <c r="H3449" s="3275"/>
      <c r="I3449" s="2757"/>
      <c r="J3449" s="2851"/>
      <c r="K3449" s="3405"/>
      <c r="L3449" s="3276"/>
      <c r="M3449" s="2757"/>
      <c r="N3449" s="2768"/>
    </row>
    <row r="3450" spans="2:14" ht="18" hidden="1" customHeight="1" x14ac:dyDescent="0.25">
      <c r="B3450" s="441"/>
      <c r="C3450" s="2611" t="s">
        <v>5631</v>
      </c>
      <c r="D3450" s="896">
        <v>125400000</v>
      </c>
      <c r="E3450" s="2688">
        <f>D3450/D3361*100</f>
        <v>0.10987581334387954</v>
      </c>
      <c r="F3450" s="3868"/>
      <c r="G3450" s="3161"/>
      <c r="H3450" s="3275"/>
      <c r="I3450" s="3161"/>
      <c r="J3450" s="2851"/>
      <c r="K3450" s="3405"/>
      <c r="L3450" s="3276"/>
      <c r="M3450" s="2757"/>
      <c r="N3450" s="2768"/>
    </row>
    <row r="3451" spans="2:14" ht="17.25" hidden="1" customHeight="1" x14ac:dyDescent="0.25">
      <c r="B3451" s="441"/>
      <c r="C3451" s="2611" t="s">
        <v>5632</v>
      </c>
      <c r="D3451" s="896">
        <v>71100000</v>
      </c>
      <c r="E3451" s="2688">
        <f>D3451/D3361*100</f>
        <v>6.2298009001194858E-2</v>
      </c>
      <c r="F3451" s="4446"/>
      <c r="G3451" s="896"/>
      <c r="H3451" s="2690"/>
      <c r="I3451" s="2757"/>
      <c r="J3451" s="2851"/>
      <c r="K3451" s="898"/>
      <c r="L3451" s="898"/>
      <c r="M3451" s="3335"/>
      <c r="N3451" s="2768"/>
    </row>
    <row r="3452" spans="2:14" ht="17.25" hidden="1" customHeight="1" x14ac:dyDescent="0.25">
      <c r="B3452" s="441"/>
      <c r="C3452" s="2611" t="s">
        <v>5633</v>
      </c>
      <c r="D3452" s="896">
        <v>38500000</v>
      </c>
      <c r="E3452" s="2688">
        <f>D3452/D3361*100</f>
        <v>3.3733802342419156E-2</v>
      </c>
      <c r="F3452" s="3853"/>
      <c r="G3452" s="2884"/>
      <c r="H3452" s="2695"/>
      <c r="I3452" s="2884"/>
      <c r="J3452" s="2883"/>
      <c r="K3452" s="2883"/>
      <c r="L3452" s="3259"/>
      <c r="M3452" s="2884"/>
      <c r="N3452" s="2768"/>
    </row>
    <row r="3453" spans="2:14" ht="10.5" hidden="1" customHeight="1" x14ac:dyDescent="0.25">
      <c r="B3453" s="441"/>
      <c r="C3453" s="2473"/>
      <c r="D3453" s="896"/>
      <c r="E3453" s="2693"/>
      <c r="F3453" s="3853"/>
      <c r="G3453" s="2884"/>
      <c r="H3453" s="2695"/>
      <c r="I3453" s="2884"/>
      <c r="J3453" s="2883"/>
      <c r="K3453" s="2883"/>
      <c r="L3453" s="3259"/>
      <c r="M3453" s="2884"/>
      <c r="N3453" s="2768"/>
    </row>
    <row r="3454" spans="2:14" ht="17.25" hidden="1" customHeight="1" x14ac:dyDescent="0.25">
      <c r="B3454" s="441"/>
      <c r="C3454" s="2609" t="s">
        <v>5634</v>
      </c>
      <c r="D3454" s="2692">
        <f>SUM(D3455:D3459)</f>
        <v>360000000</v>
      </c>
      <c r="E3454" s="2693">
        <f>D3454/D3361*100</f>
        <v>0.31543295696807522</v>
      </c>
      <c r="F3454" s="3868"/>
      <c r="G3454" s="2878"/>
      <c r="H3454" s="2690"/>
      <c r="I3454" s="2757"/>
      <c r="J3454" s="2851"/>
      <c r="K3454" s="3408"/>
      <c r="L3454" s="3276"/>
      <c r="M3454" s="2757"/>
      <c r="N3454" s="2768"/>
    </row>
    <row r="3455" spans="2:14" ht="16.5" hidden="1" customHeight="1" x14ac:dyDescent="0.25">
      <c r="B3455" s="441"/>
      <c r="C3455" s="2611" t="s">
        <v>5635</v>
      </c>
      <c r="D3455" s="896">
        <v>80000000</v>
      </c>
      <c r="E3455" s="2688">
        <f>D3455/D3361*100</f>
        <v>7.0096212659572277E-2</v>
      </c>
      <c r="F3455" s="4446"/>
      <c r="G3455" s="2851"/>
      <c r="H3455" s="2690"/>
      <c r="I3455" s="2757"/>
      <c r="J3455" s="2851"/>
      <c r="K3455" s="896"/>
      <c r="L3455" s="896"/>
      <c r="M3455" s="2757"/>
      <c r="N3455" s="2768"/>
    </row>
    <row r="3456" spans="2:14" ht="15" hidden="1" customHeight="1" x14ac:dyDescent="0.25">
      <c r="B3456" s="441"/>
      <c r="C3456" s="2611" t="s">
        <v>5636</v>
      </c>
      <c r="D3456" s="896">
        <v>85000000</v>
      </c>
      <c r="E3456" s="2688">
        <f>D3456/D3361*100</f>
        <v>7.4477225950795548E-2</v>
      </c>
      <c r="F3456" s="3853"/>
      <c r="G3456" s="2884"/>
      <c r="H3456" s="2695"/>
      <c r="I3456" s="2884"/>
      <c r="J3456" s="2883"/>
      <c r="K3456" s="2883"/>
      <c r="L3456" s="3259"/>
      <c r="M3456" s="2884"/>
      <c r="N3456" s="2768"/>
    </row>
    <row r="3457" spans="2:14" ht="16.5" hidden="1" customHeight="1" x14ac:dyDescent="0.25">
      <c r="B3457" s="441"/>
      <c r="C3457" s="2611" t="s">
        <v>5637</v>
      </c>
      <c r="D3457" s="896">
        <v>75000000</v>
      </c>
      <c r="E3457" s="2688">
        <f>D3457/D3361*100</f>
        <v>6.5715199368349006E-2</v>
      </c>
      <c r="F3457" s="3868"/>
      <c r="G3457" s="2878"/>
      <c r="H3457" s="2690"/>
      <c r="I3457" s="2757"/>
      <c r="J3457" s="2851"/>
      <c r="K3457" s="2851"/>
      <c r="L3457" s="3276"/>
      <c r="M3457" s="2757"/>
      <c r="N3457" s="2768"/>
    </row>
    <row r="3458" spans="2:14" ht="18" hidden="1" customHeight="1" x14ac:dyDescent="0.25">
      <c r="B3458" s="441"/>
      <c r="C3458" s="2611" t="s">
        <v>5638</v>
      </c>
      <c r="D3458" s="896">
        <v>60000000</v>
      </c>
      <c r="E3458" s="2688">
        <f>D3458/D3361*100</f>
        <v>5.2572159494679208E-2</v>
      </c>
      <c r="F3458" s="4447"/>
      <c r="G3458" s="2709"/>
      <c r="H3458" s="2710"/>
      <c r="I3458" s="2742"/>
      <c r="J3458" s="2871"/>
      <c r="K3458" s="2709"/>
      <c r="L3458" s="2709"/>
      <c r="M3458" s="2742"/>
      <c r="N3458" s="2768"/>
    </row>
    <row r="3459" spans="2:14" ht="31.5" hidden="1" customHeight="1" x14ac:dyDescent="0.25">
      <c r="B3459" s="441"/>
      <c r="C3459" s="2611" t="s">
        <v>5639</v>
      </c>
      <c r="D3459" s="896">
        <v>60000000</v>
      </c>
      <c r="E3459" s="2688">
        <f>D3459/D3361*100</f>
        <v>5.2572159494679208E-2</v>
      </c>
      <c r="F3459" s="3853"/>
      <c r="G3459" s="2970"/>
      <c r="H3459" s="2969"/>
      <c r="I3459" s="2970"/>
      <c r="J3459" s="2883"/>
      <c r="K3459" s="2883"/>
      <c r="L3459" s="3257"/>
      <c r="M3459" s="2970"/>
      <c r="N3459" s="2743"/>
    </row>
    <row r="3460" spans="2:14" ht="10.5" hidden="1" customHeight="1" x14ac:dyDescent="0.25">
      <c r="B3460" s="441"/>
      <c r="C3460" s="2476"/>
      <c r="D3460" s="2709"/>
      <c r="E3460" s="3341"/>
      <c r="F3460" s="4447"/>
      <c r="G3460" s="2709"/>
      <c r="H3460" s="2710"/>
      <c r="I3460" s="2742"/>
      <c r="J3460" s="2871"/>
      <c r="K3460" s="2709"/>
      <c r="L3460" s="2709"/>
      <c r="M3460" s="2742"/>
      <c r="N3460" s="2768"/>
    </row>
    <row r="3461" spans="2:14" ht="16.5" hidden="1" customHeight="1" x14ac:dyDescent="0.25">
      <c r="B3461" s="441"/>
      <c r="C3461" s="2474" t="s">
        <v>5640</v>
      </c>
      <c r="D3461" s="899">
        <f>SUM(D3462:D3467)</f>
        <v>1885000000</v>
      </c>
      <c r="E3461" s="2693">
        <f>D3461/D3361*100</f>
        <v>1.6516420107911718</v>
      </c>
      <c r="F3461" s="4446"/>
      <c r="G3461" s="896"/>
      <c r="H3461" s="2690"/>
      <c r="I3461" s="2757"/>
      <c r="J3461" s="2851"/>
      <c r="K3461" s="896"/>
      <c r="L3461" s="896"/>
      <c r="M3461" s="2757"/>
      <c r="N3461" s="2768"/>
    </row>
    <row r="3462" spans="2:14" ht="16.5" hidden="1" customHeight="1" x14ac:dyDescent="0.25">
      <c r="B3462" s="441"/>
      <c r="C3462" s="2473" t="s">
        <v>5642</v>
      </c>
      <c r="D3462" s="896">
        <v>700000000</v>
      </c>
      <c r="E3462" s="2688">
        <f>D3462/D3361*100</f>
        <v>0.61334186077125741</v>
      </c>
      <c r="F3462" s="4446"/>
      <c r="G3462" s="896"/>
      <c r="H3462" s="2690"/>
      <c r="I3462" s="2757"/>
      <c r="J3462" s="2851"/>
      <c r="K3462" s="896"/>
      <c r="L3462" s="896"/>
      <c r="M3462" s="2757"/>
      <c r="N3462" s="2768"/>
    </row>
    <row r="3463" spans="2:14" ht="16.5" hidden="1" customHeight="1" x14ac:dyDescent="0.25">
      <c r="B3463" s="441"/>
      <c r="C3463" s="2473" t="s">
        <v>5643</v>
      </c>
      <c r="D3463" s="896">
        <v>85000000</v>
      </c>
      <c r="E3463" s="2688">
        <f>D3463/D3361*100</f>
        <v>7.4477225950795548E-2</v>
      </c>
      <c r="F3463" s="4446"/>
      <c r="G3463" s="896"/>
      <c r="H3463" s="2690"/>
      <c r="I3463" s="2757"/>
      <c r="J3463" s="2851"/>
      <c r="K3463" s="896"/>
      <c r="L3463" s="896"/>
      <c r="M3463" s="2757"/>
      <c r="N3463" s="2768"/>
    </row>
    <row r="3464" spans="2:14" ht="16.5" hidden="1" customHeight="1" x14ac:dyDescent="0.25">
      <c r="B3464" s="441"/>
      <c r="C3464" s="2473" t="s">
        <v>5644</v>
      </c>
      <c r="D3464" s="896">
        <v>225000000</v>
      </c>
      <c r="E3464" s="2688">
        <f>D3464/D3361*100</f>
        <v>0.19714559810504706</v>
      </c>
      <c r="F3464" s="4446"/>
      <c r="G3464" s="896"/>
      <c r="H3464" s="2690"/>
      <c r="I3464" s="2757"/>
      <c r="J3464" s="2851"/>
      <c r="K3464" s="896"/>
      <c r="L3464" s="896"/>
      <c r="M3464" s="2757"/>
      <c r="N3464" s="2768"/>
    </row>
    <row r="3465" spans="2:14" ht="16.5" hidden="1" customHeight="1" x14ac:dyDescent="0.25">
      <c r="B3465" s="441"/>
      <c r="C3465" s="2473" t="s">
        <v>5645</v>
      </c>
      <c r="D3465" s="896">
        <v>700000000</v>
      </c>
      <c r="E3465" s="2688">
        <f>D3465/D3361*100</f>
        <v>0.61334186077125741</v>
      </c>
      <c r="F3465" s="4446"/>
      <c r="G3465" s="896"/>
      <c r="H3465" s="2690"/>
      <c r="I3465" s="2757"/>
      <c r="J3465" s="2851"/>
      <c r="K3465" s="896"/>
      <c r="L3465" s="896"/>
      <c r="M3465" s="2757"/>
      <c r="N3465" s="2768"/>
    </row>
    <row r="3466" spans="2:14" ht="16.5" hidden="1" customHeight="1" x14ac:dyDescent="0.25">
      <c r="B3466" s="441"/>
      <c r="C3466" s="2473" t="s">
        <v>5646</v>
      </c>
      <c r="D3466" s="896">
        <v>125000000</v>
      </c>
      <c r="E3466" s="2688">
        <f>D3466/D3361*100</f>
        <v>0.10952533228058169</v>
      </c>
      <c r="F3466" s="4446"/>
      <c r="G3466" s="896"/>
      <c r="H3466" s="2690"/>
      <c r="I3466" s="2757"/>
      <c r="J3466" s="2851"/>
      <c r="K3466" s="896"/>
      <c r="L3466" s="896"/>
      <c r="M3466" s="2757"/>
      <c r="N3466" s="2768"/>
    </row>
    <row r="3467" spans="2:14" ht="16.5" hidden="1" customHeight="1" x14ac:dyDescent="0.25">
      <c r="B3467" s="441"/>
      <c r="C3467" s="2473" t="s">
        <v>5647</v>
      </c>
      <c r="D3467" s="896">
        <v>50000000</v>
      </c>
      <c r="E3467" s="2688">
        <f>D3467/D3361*100</f>
        <v>4.3810132912232673E-2</v>
      </c>
      <c r="F3467" s="4446"/>
      <c r="G3467" s="896"/>
      <c r="H3467" s="2690"/>
      <c r="I3467" s="2757"/>
      <c r="J3467" s="2851"/>
      <c r="K3467" s="896"/>
      <c r="L3467" s="896"/>
      <c r="M3467" s="2757"/>
      <c r="N3467" s="2768"/>
    </row>
    <row r="3468" spans="2:14" ht="9.75" hidden="1" customHeight="1" x14ac:dyDescent="0.25">
      <c r="B3468" s="441"/>
      <c r="C3468" s="2473"/>
      <c r="D3468" s="896"/>
      <c r="E3468" s="3334"/>
      <c r="F3468" s="4446"/>
      <c r="G3468" s="896"/>
      <c r="H3468" s="2690"/>
      <c r="I3468" s="2757"/>
      <c r="J3468" s="2851"/>
      <c r="K3468" s="896"/>
      <c r="L3468" s="896"/>
      <c r="M3468" s="2757"/>
      <c r="N3468" s="2768"/>
    </row>
    <row r="3469" spans="2:14" ht="21" hidden="1" customHeight="1" x14ac:dyDescent="0.25">
      <c r="B3469" s="441"/>
      <c r="C3469" s="2474" t="s">
        <v>5641</v>
      </c>
      <c r="D3469" s="899">
        <f>SUM(D3470:D3480)</f>
        <v>1010000000</v>
      </c>
      <c r="E3469" s="2693">
        <f>D3469/D3361*100</f>
        <v>0.8849646848271</v>
      </c>
      <c r="F3469" s="4446"/>
      <c r="G3469" s="896"/>
      <c r="H3469" s="2690"/>
      <c r="I3469" s="2757"/>
      <c r="J3469" s="2851"/>
      <c r="K3469" s="896"/>
      <c r="L3469" s="896"/>
      <c r="M3469" s="2757"/>
      <c r="N3469" s="2768"/>
    </row>
    <row r="3470" spans="2:14" ht="16.5" hidden="1" customHeight="1" x14ac:dyDescent="0.25">
      <c r="B3470" s="441"/>
      <c r="C3470" s="2473" t="s">
        <v>5648</v>
      </c>
      <c r="D3470" s="896">
        <v>75000000</v>
      </c>
      <c r="E3470" s="2688">
        <f>D3470/D3361*100</f>
        <v>6.5715199368349006E-2</v>
      </c>
      <c r="F3470" s="4446"/>
      <c r="G3470" s="896"/>
      <c r="H3470" s="2690"/>
      <c r="I3470" s="2757"/>
      <c r="J3470" s="2851"/>
      <c r="K3470" s="896"/>
      <c r="L3470" s="896"/>
      <c r="M3470" s="2757"/>
      <c r="N3470" s="2768"/>
    </row>
    <row r="3471" spans="2:14" ht="16.5" hidden="1" customHeight="1" x14ac:dyDescent="0.25">
      <c r="B3471" s="441"/>
      <c r="C3471" s="2473" t="s">
        <v>5649</v>
      </c>
      <c r="D3471" s="896">
        <v>65000000</v>
      </c>
      <c r="E3471" s="2688">
        <f>D3471/D3361*100</f>
        <v>5.6953172785902478E-2</v>
      </c>
      <c r="F3471" s="4446"/>
      <c r="G3471" s="896"/>
      <c r="H3471" s="2690"/>
      <c r="I3471" s="2757"/>
      <c r="J3471" s="2851"/>
      <c r="K3471" s="896"/>
      <c r="L3471" s="896"/>
      <c r="M3471" s="2757"/>
      <c r="N3471" s="2768"/>
    </row>
    <row r="3472" spans="2:14" ht="16.5" hidden="1" customHeight="1" x14ac:dyDescent="0.25">
      <c r="B3472" s="441"/>
      <c r="C3472" s="2473" t="s">
        <v>5650</v>
      </c>
      <c r="D3472" s="896">
        <v>60000000</v>
      </c>
      <c r="E3472" s="2688">
        <f>D3472/D3361*100</f>
        <v>5.2572159494679208E-2</v>
      </c>
      <c r="F3472" s="4446"/>
      <c r="G3472" s="896"/>
      <c r="H3472" s="2690"/>
      <c r="I3472" s="2757"/>
      <c r="J3472" s="2851"/>
      <c r="K3472" s="896"/>
      <c r="L3472" s="896"/>
      <c r="M3472" s="2757"/>
      <c r="N3472" s="2768"/>
    </row>
    <row r="3473" spans="2:14" ht="16.5" hidden="1" customHeight="1" x14ac:dyDescent="0.25">
      <c r="B3473" s="441"/>
      <c r="C3473" s="2473" t="s">
        <v>5651</v>
      </c>
      <c r="D3473" s="896">
        <v>80000000</v>
      </c>
      <c r="E3473" s="2688">
        <f>D3473/D3361*100</f>
        <v>7.0096212659572277E-2</v>
      </c>
      <c r="F3473" s="4446"/>
      <c r="G3473" s="896"/>
      <c r="H3473" s="2690"/>
      <c r="I3473" s="2757"/>
      <c r="J3473" s="2851"/>
      <c r="K3473" s="896"/>
      <c r="L3473" s="896"/>
      <c r="M3473" s="2757"/>
      <c r="N3473" s="2768"/>
    </row>
    <row r="3474" spans="2:14" ht="16.5" hidden="1" customHeight="1" x14ac:dyDescent="0.25">
      <c r="B3474" s="441"/>
      <c r="C3474" s="2473" t="s">
        <v>5652</v>
      </c>
      <c r="D3474" s="896">
        <v>75000000</v>
      </c>
      <c r="E3474" s="2688">
        <f>D3474/D3361*100</f>
        <v>6.5715199368349006E-2</v>
      </c>
      <c r="F3474" s="4446"/>
      <c r="G3474" s="896"/>
      <c r="H3474" s="2690"/>
      <c r="I3474" s="2757"/>
      <c r="J3474" s="2851"/>
      <c r="K3474" s="896"/>
      <c r="L3474" s="896"/>
      <c r="M3474" s="2757"/>
      <c r="N3474" s="2768"/>
    </row>
    <row r="3475" spans="2:14" ht="16.5" hidden="1" customHeight="1" x14ac:dyDescent="0.25">
      <c r="B3475" s="441"/>
      <c r="C3475" s="2473" t="s">
        <v>5653</v>
      </c>
      <c r="D3475" s="896">
        <v>60000000</v>
      </c>
      <c r="E3475" s="2688">
        <f>D3475/D3361*100</f>
        <v>5.2572159494679208E-2</v>
      </c>
      <c r="F3475" s="4446"/>
      <c r="G3475" s="896"/>
      <c r="H3475" s="2690"/>
      <c r="I3475" s="2757"/>
      <c r="J3475" s="2851"/>
      <c r="K3475" s="896"/>
      <c r="L3475" s="896"/>
      <c r="M3475" s="2757"/>
      <c r="N3475" s="2768"/>
    </row>
    <row r="3476" spans="2:14" ht="16.5" hidden="1" customHeight="1" x14ac:dyDescent="0.25">
      <c r="B3476" s="441"/>
      <c r="C3476" s="2473" t="s">
        <v>5654</v>
      </c>
      <c r="D3476" s="896">
        <v>75000000</v>
      </c>
      <c r="E3476" s="2688">
        <f>D3476/D3361*100</f>
        <v>6.5715199368349006E-2</v>
      </c>
      <c r="F3476" s="4446"/>
      <c r="G3476" s="896"/>
      <c r="H3476" s="2690"/>
      <c r="I3476" s="2757"/>
      <c r="J3476" s="2851"/>
      <c r="K3476" s="896"/>
      <c r="L3476" s="896"/>
      <c r="M3476" s="2757"/>
      <c r="N3476" s="2768"/>
    </row>
    <row r="3477" spans="2:14" ht="16.5" hidden="1" customHeight="1" x14ac:dyDescent="0.25">
      <c r="B3477" s="441"/>
      <c r="C3477" s="2473" t="s">
        <v>5655</v>
      </c>
      <c r="D3477" s="896">
        <v>70000000</v>
      </c>
      <c r="E3477" s="2688">
        <f>D3477/D3361*100</f>
        <v>6.1334186077125742E-2</v>
      </c>
      <c r="F3477" s="4446"/>
      <c r="G3477" s="896"/>
      <c r="H3477" s="2690"/>
      <c r="I3477" s="2757"/>
      <c r="J3477" s="2851"/>
      <c r="K3477" s="896"/>
      <c r="L3477" s="896"/>
      <c r="M3477" s="2757"/>
      <c r="N3477" s="2768"/>
    </row>
    <row r="3478" spans="2:14" ht="16.5" hidden="1" customHeight="1" x14ac:dyDescent="0.25">
      <c r="B3478" s="441"/>
      <c r="C3478" s="2473" t="s">
        <v>5656</v>
      </c>
      <c r="D3478" s="896">
        <v>80000000</v>
      </c>
      <c r="E3478" s="2688">
        <f>D3478/D3361*100</f>
        <v>7.0096212659572277E-2</v>
      </c>
      <c r="F3478" s="4446"/>
      <c r="G3478" s="896"/>
      <c r="H3478" s="2690"/>
      <c r="I3478" s="2757"/>
      <c r="J3478" s="2851"/>
      <c r="K3478" s="896"/>
      <c r="L3478" s="896"/>
      <c r="M3478" s="2757"/>
      <c r="N3478" s="2768"/>
    </row>
    <row r="3479" spans="2:14" ht="16.5" hidden="1" customHeight="1" x14ac:dyDescent="0.25">
      <c r="B3479" s="441"/>
      <c r="C3479" s="2473" t="s">
        <v>5657</v>
      </c>
      <c r="D3479" s="896">
        <v>70000000</v>
      </c>
      <c r="E3479" s="2688">
        <f>D3479/D3361*100</f>
        <v>6.1334186077125742E-2</v>
      </c>
      <c r="F3479" s="4446"/>
      <c r="G3479" s="896"/>
      <c r="H3479" s="2690"/>
      <c r="I3479" s="2757"/>
      <c r="J3479" s="2851"/>
      <c r="K3479" s="896"/>
      <c r="L3479" s="896"/>
      <c r="M3479" s="2757"/>
      <c r="N3479" s="2768"/>
    </row>
    <row r="3480" spans="2:14" ht="16.5" hidden="1" customHeight="1" x14ac:dyDescent="0.25">
      <c r="B3480" s="441"/>
      <c r="C3480" s="2473" t="s">
        <v>5658</v>
      </c>
      <c r="D3480" s="896">
        <v>300000000</v>
      </c>
      <c r="E3480" s="2688">
        <f>D3480/D3361*100</f>
        <v>0.26286079747339602</v>
      </c>
      <c r="F3480" s="4446"/>
      <c r="G3480" s="896"/>
      <c r="H3480" s="2690"/>
      <c r="I3480" s="2757"/>
      <c r="J3480" s="2851"/>
      <c r="K3480" s="896"/>
      <c r="L3480" s="896"/>
      <c r="M3480" s="2757"/>
      <c r="N3480" s="2768"/>
    </row>
    <row r="3481" spans="2:14" ht="16.5" hidden="1" customHeight="1" x14ac:dyDescent="0.25">
      <c r="B3481" s="441"/>
      <c r="C3481" s="3753"/>
      <c r="D3481" s="2769"/>
      <c r="E3481" s="3341"/>
      <c r="F3481" s="4453"/>
      <c r="G3481" s="2769"/>
      <c r="H3481" s="2752"/>
      <c r="I3481" s="2753"/>
      <c r="J3481" s="2913"/>
      <c r="K3481" s="2769"/>
      <c r="L3481" s="2769"/>
      <c r="M3481" s="2753"/>
      <c r="N3481" s="2768"/>
    </row>
    <row r="3482" spans="2:14" ht="15.75" hidden="1" customHeight="1" x14ac:dyDescent="0.25">
      <c r="B3482" s="440"/>
      <c r="C3482" s="2497" t="s">
        <v>2334</v>
      </c>
      <c r="D3482" s="2669">
        <f>SUM(D3483+D3488)</f>
        <v>7398820000</v>
      </c>
      <c r="E3482" s="3411">
        <f>D3482/D3361*100</f>
        <v>6.4828657518737067</v>
      </c>
      <c r="F3482" s="3911"/>
      <c r="G3482" s="3149"/>
      <c r="H3482" s="2746"/>
      <c r="I3482" s="2747"/>
      <c r="J3482" s="3381"/>
      <c r="K3482" s="3149"/>
      <c r="L3482" s="3149"/>
      <c r="M3482" s="2747"/>
      <c r="N3482" s="2768"/>
    </row>
    <row r="3483" spans="2:14" ht="18.75" hidden="1" customHeight="1" x14ac:dyDescent="0.25">
      <c r="B3483" s="441"/>
      <c r="C3483" s="2609" t="s">
        <v>5659</v>
      </c>
      <c r="D3483" s="2676">
        <f>SUM(D3484:D3486)</f>
        <v>630000000</v>
      </c>
      <c r="E3483" s="3412">
        <f>D3483/D3361*100</f>
        <v>0.5520076746941317</v>
      </c>
      <c r="F3483" s="4453"/>
      <c r="G3483" s="2769"/>
      <c r="H3483" s="2752"/>
      <c r="I3483" s="2753"/>
      <c r="J3483" s="2913"/>
      <c r="K3483" s="2769"/>
      <c r="L3483" s="2769"/>
      <c r="M3483" s="2753"/>
      <c r="N3483" s="2768"/>
    </row>
    <row r="3484" spans="2:14" ht="15" hidden="1" customHeight="1" x14ac:dyDescent="0.25">
      <c r="B3484" s="441"/>
      <c r="C3484" s="4185" t="s">
        <v>5660</v>
      </c>
      <c r="D3484" s="896">
        <v>300000000</v>
      </c>
      <c r="E3484" s="3354">
        <f>D3484/D3361*100</f>
        <v>0.26286079747339602</v>
      </c>
      <c r="F3484" s="4446"/>
      <c r="G3484" s="896"/>
      <c r="H3484" s="2690"/>
      <c r="I3484" s="2757"/>
      <c r="J3484" s="2851"/>
      <c r="K3484" s="896"/>
      <c r="L3484" s="896"/>
      <c r="M3484" s="2757"/>
      <c r="N3484" s="2768"/>
    </row>
    <row r="3485" spans="2:14" ht="15" hidden="1" customHeight="1" x14ac:dyDescent="0.25">
      <c r="B3485" s="441"/>
      <c r="C3485" s="4185" t="s">
        <v>5661</v>
      </c>
      <c r="D3485" s="896">
        <v>180000000</v>
      </c>
      <c r="E3485" s="3354">
        <f>D3485/D3361*100</f>
        <v>0.15771647848403761</v>
      </c>
      <c r="F3485" s="4446"/>
      <c r="G3485" s="896"/>
      <c r="H3485" s="2690"/>
      <c r="I3485" s="2757"/>
      <c r="J3485" s="2851"/>
      <c r="K3485" s="896"/>
      <c r="L3485" s="896"/>
      <c r="M3485" s="2757"/>
      <c r="N3485" s="2768"/>
    </row>
    <row r="3486" spans="2:14" ht="19.5" hidden="1" customHeight="1" x14ac:dyDescent="0.25">
      <c r="B3486" s="441"/>
      <c r="C3486" s="4185" t="s">
        <v>5662</v>
      </c>
      <c r="D3486" s="896">
        <v>150000000</v>
      </c>
      <c r="E3486" s="3354">
        <f>D3486/D3361*100</f>
        <v>0.13143039873669801</v>
      </c>
      <c r="F3486" s="4446"/>
      <c r="G3486" s="896"/>
      <c r="H3486" s="2690"/>
      <c r="I3486" s="2757"/>
      <c r="J3486" s="2851"/>
      <c r="K3486" s="896"/>
      <c r="L3486" s="896"/>
      <c r="M3486" s="2757"/>
      <c r="N3486" s="2768"/>
    </row>
    <row r="3487" spans="2:14" ht="9" hidden="1" customHeight="1" x14ac:dyDescent="0.25">
      <c r="B3487" s="441"/>
      <c r="C3487" s="2473"/>
      <c r="D3487" s="896"/>
      <c r="E3487" s="3413"/>
      <c r="F3487" s="4446"/>
      <c r="G3487" s="896"/>
      <c r="H3487" s="2690"/>
      <c r="I3487" s="2757"/>
      <c r="J3487" s="2851"/>
      <c r="K3487" s="896"/>
      <c r="L3487" s="896"/>
      <c r="M3487" s="2757"/>
      <c r="N3487" s="2768"/>
    </row>
    <row r="3488" spans="2:14" ht="30.75" hidden="1" customHeight="1" x14ac:dyDescent="0.25">
      <c r="B3488" s="441"/>
      <c r="C3488" s="2491" t="s">
        <v>5663</v>
      </c>
      <c r="D3488" s="2692">
        <f>SUM(D3489:D3491)</f>
        <v>6768820000</v>
      </c>
      <c r="E3488" s="3356">
        <f>D3488/D3361*100</f>
        <v>5.9308580771795754</v>
      </c>
      <c r="F3488" s="4446"/>
      <c r="G3488" s="896"/>
      <c r="H3488" s="2690"/>
      <c r="I3488" s="2757"/>
      <c r="J3488" s="2851"/>
      <c r="K3488" s="896"/>
      <c r="L3488" s="896"/>
      <c r="M3488" s="2757"/>
      <c r="N3488" s="2768"/>
    </row>
    <row r="3489" spans="2:14" ht="13.5" hidden="1" customHeight="1" x14ac:dyDescent="0.25">
      <c r="B3489" s="441"/>
      <c r="C3489" s="2615" t="s">
        <v>5664</v>
      </c>
      <c r="D3489" s="896">
        <v>3268820000</v>
      </c>
      <c r="E3489" s="3354">
        <f>D3489/D3361*100</f>
        <v>2.8641487733232882</v>
      </c>
      <c r="F3489" s="4446"/>
      <c r="G3489" s="896"/>
      <c r="H3489" s="2690"/>
      <c r="I3489" s="2757"/>
      <c r="J3489" s="2851"/>
      <c r="K3489" s="896"/>
      <c r="L3489" s="896"/>
      <c r="M3489" s="2757"/>
      <c r="N3489" s="2768"/>
    </row>
    <row r="3490" spans="2:14" ht="15.75" hidden="1" customHeight="1" x14ac:dyDescent="0.25">
      <c r="B3490" s="441"/>
      <c r="C3490" s="2473" t="s">
        <v>5665</v>
      </c>
      <c r="D3490" s="896">
        <v>2500000000</v>
      </c>
      <c r="E3490" s="3354">
        <f>D3490/D3361*100</f>
        <v>2.1905066456116336</v>
      </c>
      <c r="F3490" s="4446"/>
      <c r="G3490" s="896"/>
      <c r="H3490" s="2690"/>
      <c r="I3490" s="2757"/>
      <c r="J3490" s="2851"/>
      <c r="K3490" s="896"/>
      <c r="L3490" s="896"/>
      <c r="M3490" s="2757"/>
      <c r="N3490" s="2768"/>
    </row>
    <row r="3491" spans="2:14" ht="15.75" hidden="1" customHeight="1" x14ac:dyDescent="0.25">
      <c r="B3491" s="441"/>
      <c r="C3491" s="2473" t="s">
        <v>5666</v>
      </c>
      <c r="D3491" s="896">
        <v>1000000000</v>
      </c>
      <c r="E3491" s="3354">
        <f>D3491/D3361*100</f>
        <v>0.87620265824465349</v>
      </c>
      <c r="F3491" s="4447"/>
      <c r="G3491" s="2709"/>
      <c r="H3491" s="2710"/>
      <c r="I3491" s="2742"/>
      <c r="J3491" s="2851"/>
      <c r="K3491" s="896"/>
      <c r="L3491" s="896"/>
      <c r="M3491" s="2757"/>
      <c r="N3491" s="2768"/>
    </row>
    <row r="3492" spans="2:14" ht="10.5" hidden="1" customHeight="1" x14ac:dyDescent="0.25">
      <c r="B3492" s="441"/>
      <c r="C3492" s="2475"/>
      <c r="D3492" s="2769"/>
      <c r="E3492" s="3352"/>
      <c r="F3492" s="4447"/>
      <c r="G3492" s="2709"/>
      <c r="H3492" s="2710"/>
      <c r="I3492" s="2742"/>
      <c r="J3492" s="2851"/>
      <c r="K3492" s="896"/>
      <c r="L3492" s="896"/>
      <c r="M3492" s="2757"/>
      <c r="N3492" s="2768"/>
    </row>
    <row r="3493" spans="2:14" ht="18" hidden="1" customHeight="1" x14ac:dyDescent="0.25">
      <c r="B3493" s="440"/>
      <c r="C3493" s="2606" t="s">
        <v>2340</v>
      </c>
      <c r="D3493" s="2669">
        <f>SUM(D3494+D3498+D3501+D3504+D3507+D3510+D3514)</f>
        <v>14365000000</v>
      </c>
      <c r="E3493" s="3411">
        <f>D3493/D3361*100</f>
        <v>12.586651185684447</v>
      </c>
      <c r="F3493" s="4483"/>
      <c r="G3493" s="3149"/>
      <c r="H3493" s="2746"/>
      <c r="I3493" s="2747"/>
      <c r="J3493" s="2851"/>
      <c r="K3493" s="896"/>
      <c r="L3493" s="896"/>
      <c r="M3493" s="2757"/>
      <c r="N3493" s="2768"/>
    </row>
    <row r="3494" spans="2:14" ht="17.25" hidden="1" customHeight="1" x14ac:dyDescent="0.25">
      <c r="B3494" s="441"/>
      <c r="C3494" s="2599" t="s">
        <v>5667</v>
      </c>
      <c r="D3494" s="2692">
        <f>SUM(D3495:D3496)</f>
        <v>3500000000</v>
      </c>
      <c r="E3494" s="3356">
        <f>D3494/D3361*100</f>
        <v>3.0667093038562871</v>
      </c>
      <c r="F3494" s="4446"/>
      <c r="G3494" s="896"/>
      <c r="H3494" s="2690"/>
      <c r="I3494" s="2757"/>
      <c r="J3494" s="2851"/>
      <c r="K3494" s="896"/>
      <c r="L3494" s="896"/>
      <c r="M3494" s="2757"/>
      <c r="N3494" s="2768"/>
    </row>
    <row r="3495" spans="2:14" ht="15.75" hidden="1" customHeight="1" x14ac:dyDescent="0.25">
      <c r="B3495" s="441"/>
      <c r="C3495" s="2494" t="s">
        <v>5670</v>
      </c>
      <c r="D3495" s="2698">
        <v>0</v>
      </c>
      <c r="E3495" s="3354">
        <f>D3495/D3361*100</f>
        <v>0</v>
      </c>
      <c r="F3495" s="4446"/>
      <c r="G3495" s="896"/>
      <c r="H3495" s="2690"/>
      <c r="I3495" s="2757"/>
      <c r="J3495" s="2851"/>
      <c r="K3495" s="896"/>
      <c r="L3495" s="896"/>
      <c r="M3495" s="2757"/>
      <c r="N3495" s="2768"/>
    </row>
    <row r="3496" spans="2:14" ht="15.75" hidden="1" customHeight="1" x14ac:dyDescent="0.25">
      <c r="B3496" s="441"/>
      <c r="C3496" s="2494" t="s">
        <v>5671</v>
      </c>
      <c r="D3496" s="2698">
        <v>3500000000</v>
      </c>
      <c r="E3496" s="3354">
        <f>D3496/D3361*100</f>
        <v>3.0667093038562871</v>
      </c>
      <c r="F3496" s="4446"/>
      <c r="G3496" s="896"/>
      <c r="H3496" s="2690"/>
      <c r="I3496" s="2757"/>
      <c r="J3496" s="2851"/>
      <c r="K3496" s="896"/>
      <c r="L3496" s="896"/>
      <c r="M3496" s="2757"/>
      <c r="N3496" s="2768"/>
    </row>
    <row r="3497" spans="2:14" ht="9" hidden="1" customHeight="1" x14ac:dyDescent="0.25">
      <c r="B3497" s="441"/>
      <c r="C3497" s="2494"/>
      <c r="D3497" s="2698"/>
      <c r="E3497" s="3354"/>
      <c r="F3497" s="4446"/>
      <c r="G3497" s="896"/>
      <c r="H3497" s="2690"/>
      <c r="I3497" s="2757"/>
      <c r="J3497" s="2851"/>
      <c r="K3497" s="896"/>
      <c r="L3497" s="896"/>
      <c r="M3497" s="2757"/>
      <c r="N3497" s="2768"/>
    </row>
    <row r="3498" spans="2:14" ht="15.75" hidden="1" customHeight="1" x14ac:dyDescent="0.25">
      <c r="B3498" s="441"/>
      <c r="C3498" s="2609" t="s">
        <v>5668</v>
      </c>
      <c r="D3498" s="2692">
        <f>D3499</f>
        <v>0</v>
      </c>
      <c r="E3498" s="3356">
        <f>D3498/D3361*100</f>
        <v>0</v>
      </c>
      <c r="F3498" s="4446"/>
      <c r="G3498" s="896"/>
      <c r="H3498" s="2690"/>
      <c r="I3498" s="2757"/>
      <c r="J3498" s="2851"/>
      <c r="K3498" s="896"/>
      <c r="L3498" s="896"/>
      <c r="M3498" s="2757"/>
      <c r="N3498" s="2768"/>
    </row>
    <row r="3499" spans="2:14" ht="16.5" hidden="1" customHeight="1" x14ac:dyDescent="0.25">
      <c r="B3499" s="441"/>
      <c r="C3499" s="2473" t="s">
        <v>5669</v>
      </c>
      <c r="D3499" s="896">
        <v>0</v>
      </c>
      <c r="E3499" s="3354">
        <f>D3499/D3361*100</f>
        <v>0</v>
      </c>
      <c r="F3499" s="4446"/>
      <c r="G3499" s="896"/>
      <c r="H3499" s="2690"/>
      <c r="I3499" s="2757"/>
      <c r="J3499" s="2851"/>
      <c r="K3499" s="896"/>
      <c r="L3499" s="896"/>
      <c r="M3499" s="2757"/>
      <c r="N3499" s="2768"/>
    </row>
    <row r="3500" spans="2:14" ht="9.75" hidden="1" customHeight="1" x14ac:dyDescent="0.25">
      <c r="B3500" s="441"/>
      <c r="C3500" s="2475"/>
      <c r="D3500" s="2769"/>
      <c r="E3500" s="3754"/>
      <c r="F3500" s="4453"/>
      <c r="G3500" s="2769"/>
      <c r="H3500" s="2752"/>
      <c r="I3500" s="2753"/>
      <c r="J3500" s="2913"/>
      <c r="K3500" s="2769"/>
      <c r="L3500" s="2769"/>
      <c r="M3500" s="2753"/>
      <c r="N3500" s="2768"/>
    </row>
    <row r="3501" spans="2:14" ht="16.5" hidden="1" customHeight="1" x14ac:dyDescent="0.25">
      <c r="B3501" s="441"/>
      <c r="C3501" s="2474" t="s">
        <v>5672</v>
      </c>
      <c r="D3501" s="899">
        <f>D3502</f>
        <v>2365000000</v>
      </c>
      <c r="E3501" s="3356">
        <f>D3501/D3361*100</f>
        <v>2.0722192867486058</v>
      </c>
      <c r="F3501" s="4446"/>
      <c r="G3501" s="896"/>
      <c r="H3501" s="2690"/>
      <c r="I3501" s="2757"/>
      <c r="J3501" s="2851"/>
      <c r="K3501" s="896"/>
      <c r="L3501" s="896"/>
      <c r="M3501" s="2757"/>
      <c r="N3501" s="2768"/>
    </row>
    <row r="3502" spans="2:14" ht="16.5" hidden="1" customHeight="1" x14ac:dyDescent="0.25">
      <c r="B3502" s="441"/>
      <c r="C3502" s="2473" t="s">
        <v>5673</v>
      </c>
      <c r="D3502" s="896">
        <v>2365000000</v>
      </c>
      <c r="E3502" s="3354">
        <f>D3502/D3361*100</f>
        <v>2.0722192867486058</v>
      </c>
      <c r="F3502" s="4446"/>
      <c r="G3502" s="896"/>
      <c r="H3502" s="2690"/>
      <c r="I3502" s="2757"/>
      <c r="J3502" s="2851"/>
      <c r="K3502" s="896"/>
      <c r="L3502" s="896"/>
      <c r="M3502" s="2757"/>
      <c r="N3502" s="2768"/>
    </row>
    <row r="3503" spans="2:14" ht="10.5" hidden="1" customHeight="1" x14ac:dyDescent="0.25">
      <c r="B3503" s="441"/>
      <c r="C3503" s="2473"/>
      <c r="D3503" s="896"/>
      <c r="E3503" s="3354"/>
      <c r="F3503" s="4446"/>
      <c r="G3503" s="896"/>
      <c r="H3503" s="2690"/>
      <c r="I3503" s="2757"/>
      <c r="J3503" s="2851"/>
      <c r="K3503" s="896"/>
      <c r="L3503" s="896"/>
      <c r="M3503" s="2757"/>
      <c r="N3503" s="2768"/>
    </row>
    <row r="3504" spans="2:14" ht="16.5" hidden="1" customHeight="1" x14ac:dyDescent="0.25">
      <c r="B3504" s="441"/>
      <c r="C3504" s="2474" t="s">
        <v>5674</v>
      </c>
      <c r="D3504" s="899">
        <f>D3505</f>
        <v>0</v>
      </c>
      <c r="E3504" s="3356">
        <f>D3504/D3361*100</f>
        <v>0</v>
      </c>
      <c r="F3504" s="4446"/>
      <c r="G3504" s="896"/>
      <c r="H3504" s="2690"/>
      <c r="I3504" s="2757"/>
      <c r="J3504" s="2851"/>
      <c r="K3504" s="896"/>
      <c r="L3504" s="896"/>
      <c r="M3504" s="2757"/>
      <c r="N3504" s="2768"/>
    </row>
    <row r="3505" spans="2:14" ht="16.5" hidden="1" customHeight="1" x14ac:dyDescent="0.25">
      <c r="B3505" s="441"/>
      <c r="C3505" s="2473" t="s">
        <v>5675</v>
      </c>
      <c r="D3505" s="896">
        <v>0</v>
      </c>
      <c r="E3505" s="3354">
        <f>D3505/D3361*100</f>
        <v>0</v>
      </c>
      <c r="F3505" s="4446"/>
      <c r="G3505" s="896"/>
      <c r="H3505" s="2690"/>
      <c r="I3505" s="2757"/>
      <c r="J3505" s="2851"/>
      <c r="K3505" s="896"/>
      <c r="L3505" s="896"/>
      <c r="M3505" s="2757"/>
      <c r="N3505" s="2768"/>
    </row>
    <row r="3506" spans="2:14" ht="10.5" hidden="1" customHeight="1" x14ac:dyDescent="0.25">
      <c r="B3506" s="441"/>
      <c r="C3506" s="2473"/>
      <c r="D3506" s="896"/>
      <c r="E3506" s="3354"/>
      <c r="F3506" s="4446"/>
      <c r="G3506" s="896"/>
      <c r="H3506" s="2690"/>
      <c r="I3506" s="2757"/>
      <c r="J3506" s="2851"/>
      <c r="K3506" s="896"/>
      <c r="L3506" s="896"/>
      <c r="M3506" s="2757"/>
      <c r="N3506" s="2768"/>
    </row>
    <row r="3507" spans="2:14" ht="21" hidden="1" customHeight="1" x14ac:dyDescent="0.25">
      <c r="B3507" s="441"/>
      <c r="C3507" s="2474" t="s">
        <v>5676</v>
      </c>
      <c r="D3507" s="899">
        <f>D3508</f>
        <v>5000000000</v>
      </c>
      <c r="E3507" s="3356">
        <f>D3507/D3361*100</f>
        <v>4.3810132912232671</v>
      </c>
      <c r="F3507" s="4446"/>
      <c r="G3507" s="896"/>
      <c r="H3507" s="2690"/>
      <c r="I3507" s="2757"/>
      <c r="J3507" s="2851"/>
      <c r="K3507" s="896"/>
      <c r="L3507" s="896"/>
      <c r="M3507" s="2757"/>
      <c r="N3507" s="2768"/>
    </row>
    <row r="3508" spans="2:14" ht="16.5" hidden="1" customHeight="1" x14ac:dyDescent="0.25">
      <c r="B3508" s="441"/>
      <c r="C3508" s="2473" t="s">
        <v>5677</v>
      </c>
      <c r="D3508" s="896">
        <v>5000000000</v>
      </c>
      <c r="E3508" s="3354">
        <f>D3508/D3361*100</f>
        <v>4.3810132912232671</v>
      </c>
      <c r="F3508" s="4446"/>
      <c r="G3508" s="896"/>
      <c r="H3508" s="2690"/>
      <c r="I3508" s="2757"/>
      <c r="J3508" s="2851"/>
      <c r="K3508" s="896"/>
      <c r="L3508" s="896"/>
      <c r="M3508" s="2757"/>
      <c r="N3508" s="2768"/>
    </row>
    <row r="3509" spans="2:14" ht="12" hidden="1" customHeight="1" x14ac:dyDescent="0.25">
      <c r="B3509" s="441"/>
      <c r="C3509" s="2473"/>
      <c r="D3509" s="896"/>
      <c r="E3509" s="3354"/>
      <c r="F3509" s="4446"/>
      <c r="G3509" s="896"/>
      <c r="H3509" s="2690"/>
      <c r="I3509" s="2757"/>
      <c r="J3509" s="2851"/>
      <c r="K3509" s="896"/>
      <c r="L3509" s="896"/>
      <c r="M3509" s="2757"/>
      <c r="N3509" s="2768"/>
    </row>
    <row r="3510" spans="2:14" ht="28.5" hidden="1" customHeight="1" x14ac:dyDescent="0.25">
      <c r="B3510" s="441"/>
      <c r="C3510" s="2474" t="s">
        <v>5678</v>
      </c>
      <c r="D3510" s="899">
        <f>SUM(D3511:D3512)</f>
        <v>3500000000</v>
      </c>
      <c r="E3510" s="3356">
        <f>D3510/D3361*100</f>
        <v>3.0667093038562871</v>
      </c>
      <c r="F3510" s="4446"/>
      <c r="G3510" s="896"/>
      <c r="H3510" s="2690"/>
      <c r="I3510" s="2757"/>
      <c r="J3510" s="2851"/>
      <c r="K3510" s="896"/>
      <c r="L3510" s="896"/>
      <c r="M3510" s="2757"/>
      <c r="N3510" s="2768"/>
    </row>
    <row r="3511" spans="2:14" ht="19.5" hidden="1" customHeight="1" x14ac:dyDescent="0.25">
      <c r="B3511" s="441"/>
      <c r="C3511" s="2473" t="s">
        <v>5679</v>
      </c>
      <c r="D3511" s="896">
        <v>3000000000</v>
      </c>
      <c r="E3511" s="3354">
        <f>D3511/D3361*100</f>
        <v>2.6286079747339604</v>
      </c>
      <c r="F3511" s="4446"/>
      <c r="G3511" s="896"/>
      <c r="H3511" s="2690"/>
      <c r="I3511" s="2757"/>
      <c r="J3511" s="2851"/>
      <c r="K3511" s="896"/>
      <c r="L3511" s="896"/>
      <c r="M3511" s="2757"/>
      <c r="N3511" s="2768"/>
    </row>
    <row r="3512" spans="2:14" ht="19.5" hidden="1" customHeight="1" x14ac:dyDescent="0.25">
      <c r="B3512" s="441"/>
      <c r="C3512" s="2473" t="s">
        <v>5680</v>
      </c>
      <c r="D3512" s="896">
        <v>500000000</v>
      </c>
      <c r="E3512" s="3354">
        <f>D3512/D3361*100</f>
        <v>0.43810132912232674</v>
      </c>
      <c r="F3512" s="4446"/>
      <c r="G3512" s="896"/>
      <c r="H3512" s="2690"/>
      <c r="I3512" s="2757"/>
      <c r="J3512" s="2851"/>
      <c r="K3512" s="896"/>
      <c r="L3512" s="896"/>
      <c r="M3512" s="2757"/>
      <c r="N3512" s="2768"/>
    </row>
    <row r="3513" spans="2:14" ht="11.25" hidden="1" customHeight="1" x14ac:dyDescent="0.25">
      <c r="B3513" s="441"/>
      <c r="C3513" s="2473"/>
      <c r="D3513" s="896"/>
      <c r="E3513" s="3354"/>
      <c r="F3513" s="4446"/>
      <c r="G3513" s="896"/>
      <c r="H3513" s="2690"/>
      <c r="I3513" s="2757"/>
      <c r="J3513" s="2851"/>
      <c r="K3513" s="896"/>
      <c r="L3513" s="896"/>
      <c r="M3513" s="2757"/>
      <c r="N3513" s="2768"/>
    </row>
    <row r="3514" spans="2:14" ht="16.5" hidden="1" customHeight="1" x14ac:dyDescent="0.25">
      <c r="B3514" s="441"/>
      <c r="C3514" s="2474" t="s">
        <v>5681</v>
      </c>
      <c r="D3514" s="899">
        <f>D3515</f>
        <v>0</v>
      </c>
      <c r="E3514" s="3356">
        <f>D3514/D3361*100</f>
        <v>0</v>
      </c>
      <c r="F3514" s="4446"/>
      <c r="G3514" s="896"/>
      <c r="H3514" s="2690"/>
      <c r="I3514" s="2757"/>
      <c r="J3514" s="2851"/>
      <c r="K3514" s="896"/>
      <c r="L3514" s="896"/>
      <c r="M3514" s="2757"/>
      <c r="N3514" s="2768"/>
    </row>
    <row r="3515" spans="2:14" ht="16.5" hidden="1" customHeight="1" x14ac:dyDescent="0.25">
      <c r="B3515" s="441"/>
      <c r="C3515" s="2473" t="s">
        <v>5682</v>
      </c>
      <c r="D3515" s="896">
        <v>0</v>
      </c>
      <c r="E3515" s="3354">
        <f>D3515/D3361*100</f>
        <v>0</v>
      </c>
      <c r="F3515" s="4446"/>
      <c r="G3515" s="896"/>
      <c r="H3515" s="2690"/>
      <c r="I3515" s="2757"/>
      <c r="J3515" s="2851"/>
      <c r="K3515" s="896"/>
      <c r="L3515" s="896"/>
      <c r="M3515" s="2757"/>
      <c r="N3515" s="2768"/>
    </row>
    <row r="3516" spans="2:14" ht="17.25" hidden="1" customHeight="1" x14ac:dyDescent="0.25">
      <c r="B3516" s="441"/>
      <c r="C3516" s="2475"/>
      <c r="D3516" s="2769"/>
      <c r="E3516" s="3341"/>
      <c r="F3516" s="4453"/>
      <c r="G3516" s="2769"/>
      <c r="H3516" s="2752"/>
      <c r="I3516" s="2753"/>
      <c r="J3516" s="2913"/>
      <c r="K3516" s="2769"/>
      <c r="L3516" s="2769"/>
      <c r="M3516" s="2753"/>
      <c r="N3516" s="2768"/>
    </row>
    <row r="3517" spans="2:14" ht="17.25" hidden="1" customHeight="1" x14ac:dyDescent="0.25">
      <c r="B3517" s="440"/>
      <c r="C3517" s="2606" t="s">
        <v>5683</v>
      </c>
      <c r="D3517" s="2669">
        <f>SUM(D3518+D3530)</f>
        <v>25680180000</v>
      </c>
      <c r="E3517" s="3411">
        <f>D3517/D3361*100</f>
        <v>22.501041980201183</v>
      </c>
      <c r="F3517" s="4483"/>
      <c r="G3517" s="3149"/>
      <c r="H3517" s="2746"/>
      <c r="I3517" s="2747"/>
      <c r="J3517" s="3381"/>
      <c r="K3517" s="3149"/>
      <c r="L3517" s="3149"/>
      <c r="M3517" s="2747"/>
      <c r="N3517" s="2768"/>
    </row>
    <row r="3518" spans="2:14" ht="19.5" hidden="1" customHeight="1" x14ac:dyDescent="0.25">
      <c r="B3518" s="441"/>
      <c r="C3518" s="2599" t="s">
        <v>1101</v>
      </c>
      <c r="D3518" s="2692">
        <f>SUM(D3519:D3528)</f>
        <v>15844000000</v>
      </c>
      <c r="E3518" s="3356">
        <f>D3518/D3361*100</f>
        <v>13.88255491722829</v>
      </c>
      <c r="F3518" s="4446"/>
      <c r="G3518" s="896"/>
      <c r="H3518" s="2690"/>
      <c r="I3518" s="2757"/>
      <c r="J3518" s="2851"/>
      <c r="K3518" s="896"/>
      <c r="L3518" s="896"/>
      <c r="M3518" s="2757"/>
      <c r="N3518" s="2768"/>
    </row>
    <row r="3519" spans="2:14" ht="28.5" hidden="1" customHeight="1" x14ac:dyDescent="0.25">
      <c r="B3519" s="441"/>
      <c r="C3519" s="2616" t="s">
        <v>5685</v>
      </c>
      <c r="D3519" s="2698">
        <v>2400000000</v>
      </c>
      <c r="E3519" s="3354">
        <f>D3519/D3361*100</f>
        <v>2.1028863797871682</v>
      </c>
      <c r="F3519" s="4446"/>
      <c r="G3519" s="896"/>
      <c r="H3519" s="2690"/>
      <c r="I3519" s="2757"/>
      <c r="J3519" s="2851"/>
      <c r="K3519" s="896"/>
      <c r="L3519" s="896"/>
      <c r="M3519" s="2757"/>
      <c r="N3519" s="2768"/>
    </row>
    <row r="3520" spans="2:14" ht="19.5" hidden="1" customHeight="1" x14ac:dyDescent="0.25">
      <c r="B3520" s="441"/>
      <c r="C3520" s="2494" t="s">
        <v>5686</v>
      </c>
      <c r="D3520" s="2698">
        <v>2000000000</v>
      </c>
      <c r="E3520" s="3354">
        <f>D3520/D3361*100</f>
        <v>1.752405316489307</v>
      </c>
      <c r="F3520" s="4446"/>
      <c r="G3520" s="896"/>
      <c r="H3520" s="2690"/>
      <c r="I3520" s="2757"/>
      <c r="J3520" s="2851"/>
      <c r="K3520" s="896"/>
      <c r="L3520" s="896"/>
      <c r="M3520" s="2757"/>
      <c r="N3520" s="2768"/>
    </row>
    <row r="3521" spans="2:14" ht="14.25" hidden="1" customHeight="1" x14ac:dyDescent="0.25">
      <c r="B3521" s="441"/>
      <c r="C3521" s="2494" t="s">
        <v>5687</v>
      </c>
      <c r="D3521" s="2698">
        <v>2000000000</v>
      </c>
      <c r="E3521" s="3354">
        <f>D3521/D3361*100</f>
        <v>1.752405316489307</v>
      </c>
      <c r="F3521" s="4446"/>
      <c r="G3521" s="896"/>
      <c r="H3521" s="2690"/>
      <c r="I3521" s="2757"/>
      <c r="J3521" s="2851"/>
      <c r="K3521" s="896"/>
      <c r="L3521" s="896"/>
      <c r="M3521" s="2757"/>
      <c r="N3521" s="2768"/>
    </row>
    <row r="3522" spans="2:14" ht="17.25" hidden="1" customHeight="1" x14ac:dyDescent="0.25">
      <c r="B3522" s="441"/>
      <c r="C3522" s="2494" t="s">
        <v>5688</v>
      </c>
      <c r="D3522" s="2698">
        <v>2384000000</v>
      </c>
      <c r="E3522" s="3354">
        <f>D3522/D3361*100</f>
        <v>2.0888671372552539</v>
      </c>
      <c r="F3522" s="4446"/>
      <c r="G3522" s="896"/>
      <c r="H3522" s="2690"/>
      <c r="I3522" s="2757"/>
      <c r="J3522" s="2851"/>
      <c r="K3522" s="896"/>
      <c r="L3522" s="896"/>
      <c r="M3522" s="2757"/>
      <c r="N3522" s="2768"/>
    </row>
    <row r="3523" spans="2:14" hidden="1" x14ac:dyDescent="0.25">
      <c r="B3523" s="441"/>
      <c r="C3523" s="2494" t="s">
        <v>5689</v>
      </c>
      <c r="D3523" s="2698">
        <v>3500000000</v>
      </c>
      <c r="E3523" s="3354">
        <f>D3523/D3361*100</f>
        <v>3.0667093038562871</v>
      </c>
      <c r="F3523" s="4446"/>
      <c r="G3523" s="896"/>
      <c r="H3523" s="2690"/>
      <c r="I3523" s="2757"/>
      <c r="J3523" s="2851"/>
      <c r="K3523" s="896"/>
      <c r="L3523" s="896"/>
      <c r="M3523" s="2757"/>
      <c r="N3523" s="2768"/>
    </row>
    <row r="3524" spans="2:14" ht="16.5" hidden="1" customHeight="1" x14ac:dyDescent="0.25">
      <c r="B3524" s="441"/>
      <c r="C3524" s="2494" t="s">
        <v>7925</v>
      </c>
      <c r="D3524" s="2698">
        <v>600000000</v>
      </c>
      <c r="E3524" s="3354">
        <f>D3524/D3361*100</f>
        <v>0.52572159494679205</v>
      </c>
      <c r="F3524" s="4446"/>
      <c r="G3524" s="896"/>
      <c r="H3524" s="2690"/>
      <c r="I3524" s="2757"/>
      <c r="J3524" s="2851"/>
      <c r="K3524" s="896"/>
      <c r="L3524" s="896"/>
      <c r="M3524" s="2757"/>
      <c r="N3524" s="2768"/>
    </row>
    <row r="3525" spans="2:14" ht="17.25" hidden="1" customHeight="1" x14ac:dyDescent="0.25">
      <c r="B3525" s="441"/>
      <c r="C3525" s="2494" t="s">
        <v>7926</v>
      </c>
      <c r="D3525" s="2698">
        <v>600000000</v>
      </c>
      <c r="E3525" s="3354">
        <f>D3525/D3361*100</f>
        <v>0.52572159494679205</v>
      </c>
      <c r="F3525" s="4446"/>
      <c r="G3525" s="896"/>
      <c r="H3525" s="2690"/>
      <c r="I3525" s="2757"/>
      <c r="J3525" s="2851"/>
      <c r="K3525" s="896"/>
      <c r="L3525" s="896"/>
      <c r="M3525" s="2757"/>
      <c r="N3525" s="2768"/>
    </row>
    <row r="3526" spans="2:14" ht="18" hidden="1" customHeight="1" x14ac:dyDescent="0.25">
      <c r="B3526" s="441"/>
      <c r="C3526" s="2494" t="s">
        <v>7927</v>
      </c>
      <c r="D3526" s="2698">
        <v>600000000</v>
      </c>
      <c r="E3526" s="3354">
        <f>D3526/D3361*100</f>
        <v>0.52572159494679205</v>
      </c>
      <c r="F3526" s="4446"/>
      <c r="G3526" s="896"/>
      <c r="H3526" s="2690"/>
      <c r="I3526" s="2757"/>
      <c r="J3526" s="2851"/>
      <c r="K3526" s="896"/>
      <c r="L3526" s="896"/>
      <c r="M3526" s="2757"/>
      <c r="N3526" s="2768"/>
    </row>
    <row r="3527" spans="2:14" ht="18.75" hidden="1" customHeight="1" x14ac:dyDescent="0.25">
      <c r="B3527" s="441"/>
      <c r="C3527" s="2494" t="s">
        <v>7928</v>
      </c>
      <c r="D3527" s="2698">
        <v>0</v>
      </c>
      <c r="E3527" s="3354">
        <f>D3527/D3361*100</f>
        <v>0</v>
      </c>
      <c r="F3527" s="4446"/>
      <c r="G3527" s="896"/>
      <c r="H3527" s="2690"/>
      <c r="I3527" s="2757"/>
      <c r="J3527" s="2851"/>
      <c r="K3527" s="896"/>
      <c r="L3527" s="896"/>
      <c r="M3527" s="2757"/>
      <c r="N3527" s="2768"/>
    </row>
    <row r="3528" spans="2:14" ht="18.75" hidden="1" customHeight="1" x14ac:dyDescent="0.25">
      <c r="B3528" s="441"/>
      <c r="C3528" s="2494" t="s">
        <v>7929</v>
      </c>
      <c r="D3528" s="2698">
        <v>1760000000</v>
      </c>
      <c r="E3528" s="3354">
        <f>D3528/D3361*100</f>
        <v>1.54211667851059</v>
      </c>
      <c r="F3528" s="4446"/>
      <c r="G3528" s="896"/>
      <c r="H3528" s="2690"/>
      <c r="I3528" s="2757"/>
      <c r="J3528" s="2851"/>
      <c r="K3528" s="896"/>
      <c r="L3528" s="896"/>
      <c r="M3528" s="2757"/>
      <c r="N3528" s="2768"/>
    </row>
    <row r="3529" spans="2:14" ht="13.5" hidden="1" customHeight="1" x14ac:dyDescent="0.25">
      <c r="B3529" s="441"/>
      <c r="C3529" s="2494"/>
      <c r="D3529" s="2698"/>
      <c r="E3529" s="3354"/>
      <c r="F3529" s="4446"/>
      <c r="G3529" s="896"/>
      <c r="H3529" s="2690"/>
      <c r="I3529" s="2757"/>
      <c r="J3529" s="2851"/>
      <c r="K3529" s="896"/>
      <c r="L3529" s="896"/>
      <c r="M3529" s="2757"/>
      <c r="N3529" s="2768"/>
    </row>
    <row r="3530" spans="2:14" ht="19.5" hidden="1" customHeight="1" x14ac:dyDescent="0.25">
      <c r="B3530" s="441"/>
      <c r="C3530" s="2491" t="s">
        <v>5684</v>
      </c>
      <c r="D3530" s="2692">
        <f>+SUM(D3531:D3537)</f>
        <v>9836180000</v>
      </c>
      <c r="E3530" s="3356">
        <f>D3530/D3361*100</f>
        <v>8.6184870629728962</v>
      </c>
      <c r="F3530" s="4446"/>
      <c r="G3530" s="896"/>
      <c r="H3530" s="2690"/>
      <c r="I3530" s="2757"/>
      <c r="J3530" s="2851"/>
      <c r="K3530" s="896"/>
      <c r="L3530" s="896"/>
      <c r="M3530" s="2757"/>
      <c r="N3530" s="2768"/>
    </row>
    <row r="3531" spans="2:14" ht="18.75" hidden="1" customHeight="1" x14ac:dyDescent="0.25">
      <c r="B3531" s="441"/>
      <c r="C3531" s="2611" t="s">
        <v>5690</v>
      </c>
      <c r="D3531" s="2698">
        <v>1500000000</v>
      </c>
      <c r="E3531" s="3354">
        <f>D3531/D3361*100</f>
        <v>1.3143039873669802</v>
      </c>
      <c r="F3531" s="4446"/>
      <c r="G3531" s="896"/>
      <c r="H3531" s="2690"/>
      <c r="I3531" s="2757"/>
      <c r="J3531" s="2851"/>
      <c r="K3531" s="896"/>
      <c r="L3531" s="896"/>
      <c r="M3531" s="2757"/>
      <c r="N3531" s="2768"/>
    </row>
    <row r="3532" spans="2:14" ht="17.25" hidden="1" customHeight="1" x14ac:dyDescent="0.25">
      <c r="B3532" s="441"/>
      <c r="C3532" s="2611" t="s">
        <v>5691</v>
      </c>
      <c r="D3532" s="2698">
        <v>1536180000</v>
      </c>
      <c r="E3532" s="3354">
        <f>D3532/D3361*100</f>
        <v>1.3460049995422716</v>
      </c>
      <c r="F3532" s="4446"/>
      <c r="G3532" s="896"/>
      <c r="H3532" s="2690"/>
      <c r="I3532" s="2757"/>
      <c r="J3532" s="2851"/>
      <c r="K3532" s="896"/>
      <c r="L3532" s="896"/>
      <c r="M3532" s="2757"/>
      <c r="N3532" s="2768"/>
    </row>
    <row r="3533" spans="2:14" ht="15.75" hidden="1" customHeight="1" x14ac:dyDescent="0.25">
      <c r="B3533" s="441"/>
      <c r="C3533" s="2611" t="s">
        <v>5692</v>
      </c>
      <c r="D3533" s="2698">
        <v>1500000000</v>
      </c>
      <c r="E3533" s="3354">
        <f>D3533/D3361*100</f>
        <v>1.3143039873669802</v>
      </c>
      <c r="F3533" s="4446"/>
      <c r="G3533" s="896"/>
      <c r="H3533" s="2690"/>
      <c r="I3533" s="2757"/>
      <c r="J3533" s="2851"/>
      <c r="K3533" s="896"/>
      <c r="L3533" s="896"/>
      <c r="M3533" s="2757"/>
      <c r="N3533" s="2768"/>
    </row>
    <row r="3534" spans="2:14" ht="18" hidden="1" customHeight="1" x14ac:dyDescent="0.25">
      <c r="B3534" s="441"/>
      <c r="C3534" s="2611" t="s">
        <v>5693</v>
      </c>
      <c r="D3534" s="2698">
        <v>2000000000</v>
      </c>
      <c r="E3534" s="3354">
        <f>D3534/D3361*100</f>
        <v>1.752405316489307</v>
      </c>
      <c r="F3534" s="4446"/>
      <c r="G3534" s="896"/>
      <c r="H3534" s="2690"/>
      <c r="I3534" s="2757"/>
      <c r="J3534" s="2851"/>
      <c r="K3534" s="896"/>
      <c r="L3534" s="896"/>
      <c r="M3534" s="2757"/>
      <c r="N3534" s="2768"/>
    </row>
    <row r="3535" spans="2:14" ht="20.25" hidden="1" customHeight="1" x14ac:dyDescent="0.25">
      <c r="B3535" s="441"/>
      <c r="C3535" s="2494" t="s">
        <v>5694</v>
      </c>
      <c r="D3535" s="2698">
        <v>1500000000</v>
      </c>
      <c r="E3535" s="3354">
        <f>D3535/D3361*100</f>
        <v>1.3143039873669802</v>
      </c>
      <c r="F3535" s="4446"/>
      <c r="G3535" s="896"/>
      <c r="H3535" s="2690"/>
      <c r="I3535" s="2757"/>
      <c r="J3535" s="2851"/>
      <c r="K3535" s="896"/>
      <c r="L3535" s="896"/>
      <c r="M3535" s="2757"/>
      <c r="N3535" s="2768"/>
    </row>
    <row r="3536" spans="2:14" ht="18.75" hidden="1" customHeight="1" x14ac:dyDescent="0.25">
      <c r="B3536" s="441"/>
      <c r="C3536" s="2494" t="s">
        <v>5695</v>
      </c>
      <c r="D3536" s="2698">
        <v>1000000000</v>
      </c>
      <c r="E3536" s="3354">
        <f>D3536/D3361*100</f>
        <v>0.87620265824465349</v>
      </c>
      <c r="F3536" s="4446"/>
      <c r="G3536" s="896"/>
      <c r="H3536" s="2690"/>
      <c r="I3536" s="2757"/>
      <c r="J3536" s="2851"/>
      <c r="K3536" s="896"/>
      <c r="L3536" s="896"/>
      <c r="M3536" s="2757"/>
      <c r="N3536" s="2768"/>
    </row>
    <row r="3537" spans="2:14" ht="20.25" hidden="1" customHeight="1" x14ac:dyDescent="0.25">
      <c r="B3537" s="441"/>
      <c r="C3537" s="2473" t="s">
        <v>5696</v>
      </c>
      <c r="D3537" s="896">
        <v>800000000</v>
      </c>
      <c r="E3537" s="3354">
        <f>D3537/D3361*100</f>
        <v>0.70096212659572277</v>
      </c>
      <c r="F3537" s="4446"/>
      <c r="G3537" s="896"/>
      <c r="H3537" s="2690"/>
      <c r="I3537" s="2757"/>
      <c r="J3537" s="2851"/>
      <c r="K3537" s="896"/>
      <c r="L3537" s="896"/>
      <c r="M3537" s="2757"/>
      <c r="N3537" s="2768"/>
    </row>
    <row r="3538" spans="2:14" ht="10.5" hidden="1" customHeight="1" x14ac:dyDescent="0.25">
      <c r="B3538" s="441"/>
      <c r="C3538" s="2475"/>
      <c r="D3538" s="2769"/>
      <c r="E3538" s="3341"/>
      <c r="F3538" s="4453"/>
      <c r="G3538" s="2769"/>
      <c r="H3538" s="2752"/>
      <c r="I3538" s="2753"/>
      <c r="J3538" s="2913"/>
      <c r="K3538" s="2769"/>
      <c r="L3538" s="2769"/>
      <c r="M3538" s="2753"/>
      <c r="N3538" s="2768"/>
    </row>
    <row r="3539" spans="2:14" ht="16.5" hidden="1" customHeight="1" x14ac:dyDescent="0.25">
      <c r="B3539" s="440"/>
      <c r="C3539" s="2532" t="s">
        <v>1104</v>
      </c>
      <c r="D3539" s="3414">
        <f>D3540</f>
        <v>250000000</v>
      </c>
      <c r="E3539" s="2717">
        <f>D3539/D3361*100</f>
        <v>0.21905066456116337</v>
      </c>
      <c r="F3539" s="3850"/>
      <c r="G3539" s="2987"/>
      <c r="H3539" s="2670"/>
      <c r="I3539" s="2987"/>
      <c r="J3539" s="2910"/>
      <c r="K3539" s="2910"/>
      <c r="L3539" s="3254"/>
      <c r="M3539" s="3083"/>
      <c r="N3539" s="2768"/>
    </row>
    <row r="3540" spans="2:14" ht="15.75" hidden="1" customHeight="1" x14ac:dyDescent="0.25">
      <c r="B3540" s="441"/>
      <c r="C3540" s="2521" t="s">
        <v>5697</v>
      </c>
      <c r="D3540" s="2751">
        <f>D3541</f>
        <v>250000000</v>
      </c>
      <c r="E3540" s="2764">
        <f>D3540/D3361*100</f>
        <v>0.21905066456116337</v>
      </c>
      <c r="F3540" s="3851"/>
      <c r="G3540" s="2757"/>
      <c r="H3540" s="2967"/>
      <c r="I3540" s="2757"/>
      <c r="J3540" s="2889"/>
      <c r="K3540" s="2889"/>
      <c r="L3540" s="3298"/>
      <c r="M3540" s="3009"/>
      <c r="N3540" s="2768"/>
    </row>
    <row r="3541" spans="2:14" ht="17.25" hidden="1" customHeight="1" x14ac:dyDescent="0.25">
      <c r="B3541" s="441"/>
      <c r="C3541" s="2578" t="s">
        <v>5698</v>
      </c>
      <c r="D3541" s="896">
        <v>250000000</v>
      </c>
      <c r="E3541" s="2763">
        <f>D3541/D3361*100</f>
        <v>0.21905066456116337</v>
      </c>
      <c r="F3541" s="3868"/>
      <c r="G3541" s="2757"/>
      <c r="H3541" s="2967"/>
      <c r="I3541" s="2757"/>
      <c r="J3541" s="2851"/>
      <c r="K3541" s="2851"/>
      <c r="L3541" s="3276"/>
      <c r="M3541" s="2757"/>
      <c r="N3541" s="2768"/>
    </row>
    <row r="3542" spans="2:14" ht="12" hidden="1" customHeight="1" x14ac:dyDescent="0.25">
      <c r="B3542" s="441"/>
      <c r="C3542" s="2528"/>
      <c r="D3542" s="2769"/>
      <c r="E3542" s="3341"/>
      <c r="F3542" s="4482"/>
      <c r="G3542" s="2769"/>
      <c r="H3542" s="2752"/>
      <c r="I3542" s="2753"/>
      <c r="J3542" s="2913"/>
      <c r="K3542" s="2769"/>
      <c r="L3542" s="2769"/>
      <c r="M3542" s="2753"/>
      <c r="N3542" s="2768"/>
    </row>
    <row r="3543" spans="2:14" ht="18" hidden="1" customHeight="1" x14ac:dyDescent="0.25">
      <c r="B3543" s="440"/>
      <c r="C3543" s="2532" t="s">
        <v>329</v>
      </c>
      <c r="D3543" s="2744">
        <f>D3544+D3547+D3550+D3553</f>
        <v>2300000000</v>
      </c>
      <c r="E3543" s="2717">
        <f>D3543/D3361*100</f>
        <v>2.0152661139627033</v>
      </c>
      <c r="F3543" s="3850"/>
      <c r="G3543" s="2987"/>
      <c r="H3543" s="2670"/>
      <c r="I3543" s="2987"/>
      <c r="J3543" s="2910"/>
      <c r="K3543" s="2910"/>
      <c r="L3543" s="3254"/>
      <c r="M3543" s="2987"/>
      <c r="N3543" s="2768"/>
    </row>
    <row r="3544" spans="2:14" ht="18.75" hidden="1" customHeight="1" x14ac:dyDescent="0.25">
      <c r="B3544" s="441"/>
      <c r="C3544" s="2525" t="s">
        <v>5699</v>
      </c>
      <c r="D3544" s="899">
        <f>SUM(D3545:D3545)</f>
        <v>1000000000</v>
      </c>
      <c r="E3544" s="2693">
        <f>D3544/D3361*100</f>
        <v>0.87620265824465349</v>
      </c>
      <c r="F3544" s="3853"/>
      <c r="G3544" s="2757"/>
      <c r="H3544" s="2967"/>
      <c r="I3544" s="2757"/>
      <c r="J3544" s="2883"/>
      <c r="K3544" s="2883"/>
      <c r="L3544" s="3298"/>
      <c r="M3544" s="2970"/>
      <c r="N3544" s="2768"/>
    </row>
    <row r="3545" spans="2:14" ht="15" hidden="1" customHeight="1" x14ac:dyDescent="0.25">
      <c r="B3545" s="441"/>
      <c r="C3545" s="2473" t="s">
        <v>5700</v>
      </c>
      <c r="D3545" s="896">
        <v>1000000000</v>
      </c>
      <c r="E3545" s="2763">
        <f>D3545/D3361*100</f>
        <v>0.87620265824465349</v>
      </c>
      <c r="F3545" s="3868"/>
      <c r="G3545" s="2757"/>
      <c r="H3545" s="2967"/>
      <c r="I3545" s="2757"/>
      <c r="J3545" s="2851"/>
      <c r="K3545" s="2851"/>
      <c r="L3545" s="3276"/>
      <c r="M3545" s="2757"/>
      <c r="N3545" s="2768"/>
    </row>
    <row r="3546" spans="2:14" ht="12" hidden="1" customHeight="1" x14ac:dyDescent="0.25">
      <c r="B3546" s="441"/>
      <c r="C3546" s="2473"/>
      <c r="D3546" s="896"/>
      <c r="E3546" s="2763"/>
      <c r="F3546" s="3861"/>
      <c r="G3546" s="896"/>
      <c r="H3546" s="2690"/>
      <c r="I3546" s="2757"/>
      <c r="J3546" s="2851"/>
      <c r="K3546" s="896"/>
      <c r="L3546" s="896"/>
      <c r="M3546" s="2757"/>
      <c r="N3546" s="2768"/>
    </row>
    <row r="3547" spans="2:14" ht="16.5" hidden="1" customHeight="1" x14ac:dyDescent="0.25">
      <c r="B3547" s="441"/>
      <c r="C3547" s="2474" t="s">
        <v>5701</v>
      </c>
      <c r="D3547" s="899">
        <f>SUM(D3548:D3548)</f>
        <v>300000000</v>
      </c>
      <c r="E3547" s="2764">
        <f>D3547/D3361*100</f>
        <v>0.26286079747339602</v>
      </c>
      <c r="F3547" s="3861"/>
      <c r="G3547" s="896"/>
      <c r="H3547" s="2690"/>
      <c r="I3547" s="2757"/>
      <c r="J3547" s="2851"/>
      <c r="K3547" s="896"/>
      <c r="L3547" s="896"/>
      <c r="M3547" s="2757"/>
      <c r="N3547" s="2768"/>
    </row>
    <row r="3548" spans="2:14" ht="14.25" hidden="1" customHeight="1" x14ac:dyDescent="0.25">
      <c r="B3548" s="441"/>
      <c r="C3548" s="2473" t="s">
        <v>5803</v>
      </c>
      <c r="D3548" s="896">
        <v>300000000</v>
      </c>
      <c r="E3548" s="2763">
        <f>D3548/D3361*100</f>
        <v>0.26286079747339602</v>
      </c>
      <c r="F3548" s="3861"/>
      <c r="G3548" s="896"/>
      <c r="H3548" s="2690"/>
      <c r="I3548" s="2757"/>
      <c r="J3548" s="2851"/>
      <c r="K3548" s="896"/>
      <c r="L3548" s="896"/>
      <c r="M3548" s="2757"/>
      <c r="N3548" s="2768"/>
    </row>
    <row r="3549" spans="2:14" ht="11.25" hidden="1" customHeight="1" x14ac:dyDescent="0.25">
      <c r="B3549" s="441"/>
      <c r="C3549" s="2473"/>
      <c r="D3549" s="896"/>
      <c r="E3549" s="2763"/>
      <c r="F3549" s="3861"/>
      <c r="G3549" s="896"/>
      <c r="H3549" s="2690"/>
      <c r="I3549" s="2757"/>
      <c r="J3549" s="2851"/>
      <c r="K3549" s="896"/>
      <c r="L3549" s="896"/>
      <c r="M3549" s="2757"/>
      <c r="N3549" s="2768"/>
    </row>
    <row r="3550" spans="2:14" ht="14.25" hidden="1" customHeight="1" x14ac:dyDescent="0.25">
      <c r="B3550" s="441"/>
      <c r="C3550" s="2474" t="s">
        <v>5702</v>
      </c>
      <c r="D3550" s="899">
        <v>500000000</v>
      </c>
      <c r="E3550" s="2764">
        <f>D3550/D3361*100</f>
        <v>0.43810132912232674</v>
      </c>
      <c r="F3550" s="3861"/>
      <c r="G3550" s="896"/>
      <c r="H3550" s="2690"/>
      <c r="I3550" s="2757"/>
      <c r="J3550" s="2851"/>
      <c r="K3550" s="896"/>
      <c r="L3550" s="896"/>
      <c r="M3550" s="2757"/>
      <c r="N3550" s="2768"/>
    </row>
    <row r="3551" spans="2:14" ht="14.25" hidden="1" customHeight="1" x14ac:dyDescent="0.25">
      <c r="B3551" s="441"/>
      <c r="C3551" s="2473" t="s">
        <v>5703</v>
      </c>
      <c r="D3551" s="896">
        <v>500000000</v>
      </c>
      <c r="E3551" s="2763">
        <f>D3551/D3361*100</f>
        <v>0.43810132912232674</v>
      </c>
      <c r="F3551" s="3861"/>
      <c r="G3551" s="896"/>
      <c r="H3551" s="2690"/>
      <c r="I3551" s="2757"/>
      <c r="J3551" s="2851"/>
      <c r="K3551" s="896"/>
      <c r="L3551" s="896"/>
      <c r="M3551" s="2757"/>
      <c r="N3551" s="2768"/>
    </row>
    <row r="3552" spans="2:14" ht="9" hidden="1" customHeight="1" x14ac:dyDescent="0.25">
      <c r="B3552" s="441"/>
      <c r="C3552" s="2474"/>
      <c r="D3552" s="899"/>
      <c r="E3552" s="2763"/>
      <c r="F3552" s="3861"/>
      <c r="G3552" s="896"/>
      <c r="H3552" s="2690"/>
      <c r="I3552" s="2757"/>
      <c r="J3552" s="2851"/>
      <c r="K3552" s="896"/>
      <c r="L3552" s="896"/>
      <c r="M3552" s="2757"/>
      <c r="N3552" s="2768"/>
    </row>
    <row r="3553" spans="2:14" ht="18.75" hidden="1" customHeight="1" x14ac:dyDescent="0.25">
      <c r="B3553" s="441"/>
      <c r="C3553" s="2474" t="s">
        <v>5704</v>
      </c>
      <c r="D3553" s="899">
        <f>SUM(D3554:D3555)</f>
        <v>500000000</v>
      </c>
      <c r="E3553" s="2764">
        <f>D3553/D3361*100</f>
        <v>0.43810132912232674</v>
      </c>
      <c r="F3553" s="3861"/>
      <c r="G3553" s="896"/>
      <c r="H3553" s="2690"/>
      <c r="I3553" s="2757"/>
      <c r="J3553" s="2851"/>
      <c r="K3553" s="896"/>
      <c r="L3553" s="896"/>
      <c r="M3553" s="2757"/>
      <c r="N3553" s="2768"/>
    </row>
    <row r="3554" spans="2:14" ht="34.5" hidden="1" customHeight="1" x14ac:dyDescent="0.25">
      <c r="B3554" s="441"/>
      <c r="C3554" s="2473" t="s">
        <v>5705</v>
      </c>
      <c r="D3554" s="896">
        <v>250000000</v>
      </c>
      <c r="E3554" s="2763">
        <f>D3554/D3361*100</f>
        <v>0.21905066456116337</v>
      </c>
      <c r="F3554" s="3861"/>
      <c r="G3554" s="896"/>
      <c r="H3554" s="2690"/>
      <c r="I3554" s="2757"/>
      <c r="J3554" s="2851"/>
      <c r="K3554" s="896"/>
      <c r="L3554" s="896"/>
      <c r="M3554" s="2757"/>
      <c r="N3554" s="2768"/>
    </row>
    <row r="3555" spans="2:14" ht="17.25" hidden="1" customHeight="1" x14ac:dyDescent="0.25">
      <c r="B3555" s="441"/>
      <c r="C3555" s="2473" t="s">
        <v>5706</v>
      </c>
      <c r="D3555" s="896">
        <v>250000000</v>
      </c>
      <c r="E3555" s="2763">
        <f>D3555/D3361*100</f>
        <v>0.21905066456116337</v>
      </c>
      <c r="F3555" s="3861"/>
      <c r="G3555" s="896"/>
      <c r="H3555" s="2690"/>
      <c r="I3555" s="2757"/>
      <c r="J3555" s="2851"/>
      <c r="K3555" s="896"/>
      <c r="L3555" s="896"/>
      <c r="M3555" s="2757"/>
      <c r="N3555" s="2768"/>
    </row>
    <row r="3556" spans="2:14" ht="14.25" hidden="1" customHeight="1" x14ac:dyDescent="0.25">
      <c r="B3556" s="441"/>
      <c r="C3556" s="2475"/>
      <c r="D3556" s="2769"/>
      <c r="E3556" s="3341"/>
      <c r="F3556" s="3864"/>
      <c r="G3556" s="2769"/>
      <c r="H3556" s="2752"/>
      <c r="I3556" s="2753"/>
      <c r="J3556" s="2913"/>
      <c r="K3556" s="2769"/>
      <c r="L3556" s="2769"/>
      <c r="M3556" s="2753"/>
      <c r="N3556" s="2768"/>
    </row>
    <row r="3557" spans="2:14" ht="15.75" hidden="1" customHeight="1" x14ac:dyDescent="0.25">
      <c r="B3557" s="440"/>
      <c r="C3557" s="2532" t="s">
        <v>439</v>
      </c>
      <c r="D3557" s="2744">
        <f>SUM(D3558+D3562)</f>
        <v>1150000000</v>
      </c>
      <c r="E3557" s="2717">
        <f>D3557/D3361*100</f>
        <v>1.0076330569813516</v>
      </c>
      <c r="F3557" s="3850"/>
      <c r="G3557" s="2909"/>
      <c r="H3557" s="3254"/>
      <c r="I3557" s="2909"/>
      <c r="J3557" s="2910"/>
      <c r="K3557" s="2910"/>
      <c r="L3557" s="3254"/>
      <c r="M3557" s="2909"/>
      <c r="N3557" s="2768"/>
    </row>
    <row r="3558" spans="2:14" ht="17.25" hidden="1" customHeight="1" x14ac:dyDescent="0.25">
      <c r="B3558" s="441"/>
      <c r="C3558" s="2525" t="s">
        <v>5707</v>
      </c>
      <c r="D3558" s="899">
        <f>SUM(D3559:D3560)</f>
        <v>800000000</v>
      </c>
      <c r="E3558" s="2693">
        <f>D3558/D3361*100</f>
        <v>0.70096212659572277</v>
      </c>
      <c r="F3558" s="3853"/>
      <c r="G3558" s="2884"/>
      <c r="H3558" s="3257"/>
      <c r="I3558" s="2970"/>
      <c r="J3558" s="2883"/>
      <c r="K3558" s="2883"/>
      <c r="L3558" s="3257"/>
      <c r="M3558" s="2970"/>
      <c r="N3558" s="2768"/>
    </row>
    <row r="3559" spans="2:14" ht="17.25" hidden="1" customHeight="1" x14ac:dyDescent="0.25">
      <c r="B3559" s="441"/>
      <c r="C3559" s="2473" t="s">
        <v>5708</v>
      </c>
      <c r="D3559" s="896">
        <v>300000000</v>
      </c>
      <c r="E3559" s="2763">
        <f>D3559/D3361*100</f>
        <v>0.26286079747339602</v>
      </c>
      <c r="F3559" s="3868"/>
      <c r="G3559" s="2757"/>
      <c r="H3559" s="3275"/>
      <c r="I3559" s="2757"/>
      <c r="J3559" s="2851"/>
      <c r="K3559" s="3408"/>
      <c r="L3559" s="3276"/>
      <c r="M3559" s="2757"/>
      <c r="N3559" s="2768"/>
    </row>
    <row r="3560" spans="2:14" ht="17.25" hidden="1" customHeight="1" x14ac:dyDescent="0.25">
      <c r="B3560" s="441"/>
      <c r="C3560" s="2475" t="s">
        <v>5709</v>
      </c>
      <c r="D3560" s="2769">
        <v>500000000</v>
      </c>
      <c r="E3560" s="2763">
        <f>D3560/D3361*100</f>
        <v>0.43810132912232674</v>
      </c>
      <c r="F3560" s="4430"/>
      <c r="G3560" s="2753"/>
      <c r="H3560" s="3278"/>
      <c r="I3560" s="2753"/>
      <c r="J3560" s="2913"/>
      <c r="K3560" s="3755"/>
      <c r="L3560" s="3325"/>
      <c r="M3560" s="2753"/>
      <c r="N3560" s="2768"/>
    </row>
    <row r="3561" spans="2:14" ht="12.75" hidden="1" customHeight="1" x14ac:dyDescent="0.25">
      <c r="B3561" s="441"/>
      <c r="C3561" s="2473"/>
      <c r="D3561" s="896"/>
      <c r="E3561" s="2763"/>
      <c r="F3561" s="3868"/>
      <c r="G3561" s="2757"/>
      <c r="H3561" s="3275"/>
      <c r="I3561" s="2757"/>
      <c r="J3561" s="2851"/>
      <c r="K3561" s="3408"/>
      <c r="L3561" s="3276"/>
      <c r="M3561" s="2757"/>
      <c r="N3561" s="2768"/>
    </row>
    <row r="3562" spans="2:14" ht="17.25" hidden="1" customHeight="1" x14ac:dyDescent="0.25">
      <c r="B3562" s="441"/>
      <c r="C3562" s="2474" t="s">
        <v>5710</v>
      </c>
      <c r="D3562" s="899">
        <f>D3563</f>
        <v>350000000</v>
      </c>
      <c r="E3562" s="2764">
        <f>D3562/D3361*100</f>
        <v>0.3066709303856287</v>
      </c>
      <c r="F3562" s="3868"/>
      <c r="G3562" s="2757"/>
      <c r="H3562" s="3275"/>
      <c r="I3562" s="2757"/>
      <c r="J3562" s="2851"/>
      <c r="K3562" s="3408"/>
      <c r="L3562" s="3276"/>
      <c r="M3562" s="2757"/>
      <c r="N3562" s="2768"/>
    </row>
    <row r="3563" spans="2:14" ht="26.25" hidden="1" customHeight="1" x14ac:dyDescent="0.25">
      <c r="B3563" s="441"/>
      <c r="C3563" s="2473" t="s">
        <v>5711</v>
      </c>
      <c r="D3563" s="896">
        <v>350000000</v>
      </c>
      <c r="E3563" s="2763">
        <f>D3563/D3361*100</f>
        <v>0.3066709303856287</v>
      </c>
      <c r="F3563" s="3868"/>
      <c r="G3563" s="2757"/>
      <c r="H3563" s="3275"/>
      <c r="I3563" s="2757"/>
      <c r="J3563" s="2851"/>
      <c r="K3563" s="3408"/>
      <c r="L3563" s="3276"/>
      <c r="M3563" s="2757"/>
      <c r="N3563" s="2768"/>
    </row>
    <row r="3564" spans="2:14" ht="12" hidden="1" customHeight="1" x14ac:dyDescent="0.25">
      <c r="B3564" s="441"/>
      <c r="C3564" s="2475"/>
      <c r="D3564" s="2769"/>
      <c r="E3564" s="3341"/>
      <c r="F3564" s="4484"/>
      <c r="G3564" s="2769"/>
      <c r="H3564" s="3084"/>
      <c r="I3564" s="2753"/>
      <c r="J3564" s="2913"/>
      <c r="K3564" s="2769"/>
      <c r="L3564" s="3343"/>
      <c r="M3564" s="2753"/>
      <c r="N3564" s="2768"/>
    </row>
    <row r="3565" spans="2:14" ht="20.25" hidden="1" customHeight="1" x14ac:dyDescent="0.25">
      <c r="B3565" s="440"/>
      <c r="C3565" s="2532" t="s">
        <v>5712</v>
      </c>
      <c r="D3565" s="2744">
        <f>D3566+D3570+D3573+D3577+D3580</f>
        <v>2600000000</v>
      </c>
      <c r="E3565" s="2717">
        <f>D3565/D3361*100</f>
        <v>2.2781269114360989</v>
      </c>
      <c r="F3565" s="3850"/>
      <c r="G3565" s="2987"/>
      <c r="H3565" s="2670"/>
      <c r="I3565" s="2987"/>
      <c r="J3565" s="2910"/>
      <c r="K3565" s="2910"/>
      <c r="L3565" s="3254"/>
      <c r="M3565" s="2987"/>
      <c r="N3565" s="2768"/>
    </row>
    <row r="3566" spans="2:14" ht="23.25" hidden="1" customHeight="1" x14ac:dyDescent="0.25">
      <c r="B3566" s="441"/>
      <c r="C3566" s="2525" t="s">
        <v>5804</v>
      </c>
      <c r="D3566" s="2692">
        <f>D3567+D3568</f>
        <v>1750000000</v>
      </c>
      <c r="E3566" s="2693">
        <f>D3566/D3361*100</f>
        <v>1.5333546519281436</v>
      </c>
      <c r="F3566" s="3853"/>
      <c r="G3566" s="2970"/>
      <c r="H3566" s="2969"/>
      <c r="I3566" s="2970"/>
      <c r="J3566" s="2889"/>
      <c r="K3566" s="2889"/>
      <c r="L3566" s="3257"/>
      <c r="M3566" s="2888"/>
      <c r="N3566" s="2768"/>
    </row>
    <row r="3567" spans="2:14" ht="16.5" hidden="1" customHeight="1" x14ac:dyDescent="0.25">
      <c r="B3567" s="441"/>
      <c r="C3567" s="2473" t="s">
        <v>5713</v>
      </c>
      <c r="D3567" s="896">
        <v>1500000000</v>
      </c>
      <c r="E3567" s="2763">
        <f>D3567/D3361*100</f>
        <v>1.3143039873669802</v>
      </c>
      <c r="F3567" s="3868"/>
      <c r="G3567" s="2757"/>
      <c r="H3567" s="2967"/>
      <c r="I3567" s="2757"/>
      <c r="J3567" s="2851"/>
      <c r="K3567" s="3405"/>
      <c r="L3567" s="3276"/>
      <c r="M3567" s="2757"/>
      <c r="N3567" s="2768"/>
    </row>
    <row r="3568" spans="2:14" ht="16.5" hidden="1" customHeight="1" x14ac:dyDescent="0.25">
      <c r="B3568" s="441"/>
      <c r="C3568" s="2473" t="s">
        <v>5714</v>
      </c>
      <c r="D3568" s="896">
        <v>250000000</v>
      </c>
      <c r="E3568" s="2763">
        <f>D3568/D3361*100</f>
        <v>0.21905066456116337</v>
      </c>
      <c r="F3568" s="4446"/>
      <c r="G3568" s="896"/>
      <c r="H3568" s="2690"/>
      <c r="I3568" s="896"/>
      <c r="J3568" s="2851"/>
      <c r="K3568" s="898"/>
      <c r="L3568" s="898"/>
      <c r="M3568" s="2757"/>
      <c r="N3568" s="2768"/>
    </row>
    <row r="3569" spans="2:14" ht="12" hidden="1" customHeight="1" x14ac:dyDescent="0.25">
      <c r="B3569" s="441"/>
      <c r="C3569" s="2494"/>
      <c r="D3569" s="2698"/>
      <c r="E3569" s="2688"/>
      <c r="F3569" s="3862"/>
      <c r="G3569" s="2704"/>
      <c r="H3569" s="2702"/>
      <c r="I3569" s="2757"/>
      <c r="J3569" s="2851"/>
      <c r="K3569" s="896"/>
      <c r="L3569" s="2796"/>
      <c r="M3569" s="2757"/>
      <c r="N3569" s="2768"/>
    </row>
    <row r="3570" spans="2:14" ht="18" hidden="1" customHeight="1" x14ac:dyDescent="0.25">
      <c r="B3570" s="441"/>
      <c r="C3570" s="2617" t="s">
        <v>5715</v>
      </c>
      <c r="D3570" s="2692">
        <f>SUM(D3571:D3571)</f>
        <v>150000000</v>
      </c>
      <c r="E3570" s="2693">
        <f>D3570/D3361*100</f>
        <v>0.13143039873669801</v>
      </c>
      <c r="F3570" s="3862"/>
      <c r="G3570" s="2704"/>
      <c r="H3570" s="2702"/>
      <c r="I3570" s="2757"/>
      <c r="J3570" s="2851"/>
      <c r="K3570" s="896"/>
      <c r="L3570" s="2796"/>
      <c r="M3570" s="2757"/>
      <c r="N3570" s="2768"/>
    </row>
    <row r="3571" spans="2:14" ht="17.25" hidden="1" customHeight="1" x14ac:dyDescent="0.25">
      <c r="B3571" s="441"/>
      <c r="C3571" s="2473" t="s">
        <v>5716</v>
      </c>
      <c r="D3571" s="896">
        <v>150000000</v>
      </c>
      <c r="E3571" s="2688">
        <f>D3571/D3361*100</f>
        <v>0.13143039873669801</v>
      </c>
      <c r="F3571" s="3862"/>
      <c r="G3571" s="2704"/>
      <c r="H3571" s="2702"/>
      <c r="I3571" s="2757"/>
      <c r="J3571" s="2851"/>
      <c r="K3571" s="896"/>
      <c r="L3571" s="2796"/>
      <c r="M3571" s="2757"/>
      <c r="N3571" s="2768"/>
    </row>
    <row r="3572" spans="2:14" ht="10.5" hidden="1" customHeight="1" x14ac:dyDescent="0.25">
      <c r="B3572" s="441"/>
      <c r="C3572" s="2473"/>
      <c r="D3572" s="896"/>
      <c r="E3572" s="2688"/>
      <c r="F3572" s="3862"/>
      <c r="G3572" s="2704"/>
      <c r="H3572" s="2702"/>
      <c r="I3572" s="2757"/>
      <c r="J3572" s="2851"/>
      <c r="K3572" s="896"/>
      <c r="L3572" s="2796"/>
      <c r="M3572" s="2757"/>
      <c r="N3572" s="2768"/>
    </row>
    <row r="3573" spans="2:14" ht="17.25" hidden="1" customHeight="1" x14ac:dyDescent="0.25">
      <c r="B3573" s="441"/>
      <c r="C3573" s="2474" t="s">
        <v>5717</v>
      </c>
      <c r="D3573" s="899">
        <f>D3574+D3575</f>
        <v>250000000</v>
      </c>
      <c r="E3573" s="2693">
        <f>D3573/D3361*100</f>
        <v>0.21905066456116337</v>
      </c>
      <c r="F3573" s="3862"/>
      <c r="G3573" s="2704"/>
      <c r="H3573" s="2702"/>
      <c r="I3573" s="2757"/>
      <c r="J3573" s="2851"/>
      <c r="K3573" s="896"/>
      <c r="L3573" s="2796"/>
      <c r="M3573" s="2757"/>
      <c r="N3573" s="2768"/>
    </row>
    <row r="3574" spans="2:14" ht="15" hidden="1" customHeight="1" x14ac:dyDescent="0.25">
      <c r="B3574" s="441"/>
      <c r="C3574" s="2473" t="s">
        <v>5718</v>
      </c>
      <c r="D3574" s="896">
        <v>150000000</v>
      </c>
      <c r="E3574" s="2688">
        <f>D3574/D3361*100</f>
        <v>0.13143039873669801</v>
      </c>
      <c r="F3574" s="3862"/>
      <c r="G3574" s="2704"/>
      <c r="H3574" s="2702"/>
      <c r="I3574" s="2757"/>
      <c r="J3574" s="2851"/>
      <c r="K3574" s="896"/>
      <c r="L3574" s="2796"/>
      <c r="M3574" s="2757"/>
      <c r="N3574" s="2768"/>
    </row>
    <row r="3575" spans="2:14" ht="15" hidden="1" customHeight="1" x14ac:dyDescent="0.25">
      <c r="B3575" s="441"/>
      <c r="C3575" s="2475" t="s">
        <v>5719</v>
      </c>
      <c r="D3575" s="2769">
        <v>100000000</v>
      </c>
      <c r="E3575" s="2707">
        <f>D3575/D3361*100</f>
        <v>8.7620265824465346E-2</v>
      </c>
      <c r="F3575" s="3860"/>
      <c r="G3575" s="2991"/>
      <c r="H3575" s="3084"/>
      <c r="I3575" s="2753"/>
      <c r="J3575" s="2913"/>
      <c r="K3575" s="2769"/>
      <c r="L3575" s="3343"/>
      <c r="M3575" s="2753"/>
      <c r="N3575" s="2768"/>
    </row>
    <row r="3576" spans="2:14" ht="10.5" hidden="1" customHeight="1" x14ac:dyDescent="0.25">
      <c r="B3576" s="441"/>
      <c r="C3576" s="2473"/>
      <c r="D3576" s="896"/>
      <c r="E3576" s="2707"/>
      <c r="F3576" s="3862"/>
      <c r="G3576" s="2704"/>
      <c r="H3576" s="2702"/>
      <c r="I3576" s="2757"/>
      <c r="J3576" s="2851"/>
      <c r="K3576" s="896"/>
      <c r="L3576" s="2796"/>
      <c r="M3576" s="2757"/>
      <c r="N3576" s="2768"/>
    </row>
    <row r="3577" spans="2:14" ht="18.75" hidden="1" customHeight="1" x14ac:dyDescent="0.25">
      <c r="B3577" s="441"/>
      <c r="C3577" s="2474" t="s">
        <v>5720</v>
      </c>
      <c r="D3577" s="899">
        <f>D3578</f>
        <v>300000000</v>
      </c>
      <c r="E3577" s="3246">
        <f>D3577/D3361*100</f>
        <v>0.26286079747339602</v>
      </c>
      <c r="F3577" s="3862"/>
      <c r="G3577" s="2704"/>
      <c r="H3577" s="2702"/>
      <c r="I3577" s="2757"/>
      <c r="J3577" s="2851"/>
      <c r="K3577" s="896"/>
      <c r="L3577" s="2796"/>
      <c r="M3577" s="2757"/>
      <c r="N3577" s="2768"/>
    </row>
    <row r="3578" spans="2:14" ht="15" hidden="1" customHeight="1" x14ac:dyDescent="0.25">
      <c r="B3578" s="441"/>
      <c r="C3578" s="2473" t="s">
        <v>5721</v>
      </c>
      <c r="D3578" s="896">
        <v>300000000</v>
      </c>
      <c r="E3578" s="2707">
        <f>D3578/D3361*100</f>
        <v>0.26286079747339602</v>
      </c>
      <c r="F3578" s="3862"/>
      <c r="G3578" s="2704"/>
      <c r="H3578" s="2702"/>
      <c r="I3578" s="2757"/>
      <c r="J3578" s="2851"/>
      <c r="K3578" s="896"/>
      <c r="L3578" s="2796"/>
      <c r="M3578" s="2757"/>
      <c r="N3578" s="2768"/>
    </row>
    <row r="3579" spans="2:14" ht="11.25" hidden="1" customHeight="1" x14ac:dyDescent="0.25">
      <c r="B3579" s="441"/>
      <c r="C3579" s="2473"/>
      <c r="D3579" s="896"/>
      <c r="E3579" s="2707"/>
      <c r="F3579" s="3862"/>
      <c r="G3579" s="2704"/>
      <c r="H3579" s="2702"/>
      <c r="I3579" s="2757"/>
      <c r="J3579" s="2851"/>
      <c r="K3579" s="896"/>
      <c r="L3579" s="2796"/>
      <c r="M3579" s="2757"/>
      <c r="N3579" s="2768"/>
    </row>
    <row r="3580" spans="2:14" ht="19.5" hidden="1" customHeight="1" x14ac:dyDescent="0.25">
      <c r="B3580" s="441"/>
      <c r="C3580" s="2474" t="s">
        <v>5722</v>
      </c>
      <c r="D3580" s="899">
        <f>D3581</f>
        <v>150000000</v>
      </c>
      <c r="E3580" s="3246">
        <f>D3580/D3361*100</f>
        <v>0.13143039873669801</v>
      </c>
      <c r="F3580" s="3862"/>
      <c r="G3580" s="2704"/>
      <c r="H3580" s="2702"/>
      <c r="I3580" s="2757"/>
      <c r="J3580" s="2851"/>
      <c r="K3580" s="896"/>
      <c r="L3580" s="2796"/>
      <c r="M3580" s="2757"/>
      <c r="N3580" s="2768"/>
    </row>
    <row r="3581" spans="2:14" ht="17.25" hidden="1" customHeight="1" x14ac:dyDescent="0.25">
      <c r="B3581" s="441"/>
      <c r="C3581" s="2473" t="s">
        <v>5723</v>
      </c>
      <c r="D3581" s="896">
        <v>150000000</v>
      </c>
      <c r="E3581" s="2688">
        <f>D3581/D3361*100</f>
        <v>0.13143039873669801</v>
      </c>
      <c r="F3581" s="3862"/>
      <c r="G3581" s="2704"/>
      <c r="H3581" s="2702"/>
      <c r="I3581" s="2757"/>
      <c r="J3581" s="2851"/>
      <c r="K3581" s="896"/>
      <c r="L3581" s="2796"/>
      <c r="M3581" s="2757"/>
      <c r="N3581" s="2768"/>
    </row>
    <row r="3582" spans="2:14" ht="12" hidden="1" customHeight="1" x14ac:dyDescent="0.25">
      <c r="B3582" s="441"/>
      <c r="C3582" s="2475"/>
      <c r="D3582" s="2769"/>
      <c r="E3582" s="3341"/>
      <c r="F3582" s="3860"/>
      <c r="G3582" s="2991"/>
      <c r="H3582" s="3084"/>
      <c r="I3582" s="2753"/>
      <c r="J3582" s="2913"/>
      <c r="K3582" s="2769"/>
      <c r="L3582" s="3343"/>
      <c r="M3582" s="2753"/>
      <c r="N3582" s="2768"/>
    </row>
    <row r="3583" spans="2:14" ht="31.5" hidden="1" customHeight="1" x14ac:dyDescent="0.25">
      <c r="B3583" s="440"/>
      <c r="C3583" s="2532" t="s">
        <v>5724</v>
      </c>
      <c r="D3583" s="2744">
        <f>SUM(D3584+D3587+D3590)</f>
        <v>800000000</v>
      </c>
      <c r="E3583" s="2717">
        <f>D3583/D3361*100</f>
        <v>0.70096212659572277</v>
      </c>
      <c r="F3583" s="3850"/>
      <c r="G3583" s="2909"/>
      <c r="H3583" s="3254"/>
      <c r="I3583" s="2987"/>
      <c r="J3583" s="2910"/>
      <c r="K3583" s="2910"/>
      <c r="L3583" s="3254"/>
      <c r="M3583" s="2987"/>
      <c r="N3583" s="2768"/>
    </row>
    <row r="3584" spans="2:14" ht="18" hidden="1" customHeight="1" x14ac:dyDescent="0.25">
      <c r="B3584" s="445"/>
      <c r="C3584" s="2525" t="s">
        <v>5725</v>
      </c>
      <c r="D3584" s="899">
        <f>D3585</f>
        <v>100000000</v>
      </c>
      <c r="E3584" s="2693">
        <f>D3584/D3361*100</f>
        <v>8.7620265824465346E-2</v>
      </c>
      <c r="F3584" s="3853"/>
      <c r="G3584" s="2884"/>
      <c r="H3584" s="3257"/>
      <c r="I3584" s="2970"/>
      <c r="J3584" s="2883"/>
      <c r="K3584" s="2883"/>
      <c r="L3584" s="3257"/>
      <c r="M3584" s="2970"/>
      <c r="N3584" s="2768"/>
    </row>
    <row r="3585" spans="1:14" ht="18" hidden="1" customHeight="1" x14ac:dyDescent="0.25">
      <c r="B3585" s="441"/>
      <c r="C3585" s="2473" t="s">
        <v>5726</v>
      </c>
      <c r="D3585" s="896">
        <v>100000000</v>
      </c>
      <c r="E3585" s="2763">
        <f>D3585/D3361*100</f>
        <v>8.7620265824465346E-2</v>
      </c>
      <c r="F3585" s="3868"/>
      <c r="G3585" s="896"/>
      <c r="H3585" s="3275"/>
      <c r="I3585" s="2757"/>
      <c r="J3585" s="2851"/>
      <c r="K3585" s="3416"/>
      <c r="L3585" s="3276"/>
      <c r="M3585" s="2757"/>
      <c r="N3585" s="2768"/>
    </row>
    <row r="3586" spans="1:14" ht="12" hidden="1" customHeight="1" x14ac:dyDescent="0.25">
      <c r="B3586" s="441"/>
      <c r="C3586" s="2473"/>
      <c r="D3586" s="896"/>
      <c r="E3586" s="2763"/>
      <c r="F3586" s="4446"/>
      <c r="G3586" s="896"/>
      <c r="H3586" s="2702"/>
      <c r="I3586" s="2757"/>
      <c r="J3586" s="2851"/>
      <c r="K3586" s="896"/>
      <c r="L3586" s="896"/>
      <c r="M3586" s="2757"/>
      <c r="N3586" s="2768"/>
    </row>
    <row r="3587" spans="1:14" ht="16.5" hidden="1" customHeight="1" x14ac:dyDescent="0.25">
      <c r="B3587" s="441"/>
      <c r="C3587" s="2521" t="s">
        <v>5727</v>
      </c>
      <c r="D3587" s="2751">
        <f>D3588</f>
        <v>350000000</v>
      </c>
      <c r="E3587" s="2764">
        <f>D3587/D3361*100</f>
        <v>0.3066709303856287</v>
      </c>
      <c r="F3587" s="3851"/>
      <c r="G3587" s="2970"/>
      <c r="H3587" s="2969"/>
      <c r="I3587" s="2970"/>
      <c r="J3587" s="2889"/>
      <c r="K3587" s="2889"/>
      <c r="L3587" s="3257"/>
      <c r="M3587" s="2884"/>
      <c r="N3587" s="2768"/>
    </row>
    <row r="3588" spans="1:14" ht="18" hidden="1" customHeight="1" x14ac:dyDescent="0.25">
      <c r="B3588" s="441"/>
      <c r="C3588" s="2473" t="s">
        <v>5728</v>
      </c>
      <c r="D3588" s="896">
        <v>350000000</v>
      </c>
      <c r="E3588" s="2763">
        <f>D3588/D3361*100</f>
        <v>0.3066709303856287</v>
      </c>
      <c r="F3588" s="3868"/>
      <c r="G3588" s="2757"/>
      <c r="H3588" s="2967"/>
      <c r="I3588" s="2757"/>
      <c r="J3588" s="2851"/>
      <c r="K3588" s="3405"/>
      <c r="L3588" s="3276"/>
      <c r="M3588" s="2757"/>
      <c r="N3588" s="2768"/>
    </row>
    <row r="3589" spans="1:14" ht="9" hidden="1" customHeight="1" x14ac:dyDescent="0.25">
      <c r="B3589" s="441"/>
      <c r="C3589" s="2473"/>
      <c r="D3589" s="896"/>
      <c r="E3589" s="2763"/>
      <c r="F3589" s="3868"/>
      <c r="G3589" s="2757"/>
      <c r="H3589" s="2967"/>
      <c r="I3589" s="2757"/>
      <c r="J3589" s="2851"/>
      <c r="K3589" s="3405"/>
      <c r="L3589" s="3276"/>
      <c r="M3589" s="2757"/>
      <c r="N3589" s="2768"/>
    </row>
    <row r="3590" spans="1:14" ht="19.5" hidden="1" customHeight="1" x14ac:dyDescent="0.25">
      <c r="B3590" s="441"/>
      <c r="C3590" s="2474" t="s">
        <v>5729</v>
      </c>
      <c r="D3590" s="899">
        <f>D3591+D3592</f>
        <v>350000000</v>
      </c>
      <c r="E3590" s="2764">
        <f>D3590/D3361*100</f>
        <v>0.3066709303856287</v>
      </c>
      <c r="F3590" s="3868"/>
      <c r="G3590" s="2757"/>
      <c r="H3590" s="2967"/>
      <c r="I3590" s="2757"/>
      <c r="J3590" s="2851"/>
      <c r="K3590" s="3405"/>
      <c r="L3590" s="3276"/>
      <c r="M3590" s="2757"/>
      <c r="N3590" s="2768"/>
    </row>
    <row r="3591" spans="1:14" ht="17.25" hidden="1" customHeight="1" x14ac:dyDescent="0.25">
      <c r="B3591" s="441"/>
      <c r="C3591" s="2473" t="s">
        <v>5730</v>
      </c>
      <c r="D3591" s="2709">
        <v>250000000</v>
      </c>
      <c r="E3591" s="2763">
        <f>D3591/D3361*100</f>
        <v>0.21905066456116337</v>
      </c>
      <c r="F3591" s="4430"/>
      <c r="G3591" s="2742"/>
      <c r="H3591" s="2993"/>
      <c r="I3591" s="2742"/>
      <c r="J3591" s="2871"/>
      <c r="K3591" s="3756"/>
      <c r="L3591" s="3325"/>
      <c r="M3591" s="2753"/>
      <c r="N3591" s="2768"/>
    </row>
    <row r="3592" spans="1:14" ht="15.75" hidden="1" customHeight="1" x14ac:dyDescent="0.25">
      <c r="B3592" s="441"/>
      <c r="C3592" s="2473" t="s">
        <v>5731</v>
      </c>
      <c r="D3592" s="2709">
        <v>100000000</v>
      </c>
      <c r="E3592" s="2763">
        <f>D3592/D3361*100</f>
        <v>8.7620265824465346E-2</v>
      </c>
      <c r="F3592" s="4430"/>
      <c r="G3592" s="2742"/>
      <c r="H3592" s="2993"/>
      <c r="I3592" s="2742"/>
      <c r="J3592" s="2871"/>
      <c r="K3592" s="3756"/>
      <c r="L3592" s="3325"/>
      <c r="M3592" s="2753"/>
      <c r="N3592" s="2768"/>
    </row>
    <row r="3593" spans="1:14" ht="12" hidden="1" customHeight="1" x14ac:dyDescent="0.25">
      <c r="B3593" s="441"/>
      <c r="C3593" s="2475" t="s">
        <v>2399</v>
      </c>
      <c r="D3593" s="911"/>
      <c r="E3593" s="3352"/>
      <c r="F3593" s="3859"/>
      <c r="G3593" s="2709"/>
      <c r="H3593" s="3417"/>
      <c r="I3593" s="3410"/>
      <c r="J3593" s="2871"/>
      <c r="K3593" s="2709"/>
      <c r="L3593" s="3343"/>
      <c r="M3593" s="2753"/>
      <c r="N3593" s="2768"/>
    </row>
    <row r="3594" spans="1:14" ht="17.25" hidden="1" customHeight="1" x14ac:dyDescent="0.25">
      <c r="A3594" s="1"/>
      <c r="B3594" s="458"/>
      <c r="C3594" s="2532" t="s">
        <v>5732</v>
      </c>
      <c r="D3594" s="2744">
        <f>D3595</f>
        <v>600000000</v>
      </c>
      <c r="E3594" s="2717">
        <f>D3594/D3361*100</f>
        <v>0.52572159494679205</v>
      </c>
      <c r="F3594" s="3850"/>
      <c r="G3594" s="2909"/>
      <c r="H3594" s="3254"/>
      <c r="I3594" s="3255"/>
      <c r="J3594" s="2910"/>
      <c r="K3594" s="2910"/>
      <c r="L3594" s="3254"/>
      <c r="M3594" s="3418"/>
      <c r="N3594" s="2991"/>
    </row>
    <row r="3595" spans="1:14" ht="15" hidden="1" customHeight="1" x14ac:dyDescent="0.25">
      <c r="B3595" s="441"/>
      <c r="C3595" s="2525" t="s">
        <v>5733</v>
      </c>
      <c r="D3595" s="899">
        <f>SUM(D3596:D3596)</f>
        <v>600000000</v>
      </c>
      <c r="E3595" s="2693">
        <f>D3595/D3361*100</f>
        <v>0.52572159494679205</v>
      </c>
      <c r="F3595" s="3853"/>
      <c r="G3595" s="2884"/>
      <c r="H3595" s="3257"/>
      <c r="I3595" s="2884"/>
      <c r="J3595" s="2883"/>
      <c r="K3595" s="2883"/>
      <c r="L3595" s="3257"/>
      <c r="M3595" s="2884"/>
      <c r="N3595" s="2768"/>
    </row>
    <row r="3596" spans="1:14" ht="18" hidden="1" customHeight="1" x14ac:dyDescent="0.25">
      <c r="B3596" s="441"/>
      <c r="C3596" s="2473" t="s">
        <v>5734</v>
      </c>
      <c r="D3596" s="896">
        <v>600000000</v>
      </c>
      <c r="E3596" s="2688">
        <f>D3596/D3361*100</f>
        <v>0.52572159494679205</v>
      </c>
      <c r="F3596" s="3868"/>
      <c r="G3596" s="2757"/>
      <c r="H3596" s="3275"/>
      <c r="I3596" s="2757"/>
      <c r="J3596" s="2851"/>
      <c r="K3596" s="2851"/>
      <c r="L3596" s="3276"/>
      <c r="M3596" s="2757"/>
      <c r="N3596" s="2768"/>
    </row>
    <row r="3597" spans="1:14" ht="12" hidden="1" customHeight="1" x14ac:dyDescent="0.25">
      <c r="B3597" s="441"/>
      <c r="C3597" s="2475"/>
      <c r="D3597" s="2769"/>
      <c r="E3597" s="3341"/>
      <c r="F3597" s="3864"/>
      <c r="G3597" s="2755"/>
      <c r="H3597" s="2785"/>
      <c r="I3597" s="3342"/>
      <c r="J3597" s="3415"/>
      <c r="K3597" s="2755"/>
      <c r="L3597" s="2751"/>
      <c r="M3597" s="3342"/>
      <c r="N3597" s="2877"/>
    </row>
    <row r="3598" spans="1:14" ht="17.25" hidden="1" customHeight="1" x14ac:dyDescent="0.25">
      <c r="B3598" s="440"/>
      <c r="C3598" s="2532" t="s">
        <v>5735</v>
      </c>
      <c r="D3598" s="2744">
        <f>SUM(D3599+D3603)</f>
        <v>650000000</v>
      </c>
      <c r="E3598" s="2717">
        <f>D3598/D3361*100</f>
        <v>0.56953172785902473</v>
      </c>
      <c r="F3598" s="3850"/>
      <c r="G3598" s="2987"/>
      <c r="H3598" s="2670"/>
      <c r="I3598" s="2987"/>
      <c r="J3598" s="2910"/>
      <c r="K3598" s="2910"/>
      <c r="L3598" s="3254"/>
      <c r="M3598" s="2909"/>
      <c r="N3598" s="2877"/>
    </row>
    <row r="3599" spans="1:14" ht="16.5" hidden="1" customHeight="1" x14ac:dyDescent="0.25">
      <c r="B3599" s="441"/>
      <c r="C3599" s="2525" t="s">
        <v>5736</v>
      </c>
      <c r="D3599" s="899">
        <f>D3600+D3601</f>
        <v>150000000</v>
      </c>
      <c r="E3599" s="2693">
        <f>D3599/D3361*100</f>
        <v>0.13143039873669801</v>
      </c>
      <c r="F3599" s="3853"/>
      <c r="G3599" s="2970"/>
      <c r="H3599" s="2969"/>
      <c r="I3599" s="2970"/>
      <c r="J3599" s="2889"/>
      <c r="K3599" s="2889"/>
      <c r="L3599" s="3257"/>
      <c r="M3599" s="2888"/>
      <c r="N3599" s="2768"/>
    </row>
    <row r="3600" spans="1:14" ht="19.5" hidden="1" customHeight="1" x14ac:dyDescent="0.25">
      <c r="B3600" s="441"/>
      <c r="C3600" s="2473" t="s">
        <v>5737</v>
      </c>
      <c r="D3600" s="896">
        <v>150000000</v>
      </c>
      <c r="E3600" s="2763">
        <f>D3600/D3361*100</f>
        <v>0.13143039873669801</v>
      </c>
      <c r="F3600" s="3868"/>
      <c r="G3600" s="2757"/>
      <c r="H3600" s="2967"/>
      <c r="I3600" s="2757"/>
      <c r="J3600" s="2851"/>
      <c r="K3600" s="2851"/>
      <c r="L3600" s="3276"/>
      <c r="M3600" s="2757"/>
      <c r="N3600" s="2768"/>
    </row>
    <row r="3601" spans="2:14" ht="17.25" hidden="1" customHeight="1" x14ac:dyDescent="0.25">
      <c r="B3601" s="441"/>
      <c r="C3601" s="2473" t="s">
        <v>5738</v>
      </c>
      <c r="D3601" s="896">
        <v>0</v>
      </c>
      <c r="E3601" s="2763">
        <f>D3601/D3361*100</f>
        <v>0</v>
      </c>
      <c r="F3601" s="3868"/>
      <c r="G3601" s="896"/>
      <c r="H3601" s="2690"/>
      <c r="I3601" s="896"/>
      <c r="J3601" s="2851"/>
      <c r="K3601" s="2851"/>
      <c r="L3601" s="899"/>
      <c r="M3601" s="2757"/>
      <c r="N3601" s="2743"/>
    </row>
    <row r="3602" spans="2:14" ht="9" hidden="1" customHeight="1" x14ac:dyDescent="0.25">
      <c r="B3602" s="441"/>
      <c r="C3602" s="2473"/>
      <c r="D3602" s="896"/>
      <c r="E3602" s="2688"/>
      <c r="F3602" s="3868"/>
      <c r="G3602" s="896"/>
      <c r="H3602" s="2690"/>
      <c r="I3602" s="896"/>
      <c r="J3602" s="2851"/>
      <c r="K3602" s="2851"/>
      <c r="L3602" s="899"/>
      <c r="M3602" s="2757"/>
      <c r="N3602" s="2743"/>
    </row>
    <row r="3603" spans="2:14" ht="17.25" hidden="1" customHeight="1" x14ac:dyDescent="0.25">
      <c r="B3603" s="441"/>
      <c r="C3603" s="2474" t="s">
        <v>5739</v>
      </c>
      <c r="D3603" s="899">
        <f>D3604+D3605</f>
        <v>500000000</v>
      </c>
      <c r="E3603" s="2693">
        <f>D3603/D3361*100</f>
        <v>0.43810132912232674</v>
      </c>
      <c r="F3603" s="3853"/>
      <c r="G3603" s="2970"/>
      <c r="H3603" s="2969"/>
      <c r="I3603" s="2970"/>
      <c r="J3603" s="2883"/>
      <c r="K3603" s="2883"/>
      <c r="L3603" s="3257"/>
      <c r="M3603" s="2757"/>
      <c r="N3603" s="2768"/>
    </row>
    <row r="3604" spans="2:14" ht="15" hidden="1" customHeight="1" x14ac:dyDescent="0.25">
      <c r="B3604" s="441"/>
      <c r="C3604" s="2473" t="s">
        <v>5740</v>
      </c>
      <c r="D3604" s="896">
        <v>225000000</v>
      </c>
      <c r="E3604" s="2688">
        <f>D3604/D3361*100</f>
        <v>0.19714559810504706</v>
      </c>
      <c r="F3604" s="3868"/>
      <c r="G3604" s="2757"/>
      <c r="H3604" s="2967"/>
      <c r="I3604" s="2757"/>
      <c r="J3604" s="2851"/>
      <c r="K3604" s="2851"/>
      <c r="L3604" s="3276"/>
      <c r="M3604" s="2757"/>
      <c r="N3604" s="2768"/>
    </row>
    <row r="3605" spans="2:14" ht="15" hidden="1" customHeight="1" x14ac:dyDescent="0.25">
      <c r="B3605" s="441"/>
      <c r="C3605" s="2476" t="s">
        <v>5741</v>
      </c>
      <c r="D3605" s="2709">
        <v>275000000</v>
      </c>
      <c r="E3605" s="2688">
        <f>D3605/D3361*100</f>
        <v>0.24095573101727968</v>
      </c>
      <c r="F3605" s="4430"/>
      <c r="G3605" s="2742"/>
      <c r="H3605" s="2985"/>
      <c r="I3605" s="2742"/>
      <c r="J3605" s="2871"/>
      <c r="K3605" s="2871"/>
      <c r="L3605" s="3419"/>
      <c r="M3605" s="2742"/>
      <c r="N3605" s="2768"/>
    </row>
    <row r="3606" spans="2:14" ht="12" hidden="1" customHeight="1" x14ac:dyDescent="0.25">
      <c r="B3606" s="441"/>
      <c r="C3606" s="2476"/>
      <c r="D3606" s="2709"/>
      <c r="E3606" s="3341"/>
      <c r="F3606" s="4430"/>
      <c r="G3606" s="2709"/>
      <c r="H3606" s="2792"/>
      <c r="I3606" s="3347"/>
      <c r="J3606" s="2893"/>
      <c r="K3606" s="911"/>
      <c r="L3606" s="2767"/>
      <c r="M3606" s="2742"/>
      <c r="N3606" s="2768"/>
    </row>
    <row r="3607" spans="2:14" ht="18" hidden="1" customHeight="1" x14ac:dyDescent="0.25">
      <c r="B3607" s="440"/>
      <c r="C3607" s="2532" t="s">
        <v>5743</v>
      </c>
      <c r="D3607" s="2744">
        <f>SUM(D3608+D3611+D3615)</f>
        <v>3050000000</v>
      </c>
      <c r="E3607" s="2717">
        <f>D3607/D3361*100</f>
        <v>2.6724181076461928</v>
      </c>
      <c r="F3607" s="3850"/>
      <c r="G3607" s="2987"/>
      <c r="H3607" s="2670"/>
      <c r="I3607" s="2987"/>
      <c r="J3607" s="2910"/>
      <c r="K3607" s="2910"/>
      <c r="L3607" s="3254"/>
      <c r="M3607" s="2987"/>
      <c r="N3607" s="2877"/>
    </row>
    <row r="3608" spans="2:14" ht="18.75" hidden="1" customHeight="1" x14ac:dyDescent="0.25">
      <c r="B3608" s="441"/>
      <c r="C3608" s="2525" t="s">
        <v>5742</v>
      </c>
      <c r="D3608" s="899">
        <f>D3609</f>
        <v>2000000000</v>
      </c>
      <c r="E3608" s="2693">
        <f>D3608/D3361*100</f>
        <v>1.752405316489307</v>
      </c>
      <c r="F3608" s="3853"/>
      <c r="G3608" s="2970"/>
      <c r="H3608" s="2969"/>
      <c r="I3608" s="2970"/>
      <c r="J3608" s="2883"/>
      <c r="K3608" s="2883"/>
      <c r="L3608" s="3257"/>
      <c r="M3608" s="2888"/>
      <c r="N3608" s="2768"/>
    </row>
    <row r="3609" spans="2:14" ht="18" hidden="1" customHeight="1" x14ac:dyDescent="0.25">
      <c r="B3609" s="441"/>
      <c r="C3609" s="2473" t="s">
        <v>5744</v>
      </c>
      <c r="D3609" s="896">
        <v>2000000000</v>
      </c>
      <c r="E3609" s="2763">
        <f>D3609/D3361*100</f>
        <v>1.752405316489307</v>
      </c>
      <c r="F3609" s="3868"/>
      <c r="G3609" s="2757"/>
      <c r="H3609" s="2967"/>
      <c r="I3609" s="2757"/>
      <c r="J3609" s="2851"/>
      <c r="K3609" s="2851"/>
      <c r="L3609" s="3276"/>
      <c r="M3609" s="2757"/>
      <c r="N3609" s="2768"/>
    </row>
    <row r="3610" spans="2:14" ht="9.75" hidden="1" customHeight="1" x14ac:dyDescent="0.25">
      <c r="B3610" s="441"/>
      <c r="C3610" s="2476"/>
      <c r="D3610" s="911"/>
      <c r="E3610" s="2763"/>
      <c r="F3610" s="3849"/>
      <c r="G3610" s="911"/>
      <c r="H3610" s="2710"/>
      <c r="I3610" s="2742"/>
      <c r="J3610" s="2871"/>
      <c r="K3610" s="2709"/>
      <c r="L3610" s="2709"/>
      <c r="M3610" s="2742"/>
      <c r="N3610" s="2768"/>
    </row>
    <row r="3611" spans="2:14" ht="16.5" hidden="1" customHeight="1" x14ac:dyDescent="0.25">
      <c r="B3611" s="441"/>
      <c r="C3611" s="2474" t="s">
        <v>5745</v>
      </c>
      <c r="D3611" s="899">
        <f>D3612+D3613</f>
        <v>800000000</v>
      </c>
      <c r="E3611" s="2764">
        <f>D3611/D3361*100</f>
        <v>0.70096212659572277</v>
      </c>
      <c r="F3611" s="3853"/>
      <c r="G3611" s="898"/>
      <c r="H3611" s="2690"/>
      <c r="I3611" s="2757"/>
      <c r="J3611" s="2851"/>
      <c r="K3611" s="896"/>
      <c r="L3611" s="896"/>
      <c r="M3611" s="2757"/>
      <c r="N3611" s="2768"/>
    </row>
    <row r="3612" spans="2:14" ht="15.75" hidden="1" customHeight="1" x14ac:dyDescent="0.25">
      <c r="B3612" s="441"/>
      <c r="C3612" s="2473" t="s">
        <v>5746</v>
      </c>
      <c r="D3612" s="896">
        <v>500000000</v>
      </c>
      <c r="E3612" s="2763">
        <f>D3612/D3361*100</f>
        <v>0.43810132912232674</v>
      </c>
      <c r="F3612" s="3853"/>
      <c r="G3612" s="898"/>
      <c r="H3612" s="2690"/>
      <c r="I3612" s="2757"/>
      <c r="J3612" s="2851"/>
      <c r="K3612" s="896"/>
      <c r="L3612" s="896"/>
      <c r="M3612" s="2757"/>
      <c r="N3612" s="2768"/>
    </row>
    <row r="3613" spans="2:14" ht="15.75" hidden="1" customHeight="1" x14ac:dyDescent="0.25">
      <c r="B3613" s="441"/>
      <c r="C3613" s="2473" t="s">
        <v>5747</v>
      </c>
      <c r="D3613" s="896">
        <v>300000000</v>
      </c>
      <c r="E3613" s="2688">
        <f>D3613/D3361*100</f>
        <v>0.26286079747339602</v>
      </c>
      <c r="F3613" s="3853"/>
      <c r="G3613" s="898"/>
      <c r="H3613" s="2690"/>
      <c r="I3613" s="2757"/>
      <c r="J3613" s="2851"/>
      <c r="K3613" s="896"/>
      <c r="L3613" s="896"/>
      <c r="M3613" s="2757"/>
      <c r="N3613" s="2768"/>
    </row>
    <row r="3614" spans="2:14" ht="9.75" hidden="1" customHeight="1" x14ac:dyDescent="0.25">
      <c r="B3614" s="441"/>
      <c r="C3614" s="2473"/>
      <c r="D3614" s="896"/>
      <c r="E3614" s="2688"/>
      <c r="F3614" s="3853"/>
      <c r="G3614" s="898"/>
      <c r="H3614" s="2690"/>
      <c r="I3614" s="2757"/>
      <c r="J3614" s="2851"/>
      <c r="K3614" s="896"/>
      <c r="L3614" s="896"/>
      <c r="M3614" s="2757"/>
      <c r="N3614" s="2768"/>
    </row>
    <row r="3615" spans="2:14" ht="16.5" hidden="1" customHeight="1" x14ac:dyDescent="0.25">
      <c r="B3615" s="441"/>
      <c r="C3615" s="2474" t="s">
        <v>5748</v>
      </c>
      <c r="D3615" s="899">
        <f>D3616</f>
        <v>250000000</v>
      </c>
      <c r="E3615" s="2693">
        <f>D3615/D3361*100</f>
        <v>0.21905066456116337</v>
      </c>
      <c r="F3615" s="3853"/>
      <c r="G3615" s="898"/>
      <c r="H3615" s="2690"/>
      <c r="I3615" s="2757"/>
      <c r="J3615" s="2851"/>
      <c r="K3615" s="896"/>
      <c r="L3615" s="896"/>
      <c r="M3615" s="2757"/>
      <c r="N3615" s="2768"/>
    </row>
    <row r="3616" spans="2:14" ht="15.75" hidden="1" customHeight="1" x14ac:dyDescent="0.25">
      <c r="B3616" s="441"/>
      <c r="C3616" s="2473" t="s">
        <v>5749</v>
      </c>
      <c r="D3616" s="896">
        <v>250000000</v>
      </c>
      <c r="E3616" s="2688">
        <f>D3616/D3361*100</f>
        <v>0.21905066456116337</v>
      </c>
      <c r="F3616" s="3853"/>
      <c r="G3616" s="898"/>
      <c r="H3616" s="2690"/>
      <c r="I3616" s="2757"/>
      <c r="J3616" s="2851"/>
      <c r="K3616" s="896"/>
      <c r="L3616" s="896"/>
      <c r="M3616" s="2757"/>
      <c r="N3616" s="2768"/>
    </row>
    <row r="3617" spans="2:14" ht="12.75" hidden="1" customHeight="1" x14ac:dyDescent="0.25">
      <c r="B3617" s="441"/>
      <c r="C3617" s="2475"/>
      <c r="D3617" s="2755"/>
      <c r="E3617" s="3341"/>
      <c r="F3617" s="3851"/>
      <c r="G3617" s="2755"/>
      <c r="H3617" s="2752"/>
      <c r="I3617" s="2753"/>
      <c r="J3617" s="2913"/>
      <c r="K3617" s="2769"/>
      <c r="L3617" s="2769"/>
      <c r="M3617" s="2753"/>
      <c r="N3617" s="2768"/>
    </row>
    <row r="3618" spans="2:14" ht="15.75" hidden="1" customHeight="1" x14ac:dyDescent="0.25">
      <c r="B3618" s="440"/>
      <c r="C3618" s="2532" t="s">
        <v>5798</v>
      </c>
      <c r="D3618" s="2744">
        <f>SUM(D3619)</f>
        <v>660000000</v>
      </c>
      <c r="E3618" s="2717">
        <f>D3618/D3361*100</f>
        <v>0.57829375444147135</v>
      </c>
      <c r="F3618" s="3850"/>
      <c r="G3618" s="2909"/>
      <c r="H3618" s="3254"/>
      <c r="I3618" s="2987"/>
      <c r="J3618" s="2910"/>
      <c r="K3618" s="2910"/>
      <c r="L3618" s="3254"/>
      <c r="M3618" s="2987"/>
      <c r="N3618" s="2768"/>
    </row>
    <row r="3619" spans="2:14" ht="16.5" hidden="1" customHeight="1" x14ac:dyDescent="0.25">
      <c r="B3619" s="441"/>
      <c r="C3619" s="2525" t="s">
        <v>5750</v>
      </c>
      <c r="D3619" s="899">
        <f>D3620</f>
        <v>660000000</v>
      </c>
      <c r="E3619" s="2693">
        <f>D3619/D3361*100</f>
        <v>0.57829375444147135</v>
      </c>
      <c r="F3619" s="3853"/>
      <c r="G3619" s="2884"/>
      <c r="H3619" s="3257"/>
      <c r="I3619" s="2884"/>
      <c r="J3619" s="2883"/>
      <c r="K3619" s="2883"/>
      <c r="L3619" s="3257"/>
      <c r="M3619" s="2884"/>
      <c r="N3619" s="2768"/>
    </row>
    <row r="3620" spans="2:14" ht="16.5" hidden="1" customHeight="1" x14ac:dyDescent="0.25">
      <c r="B3620" s="441"/>
      <c r="C3620" s="2473" t="s">
        <v>5751</v>
      </c>
      <c r="D3620" s="896">
        <v>660000000</v>
      </c>
      <c r="E3620" s="2763">
        <f>D3620/D3361*100</f>
        <v>0.57829375444147135</v>
      </c>
      <c r="F3620" s="3868"/>
      <c r="G3620" s="896"/>
      <c r="H3620" s="3275"/>
      <c r="I3620" s="2757"/>
      <c r="J3620" s="2851"/>
      <c r="K3620" s="3408"/>
      <c r="L3620" s="3276"/>
      <c r="M3620" s="2757"/>
      <c r="N3620" s="2768"/>
    </row>
    <row r="3621" spans="2:14" ht="12" hidden="1" customHeight="1" x14ac:dyDescent="0.25">
      <c r="B3621" s="441"/>
      <c r="C3621" s="2475"/>
      <c r="D3621" s="2769"/>
      <c r="E3621" s="3341"/>
      <c r="F3621" s="3872"/>
      <c r="G3621" s="2769"/>
      <c r="H3621" s="3084"/>
      <c r="I3621" s="2753"/>
      <c r="J3621" s="2913"/>
      <c r="K3621" s="2769"/>
      <c r="L3621" s="3343"/>
      <c r="M3621" s="2753"/>
      <c r="N3621" s="2768"/>
    </row>
    <row r="3622" spans="2:14" ht="16.5" hidden="1" customHeight="1" x14ac:dyDescent="0.25">
      <c r="B3622" s="440"/>
      <c r="C3622" s="2532" t="s">
        <v>5753</v>
      </c>
      <c r="D3622" s="2744">
        <f>SUM(D3623,D3638,D3630,D3634)</f>
        <v>3315000000</v>
      </c>
      <c r="E3622" s="2717">
        <f>D3622/D3361*100</f>
        <v>2.904611812081026</v>
      </c>
      <c r="F3622" s="3850"/>
      <c r="G3622" s="2987"/>
      <c r="H3622" s="2670"/>
      <c r="I3622" s="2987"/>
      <c r="J3622" s="2910"/>
      <c r="K3622" s="2910"/>
      <c r="L3622" s="3254"/>
      <c r="M3622" s="2987"/>
      <c r="N3622" s="2768"/>
    </row>
    <row r="3623" spans="2:14" ht="18.75" hidden="1" customHeight="1" x14ac:dyDescent="0.25">
      <c r="B3623" s="441"/>
      <c r="C3623" s="2521" t="s">
        <v>5752</v>
      </c>
      <c r="D3623" s="2751">
        <f>SUM(D3624:D3628)</f>
        <v>1680000000</v>
      </c>
      <c r="E3623" s="2764">
        <f>D3623/D3361*100</f>
        <v>1.4720204658510179</v>
      </c>
      <c r="F3623" s="3851"/>
      <c r="G3623" s="2970"/>
      <c r="H3623" s="2969"/>
      <c r="I3623" s="2970"/>
      <c r="J3623" s="2883"/>
      <c r="K3623" s="2883"/>
      <c r="L3623" s="3257"/>
      <c r="M3623" s="2888"/>
      <c r="N3623" s="2768"/>
    </row>
    <row r="3624" spans="2:14" ht="17.25" hidden="1" customHeight="1" x14ac:dyDescent="0.25">
      <c r="B3624" s="441"/>
      <c r="C3624" s="2473" t="s">
        <v>5757</v>
      </c>
      <c r="D3624" s="896">
        <v>250000000</v>
      </c>
      <c r="E3624" s="2763">
        <f>D3624/D3361*100</f>
        <v>0.21905066456116337</v>
      </c>
      <c r="F3624" s="3868"/>
      <c r="G3624" s="2757"/>
      <c r="H3624" s="2967"/>
      <c r="I3624" s="2757"/>
      <c r="J3624" s="2851"/>
      <c r="K3624" s="3408"/>
      <c r="L3624" s="3276"/>
      <c r="M3624" s="2757"/>
      <c r="N3624" s="2768"/>
    </row>
    <row r="3625" spans="2:14" ht="15" hidden="1" customHeight="1" x14ac:dyDescent="0.25">
      <c r="B3625" s="441"/>
      <c r="C3625" s="2473" t="s">
        <v>5758</v>
      </c>
      <c r="D3625" s="896">
        <v>250000000</v>
      </c>
      <c r="E3625" s="2763">
        <f>D3625/D3361*100</f>
        <v>0.21905066456116337</v>
      </c>
      <c r="F3625" s="3868"/>
      <c r="G3625" s="896"/>
      <c r="H3625" s="2690"/>
      <c r="I3625" s="896"/>
      <c r="J3625" s="2851"/>
      <c r="K3625" s="896"/>
      <c r="L3625" s="2796"/>
      <c r="M3625" s="2757"/>
      <c r="N3625" s="2768"/>
    </row>
    <row r="3626" spans="2:14" ht="16.5" hidden="1" customHeight="1" x14ac:dyDescent="0.25">
      <c r="B3626" s="441"/>
      <c r="C3626" s="2475" t="s">
        <v>5759</v>
      </c>
      <c r="D3626" s="896">
        <v>250000000</v>
      </c>
      <c r="E3626" s="2763">
        <f>D3626/D3361*100</f>
        <v>0.21905066456116337</v>
      </c>
      <c r="F3626" s="3868"/>
      <c r="G3626" s="896"/>
      <c r="H3626" s="2690"/>
      <c r="I3626" s="896"/>
      <c r="J3626" s="2851"/>
      <c r="K3626" s="896"/>
      <c r="L3626" s="2796"/>
      <c r="M3626" s="2757"/>
      <c r="N3626" s="2768"/>
    </row>
    <row r="3627" spans="2:14" ht="12.75" hidden="1" customHeight="1" x14ac:dyDescent="0.25">
      <c r="B3627" s="441"/>
      <c r="C3627" s="2473" t="s">
        <v>5760</v>
      </c>
      <c r="D3627" s="896">
        <v>490000000</v>
      </c>
      <c r="E3627" s="2763">
        <f>D3627/D3361*100</f>
        <v>0.42933930253988017</v>
      </c>
      <c r="F3627" s="3868"/>
      <c r="G3627" s="896"/>
      <c r="H3627" s="2690"/>
      <c r="I3627" s="896"/>
      <c r="J3627" s="2851"/>
      <c r="K3627" s="896"/>
      <c r="L3627" s="2796"/>
      <c r="M3627" s="2757"/>
      <c r="N3627" s="2768"/>
    </row>
    <row r="3628" spans="2:14" ht="16.5" hidden="1" customHeight="1" x14ac:dyDescent="0.25">
      <c r="B3628" s="441"/>
      <c r="C3628" s="2473" t="s">
        <v>5761</v>
      </c>
      <c r="D3628" s="896">
        <v>440000000</v>
      </c>
      <c r="E3628" s="2763">
        <f>D3628/D3361*100</f>
        <v>0.38552916962764749</v>
      </c>
      <c r="F3628" s="3868"/>
      <c r="G3628" s="896"/>
      <c r="H3628" s="2690"/>
      <c r="I3628" s="896"/>
      <c r="J3628" s="2851"/>
      <c r="K3628" s="896"/>
      <c r="L3628" s="2796"/>
      <c r="M3628" s="2757"/>
      <c r="N3628" s="2768"/>
    </row>
    <row r="3629" spans="2:14" ht="9" hidden="1" customHeight="1" x14ac:dyDescent="0.25">
      <c r="B3629" s="441"/>
      <c r="C3629" s="2475"/>
      <c r="D3629" s="2709"/>
      <c r="E3629" s="2763"/>
      <c r="F3629" s="4430"/>
      <c r="G3629" s="2709"/>
      <c r="H3629" s="2710"/>
      <c r="I3629" s="2709"/>
      <c r="J3629" s="2871"/>
      <c r="K3629" s="2709"/>
      <c r="L3629" s="2796"/>
      <c r="M3629" s="2757"/>
      <c r="N3629" s="2768"/>
    </row>
    <row r="3630" spans="2:14" ht="18.75" hidden="1" customHeight="1" x14ac:dyDescent="0.25">
      <c r="B3630" s="441"/>
      <c r="C3630" s="2474" t="s">
        <v>5754</v>
      </c>
      <c r="D3630" s="899">
        <f>SUM(D3631:D3632)</f>
        <v>196000000</v>
      </c>
      <c r="E3630" s="2764">
        <f>D3630/D3361*100</f>
        <v>0.17173572101595208</v>
      </c>
      <c r="F3630" s="3868"/>
      <c r="G3630" s="896"/>
      <c r="H3630" s="2690"/>
      <c r="I3630" s="896"/>
      <c r="J3630" s="2851"/>
      <c r="K3630" s="896"/>
      <c r="L3630" s="2796"/>
      <c r="M3630" s="2757"/>
      <c r="N3630" s="2768"/>
    </row>
    <row r="3631" spans="2:14" ht="15" hidden="1" customHeight="1" x14ac:dyDescent="0.25">
      <c r="B3631" s="441"/>
      <c r="C3631" s="2473" t="s">
        <v>5762</v>
      </c>
      <c r="D3631" s="896">
        <v>100000000</v>
      </c>
      <c r="E3631" s="2763">
        <f>D3631/D3361*100</f>
        <v>8.7620265824465346E-2</v>
      </c>
      <c r="F3631" s="3868"/>
      <c r="G3631" s="896"/>
      <c r="H3631" s="2690"/>
      <c r="I3631" s="896"/>
      <c r="J3631" s="2851"/>
      <c r="K3631" s="896"/>
      <c r="L3631" s="2796"/>
      <c r="M3631" s="2757"/>
      <c r="N3631" s="2768"/>
    </row>
    <row r="3632" spans="2:14" ht="16.5" hidden="1" customHeight="1" x14ac:dyDescent="0.25">
      <c r="B3632" s="441"/>
      <c r="C3632" s="2473" t="s">
        <v>5763</v>
      </c>
      <c r="D3632" s="896">
        <v>96000000</v>
      </c>
      <c r="E3632" s="2763">
        <f>D3632/D3361*100</f>
        <v>8.4115455191486735E-2</v>
      </c>
      <c r="F3632" s="3868"/>
      <c r="G3632" s="896"/>
      <c r="H3632" s="2690"/>
      <c r="I3632" s="896"/>
      <c r="J3632" s="2851"/>
      <c r="K3632" s="896"/>
      <c r="L3632" s="2796"/>
      <c r="M3632" s="2757"/>
      <c r="N3632" s="2768"/>
    </row>
    <row r="3633" spans="2:14" ht="10.5" hidden="1" customHeight="1" x14ac:dyDescent="0.25">
      <c r="B3633" s="441"/>
      <c r="C3633" s="2473"/>
      <c r="D3633" s="896"/>
      <c r="E3633" s="2763"/>
      <c r="F3633" s="3868"/>
      <c r="G3633" s="896"/>
      <c r="H3633" s="2690"/>
      <c r="I3633" s="896"/>
      <c r="J3633" s="2851"/>
      <c r="K3633" s="896"/>
      <c r="L3633" s="2796"/>
      <c r="M3633" s="2757"/>
      <c r="N3633" s="2768"/>
    </row>
    <row r="3634" spans="2:14" ht="15.75" hidden="1" customHeight="1" x14ac:dyDescent="0.25">
      <c r="B3634" s="441"/>
      <c r="C3634" s="2474" t="s">
        <v>5755</v>
      </c>
      <c r="D3634" s="899">
        <f>SUM(D3635:D3636)</f>
        <v>275000000</v>
      </c>
      <c r="E3634" s="2764">
        <f>D3634/D3361*100</f>
        <v>0.24095573101727968</v>
      </c>
      <c r="F3634" s="3868"/>
      <c r="G3634" s="896"/>
      <c r="H3634" s="2690"/>
      <c r="I3634" s="896"/>
      <c r="J3634" s="2851"/>
      <c r="K3634" s="896"/>
      <c r="L3634" s="2796"/>
      <c r="M3634" s="2757"/>
      <c r="N3634" s="2768"/>
    </row>
    <row r="3635" spans="2:14" ht="15.75" hidden="1" customHeight="1" x14ac:dyDescent="0.25">
      <c r="B3635" s="441"/>
      <c r="C3635" s="2473" t="s">
        <v>5764</v>
      </c>
      <c r="D3635" s="896">
        <v>175000000</v>
      </c>
      <c r="E3635" s="2763">
        <f>D3635/D3361*100</f>
        <v>0.15333546519281435</v>
      </c>
      <c r="F3635" s="3868"/>
      <c r="G3635" s="896"/>
      <c r="H3635" s="2690"/>
      <c r="I3635" s="896"/>
      <c r="J3635" s="2851"/>
      <c r="K3635" s="896"/>
      <c r="L3635" s="2796"/>
      <c r="M3635" s="2757"/>
      <c r="N3635" s="2768"/>
    </row>
    <row r="3636" spans="2:14" ht="21" hidden="1" customHeight="1" x14ac:dyDescent="0.25">
      <c r="B3636" s="441"/>
      <c r="C3636" s="2473" t="s">
        <v>5765</v>
      </c>
      <c r="D3636" s="896">
        <v>100000000</v>
      </c>
      <c r="E3636" s="2763">
        <f>D3636/D3361*100</f>
        <v>8.7620265824465346E-2</v>
      </c>
      <c r="F3636" s="3868"/>
      <c r="G3636" s="896"/>
      <c r="H3636" s="2690"/>
      <c r="I3636" s="896"/>
      <c r="J3636" s="2851"/>
      <c r="K3636" s="896"/>
      <c r="L3636" s="2796"/>
      <c r="M3636" s="2757"/>
      <c r="N3636" s="2768"/>
    </row>
    <row r="3637" spans="2:14" ht="9" hidden="1" customHeight="1" x14ac:dyDescent="0.25">
      <c r="B3637" s="441"/>
      <c r="C3637" s="2473"/>
      <c r="D3637" s="896"/>
      <c r="E3637" s="2763"/>
      <c r="F3637" s="3868"/>
      <c r="G3637" s="896"/>
      <c r="H3637" s="2690"/>
      <c r="I3637" s="896"/>
      <c r="J3637" s="2851"/>
      <c r="K3637" s="896"/>
      <c r="L3637" s="2796"/>
      <c r="M3637" s="2757"/>
      <c r="N3637" s="2768"/>
    </row>
    <row r="3638" spans="2:14" ht="30.75" hidden="1" customHeight="1" x14ac:dyDescent="0.25">
      <c r="B3638" s="441"/>
      <c r="C3638" s="2525" t="s">
        <v>5756</v>
      </c>
      <c r="D3638" s="899">
        <f>D3639+D3640+D3641</f>
        <v>1164000000</v>
      </c>
      <c r="E3638" s="2764">
        <f>D3638/D3361*100</f>
        <v>1.0198998941967767</v>
      </c>
      <c r="F3638" s="3853"/>
      <c r="G3638" s="2970"/>
      <c r="H3638" s="2969"/>
      <c r="I3638" s="2970"/>
      <c r="J3638" s="2883"/>
      <c r="K3638" s="2883"/>
      <c r="L3638" s="3257"/>
      <c r="M3638" s="3339"/>
      <c r="N3638" s="2768"/>
    </row>
    <row r="3639" spans="2:14" ht="19.5" hidden="1" customHeight="1" x14ac:dyDescent="0.25">
      <c r="B3639" s="441"/>
      <c r="C3639" s="2473" t="s">
        <v>5766</v>
      </c>
      <c r="D3639" s="896">
        <v>300000000</v>
      </c>
      <c r="E3639" s="2688">
        <f>D3639/D3361*100</f>
        <v>0.26286079747339602</v>
      </c>
      <c r="F3639" s="3868"/>
      <c r="G3639" s="2757"/>
      <c r="H3639" s="2967"/>
      <c r="I3639" s="2757"/>
      <c r="J3639" s="2851"/>
      <c r="K3639" s="2851"/>
      <c r="L3639" s="3276"/>
      <c r="M3639" s="2757"/>
      <c r="N3639" s="2768"/>
    </row>
    <row r="3640" spans="2:14" ht="15.75" hidden="1" customHeight="1" x14ac:dyDescent="0.25">
      <c r="B3640" s="441"/>
      <c r="C3640" s="2473" t="s">
        <v>5767</v>
      </c>
      <c r="D3640" s="896">
        <v>464000000</v>
      </c>
      <c r="E3640" s="2688">
        <f>D3640/D3361*100</f>
        <v>0.40655803342551922</v>
      </c>
      <c r="F3640" s="3868"/>
      <c r="G3640" s="2757"/>
      <c r="H3640" s="2967"/>
      <c r="I3640" s="2757"/>
      <c r="J3640" s="2851"/>
      <c r="K3640" s="2851"/>
      <c r="L3640" s="3419"/>
      <c r="M3640" s="2742"/>
      <c r="N3640" s="2768"/>
    </row>
    <row r="3641" spans="2:14" ht="17.25" hidden="1" customHeight="1" x14ac:dyDescent="0.25">
      <c r="B3641" s="441"/>
      <c r="C3641" s="2473" t="s">
        <v>5768</v>
      </c>
      <c r="D3641" s="896">
        <v>400000000</v>
      </c>
      <c r="E3641" s="2688">
        <f>D3641/D3361*100</f>
        <v>0.35048106329786138</v>
      </c>
      <c r="F3641" s="3868"/>
      <c r="G3641" s="2757"/>
      <c r="H3641" s="2967"/>
      <c r="I3641" s="2757"/>
      <c r="J3641" s="2851"/>
      <c r="K3641" s="2851"/>
      <c r="L3641" s="3419"/>
      <c r="M3641" s="2742"/>
      <c r="N3641" s="2768"/>
    </row>
    <row r="3642" spans="2:14" ht="12" hidden="1" customHeight="1" x14ac:dyDescent="0.25">
      <c r="B3642" s="441"/>
      <c r="C3642" s="2475"/>
      <c r="D3642" s="2769"/>
      <c r="E3642" s="3341"/>
      <c r="F3642" s="3872"/>
      <c r="G3642" s="2991"/>
      <c r="H3642" s="2993"/>
      <c r="I3642" s="2753"/>
      <c r="J3642" s="2913"/>
      <c r="K3642" s="2769"/>
      <c r="L3642" s="2709"/>
      <c r="M3642" s="2742"/>
      <c r="N3642" s="2768"/>
    </row>
    <row r="3643" spans="2:14" ht="15" hidden="1" customHeight="1" x14ac:dyDescent="0.25">
      <c r="B3643" s="440"/>
      <c r="C3643" s="2471" t="s">
        <v>2464</v>
      </c>
      <c r="D3643" s="2744">
        <f>SUM(D3644+D3647)</f>
        <v>4100000000</v>
      </c>
      <c r="E3643" s="2717">
        <f>D3643/D3361*100</f>
        <v>3.5924308988030793</v>
      </c>
      <c r="F3643" s="3850"/>
      <c r="G3643" s="2987"/>
      <c r="H3643" s="2670"/>
      <c r="I3643" s="2987"/>
      <c r="J3643" s="2910"/>
      <c r="K3643" s="2910"/>
      <c r="L3643" s="3254"/>
      <c r="M3643" s="2987"/>
      <c r="N3643" s="2768"/>
    </row>
    <row r="3644" spans="2:14" ht="18.75" hidden="1" customHeight="1" x14ac:dyDescent="0.25">
      <c r="B3644" s="441"/>
      <c r="C3644" s="2521" t="s">
        <v>5769</v>
      </c>
      <c r="D3644" s="2751">
        <f>D3645</f>
        <v>500000000</v>
      </c>
      <c r="E3644" s="2764">
        <f>D3644/D3361*100</f>
        <v>0.43810132912232674</v>
      </c>
      <c r="F3644" s="3851"/>
      <c r="G3644" s="2970"/>
      <c r="H3644" s="2969"/>
      <c r="I3644" s="2970"/>
      <c r="J3644" s="2889"/>
      <c r="K3644" s="2889"/>
      <c r="L3644" s="3257"/>
      <c r="M3644" s="3005"/>
      <c r="N3644" s="2768"/>
    </row>
    <row r="3645" spans="2:14" ht="16.5" hidden="1" customHeight="1" x14ac:dyDescent="0.25">
      <c r="B3645" s="441"/>
      <c r="C3645" s="2473" t="s">
        <v>5799</v>
      </c>
      <c r="D3645" s="3757">
        <v>500000000</v>
      </c>
      <c r="E3645" s="2763">
        <f>D3645/D3361*100</f>
        <v>0.43810132912232674</v>
      </c>
      <c r="F3645" s="3868"/>
      <c r="G3645" s="2757"/>
      <c r="H3645" s="2967"/>
      <c r="I3645" s="2757"/>
      <c r="J3645" s="2851"/>
      <c r="K3645" s="3408"/>
      <c r="L3645" s="3275"/>
      <c r="M3645" s="2757"/>
      <c r="N3645" s="2768"/>
    </row>
    <row r="3646" spans="2:14" ht="9.75" hidden="1" customHeight="1" x14ac:dyDescent="0.25">
      <c r="B3646" s="441"/>
      <c r="C3646" s="2476"/>
      <c r="D3646" s="2709"/>
      <c r="E3646" s="2763"/>
      <c r="F3646" s="4430"/>
      <c r="G3646" s="2757"/>
      <c r="H3646" s="2967"/>
      <c r="I3646" s="2757"/>
      <c r="J3646" s="2851"/>
      <c r="K3646" s="3408"/>
      <c r="L3646" s="3275"/>
      <c r="M3646" s="2742"/>
      <c r="N3646" s="2768"/>
    </row>
    <row r="3647" spans="2:14" ht="16.5" hidden="1" customHeight="1" x14ac:dyDescent="0.25">
      <c r="B3647" s="441"/>
      <c r="C3647" s="2477" t="s">
        <v>5800</v>
      </c>
      <c r="D3647" s="2767">
        <f>SUM(D3648:D3649)</f>
        <v>3600000000</v>
      </c>
      <c r="E3647" s="2764">
        <f>D3647/D3361*100</f>
        <v>3.154329569680753</v>
      </c>
      <c r="F3647" s="4430"/>
      <c r="G3647" s="2757"/>
      <c r="H3647" s="2967"/>
      <c r="I3647" s="2757"/>
      <c r="J3647" s="2851"/>
      <c r="K3647" s="3408"/>
      <c r="L3647" s="3275"/>
      <c r="M3647" s="2742"/>
      <c r="N3647" s="2768"/>
    </row>
    <row r="3648" spans="2:14" ht="15.75" hidden="1" customHeight="1" x14ac:dyDescent="0.25">
      <c r="B3648" s="441"/>
      <c r="C3648" s="2476" t="s">
        <v>5801</v>
      </c>
      <c r="D3648" s="2709">
        <v>700000000</v>
      </c>
      <c r="E3648" s="2763">
        <f>D3648/D3361*100</f>
        <v>0.61334186077125741</v>
      </c>
      <c r="F3648" s="4430"/>
      <c r="G3648" s="2757"/>
      <c r="H3648" s="2967"/>
      <c r="I3648" s="2757"/>
      <c r="J3648" s="2851"/>
      <c r="K3648" s="3408"/>
      <c r="L3648" s="3275"/>
      <c r="M3648" s="2742"/>
      <c r="N3648" s="2768"/>
    </row>
    <row r="3649" spans="1:16" ht="33.75" hidden="1" customHeight="1" x14ac:dyDescent="0.25">
      <c r="B3649" s="441"/>
      <c r="C3649" s="2476" t="s">
        <v>5802</v>
      </c>
      <c r="D3649" s="896">
        <v>2900000000</v>
      </c>
      <c r="E3649" s="2763">
        <f>D3649/D3361*100</f>
        <v>2.540987708909495</v>
      </c>
      <c r="F3649" s="3868"/>
      <c r="G3649" s="2757"/>
      <c r="H3649" s="2967"/>
      <c r="I3649" s="2757"/>
      <c r="J3649" s="2851"/>
      <c r="K3649" s="3408"/>
      <c r="L3649" s="3275"/>
      <c r="M3649" s="2742"/>
      <c r="N3649" s="2768"/>
    </row>
    <row r="3650" spans="1:16" ht="12" hidden="1" customHeight="1" x14ac:dyDescent="0.25">
      <c r="B3650" s="441"/>
      <c r="C3650" s="2476"/>
      <c r="D3650" s="2769"/>
      <c r="E3650" s="2758"/>
      <c r="F3650" s="3872"/>
      <c r="G3650" s="2709"/>
      <c r="H3650" s="2792"/>
      <c r="I3650" s="2742"/>
      <c r="J3650" s="2871"/>
      <c r="K3650" s="2709"/>
      <c r="L3650" s="3355"/>
      <c r="M3650" s="2742"/>
      <c r="N3650" s="2768"/>
    </row>
    <row r="3651" spans="1:16" ht="19.5" hidden="1" customHeight="1" x14ac:dyDescent="0.25">
      <c r="B3651" s="440"/>
      <c r="C3651" s="2471" t="s">
        <v>5770</v>
      </c>
      <c r="D3651" s="2744">
        <f>SUM(D3652+D3655)</f>
        <v>1700000000</v>
      </c>
      <c r="E3651" s="2717">
        <f>D3651/D3361*100</f>
        <v>1.4895445190159109</v>
      </c>
      <c r="F3651" s="3871"/>
      <c r="G3651" s="3149"/>
      <c r="H3651" s="2727"/>
      <c r="I3651" s="2747"/>
      <c r="J3651" s="3381"/>
      <c r="K3651" s="3149"/>
      <c r="L3651" s="3200"/>
      <c r="M3651" s="2747"/>
      <c r="N3651" s="2768"/>
    </row>
    <row r="3652" spans="1:16" ht="22.5" hidden="1" customHeight="1" x14ac:dyDescent="0.25">
      <c r="B3652" s="441"/>
      <c r="C3652" s="2478" t="s">
        <v>5771</v>
      </c>
      <c r="D3652" s="2751">
        <f>D3653</f>
        <v>200000000</v>
      </c>
      <c r="E3652" s="2764">
        <f>D3652/D3361*100</f>
        <v>0.17524053164893069</v>
      </c>
      <c r="F3652" s="3872"/>
      <c r="G3652" s="2769"/>
      <c r="H3652" s="3084"/>
      <c r="I3652" s="2753"/>
      <c r="J3652" s="2913"/>
      <c r="K3652" s="2769"/>
      <c r="L3652" s="3343"/>
      <c r="M3652" s="2753"/>
      <c r="N3652" s="2768"/>
    </row>
    <row r="3653" spans="1:16" ht="18.75" hidden="1" customHeight="1" x14ac:dyDescent="0.25">
      <c r="B3653" s="441"/>
      <c r="C3653" s="4186" t="s">
        <v>5772</v>
      </c>
      <c r="D3653" s="896">
        <v>200000000</v>
      </c>
      <c r="E3653" s="2763">
        <f>D3653/D3361*100</f>
        <v>0.17524053164893069</v>
      </c>
      <c r="F3653" s="3868"/>
      <c r="G3653" s="896"/>
      <c r="H3653" s="2702"/>
      <c r="I3653" s="2757"/>
      <c r="J3653" s="2851"/>
      <c r="K3653" s="896"/>
      <c r="L3653" s="2796"/>
      <c r="M3653" s="2757"/>
      <c r="N3653" s="2768"/>
    </row>
    <row r="3654" spans="1:16" ht="12" hidden="1" customHeight="1" x14ac:dyDescent="0.25">
      <c r="B3654" s="441"/>
      <c r="C3654" s="2473"/>
      <c r="D3654" s="896"/>
      <c r="E3654" s="2763"/>
      <c r="F3654" s="3868"/>
      <c r="G3654" s="896"/>
      <c r="H3654" s="2702"/>
      <c r="I3654" s="2757"/>
      <c r="J3654" s="2851"/>
      <c r="K3654" s="896"/>
      <c r="L3654" s="2796"/>
      <c r="M3654" s="2757"/>
      <c r="N3654" s="2768"/>
    </row>
    <row r="3655" spans="1:16" ht="15.75" hidden="1" customHeight="1" x14ac:dyDescent="0.25">
      <c r="B3655" s="441"/>
      <c r="C3655" s="2474" t="s">
        <v>5773</v>
      </c>
      <c r="D3655" s="899">
        <f>SUM(D3656:D3657)</f>
        <v>1500000000</v>
      </c>
      <c r="E3655" s="2764">
        <f>D3655/D3361*100</f>
        <v>1.3143039873669802</v>
      </c>
      <c r="F3655" s="3868"/>
      <c r="G3655" s="896"/>
      <c r="H3655" s="2702"/>
      <c r="I3655" s="2757"/>
      <c r="J3655" s="2851"/>
      <c r="K3655" s="896"/>
      <c r="L3655" s="2796"/>
      <c r="M3655" s="2757"/>
      <c r="N3655" s="2768"/>
    </row>
    <row r="3656" spans="1:16" ht="15.75" hidden="1" customHeight="1" x14ac:dyDescent="0.25">
      <c r="B3656" s="441"/>
      <c r="C3656" s="2473" t="s">
        <v>5774</v>
      </c>
      <c r="D3656" s="896">
        <v>1000000000</v>
      </c>
      <c r="E3656" s="2763">
        <f>D3656/D3361*100</f>
        <v>0.87620265824465349</v>
      </c>
      <c r="F3656" s="3868"/>
      <c r="G3656" s="896"/>
      <c r="H3656" s="2702"/>
      <c r="I3656" s="2757"/>
      <c r="J3656" s="2851"/>
      <c r="K3656" s="896"/>
      <c r="L3656" s="2796"/>
      <c r="M3656" s="2757"/>
      <c r="N3656" s="2768"/>
    </row>
    <row r="3657" spans="1:16" ht="21.75" hidden="1" customHeight="1" x14ac:dyDescent="0.25">
      <c r="B3657" s="441"/>
      <c r="C3657" s="2473" t="s">
        <v>5775</v>
      </c>
      <c r="D3657" s="896">
        <v>500000000</v>
      </c>
      <c r="E3657" s="2763">
        <f>D3657/D3361*100</f>
        <v>0.43810132912232674</v>
      </c>
      <c r="F3657" s="3868"/>
      <c r="G3657" s="896"/>
      <c r="H3657" s="2702"/>
      <c r="I3657" s="2757"/>
      <c r="J3657" s="2851"/>
      <c r="K3657" s="896"/>
      <c r="L3657" s="2796"/>
      <c r="M3657" s="2757"/>
      <c r="N3657" s="2768"/>
    </row>
    <row r="3658" spans="1:16" ht="12" hidden="1" customHeight="1" x14ac:dyDescent="0.25">
      <c r="B3658" s="441"/>
      <c r="C3658" s="2475"/>
      <c r="D3658" s="2769"/>
      <c r="E3658" s="2758"/>
      <c r="F3658" s="3872"/>
      <c r="G3658" s="2769"/>
      <c r="H3658" s="3084"/>
      <c r="I3658" s="2753"/>
      <c r="J3658" s="2913"/>
      <c r="K3658" s="2769"/>
      <c r="L3658" s="3343"/>
      <c r="M3658" s="2753"/>
      <c r="N3658" s="2768"/>
    </row>
    <row r="3659" spans="1:16" ht="18.75" hidden="1" customHeight="1" x14ac:dyDescent="0.25">
      <c r="B3659" s="440"/>
      <c r="C3659" s="2471" t="s">
        <v>5776</v>
      </c>
      <c r="D3659" s="2744">
        <f>D3660</f>
        <v>500000000</v>
      </c>
      <c r="E3659" s="2717">
        <f>D3659/D3361*100</f>
        <v>0.43810132912232674</v>
      </c>
      <c r="F3659" s="3871"/>
      <c r="G3659" s="3149"/>
      <c r="H3659" s="2727"/>
      <c r="I3659" s="2747"/>
      <c r="J3659" s="3381"/>
      <c r="K3659" s="3149"/>
      <c r="L3659" s="3200"/>
      <c r="M3659" s="2747"/>
      <c r="N3659" s="2768"/>
    </row>
    <row r="3660" spans="1:16" s="32" customFormat="1" ht="18.75" hidden="1" customHeight="1" x14ac:dyDescent="0.25">
      <c r="A3660" s="1"/>
      <c r="B3660" s="441"/>
      <c r="C3660" s="2478" t="s">
        <v>5777</v>
      </c>
      <c r="D3660" s="2751">
        <f>D3661</f>
        <v>500000000</v>
      </c>
      <c r="E3660" s="2765">
        <f>D3660/D3361*100</f>
        <v>0.43810132912232674</v>
      </c>
      <c r="F3660" s="3851"/>
      <c r="G3660" s="2751"/>
      <c r="H3660" s="2785"/>
      <c r="I3660" s="3009"/>
      <c r="J3660" s="2889"/>
      <c r="K3660" s="2751"/>
      <c r="L3660" s="2751"/>
      <c r="M3660" s="3009"/>
      <c r="N3660" s="2837"/>
      <c r="P3660" s="630"/>
    </row>
    <row r="3661" spans="1:16" ht="18.75" hidden="1" customHeight="1" x14ac:dyDescent="0.25">
      <c r="B3661" s="441"/>
      <c r="C3661" s="2473" t="s">
        <v>5778</v>
      </c>
      <c r="D3661" s="896">
        <v>500000000</v>
      </c>
      <c r="E3661" s="2688">
        <f>D3661/D3361*100</f>
        <v>0.43810132912232674</v>
      </c>
      <c r="F3661" s="3868"/>
      <c r="G3661" s="896"/>
      <c r="H3661" s="2702"/>
      <c r="I3661" s="2757"/>
      <c r="J3661" s="2851"/>
      <c r="K3661" s="896"/>
      <c r="L3661" s="2796"/>
      <c r="M3661" s="2757"/>
      <c r="N3661" s="2768"/>
    </row>
    <row r="3662" spans="1:16" ht="12" hidden="1" customHeight="1" x14ac:dyDescent="0.25">
      <c r="B3662" s="441"/>
      <c r="C3662" s="2475"/>
      <c r="D3662" s="2769"/>
      <c r="E3662" s="2758"/>
      <c r="F3662" s="3872"/>
      <c r="G3662" s="2769"/>
      <c r="H3662" s="3084"/>
      <c r="I3662" s="2753"/>
      <c r="J3662" s="2913"/>
      <c r="K3662" s="2769"/>
      <c r="L3662" s="3343"/>
      <c r="M3662" s="2753"/>
      <c r="N3662" s="2768"/>
    </row>
    <row r="3663" spans="1:16" s="32" customFormat="1" ht="18.75" hidden="1" customHeight="1" x14ac:dyDescent="0.25">
      <c r="A3663" s="1"/>
      <c r="B3663" s="440"/>
      <c r="C3663" s="2627" t="s">
        <v>5535</v>
      </c>
      <c r="D3663" s="2744">
        <f>SUM(D3664+D3667)</f>
        <v>3050000000</v>
      </c>
      <c r="E3663" s="2717">
        <f>D3663/D3361*100</f>
        <v>2.6724181076461928</v>
      </c>
      <c r="F3663" s="3850"/>
      <c r="G3663" s="2744"/>
      <c r="H3663" s="2672"/>
      <c r="I3663" s="2987"/>
      <c r="J3663" s="2910"/>
      <c r="K3663" s="2744"/>
      <c r="L3663" s="2744"/>
      <c r="M3663" s="2987"/>
      <c r="N3663" s="2837"/>
      <c r="P3663" s="630"/>
    </row>
    <row r="3664" spans="1:16" ht="21.75" hidden="1" customHeight="1" x14ac:dyDescent="0.25">
      <c r="B3664" s="441"/>
      <c r="C3664" s="2478" t="s">
        <v>5779</v>
      </c>
      <c r="D3664" s="2751">
        <f>D3665</f>
        <v>650000000</v>
      </c>
      <c r="E3664" s="2765">
        <f>D3664/D3361*100</f>
        <v>0.56953172785902473</v>
      </c>
      <c r="F3664" s="3872"/>
      <c r="G3664" s="2769"/>
      <c r="H3664" s="3084"/>
      <c r="I3664" s="2753"/>
      <c r="J3664" s="2913"/>
      <c r="K3664" s="2769"/>
      <c r="L3664" s="3343"/>
      <c r="M3664" s="2753"/>
      <c r="N3664" s="2768"/>
    </row>
    <row r="3665" spans="1:16" ht="27" hidden="1" customHeight="1" x14ac:dyDescent="0.25">
      <c r="B3665" s="441"/>
      <c r="C3665" s="2473" t="s">
        <v>5780</v>
      </c>
      <c r="D3665" s="896">
        <v>650000000</v>
      </c>
      <c r="E3665" s="2688">
        <f>D3665/D3361*100</f>
        <v>0.56953172785902473</v>
      </c>
      <c r="F3665" s="3868"/>
      <c r="G3665" s="896"/>
      <c r="H3665" s="2702"/>
      <c r="I3665" s="2757"/>
      <c r="J3665" s="2851"/>
      <c r="K3665" s="896"/>
      <c r="L3665" s="2796"/>
      <c r="M3665" s="2757"/>
      <c r="N3665" s="2768"/>
    </row>
    <row r="3666" spans="1:16" ht="12" hidden="1" customHeight="1" x14ac:dyDescent="0.25">
      <c r="B3666" s="441"/>
      <c r="C3666" s="2473"/>
      <c r="D3666" s="896"/>
      <c r="E3666" s="2688"/>
      <c r="F3666" s="3868"/>
      <c r="G3666" s="896"/>
      <c r="H3666" s="2702"/>
      <c r="I3666" s="2757"/>
      <c r="J3666" s="2851"/>
      <c r="K3666" s="896"/>
      <c r="L3666" s="2796"/>
      <c r="M3666" s="2757"/>
      <c r="N3666" s="2768"/>
    </row>
    <row r="3667" spans="1:16" s="32" customFormat="1" ht="16.5" hidden="1" customHeight="1" x14ac:dyDescent="0.25">
      <c r="A3667" s="1"/>
      <c r="B3667" s="441"/>
      <c r="C3667" s="2474" t="s">
        <v>5781</v>
      </c>
      <c r="D3667" s="899">
        <f>SUM(D3668:D3674)</f>
        <v>2400000000</v>
      </c>
      <c r="E3667" s="2693">
        <f>D3667/D3361*100</f>
        <v>2.1028863797871682</v>
      </c>
      <c r="F3667" s="3853"/>
      <c r="G3667" s="899"/>
      <c r="H3667" s="2695"/>
      <c r="I3667" s="2970"/>
      <c r="J3667" s="2883"/>
      <c r="K3667" s="899"/>
      <c r="L3667" s="899"/>
      <c r="M3667" s="2970"/>
      <c r="N3667" s="2837"/>
      <c r="P3667" s="630"/>
    </row>
    <row r="3668" spans="1:16" ht="16.5" hidden="1" customHeight="1" x14ac:dyDescent="0.25">
      <c r="B3668" s="441"/>
      <c r="C3668" s="2473" t="s">
        <v>5782</v>
      </c>
      <c r="D3668" s="896">
        <v>250000000</v>
      </c>
      <c r="E3668" s="2688">
        <f>D3668/D3361*100</f>
        <v>0.21905066456116337</v>
      </c>
      <c r="F3668" s="3868"/>
      <c r="G3668" s="896"/>
      <c r="H3668" s="2702"/>
      <c r="I3668" s="2757"/>
      <c r="J3668" s="2851"/>
      <c r="K3668" s="896"/>
      <c r="L3668" s="2796"/>
      <c r="M3668" s="2757"/>
      <c r="N3668" s="2768"/>
    </row>
    <row r="3669" spans="1:16" ht="15" hidden="1" customHeight="1" x14ac:dyDescent="0.25">
      <c r="B3669" s="441"/>
      <c r="C3669" s="2473" t="s">
        <v>5783</v>
      </c>
      <c r="D3669" s="896">
        <v>400000000</v>
      </c>
      <c r="E3669" s="2688">
        <f>D3669/D3361*100</f>
        <v>0.35048106329786138</v>
      </c>
      <c r="F3669" s="3868"/>
      <c r="G3669" s="896"/>
      <c r="H3669" s="2702"/>
      <c r="I3669" s="2757"/>
      <c r="J3669" s="2851"/>
      <c r="K3669" s="896"/>
      <c r="L3669" s="2796"/>
      <c r="M3669" s="2757"/>
      <c r="N3669" s="2768"/>
    </row>
    <row r="3670" spans="1:16" ht="15.75" hidden="1" customHeight="1" x14ac:dyDescent="0.25">
      <c r="B3670" s="441"/>
      <c r="C3670" s="2473" t="s">
        <v>5784</v>
      </c>
      <c r="D3670" s="896">
        <v>150000000</v>
      </c>
      <c r="E3670" s="2688">
        <f>D3670/D3361*100</f>
        <v>0.13143039873669801</v>
      </c>
      <c r="F3670" s="3868"/>
      <c r="G3670" s="896"/>
      <c r="H3670" s="2702"/>
      <c r="I3670" s="2757"/>
      <c r="J3670" s="2851"/>
      <c r="K3670" s="896"/>
      <c r="L3670" s="2796"/>
      <c r="M3670" s="2757"/>
      <c r="N3670" s="2768"/>
    </row>
    <row r="3671" spans="1:16" ht="17.25" hidden="1" customHeight="1" x14ac:dyDescent="0.25">
      <c r="B3671" s="441"/>
      <c r="C3671" s="2473" t="s">
        <v>5805</v>
      </c>
      <c r="D3671" s="896">
        <v>400000000</v>
      </c>
      <c r="E3671" s="2688">
        <f>D3671/D3361*100</f>
        <v>0.35048106329786138</v>
      </c>
      <c r="F3671" s="3868"/>
      <c r="G3671" s="896"/>
      <c r="H3671" s="2702"/>
      <c r="I3671" s="2757"/>
      <c r="J3671" s="2851"/>
      <c r="K3671" s="896"/>
      <c r="L3671" s="2796"/>
      <c r="M3671" s="2757"/>
      <c r="N3671" s="2768"/>
    </row>
    <row r="3672" spans="1:16" ht="34.5" hidden="1" customHeight="1" x14ac:dyDescent="0.25">
      <c r="B3672" s="441"/>
      <c r="C3672" s="2473" t="s">
        <v>5785</v>
      </c>
      <c r="D3672" s="896">
        <v>750000000</v>
      </c>
      <c r="E3672" s="2688">
        <f>D3672/D3361*100</f>
        <v>0.65715199368349009</v>
      </c>
      <c r="F3672" s="3868"/>
      <c r="G3672" s="896"/>
      <c r="H3672" s="2702"/>
      <c r="I3672" s="2757"/>
      <c r="J3672" s="2851"/>
      <c r="K3672" s="896"/>
      <c r="L3672" s="2796"/>
      <c r="M3672" s="2757"/>
      <c r="N3672" s="2768"/>
    </row>
    <row r="3673" spans="1:16" ht="31.5" hidden="1" x14ac:dyDescent="0.25">
      <c r="B3673" s="441"/>
      <c r="C3673" s="2473" t="s">
        <v>5786</v>
      </c>
      <c r="D3673" s="896">
        <v>300000000</v>
      </c>
      <c r="E3673" s="2688">
        <f>D3673/D3361*100</f>
        <v>0.26286079747339602</v>
      </c>
      <c r="F3673" s="3868"/>
      <c r="G3673" s="896"/>
      <c r="H3673" s="2702"/>
      <c r="I3673" s="2757"/>
      <c r="J3673" s="2851"/>
      <c r="K3673" s="896"/>
      <c r="L3673" s="2796"/>
      <c r="M3673" s="2757"/>
      <c r="N3673" s="2768"/>
    </row>
    <row r="3674" spans="1:16" ht="19.5" hidden="1" customHeight="1" x14ac:dyDescent="0.25">
      <c r="B3674" s="441"/>
      <c r="C3674" s="2473" t="s">
        <v>5787</v>
      </c>
      <c r="D3674" s="896">
        <v>150000000</v>
      </c>
      <c r="E3674" s="2688">
        <f>D3674/D3361*100</f>
        <v>0.13143039873669801</v>
      </c>
      <c r="F3674" s="3868"/>
      <c r="G3674" s="896"/>
      <c r="H3674" s="2702"/>
      <c r="I3674" s="2757"/>
      <c r="J3674" s="2851"/>
      <c r="K3674" s="896"/>
      <c r="L3674" s="2796"/>
      <c r="M3674" s="2757"/>
      <c r="N3674" s="2768"/>
    </row>
    <row r="3675" spans="1:16" ht="12" hidden="1" customHeight="1" x14ac:dyDescent="0.25">
      <c r="B3675" s="441"/>
      <c r="C3675" s="2475"/>
      <c r="D3675" s="2769"/>
      <c r="E3675" s="2758"/>
      <c r="F3675" s="3872"/>
      <c r="G3675" s="2769"/>
      <c r="H3675" s="3084"/>
      <c r="I3675" s="2753"/>
      <c r="J3675" s="2913"/>
      <c r="K3675" s="2769"/>
      <c r="L3675" s="3343"/>
      <c r="M3675" s="2753"/>
      <c r="N3675" s="2768"/>
    </row>
    <row r="3676" spans="1:16" ht="17.25" hidden="1" customHeight="1" x14ac:dyDescent="0.25">
      <c r="B3676" s="440"/>
      <c r="C3676" s="2532" t="s">
        <v>5538</v>
      </c>
      <c r="D3676" s="2744">
        <f>SUM(D3677+D3680+D3684+D3688)</f>
        <v>6944543000</v>
      </c>
      <c r="E3676" s="2717">
        <f>D3676/D3361*100</f>
        <v>6.0848270368943007</v>
      </c>
      <c r="F3676" s="3850"/>
      <c r="G3676" s="2987"/>
      <c r="H3676" s="2670"/>
      <c r="I3676" s="2987"/>
      <c r="J3676" s="2910"/>
      <c r="K3676" s="2987"/>
      <c r="L3676" s="2670"/>
      <c r="M3676" s="2987"/>
      <c r="N3676" s="2768"/>
    </row>
    <row r="3677" spans="1:16" ht="27.75" hidden="1" customHeight="1" x14ac:dyDescent="0.25">
      <c r="B3677" s="441"/>
      <c r="C3677" s="2521" t="s">
        <v>5788</v>
      </c>
      <c r="D3677" s="2751">
        <f>D3678</f>
        <v>135000000</v>
      </c>
      <c r="E3677" s="2764">
        <f>D3677/D3361*100</f>
        <v>0.11828735886302821</v>
      </c>
      <c r="F3677" s="3851"/>
      <c r="G3677" s="2753"/>
      <c r="H3677" s="2683"/>
      <c r="I3677" s="2761"/>
      <c r="J3677" s="2889"/>
      <c r="K3677" s="2761"/>
      <c r="L3677" s="2683"/>
      <c r="M3677" s="2761"/>
      <c r="N3677" s="2768"/>
    </row>
    <row r="3678" spans="1:16" ht="19.5" hidden="1" customHeight="1" x14ac:dyDescent="0.25">
      <c r="B3678" s="441"/>
      <c r="C3678" s="2524" t="s">
        <v>5789</v>
      </c>
      <c r="D3678" s="896">
        <v>135000000</v>
      </c>
      <c r="E3678" s="2763">
        <f>D3678/D3361*100</f>
        <v>0.11828735886302821</v>
      </c>
      <c r="F3678" s="3853"/>
      <c r="G3678" s="2757"/>
      <c r="H3678" s="2683"/>
      <c r="I3678" s="2761"/>
      <c r="J3678" s="2883"/>
      <c r="K3678" s="2761"/>
      <c r="L3678" s="2683"/>
      <c r="M3678" s="2761"/>
      <c r="N3678" s="2768"/>
    </row>
    <row r="3679" spans="1:16" ht="10.5" hidden="1" customHeight="1" x14ac:dyDescent="0.25">
      <c r="B3679" s="441"/>
      <c r="C3679" s="2527"/>
      <c r="D3679" s="899"/>
      <c r="E3679" s="2763"/>
      <c r="F3679" s="3853"/>
      <c r="G3679" s="2757"/>
      <c r="H3679" s="2683"/>
      <c r="I3679" s="2761"/>
      <c r="J3679" s="2883"/>
      <c r="K3679" s="2761"/>
      <c r="L3679" s="2683"/>
      <c r="M3679" s="2761"/>
      <c r="N3679" s="2768"/>
    </row>
    <row r="3680" spans="1:16" ht="17.25" hidden="1" customHeight="1" x14ac:dyDescent="0.25">
      <c r="B3680" s="441"/>
      <c r="C3680" s="2525" t="s">
        <v>5790</v>
      </c>
      <c r="D3680" s="899">
        <f>D3681+D3682</f>
        <v>2959543000</v>
      </c>
      <c r="E3680" s="2764">
        <f>D3680/D3361*100</f>
        <v>2.5931594437893564</v>
      </c>
      <c r="F3680" s="3853"/>
      <c r="G3680" s="2757"/>
      <c r="H3680" s="2683"/>
      <c r="I3680" s="2761"/>
      <c r="J3680" s="2883"/>
      <c r="K3680" s="2761"/>
      <c r="L3680" s="2683"/>
      <c r="M3680" s="2761"/>
      <c r="N3680" s="2768"/>
    </row>
    <row r="3681" spans="1:17" ht="15" hidden="1" customHeight="1" x14ac:dyDescent="0.25">
      <c r="B3681" s="441"/>
      <c r="C3681" s="2524" t="s">
        <v>5791</v>
      </c>
      <c r="D3681" s="896">
        <f>2000000000-40457328+328</f>
        <v>1959543000</v>
      </c>
      <c r="E3681" s="2763">
        <f>D3681/D3361*100</f>
        <v>1.716956785544703</v>
      </c>
      <c r="F3681" s="3853"/>
      <c r="G3681" s="2757"/>
      <c r="H3681" s="2683"/>
      <c r="I3681" s="2761"/>
      <c r="J3681" s="2883"/>
      <c r="K3681" s="2761"/>
      <c r="L3681" s="2683"/>
      <c r="M3681" s="2761"/>
      <c r="N3681" s="2768"/>
    </row>
    <row r="3682" spans="1:17" ht="16.5" hidden="1" customHeight="1" x14ac:dyDescent="0.25">
      <c r="B3682" s="441"/>
      <c r="C3682" s="2524" t="s">
        <v>5792</v>
      </c>
      <c r="D3682" s="896">
        <v>1000000000</v>
      </c>
      <c r="E3682" s="2763">
        <f>D3682/D3361*100</f>
        <v>0.87620265824465349</v>
      </c>
      <c r="F3682" s="3853"/>
      <c r="G3682" s="2757"/>
      <c r="H3682" s="2683"/>
      <c r="I3682" s="2761"/>
      <c r="J3682" s="2883"/>
      <c r="K3682" s="2761"/>
      <c r="L3682" s="2683"/>
      <c r="M3682" s="2761"/>
      <c r="N3682" s="2768"/>
    </row>
    <row r="3683" spans="1:17" ht="11.25" hidden="1" customHeight="1" x14ac:dyDescent="0.25">
      <c r="B3683" s="441"/>
      <c r="C3683" s="2527"/>
      <c r="D3683" s="899"/>
      <c r="E3683" s="2763"/>
      <c r="F3683" s="3853"/>
      <c r="G3683" s="2757"/>
      <c r="H3683" s="2683"/>
      <c r="I3683" s="2761"/>
      <c r="J3683" s="2883"/>
      <c r="K3683" s="2761"/>
      <c r="L3683" s="2683"/>
      <c r="M3683" s="2761"/>
      <c r="N3683" s="2768"/>
    </row>
    <row r="3684" spans="1:17" ht="14.25" hidden="1" customHeight="1" x14ac:dyDescent="0.25">
      <c r="B3684" s="441"/>
      <c r="C3684" s="2525" t="s">
        <v>5793</v>
      </c>
      <c r="D3684" s="899">
        <f>SUM(D3685:D3686)</f>
        <v>3500000000</v>
      </c>
      <c r="E3684" s="2764">
        <f>D3684/D3361*100</f>
        <v>3.0667093038562871</v>
      </c>
      <c r="F3684" s="3853"/>
      <c r="G3684" s="2757"/>
      <c r="H3684" s="2683"/>
      <c r="I3684" s="2761"/>
      <c r="J3684" s="2883"/>
      <c r="K3684" s="2761"/>
      <c r="L3684" s="2683"/>
      <c r="M3684" s="2761"/>
      <c r="N3684" s="2768"/>
    </row>
    <row r="3685" spans="1:17" ht="15" hidden="1" customHeight="1" x14ac:dyDescent="0.25">
      <c r="B3685" s="441"/>
      <c r="C3685" s="2524" t="s">
        <v>5794</v>
      </c>
      <c r="D3685" s="896">
        <v>1500000000</v>
      </c>
      <c r="E3685" s="2763">
        <f>D3685/D3361*100</f>
        <v>1.3143039873669802</v>
      </c>
      <c r="F3685" s="3853"/>
      <c r="G3685" s="2757"/>
      <c r="H3685" s="2683"/>
      <c r="I3685" s="2761"/>
      <c r="J3685" s="2883"/>
      <c r="K3685" s="2761"/>
      <c r="L3685" s="2683"/>
      <c r="M3685" s="2761"/>
      <c r="N3685" s="2768"/>
    </row>
    <row r="3686" spans="1:17" ht="17.25" hidden="1" customHeight="1" x14ac:dyDescent="0.25">
      <c r="B3686" s="441"/>
      <c r="C3686" s="2524" t="s">
        <v>5795</v>
      </c>
      <c r="D3686" s="896">
        <v>2000000000</v>
      </c>
      <c r="E3686" s="2763">
        <f>D3686/D3361*100</f>
        <v>1.752405316489307</v>
      </c>
      <c r="F3686" s="3853"/>
      <c r="G3686" s="2757"/>
      <c r="H3686" s="2683"/>
      <c r="I3686" s="2761"/>
      <c r="J3686" s="2883"/>
      <c r="K3686" s="2761"/>
      <c r="L3686" s="2683"/>
      <c r="M3686" s="2761"/>
      <c r="N3686" s="2768"/>
    </row>
    <row r="3687" spans="1:17" ht="11.25" hidden="1" customHeight="1" x14ac:dyDescent="0.25">
      <c r="B3687" s="441"/>
      <c r="C3687" s="2524"/>
      <c r="D3687" s="896"/>
      <c r="E3687" s="2763"/>
      <c r="F3687" s="3853"/>
      <c r="G3687" s="2757"/>
      <c r="H3687" s="2683"/>
      <c r="I3687" s="2761"/>
      <c r="J3687" s="2883"/>
      <c r="K3687" s="2761"/>
      <c r="L3687" s="2683"/>
      <c r="M3687" s="2761"/>
      <c r="N3687" s="2768"/>
    </row>
    <row r="3688" spans="1:17" s="32" customFormat="1" ht="17.25" hidden="1" customHeight="1" x14ac:dyDescent="0.25">
      <c r="A3688" s="1"/>
      <c r="B3688" s="441"/>
      <c r="C3688" s="2534" t="s">
        <v>5796</v>
      </c>
      <c r="D3688" s="2767">
        <f>D3689</f>
        <v>350000000</v>
      </c>
      <c r="E3688" s="2765">
        <f>D3688/D3361*100</f>
        <v>0.3066709303856287</v>
      </c>
      <c r="F3688" s="3849"/>
      <c r="G3688" s="3001"/>
      <c r="H3688" s="3002"/>
      <c r="I3688" s="3009"/>
      <c r="J3688" s="2889"/>
      <c r="K3688" s="3009"/>
      <c r="L3688" s="3002"/>
      <c r="M3688" s="3009"/>
      <c r="N3688" s="2837"/>
      <c r="P3688" s="630"/>
    </row>
    <row r="3689" spans="1:17" ht="17.25" hidden="1" customHeight="1" x14ac:dyDescent="0.25">
      <c r="B3689" s="441"/>
      <c r="C3689" s="2524" t="s">
        <v>5797</v>
      </c>
      <c r="D3689" s="896">
        <v>350000000</v>
      </c>
      <c r="E3689" s="2688">
        <f>D3689/D3361*100</f>
        <v>0.3066709303856287</v>
      </c>
      <c r="F3689" s="3853"/>
      <c r="G3689" s="2757"/>
      <c r="H3689" s="2967"/>
      <c r="I3689" s="2757"/>
      <c r="J3689" s="2883"/>
      <c r="K3689" s="2757"/>
      <c r="L3689" s="2967"/>
      <c r="M3689" s="2757"/>
      <c r="N3689" s="2768"/>
    </row>
    <row r="3690" spans="1:17" ht="17.25" hidden="1" customHeight="1" x14ac:dyDescent="0.25">
      <c r="B3690" s="441"/>
      <c r="C3690" s="2526"/>
      <c r="D3690" s="2769"/>
      <c r="E3690" s="2758"/>
      <c r="F3690" s="3851"/>
      <c r="G3690" s="2753"/>
      <c r="H3690" s="2993"/>
      <c r="I3690" s="2753"/>
      <c r="J3690" s="2889"/>
      <c r="K3690" s="2753"/>
      <c r="L3690" s="2993"/>
      <c r="M3690" s="2753"/>
      <c r="N3690" s="2768"/>
    </row>
    <row r="3691" spans="1:17" s="1" customFormat="1" ht="18" hidden="1" customHeight="1" x14ac:dyDescent="0.25">
      <c r="B3691" s="3075"/>
      <c r="C3691" s="2522" t="s">
        <v>7003</v>
      </c>
      <c r="D3691" s="2945">
        <f>SUM(D3693+D3753+D3786+D3790+D3794+D3798+D3802+D3806+D3810+D3814+D3818+D3822+D3826+D3830+D3834+D3838+D3847+D3857+D3861+D3879+D3911+D3930+D3940+D3959+D3966+D3973+D3990+D3996+D4015+D4055+D4077+D4096+D4103)</f>
        <v>108005114000</v>
      </c>
      <c r="E3691" s="2948">
        <f>D3691/2512247400000*100</f>
        <v>4.2991432292854599</v>
      </c>
      <c r="F3691" s="4408"/>
      <c r="G3691" s="3530"/>
      <c r="H3691" s="2948"/>
      <c r="I3691" s="2945"/>
      <c r="J3691" s="3530"/>
      <c r="K3691" s="3530"/>
      <c r="L3691" s="2945"/>
      <c r="M3691" s="2945"/>
      <c r="N3691" s="2837"/>
      <c r="P3691" s="220"/>
    </row>
    <row r="3692" spans="1:17" ht="4.5" hidden="1" customHeight="1" x14ac:dyDescent="0.25">
      <c r="B3692" s="441"/>
      <c r="C3692" s="2631"/>
      <c r="D3692" s="2724"/>
      <c r="E3692" s="2840"/>
      <c r="F3692" s="4472"/>
      <c r="G3692" s="3420"/>
      <c r="H3692" s="3531"/>
      <c r="I3692" s="2806"/>
      <c r="J3692" s="3218"/>
      <c r="K3692" s="2749"/>
      <c r="L3692" s="2755"/>
      <c r="M3692" s="2755"/>
      <c r="N3692" s="2768"/>
      <c r="P3692" s="659"/>
    </row>
    <row r="3693" spans="1:17" ht="18" hidden="1" customHeight="1" x14ac:dyDescent="0.25">
      <c r="B3693" s="440"/>
      <c r="C3693" s="2606" t="s">
        <v>2805</v>
      </c>
      <c r="D3693" s="2744">
        <f>SUM(D3694+D3717+D3720+D3723+D3728+D3733+D3748)</f>
        <v>35004177429.540001</v>
      </c>
      <c r="E3693" s="2672">
        <f>D3693/D3691*100</f>
        <v>32.409740736480316</v>
      </c>
      <c r="F3693" s="3886"/>
      <c r="G3693" s="3181"/>
      <c r="H3693" s="3532"/>
      <c r="I3693" s="2744"/>
      <c r="J3693" s="3181"/>
      <c r="K3693" s="3181"/>
      <c r="L3693" s="2744"/>
      <c r="M3693" s="2744"/>
      <c r="N3693" s="2768"/>
      <c r="Q3693" s="35">
        <v>16242582441</v>
      </c>
    </row>
    <row r="3694" spans="1:17" ht="18.75" hidden="1" customHeight="1" x14ac:dyDescent="0.25">
      <c r="B3694" s="441"/>
      <c r="C3694" s="494" t="s">
        <v>7303</v>
      </c>
      <c r="D3694" s="2692">
        <f>SUM(D3695:D3715)</f>
        <v>19449207355</v>
      </c>
      <c r="E3694" s="3214">
        <f>D3694/D3691*100</f>
        <v>18.007672632057034</v>
      </c>
      <c r="F3694" s="3834"/>
      <c r="G3694" s="2679"/>
      <c r="H3694" s="3533"/>
      <c r="I3694" s="2759"/>
      <c r="J3694" s="2679"/>
      <c r="K3694" s="2679"/>
      <c r="L3694" s="899"/>
      <c r="M3694" s="899"/>
      <c r="N3694" s="2768"/>
      <c r="P3694" s="660"/>
      <c r="Q3694" s="35"/>
    </row>
    <row r="3695" spans="1:17" ht="16.5" hidden="1" customHeight="1" x14ac:dyDescent="0.25">
      <c r="B3695" s="441"/>
      <c r="C3695" s="2494" t="s">
        <v>7304</v>
      </c>
      <c r="D3695" s="2698">
        <v>3000000000</v>
      </c>
      <c r="E3695" s="2879">
        <f>D3695/D3691*100</f>
        <v>2.7776462510839997</v>
      </c>
      <c r="F3695" s="4384"/>
      <c r="G3695" s="3216"/>
      <c r="H3695" s="3216"/>
      <c r="I3695" s="3216"/>
      <c r="J3695" s="3534"/>
      <c r="K3695" s="3535"/>
      <c r="L3695" s="898"/>
      <c r="M3695" s="898"/>
      <c r="N3695" s="2768"/>
      <c r="P3695" s="661"/>
      <c r="Q3695" s="35"/>
    </row>
    <row r="3696" spans="1:17" ht="15.75" hidden="1" customHeight="1" x14ac:dyDescent="0.25">
      <c r="B3696" s="441"/>
      <c r="C3696" s="2494" t="s">
        <v>7320</v>
      </c>
      <c r="D3696" s="2698">
        <v>2457088000</v>
      </c>
      <c r="E3696" s="2879">
        <f>D3696/D3691*100</f>
        <v>2.2749737572611606</v>
      </c>
      <c r="F3696" s="4384"/>
      <c r="G3696" s="3216"/>
      <c r="H3696" s="3216"/>
      <c r="I3696" s="3216"/>
      <c r="J3696" s="3534"/>
      <c r="K3696" s="3535"/>
      <c r="L3696" s="2685"/>
      <c r="M3696" s="2685"/>
      <c r="N3696" s="2768"/>
      <c r="P3696" s="661"/>
      <c r="Q3696" s="35"/>
    </row>
    <row r="3697" spans="2:17" ht="15.75" hidden="1" customHeight="1" x14ac:dyDescent="0.25">
      <c r="B3697" s="441"/>
      <c r="C3697" s="2494" t="s">
        <v>7305</v>
      </c>
      <c r="D3697" s="2698">
        <v>52200000</v>
      </c>
      <c r="E3697" s="2879">
        <f>D3697/D3691*100</f>
        <v>4.8331044768861589E-2</v>
      </c>
      <c r="F3697" s="4384"/>
      <c r="G3697" s="3216"/>
      <c r="H3697" s="3216"/>
      <c r="I3697" s="3216"/>
      <c r="J3697" s="3216"/>
      <c r="K3697" s="3216"/>
      <c r="L3697" s="3216"/>
      <c r="M3697" s="898"/>
      <c r="N3697" s="2768"/>
      <c r="P3697" s="661"/>
      <c r="Q3697" s="35"/>
    </row>
    <row r="3698" spans="2:17" ht="18" hidden="1" customHeight="1" x14ac:dyDescent="0.25">
      <c r="B3698" s="441"/>
      <c r="C3698" s="2494" t="s">
        <v>7306</v>
      </c>
      <c r="D3698" s="2698">
        <v>420000000</v>
      </c>
      <c r="E3698" s="2879">
        <f>D3698/D3691*100</f>
        <v>0.38887047515175993</v>
      </c>
      <c r="F3698" s="4384"/>
      <c r="G3698" s="3216"/>
      <c r="H3698" s="3216"/>
      <c r="I3698" s="3216"/>
      <c r="J3698" s="3534"/>
      <c r="K3698" s="3535"/>
      <c r="L3698" s="898"/>
      <c r="M3698" s="898"/>
      <c r="N3698" s="2768"/>
      <c r="P3698" s="661"/>
      <c r="Q3698" s="35"/>
    </row>
    <row r="3699" spans="2:17" ht="18.75" hidden="1" customHeight="1" x14ac:dyDescent="0.25">
      <c r="B3699" s="441"/>
      <c r="C3699" s="2494" t="s">
        <v>7307</v>
      </c>
      <c r="D3699" s="2698">
        <v>160000000</v>
      </c>
      <c r="E3699" s="2879">
        <f>D3699/D3691*100</f>
        <v>0.14814113339114665</v>
      </c>
      <c r="F3699" s="4384"/>
      <c r="G3699" s="3216"/>
      <c r="H3699" s="3216"/>
      <c r="I3699" s="3216"/>
      <c r="J3699" s="3534"/>
      <c r="K3699" s="3535"/>
      <c r="L3699" s="898"/>
      <c r="M3699" s="898"/>
      <c r="N3699" s="2768"/>
      <c r="P3699" s="661"/>
    </row>
    <row r="3700" spans="2:17" ht="33" hidden="1" customHeight="1" x14ac:dyDescent="0.25">
      <c r="B3700" s="441"/>
      <c r="C3700" s="2494" t="s">
        <v>7308</v>
      </c>
      <c r="D3700" s="2698">
        <v>590800000</v>
      </c>
      <c r="E3700" s="2879">
        <f>D3700/D3691*100</f>
        <v>0.54701113504680898</v>
      </c>
      <c r="F3700" s="4384"/>
      <c r="G3700" s="3216"/>
      <c r="H3700" s="3536"/>
      <c r="I3700" s="940"/>
      <c r="J3700" s="3534"/>
      <c r="K3700" s="3537"/>
      <c r="L3700" s="898"/>
      <c r="M3700" s="898"/>
      <c r="N3700" s="2768"/>
      <c r="P3700" s="662"/>
    </row>
    <row r="3701" spans="2:17" ht="16.5" hidden="1" customHeight="1" x14ac:dyDescent="0.25">
      <c r="B3701" s="441"/>
      <c r="C3701" s="2494" t="s">
        <v>7309</v>
      </c>
      <c r="D3701" s="2698">
        <v>391850000</v>
      </c>
      <c r="E3701" s="2879">
        <f>D3701/D3691*100</f>
        <v>0.36280689449575509</v>
      </c>
      <c r="F3701" s="4384"/>
      <c r="G3701" s="3216"/>
      <c r="H3701" s="3536"/>
      <c r="I3701" s="940"/>
      <c r="J3701" s="3534"/>
      <c r="K3701" s="3535"/>
      <c r="L3701" s="898"/>
      <c r="M3701" s="898"/>
      <c r="N3701" s="2768"/>
      <c r="P3701" s="661"/>
    </row>
    <row r="3702" spans="2:17" ht="16.5" hidden="1" customHeight="1" x14ac:dyDescent="0.25">
      <c r="B3702" s="441"/>
      <c r="C3702" s="2506" t="s">
        <v>7310</v>
      </c>
      <c r="D3702" s="2724">
        <v>391850000</v>
      </c>
      <c r="E3702" s="2879">
        <f>D3702/D3691*100</f>
        <v>0.36280689449575509</v>
      </c>
      <c r="F3702" s="4380"/>
      <c r="G3702" s="3543"/>
      <c r="H3702" s="3531"/>
      <c r="I3702" s="2769"/>
      <c r="J3702" s="3538"/>
      <c r="K3702" s="3539"/>
      <c r="L3702" s="911"/>
      <c r="M3702" s="898"/>
      <c r="N3702" s="2768"/>
      <c r="P3702" s="661"/>
    </row>
    <row r="3703" spans="2:17" ht="16.5" hidden="1" customHeight="1" x14ac:dyDescent="0.25">
      <c r="B3703" s="441"/>
      <c r="C3703" s="2494" t="s">
        <v>7311</v>
      </c>
      <c r="D3703" s="2698">
        <v>527000000</v>
      </c>
      <c r="E3703" s="2879">
        <f>D3703/D3691*100</f>
        <v>0.48793985810708929</v>
      </c>
      <c r="F3703" s="4384"/>
      <c r="G3703" s="3216"/>
      <c r="H3703" s="3541"/>
      <c r="I3703" s="896"/>
      <c r="J3703" s="3534"/>
      <c r="K3703" s="3535"/>
      <c r="L3703" s="898"/>
      <c r="M3703" s="898"/>
      <c r="N3703" s="2768"/>
      <c r="P3703" s="661"/>
    </row>
    <row r="3704" spans="2:17" ht="16.5" hidden="1" customHeight="1" x14ac:dyDescent="0.25">
      <c r="B3704" s="441"/>
      <c r="C3704" s="2494" t="s">
        <v>7312</v>
      </c>
      <c r="D3704" s="2698">
        <v>3654000000</v>
      </c>
      <c r="E3704" s="2879">
        <f>D3704/D3691*100</f>
        <v>3.3831731338203115</v>
      </c>
      <c r="F3704" s="4384"/>
      <c r="G3704" s="3216"/>
      <c r="H3704" s="3541"/>
      <c r="I3704" s="896"/>
      <c r="J3704" s="3534"/>
      <c r="K3704" s="3535"/>
      <c r="L3704" s="898"/>
      <c r="M3704" s="898"/>
      <c r="N3704" s="2768"/>
      <c r="P3704" s="661"/>
    </row>
    <row r="3705" spans="2:17" ht="16.5" hidden="1" customHeight="1" x14ac:dyDescent="0.25">
      <c r="B3705" s="441"/>
      <c r="C3705" s="2494" t="s">
        <v>7313</v>
      </c>
      <c r="D3705" s="2698">
        <v>147200000</v>
      </c>
      <c r="E3705" s="2879">
        <f>D3705/D3691*100</f>
        <v>0.13628984271985492</v>
      </c>
      <c r="F3705" s="4384"/>
      <c r="G3705" s="3216"/>
      <c r="H3705" s="3541"/>
      <c r="I3705" s="896"/>
      <c r="J3705" s="3534"/>
      <c r="K3705" s="3535"/>
      <c r="L3705" s="898"/>
      <c r="M3705" s="898"/>
      <c r="N3705" s="2768"/>
      <c r="P3705" s="661"/>
    </row>
    <row r="3706" spans="2:17" ht="16.5" hidden="1" customHeight="1" x14ac:dyDescent="0.25">
      <c r="B3706" s="441"/>
      <c r="C3706" s="2494" t="s">
        <v>7314</v>
      </c>
      <c r="D3706" s="2698">
        <v>1020200000</v>
      </c>
      <c r="E3706" s="2879">
        <f>D3706/D3691*100</f>
        <v>0.94458490178529875</v>
      </c>
      <c r="F3706" s="4384"/>
      <c r="G3706" s="3216"/>
      <c r="H3706" s="3541"/>
      <c r="I3706" s="896"/>
      <c r="J3706" s="3534"/>
      <c r="K3706" s="3535"/>
      <c r="L3706" s="898"/>
      <c r="M3706" s="898"/>
      <c r="N3706" s="2768"/>
      <c r="P3706" s="661"/>
    </row>
    <row r="3707" spans="2:17" ht="28.5" hidden="1" customHeight="1" x14ac:dyDescent="0.25">
      <c r="B3707" s="441"/>
      <c r="C3707" s="2494" t="s">
        <v>7315</v>
      </c>
      <c r="D3707" s="2698">
        <v>1063200000</v>
      </c>
      <c r="E3707" s="2879">
        <f>D3707/D3691*100</f>
        <v>0.98439783138416936</v>
      </c>
      <c r="F3707" s="4384"/>
      <c r="G3707" s="3216"/>
      <c r="H3707" s="3541"/>
      <c r="I3707" s="896"/>
      <c r="J3707" s="3534"/>
      <c r="K3707" s="3535"/>
      <c r="L3707" s="898"/>
      <c r="M3707" s="898"/>
      <c r="N3707" s="2768"/>
      <c r="P3707" s="661"/>
    </row>
    <row r="3708" spans="2:17" ht="31.5" hidden="1" customHeight="1" x14ac:dyDescent="0.25">
      <c r="B3708" s="441"/>
      <c r="C3708" s="2494" t="s">
        <v>7316</v>
      </c>
      <c r="D3708" s="2698">
        <v>2917700005</v>
      </c>
      <c r="E3708" s="2879">
        <f>D3708/D3691*100</f>
        <v>2.701446160225339</v>
      </c>
      <c r="F3708" s="4384"/>
      <c r="G3708" s="3216"/>
      <c r="H3708" s="3541"/>
      <c r="I3708" s="896"/>
      <c r="J3708" s="3534"/>
      <c r="K3708" s="3535"/>
      <c r="L3708" s="898"/>
      <c r="M3708" s="898"/>
      <c r="N3708" s="2768"/>
      <c r="P3708" s="661"/>
    </row>
    <row r="3709" spans="2:17" ht="16.5" hidden="1" customHeight="1" x14ac:dyDescent="0.25">
      <c r="B3709" s="441"/>
      <c r="C3709" s="2494" t="s">
        <v>7317</v>
      </c>
      <c r="D3709" s="2698">
        <v>741590000</v>
      </c>
      <c r="E3709" s="2879">
        <f>D3709/D3691*100</f>
        <v>0.68662489444712771</v>
      </c>
      <c r="F3709" s="4384"/>
      <c r="G3709" s="3216"/>
      <c r="H3709" s="3541"/>
      <c r="I3709" s="896"/>
      <c r="J3709" s="3534"/>
      <c r="K3709" s="3535"/>
      <c r="L3709" s="898"/>
      <c r="M3709" s="898"/>
      <c r="N3709" s="2768"/>
      <c r="P3709" s="661"/>
    </row>
    <row r="3710" spans="2:17" ht="30" hidden="1" customHeight="1" x14ac:dyDescent="0.25">
      <c r="B3710" s="441"/>
      <c r="C3710" s="2494" t="s">
        <v>7318</v>
      </c>
      <c r="D3710" s="2698">
        <v>817500000</v>
      </c>
      <c r="E3710" s="2879">
        <f>D3710/D3691*100</f>
        <v>0.7569086034203899</v>
      </c>
      <c r="F3710" s="4384"/>
      <c r="G3710" s="3216"/>
      <c r="H3710" s="3541"/>
      <c r="I3710" s="896"/>
      <c r="J3710" s="3534"/>
      <c r="K3710" s="3535"/>
      <c r="L3710" s="898"/>
      <c r="M3710" s="898"/>
      <c r="N3710" s="2768"/>
      <c r="P3710" s="661"/>
    </row>
    <row r="3711" spans="2:17" ht="18.75" hidden="1" customHeight="1" x14ac:dyDescent="0.25">
      <c r="B3711" s="441"/>
      <c r="C3711" s="2494" t="s">
        <v>7319</v>
      </c>
      <c r="D3711" s="2698">
        <v>416900000</v>
      </c>
      <c r="E3711" s="2879">
        <f>D3711/D3691*100</f>
        <v>0.38600024069230648</v>
      </c>
      <c r="F3711" s="4384"/>
      <c r="G3711" s="3216"/>
      <c r="H3711" s="3541"/>
      <c r="I3711" s="896"/>
      <c r="J3711" s="3534"/>
      <c r="K3711" s="3535"/>
      <c r="L3711" s="898"/>
      <c r="M3711" s="898"/>
      <c r="N3711" s="2768"/>
      <c r="P3711" s="661"/>
    </row>
    <row r="3712" spans="2:17" ht="16.5" hidden="1" customHeight="1" x14ac:dyDescent="0.25">
      <c r="B3712" s="441"/>
      <c r="C3712" s="2494" t="s">
        <v>7321</v>
      </c>
      <c r="D3712" s="2698">
        <v>387240750</v>
      </c>
      <c r="E3712" s="2879">
        <f>D3712/D3691*100</f>
        <v>0.35853927250148543</v>
      </c>
      <c r="F3712" s="4384"/>
      <c r="G3712" s="3216"/>
      <c r="H3712" s="3541"/>
      <c r="I3712" s="896"/>
      <c r="J3712" s="3534"/>
      <c r="K3712" s="3535"/>
      <c r="L3712" s="898"/>
      <c r="M3712" s="898"/>
      <c r="N3712" s="2768"/>
      <c r="P3712" s="661"/>
    </row>
    <row r="3713" spans="2:16" ht="14.25" hidden="1" customHeight="1" x14ac:dyDescent="0.25">
      <c r="B3713" s="441"/>
      <c r="C3713" s="2494" t="s">
        <v>7322</v>
      </c>
      <c r="D3713" s="2698">
        <v>173036450</v>
      </c>
      <c r="E3713" s="2879">
        <f>D3713/D3691*100</f>
        <v>0.16021134888112798</v>
      </c>
      <c r="F3713" s="4384"/>
      <c r="G3713" s="3216"/>
      <c r="H3713" s="3541"/>
      <c r="I3713" s="896"/>
      <c r="J3713" s="3534"/>
      <c r="K3713" s="3535"/>
      <c r="L3713" s="898"/>
      <c r="M3713" s="898"/>
      <c r="N3713" s="2768"/>
      <c r="P3713" s="661"/>
    </row>
    <row r="3714" spans="2:16" ht="16.5" hidden="1" customHeight="1" x14ac:dyDescent="0.25">
      <c r="B3714" s="441"/>
      <c r="C3714" s="2494" t="s">
        <v>7323</v>
      </c>
      <c r="D3714" s="2698">
        <v>95898700</v>
      </c>
      <c r="E3714" s="2879">
        <f>D3714/D3691*100</f>
        <v>8.8790888179609714E-2</v>
      </c>
      <c r="F3714" s="4384"/>
      <c r="G3714" s="3216"/>
      <c r="H3714" s="3541"/>
      <c r="I3714" s="896"/>
      <c r="J3714" s="3534"/>
      <c r="K3714" s="3535"/>
      <c r="L3714" s="898"/>
      <c r="M3714" s="898"/>
      <c r="N3714" s="2768"/>
      <c r="P3714" s="661"/>
    </row>
    <row r="3715" spans="2:16" ht="20.25" hidden="1" customHeight="1" x14ac:dyDescent="0.25">
      <c r="B3715" s="441"/>
      <c r="C3715" s="2494" t="s">
        <v>7324</v>
      </c>
      <c r="D3715" s="2698">
        <v>23953450</v>
      </c>
      <c r="E3715" s="2879">
        <f>D3715/D3691*100</f>
        <v>2.2178070197676009E-2</v>
      </c>
      <c r="F3715" s="4384"/>
      <c r="G3715" s="3216"/>
      <c r="H3715" s="3541"/>
      <c r="I3715" s="896"/>
      <c r="J3715" s="3534"/>
      <c r="K3715" s="3535"/>
      <c r="L3715" s="898"/>
      <c r="M3715" s="898"/>
      <c r="N3715" s="2768"/>
      <c r="P3715" s="661"/>
    </row>
    <row r="3716" spans="2:16" ht="8.25" hidden="1" customHeight="1" x14ac:dyDescent="0.25">
      <c r="B3716" s="441"/>
      <c r="C3716" s="2506"/>
      <c r="D3716" s="2724"/>
      <c r="E3716" s="2840"/>
      <c r="F3716" s="4380"/>
      <c r="G3716" s="3556"/>
      <c r="H3716" s="3536"/>
      <c r="I3716" s="940"/>
      <c r="J3716" s="3538"/>
      <c r="K3716" s="3539"/>
      <c r="L3716" s="902"/>
      <c r="M3716" s="898"/>
      <c r="N3716" s="2768"/>
      <c r="P3716" s="661"/>
    </row>
    <row r="3717" spans="2:16" ht="18" hidden="1" customHeight="1" x14ac:dyDescent="0.25">
      <c r="B3717" s="441"/>
      <c r="C3717" s="2491" t="s">
        <v>7329</v>
      </c>
      <c r="D3717" s="2692">
        <f>D3718</f>
        <v>400000000</v>
      </c>
      <c r="E3717" s="2813">
        <f>D3717/D3691*100</f>
        <v>0.37035283347786657</v>
      </c>
      <c r="F3717" s="3834"/>
      <c r="G3717" s="3064"/>
      <c r="H3717" s="3540"/>
      <c r="I3717" s="899"/>
      <c r="J3717" s="2722"/>
      <c r="K3717" s="2722"/>
      <c r="L3717" s="899"/>
      <c r="M3717" s="899"/>
      <c r="N3717" s="2768"/>
    </row>
    <row r="3718" spans="2:16" ht="15.75" hidden="1" customHeight="1" x14ac:dyDescent="0.25">
      <c r="B3718" s="441"/>
      <c r="C3718" s="2494" t="s">
        <v>7330</v>
      </c>
      <c r="D3718" s="2698">
        <v>400000000</v>
      </c>
      <c r="E3718" s="2879">
        <f>D3718/D3691*100</f>
        <v>0.37035283347786657</v>
      </c>
      <c r="F3718" s="4384"/>
      <c r="G3718" s="3216"/>
      <c r="H3718" s="3216"/>
      <c r="I3718" s="3216"/>
      <c r="J3718" s="3534"/>
      <c r="K3718" s="3535"/>
      <c r="L3718" s="896"/>
      <c r="M3718" s="896"/>
      <c r="N3718" s="2768"/>
    </row>
    <row r="3719" spans="2:16" ht="9.75" hidden="1" customHeight="1" x14ac:dyDescent="0.25">
      <c r="B3719" s="441"/>
      <c r="C3719" s="2506"/>
      <c r="D3719" s="2724"/>
      <c r="E3719" s="2840"/>
      <c r="F3719" s="4472"/>
      <c r="G3719" s="2704"/>
      <c r="H3719" s="2879"/>
      <c r="I3719" s="902"/>
      <c r="J3719" s="3218"/>
      <c r="K3719" s="898"/>
      <c r="L3719" s="898"/>
      <c r="M3719" s="898"/>
      <c r="N3719" s="2768"/>
    </row>
    <row r="3720" spans="2:16" ht="18.75" hidden="1" customHeight="1" x14ac:dyDescent="0.25">
      <c r="B3720" s="441"/>
      <c r="C3720" s="2491" t="s">
        <v>7331</v>
      </c>
      <c r="D3720" s="2692">
        <f>D3721</f>
        <v>232492799.34</v>
      </c>
      <c r="E3720" s="2813">
        <f>D3720/D3691*100</f>
        <v>0.21526091749692519</v>
      </c>
      <c r="F3720" s="3834"/>
      <c r="G3720" s="3064"/>
      <c r="H3720" s="3540"/>
      <c r="I3720" s="2759"/>
      <c r="J3720" s="2679"/>
      <c r="K3720" s="2679"/>
      <c r="L3720" s="899"/>
      <c r="M3720" s="899"/>
      <c r="N3720" s="2768"/>
    </row>
    <row r="3721" spans="2:16" ht="18" hidden="1" customHeight="1" x14ac:dyDescent="0.25">
      <c r="B3721" s="441"/>
      <c r="C3721" s="2494" t="s">
        <v>7332</v>
      </c>
      <c r="D3721" s="2698">
        <v>232492799.34</v>
      </c>
      <c r="E3721" s="2810">
        <f>D3721/D3691*100</f>
        <v>0.21526091749692519</v>
      </c>
      <c r="F3721" s="4384"/>
      <c r="G3721" s="3216"/>
      <c r="H3721" s="3216"/>
      <c r="I3721" s="3216"/>
      <c r="J3721" s="3534"/>
      <c r="K3721" s="3535"/>
      <c r="L3721" s="896"/>
      <c r="M3721" s="896"/>
      <c r="N3721" s="2768"/>
    </row>
    <row r="3722" spans="2:16" ht="10.5" hidden="1" customHeight="1" x14ac:dyDescent="0.25">
      <c r="B3722" s="441"/>
      <c r="C3722" s="2494"/>
      <c r="D3722" s="2755"/>
      <c r="E3722" s="2810"/>
      <c r="F3722" s="3860"/>
      <c r="G3722" s="2704"/>
      <c r="H3722" s="2879"/>
      <c r="I3722" s="940"/>
      <c r="J3722" s="2991"/>
      <c r="K3722" s="898"/>
      <c r="L3722" s="898"/>
      <c r="M3722" s="898"/>
      <c r="N3722" s="2768"/>
    </row>
    <row r="3723" spans="2:16" ht="21.75" hidden="1" customHeight="1" x14ac:dyDescent="0.25">
      <c r="B3723" s="441"/>
      <c r="C3723" s="2491" t="s">
        <v>7325</v>
      </c>
      <c r="D3723" s="2692">
        <f>SUM(D3724:D3727)</f>
        <v>688778275.20000005</v>
      </c>
      <c r="E3723" s="2813">
        <f>D3723/D3691*100</f>
        <v>0.63772746464579444</v>
      </c>
      <c r="F3723" s="3834"/>
      <c r="G3723" s="3064"/>
      <c r="H3723" s="3540"/>
      <c r="I3723" s="2679"/>
      <c r="J3723" s="2679"/>
      <c r="K3723" s="2679"/>
      <c r="L3723" s="899"/>
      <c r="M3723" s="899"/>
      <c r="N3723" s="2768"/>
    </row>
    <row r="3724" spans="2:16" ht="18" hidden="1" customHeight="1" x14ac:dyDescent="0.25">
      <c r="B3724" s="441"/>
      <c r="C3724" s="2494" t="s">
        <v>7326</v>
      </c>
      <c r="D3724" s="2698">
        <v>382000000</v>
      </c>
      <c r="E3724" s="2810">
        <f>D3724/D3691*100</f>
        <v>0.35368695597136263</v>
      </c>
      <c r="F3724" s="4384"/>
      <c r="G3724" s="2811"/>
      <c r="H3724" s="3541"/>
      <c r="I3724" s="2685"/>
      <c r="J3724" s="3534"/>
      <c r="K3724" s="3535"/>
      <c r="L3724" s="896"/>
      <c r="M3724" s="896"/>
      <c r="N3724" s="2768"/>
    </row>
    <row r="3725" spans="2:16" ht="17.25" hidden="1" customHeight="1" x14ac:dyDescent="0.25">
      <c r="B3725" s="441"/>
      <c r="C3725" s="2494" t="s">
        <v>7327</v>
      </c>
      <c r="D3725" s="2698">
        <v>56778275.200000003</v>
      </c>
      <c r="E3725" s="2810">
        <f>D3725/D3691*100</f>
        <v>5.2569987750765206E-2</v>
      </c>
      <c r="F3725" s="4384"/>
      <c r="G3725" s="3216"/>
      <c r="H3725" s="3216"/>
      <c r="I3725" s="940"/>
      <c r="J3725" s="2685"/>
      <c r="K3725" s="898"/>
      <c r="L3725" s="899"/>
      <c r="M3725" s="898"/>
      <c r="N3725" s="2768"/>
    </row>
    <row r="3726" spans="2:16" ht="18.75" hidden="1" customHeight="1" x14ac:dyDescent="0.25">
      <c r="B3726" s="441"/>
      <c r="C3726" s="2494" t="s">
        <v>7328</v>
      </c>
      <c r="D3726" s="2698">
        <v>250000000</v>
      </c>
      <c r="E3726" s="2810">
        <f>D3726/D3691*100</f>
        <v>0.23147052092366666</v>
      </c>
      <c r="F3726" s="4384"/>
      <c r="G3726" s="3216"/>
      <c r="H3726" s="3216"/>
      <c r="I3726" s="940"/>
      <c r="J3726" s="2685"/>
      <c r="K3726" s="898"/>
      <c r="L3726" s="899"/>
      <c r="M3726" s="898"/>
      <c r="N3726" s="2768"/>
    </row>
    <row r="3727" spans="2:16" ht="12" hidden="1" customHeight="1" x14ac:dyDescent="0.25">
      <c r="B3727" s="441"/>
      <c r="C3727" s="2494"/>
      <c r="D3727" s="2698"/>
      <c r="E3727" s="2810"/>
      <c r="F3727" s="4384"/>
      <c r="G3727" s="3216"/>
      <c r="H3727" s="3216"/>
      <c r="I3727" s="940"/>
      <c r="J3727" s="2685"/>
      <c r="K3727" s="898"/>
      <c r="L3727" s="899"/>
      <c r="M3727" s="898"/>
      <c r="N3727" s="2768"/>
    </row>
    <row r="3728" spans="2:16" ht="19.5" hidden="1" customHeight="1" x14ac:dyDescent="0.25">
      <c r="B3728" s="441"/>
      <c r="C3728" s="2491" t="s">
        <v>7333</v>
      </c>
      <c r="D3728" s="2692">
        <f>SUM(D3729:D3731)</f>
        <v>8757324000</v>
      </c>
      <c r="E3728" s="2813">
        <f>D3728/D3691*100</f>
        <v>8.1082493927093111</v>
      </c>
      <c r="F3728" s="3834"/>
      <c r="G3728" s="3064"/>
      <c r="H3728" s="3540"/>
      <c r="I3728" s="2679"/>
      <c r="J3728" s="2679"/>
      <c r="K3728" s="2679"/>
      <c r="L3728" s="899"/>
      <c r="M3728" s="899"/>
      <c r="N3728" s="2768"/>
    </row>
    <row r="3729" spans="2:14" ht="15.75" hidden="1" customHeight="1" x14ac:dyDescent="0.25">
      <c r="B3729" s="441"/>
      <c r="C3729" s="2494" t="s">
        <v>7334</v>
      </c>
      <c r="D3729" s="2698">
        <v>3076524000</v>
      </c>
      <c r="E3729" s="2810">
        <f>D3729/D3691*100</f>
        <v>2.8484984516566501</v>
      </c>
      <c r="F3729" s="4384"/>
      <c r="G3729" s="2811"/>
      <c r="H3729" s="3541"/>
      <c r="I3729" s="2685"/>
      <c r="J3729" s="3534"/>
      <c r="K3729" s="3535"/>
      <c r="L3729" s="896"/>
      <c r="M3729" s="896"/>
      <c r="N3729" s="2768"/>
    </row>
    <row r="3730" spans="2:14" ht="15.75" hidden="1" customHeight="1" x14ac:dyDescent="0.25">
      <c r="B3730" s="441"/>
      <c r="C3730" s="2494" t="s">
        <v>7335</v>
      </c>
      <c r="D3730" s="2698">
        <v>1340800000</v>
      </c>
      <c r="E3730" s="2810">
        <f>D3730/D3691*100</f>
        <v>1.2414226978178089</v>
      </c>
      <c r="F3730" s="4384"/>
      <c r="G3730" s="2811"/>
      <c r="H3730" s="3541"/>
      <c r="I3730" s="2685"/>
      <c r="J3730" s="3534"/>
      <c r="K3730" s="3535"/>
      <c r="L3730" s="2685"/>
      <c r="M3730" s="2685"/>
      <c r="N3730" s="2768"/>
    </row>
    <row r="3731" spans="2:14" ht="15.75" hidden="1" customHeight="1" x14ac:dyDescent="0.25">
      <c r="B3731" s="441"/>
      <c r="C3731" s="2506" t="s">
        <v>7336</v>
      </c>
      <c r="D3731" s="2706">
        <v>4340000000</v>
      </c>
      <c r="E3731" s="2810">
        <f>D3731/D3691*100</f>
        <v>4.0183282432348522</v>
      </c>
      <c r="F3731" s="4464"/>
      <c r="G3731" s="4191"/>
      <c r="H3731" s="3536"/>
      <c r="I3731" s="2804"/>
      <c r="J3731" s="3562"/>
      <c r="K3731" s="3535"/>
      <c r="L3731" s="2685"/>
      <c r="M3731" s="2685"/>
      <c r="N3731" s="2768"/>
    </row>
    <row r="3732" spans="2:14" ht="11.25" hidden="1" customHeight="1" x14ac:dyDescent="0.25">
      <c r="B3732" s="441"/>
      <c r="C3732" s="2527"/>
      <c r="D3732" s="911"/>
      <c r="E3732" s="2810"/>
      <c r="F3732" s="3859"/>
      <c r="G3732" s="2716"/>
      <c r="H3732" s="2879"/>
      <c r="I3732" s="940"/>
      <c r="J3732" s="2716"/>
      <c r="K3732" s="898"/>
      <c r="L3732" s="896"/>
      <c r="M3732" s="898"/>
      <c r="N3732" s="2768"/>
    </row>
    <row r="3733" spans="2:14" ht="20.25" hidden="1" customHeight="1" x14ac:dyDescent="0.25">
      <c r="B3733" s="441"/>
      <c r="C3733" s="2491" t="s">
        <v>5836</v>
      </c>
      <c r="D3733" s="2692">
        <f>SUM(D3734:D3746)</f>
        <v>4961885000</v>
      </c>
      <c r="E3733" s="2813">
        <f>D3733/D3691*100</f>
        <v>4.5941204228533099</v>
      </c>
      <c r="F3733" s="3834"/>
      <c r="G3733" s="3064"/>
      <c r="H3733" s="3540"/>
      <c r="I3733" s="2759"/>
      <c r="J3733" s="2679"/>
      <c r="K3733" s="2679"/>
      <c r="L3733" s="899"/>
      <c r="M3733" s="899"/>
      <c r="N3733" s="2768"/>
    </row>
    <row r="3734" spans="2:14" ht="15" hidden="1" customHeight="1" x14ac:dyDescent="0.25">
      <c r="B3734" s="441"/>
      <c r="C3734" s="2494" t="s">
        <v>7337</v>
      </c>
      <c r="D3734" s="2698">
        <v>244090000</v>
      </c>
      <c r="E3734" s="2810">
        <f>D3734/D3691*100</f>
        <v>0.22599855780903116</v>
      </c>
      <c r="F3734" s="4384"/>
      <c r="G3734" s="2811"/>
      <c r="H3734" s="3541"/>
      <c r="I3734" s="940"/>
      <c r="J3734" s="3534"/>
      <c r="K3734" s="3535"/>
      <c r="L3734" s="896"/>
      <c r="M3734" s="896"/>
      <c r="N3734" s="2768"/>
    </row>
    <row r="3735" spans="2:14" ht="14.25" hidden="1" customHeight="1" x14ac:dyDescent="0.25">
      <c r="B3735" s="441"/>
      <c r="C3735" s="2494" t="s">
        <v>7338</v>
      </c>
      <c r="D3735" s="2698">
        <v>212950000</v>
      </c>
      <c r="E3735" s="2810">
        <f>D3735/D3691*100</f>
        <v>0.19716658972277926</v>
      </c>
      <c r="F3735" s="4384"/>
      <c r="G3735" s="2811"/>
      <c r="H3735" s="3541"/>
      <c r="I3735" s="940"/>
      <c r="J3735" s="3534"/>
      <c r="K3735" s="3535"/>
      <c r="L3735" s="896"/>
      <c r="M3735" s="896"/>
      <c r="N3735" s="2768"/>
    </row>
    <row r="3736" spans="2:14" ht="14.25" hidden="1" customHeight="1" x14ac:dyDescent="0.25">
      <c r="B3736" s="441"/>
      <c r="C3736" s="2506" t="s">
        <v>7339</v>
      </c>
      <c r="D3736" s="2706">
        <v>314490000</v>
      </c>
      <c r="E3736" s="2810">
        <f>D3736/D3691*100</f>
        <v>0.29118065650113567</v>
      </c>
      <c r="F3736" s="4464"/>
      <c r="G3736" s="2849"/>
      <c r="H3736" s="3531"/>
      <c r="I3736" s="2769"/>
      <c r="J3736" s="3562"/>
      <c r="K3736" s="3557"/>
      <c r="L3736" s="2709"/>
      <c r="M3736" s="2709"/>
      <c r="N3736" s="2768"/>
    </row>
    <row r="3737" spans="2:14" ht="14.25" hidden="1" customHeight="1" x14ac:dyDescent="0.25">
      <c r="B3737" s="441"/>
      <c r="C3737" s="2494" t="s">
        <v>7340</v>
      </c>
      <c r="D3737" s="2698">
        <v>150000000</v>
      </c>
      <c r="E3737" s="2810">
        <f>D3737/D3691*100</f>
        <v>0.13888231255419997</v>
      </c>
      <c r="F3737" s="4384"/>
      <c r="G3737" s="2811"/>
      <c r="H3737" s="3541"/>
      <c r="I3737" s="896"/>
      <c r="J3737" s="3534"/>
      <c r="K3737" s="3535"/>
      <c r="L3737" s="896"/>
      <c r="M3737" s="896"/>
      <c r="N3737" s="2768"/>
    </row>
    <row r="3738" spans="2:14" ht="14.25" hidden="1" customHeight="1" x14ac:dyDescent="0.25">
      <c r="B3738" s="441"/>
      <c r="C3738" s="2494" t="s">
        <v>7341</v>
      </c>
      <c r="D3738" s="2698">
        <v>165335000</v>
      </c>
      <c r="E3738" s="2810">
        <f>D3738/D3691*100</f>
        <v>0.15308071430765768</v>
      </c>
      <c r="F3738" s="4384"/>
      <c r="G3738" s="2811"/>
      <c r="H3738" s="3541"/>
      <c r="I3738" s="896"/>
      <c r="J3738" s="3534"/>
      <c r="K3738" s="3535"/>
      <c r="L3738" s="896"/>
      <c r="M3738" s="896"/>
      <c r="N3738" s="2768"/>
    </row>
    <row r="3739" spans="2:14" ht="14.25" hidden="1" customHeight="1" x14ac:dyDescent="0.25">
      <c r="B3739" s="441"/>
      <c r="C3739" s="2494" t="s">
        <v>7342</v>
      </c>
      <c r="D3739" s="2698">
        <v>170000000</v>
      </c>
      <c r="E3739" s="2810">
        <f>D3739/D3691*100</f>
        <v>0.1573999542280933</v>
      </c>
      <c r="F3739" s="4384"/>
      <c r="G3739" s="2811"/>
      <c r="H3739" s="3541"/>
      <c r="I3739" s="896"/>
      <c r="J3739" s="3534"/>
      <c r="K3739" s="3535"/>
      <c r="L3739" s="896"/>
      <c r="M3739" s="896"/>
      <c r="N3739" s="2768"/>
    </row>
    <row r="3740" spans="2:14" ht="14.25" hidden="1" customHeight="1" x14ac:dyDescent="0.25">
      <c r="B3740" s="441"/>
      <c r="C3740" s="2494" t="s">
        <v>7343</v>
      </c>
      <c r="D3740" s="2698">
        <v>169970000</v>
      </c>
      <c r="E3740" s="2810">
        <f>D3740/D3691*100</f>
        <v>0.15737217776558246</v>
      </c>
      <c r="F3740" s="4384"/>
      <c r="G3740" s="2811"/>
      <c r="H3740" s="3541"/>
      <c r="I3740" s="896"/>
      <c r="J3740" s="3534"/>
      <c r="K3740" s="3535"/>
      <c r="L3740" s="896"/>
      <c r="M3740" s="896"/>
      <c r="N3740" s="2768"/>
    </row>
    <row r="3741" spans="2:14" ht="14.25" hidden="1" customHeight="1" x14ac:dyDescent="0.25">
      <c r="B3741" s="441"/>
      <c r="C3741" s="2494" t="s">
        <v>7344</v>
      </c>
      <c r="D3741" s="2698">
        <v>278000000</v>
      </c>
      <c r="E3741" s="2810">
        <f>D3741/D3691*100</f>
        <v>0.25739521926711728</v>
      </c>
      <c r="F3741" s="4384"/>
      <c r="G3741" s="2811"/>
      <c r="H3741" s="3541"/>
      <c r="I3741" s="896"/>
      <c r="J3741" s="3534"/>
      <c r="K3741" s="3535"/>
      <c r="L3741" s="896"/>
      <c r="M3741" s="896"/>
      <c r="N3741" s="2768"/>
    </row>
    <row r="3742" spans="2:14" ht="14.25" hidden="1" customHeight="1" x14ac:dyDescent="0.25">
      <c r="B3742" s="441"/>
      <c r="C3742" s="2494" t="s">
        <v>7345</v>
      </c>
      <c r="D3742" s="2698">
        <v>249550000</v>
      </c>
      <c r="E3742" s="2810">
        <f>D3742/D3691*100</f>
        <v>0.23105387398600405</v>
      </c>
      <c r="F3742" s="4384"/>
      <c r="G3742" s="2811"/>
      <c r="H3742" s="3541"/>
      <c r="I3742" s="896"/>
      <c r="J3742" s="3534"/>
      <c r="K3742" s="3535"/>
      <c r="L3742" s="896"/>
      <c r="M3742" s="896"/>
      <c r="N3742" s="2768"/>
    </row>
    <row r="3743" spans="2:14" ht="14.25" hidden="1" customHeight="1" x14ac:dyDescent="0.25">
      <c r="B3743" s="441"/>
      <c r="C3743" s="2494" t="s">
        <v>7346</v>
      </c>
      <c r="D3743" s="2698">
        <v>2135000000</v>
      </c>
      <c r="E3743" s="2810">
        <f>D3743/D3691*100</f>
        <v>1.9767582486881132</v>
      </c>
      <c r="F3743" s="4384"/>
      <c r="G3743" s="2811"/>
      <c r="H3743" s="3541"/>
      <c r="I3743" s="896"/>
      <c r="J3743" s="3534"/>
      <c r="K3743" s="3535"/>
      <c r="L3743" s="896"/>
      <c r="M3743" s="896"/>
      <c r="N3743" s="2768"/>
    </row>
    <row r="3744" spans="2:14" ht="15.75" hidden="1" customHeight="1" x14ac:dyDescent="0.25">
      <c r="B3744" s="441"/>
      <c r="C3744" s="2494" t="s">
        <v>7347</v>
      </c>
      <c r="D3744" s="2698">
        <v>80000000</v>
      </c>
      <c r="E3744" s="2810">
        <f>D3744/D3691*100</f>
        <v>7.4070566695573326E-2</v>
      </c>
      <c r="F3744" s="4384"/>
      <c r="G3744" s="2811"/>
      <c r="H3744" s="3541"/>
      <c r="I3744" s="896"/>
      <c r="J3744" s="3534"/>
      <c r="K3744" s="3535"/>
      <c r="L3744" s="896"/>
      <c r="M3744" s="896"/>
      <c r="N3744" s="2768"/>
    </row>
    <row r="3745" spans="2:17" ht="14.25" hidden="1" customHeight="1" x14ac:dyDescent="0.25">
      <c r="B3745" s="441"/>
      <c r="C3745" s="2494" t="s">
        <v>7348</v>
      </c>
      <c r="D3745" s="2698">
        <v>250000000</v>
      </c>
      <c r="E3745" s="2810">
        <f>D3745/D3691*100</f>
        <v>0.23147052092366666</v>
      </c>
      <c r="F3745" s="4384"/>
      <c r="G3745" s="2811"/>
      <c r="H3745" s="3541"/>
      <c r="I3745" s="896"/>
      <c r="J3745" s="3534"/>
      <c r="K3745" s="3535"/>
      <c r="L3745" s="896"/>
      <c r="M3745" s="896"/>
      <c r="N3745" s="2768"/>
    </row>
    <row r="3746" spans="2:17" ht="14.25" hidden="1" customHeight="1" x14ac:dyDescent="0.25">
      <c r="B3746" s="441"/>
      <c r="C3746" s="2494" t="s">
        <v>7349</v>
      </c>
      <c r="D3746" s="2698">
        <v>542500000</v>
      </c>
      <c r="E3746" s="2810">
        <f>D3746/D3691*100</f>
        <v>0.50229103040435652</v>
      </c>
      <c r="F3746" s="4384"/>
      <c r="G3746" s="2811"/>
      <c r="H3746" s="3541"/>
      <c r="I3746" s="896"/>
      <c r="J3746" s="3534"/>
      <c r="K3746" s="3535"/>
      <c r="L3746" s="896"/>
      <c r="M3746" s="896"/>
      <c r="N3746" s="2768"/>
    </row>
    <row r="3747" spans="2:17" ht="9.75" hidden="1" customHeight="1" x14ac:dyDescent="0.25">
      <c r="B3747" s="441"/>
      <c r="C3747" s="2527"/>
      <c r="D3747" s="898"/>
      <c r="E3747" s="2810"/>
      <c r="F3747" s="3862"/>
      <c r="G3747" s="2704"/>
      <c r="H3747" s="2810"/>
      <c r="I3747" s="898"/>
      <c r="J3747" s="2704"/>
      <c r="K3747" s="898"/>
      <c r="L3747" s="896"/>
      <c r="M3747" s="898"/>
      <c r="N3747" s="2768"/>
    </row>
    <row r="3748" spans="2:17" ht="20.25" hidden="1" customHeight="1" x14ac:dyDescent="0.25">
      <c r="B3748" s="441"/>
      <c r="C3748" s="2474" t="s">
        <v>7350</v>
      </c>
      <c r="D3748" s="2692">
        <f>SUM(D3749:D3751)</f>
        <v>514490000</v>
      </c>
      <c r="E3748" s="2813">
        <f>D3748/D3691*100</f>
        <v>0.47635707324006893</v>
      </c>
      <c r="F3748" s="3834"/>
      <c r="G3748" s="3064"/>
      <c r="H3748" s="3540"/>
      <c r="I3748" s="899"/>
      <c r="J3748" s="2679"/>
      <c r="K3748" s="2679"/>
      <c r="L3748" s="2796"/>
      <c r="M3748" s="898"/>
      <c r="N3748" s="2768"/>
    </row>
    <row r="3749" spans="2:17" ht="18.75" hidden="1" customHeight="1" x14ac:dyDescent="0.25">
      <c r="B3749" s="441"/>
      <c r="C3749" s="2494" t="s">
        <v>7351</v>
      </c>
      <c r="D3749" s="2698">
        <v>100000000</v>
      </c>
      <c r="E3749" s="2810">
        <f>D3749/D3691*100</f>
        <v>9.2588208369466643E-2</v>
      </c>
      <c r="F3749" s="4384"/>
      <c r="G3749" s="2811"/>
      <c r="H3749" s="3541"/>
      <c r="I3749" s="896"/>
      <c r="J3749" s="3534"/>
      <c r="K3749" s="3535"/>
      <c r="L3749" s="896"/>
      <c r="M3749" s="898"/>
      <c r="N3749" s="2768"/>
    </row>
    <row r="3750" spans="2:17" ht="20.25" hidden="1" customHeight="1" x14ac:dyDescent="0.25">
      <c r="B3750" s="441"/>
      <c r="C3750" s="2494" t="s">
        <v>7352</v>
      </c>
      <c r="D3750" s="2698">
        <v>100000000</v>
      </c>
      <c r="E3750" s="2810">
        <f>D3750/D3691*100</f>
        <v>9.2588208369466643E-2</v>
      </c>
      <c r="F3750" s="4384"/>
      <c r="G3750" s="3216"/>
      <c r="H3750" s="3216"/>
      <c r="I3750" s="3216"/>
      <c r="J3750" s="3534"/>
      <c r="K3750" s="3535"/>
      <c r="L3750" s="896"/>
      <c r="M3750" s="898"/>
      <c r="N3750" s="2768"/>
    </row>
    <row r="3751" spans="2:17" ht="18" hidden="1" customHeight="1" x14ac:dyDescent="0.25">
      <c r="B3751" s="441"/>
      <c r="C3751" s="2494" t="s">
        <v>7353</v>
      </c>
      <c r="D3751" s="2698">
        <v>314490000</v>
      </c>
      <c r="E3751" s="2810">
        <f>D3751/D3691*100</f>
        <v>0.29118065650113567</v>
      </c>
      <c r="F3751" s="4384"/>
      <c r="G3751" s="3216"/>
      <c r="H3751" s="3216"/>
      <c r="I3751" s="3216"/>
      <c r="J3751" s="3216"/>
      <c r="K3751" s="3216"/>
      <c r="L3751" s="3216"/>
      <c r="M3751" s="898"/>
      <c r="N3751" s="2768"/>
    </row>
    <row r="3752" spans="2:17" ht="12" hidden="1" customHeight="1" x14ac:dyDescent="0.25">
      <c r="B3752" s="441"/>
      <c r="C3752" s="2528"/>
      <c r="D3752" s="2838"/>
      <c r="E3752" s="2840"/>
      <c r="F3752" s="4472"/>
      <c r="G3752" s="3420"/>
      <c r="H3752" s="2840"/>
      <c r="I3752" s="2755"/>
      <c r="J3752" s="3218"/>
      <c r="K3752" s="3006"/>
      <c r="L3752" s="2769"/>
      <c r="M3752" s="2755"/>
      <c r="N3752" s="2768"/>
    </row>
    <row r="3753" spans="2:17" ht="17.25" hidden="1" customHeight="1" x14ac:dyDescent="0.25">
      <c r="B3753" s="440"/>
      <c r="C3753" s="2497" t="s">
        <v>252</v>
      </c>
      <c r="D3753" s="2669">
        <f>SUM(D3754+D3757+D3761+D3767+D3770+D3775+D3778+D3781)</f>
        <v>5202582539</v>
      </c>
      <c r="E3753" s="2786">
        <f>D3753/D3691*100</f>
        <v>4.8169779618028086</v>
      </c>
      <c r="F3753" s="3835"/>
      <c r="G3753" s="2719"/>
      <c r="H3753" s="2786"/>
      <c r="I3753" s="2744"/>
      <c r="J3753" s="2719"/>
      <c r="K3753" s="2719"/>
      <c r="L3753" s="2786"/>
      <c r="M3753" s="2744"/>
      <c r="N3753" s="2768"/>
      <c r="Q3753" s="35"/>
    </row>
    <row r="3754" spans="2:17" ht="21" hidden="1" customHeight="1" x14ac:dyDescent="0.25">
      <c r="B3754" s="441"/>
      <c r="C3754" s="2491" t="s">
        <v>2665</v>
      </c>
      <c r="D3754" s="2692">
        <f>D3755</f>
        <v>2890928000</v>
      </c>
      <c r="E3754" s="2813">
        <f>D3754/D3691*100</f>
        <v>2.6766584404512548</v>
      </c>
      <c r="F3754" s="3834"/>
      <c r="G3754" s="3064"/>
      <c r="H3754" s="3540"/>
      <c r="I3754" s="2679"/>
      <c r="J3754" s="2722"/>
      <c r="K3754" s="2722"/>
      <c r="L3754" s="2679"/>
      <c r="M3754" s="2722"/>
      <c r="N3754" s="2768"/>
      <c r="P3754" s="663"/>
      <c r="Q3754" s="664"/>
    </row>
    <row r="3755" spans="2:17" ht="16.5" hidden="1" customHeight="1" x14ac:dyDescent="0.25">
      <c r="B3755" s="441"/>
      <c r="C3755" s="2506" t="s">
        <v>2844</v>
      </c>
      <c r="D3755" s="896">
        <v>2890928000</v>
      </c>
      <c r="E3755" s="2810">
        <f>D3755/D3691*100</f>
        <v>2.6766584404512548</v>
      </c>
      <c r="F3755" s="4414"/>
      <c r="G3755" s="3216"/>
      <c r="H3755" s="3216"/>
      <c r="I3755" s="3216"/>
      <c r="J3755" s="3216"/>
      <c r="K3755" s="3216"/>
      <c r="L3755" s="3216"/>
      <c r="M3755" s="3216"/>
      <c r="N3755" s="2768"/>
    </row>
    <row r="3756" spans="2:17" ht="9" hidden="1" customHeight="1" x14ac:dyDescent="0.25">
      <c r="B3756" s="441"/>
      <c r="C3756" s="2494"/>
      <c r="D3756" s="2698"/>
      <c r="E3756" s="2810"/>
      <c r="F3756" s="4384"/>
      <c r="G3756" s="2685"/>
      <c r="H3756" s="2879"/>
      <c r="I3756" s="902"/>
      <c r="J3756" s="3216"/>
      <c r="K3756" s="898"/>
      <c r="L3756" s="896"/>
      <c r="M3756" s="898"/>
      <c r="N3756" s="2768"/>
    </row>
    <row r="3757" spans="2:17" ht="16.5" hidden="1" customHeight="1" x14ac:dyDescent="0.25">
      <c r="B3757" s="441"/>
      <c r="C3757" s="2491" t="s">
        <v>7354</v>
      </c>
      <c r="D3757" s="2692">
        <f>SUM(D3758:D3759)</f>
        <v>750000000</v>
      </c>
      <c r="E3757" s="2813">
        <f>D3757/D3691*100</f>
        <v>0.69441156277099991</v>
      </c>
      <c r="F3757" s="3834"/>
      <c r="G3757" s="3064"/>
      <c r="H3757" s="3540"/>
      <c r="I3757" s="2759"/>
      <c r="J3757" s="3217"/>
      <c r="K3757" s="3217"/>
      <c r="L3757" s="899"/>
      <c r="M3757" s="899"/>
      <c r="N3757" s="2768"/>
    </row>
    <row r="3758" spans="2:17" ht="15" hidden="1" customHeight="1" x14ac:dyDescent="0.25">
      <c r="B3758" s="441"/>
      <c r="C3758" s="2494" t="s">
        <v>7355</v>
      </c>
      <c r="D3758" s="2698">
        <v>550000000</v>
      </c>
      <c r="E3758" s="2810">
        <f>D3758/D3691*100</f>
        <v>0.50923514603206665</v>
      </c>
      <c r="F3758" s="4384"/>
      <c r="G3758" s="2811"/>
      <c r="H3758" s="3541"/>
      <c r="I3758" s="940"/>
      <c r="J3758" s="3216"/>
      <c r="K3758" s="2811"/>
      <c r="L3758" s="896"/>
      <c r="M3758" s="896"/>
      <c r="N3758" s="2768"/>
    </row>
    <row r="3759" spans="2:17" ht="16.5" hidden="1" customHeight="1" x14ac:dyDescent="0.25">
      <c r="B3759" s="441"/>
      <c r="C3759" s="2494" t="s">
        <v>7356</v>
      </c>
      <c r="D3759" s="2698">
        <v>200000000</v>
      </c>
      <c r="E3759" s="2810">
        <f>D3759/D3691*100</f>
        <v>0.18517641673893329</v>
      </c>
      <c r="F3759" s="4384"/>
      <c r="G3759" s="2685"/>
      <c r="H3759" s="2840"/>
      <c r="I3759" s="940"/>
      <c r="J3759" s="2685"/>
      <c r="K3759" s="896"/>
      <c r="L3759" s="896"/>
      <c r="M3759" s="896"/>
      <c r="N3759" s="2768"/>
    </row>
    <row r="3760" spans="2:17" ht="12" hidden="1" customHeight="1" x14ac:dyDescent="0.25">
      <c r="B3760" s="441"/>
      <c r="C3760" s="2494"/>
      <c r="D3760" s="2698"/>
      <c r="E3760" s="2810"/>
      <c r="F3760" s="4384"/>
      <c r="G3760" s="2685"/>
      <c r="H3760" s="2840"/>
      <c r="I3760" s="940"/>
      <c r="J3760" s="2685"/>
      <c r="K3760" s="896"/>
      <c r="L3760" s="896"/>
      <c r="M3760" s="896"/>
      <c r="N3760" s="2768"/>
    </row>
    <row r="3761" spans="2:17" ht="17.25" hidden="1" customHeight="1" x14ac:dyDescent="0.25">
      <c r="B3761" s="441"/>
      <c r="C3761" s="2491" t="s">
        <v>2669</v>
      </c>
      <c r="D3761" s="2692">
        <f>SUM(D3762:D3765)</f>
        <v>576600000</v>
      </c>
      <c r="E3761" s="2813">
        <f>D3761/D3691*100</f>
        <v>0.53386360945834466</v>
      </c>
      <c r="F3761" s="3834"/>
      <c r="G3761" s="3064"/>
      <c r="H3761" s="3540"/>
      <c r="I3761" s="2679"/>
      <c r="J3761" s="2679"/>
      <c r="K3761" s="2679"/>
      <c r="L3761" s="2796"/>
      <c r="M3761" s="2796"/>
      <c r="N3761" s="2768"/>
      <c r="Q3761" s="35"/>
    </row>
    <row r="3762" spans="2:17" ht="17.25" hidden="1" customHeight="1" x14ac:dyDescent="0.25">
      <c r="B3762" s="441"/>
      <c r="C3762" s="2494" t="s">
        <v>7357</v>
      </c>
      <c r="D3762" s="2698">
        <v>176500000</v>
      </c>
      <c r="E3762" s="2810">
        <f>D3762/D3691*100</f>
        <v>0.16341818777210865</v>
      </c>
      <c r="F3762" s="4384"/>
      <c r="G3762" s="2811"/>
      <c r="H3762" s="3541"/>
      <c r="I3762" s="2685"/>
      <c r="J3762" s="2811"/>
      <c r="K3762" s="2811"/>
      <c r="L3762" s="896"/>
      <c r="M3762" s="896"/>
      <c r="N3762" s="2768"/>
    </row>
    <row r="3763" spans="2:17" ht="12.75" hidden="1" customHeight="1" x14ac:dyDescent="0.25">
      <c r="B3763" s="441"/>
      <c r="C3763" s="2494" t="s">
        <v>7358</v>
      </c>
      <c r="D3763" s="2698">
        <v>250000000</v>
      </c>
      <c r="E3763" s="2810">
        <f>D3763/D3691*100</f>
        <v>0.23147052092366666</v>
      </c>
      <c r="F3763" s="4384"/>
      <c r="G3763" s="2811"/>
      <c r="H3763" s="3531"/>
      <c r="I3763" s="2804"/>
      <c r="J3763" s="2811"/>
      <c r="K3763" s="2811"/>
      <c r="L3763" s="896"/>
      <c r="M3763" s="896"/>
      <c r="N3763" s="2768"/>
    </row>
    <row r="3764" spans="2:17" ht="15" hidden="1" customHeight="1" x14ac:dyDescent="0.25">
      <c r="B3764" s="441"/>
      <c r="C3764" s="2494" t="s">
        <v>7359</v>
      </c>
      <c r="D3764" s="2698">
        <v>99900000</v>
      </c>
      <c r="E3764" s="2810">
        <f>D3764/D3691*100</f>
        <v>9.2495620161097178E-2</v>
      </c>
      <c r="F3764" s="4384"/>
      <c r="G3764" s="2811"/>
      <c r="H3764" s="3531"/>
      <c r="I3764" s="2804"/>
      <c r="J3764" s="2811"/>
      <c r="K3764" s="2811"/>
      <c r="L3764" s="896"/>
      <c r="M3764" s="896"/>
      <c r="N3764" s="2768"/>
    </row>
    <row r="3765" spans="2:17" ht="13.5" hidden="1" customHeight="1" x14ac:dyDescent="0.25">
      <c r="B3765" s="441"/>
      <c r="C3765" s="2494" t="s">
        <v>7360</v>
      </c>
      <c r="D3765" s="2698">
        <v>50200000</v>
      </c>
      <c r="E3765" s="2810">
        <f>D3765/D3691*100</f>
        <v>4.6479280601472259E-2</v>
      </c>
      <c r="F3765" s="4384"/>
      <c r="G3765" s="2811"/>
      <c r="H3765" s="3531"/>
      <c r="I3765" s="2804"/>
      <c r="J3765" s="2811"/>
      <c r="K3765" s="2811"/>
      <c r="L3765" s="896"/>
      <c r="M3765" s="896"/>
      <c r="N3765" s="2768"/>
    </row>
    <row r="3766" spans="2:17" ht="9.75" hidden="1" customHeight="1" x14ac:dyDescent="0.25">
      <c r="B3766" s="441"/>
      <c r="C3766" s="2494"/>
      <c r="D3766" s="2698"/>
      <c r="E3766" s="2813"/>
      <c r="F3766" s="4384"/>
      <c r="G3766" s="2679"/>
      <c r="H3766" s="2801"/>
      <c r="I3766" s="2759"/>
      <c r="J3766" s="2685"/>
      <c r="K3766" s="2694"/>
      <c r="L3766" s="899"/>
      <c r="M3766" s="899"/>
      <c r="N3766" s="2768"/>
    </row>
    <row r="3767" spans="2:17" ht="20.25" hidden="1" customHeight="1" x14ac:dyDescent="0.25">
      <c r="B3767" s="441"/>
      <c r="C3767" s="2491" t="s">
        <v>7361</v>
      </c>
      <c r="D3767" s="2692">
        <f>D3768</f>
        <v>200000000</v>
      </c>
      <c r="E3767" s="2813">
        <f>D3767/D3691*100</f>
        <v>0.18517641673893329</v>
      </c>
      <c r="F3767" s="3834"/>
      <c r="G3767" s="3064"/>
      <c r="H3767" s="3540"/>
      <c r="I3767" s="2759"/>
      <c r="J3767" s="2679"/>
      <c r="K3767" s="2679"/>
      <c r="L3767" s="2796"/>
      <c r="M3767" s="899"/>
      <c r="N3767" s="2768"/>
      <c r="Q3767" s="35">
        <v>189800000</v>
      </c>
    </row>
    <row r="3768" spans="2:17" ht="27.75" hidden="1" customHeight="1" x14ac:dyDescent="0.25">
      <c r="B3768" s="441"/>
      <c r="C3768" s="2494" t="s">
        <v>7362</v>
      </c>
      <c r="D3768" s="2698">
        <v>200000000</v>
      </c>
      <c r="E3768" s="2810">
        <f>D3768/D3691*100</f>
        <v>0.18517641673893329</v>
      </c>
      <c r="F3768" s="4384"/>
      <c r="G3768" s="2811"/>
      <c r="H3768" s="3541"/>
      <c r="I3768" s="940"/>
      <c r="J3768" s="3534"/>
      <c r="K3768" s="3535"/>
      <c r="L3768" s="896"/>
      <c r="M3768" s="898"/>
      <c r="N3768" s="2768"/>
    </row>
    <row r="3769" spans="2:17" ht="14.25" hidden="1" customHeight="1" x14ac:dyDescent="0.25">
      <c r="B3769" s="441"/>
      <c r="C3769" s="2494"/>
      <c r="D3769" s="2698"/>
      <c r="E3769" s="3341"/>
      <c r="F3769" s="4384"/>
      <c r="G3769" s="2679"/>
      <c r="H3769" s="2813"/>
      <c r="I3769" s="2759"/>
      <c r="J3769" s="2685"/>
      <c r="K3769" s="2694"/>
      <c r="L3769" s="899"/>
      <c r="M3769" s="899"/>
      <c r="N3769" s="2768"/>
      <c r="Q3769" s="35">
        <v>78800000</v>
      </c>
    </row>
    <row r="3770" spans="2:17" ht="18" hidden="1" customHeight="1" x14ac:dyDescent="0.25">
      <c r="B3770" s="441"/>
      <c r="C3770" s="2491" t="s">
        <v>2852</v>
      </c>
      <c r="D3770" s="2692">
        <f>SUM(D3771:D3773)</f>
        <v>474300000</v>
      </c>
      <c r="E3770" s="2695">
        <f>D3770/D3691*100</f>
        <v>0.43914587229638036</v>
      </c>
      <c r="F3770" s="3834"/>
      <c r="G3770" s="3064"/>
      <c r="H3770" s="3540"/>
      <c r="I3770" s="2759"/>
      <c r="J3770" s="2679"/>
      <c r="K3770" s="2679"/>
      <c r="L3770" s="2796"/>
      <c r="M3770" s="899"/>
      <c r="N3770" s="2768"/>
    </row>
    <row r="3771" spans="2:17" ht="16.5" hidden="1" customHeight="1" x14ac:dyDescent="0.25">
      <c r="B3771" s="441"/>
      <c r="C3771" s="2494" t="s">
        <v>2853</v>
      </c>
      <c r="D3771" s="2698">
        <v>74300000</v>
      </c>
      <c r="E3771" s="2690">
        <f>D3771/D3691*100</f>
        <v>6.879303881851373E-2</v>
      </c>
      <c r="F3771" s="4384"/>
      <c r="G3771" s="3216"/>
      <c r="H3771" s="3216"/>
      <c r="I3771" s="3216"/>
      <c r="J3771" s="3534"/>
      <c r="K3771" s="3216"/>
      <c r="L3771" s="3216"/>
      <c r="M3771" s="3216"/>
      <c r="N3771" s="2768"/>
    </row>
    <row r="3772" spans="2:17" ht="15" hidden="1" customHeight="1" x14ac:dyDescent="0.25">
      <c r="B3772" s="441"/>
      <c r="C3772" s="2494" t="s">
        <v>2854</v>
      </c>
      <c r="D3772" s="2698">
        <v>200000000</v>
      </c>
      <c r="E3772" s="2690">
        <f>D3772/D3691*100</f>
        <v>0.18517641673893329</v>
      </c>
      <c r="F3772" s="4384"/>
      <c r="G3772" s="3216"/>
      <c r="H3772" s="3216"/>
      <c r="I3772" s="3216"/>
      <c r="J3772" s="3534"/>
      <c r="K3772" s="3216"/>
      <c r="L3772" s="3216"/>
      <c r="M3772" s="3216"/>
      <c r="N3772" s="2768"/>
    </row>
    <row r="3773" spans="2:17" ht="30" hidden="1" customHeight="1" x14ac:dyDescent="0.25">
      <c r="B3773" s="441"/>
      <c r="C3773" s="2494" t="s">
        <v>2855</v>
      </c>
      <c r="D3773" s="2698">
        <v>200000000</v>
      </c>
      <c r="E3773" s="2690">
        <f>D3773/D3691*100</f>
        <v>0.18517641673893329</v>
      </c>
      <c r="F3773" s="4384"/>
      <c r="G3773" s="2811"/>
      <c r="H3773" s="3541"/>
      <c r="I3773" s="940"/>
      <c r="J3773" s="3534"/>
      <c r="K3773" s="3535"/>
      <c r="L3773" s="896"/>
      <c r="M3773" s="898"/>
      <c r="N3773" s="2768"/>
    </row>
    <row r="3774" spans="2:17" ht="12" hidden="1" customHeight="1" x14ac:dyDescent="0.25">
      <c r="B3774" s="441"/>
      <c r="C3774" s="2494"/>
      <c r="D3774" s="2698"/>
      <c r="E3774" s="2813"/>
      <c r="F3774" s="4384"/>
      <c r="G3774" s="2679"/>
      <c r="H3774" s="3442"/>
      <c r="I3774" s="2759"/>
      <c r="J3774" s="2685"/>
      <c r="K3774" s="2694"/>
      <c r="L3774" s="899"/>
      <c r="M3774" s="899"/>
      <c r="N3774" s="2768"/>
    </row>
    <row r="3775" spans="2:17" ht="21.75" hidden="1" customHeight="1" x14ac:dyDescent="0.25">
      <c r="B3775" s="441"/>
      <c r="C3775" s="2491" t="s">
        <v>7363</v>
      </c>
      <c r="D3775" s="2692">
        <f>D3776</f>
        <v>30000000</v>
      </c>
      <c r="E3775" s="2813">
        <f>D3775/D3691*100</f>
        <v>2.7776462510839994E-2</v>
      </c>
      <c r="F3775" s="3834"/>
      <c r="G3775" s="3217"/>
      <c r="H3775" s="3217"/>
      <c r="I3775" s="3217"/>
      <c r="J3775" s="2679"/>
      <c r="K3775" s="2679"/>
      <c r="L3775" s="3445"/>
      <c r="M3775" s="3445"/>
      <c r="N3775" s="2768"/>
      <c r="Q3775" s="35">
        <v>80400000</v>
      </c>
    </row>
    <row r="3776" spans="2:17" ht="18" hidden="1" customHeight="1" x14ac:dyDescent="0.25">
      <c r="B3776" s="441"/>
      <c r="C3776" s="2494" t="s">
        <v>7364</v>
      </c>
      <c r="D3776" s="2698">
        <v>30000000</v>
      </c>
      <c r="E3776" s="2810">
        <f>D3776/D3691*100</f>
        <v>2.7776462510839994E-2</v>
      </c>
      <c r="F3776" s="4384"/>
      <c r="G3776" s="3216"/>
      <c r="H3776" s="3216"/>
      <c r="I3776" s="3216"/>
      <c r="J3776" s="2685"/>
      <c r="K3776" s="3216"/>
      <c r="L3776" s="3216"/>
      <c r="M3776" s="3216"/>
      <c r="N3776" s="2768"/>
    </row>
    <row r="3777" spans="2:17" ht="12" hidden="1" customHeight="1" x14ac:dyDescent="0.25">
      <c r="B3777" s="441"/>
      <c r="C3777" s="2494"/>
      <c r="D3777" s="2698"/>
      <c r="E3777" s="2810"/>
      <c r="F3777" s="4384"/>
      <c r="G3777" s="2685"/>
      <c r="H3777" s="2685"/>
      <c r="I3777" s="2685"/>
      <c r="J3777" s="2685"/>
      <c r="K3777" s="2700"/>
      <c r="L3777" s="2685"/>
      <c r="M3777" s="2685"/>
      <c r="N3777" s="2768"/>
    </row>
    <row r="3778" spans="2:17" ht="19.5" hidden="1" customHeight="1" x14ac:dyDescent="0.25">
      <c r="B3778" s="441"/>
      <c r="C3778" s="2491" t="s">
        <v>7365</v>
      </c>
      <c r="D3778" s="2692">
        <f>D3779</f>
        <v>47500000</v>
      </c>
      <c r="E3778" s="2813">
        <f>D3778/D3691*100</f>
        <v>4.3979398975496659E-2</v>
      </c>
      <c r="F3778" s="3834"/>
      <c r="G3778" s="3064"/>
      <c r="H3778" s="3540"/>
      <c r="I3778" s="2759"/>
      <c r="J3778" s="2679"/>
      <c r="K3778" s="2679"/>
      <c r="L3778" s="2796"/>
      <c r="M3778" s="899"/>
      <c r="N3778" s="2768"/>
      <c r="Q3778" s="35">
        <v>48990000</v>
      </c>
    </row>
    <row r="3779" spans="2:17" ht="19.5" hidden="1" customHeight="1" x14ac:dyDescent="0.25">
      <c r="B3779" s="441"/>
      <c r="C3779" s="2494" t="s">
        <v>7366</v>
      </c>
      <c r="D3779" s="2698">
        <v>47500000</v>
      </c>
      <c r="E3779" s="2810">
        <f>D3779/D3691*100</f>
        <v>4.3979398975496659E-2</v>
      </c>
      <c r="F3779" s="4384"/>
      <c r="G3779" s="3216"/>
      <c r="H3779" s="3216"/>
      <c r="I3779" s="3216"/>
      <c r="J3779" s="3216"/>
      <c r="K3779" s="3216"/>
      <c r="L3779" s="3216"/>
      <c r="M3779" s="899"/>
      <c r="N3779" s="2768"/>
    </row>
    <row r="3780" spans="2:17" ht="12" hidden="1" customHeight="1" x14ac:dyDescent="0.25">
      <c r="B3780" s="441"/>
      <c r="C3780" s="2528"/>
      <c r="D3780" s="898"/>
      <c r="E3780" s="2810"/>
      <c r="F3780" s="3862"/>
      <c r="G3780" s="2685"/>
      <c r="H3780" s="2685"/>
      <c r="I3780" s="2685"/>
      <c r="J3780" s="2704"/>
      <c r="K3780" s="2700"/>
      <c r="L3780" s="2685"/>
      <c r="M3780" s="2685"/>
      <c r="N3780" s="2768"/>
    </row>
    <row r="3781" spans="2:17" ht="20.25" hidden="1" customHeight="1" x14ac:dyDescent="0.25">
      <c r="B3781" s="441"/>
      <c r="C3781" s="2491" t="s">
        <v>7367</v>
      </c>
      <c r="D3781" s="2692">
        <f>SUM(D3782:D3784)</f>
        <v>233254539</v>
      </c>
      <c r="E3781" s="2813">
        <f>D3781/D3691*100</f>
        <v>0.21596619860055885</v>
      </c>
      <c r="F3781" s="3834"/>
      <c r="G3781" s="3064"/>
      <c r="H3781" s="3540"/>
      <c r="I3781" s="2759"/>
      <c r="J3781" s="2679"/>
      <c r="K3781" s="2679"/>
      <c r="L3781" s="2796"/>
      <c r="M3781" s="2796"/>
      <c r="N3781" s="2768"/>
    </row>
    <row r="3782" spans="2:17" ht="15.75" hidden="1" customHeight="1" x14ac:dyDescent="0.25">
      <c r="B3782" s="441"/>
      <c r="C3782" s="2494" t="s">
        <v>7368</v>
      </c>
      <c r="D3782" s="2698">
        <v>81800000</v>
      </c>
      <c r="E3782" s="2810">
        <f>D3782/D3691*100</f>
        <v>7.5737154446223726E-2</v>
      </c>
      <c r="F3782" s="4384"/>
      <c r="G3782" s="2811"/>
      <c r="H3782" s="3541"/>
      <c r="I3782" s="2685"/>
      <c r="J3782" s="3534"/>
      <c r="K3782" s="3535"/>
      <c r="L3782" s="2685"/>
      <c r="M3782" s="896"/>
      <c r="N3782" s="2768"/>
    </row>
    <row r="3783" spans="2:17" ht="18" hidden="1" customHeight="1" x14ac:dyDescent="0.25">
      <c r="B3783" s="441"/>
      <c r="C3783" s="2494" t="s">
        <v>7369</v>
      </c>
      <c r="D3783" s="2698">
        <v>83054539</v>
      </c>
      <c r="E3783" s="2810">
        <f>D3783/D3691*100</f>
        <v>7.6898709629619949E-2</v>
      </c>
      <c r="F3783" s="4384"/>
      <c r="G3783" s="3216"/>
      <c r="H3783" s="3216"/>
      <c r="I3783" s="3216"/>
      <c r="J3783" s="3534"/>
      <c r="K3783" s="3535"/>
      <c r="L3783" s="896"/>
      <c r="M3783" s="896"/>
      <c r="N3783" s="2768"/>
    </row>
    <row r="3784" spans="2:17" ht="16.5" hidden="1" customHeight="1" x14ac:dyDescent="0.25">
      <c r="B3784" s="441"/>
      <c r="C3784" s="2494" t="s">
        <v>7370</v>
      </c>
      <c r="D3784" s="2698">
        <v>68400000</v>
      </c>
      <c r="E3784" s="2810">
        <f>D3784/D3691*100</f>
        <v>6.333033452471519E-2</v>
      </c>
      <c r="F3784" s="4384"/>
      <c r="G3784" s="3216"/>
      <c r="H3784" s="3216"/>
      <c r="I3784" s="3216"/>
      <c r="J3784" s="3534"/>
      <c r="K3784" s="3535"/>
      <c r="L3784" s="898"/>
      <c r="M3784" s="896"/>
      <c r="N3784" s="2768"/>
    </row>
    <row r="3785" spans="2:17" ht="13.5" hidden="1" customHeight="1" x14ac:dyDescent="0.25">
      <c r="B3785" s="441"/>
      <c r="C3785" s="2533"/>
      <c r="D3785" s="2709"/>
      <c r="E3785" s="2818"/>
      <c r="F3785" s="3859"/>
      <c r="G3785" s="2818"/>
      <c r="H3785" s="2818"/>
      <c r="I3785" s="911"/>
      <c r="J3785" s="2716"/>
      <c r="K3785" s="911"/>
      <c r="L3785" s="2709"/>
      <c r="M3785" s="911"/>
      <c r="N3785" s="2743"/>
    </row>
    <row r="3786" spans="2:17" ht="16.5" hidden="1" customHeight="1" x14ac:dyDescent="0.25">
      <c r="B3786" s="440"/>
      <c r="C3786" s="2532" t="s">
        <v>2877</v>
      </c>
      <c r="D3786" s="2744">
        <f>D3787</f>
        <v>782400000</v>
      </c>
      <c r="E3786" s="2786">
        <f>D3786/D3691*100</f>
        <v>0.72441014228270717</v>
      </c>
      <c r="F3786" s="3863"/>
      <c r="G3786" s="3544"/>
      <c r="H3786" s="3544"/>
      <c r="I3786" s="2749"/>
      <c r="J3786" s="3379"/>
      <c r="K3786" s="2749"/>
      <c r="L3786" s="3149"/>
      <c r="M3786" s="2749"/>
      <c r="N3786" s="2750"/>
    </row>
    <row r="3787" spans="2:17" ht="19.5" hidden="1" customHeight="1" x14ac:dyDescent="0.25">
      <c r="B3787" s="441"/>
      <c r="C3787" s="2538" t="s">
        <v>2878</v>
      </c>
      <c r="D3787" s="2759">
        <f>D3788</f>
        <v>782400000</v>
      </c>
      <c r="E3787" s="3214">
        <f>D3787/D3691*100</f>
        <v>0.72441014228270717</v>
      </c>
      <c r="F3787" s="3870"/>
      <c r="G3787" s="2879"/>
      <c r="H3787" s="2879"/>
      <c r="I3787" s="902"/>
      <c r="J3787" s="3493"/>
      <c r="K3787" s="902"/>
      <c r="L3787" s="940"/>
      <c r="M3787" s="902"/>
      <c r="N3787" s="2877"/>
    </row>
    <row r="3788" spans="2:17" ht="15.75" hidden="1" customHeight="1" x14ac:dyDescent="0.25">
      <c r="B3788" s="441"/>
      <c r="C3788" s="2524" t="s">
        <v>2879</v>
      </c>
      <c r="D3788" s="896">
        <v>782400000</v>
      </c>
      <c r="E3788" s="2879">
        <f>D3788/D3691*100</f>
        <v>0.72441014228270717</v>
      </c>
      <c r="F3788" s="3862"/>
      <c r="G3788" s="2810"/>
      <c r="H3788" s="2810"/>
      <c r="I3788" s="898"/>
      <c r="J3788" s="2704"/>
      <c r="K3788" s="898"/>
      <c r="L3788" s="896"/>
      <c r="M3788" s="898"/>
      <c r="N3788" s="2768"/>
    </row>
    <row r="3789" spans="2:17" ht="9.75" hidden="1" customHeight="1" x14ac:dyDescent="0.25">
      <c r="B3789" s="441"/>
      <c r="C3789" s="2533"/>
      <c r="D3789" s="2709"/>
      <c r="E3789" s="2818"/>
      <c r="F3789" s="3859"/>
      <c r="G3789" s="2818"/>
      <c r="H3789" s="2818"/>
      <c r="I3789" s="911"/>
      <c r="J3789" s="2716"/>
      <c r="K3789" s="911"/>
      <c r="L3789" s="2709"/>
      <c r="M3789" s="911"/>
      <c r="N3789" s="2743"/>
    </row>
    <row r="3790" spans="2:17" ht="15" hidden="1" customHeight="1" x14ac:dyDescent="0.25">
      <c r="B3790" s="440"/>
      <c r="C3790" s="2532" t="s">
        <v>2880</v>
      </c>
      <c r="D3790" s="2744">
        <f>D3791</f>
        <v>547680000</v>
      </c>
      <c r="E3790" s="2786">
        <f>D3790/D3691*100</f>
        <v>0.50708709959789489</v>
      </c>
      <c r="F3790" s="3863"/>
      <c r="G3790" s="3544"/>
      <c r="H3790" s="3544"/>
      <c r="I3790" s="2749"/>
      <c r="J3790" s="3379"/>
      <c r="K3790" s="2749"/>
      <c r="L3790" s="3149"/>
      <c r="M3790" s="2749"/>
      <c r="N3790" s="2750"/>
    </row>
    <row r="3791" spans="2:17" ht="16.5" hidden="1" customHeight="1" x14ac:dyDescent="0.25">
      <c r="B3791" s="441"/>
      <c r="C3791" s="2538" t="s">
        <v>2881</v>
      </c>
      <c r="D3791" s="2759">
        <f>D3792</f>
        <v>547680000</v>
      </c>
      <c r="E3791" s="3214">
        <f>D3791/D3691*100</f>
        <v>0.50708709959789489</v>
      </c>
      <c r="F3791" s="3870"/>
      <c r="G3791" s="2879"/>
      <c r="H3791" s="2879"/>
      <c r="I3791" s="902"/>
      <c r="J3791" s="3493"/>
      <c r="K3791" s="902"/>
      <c r="L3791" s="940"/>
      <c r="M3791" s="902"/>
      <c r="N3791" s="2877"/>
    </row>
    <row r="3792" spans="2:17" ht="13.5" hidden="1" customHeight="1" x14ac:dyDescent="0.25">
      <c r="B3792" s="441"/>
      <c r="C3792" s="2524" t="s">
        <v>2882</v>
      </c>
      <c r="D3792" s="896">
        <v>547680000</v>
      </c>
      <c r="E3792" s="2879">
        <f>D3792/D3691*100</f>
        <v>0.50708709959789489</v>
      </c>
      <c r="F3792" s="3862"/>
      <c r="G3792" s="2810"/>
      <c r="H3792" s="2810"/>
      <c r="I3792" s="898"/>
      <c r="J3792" s="2704"/>
      <c r="K3792" s="898"/>
      <c r="L3792" s="896"/>
      <c r="M3792" s="898"/>
      <c r="N3792" s="2768"/>
    </row>
    <row r="3793" spans="1:16" ht="8.25" hidden="1" customHeight="1" x14ac:dyDescent="0.25">
      <c r="B3793" s="441"/>
      <c r="C3793" s="2533"/>
      <c r="D3793" s="2709"/>
      <c r="E3793" s="2818"/>
      <c r="F3793" s="3859"/>
      <c r="G3793" s="2818"/>
      <c r="H3793" s="2818"/>
      <c r="I3793" s="911"/>
      <c r="J3793" s="2716"/>
      <c r="K3793" s="911"/>
      <c r="L3793" s="2709"/>
      <c r="M3793" s="911"/>
      <c r="N3793" s="2743"/>
    </row>
    <row r="3794" spans="1:16" ht="15.75" hidden="1" customHeight="1" x14ac:dyDescent="0.25">
      <c r="B3794" s="440"/>
      <c r="C3794" s="2532" t="s">
        <v>2883</v>
      </c>
      <c r="D3794" s="2744">
        <f>D3795</f>
        <v>754000000</v>
      </c>
      <c r="E3794" s="2786">
        <f>D3794/D3691*100</f>
        <v>0.69811509110577863</v>
      </c>
      <c r="F3794" s="3863"/>
      <c r="G3794" s="3544"/>
      <c r="H3794" s="3544"/>
      <c r="I3794" s="2749"/>
      <c r="J3794" s="3379"/>
      <c r="K3794" s="2749"/>
      <c r="L3794" s="3149"/>
      <c r="M3794" s="2749"/>
      <c r="N3794" s="2750"/>
    </row>
    <row r="3795" spans="1:16" ht="18.75" hidden="1" customHeight="1" x14ac:dyDescent="0.25">
      <c r="B3795" s="441"/>
      <c r="C3795" s="2538" t="s">
        <v>2884</v>
      </c>
      <c r="D3795" s="2759">
        <f>D3796</f>
        <v>754000000</v>
      </c>
      <c r="E3795" s="3214">
        <f>D3795/D3691*100</f>
        <v>0.69811509110577863</v>
      </c>
      <c r="F3795" s="3870"/>
      <c r="G3795" s="2879"/>
      <c r="H3795" s="2879"/>
      <c r="I3795" s="902"/>
      <c r="J3795" s="3493"/>
      <c r="K3795" s="902"/>
      <c r="L3795" s="940"/>
      <c r="M3795" s="902"/>
      <c r="N3795" s="2877"/>
    </row>
    <row r="3796" spans="1:16" ht="13.5" hidden="1" customHeight="1" x14ac:dyDescent="0.25">
      <c r="B3796" s="441"/>
      <c r="C3796" s="2524" t="s">
        <v>3086</v>
      </c>
      <c r="D3796" s="896">
        <v>754000000</v>
      </c>
      <c r="E3796" s="2879">
        <f>D3796/D3691*100</f>
        <v>0.69811509110577863</v>
      </c>
      <c r="F3796" s="3862"/>
      <c r="G3796" s="2810"/>
      <c r="H3796" s="2810"/>
      <c r="I3796" s="898"/>
      <c r="J3796" s="2704"/>
      <c r="K3796" s="898"/>
      <c r="L3796" s="896"/>
      <c r="M3796" s="898"/>
      <c r="N3796" s="2768"/>
    </row>
    <row r="3797" spans="1:16" ht="6.75" hidden="1" customHeight="1" x14ac:dyDescent="0.25">
      <c r="B3797" s="441"/>
      <c r="C3797" s="2533"/>
      <c r="D3797" s="2709"/>
      <c r="E3797" s="2818"/>
      <c r="F3797" s="3859"/>
      <c r="G3797" s="2818"/>
      <c r="H3797" s="2818"/>
      <c r="I3797" s="911"/>
      <c r="J3797" s="2716"/>
      <c r="K3797" s="911"/>
      <c r="L3797" s="2709"/>
      <c r="M3797" s="911"/>
      <c r="N3797" s="2743"/>
    </row>
    <row r="3798" spans="1:16" s="32" customFormat="1" ht="15.75" hidden="1" customHeight="1" x14ac:dyDescent="0.25">
      <c r="A3798" s="1"/>
      <c r="B3798" s="440"/>
      <c r="C3798" s="2532" t="s">
        <v>2885</v>
      </c>
      <c r="D3798" s="2744">
        <f>D3799</f>
        <v>636000000</v>
      </c>
      <c r="E3798" s="2786">
        <f>D3798/D3691*100</f>
        <v>0.58886100522980789</v>
      </c>
      <c r="F3798" s="3863"/>
      <c r="G3798" s="2786"/>
      <c r="H3798" s="2786"/>
      <c r="I3798" s="2744"/>
      <c r="J3798" s="3293"/>
      <c r="K3798" s="2744"/>
      <c r="L3798" s="2744"/>
      <c r="M3798" s="2744"/>
      <c r="N3798" s="2771"/>
      <c r="P3798" s="630"/>
    </row>
    <row r="3799" spans="1:16" s="32" customFormat="1" ht="16.5" hidden="1" customHeight="1" x14ac:dyDescent="0.25">
      <c r="A3799" s="1"/>
      <c r="B3799" s="441"/>
      <c r="C3799" s="2538" t="s">
        <v>2886</v>
      </c>
      <c r="D3799" s="2759">
        <f>D3800</f>
        <v>636000000</v>
      </c>
      <c r="E3799" s="3214">
        <f>D3799/D3691*100</f>
        <v>0.58886100522980789</v>
      </c>
      <c r="F3799" s="3870"/>
      <c r="G3799" s="3214"/>
      <c r="H3799" s="3214"/>
      <c r="I3799" s="2759"/>
      <c r="J3799" s="3310"/>
      <c r="K3799" s="2759"/>
      <c r="L3799" s="2759"/>
      <c r="M3799" s="2759"/>
      <c r="N3799" s="2773"/>
      <c r="P3799" s="630"/>
    </row>
    <row r="3800" spans="1:16" ht="15.75" hidden="1" customHeight="1" x14ac:dyDescent="0.25">
      <c r="B3800" s="441"/>
      <c r="C3800" s="2524" t="s">
        <v>2887</v>
      </c>
      <c r="D3800" s="896">
        <v>636000000</v>
      </c>
      <c r="E3800" s="2879">
        <f>D3800/D3691*100</f>
        <v>0.58886100522980789</v>
      </c>
      <c r="F3800" s="3862"/>
      <c r="G3800" s="2810"/>
      <c r="H3800" s="2810"/>
      <c r="I3800" s="898"/>
      <c r="J3800" s="2704"/>
      <c r="K3800" s="898"/>
      <c r="L3800" s="896"/>
      <c r="M3800" s="898"/>
      <c r="N3800" s="2768"/>
    </row>
    <row r="3801" spans="1:16" ht="6.75" hidden="1" customHeight="1" x14ac:dyDescent="0.25">
      <c r="B3801" s="441"/>
      <c r="C3801" s="2533"/>
      <c r="D3801" s="2709"/>
      <c r="E3801" s="2818"/>
      <c r="F3801" s="3859"/>
      <c r="G3801" s="2818"/>
      <c r="H3801" s="2818"/>
      <c r="I3801" s="911"/>
      <c r="J3801" s="2716"/>
      <c r="K3801" s="911"/>
      <c r="L3801" s="2709"/>
      <c r="M3801" s="911"/>
      <c r="N3801" s="2743"/>
    </row>
    <row r="3802" spans="1:16" s="32" customFormat="1" ht="18.75" hidden="1" customHeight="1" x14ac:dyDescent="0.25">
      <c r="A3802" s="1"/>
      <c r="B3802" s="440"/>
      <c r="C3802" s="2532" t="s">
        <v>2888</v>
      </c>
      <c r="D3802" s="2744">
        <f>D3803</f>
        <v>700000000</v>
      </c>
      <c r="E3802" s="2786">
        <f>D3802/D3691*100</f>
        <v>0.64811745858626657</v>
      </c>
      <c r="F3802" s="3863"/>
      <c r="G3802" s="2786"/>
      <c r="H3802" s="2786"/>
      <c r="I3802" s="2744"/>
      <c r="J3802" s="3293"/>
      <c r="K3802" s="2744"/>
      <c r="L3802" s="2744"/>
      <c r="M3802" s="2744"/>
      <c r="N3802" s="2771"/>
      <c r="P3802" s="630"/>
    </row>
    <row r="3803" spans="1:16" s="32" customFormat="1" ht="15.75" hidden="1" customHeight="1" x14ac:dyDescent="0.25">
      <c r="A3803" s="1"/>
      <c r="B3803" s="441"/>
      <c r="C3803" s="2538" t="s">
        <v>2889</v>
      </c>
      <c r="D3803" s="2759">
        <f>D3804</f>
        <v>700000000</v>
      </c>
      <c r="E3803" s="3214">
        <f>D3803/D3691*100</f>
        <v>0.64811745858626657</v>
      </c>
      <c r="F3803" s="3870"/>
      <c r="G3803" s="3214"/>
      <c r="H3803" s="3214"/>
      <c r="I3803" s="2759"/>
      <c r="J3803" s="3310"/>
      <c r="K3803" s="2759"/>
      <c r="L3803" s="2759"/>
      <c r="M3803" s="2759"/>
      <c r="N3803" s="2773"/>
      <c r="P3803" s="630"/>
    </row>
    <row r="3804" spans="1:16" ht="15" hidden="1" customHeight="1" x14ac:dyDescent="0.25">
      <c r="B3804" s="441"/>
      <c r="C3804" s="2524" t="s">
        <v>2890</v>
      </c>
      <c r="D3804" s="896">
        <v>700000000</v>
      </c>
      <c r="E3804" s="2879">
        <f>D3804/D3691*100</f>
        <v>0.64811745858626657</v>
      </c>
      <c r="F3804" s="3862"/>
      <c r="G3804" s="2810"/>
      <c r="H3804" s="2810"/>
      <c r="I3804" s="898"/>
      <c r="J3804" s="2704"/>
      <c r="K3804" s="898"/>
      <c r="L3804" s="896"/>
      <c r="M3804" s="898"/>
      <c r="N3804" s="2768"/>
    </row>
    <row r="3805" spans="1:16" ht="12.75" hidden="1" customHeight="1" x14ac:dyDescent="0.25">
      <c r="B3805" s="441"/>
      <c r="C3805" s="2533"/>
      <c r="D3805" s="2709"/>
      <c r="E3805" s="2818"/>
      <c r="F3805" s="3859"/>
      <c r="G3805" s="2818"/>
      <c r="H3805" s="2818"/>
      <c r="I3805" s="911"/>
      <c r="J3805" s="2716"/>
      <c r="K3805" s="911"/>
      <c r="L3805" s="2709"/>
      <c r="M3805" s="911"/>
      <c r="N3805" s="2743"/>
    </row>
    <row r="3806" spans="1:16" s="32" customFormat="1" ht="15.75" hidden="1" customHeight="1" x14ac:dyDescent="0.25">
      <c r="A3806" s="1"/>
      <c r="B3806" s="440"/>
      <c r="C3806" s="2532" t="s">
        <v>2891</v>
      </c>
      <c r="D3806" s="2744">
        <f>D3807</f>
        <v>754000000</v>
      </c>
      <c r="E3806" s="2786">
        <f>D3806/D3691*100</f>
        <v>0.69811509110577863</v>
      </c>
      <c r="F3806" s="3863"/>
      <c r="G3806" s="2786"/>
      <c r="H3806" s="2786"/>
      <c r="I3806" s="2744"/>
      <c r="J3806" s="3293"/>
      <c r="K3806" s="2744"/>
      <c r="L3806" s="2744"/>
      <c r="M3806" s="2744"/>
      <c r="N3806" s="2771"/>
      <c r="P3806" s="630"/>
    </row>
    <row r="3807" spans="1:16" s="32" customFormat="1" ht="16.5" hidden="1" customHeight="1" x14ac:dyDescent="0.25">
      <c r="A3807" s="1"/>
      <c r="B3807" s="441"/>
      <c r="C3807" s="2538" t="s">
        <v>2892</v>
      </c>
      <c r="D3807" s="2759">
        <f>D3808</f>
        <v>754000000</v>
      </c>
      <c r="E3807" s="3214">
        <f>D3807/D3691*100</f>
        <v>0.69811509110577863</v>
      </c>
      <c r="F3807" s="3870"/>
      <c r="G3807" s="3214"/>
      <c r="H3807" s="3214"/>
      <c r="I3807" s="2759"/>
      <c r="J3807" s="3310"/>
      <c r="K3807" s="2759"/>
      <c r="L3807" s="2759"/>
      <c r="M3807" s="2759"/>
      <c r="N3807" s="2773"/>
      <c r="P3807" s="630"/>
    </row>
    <row r="3808" spans="1:16" ht="18" hidden="1" customHeight="1" x14ac:dyDescent="0.25">
      <c r="B3808" s="441"/>
      <c r="C3808" s="2524" t="s">
        <v>2893</v>
      </c>
      <c r="D3808" s="896">
        <v>754000000</v>
      </c>
      <c r="E3808" s="2879">
        <f>D3808/D3691*100</f>
        <v>0.69811509110577863</v>
      </c>
      <c r="F3808" s="3862"/>
      <c r="G3808" s="2810"/>
      <c r="H3808" s="2810"/>
      <c r="I3808" s="898"/>
      <c r="J3808" s="2704"/>
      <c r="K3808" s="898"/>
      <c r="L3808" s="896"/>
      <c r="M3808" s="898"/>
      <c r="N3808" s="2768"/>
    </row>
    <row r="3809" spans="1:16" ht="9" hidden="1" customHeight="1" x14ac:dyDescent="0.25">
      <c r="B3809" s="441"/>
      <c r="C3809" s="2533"/>
      <c r="D3809" s="2709"/>
      <c r="E3809" s="2818"/>
      <c r="F3809" s="3859"/>
      <c r="G3809" s="2818"/>
      <c r="H3809" s="2818"/>
      <c r="I3809" s="911"/>
      <c r="J3809" s="2716"/>
      <c r="K3809" s="911"/>
      <c r="L3809" s="2709"/>
      <c r="M3809" s="911"/>
      <c r="N3809" s="2743"/>
    </row>
    <row r="3810" spans="1:16" s="32" customFormat="1" ht="13.5" hidden="1" customHeight="1" x14ac:dyDescent="0.25">
      <c r="A3810" s="1"/>
      <c r="B3810" s="440"/>
      <c r="C3810" s="2532" t="s">
        <v>2894</v>
      </c>
      <c r="D3810" s="2744">
        <f>D3811</f>
        <v>442000000</v>
      </c>
      <c r="E3810" s="2786">
        <f>D3810/D3691*100</f>
        <v>0.40923988099304265</v>
      </c>
      <c r="F3810" s="3863"/>
      <c r="G3810" s="2786"/>
      <c r="H3810" s="2786"/>
      <c r="I3810" s="2744"/>
      <c r="J3810" s="3293"/>
      <c r="K3810" s="2744"/>
      <c r="L3810" s="2744"/>
      <c r="M3810" s="2744"/>
      <c r="N3810" s="2771"/>
      <c r="P3810" s="630"/>
    </row>
    <row r="3811" spans="1:16" s="32" customFormat="1" ht="16.5" hidden="1" customHeight="1" x14ac:dyDescent="0.25">
      <c r="A3811" s="1"/>
      <c r="B3811" s="441"/>
      <c r="C3811" s="2538" t="s">
        <v>2895</v>
      </c>
      <c r="D3811" s="2759">
        <f>D3812</f>
        <v>442000000</v>
      </c>
      <c r="E3811" s="3214">
        <f>D3811/D3691*100</f>
        <v>0.40923988099304265</v>
      </c>
      <c r="F3811" s="3870"/>
      <c r="G3811" s="3214"/>
      <c r="H3811" s="3214"/>
      <c r="I3811" s="2759"/>
      <c r="J3811" s="3310"/>
      <c r="K3811" s="2759"/>
      <c r="L3811" s="2759"/>
      <c r="M3811" s="2759"/>
      <c r="N3811" s="2773"/>
      <c r="P3811" s="630"/>
    </row>
    <row r="3812" spans="1:16" ht="13.5" hidden="1" customHeight="1" x14ac:dyDescent="0.25">
      <c r="B3812" s="441"/>
      <c r="C3812" s="2524" t="s">
        <v>2896</v>
      </c>
      <c r="D3812" s="896">
        <v>442000000</v>
      </c>
      <c r="E3812" s="2879">
        <f>D3812/D3691*100</f>
        <v>0.40923988099304265</v>
      </c>
      <c r="F3812" s="3862"/>
      <c r="G3812" s="2810"/>
      <c r="H3812" s="2810"/>
      <c r="I3812" s="898"/>
      <c r="J3812" s="2704"/>
      <c r="K3812" s="898"/>
      <c r="L3812" s="896"/>
      <c r="M3812" s="898"/>
      <c r="N3812" s="2768"/>
    </row>
    <row r="3813" spans="1:16" ht="11.25" hidden="1" customHeight="1" x14ac:dyDescent="0.25">
      <c r="B3813" s="441"/>
      <c r="C3813" s="2533"/>
      <c r="D3813" s="2709"/>
      <c r="E3813" s="2818"/>
      <c r="F3813" s="3859"/>
      <c r="G3813" s="2818"/>
      <c r="H3813" s="2818"/>
      <c r="I3813" s="911"/>
      <c r="J3813" s="2716"/>
      <c r="K3813" s="911"/>
      <c r="L3813" s="2709"/>
      <c r="M3813" s="911"/>
      <c r="N3813" s="2743"/>
    </row>
    <row r="3814" spans="1:16" s="32" customFormat="1" ht="17.25" hidden="1" customHeight="1" x14ac:dyDescent="0.25">
      <c r="A3814" s="1"/>
      <c r="B3814" s="440"/>
      <c r="C3814" s="2532" t="s">
        <v>2897</v>
      </c>
      <c r="D3814" s="2744">
        <f>D3815</f>
        <v>661440000</v>
      </c>
      <c r="E3814" s="2786">
        <f>D3814/D3691*100</f>
        <v>0.61241544543900017</v>
      </c>
      <c r="F3814" s="3863"/>
      <c r="G3814" s="2786"/>
      <c r="H3814" s="2786"/>
      <c r="I3814" s="2744"/>
      <c r="J3814" s="3293"/>
      <c r="K3814" s="2744"/>
      <c r="L3814" s="2744"/>
      <c r="M3814" s="2744"/>
      <c r="N3814" s="2771"/>
      <c r="P3814" s="630"/>
    </row>
    <row r="3815" spans="1:16" s="32" customFormat="1" ht="18" hidden="1" customHeight="1" x14ac:dyDescent="0.25">
      <c r="A3815" s="1"/>
      <c r="B3815" s="441"/>
      <c r="C3815" s="2538" t="s">
        <v>2898</v>
      </c>
      <c r="D3815" s="2759">
        <f>D3816</f>
        <v>661440000</v>
      </c>
      <c r="E3815" s="3214">
        <f>D3815/D3691*100</f>
        <v>0.61241544543900017</v>
      </c>
      <c r="F3815" s="3870"/>
      <c r="G3815" s="3214"/>
      <c r="H3815" s="3214"/>
      <c r="I3815" s="2759"/>
      <c r="J3815" s="3310"/>
      <c r="K3815" s="2759"/>
      <c r="L3815" s="2759"/>
      <c r="M3815" s="2759"/>
      <c r="N3815" s="2773"/>
      <c r="P3815" s="630"/>
    </row>
    <row r="3816" spans="1:16" ht="13.5" hidden="1" customHeight="1" x14ac:dyDescent="0.25">
      <c r="B3816" s="441"/>
      <c r="C3816" s="2524" t="s">
        <v>2899</v>
      </c>
      <c r="D3816" s="896">
        <v>661440000</v>
      </c>
      <c r="E3816" s="2879">
        <f>D3816/D3691*100</f>
        <v>0.61241544543900017</v>
      </c>
      <c r="F3816" s="3862"/>
      <c r="G3816" s="2810"/>
      <c r="H3816" s="2810"/>
      <c r="I3816" s="898"/>
      <c r="J3816" s="2704"/>
      <c r="K3816" s="898"/>
      <c r="L3816" s="896"/>
      <c r="M3816" s="898"/>
      <c r="N3816" s="2768"/>
    </row>
    <row r="3817" spans="1:16" ht="9" hidden="1" customHeight="1" x14ac:dyDescent="0.25">
      <c r="B3817" s="441"/>
      <c r="C3817" s="2533"/>
      <c r="D3817" s="2709"/>
      <c r="E3817" s="2818"/>
      <c r="F3817" s="3859"/>
      <c r="G3817" s="2818"/>
      <c r="H3817" s="2818"/>
      <c r="I3817" s="911"/>
      <c r="J3817" s="2716"/>
      <c r="K3817" s="911"/>
      <c r="L3817" s="2709"/>
      <c r="M3817" s="911"/>
      <c r="N3817" s="2743"/>
    </row>
    <row r="3818" spans="1:16" s="32" customFormat="1" ht="13.5" hidden="1" customHeight="1" x14ac:dyDescent="0.25">
      <c r="A3818" s="1"/>
      <c r="B3818" s="440"/>
      <c r="C3818" s="2532" t="s">
        <v>2900</v>
      </c>
      <c r="D3818" s="2744">
        <f>D3819</f>
        <v>400000000</v>
      </c>
      <c r="E3818" s="2786">
        <f>D3818/D3691*100</f>
        <v>0.37035283347786657</v>
      </c>
      <c r="F3818" s="3863"/>
      <c r="G3818" s="2786"/>
      <c r="H3818" s="2786"/>
      <c r="I3818" s="2744"/>
      <c r="J3818" s="3293"/>
      <c r="K3818" s="2744"/>
      <c r="L3818" s="2744"/>
      <c r="M3818" s="2744"/>
      <c r="N3818" s="2771"/>
      <c r="P3818" s="630"/>
    </row>
    <row r="3819" spans="1:16" s="32" customFormat="1" ht="18" hidden="1" customHeight="1" x14ac:dyDescent="0.25">
      <c r="A3819" s="1"/>
      <c r="B3819" s="441"/>
      <c r="C3819" s="2538" t="s">
        <v>2901</v>
      </c>
      <c r="D3819" s="2759">
        <f>D3820</f>
        <v>400000000</v>
      </c>
      <c r="E3819" s="3214">
        <f>D3819/D3691*100</f>
        <v>0.37035283347786657</v>
      </c>
      <c r="F3819" s="3870"/>
      <c r="G3819" s="3214"/>
      <c r="H3819" s="3214"/>
      <c r="I3819" s="2759"/>
      <c r="J3819" s="3310"/>
      <c r="K3819" s="2759"/>
      <c r="L3819" s="2759"/>
      <c r="M3819" s="2759"/>
      <c r="N3819" s="2773"/>
      <c r="P3819" s="630"/>
    </row>
    <row r="3820" spans="1:16" ht="19.5" hidden="1" customHeight="1" x14ac:dyDescent="0.25">
      <c r="B3820" s="441"/>
      <c r="C3820" s="2524" t="s">
        <v>7371</v>
      </c>
      <c r="D3820" s="896">
        <v>400000000</v>
      </c>
      <c r="E3820" s="2879">
        <f>D3820/D3691*100</f>
        <v>0.37035283347786657</v>
      </c>
      <c r="F3820" s="3862"/>
      <c r="G3820" s="2810"/>
      <c r="H3820" s="2810"/>
      <c r="I3820" s="898"/>
      <c r="J3820" s="2704"/>
      <c r="K3820" s="898"/>
      <c r="L3820" s="896"/>
      <c r="M3820" s="898"/>
      <c r="N3820" s="2768"/>
    </row>
    <row r="3821" spans="1:16" ht="8.25" hidden="1" customHeight="1" x14ac:dyDescent="0.25">
      <c r="B3821" s="441"/>
      <c r="C3821" s="2533"/>
      <c r="D3821" s="2709"/>
      <c r="E3821" s="2818"/>
      <c r="F3821" s="3859"/>
      <c r="G3821" s="2818"/>
      <c r="H3821" s="2818"/>
      <c r="I3821" s="911"/>
      <c r="J3821" s="2716"/>
      <c r="K3821" s="911"/>
      <c r="L3821" s="2709"/>
      <c r="M3821" s="911"/>
      <c r="N3821" s="2743"/>
    </row>
    <row r="3822" spans="1:16" s="32" customFormat="1" ht="14.25" hidden="1" customHeight="1" x14ac:dyDescent="0.25">
      <c r="A3822" s="1"/>
      <c r="B3822" s="440"/>
      <c r="C3822" s="2532" t="s">
        <v>2903</v>
      </c>
      <c r="D3822" s="2744">
        <f>D3823</f>
        <v>400000000</v>
      </c>
      <c r="E3822" s="2786">
        <f>D3822/D3691*100</f>
        <v>0.37035283347786657</v>
      </c>
      <c r="F3822" s="3863"/>
      <c r="G3822" s="2786"/>
      <c r="H3822" s="2786"/>
      <c r="I3822" s="2744"/>
      <c r="J3822" s="3293"/>
      <c r="K3822" s="2744"/>
      <c r="L3822" s="2744"/>
      <c r="M3822" s="2744"/>
      <c r="N3822" s="2771"/>
      <c r="P3822" s="630"/>
    </row>
    <row r="3823" spans="1:16" s="32" customFormat="1" ht="15.75" hidden="1" customHeight="1" x14ac:dyDescent="0.25">
      <c r="A3823" s="1"/>
      <c r="B3823" s="441"/>
      <c r="C3823" s="2538" t="s">
        <v>2904</v>
      </c>
      <c r="D3823" s="2759">
        <f>D3824</f>
        <v>400000000</v>
      </c>
      <c r="E3823" s="3214">
        <f>D3823/D3691*100</f>
        <v>0.37035283347786657</v>
      </c>
      <c r="F3823" s="3870"/>
      <c r="G3823" s="3214"/>
      <c r="H3823" s="3214"/>
      <c r="I3823" s="2759"/>
      <c r="J3823" s="3310"/>
      <c r="K3823" s="2759"/>
      <c r="L3823" s="2759"/>
      <c r="M3823" s="2759"/>
      <c r="N3823" s="2773"/>
      <c r="P3823" s="630"/>
    </row>
    <row r="3824" spans="1:16" s="196" customFormat="1" ht="18" hidden="1" customHeight="1" x14ac:dyDescent="0.25">
      <c r="A3824" s="12"/>
      <c r="B3824" s="448"/>
      <c r="C3824" s="2524" t="s">
        <v>2905</v>
      </c>
      <c r="D3824" s="896">
        <v>400000000</v>
      </c>
      <c r="E3824" s="2879">
        <f>D3824/D3691*100</f>
        <v>0.37035283347786657</v>
      </c>
      <c r="F3824" s="4414"/>
      <c r="G3824" s="2810"/>
      <c r="H3824" s="2810"/>
      <c r="I3824" s="896"/>
      <c r="J3824" s="2689"/>
      <c r="K3824" s="896"/>
      <c r="L3824" s="896"/>
      <c r="M3824" s="896"/>
      <c r="N3824" s="2951"/>
      <c r="P3824" s="631"/>
    </row>
    <row r="3825" spans="1:16" s="196" customFormat="1" ht="9.75" hidden="1" customHeight="1" x14ac:dyDescent="0.25">
      <c r="A3825" s="12"/>
      <c r="B3825" s="448"/>
      <c r="C3825" s="2533"/>
      <c r="D3825" s="2709"/>
      <c r="E3825" s="2818"/>
      <c r="F3825" s="4452"/>
      <c r="G3825" s="2818"/>
      <c r="H3825" s="2818"/>
      <c r="I3825" s="2709"/>
      <c r="J3825" s="3288"/>
      <c r="K3825" s="2709"/>
      <c r="L3825" s="2709"/>
      <c r="M3825" s="2709"/>
      <c r="N3825" s="3449"/>
      <c r="P3825" s="631"/>
    </row>
    <row r="3826" spans="1:16" s="32" customFormat="1" ht="15.75" hidden="1" customHeight="1" x14ac:dyDescent="0.25">
      <c r="A3826" s="1"/>
      <c r="B3826" s="440"/>
      <c r="C3826" s="2532" t="s">
        <v>2906</v>
      </c>
      <c r="D3826" s="2744">
        <f>D3827</f>
        <v>340000000</v>
      </c>
      <c r="E3826" s="2786">
        <f>D3826/D3691*100</f>
        <v>0.31479990845618661</v>
      </c>
      <c r="F3826" s="3863"/>
      <c r="G3826" s="3545"/>
      <c r="H3826" s="3545"/>
      <c r="I3826" s="2744"/>
      <c r="J3826" s="3293"/>
      <c r="K3826" s="2744"/>
      <c r="L3826" s="3200"/>
      <c r="M3826" s="2744"/>
      <c r="N3826" s="2771"/>
      <c r="P3826" s="630"/>
    </row>
    <row r="3827" spans="1:16" s="32" customFormat="1" ht="16.5" hidden="1" customHeight="1" x14ac:dyDescent="0.25">
      <c r="A3827" s="1"/>
      <c r="B3827" s="441"/>
      <c r="C3827" s="2538" t="s">
        <v>2907</v>
      </c>
      <c r="D3827" s="2759">
        <f>D3828</f>
        <v>340000000</v>
      </c>
      <c r="E3827" s="3214">
        <f>D3827/D3691*100</f>
        <v>0.31479990845618661</v>
      </c>
      <c r="F3827" s="3870"/>
      <c r="G3827" s="3546"/>
      <c r="H3827" s="3546"/>
      <c r="I3827" s="2759"/>
      <c r="J3827" s="3310"/>
      <c r="K3827" s="2759"/>
      <c r="L3827" s="3031"/>
      <c r="M3827" s="2759"/>
      <c r="N3827" s="2773"/>
      <c r="P3827" s="630"/>
    </row>
    <row r="3828" spans="1:16" s="196" customFormat="1" ht="18.75" hidden="1" customHeight="1" x14ac:dyDescent="0.25">
      <c r="A3828" s="12"/>
      <c r="B3828" s="448"/>
      <c r="C3828" s="2524" t="s">
        <v>2908</v>
      </c>
      <c r="D3828" s="896">
        <v>340000000</v>
      </c>
      <c r="E3828" s="2879">
        <f>D3828/D3691*100</f>
        <v>0.31479990845618661</v>
      </c>
      <c r="F3828" s="4414"/>
      <c r="G3828" s="2810"/>
      <c r="H3828" s="2810"/>
      <c r="I3828" s="896"/>
      <c r="J3828" s="2689"/>
      <c r="K3828" s="896"/>
      <c r="L3828" s="896"/>
      <c r="M3828" s="896"/>
      <c r="N3828" s="3466"/>
      <c r="P3828" s="631"/>
    </row>
    <row r="3829" spans="1:16" ht="10.5" hidden="1" customHeight="1" x14ac:dyDescent="0.25">
      <c r="B3829" s="441"/>
      <c r="C3829" s="2528"/>
      <c r="D3829" s="2755"/>
      <c r="E3829" s="2840"/>
      <c r="F3829" s="3860"/>
      <c r="G3829" s="2840"/>
      <c r="H3829" s="2840"/>
      <c r="I3829" s="2755"/>
      <c r="J3829" s="2991"/>
      <c r="K3829" s="2755"/>
      <c r="L3829" s="2769"/>
      <c r="M3829" s="2755"/>
      <c r="N3829" s="2756"/>
    </row>
    <row r="3830" spans="1:16" s="32" customFormat="1" ht="15.75" hidden="1" customHeight="1" x14ac:dyDescent="0.25">
      <c r="A3830" s="1"/>
      <c r="B3830" s="440"/>
      <c r="C3830" s="2532" t="s">
        <v>2909</v>
      </c>
      <c r="D3830" s="2744">
        <f>D3831</f>
        <v>400000000</v>
      </c>
      <c r="E3830" s="2786">
        <f>D3830/D3691*100</f>
        <v>0.37035283347786657</v>
      </c>
      <c r="F3830" s="3863"/>
      <c r="G3830" s="3545"/>
      <c r="H3830" s="3545"/>
      <c r="I3830" s="2744"/>
      <c r="J3830" s="3293"/>
      <c r="K3830" s="2744"/>
      <c r="L3830" s="3200"/>
      <c r="M3830" s="2744"/>
      <c r="N3830" s="2771"/>
      <c r="P3830" s="630"/>
    </row>
    <row r="3831" spans="1:16" s="32" customFormat="1" ht="19.5" hidden="1" customHeight="1" x14ac:dyDescent="0.25">
      <c r="A3831" s="1"/>
      <c r="B3831" s="441"/>
      <c r="C3831" s="2521" t="s">
        <v>2910</v>
      </c>
      <c r="D3831" s="2751">
        <f>D3832</f>
        <v>400000000</v>
      </c>
      <c r="E3831" s="3214">
        <f>D3831/D3691*100</f>
        <v>0.37035283347786657</v>
      </c>
      <c r="F3831" s="3860"/>
      <c r="G3831" s="3547"/>
      <c r="H3831" s="3547"/>
      <c r="I3831" s="2751"/>
      <c r="J3831" s="3297"/>
      <c r="K3831" s="2751"/>
      <c r="L3831" s="3343"/>
      <c r="M3831" s="2751"/>
      <c r="N3831" s="2773"/>
      <c r="P3831" s="630"/>
    </row>
    <row r="3832" spans="1:16" s="196" customFormat="1" ht="19.5" hidden="1" customHeight="1" x14ac:dyDescent="0.25">
      <c r="A3832" s="12"/>
      <c r="B3832" s="448"/>
      <c r="C3832" s="2524" t="s">
        <v>2911</v>
      </c>
      <c r="D3832" s="896">
        <v>400000000</v>
      </c>
      <c r="E3832" s="2879">
        <f>D3832/D3691*100</f>
        <v>0.37035283347786657</v>
      </c>
      <c r="F3832" s="4414"/>
      <c r="G3832" s="2810"/>
      <c r="H3832" s="2810"/>
      <c r="I3832" s="896"/>
      <c r="J3832" s="2689"/>
      <c r="K3832" s="896"/>
      <c r="L3832" s="896"/>
      <c r="M3832" s="896"/>
      <c r="N3832" s="3466"/>
      <c r="P3832" s="631"/>
    </row>
    <row r="3833" spans="1:16" ht="12" hidden="1" customHeight="1" x14ac:dyDescent="0.25">
      <c r="B3833" s="441"/>
      <c r="C3833" s="2528"/>
      <c r="D3833" s="2755"/>
      <c r="E3833" s="2840"/>
      <c r="F3833" s="3860"/>
      <c r="G3833" s="2840"/>
      <c r="H3833" s="2840"/>
      <c r="I3833" s="2755"/>
      <c r="J3833" s="2991"/>
      <c r="K3833" s="2755"/>
      <c r="L3833" s="2769"/>
      <c r="M3833" s="2755"/>
      <c r="N3833" s="2756"/>
    </row>
    <row r="3834" spans="1:16" s="32" customFormat="1" ht="15" hidden="1" customHeight="1" x14ac:dyDescent="0.25">
      <c r="A3834" s="1"/>
      <c r="B3834" s="440"/>
      <c r="C3834" s="2532" t="s">
        <v>2912</v>
      </c>
      <c r="D3834" s="2744">
        <f>D3835</f>
        <v>320000000</v>
      </c>
      <c r="E3834" s="2786">
        <f>D3834/D3691*100</f>
        <v>0.2962822667822933</v>
      </c>
      <c r="F3834" s="3863"/>
      <c r="G3834" s="3545"/>
      <c r="H3834" s="3545"/>
      <c r="I3834" s="2744"/>
      <c r="J3834" s="3293"/>
      <c r="K3834" s="2744"/>
      <c r="L3834" s="3200"/>
      <c r="M3834" s="2744"/>
      <c r="N3834" s="2771"/>
      <c r="P3834" s="630"/>
    </row>
    <row r="3835" spans="1:16" s="32" customFormat="1" ht="19.5" hidden="1" customHeight="1" x14ac:dyDescent="0.25">
      <c r="A3835" s="1"/>
      <c r="B3835" s="441"/>
      <c r="C3835" s="2521" t="s">
        <v>2913</v>
      </c>
      <c r="D3835" s="2751">
        <f>D3836</f>
        <v>320000000</v>
      </c>
      <c r="E3835" s="3214">
        <f>D3835/D3691*100</f>
        <v>0.2962822667822933</v>
      </c>
      <c r="F3835" s="3860"/>
      <c r="G3835" s="3547"/>
      <c r="H3835" s="3547"/>
      <c r="I3835" s="2751"/>
      <c r="J3835" s="3297"/>
      <c r="K3835" s="2751"/>
      <c r="L3835" s="3343"/>
      <c r="M3835" s="2751"/>
      <c r="N3835" s="2773"/>
      <c r="P3835" s="630"/>
    </row>
    <row r="3836" spans="1:16" ht="16.5" hidden="1" customHeight="1" x14ac:dyDescent="0.25">
      <c r="B3836" s="441"/>
      <c r="C3836" s="2524" t="s">
        <v>2914</v>
      </c>
      <c r="D3836" s="896">
        <v>320000000</v>
      </c>
      <c r="E3836" s="2879">
        <f>D3836/D3691*100</f>
        <v>0.2962822667822933</v>
      </c>
      <c r="F3836" s="3862"/>
      <c r="G3836" s="2810"/>
      <c r="H3836" s="2810"/>
      <c r="I3836" s="898"/>
      <c r="J3836" s="2704"/>
      <c r="K3836" s="898"/>
      <c r="L3836" s="896"/>
      <c r="M3836" s="898"/>
      <c r="N3836" s="2877"/>
    </row>
    <row r="3837" spans="1:16" ht="13.5" hidden="1" customHeight="1" x14ac:dyDescent="0.25">
      <c r="B3837" s="441"/>
      <c r="C3837" s="2528"/>
      <c r="D3837" s="2755"/>
      <c r="E3837" s="2840"/>
      <c r="F3837" s="3860"/>
      <c r="G3837" s="2840"/>
      <c r="H3837" s="2840"/>
      <c r="I3837" s="2755"/>
      <c r="J3837" s="2991"/>
      <c r="K3837" s="2755"/>
      <c r="L3837" s="2769"/>
      <c r="M3837" s="2755"/>
      <c r="N3837" s="2756"/>
    </row>
    <row r="3838" spans="1:16" ht="15.75" hidden="1" customHeight="1" x14ac:dyDescent="0.25">
      <c r="B3838" s="440"/>
      <c r="C3838" s="2497" t="s">
        <v>2915</v>
      </c>
      <c r="D3838" s="2669">
        <f>SUM(D3839+D3844)</f>
        <v>5882000000</v>
      </c>
      <c r="E3838" s="2786">
        <f>D3838/D3691*100</f>
        <v>5.4460384162920281</v>
      </c>
      <c r="F3838" s="3835"/>
      <c r="G3838" s="3548"/>
      <c r="H3838" s="2786"/>
      <c r="I3838" s="2744"/>
      <c r="J3838" s="2719"/>
      <c r="K3838" s="2719"/>
      <c r="L3838" s="3200"/>
      <c r="M3838" s="2744"/>
      <c r="N3838" s="2750"/>
    </row>
    <row r="3839" spans="1:16" ht="20.25" hidden="1" customHeight="1" x14ac:dyDescent="0.25">
      <c r="B3839" s="463"/>
      <c r="C3839" s="2482" t="s">
        <v>2916</v>
      </c>
      <c r="D3839" s="2721">
        <f>SUM(D3840:D3842)</f>
        <v>4823450000</v>
      </c>
      <c r="E3839" s="3214">
        <f>D3839/D3691*100</f>
        <v>4.4659459365970395</v>
      </c>
      <c r="F3839" s="3839"/>
      <c r="G3839" s="3549"/>
      <c r="H3839" s="2801"/>
      <c r="I3839" s="2751"/>
      <c r="J3839" s="2722"/>
      <c r="K3839" s="2722"/>
      <c r="L3839" s="3343"/>
      <c r="M3839" s="2751"/>
      <c r="N3839" s="2877"/>
    </row>
    <row r="3840" spans="1:16" ht="15" hidden="1" customHeight="1" x14ac:dyDescent="0.25">
      <c r="B3840" s="441"/>
      <c r="C3840" s="2494" t="s">
        <v>2917</v>
      </c>
      <c r="D3840" s="2698">
        <v>3405950000</v>
      </c>
      <c r="E3840" s="2810">
        <f>D3840/D3691*100</f>
        <v>3.1535080829598492</v>
      </c>
      <c r="F3840" s="4384"/>
      <c r="G3840" s="2811"/>
      <c r="H3840" s="3541"/>
      <c r="I3840" s="898"/>
      <c r="J3840" s="3216"/>
      <c r="K3840" s="898"/>
      <c r="L3840" s="896"/>
      <c r="M3840" s="896"/>
      <c r="N3840" s="2768"/>
    </row>
    <row r="3841" spans="2:17" ht="15" hidden="1" customHeight="1" x14ac:dyDescent="0.25">
      <c r="B3841" s="441"/>
      <c r="C3841" s="2494" t="s">
        <v>7372</v>
      </c>
      <c r="D3841" s="2698">
        <v>1150000000</v>
      </c>
      <c r="E3841" s="2810">
        <f>D3841/D3691*100</f>
        <v>1.0647643962488664</v>
      </c>
      <c r="F3841" s="4384"/>
      <c r="G3841" s="2811"/>
      <c r="H3841" s="3541"/>
      <c r="I3841" s="898"/>
      <c r="J3841" s="3216"/>
      <c r="K3841" s="898"/>
      <c r="L3841" s="896"/>
      <c r="M3841" s="896"/>
      <c r="N3841" s="2768"/>
    </row>
    <row r="3842" spans="2:17" ht="15" hidden="1" customHeight="1" x14ac:dyDescent="0.25">
      <c r="B3842" s="441"/>
      <c r="C3842" s="2494" t="s">
        <v>7373</v>
      </c>
      <c r="D3842" s="2698">
        <v>267500000</v>
      </c>
      <c r="E3842" s="2810">
        <f>D3842/D3691*100</f>
        <v>0.2476734573883233</v>
      </c>
      <c r="F3842" s="4384"/>
      <c r="G3842" s="2811"/>
      <c r="H3842" s="3541"/>
      <c r="I3842" s="898"/>
      <c r="J3842" s="3216"/>
      <c r="K3842" s="898"/>
      <c r="L3842" s="896"/>
      <c r="M3842" s="896"/>
      <c r="N3842" s="2768"/>
    </row>
    <row r="3843" spans="2:17" ht="13.5" hidden="1" customHeight="1" x14ac:dyDescent="0.25">
      <c r="B3843" s="441"/>
      <c r="C3843" s="2494"/>
      <c r="D3843" s="2698"/>
      <c r="E3843" s="2810"/>
      <c r="F3843" s="4384"/>
      <c r="G3843" s="3064"/>
      <c r="H3843" s="2810"/>
      <c r="I3843" s="898"/>
      <c r="J3843" s="3216"/>
      <c r="K3843" s="898"/>
      <c r="L3843" s="896"/>
      <c r="M3843" s="898"/>
      <c r="N3843" s="2768"/>
    </row>
    <row r="3844" spans="2:17" ht="30.75" hidden="1" customHeight="1" x14ac:dyDescent="0.25">
      <c r="B3844" s="441"/>
      <c r="C3844" s="2491" t="s">
        <v>2918</v>
      </c>
      <c r="D3844" s="2692">
        <f>SUM(D3845)</f>
        <v>1058550000</v>
      </c>
      <c r="E3844" s="2813">
        <f>D3844/D3691*100</f>
        <v>0.98009247969498925</v>
      </c>
      <c r="F3844" s="3834"/>
      <c r="G3844" s="3217"/>
      <c r="H3844" s="3217"/>
      <c r="I3844" s="3217"/>
      <c r="J3844" s="3217"/>
      <c r="K3844" s="3217"/>
      <c r="L3844" s="2796"/>
      <c r="M3844" s="2796"/>
      <c r="N3844" s="2768"/>
    </row>
    <row r="3845" spans="2:17" ht="20.25" hidden="1" customHeight="1" x14ac:dyDescent="0.25">
      <c r="B3845" s="441"/>
      <c r="C3845" s="2494" t="s">
        <v>7374</v>
      </c>
      <c r="D3845" s="2698">
        <v>1058550000</v>
      </c>
      <c r="E3845" s="2810">
        <f>D3845/D3691*100</f>
        <v>0.98009247969498925</v>
      </c>
      <c r="F3845" s="4384"/>
      <c r="G3845" s="3216"/>
      <c r="H3845" s="3216"/>
      <c r="I3845" s="3216"/>
      <c r="J3845" s="3534"/>
      <c r="K3845" s="3535"/>
      <c r="L3845" s="896"/>
      <c r="M3845" s="896"/>
      <c r="N3845" s="2768"/>
    </row>
    <row r="3846" spans="2:17" ht="12.75" hidden="1" customHeight="1" x14ac:dyDescent="0.25">
      <c r="B3846" s="459"/>
      <c r="C3846" s="2506"/>
      <c r="D3846" s="2724"/>
      <c r="E3846" s="2840"/>
      <c r="F3846" s="4472"/>
      <c r="G3846" s="2991"/>
      <c r="H3846" s="2840"/>
      <c r="I3846" s="2755"/>
      <c r="J3846" s="3218"/>
      <c r="K3846" s="3006"/>
      <c r="L3846" s="2769"/>
      <c r="M3846" s="2755"/>
      <c r="N3846" s="2768"/>
    </row>
    <row r="3847" spans="2:17" ht="28.5" hidden="1" customHeight="1" x14ac:dyDescent="0.25">
      <c r="B3847" s="441"/>
      <c r="C3847" s="2497" t="s">
        <v>2920</v>
      </c>
      <c r="D3847" s="2669">
        <f>SUM(D3848+D3851)</f>
        <v>1060864687.54</v>
      </c>
      <c r="E3847" s="2786">
        <f>D3847/D3691*100</f>
        <v>0.9822356074176265</v>
      </c>
      <c r="F3847" s="3835"/>
      <c r="G3847" s="2719"/>
      <c r="H3847" s="2786"/>
      <c r="I3847" s="2719"/>
      <c r="J3847" s="2719"/>
      <c r="K3847" s="2719"/>
      <c r="L3847" s="3550"/>
      <c r="M3847" s="3550"/>
      <c r="N3847" s="2768"/>
      <c r="Q3847" s="35"/>
    </row>
    <row r="3848" spans="2:17" ht="18.75" hidden="1" customHeight="1" x14ac:dyDescent="0.25">
      <c r="B3848" s="463"/>
      <c r="C3848" s="2482" t="s">
        <v>7375</v>
      </c>
      <c r="D3848" s="2721">
        <f>D3849</f>
        <v>0</v>
      </c>
      <c r="E3848" s="2801">
        <f>D3848/D3691*100</f>
        <v>0</v>
      </c>
      <c r="F3848" s="3839"/>
      <c r="G3848" s="3064"/>
      <c r="H3848" s="2801"/>
      <c r="I3848" s="2722"/>
      <c r="J3848" s="2722"/>
      <c r="K3848" s="2722"/>
      <c r="L3848" s="3551"/>
      <c r="M3848" s="3551"/>
      <c r="N3848" s="2768"/>
      <c r="Q3848" s="35"/>
    </row>
    <row r="3849" spans="2:17" ht="18.75" hidden="1" customHeight="1" x14ac:dyDescent="0.25">
      <c r="B3849" s="441"/>
      <c r="C3849" s="2494" t="s">
        <v>7376</v>
      </c>
      <c r="D3849" s="2698">
        <v>0</v>
      </c>
      <c r="E3849" s="2810">
        <f>D3849/D3691*100</f>
        <v>0</v>
      </c>
      <c r="F3849" s="4384"/>
      <c r="G3849" s="2811"/>
      <c r="H3849" s="3541"/>
      <c r="I3849" s="3216"/>
      <c r="J3849" s="3216"/>
      <c r="K3849" s="3535"/>
      <c r="L3849" s="2685"/>
      <c r="M3849" s="2685"/>
      <c r="N3849" s="2768"/>
    </row>
    <row r="3850" spans="2:17" ht="9" hidden="1" customHeight="1" x14ac:dyDescent="0.25">
      <c r="B3850" s="441"/>
      <c r="C3850" s="2494"/>
      <c r="D3850" s="2698"/>
      <c r="E3850" s="2810"/>
      <c r="F3850" s="4384"/>
      <c r="G3850" s="2811"/>
      <c r="H3850" s="3541"/>
      <c r="I3850" s="3216"/>
      <c r="J3850" s="3542"/>
      <c r="K3850" s="3535"/>
      <c r="L3850" s="2685"/>
      <c r="M3850" s="2685"/>
      <c r="N3850" s="2768"/>
    </row>
    <row r="3851" spans="2:17" ht="17.25" hidden="1" customHeight="1" x14ac:dyDescent="0.25">
      <c r="B3851" s="441"/>
      <c r="C3851" s="2491" t="s">
        <v>7377</v>
      </c>
      <c r="D3851" s="2692">
        <f>SUM(D3852:D3855)</f>
        <v>1060864687.54</v>
      </c>
      <c r="E3851" s="2813">
        <f>D3851/D3691*100</f>
        <v>0.9822356074176265</v>
      </c>
      <c r="F3851" s="3834"/>
      <c r="G3851" s="3217"/>
      <c r="H3851" s="3217"/>
      <c r="I3851" s="3217"/>
      <c r="J3851" s="2722"/>
      <c r="K3851" s="2722"/>
      <c r="L3851" s="899"/>
      <c r="M3851" s="899"/>
      <c r="N3851" s="2768"/>
      <c r="Q3851" s="35"/>
    </row>
    <row r="3852" spans="2:17" ht="15.75" hidden="1" customHeight="1" x14ac:dyDescent="0.25">
      <c r="B3852" s="441"/>
      <c r="C3852" s="2494" t="s">
        <v>7378</v>
      </c>
      <c r="D3852" s="2698">
        <v>900000000</v>
      </c>
      <c r="E3852" s="2810">
        <f>D3852/D3691*100</f>
        <v>0.83329387532519983</v>
      </c>
      <c r="F3852" s="4384"/>
      <c r="G3852" s="3216"/>
      <c r="H3852" s="3216"/>
      <c r="I3852" s="3216"/>
      <c r="J3852" s="3216"/>
      <c r="K3852" s="3216"/>
      <c r="L3852" s="898"/>
      <c r="M3852" s="898"/>
      <c r="N3852" s="2768"/>
    </row>
    <row r="3853" spans="2:17" ht="16.5" hidden="1" customHeight="1" x14ac:dyDescent="0.25">
      <c r="B3853" s="441"/>
      <c r="C3853" s="2494" t="s">
        <v>7379</v>
      </c>
      <c r="D3853" s="2698">
        <v>40000000</v>
      </c>
      <c r="E3853" s="2810">
        <f>D3853/D3691*100</f>
        <v>3.7035283347786663E-2</v>
      </c>
      <c r="F3853" s="4384"/>
      <c r="G3853" s="3216"/>
      <c r="H3853" s="3216"/>
      <c r="I3853" s="3216"/>
      <c r="J3853" s="3216"/>
      <c r="K3853" s="3535"/>
      <c r="L3853" s="898"/>
      <c r="M3853" s="898"/>
      <c r="N3853" s="2768"/>
    </row>
    <row r="3854" spans="2:17" ht="16.5" hidden="1" customHeight="1" x14ac:dyDescent="0.25">
      <c r="B3854" s="441"/>
      <c r="C3854" s="2473" t="s">
        <v>7380</v>
      </c>
      <c r="D3854" s="2698">
        <v>25864687.539999999</v>
      </c>
      <c r="E3854" s="2810">
        <f>D3854/D3691*100</f>
        <v>2.3947650793646677E-2</v>
      </c>
      <c r="F3854" s="4384"/>
      <c r="G3854" s="3216"/>
      <c r="H3854" s="3216"/>
      <c r="I3854" s="3216"/>
      <c r="J3854" s="3534"/>
      <c r="K3854" s="3534"/>
      <c r="L3854" s="898"/>
      <c r="M3854" s="898"/>
      <c r="N3854" s="2768"/>
    </row>
    <row r="3855" spans="2:17" ht="15.75" hidden="1" customHeight="1" x14ac:dyDescent="0.25">
      <c r="B3855" s="441"/>
      <c r="C3855" s="2494" t="s">
        <v>7381</v>
      </c>
      <c r="D3855" s="2698">
        <v>95000000</v>
      </c>
      <c r="E3855" s="2810">
        <f>D3855/D3691*100</f>
        <v>8.7958797950993317E-2</v>
      </c>
      <c r="F3855" s="4384"/>
      <c r="G3855" s="2685"/>
      <c r="H3855" s="2810"/>
      <c r="I3855" s="898"/>
      <c r="J3855" s="2830"/>
      <c r="K3855" s="898"/>
      <c r="L3855" s="898"/>
      <c r="M3855" s="898"/>
      <c r="N3855" s="2768"/>
    </row>
    <row r="3856" spans="2:17" ht="15.75" hidden="1" customHeight="1" x14ac:dyDescent="0.25">
      <c r="B3856" s="441"/>
      <c r="C3856" s="2506"/>
      <c r="D3856" s="2724"/>
      <c r="E3856" s="2840"/>
      <c r="F3856" s="4380"/>
      <c r="G3856" s="2830"/>
      <c r="H3856" s="2840"/>
      <c r="I3856" s="2755"/>
      <c r="J3856" s="2830"/>
      <c r="K3856" s="2755"/>
      <c r="L3856" s="2755"/>
      <c r="M3856" s="2755"/>
      <c r="N3856" s="2768"/>
    </row>
    <row r="3857" spans="2:17" ht="16.5" hidden="1" customHeight="1" x14ac:dyDescent="0.25">
      <c r="B3857" s="440"/>
      <c r="C3857" s="2497" t="s">
        <v>2928</v>
      </c>
      <c r="D3857" s="2669">
        <f>D3858</f>
        <v>0</v>
      </c>
      <c r="E3857" s="2786">
        <f>D3857/D3691*100</f>
        <v>0</v>
      </c>
      <c r="F3857" s="3835"/>
      <c r="G3857" s="2719"/>
      <c r="H3857" s="2786"/>
      <c r="I3857" s="2744"/>
      <c r="J3857" s="2719"/>
      <c r="K3857" s="2719"/>
      <c r="L3857" s="2744"/>
      <c r="M3857" s="2744"/>
      <c r="N3857" s="2768"/>
      <c r="Q3857" s="35">
        <v>3550281000</v>
      </c>
    </row>
    <row r="3858" spans="2:17" ht="18" hidden="1" customHeight="1" x14ac:dyDescent="0.25">
      <c r="B3858" s="441"/>
      <c r="C3858" s="2478" t="s">
        <v>2929</v>
      </c>
      <c r="D3858" s="2712">
        <f>D3859</f>
        <v>0</v>
      </c>
      <c r="E3858" s="2813">
        <f>D3858/D3691*100</f>
        <v>0</v>
      </c>
      <c r="F3858" s="3834"/>
      <c r="G3858" s="3217"/>
      <c r="H3858" s="3217"/>
      <c r="I3858" s="3217"/>
      <c r="J3858" s="2679"/>
      <c r="K3858" s="2679"/>
      <c r="L3858" s="899"/>
      <c r="M3858" s="899"/>
      <c r="N3858" s="2768"/>
      <c r="Q3858" s="35">
        <v>9430000</v>
      </c>
    </row>
    <row r="3859" spans="2:17" ht="15.75" hidden="1" customHeight="1" x14ac:dyDescent="0.25">
      <c r="B3859" s="441"/>
      <c r="C3859" s="2524" t="s">
        <v>2930</v>
      </c>
      <c r="D3859" s="896">
        <v>0</v>
      </c>
      <c r="E3859" s="2879">
        <f>D3859/D3691*100</f>
        <v>0</v>
      </c>
      <c r="F3859" s="4446"/>
      <c r="G3859" s="3216"/>
      <c r="H3859" s="3216"/>
      <c r="I3859" s="3216"/>
      <c r="J3859" s="3216"/>
      <c r="K3859" s="3216"/>
      <c r="L3859" s="896"/>
      <c r="M3859" s="3216"/>
      <c r="N3859" s="2768"/>
    </row>
    <row r="3860" spans="2:17" ht="12" hidden="1" customHeight="1" x14ac:dyDescent="0.25">
      <c r="B3860" s="441"/>
      <c r="C3860" s="2475"/>
      <c r="D3860" s="2769"/>
      <c r="E3860" s="2752"/>
      <c r="F3860" s="4459"/>
      <c r="G3860" s="2716"/>
      <c r="H3860" s="2840"/>
      <c r="I3860" s="2755"/>
      <c r="J3860" s="3195"/>
      <c r="K3860" s="3006"/>
      <c r="L3860" s="2769"/>
      <c r="M3860" s="3342"/>
      <c r="N3860" s="2768"/>
    </row>
    <row r="3861" spans="2:17" ht="16.5" hidden="1" customHeight="1" x14ac:dyDescent="0.25">
      <c r="B3861" s="440"/>
      <c r="C3861" s="2632" t="s">
        <v>2931</v>
      </c>
      <c r="D3861" s="2744">
        <f>SUM(D3862+D3867+D3876)</f>
        <v>1552650000</v>
      </c>
      <c r="E3861" s="3411">
        <f>D3861/D3691*100</f>
        <v>1.437570817248524</v>
      </c>
      <c r="F3861" s="3844"/>
      <c r="G3861" s="2744"/>
      <c r="H3861" s="3192"/>
      <c r="I3861" s="3011"/>
      <c r="J3861" s="2744"/>
      <c r="K3861" s="2744"/>
      <c r="L3861" s="3011"/>
      <c r="M3861" s="2670"/>
      <c r="N3861" s="2768"/>
    </row>
    <row r="3862" spans="2:17" ht="27.75" hidden="1" customHeight="1" x14ac:dyDescent="0.25">
      <c r="B3862" s="441"/>
      <c r="C3862" s="2521" t="s">
        <v>2932</v>
      </c>
      <c r="D3862" s="2676">
        <f>SUM(D3863:D3865)</f>
        <v>316000000</v>
      </c>
      <c r="E3862" s="3214">
        <f>D3862/D3691*100</f>
        <v>0.29257873844751464</v>
      </c>
      <c r="F3862" s="3841"/>
      <c r="G3862" s="3549"/>
      <c r="H3862" s="3214"/>
      <c r="I3862" s="2759"/>
      <c r="J3862" s="2725"/>
      <c r="K3862" s="2725"/>
      <c r="L3862" s="2759"/>
      <c r="M3862" s="3005"/>
      <c r="N3862" s="2768"/>
    </row>
    <row r="3863" spans="2:17" ht="17.25" hidden="1" customHeight="1" x14ac:dyDescent="0.25">
      <c r="B3863" s="441"/>
      <c r="C3863" s="2494" t="s">
        <v>7382</v>
      </c>
      <c r="D3863" s="2698">
        <v>100000000</v>
      </c>
      <c r="E3863" s="2810">
        <f>D3863/D3691*100</f>
        <v>9.2588208369466643E-2</v>
      </c>
      <c r="F3863" s="4384"/>
      <c r="G3863" s="3216"/>
      <c r="H3863" s="3216"/>
      <c r="I3863" s="3216"/>
      <c r="J3863" s="3534"/>
      <c r="K3863" s="3535"/>
      <c r="L3863" s="896"/>
      <c r="M3863" s="3335"/>
      <c r="N3863" s="2768"/>
    </row>
    <row r="3864" spans="2:17" ht="15" hidden="1" customHeight="1" x14ac:dyDescent="0.25">
      <c r="B3864" s="441"/>
      <c r="C3864" s="2494" t="s">
        <v>7383</v>
      </c>
      <c r="D3864" s="2698">
        <v>58000000</v>
      </c>
      <c r="E3864" s="2810">
        <f>D3864/D3691*100</f>
        <v>5.3701160854290664E-2</v>
      </c>
      <c r="F3864" s="4384"/>
      <c r="G3864" s="2811"/>
      <c r="H3864" s="3541"/>
      <c r="I3864" s="902"/>
      <c r="J3864" s="3534"/>
      <c r="K3864" s="3535"/>
      <c r="L3864" s="896"/>
      <c r="M3864" s="3335"/>
      <c r="N3864" s="2768"/>
    </row>
    <row r="3865" spans="2:17" ht="16.5" hidden="1" customHeight="1" x14ac:dyDescent="0.25">
      <c r="B3865" s="441"/>
      <c r="C3865" s="2494" t="s">
        <v>7384</v>
      </c>
      <c r="D3865" s="2698">
        <v>158000000</v>
      </c>
      <c r="E3865" s="2810">
        <f>D3865/D3691*100</f>
        <v>0.14628936922375732</v>
      </c>
      <c r="F3865" s="4384"/>
      <c r="G3865" s="2679"/>
      <c r="H3865" s="3214"/>
      <c r="I3865" s="2759"/>
      <c r="J3865" s="3216"/>
      <c r="K3865" s="1478"/>
      <c r="L3865" s="899"/>
      <c r="M3865" s="2970"/>
      <c r="N3865" s="2768"/>
    </row>
    <row r="3866" spans="2:17" ht="9.75" hidden="1" customHeight="1" x14ac:dyDescent="0.25">
      <c r="B3866" s="441"/>
      <c r="C3866" s="2494"/>
      <c r="D3866" s="2698"/>
      <c r="E3866" s="2810"/>
      <c r="F3866" s="4384"/>
      <c r="G3866" s="2679"/>
      <c r="H3866" s="3214"/>
      <c r="I3866" s="2751"/>
      <c r="J3866" s="3216"/>
      <c r="K3866" s="1478"/>
      <c r="L3866" s="899"/>
      <c r="M3866" s="2970"/>
      <c r="N3866" s="2768"/>
    </row>
    <row r="3867" spans="2:17" ht="16.5" hidden="1" customHeight="1" x14ac:dyDescent="0.25">
      <c r="B3867" s="441"/>
      <c r="C3867" s="2491" t="s">
        <v>2933</v>
      </c>
      <c r="D3867" s="2692">
        <f>SUM(D3868:D3874)</f>
        <v>1098720000</v>
      </c>
      <c r="E3867" s="2813">
        <f>D3867/D3691*100</f>
        <v>1.0172851629970039</v>
      </c>
      <c r="F3867" s="3834"/>
      <c r="G3867" s="3064"/>
      <c r="H3867" s="3214"/>
      <c r="I3867" s="3552"/>
      <c r="J3867" s="3217"/>
      <c r="K3867" s="3217"/>
      <c r="L3867" s="2796"/>
      <c r="M3867" s="3042"/>
      <c r="N3867" s="2768"/>
    </row>
    <row r="3868" spans="2:17" ht="19.5" hidden="1" customHeight="1" x14ac:dyDescent="0.25">
      <c r="B3868" s="441"/>
      <c r="C3868" s="2494" t="s">
        <v>7385</v>
      </c>
      <c r="D3868" s="2698">
        <v>219825000</v>
      </c>
      <c r="E3868" s="2810">
        <f>D3868/D3691*100</f>
        <v>0.20353202904818007</v>
      </c>
      <c r="F3868" s="4384"/>
      <c r="G3868" s="2811"/>
      <c r="H3868" s="3541"/>
      <c r="I3868" s="3542"/>
      <c r="J3868" s="3216"/>
      <c r="K3868" s="3535"/>
      <c r="L3868" s="3216"/>
      <c r="M3868" s="3335"/>
      <c r="N3868" s="2768"/>
    </row>
    <row r="3869" spans="2:17" ht="14.25" hidden="1" customHeight="1" x14ac:dyDescent="0.25">
      <c r="B3869" s="441"/>
      <c r="C3869" s="2494" t="s">
        <v>4162</v>
      </c>
      <c r="D3869" s="2698">
        <v>350000000</v>
      </c>
      <c r="E3869" s="2810">
        <f>D3869/D3691*100</f>
        <v>0.32405872929313329</v>
      </c>
      <c r="F3869" s="4384"/>
      <c r="G3869" s="2811"/>
      <c r="H3869" s="3541"/>
      <c r="I3869" s="2879"/>
      <c r="J3869" s="3216"/>
      <c r="K3869" s="3535"/>
      <c r="L3869" s="896"/>
      <c r="M3869" s="3335"/>
      <c r="N3869" s="2768"/>
    </row>
    <row r="3870" spans="2:17" ht="18.75" hidden="1" customHeight="1" x14ac:dyDescent="0.25">
      <c r="B3870" s="441"/>
      <c r="C3870" s="2494" t="s">
        <v>4163</v>
      </c>
      <c r="D3870" s="2698">
        <v>67375900</v>
      </c>
      <c r="E3870" s="2810">
        <f>D3870/D3691*100</f>
        <v>6.2382138682803484E-2</v>
      </c>
      <c r="F3870" s="4384"/>
      <c r="G3870" s="2811"/>
      <c r="H3870" s="3541"/>
      <c r="I3870" s="940"/>
      <c r="J3870" s="3216"/>
      <c r="K3870" s="3535"/>
      <c r="L3870" s="896"/>
      <c r="M3870" s="3335"/>
      <c r="N3870" s="2768"/>
    </row>
    <row r="3871" spans="2:17" ht="17.25" hidden="1" customHeight="1" x14ac:dyDescent="0.25">
      <c r="B3871" s="441"/>
      <c r="C3871" s="2494" t="s">
        <v>7386</v>
      </c>
      <c r="D3871" s="2698">
        <v>65775000</v>
      </c>
      <c r="E3871" s="2810">
        <f>D3871/D3691*100</f>
        <v>6.0899894055016696E-2</v>
      </c>
      <c r="F3871" s="4384"/>
      <c r="G3871" s="2811"/>
      <c r="H3871" s="3541"/>
      <c r="I3871" s="940"/>
      <c r="J3871" s="3216"/>
      <c r="K3871" s="3535"/>
      <c r="L3871" s="898"/>
      <c r="M3871" s="3335"/>
      <c r="N3871" s="2768"/>
    </row>
    <row r="3872" spans="2:17" ht="31.5" hidden="1" customHeight="1" x14ac:dyDescent="0.25">
      <c r="B3872" s="441"/>
      <c r="C3872" s="2494" t="s">
        <v>7387</v>
      </c>
      <c r="D3872" s="2698">
        <v>173900000</v>
      </c>
      <c r="E3872" s="2810">
        <f>D3872/D3691*100</f>
        <v>0.16101089435450253</v>
      </c>
      <c r="F3872" s="4384"/>
      <c r="G3872" s="2811"/>
      <c r="H3872" s="3541"/>
      <c r="I3872" s="940"/>
      <c r="J3872" s="3216"/>
      <c r="K3872" s="3535"/>
      <c r="L3872" s="898"/>
      <c r="M3872" s="3335"/>
      <c r="N3872" s="2768"/>
    </row>
    <row r="3873" spans="1:17" ht="17.25" hidden="1" customHeight="1" x14ac:dyDescent="0.25">
      <c r="B3873" s="441"/>
      <c r="C3873" s="2494" t="s">
        <v>7388</v>
      </c>
      <c r="D3873" s="2698">
        <v>59844100</v>
      </c>
      <c r="E3873" s="2810">
        <f>D3873/D3691*100</f>
        <v>5.5408580004831995E-2</v>
      </c>
      <c r="F3873" s="4384"/>
      <c r="G3873" s="2811"/>
      <c r="H3873" s="3541"/>
      <c r="I3873" s="940"/>
      <c r="J3873" s="3216"/>
      <c r="K3873" s="3535"/>
      <c r="L3873" s="898"/>
      <c r="M3873" s="3335"/>
      <c r="N3873" s="2768"/>
    </row>
    <row r="3874" spans="1:17" ht="17.25" hidden="1" customHeight="1" x14ac:dyDescent="0.25">
      <c r="B3874" s="441"/>
      <c r="C3874" s="2494" t="s">
        <v>7389</v>
      </c>
      <c r="D3874" s="2698">
        <v>162000000</v>
      </c>
      <c r="E3874" s="2810">
        <f>D3874/D3691*100</f>
        <v>0.14999289755853598</v>
      </c>
      <c r="F3874" s="4384"/>
      <c r="G3874" s="2811"/>
      <c r="H3874" s="3541"/>
      <c r="I3874" s="940"/>
      <c r="J3874" s="3216"/>
      <c r="K3874" s="3535"/>
      <c r="L3874" s="898"/>
      <c r="M3874" s="3335"/>
      <c r="N3874" s="2768"/>
    </row>
    <row r="3875" spans="1:17" ht="12" hidden="1" customHeight="1" x14ac:dyDescent="0.25">
      <c r="B3875" s="441"/>
      <c r="C3875" s="2494"/>
      <c r="D3875" s="2698"/>
      <c r="E3875" s="2810"/>
      <c r="F3875" s="4384"/>
      <c r="G3875" s="2685"/>
      <c r="H3875" s="2685"/>
      <c r="I3875" s="2685"/>
      <c r="J3875" s="3216"/>
      <c r="K3875" s="2918"/>
      <c r="L3875" s="3216"/>
      <c r="M3875" s="2685"/>
      <c r="N3875" s="2768"/>
    </row>
    <row r="3876" spans="1:17" ht="15.75" hidden="1" customHeight="1" x14ac:dyDescent="0.25">
      <c r="B3876" s="441"/>
      <c r="C3876" s="2491" t="s">
        <v>2934</v>
      </c>
      <c r="D3876" s="2692">
        <f>SUM(D3877:D3877)</f>
        <v>137930000</v>
      </c>
      <c r="E3876" s="2813">
        <f>D3876/D3691*100</f>
        <v>0.12770691580400534</v>
      </c>
      <c r="F3876" s="3834"/>
      <c r="G3876" s="3064"/>
      <c r="H3876" s="3214"/>
      <c r="I3876" s="2759"/>
      <c r="J3876" s="3217"/>
      <c r="K3876" s="3217"/>
      <c r="L3876" s="2796"/>
      <c r="M3876" s="3042"/>
      <c r="N3876" s="2768"/>
    </row>
    <row r="3877" spans="1:17" ht="18.75" hidden="1" customHeight="1" x14ac:dyDescent="0.25">
      <c r="B3877" s="441"/>
      <c r="C3877" s="2494" t="s">
        <v>7390</v>
      </c>
      <c r="D3877" s="2698">
        <v>137930000</v>
      </c>
      <c r="E3877" s="2810">
        <f>D3877/D3691*100</f>
        <v>0.12770691580400534</v>
      </c>
      <c r="F3877" s="4384"/>
      <c r="G3877" s="2811"/>
      <c r="H3877" s="3541"/>
      <c r="I3877" s="3542"/>
      <c r="J3877" s="3216"/>
      <c r="K3877" s="2811"/>
      <c r="L3877" s="3541"/>
      <c r="M3877" s="3542"/>
      <c r="N3877" s="2768"/>
    </row>
    <row r="3878" spans="1:17" ht="12" hidden="1" customHeight="1" x14ac:dyDescent="0.25">
      <c r="B3878" s="441"/>
      <c r="C3878" s="2528"/>
      <c r="D3878" s="2706"/>
      <c r="E3878" s="2840"/>
      <c r="F3878" s="4472"/>
      <c r="G3878" s="2991"/>
      <c r="H3878" s="2840"/>
      <c r="I3878" s="2755"/>
      <c r="J3878" s="3218"/>
      <c r="K3878" s="3006"/>
      <c r="L3878" s="2769"/>
      <c r="M3878" s="3342"/>
      <c r="N3878" s="2768"/>
    </row>
    <row r="3879" spans="1:17" s="20" customFormat="1" ht="30" hidden="1" customHeight="1" x14ac:dyDescent="0.25">
      <c r="A3879" s="963"/>
      <c r="B3879" s="440"/>
      <c r="C3879" s="2497" t="s">
        <v>2939</v>
      </c>
      <c r="D3879" s="2669">
        <f>SUM(D3880+D3883+D3891+D3902+D3905+D3908)</f>
        <v>2515548000</v>
      </c>
      <c r="E3879" s="2786">
        <f>D3879/D3691*100</f>
        <v>2.3291008238739508</v>
      </c>
      <c r="F3879" s="3835"/>
      <c r="G3879" s="2719"/>
      <c r="H3879" s="2786"/>
      <c r="I3879" s="2744"/>
      <c r="J3879" s="2719"/>
      <c r="K3879" s="2719"/>
      <c r="L3879" s="2786"/>
      <c r="M3879" s="2987"/>
      <c r="N3879" s="3091"/>
      <c r="P3879" s="617"/>
    </row>
    <row r="3880" spans="1:17" ht="18.75" hidden="1" customHeight="1" x14ac:dyDescent="0.25">
      <c r="B3880" s="441"/>
      <c r="C3880" s="2525" t="s">
        <v>2940</v>
      </c>
      <c r="D3880" s="2692">
        <f>D3881</f>
        <v>110000000</v>
      </c>
      <c r="E3880" s="2813">
        <f>D3880/D3691*100</f>
        <v>0.10184702920641331</v>
      </c>
      <c r="F3880" s="3834"/>
      <c r="G3880" s="3064"/>
      <c r="H3880" s="2813"/>
      <c r="I3880" s="899"/>
      <c r="J3880" s="2679"/>
      <c r="K3880" s="2679"/>
      <c r="L3880" s="899"/>
      <c r="M3880" s="2970"/>
      <c r="N3880" s="2768"/>
      <c r="Q3880" s="35">
        <v>167120000</v>
      </c>
    </row>
    <row r="3881" spans="1:17" ht="29.25" hidden="1" customHeight="1" x14ac:dyDescent="0.25">
      <c r="B3881" s="441"/>
      <c r="C3881" s="2524" t="s">
        <v>2941</v>
      </c>
      <c r="D3881" s="2698">
        <v>110000000</v>
      </c>
      <c r="E3881" s="2879">
        <f>D3881/D3691*100</f>
        <v>0.10184702920641331</v>
      </c>
      <c r="F3881" s="4384"/>
      <c r="G3881" s="2811"/>
      <c r="H3881" s="3541"/>
      <c r="I3881" s="940"/>
      <c r="J3881" s="3534"/>
      <c r="K3881" s="3535"/>
      <c r="L3881" s="896"/>
      <c r="M3881" s="2757"/>
      <c r="N3881" s="2768"/>
    </row>
    <row r="3882" spans="1:17" ht="12.75" hidden="1" customHeight="1" x14ac:dyDescent="0.25">
      <c r="B3882" s="441"/>
      <c r="C3882" s="2527"/>
      <c r="D3882" s="2698"/>
      <c r="E3882" s="2879"/>
      <c r="F3882" s="4384"/>
      <c r="G3882" s="3216"/>
      <c r="H3882" s="2810"/>
      <c r="I3882" s="2810"/>
      <c r="J3882" s="3216"/>
      <c r="K3882" s="2918"/>
      <c r="L3882" s="896"/>
      <c r="M3882" s="2757"/>
      <c r="N3882" s="2768"/>
    </row>
    <row r="3883" spans="1:17" ht="31.5" hidden="1" customHeight="1" x14ac:dyDescent="0.25">
      <c r="B3883" s="441"/>
      <c r="C3883" s="2521" t="s">
        <v>2942</v>
      </c>
      <c r="D3883" s="2712">
        <f>SUM(D3884:D3889)</f>
        <v>546200000</v>
      </c>
      <c r="E3883" s="2801">
        <f>D3883/D3691*100</f>
        <v>0.50571679411402681</v>
      </c>
      <c r="F3883" s="3912"/>
      <c r="G3883" s="3064"/>
      <c r="H3883" s="3214"/>
      <c r="I3883" s="2813"/>
      <c r="J3883" s="3553"/>
      <c r="K3883" s="3553"/>
      <c r="L3883" s="898"/>
      <c r="M3883" s="3005"/>
      <c r="N3883" s="2768"/>
    </row>
    <row r="3884" spans="1:17" ht="30" hidden="1" customHeight="1" x14ac:dyDescent="0.25">
      <c r="B3884" s="441"/>
      <c r="C3884" s="2524" t="s">
        <v>2943</v>
      </c>
      <c r="D3884" s="2698">
        <v>90000000</v>
      </c>
      <c r="E3884" s="2810">
        <f>D3884/D3691*100</f>
        <v>8.3329387532519977E-2</v>
      </c>
      <c r="F3884" s="4384"/>
      <c r="G3884" s="3216"/>
      <c r="H3884" s="3216"/>
      <c r="I3884" s="3216"/>
      <c r="J3884" s="3534"/>
      <c r="K3884" s="3216"/>
      <c r="L3884" s="3554"/>
      <c r="M3884" s="3145"/>
      <c r="N3884" s="2768"/>
    </row>
    <row r="3885" spans="1:17" ht="32.25" hidden="1" customHeight="1" x14ac:dyDescent="0.25">
      <c r="B3885" s="441"/>
      <c r="C3885" s="2524" t="s">
        <v>2944</v>
      </c>
      <c r="D3885" s="2698">
        <v>90000000</v>
      </c>
      <c r="E3885" s="2810">
        <f>D3885/D3691*100</f>
        <v>8.3329387532519977E-2</v>
      </c>
      <c r="F3885" s="4384"/>
      <c r="G3885" s="3216"/>
      <c r="H3885" s="3216"/>
      <c r="I3885" s="3216"/>
      <c r="J3885" s="3534"/>
      <c r="K3885" s="3535"/>
      <c r="L3885" s="2685"/>
      <c r="M3885" s="2685"/>
      <c r="N3885" s="2768"/>
    </row>
    <row r="3886" spans="1:17" ht="16.5" hidden="1" customHeight="1" x14ac:dyDescent="0.25">
      <c r="B3886" s="441"/>
      <c r="C3886" s="2524" t="s">
        <v>7391</v>
      </c>
      <c r="D3886" s="2698">
        <v>90000000</v>
      </c>
      <c r="E3886" s="2810">
        <f>D3886/D3691*100</f>
        <v>8.3329387532519977E-2</v>
      </c>
      <c r="F3886" s="4384"/>
      <c r="G3886" s="2811"/>
      <c r="H3886" s="3541"/>
      <c r="I3886" s="2810"/>
      <c r="J3886" s="3534"/>
      <c r="K3886" s="3535"/>
      <c r="L3886" s="898"/>
      <c r="M3886" s="3335"/>
      <c r="N3886" s="2768"/>
    </row>
    <row r="3887" spans="1:17" ht="30" hidden="1" customHeight="1" x14ac:dyDescent="0.25">
      <c r="B3887" s="441"/>
      <c r="C3887" s="2524" t="s">
        <v>7392</v>
      </c>
      <c r="D3887" s="2698">
        <v>96200000</v>
      </c>
      <c r="E3887" s="2810">
        <f>D3887/D3691*100</f>
        <v>8.9069856451426926E-2</v>
      </c>
      <c r="F3887" s="4384"/>
      <c r="G3887" s="3216"/>
      <c r="H3887" s="3216"/>
      <c r="I3887" s="3216"/>
      <c r="J3887" s="3216"/>
      <c r="K3887" s="3216"/>
      <c r="L3887" s="899"/>
      <c r="M3887" s="2970"/>
      <c r="N3887" s="2768"/>
    </row>
    <row r="3888" spans="1:17" ht="20.25" hidden="1" customHeight="1" x14ac:dyDescent="0.25">
      <c r="B3888" s="441"/>
      <c r="C3888" s="2524" t="s">
        <v>7393</v>
      </c>
      <c r="D3888" s="2698">
        <v>90000000</v>
      </c>
      <c r="E3888" s="2810">
        <f>D3888/D3691*100</f>
        <v>8.3329387532519977E-2</v>
      </c>
      <c r="F3888" s="4384"/>
      <c r="G3888" s="3216"/>
      <c r="H3888" s="3556"/>
      <c r="I3888" s="3556"/>
      <c r="J3888" s="3216"/>
      <c r="K3888" s="3216"/>
      <c r="L3888" s="899"/>
      <c r="M3888" s="2970"/>
      <c r="N3888" s="2768"/>
    </row>
    <row r="3889" spans="2:14" ht="18.75" hidden="1" customHeight="1" x14ac:dyDescent="0.25">
      <c r="B3889" s="441"/>
      <c r="C3889" s="2524" t="s">
        <v>7394</v>
      </c>
      <c r="D3889" s="2698">
        <v>90000000</v>
      </c>
      <c r="E3889" s="2810">
        <f>D3889/D3691*100</f>
        <v>8.3329387532519977E-2</v>
      </c>
      <c r="F3889" s="4384"/>
      <c r="G3889" s="3216"/>
      <c r="H3889" s="3556"/>
      <c r="I3889" s="3556"/>
      <c r="J3889" s="3216"/>
      <c r="K3889" s="3216"/>
      <c r="L3889" s="899"/>
      <c r="M3889" s="2970"/>
      <c r="N3889" s="2768"/>
    </row>
    <row r="3890" spans="2:14" ht="13.5" hidden="1" customHeight="1" x14ac:dyDescent="0.25">
      <c r="B3890" s="441"/>
      <c r="C3890" s="2527"/>
      <c r="D3890" s="2698"/>
      <c r="E3890" s="2810"/>
      <c r="F3890" s="4384"/>
      <c r="G3890" s="2704"/>
      <c r="H3890" s="2879"/>
      <c r="I3890" s="2868"/>
      <c r="J3890" s="3216"/>
      <c r="K3890" s="2918"/>
      <c r="L3890" s="896"/>
      <c r="M3890" s="2757"/>
      <c r="N3890" s="2768"/>
    </row>
    <row r="3891" spans="2:14" ht="15" hidden="1" customHeight="1" x14ac:dyDescent="0.25">
      <c r="B3891" s="441"/>
      <c r="C3891" s="2525" t="s">
        <v>2947</v>
      </c>
      <c r="D3891" s="2692">
        <f>SUM(D3892:D3900)</f>
        <v>1329348000</v>
      </c>
      <c r="E3891" s="2813">
        <f>D3891/D3691*100</f>
        <v>1.2308194961953376</v>
      </c>
      <c r="F3891" s="3834"/>
      <c r="G3891" s="3064"/>
      <c r="H3891" s="3214"/>
      <c r="I3891" s="3214"/>
      <c r="J3891" s="3217"/>
      <c r="K3891" s="3217"/>
      <c r="L3891" s="899"/>
      <c r="M3891" s="3005"/>
      <c r="N3891" s="2768"/>
    </row>
    <row r="3892" spans="2:14" ht="15" hidden="1" customHeight="1" x14ac:dyDescent="0.25">
      <c r="B3892" s="441"/>
      <c r="C3892" s="2524" t="s">
        <v>2948</v>
      </c>
      <c r="D3892" s="2698">
        <v>285000000</v>
      </c>
      <c r="E3892" s="2810">
        <f>D3892/D3691*100</f>
        <v>0.26387639385297995</v>
      </c>
      <c r="F3892" s="4384"/>
      <c r="G3892" s="2811"/>
      <c r="H3892" s="3541"/>
      <c r="I3892" s="2879"/>
      <c r="J3892" s="3534"/>
      <c r="K3892" s="3535"/>
      <c r="L3892" s="896"/>
      <c r="M3892" s="3335"/>
      <c r="N3892" s="2768"/>
    </row>
    <row r="3893" spans="2:14" ht="18.75" hidden="1" customHeight="1" x14ac:dyDescent="0.25">
      <c r="B3893" s="441"/>
      <c r="C3893" s="2524" t="s">
        <v>7395</v>
      </c>
      <c r="D3893" s="2698">
        <v>95098000</v>
      </c>
      <c r="E3893" s="2810">
        <f>D3893/D3691*100</f>
        <v>8.8049534395195389E-2</v>
      </c>
      <c r="F3893" s="4384"/>
      <c r="G3893" s="3216"/>
      <c r="H3893" s="3216"/>
      <c r="I3893" s="3216"/>
      <c r="J3893" s="3534"/>
      <c r="K3893" s="3535"/>
      <c r="L3893" s="896"/>
      <c r="M3893" s="3335"/>
      <c r="N3893" s="2768"/>
    </row>
    <row r="3894" spans="2:14" ht="16.5" hidden="1" customHeight="1" x14ac:dyDescent="0.25">
      <c r="B3894" s="441"/>
      <c r="C3894" s="2524" t="s">
        <v>7396</v>
      </c>
      <c r="D3894" s="2698">
        <v>149250000</v>
      </c>
      <c r="E3894" s="2810">
        <f>D3894/D3691*100</f>
        <v>0.13818790099142897</v>
      </c>
      <c r="F3894" s="4384"/>
      <c r="G3894" s="2704"/>
      <c r="H3894" s="3500"/>
      <c r="I3894" s="2704"/>
      <c r="J3894" s="3216"/>
      <c r="K3894" s="911"/>
      <c r="L3894" s="911"/>
      <c r="M3894" s="3347"/>
      <c r="N3894" s="2768"/>
    </row>
    <row r="3895" spans="2:14" ht="18" hidden="1" customHeight="1" x14ac:dyDescent="0.25">
      <c r="B3895" s="441"/>
      <c r="C3895" s="2524" t="s">
        <v>7397</v>
      </c>
      <c r="D3895" s="2698">
        <v>156429800</v>
      </c>
      <c r="E3895" s="2810">
        <f>D3895/D3691*100</f>
        <v>0.14483554917593994</v>
      </c>
      <c r="F3895" s="4384"/>
      <c r="G3895" s="2704"/>
      <c r="H3895" s="3500"/>
      <c r="I3895" s="2704"/>
      <c r="J3895" s="3216"/>
      <c r="K3895" s="911"/>
      <c r="L3895" s="911"/>
      <c r="M3895" s="3347"/>
      <c r="N3895" s="2768"/>
    </row>
    <row r="3896" spans="2:14" ht="15.75" hidden="1" customHeight="1" x14ac:dyDescent="0.25">
      <c r="B3896" s="441"/>
      <c r="C3896" s="2524" t="s">
        <v>7398</v>
      </c>
      <c r="D3896" s="2698">
        <v>338912400</v>
      </c>
      <c r="E3896" s="2810">
        <f>D3896/D3691*100</f>
        <v>0.31379291910196033</v>
      </c>
      <c r="F3896" s="4384"/>
      <c r="G3896" s="2704"/>
      <c r="H3896" s="3500"/>
      <c r="I3896" s="2704"/>
      <c r="J3896" s="3216"/>
      <c r="K3896" s="911"/>
      <c r="L3896" s="911"/>
      <c r="M3896" s="3347"/>
      <c r="N3896" s="2768"/>
    </row>
    <row r="3897" spans="2:14" ht="16.5" hidden="1" customHeight="1" x14ac:dyDescent="0.25">
      <c r="B3897" s="441"/>
      <c r="C3897" s="2524" t="s">
        <v>7399</v>
      </c>
      <c r="D3897" s="2698">
        <v>181140000</v>
      </c>
      <c r="E3897" s="2810">
        <f>D3897/D3691*100</f>
        <v>0.16771428064045188</v>
      </c>
      <c r="F3897" s="4384"/>
      <c r="G3897" s="2704"/>
      <c r="H3897" s="3500"/>
      <c r="I3897" s="2704"/>
      <c r="J3897" s="3216"/>
      <c r="K3897" s="911"/>
      <c r="L3897" s="911"/>
      <c r="M3897" s="3347"/>
      <c r="N3897" s="2768"/>
    </row>
    <row r="3898" spans="2:14" ht="16.5" hidden="1" customHeight="1" x14ac:dyDescent="0.25">
      <c r="B3898" s="441"/>
      <c r="C3898" s="2524" t="s">
        <v>7400</v>
      </c>
      <c r="D3898" s="2698">
        <v>23750000</v>
      </c>
      <c r="E3898" s="2810">
        <f>D3898/D3691*100</f>
        <v>2.1989699487748329E-2</v>
      </c>
      <c r="F3898" s="4384"/>
      <c r="G3898" s="2704"/>
      <c r="H3898" s="3500"/>
      <c r="I3898" s="2704"/>
      <c r="J3898" s="3216"/>
      <c r="K3898" s="911"/>
      <c r="L3898" s="911"/>
      <c r="M3898" s="3347"/>
      <c r="N3898" s="2768"/>
    </row>
    <row r="3899" spans="2:14" ht="15.75" hidden="1" customHeight="1" x14ac:dyDescent="0.25">
      <c r="B3899" s="441"/>
      <c r="C3899" s="2524" t="s">
        <v>7401</v>
      </c>
      <c r="D3899" s="2698">
        <v>43494800</v>
      </c>
      <c r="E3899" s="2810">
        <f>D3899/D3691*100</f>
        <v>4.0271056053882787E-2</v>
      </c>
      <c r="F3899" s="4384"/>
      <c r="G3899" s="2704"/>
      <c r="H3899" s="3500"/>
      <c r="I3899" s="2704"/>
      <c r="J3899" s="3216"/>
      <c r="K3899" s="911"/>
      <c r="L3899" s="911"/>
      <c r="M3899" s="3347"/>
      <c r="N3899" s="2768"/>
    </row>
    <row r="3900" spans="2:14" ht="18" hidden="1" customHeight="1" x14ac:dyDescent="0.25">
      <c r="B3900" s="441"/>
      <c r="C3900" s="2524" t="s">
        <v>7402</v>
      </c>
      <c r="D3900" s="2698">
        <v>56273000</v>
      </c>
      <c r="E3900" s="2810">
        <f>D3900/D3691*100</f>
        <v>5.2102162495749969E-2</v>
      </c>
      <c r="F3900" s="4384"/>
      <c r="G3900" s="2704"/>
      <c r="H3900" s="3500"/>
      <c r="I3900" s="2704"/>
      <c r="J3900" s="3216"/>
      <c r="K3900" s="911"/>
      <c r="L3900" s="911"/>
      <c r="M3900" s="3347"/>
      <c r="N3900" s="2768"/>
    </row>
    <row r="3901" spans="2:14" ht="12" hidden="1" customHeight="1" x14ac:dyDescent="0.25">
      <c r="B3901" s="441"/>
      <c r="C3901" s="2527"/>
      <c r="D3901" s="2698"/>
      <c r="E3901" s="2810"/>
      <c r="F3901" s="4384"/>
      <c r="G3901" s="2704"/>
      <c r="H3901" s="3500"/>
      <c r="I3901" s="2704"/>
      <c r="J3901" s="3216"/>
      <c r="K3901" s="911"/>
      <c r="L3901" s="911"/>
      <c r="M3901" s="3347"/>
      <c r="N3901" s="2768"/>
    </row>
    <row r="3902" spans="2:14" ht="20.25" hidden="1" customHeight="1" x14ac:dyDescent="0.25">
      <c r="B3902" s="441"/>
      <c r="C3902" s="2525" t="s">
        <v>7403</v>
      </c>
      <c r="D3902" s="2692">
        <f>D3903</f>
        <v>370000000</v>
      </c>
      <c r="E3902" s="2813">
        <f>D3902/D3691*100</f>
        <v>0.34257637096702664</v>
      </c>
      <c r="F3902" s="3834"/>
      <c r="G3902" s="3217"/>
      <c r="H3902" s="3217"/>
      <c r="I3902" s="3217"/>
      <c r="J3902" s="3217"/>
      <c r="K3902" s="3217"/>
      <c r="L3902" s="898"/>
      <c r="M3902" s="3335"/>
      <c r="N3902" s="2768"/>
    </row>
    <row r="3903" spans="2:14" ht="18.75" hidden="1" customHeight="1" x14ac:dyDescent="0.25">
      <c r="B3903" s="441"/>
      <c r="C3903" s="2524" t="s">
        <v>7404</v>
      </c>
      <c r="D3903" s="2698">
        <v>370000000</v>
      </c>
      <c r="E3903" s="2810">
        <f>D3903/D3691*100</f>
        <v>0.34257637096702664</v>
      </c>
      <c r="F3903" s="4384"/>
      <c r="G3903" s="3216"/>
      <c r="H3903" s="3216"/>
      <c r="I3903" s="3216"/>
      <c r="J3903" s="3216"/>
      <c r="K3903" s="3216"/>
      <c r="L3903" s="898"/>
      <c r="M3903" s="3335"/>
      <c r="N3903" s="2768"/>
    </row>
    <row r="3904" spans="2:14" ht="10.5" hidden="1" customHeight="1" x14ac:dyDescent="0.25">
      <c r="B3904" s="441"/>
      <c r="C3904" s="2533"/>
      <c r="D3904" s="2724"/>
      <c r="E3904" s="2840"/>
      <c r="F3904" s="4380"/>
      <c r="G3904" s="3542"/>
      <c r="H3904" s="3542"/>
      <c r="I3904" s="3542"/>
      <c r="J3904" s="3542"/>
      <c r="K3904" s="3543"/>
      <c r="L3904" s="2755"/>
      <c r="M3904" s="3342"/>
      <c r="N3904" s="2768"/>
    </row>
    <row r="3905" spans="1:16" s="32" customFormat="1" ht="18.75" hidden="1" customHeight="1" x14ac:dyDescent="0.25">
      <c r="A3905" s="1"/>
      <c r="B3905" s="441"/>
      <c r="C3905" s="2525" t="s">
        <v>7405</v>
      </c>
      <c r="D3905" s="2692">
        <f>D3906</f>
        <v>80000000</v>
      </c>
      <c r="E3905" s="2813">
        <f>D3905/D3691*100</f>
        <v>7.4070566695573326E-2</v>
      </c>
      <c r="F3905" s="3834"/>
      <c r="G3905" s="3217"/>
      <c r="H3905" s="3217"/>
      <c r="I3905" s="3217"/>
      <c r="J3905" s="3217"/>
      <c r="K3905" s="3217"/>
      <c r="L3905" s="899"/>
      <c r="M3905" s="2970"/>
      <c r="N3905" s="2837"/>
      <c r="P3905" s="630"/>
    </row>
    <row r="3906" spans="1:16" ht="17.25" hidden="1" customHeight="1" x14ac:dyDescent="0.25">
      <c r="B3906" s="441"/>
      <c r="C3906" s="2524" t="s">
        <v>7406</v>
      </c>
      <c r="D3906" s="2698">
        <v>80000000</v>
      </c>
      <c r="E3906" s="2810">
        <f>D3906/D3691*100</f>
        <v>7.4070566695573326E-2</v>
      </c>
      <c r="F3906" s="4384"/>
      <c r="G3906" s="3216"/>
      <c r="H3906" s="3216"/>
      <c r="I3906" s="3216"/>
      <c r="J3906" s="3216"/>
      <c r="K3906" s="3216"/>
      <c r="L3906" s="898"/>
      <c r="M3906" s="3335"/>
      <c r="N3906" s="2768"/>
    </row>
    <row r="3907" spans="1:16" ht="10.5" hidden="1" customHeight="1" x14ac:dyDescent="0.25">
      <c r="B3907" s="441"/>
      <c r="C3907" s="2524"/>
      <c r="D3907" s="2698"/>
      <c r="E3907" s="2810"/>
      <c r="F3907" s="4384"/>
      <c r="G3907" s="3216"/>
      <c r="H3907" s="3216"/>
      <c r="I3907" s="3216"/>
      <c r="J3907" s="3216"/>
      <c r="K3907" s="3216"/>
      <c r="L3907" s="898"/>
      <c r="M3907" s="3335"/>
      <c r="N3907" s="2768"/>
    </row>
    <row r="3908" spans="1:16" s="32" customFormat="1" ht="18.75" hidden="1" customHeight="1" x14ac:dyDescent="0.25">
      <c r="A3908" s="1"/>
      <c r="B3908" s="441"/>
      <c r="C3908" s="2525" t="s">
        <v>7407</v>
      </c>
      <c r="D3908" s="2692">
        <f>D3909</f>
        <v>80000000</v>
      </c>
      <c r="E3908" s="2813">
        <f>D3908/D3691*100</f>
        <v>7.4070566695573326E-2</v>
      </c>
      <c r="F3908" s="3834"/>
      <c r="G3908" s="3217"/>
      <c r="H3908" s="3217"/>
      <c r="I3908" s="3217"/>
      <c r="J3908" s="3217"/>
      <c r="K3908" s="3217"/>
      <c r="L3908" s="899"/>
      <c r="M3908" s="2970"/>
      <c r="N3908" s="2837"/>
      <c r="P3908" s="630"/>
    </row>
    <row r="3909" spans="1:16" ht="18.75" hidden="1" customHeight="1" x14ac:dyDescent="0.25">
      <c r="B3909" s="441"/>
      <c r="C3909" s="2524" t="s">
        <v>7408</v>
      </c>
      <c r="D3909" s="2698">
        <v>80000000</v>
      </c>
      <c r="E3909" s="2810">
        <f>D3909/D3691*100</f>
        <v>7.4070566695573326E-2</v>
      </c>
      <c r="F3909" s="4384"/>
      <c r="G3909" s="3216"/>
      <c r="H3909" s="3216"/>
      <c r="I3909" s="3216"/>
      <c r="J3909" s="3216"/>
      <c r="K3909" s="3216"/>
      <c r="L3909" s="898"/>
      <c r="M3909" s="3335"/>
      <c r="N3909" s="2768"/>
    </row>
    <row r="3910" spans="1:16" ht="12" hidden="1" customHeight="1" x14ac:dyDescent="0.25">
      <c r="B3910" s="441"/>
      <c r="C3910" s="2559"/>
      <c r="D3910" s="2755"/>
      <c r="E3910" s="2840"/>
      <c r="F3910" s="3860"/>
      <c r="G3910" s="2991"/>
      <c r="H3910" s="2840"/>
      <c r="I3910" s="2755"/>
      <c r="J3910" s="2991"/>
      <c r="K3910" s="2755"/>
      <c r="L3910" s="2755"/>
      <c r="M3910" s="3342"/>
      <c r="N3910" s="2768"/>
    </row>
    <row r="3911" spans="1:16" ht="19.5" hidden="1" customHeight="1" x14ac:dyDescent="0.25">
      <c r="B3911" s="440"/>
      <c r="C3911" s="2497" t="s">
        <v>7409</v>
      </c>
      <c r="D3911" s="2669">
        <f>SUM(D3912+D3917+D3920+D3927)</f>
        <v>13037731743.92</v>
      </c>
      <c r="E3911" s="2786">
        <f>D3911/D3691*100</f>
        <v>12.071402233712748</v>
      </c>
      <c r="F3911" s="3835"/>
      <c r="G3911" s="2719"/>
      <c r="H3911" s="2786"/>
      <c r="I3911" s="2744"/>
      <c r="J3911" s="2719"/>
      <c r="K3911" s="2719"/>
      <c r="L3911" s="2744"/>
      <c r="M3911" s="2987"/>
      <c r="N3911" s="2768"/>
    </row>
    <row r="3912" spans="1:16" ht="16.5" hidden="1" customHeight="1" x14ac:dyDescent="0.25">
      <c r="B3912" s="441"/>
      <c r="C3912" s="2525" t="s">
        <v>7410</v>
      </c>
      <c r="D3912" s="2692">
        <f>SUM(D3913:D3915)</f>
        <v>354000000</v>
      </c>
      <c r="E3912" s="2813">
        <f>D3912/D3691*100</f>
        <v>0.32776225762791195</v>
      </c>
      <c r="F3912" s="3834"/>
      <c r="G3912" s="3064"/>
      <c r="H3912" s="2813"/>
      <c r="I3912" s="899"/>
      <c r="J3912" s="2679"/>
      <c r="K3912" s="2679"/>
      <c r="L3912" s="2759"/>
      <c r="M3912" s="3005"/>
      <c r="N3912" s="2768"/>
    </row>
    <row r="3913" spans="1:16" ht="15.75" hidden="1" customHeight="1" x14ac:dyDescent="0.25">
      <c r="B3913" s="441"/>
      <c r="C3913" s="2524" t="s">
        <v>7411</v>
      </c>
      <c r="D3913" s="2769">
        <v>55000000</v>
      </c>
      <c r="E3913" s="2818">
        <f>D3913/D3691*100</f>
        <v>5.0923514603206654E-2</v>
      </c>
      <c r="F3913" s="4426"/>
      <c r="G3913" s="3216"/>
      <c r="H3913" s="3216"/>
      <c r="I3913" s="3216"/>
      <c r="J3913" s="3534"/>
      <c r="K3913" s="3535"/>
      <c r="L3913" s="896"/>
      <c r="M3913" s="3335"/>
      <c r="N3913" s="2768"/>
    </row>
    <row r="3914" spans="1:16" ht="16.5" hidden="1" customHeight="1" x14ac:dyDescent="0.25">
      <c r="B3914" s="441"/>
      <c r="C3914" s="2524" t="s">
        <v>7412</v>
      </c>
      <c r="D3914" s="896">
        <v>149500000</v>
      </c>
      <c r="E3914" s="2810">
        <f>D3914/D3691*100</f>
        <v>0.13841937151235265</v>
      </c>
      <c r="F3914" s="4414"/>
      <c r="G3914" s="2811"/>
      <c r="H3914" s="3541"/>
      <c r="I3914" s="896"/>
      <c r="J3914" s="3534"/>
      <c r="K3914" s="3535"/>
      <c r="L3914" s="898"/>
      <c r="M3914" s="3335"/>
      <c r="N3914" s="2768"/>
    </row>
    <row r="3915" spans="1:16" ht="15.75" hidden="1" customHeight="1" x14ac:dyDescent="0.25">
      <c r="B3915" s="441"/>
      <c r="C3915" s="2524" t="s">
        <v>7413</v>
      </c>
      <c r="D3915" s="896">
        <v>149500000</v>
      </c>
      <c r="E3915" s="2810">
        <f>D3915/D3691*100</f>
        <v>0.13841937151235265</v>
      </c>
      <c r="F3915" s="4414"/>
      <c r="G3915" s="2811"/>
      <c r="H3915" s="3541"/>
      <c r="I3915" s="3216"/>
      <c r="J3915" s="3534"/>
      <c r="K3915" s="3535"/>
      <c r="L3915" s="898"/>
      <c r="M3915" s="3335"/>
      <c r="N3915" s="2768"/>
    </row>
    <row r="3916" spans="1:16" ht="12.75" hidden="1" customHeight="1" x14ac:dyDescent="0.25">
      <c r="B3916" s="441"/>
      <c r="C3916" s="2533"/>
      <c r="D3916" s="2769"/>
      <c r="E3916" s="2810"/>
      <c r="F3916" s="4426"/>
      <c r="G3916" s="2849"/>
      <c r="H3916" s="3531"/>
      <c r="I3916" s="3542"/>
      <c r="J3916" s="3538"/>
      <c r="K3916" s="3557"/>
      <c r="L3916" s="911"/>
      <c r="M3916" s="3347"/>
      <c r="N3916" s="2768"/>
    </row>
    <row r="3917" spans="1:16" s="32" customFormat="1" ht="15.75" hidden="1" customHeight="1" x14ac:dyDescent="0.25">
      <c r="A3917" s="1"/>
      <c r="B3917" s="441"/>
      <c r="C3917" s="2534" t="s">
        <v>7414</v>
      </c>
      <c r="D3917" s="899">
        <f>D3918</f>
        <v>49330000</v>
      </c>
      <c r="E3917" s="2813">
        <f>D3917/D3691*100</f>
        <v>4.5673763188657901E-2</v>
      </c>
      <c r="F3917" s="3862"/>
      <c r="G3917" s="3064"/>
      <c r="H3917" s="3540"/>
      <c r="I3917" s="3217"/>
      <c r="J3917" s="4382"/>
      <c r="K3917" s="4381"/>
      <c r="L3917" s="899"/>
      <c r="M3917" s="2970"/>
      <c r="N3917" s="2837"/>
      <c r="P3917" s="630"/>
    </row>
    <row r="3918" spans="1:16" ht="15.75" hidden="1" customHeight="1" x14ac:dyDescent="0.25">
      <c r="B3918" s="441"/>
      <c r="C3918" s="2533" t="s">
        <v>7415</v>
      </c>
      <c r="D3918" s="896">
        <v>49330000</v>
      </c>
      <c r="E3918" s="2810">
        <f>D3918/D3691*100</f>
        <v>4.5673763188657901E-2</v>
      </c>
      <c r="F3918" s="4414"/>
      <c r="G3918" s="2811"/>
      <c r="H3918" s="3541"/>
      <c r="I3918" s="3216"/>
      <c r="J3918" s="3534"/>
      <c r="K3918" s="3535"/>
      <c r="L3918" s="898"/>
      <c r="M3918" s="3335"/>
      <c r="N3918" s="2768"/>
    </row>
    <row r="3919" spans="1:16" ht="15.75" hidden="1" customHeight="1" x14ac:dyDescent="0.25">
      <c r="B3919" s="441"/>
      <c r="C3919" s="2533"/>
      <c r="D3919" s="896"/>
      <c r="E3919" s="2810"/>
      <c r="F3919" s="4414"/>
      <c r="G3919" s="2811"/>
      <c r="H3919" s="3541"/>
      <c r="I3919" s="3216"/>
      <c r="J3919" s="3534"/>
      <c r="K3919" s="3535"/>
      <c r="L3919" s="898"/>
      <c r="M3919" s="3335"/>
      <c r="N3919" s="2768"/>
    </row>
    <row r="3920" spans="1:16" s="32" customFormat="1" ht="33.75" hidden="1" customHeight="1" x14ac:dyDescent="0.25">
      <c r="A3920" s="1"/>
      <c r="B3920" s="441"/>
      <c r="C3920" s="2534" t="s">
        <v>7416</v>
      </c>
      <c r="D3920" s="899">
        <f>SUM(D3921:D3925)</f>
        <v>380980000</v>
      </c>
      <c r="E3920" s="2813">
        <f>D3920/D3691*100</f>
        <v>0.35274255624599404</v>
      </c>
      <c r="F3920" s="3862"/>
      <c r="G3920" s="3064"/>
      <c r="H3920" s="3540"/>
      <c r="I3920" s="3217"/>
      <c r="J3920" s="4382"/>
      <c r="K3920" s="4381"/>
      <c r="L3920" s="899"/>
      <c r="M3920" s="2970"/>
      <c r="N3920" s="2837"/>
      <c r="P3920" s="630"/>
    </row>
    <row r="3921" spans="1:16" ht="15.75" hidden="1" customHeight="1" x14ac:dyDescent="0.25">
      <c r="B3921" s="441"/>
      <c r="C3921" s="2533" t="s">
        <v>7417</v>
      </c>
      <c r="D3921" s="896">
        <v>54050000</v>
      </c>
      <c r="E3921" s="2810">
        <f>D3921/D3691*100</f>
        <v>5.0043926623696722E-2</v>
      </c>
      <c r="F3921" s="4414"/>
      <c r="G3921" s="2811"/>
      <c r="H3921" s="3541"/>
      <c r="I3921" s="3216"/>
      <c r="J3921" s="3534"/>
      <c r="K3921" s="3535"/>
      <c r="L3921" s="898"/>
      <c r="M3921" s="3335"/>
      <c r="N3921" s="2768"/>
    </row>
    <row r="3922" spans="1:16" ht="15.75" hidden="1" customHeight="1" x14ac:dyDescent="0.25">
      <c r="B3922" s="441"/>
      <c r="C3922" s="2533" t="s">
        <v>7418</v>
      </c>
      <c r="D3922" s="896">
        <v>50950000</v>
      </c>
      <c r="E3922" s="2810">
        <f>D3922/D3691*100</f>
        <v>4.7173692164243261E-2</v>
      </c>
      <c r="F3922" s="4414"/>
      <c r="G3922" s="2811"/>
      <c r="H3922" s="3541"/>
      <c r="I3922" s="3216"/>
      <c r="J3922" s="3534"/>
      <c r="K3922" s="3535"/>
      <c r="L3922" s="898"/>
      <c r="M3922" s="3335"/>
      <c r="N3922" s="2768"/>
    </row>
    <row r="3923" spans="1:16" ht="15.75" hidden="1" customHeight="1" x14ac:dyDescent="0.25">
      <c r="B3923" s="441"/>
      <c r="C3923" s="2533" t="s">
        <v>7419</v>
      </c>
      <c r="D3923" s="896">
        <v>137990000</v>
      </c>
      <c r="E3923" s="2810">
        <f>D3923/D3691*100</f>
        <v>0.12776246872902702</v>
      </c>
      <c r="F3923" s="4414"/>
      <c r="G3923" s="2811"/>
      <c r="H3923" s="3541"/>
      <c r="I3923" s="3216"/>
      <c r="J3923" s="3534"/>
      <c r="K3923" s="3535"/>
      <c r="L3923" s="898"/>
      <c r="M3923" s="3335"/>
      <c r="N3923" s="2768"/>
    </row>
    <row r="3924" spans="1:16" ht="15.75" hidden="1" customHeight="1" x14ac:dyDescent="0.25">
      <c r="B3924" s="441"/>
      <c r="C3924" s="2533" t="s">
        <v>7420</v>
      </c>
      <c r="D3924" s="896">
        <v>62870000</v>
      </c>
      <c r="E3924" s="2810">
        <f>D3924/D3691*100</f>
        <v>5.8210206601883682E-2</v>
      </c>
      <c r="F3924" s="4414"/>
      <c r="G3924" s="2811"/>
      <c r="H3924" s="3541"/>
      <c r="I3924" s="3216"/>
      <c r="J3924" s="3534"/>
      <c r="K3924" s="3535"/>
      <c r="L3924" s="898"/>
      <c r="M3924" s="3335"/>
      <c r="N3924" s="2768"/>
    </row>
    <row r="3925" spans="1:16" ht="15.75" hidden="1" customHeight="1" x14ac:dyDescent="0.25">
      <c r="B3925" s="441"/>
      <c r="C3925" s="2533" t="s">
        <v>7421</v>
      </c>
      <c r="D3925" s="896">
        <v>75120000</v>
      </c>
      <c r="E3925" s="2810">
        <f>D3925/D3691*100</f>
        <v>6.9552262127143341E-2</v>
      </c>
      <c r="F3925" s="4414"/>
      <c r="G3925" s="2811"/>
      <c r="H3925" s="3541"/>
      <c r="I3925" s="3216"/>
      <c r="J3925" s="3534"/>
      <c r="K3925" s="3535"/>
      <c r="L3925" s="898"/>
      <c r="M3925" s="3335"/>
      <c r="N3925" s="2768"/>
    </row>
    <row r="3926" spans="1:16" ht="15.75" hidden="1" customHeight="1" x14ac:dyDescent="0.25">
      <c r="B3926" s="441"/>
      <c r="C3926" s="2533"/>
      <c r="D3926" s="896"/>
      <c r="E3926" s="2810"/>
      <c r="F3926" s="4414"/>
      <c r="G3926" s="2811"/>
      <c r="H3926" s="3541"/>
      <c r="I3926" s="3216"/>
      <c r="J3926" s="3534"/>
      <c r="K3926" s="3535"/>
      <c r="L3926" s="898"/>
      <c r="M3926" s="3335"/>
      <c r="N3926" s="2768"/>
    </row>
    <row r="3927" spans="1:16" s="32" customFormat="1" ht="33" hidden="1" customHeight="1" x14ac:dyDescent="0.25">
      <c r="A3927" s="1"/>
      <c r="B3927" s="441"/>
      <c r="C3927" s="2534" t="s">
        <v>7422</v>
      </c>
      <c r="D3927" s="899">
        <f>D3928</f>
        <v>12253421743.92</v>
      </c>
      <c r="E3927" s="2813">
        <f>D3927/D3691*100</f>
        <v>11.345223656650184</v>
      </c>
      <c r="F3927" s="3862"/>
      <c r="G3927" s="3064"/>
      <c r="H3927" s="3540"/>
      <c r="I3927" s="3217"/>
      <c r="J3927" s="4382"/>
      <c r="K3927" s="4381"/>
      <c r="L3927" s="899"/>
      <c r="M3927" s="2970"/>
      <c r="N3927" s="2837"/>
      <c r="P3927" s="630"/>
    </row>
    <row r="3928" spans="1:16" ht="29.25" hidden="1" customHeight="1" x14ac:dyDescent="0.25">
      <c r="B3928" s="441"/>
      <c r="C3928" s="2533" t="s">
        <v>7423</v>
      </c>
      <c r="D3928" s="896">
        <v>12253421743.92</v>
      </c>
      <c r="E3928" s="2810">
        <f>D3928/D3691*100</f>
        <v>11.345223656650184</v>
      </c>
      <c r="F3928" s="4414"/>
      <c r="G3928" s="2811"/>
      <c r="H3928" s="3541"/>
      <c r="I3928" s="3216"/>
      <c r="J3928" s="3534"/>
      <c r="K3928" s="3535"/>
      <c r="L3928" s="898"/>
      <c r="M3928" s="3335"/>
      <c r="N3928" s="2768"/>
    </row>
    <row r="3929" spans="1:16" ht="12" hidden="1" customHeight="1" x14ac:dyDescent="0.25">
      <c r="B3929" s="441"/>
      <c r="C3929" s="2535"/>
      <c r="D3929" s="2755"/>
      <c r="E3929" s="2840"/>
      <c r="F3929" s="3860"/>
      <c r="G3929" s="2991"/>
      <c r="H3929" s="2840"/>
      <c r="I3929" s="2755"/>
      <c r="J3929" s="2991"/>
      <c r="K3929" s="902"/>
      <c r="L3929" s="2769"/>
      <c r="M3929" s="3342"/>
      <c r="N3929" s="2768"/>
    </row>
    <row r="3930" spans="1:16" ht="18.75" hidden="1" customHeight="1" x14ac:dyDescent="0.25">
      <c r="B3930" s="440"/>
      <c r="C3930" s="2497" t="s">
        <v>7424</v>
      </c>
      <c r="D3930" s="2669">
        <f>SUM(D3931+D3934)</f>
        <v>406610000</v>
      </c>
      <c r="E3930" s="2786">
        <f>D3930/D3691*100</f>
        <v>0.37647291405108835</v>
      </c>
      <c r="F3930" s="3835"/>
      <c r="G3930" s="2719"/>
      <c r="H3930" s="2786"/>
      <c r="I3930" s="2719"/>
      <c r="J3930" s="2719"/>
      <c r="K3930" s="2719"/>
      <c r="L3930" s="2744"/>
      <c r="M3930" s="2987"/>
      <c r="N3930" s="2768"/>
    </row>
    <row r="3931" spans="1:16" ht="17.25" hidden="1" customHeight="1" x14ac:dyDescent="0.25">
      <c r="B3931" s="441"/>
      <c r="C3931" s="2525" t="s">
        <v>7425</v>
      </c>
      <c r="D3931" s="2692">
        <f>D3932</f>
        <v>48566600</v>
      </c>
      <c r="E3931" s="2813">
        <f>D3931/D3691*100</f>
        <v>4.4966944805965393E-2</v>
      </c>
      <c r="F3931" s="3834"/>
      <c r="G3931" s="3064"/>
      <c r="H3931" s="2813"/>
      <c r="I3931" s="2679"/>
      <c r="J3931" s="2679"/>
      <c r="K3931" s="2679"/>
      <c r="L3931" s="899"/>
      <c r="M3931" s="2970"/>
      <c r="N3931" s="2768"/>
    </row>
    <row r="3932" spans="1:16" ht="18" hidden="1" customHeight="1" x14ac:dyDescent="0.25">
      <c r="B3932" s="441"/>
      <c r="C3932" s="2524" t="s">
        <v>7426</v>
      </c>
      <c r="D3932" s="2698">
        <v>48566600</v>
      </c>
      <c r="E3932" s="2879">
        <f>D3932/D3691*100</f>
        <v>4.4966944805965393E-2</v>
      </c>
      <c r="F3932" s="4384"/>
      <c r="G3932" s="2811"/>
      <c r="H3932" s="3541"/>
      <c r="I3932" s="3216"/>
      <c r="J3932" s="3534"/>
      <c r="K3932" s="3535"/>
      <c r="L3932" s="896"/>
      <c r="M3932" s="3335"/>
      <c r="N3932" s="2768"/>
    </row>
    <row r="3933" spans="1:16" ht="12" hidden="1" customHeight="1" x14ac:dyDescent="0.25">
      <c r="B3933" s="441"/>
      <c r="C3933" s="2527"/>
      <c r="D3933" s="2698"/>
      <c r="E3933" s="2879"/>
      <c r="F3933" s="4384"/>
      <c r="G3933" s="3216"/>
      <c r="H3933" s="3216"/>
      <c r="I3933" s="3216"/>
      <c r="J3933" s="3216"/>
      <c r="K3933" s="2918"/>
      <c r="L3933" s="3216"/>
      <c r="M3933" s="2685"/>
      <c r="N3933" s="2768"/>
    </row>
    <row r="3934" spans="1:16" ht="18" hidden="1" customHeight="1" x14ac:dyDescent="0.25">
      <c r="B3934" s="441"/>
      <c r="C3934" s="2525" t="s">
        <v>7427</v>
      </c>
      <c r="D3934" s="2692">
        <f>SUM(D3935:D3938)</f>
        <v>358043400</v>
      </c>
      <c r="E3934" s="2813">
        <f>D3934/D3691*100</f>
        <v>0.33150596924512293</v>
      </c>
      <c r="F3934" s="3834"/>
      <c r="G3934" s="3064"/>
      <c r="H3934" s="3214"/>
      <c r="I3934" s="3217"/>
      <c r="J3934" s="3217"/>
      <c r="K3934" s="3217"/>
      <c r="L3934" s="3555"/>
      <c r="M3934" s="3005"/>
      <c r="N3934" s="2768"/>
    </row>
    <row r="3935" spans="1:16" ht="19.5" hidden="1" customHeight="1" x14ac:dyDescent="0.25">
      <c r="B3935" s="441"/>
      <c r="C3935" s="2524" t="s">
        <v>7428</v>
      </c>
      <c r="D3935" s="2698">
        <v>126078400</v>
      </c>
      <c r="E3935" s="2810">
        <f>D3935/D3691*100</f>
        <v>0.11673373170088965</v>
      </c>
      <c r="F3935" s="4384"/>
      <c r="G3935" s="2811"/>
      <c r="H3935" s="3541"/>
      <c r="I3935" s="2685"/>
      <c r="J3935" s="3534"/>
      <c r="K3935" s="3535"/>
      <c r="L3935" s="2685"/>
      <c r="M3935" s="3335"/>
      <c r="N3935" s="2768"/>
    </row>
    <row r="3936" spans="1:16" ht="17.25" hidden="1" customHeight="1" x14ac:dyDescent="0.25">
      <c r="B3936" s="441"/>
      <c r="C3936" s="2524" t="s">
        <v>7429</v>
      </c>
      <c r="D3936" s="2698">
        <v>61890000</v>
      </c>
      <c r="E3936" s="2810">
        <f>D3936/D3691*100</f>
        <v>5.7302842159862914E-2</v>
      </c>
      <c r="F3936" s="4384"/>
      <c r="G3936" s="2811"/>
      <c r="H3936" s="2879"/>
      <c r="I3936" s="896"/>
      <c r="J3936" s="3534"/>
      <c r="K3936" s="3535"/>
      <c r="L3936" s="898"/>
      <c r="M3936" s="3335"/>
      <c r="N3936" s="2768"/>
    </row>
    <row r="3937" spans="1:16" ht="18" hidden="1" customHeight="1" x14ac:dyDescent="0.25">
      <c r="B3937" s="441"/>
      <c r="C3937" s="2524" t="s">
        <v>7430</v>
      </c>
      <c r="D3937" s="2698">
        <v>60615000</v>
      </c>
      <c r="E3937" s="2810">
        <f>D3937/D3691*100</f>
        <v>5.6122342503152213E-2</v>
      </c>
      <c r="F3937" s="4384"/>
      <c r="G3937" s="2811"/>
      <c r="H3937" s="2879"/>
      <c r="I3937" s="896"/>
      <c r="J3937" s="3534"/>
      <c r="K3937" s="3535"/>
      <c r="L3937" s="898"/>
      <c r="M3937" s="3335"/>
      <c r="N3937" s="2768"/>
    </row>
    <row r="3938" spans="1:16" ht="19.5" hidden="1" customHeight="1" x14ac:dyDescent="0.25">
      <c r="B3938" s="441"/>
      <c r="C3938" s="2524" t="s">
        <v>7431</v>
      </c>
      <c r="D3938" s="2698">
        <v>109460000</v>
      </c>
      <c r="E3938" s="2810">
        <f>D3938/D3691*100</f>
        <v>0.1013470528812182</v>
      </c>
      <c r="F3938" s="4384"/>
      <c r="G3938" s="2811"/>
      <c r="H3938" s="2879"/>
      <c r="I3938" s="896"/>
      <c r="J3938" s="3534"/>
      <c r="K3938" s="3535"/>
      <c r="L3938" s="898"/>
      <c r="M3938" s="3335"/>
      <c r="N3938" s="2768"/>
    </row>
    <row r="3939" spans="1:16" ht="12" hidden="1" customHeight="1" x14ac:dyDescent="0.25">
      <c r="B3939" s="441"/>
      <c r="C3939" s="2528"/>
      <c r="D3939" s="2706"/>
      <c r="E3939" s="2873"/>
      <c r="F3939" s="4464"/>
      <c r="G3939" s="2716"/>
      <c r="H3939" s="2934"/>
      <c r="I3939" s="2991"/>
      <c r="J3939" s="2708"/>
      <c r="K3939" s="2935"/>
      <c r="L3939" s="2934"/>
      <c r="M3939" s="2934"/>
      <c r="N3939" s="2768"/>
    </row>
    <row r="3940" spans="1:16" ht="16.5" hidden="1" customHeight="1" x14ac:dyDescent="0.25">
      <c r="B3940" s="440"/>
      <c r="C3940" s="2497" t="s">
        <v>7432</v>
      </c>
      <c r="D3940" s="2669">
        <f>SUM(D3941+D3944+D3952+D3956)</f>
        <v>1543550000</v>
      </c>
      <c r="E3940" s="2786">
        <f>D3940/D3691*100</f>
        <v>1.4291452902869026</v>
      </c>
      <c r="F3940" s="3835"/>
      <c r="G3940" s="2719"/>
      <c r="H3940" s="2786"/>
      <c r="I3940" s="2744"/>
      <c r="J3940" s="2719"/>
      <c r="K3940" s="2719"/>
      <c r="L3940" s="3545"/>
      <c r="M3940" s="2987"/>
      <c r="N3940" s="2768"/>
    </row>
    <row r="3941" spans="1:16" ht="19.5" hidden="1" customHeight="1" x14ac:dyDescent="0.25">
      <c r="B3941" s="441"/>
      <c r="C3941" s="2525" t="s">
        <v>7433</v>
      </c>
      <c r="D3941" s="2692">
        <f>D3942</f>
        <v>163625000</v>
      </c>
      <c r="E3941" s="2813">
        <f>D3941/D3691*100</f>
        <v>0.15149745594453981</v>
      </c>
      <c r="F3941" s="3834"/>
      <c r="G3941" s="3064"/>
      <c r="H3941" s="2813"/>
      <c r="I3941" s="899"/>
      <c r="J3941" s="2679"/>
      <c r="K3941" s="3064"/>
      <c r="L3941" s="3442"/>
      <c r="M3941" s="2970"/>
      <c r="N3941" s="2768"/>
    </row>
    <row r="3942" spans="1:16" ht="15.75" hidden="1" customHeight="1" x14ac:dyDescent="0.25">
      <c r="B3942" s="441"/>
      <c r="C3942" s="2524" t="s">
        <v>7434</v>
      </c>
      <c r="D3942" s="2698">
        <v>163625000</v>
      </c>
      <c r="E3942" s="2810">
        <f>D3942/D3691*100</f>
        <v>0.15149745594453981</v>
      </c>
      <c r="F3942" s="4384"/>
      <c r="G3942" s="2811"/>
      <c r="H3942" s="3541"/>
      <c r="I3942" s="896"/>
      <c r="J3942" s="3216"/>
      <c r="K3942" s="2811"/>
      <c r="L3942" s="2810"/>
      <c r="M3942" s="3335"/>
      <c r="N3942" s="2768"/>
    </row>
    <row r="3943" spans="1:16" ht="11.25" hidden="1" customHeight="1" x14ac:dyDescent="0.25">
      <c r="B3943" s="441"/>
      <c r="C3943" s="2524"/>
      <c r="D3943" s="2698"/>
      <c r="E3943" s="2810"/>
      <c r="F3943" s="4384"/>
      <c r="G3943" s="2811"/>
      <c r="H3943" s="3541"/>
      <c r="I3943" s="896"/>
      <c r="J3943" s="3216"/>
      <c r="K3943" s="2811"/>
      <c r="L3943" s="2810"/>
      <c r="M3943" s="3335"/>
      <c r="N3943" s="2768"/>
    </row>
    <row r="3944" spans="1:16" ht="15.75" hidden="1" customHeight="1" x14ac:dyDescent="0.25">
      <c r="B3944" s="441"/>
      <c r="C3944" s="2525" t="s">
        <v>7435</v>
      </c>
      <c r="D3944" s="2692">
        <f>SUM(D3945:D3950)</f>
        <v>485950000</v>
      </c>
      <c r="E3944" s="2813">
        <f>D3944/D3691*100</f>
        <v>0.4499323985714232</v>
      </c>
      <c r="F3944" s="4384"/>
      <c r="G3944" s="2811"/>
      <c r="H3944" s="3541"/>
      <c r="I3944" s="896"/>
      <c r="J3944" s="3216"/>
      <c r="K3944" s="2811"/>
      <c r="L3944" s="2810"/>
      <c r="M3944" s="3335"/>
      <c r="N3944" s="2768"/>
    </row>
    <row r="3945" spans="1:16" ht="15.75" hidden="1" customHeight="1" x14ac:dyDescent="0.25">
      <c r="B3945" s="441"/>
      <c r="C3945" s="2524" t="s">
        <v>7436</v>
      </c>
      <c r="D3945" s="2698">
        <v>63100000</v>
      </c>
      <c r="E3945" s="2810">
        <f>D3945/D3691*100</f>
        <v>5.8423159481133455E-2</v>
      </c>
      <c r="F3945" s="4384"/>
      <c r="G3945" s="2811"/>
      <c r="H3945" s="3541"/>
      <c r="I3945" s="896"/>
      <c r="J3945" s="3216"/>
      <c r="K3945" s="2811"/>
      <c r="L3945" s="2810"/>
      <c r="M3945" s="3335"/>
      <c r="N3945" s="2768"/>
    </row>
    <row r="3946" spans="1:16" ht="15.75" hidden="1" customHeight="1" x14ac:dyDescent="0.25">
      <c r="B3946" s="441"/>
      <c r="C3946" s="2524" t="s">
        <v>7437</v>
      </c>
      <c r="D3946" s="2698">
        <v>154100000</v>
      </c>
      <c r="E3946" s="2810">
        <f>D3946/D3691*100</f>
        <v>0.14267842909734813</v>
      </c>
      <c r="F3946" s="4384"/>
      <c r="G3946" s="2811"/>
      <c r="H3946" s="3541"/>
      <c r="I3946" s="896"/>
      <c r="J3946" s="3216"/>
      <c r="K3946" s="2811"/>
      <c r="L3946" s="2810"/>
      <c r="M3946" s="3335"/>
      <c r="N3946" s="2768"/>
    </row>
    <row r="3947" spans="1:16" ht="15.75" hidden="1" customHeight="1" x14ac:dyDescent="0.25">
      <c r="B3947" s="441"/>
      <c r="C3947" s="2524" t="s">
        <v>7438</v>
      </c>
      <c r="D3947" s="2698">
        <v>78400000</v>
      </c>
      <c r="E3947" s="2810">
        <f>D3947/D3691*100</f>
        <v>7.2589155361661856E-2</v>
      </c>
      <c r="F3947" s="4384"/>
      <c r="G3947" s="2811"/>
      <c r="H3947" s="3541"/>
      <c r="I3947" s="896"/>
      <c r="J3947" s="3216"/>
      <c r="K3947" s="2811"/>
      <c r="L3947" s="2810"/>
      <c r="M3947" s="3335"/>
      <c r="N3947" s="2768"/>
    </row>
    <row r="3948" spans="1:16" ht="15.75" hidden="1" customHeight="1" x14ac:dyDescent="0.25">
      <c r="B3948" s="441"/>
      <c r="C3948" s="2526" t="s">
        <v>7439</v>
      </c>
      <c r="D3948" s="2724">
        <v>0</v>
      </c>
      <c r="E3948" s="2810">
        <f>D3948/D3691*100</f>
        <v>0</v>
      </c>
      <c r="F3948" s="4380"/>
      <c r="G3948" s="2849"/>
      <c r="H3948" s="3531"/>
      <c r="I3948" s="2769"/>
      <c r="J3948" s="3542"/>
      <c r="K3948" s="2849"/>
      <c r="L3948" s="2840"/>
      <c r="M3948" s="3342"/>
      <c r="N3948" s="2768"/>
    </row>
    <row r="3949" spans="1:16" ht="15.75" hidden="1" customHeight="1" x14ac:dyDescent="0.25">
      <c r="B3949" s="441"/>
      <c r="C3949" s="2524" t="s">
        <v>7440</v>
      </c>
      <c r="D3949" s="2698">
        <v>73350000</v>
      </c>
      <c r="E3949" s="2810">
        <f>D3949/D3691*100</f>
        <v>6.7913450839003797E-2</v>
      </c>
      <c r="F3949" s="4384"/>
      <c r="G3949" s="2811"/>
      <c r="H3949" s="3541"/>
      <c r="I3949" s="896"/>
      <c r="J3949" s="3216"/>
      <c r="K3949" s="2811"/>
      <c r="L3949" s="2810"/>
      <c r="M3949" s="3335"/>
      <c r="N3949" s="2768"/>
    </row>
    <row r="3950" spans="1:16" ht="15.75" hidden="1" customHeight="1" x14ac:dyDescent="0.25">
      <c r="B3950" s="441"/>
      <c r="C3950" s="2524" t="s">
        <v>7441</v>
      </c>
      <c r="D3950" s="2698">
        <v>117000000</v>
      </c>
      <c r="E3950" s="2810">
        <f>D3950/D3691*100</f>
        <v>0.10832820379227598</v>
      </c>
      <c r="F3950" s="4384"/>
      <c r="G3950" s="2811"/>
      <c r="H3950" s="3541"/>
      <c r="I3950" s="896"/>
      <c r="J3950" s="3216"/>
      <c r="K3950" s="2811"/>
      <c r="L3950" s="2810"/>
      <c r="M3950" s="3335"/>
      <c r="N3950" s="2768"/>
    </row>
    <row r="3951" spans="1:16" ht="12.75" hidden="1" customHeight="1" x14ac:dyDescent="0.25">
      <c r="B3951" s="441"/>
      <c r="C3951" s="2524"/>
      <c r="D3951" s="2698"/>
      <c r="E3951" s="2810"/>
      <c r="F3951" s="4384"/>
      <c r="G3951" s="2811"/>
      <c r="H3951" s="3541"/>
      <c r="I3951" s="896"/>
      <c r="J3951" s="3216"/>
      <c r="K3951" s="2811"/>
      <c r="L3951" s="2810"/>
      <c r="M3951" s="3335"/>
      <c r="N3951" s="2768"/>
    </row>
    <row r="3952" spans="1:16" s="32" customFormat="1" ht="15.75" hidden="1" customHeight="1" x14ac:dyDescent="0.25">
      <c r="A3952" s="1"/>
      <c r="B3952" s="441"/>
      <c r="C3952" s="2525" t="s">
        <v>7442</v>
      </c>
      <c r="D3952" s="2692">
        <f>SUM(D3953:D3954)</f>
        <v>193975000</v>
      </c>
      <c r="E3952" s="2813">
        <f>D3952/D3691*100</f>
        <v>0.17959797718467294</v>
      </c>
      <c r="F3952" s="3834"/>
      <c r="G3952" s="3064"/>
      <c r="H3952" s="3540"/>
      <c r="I3952" s="899"/>
      <c r="J3952" s="3217"/>
      <c r="K3952" s="3064"/>
      <c r="L3952" s="2813"/>
      <c r="M3952" s="2970"/>
      <c r="N3952" s="2837"/>
      <c r="P3952" s="630"/>
    </row>
    <row r="3953" spans="1:16" ht="15.75" hidden="1" customHeight="1" x14ac:dyDescent="0.25">
      <c r="B3953" s="441"/>
      <c r="C3953" s="2524" t="s">
        <v>7443</v>
      </c>
      <c r="D3953" s="2698">
        <v>100000000</v>
      </c>
      <c r="E3953" s="2810">
        <f>D3953/D3691*100</f>
        <v>9.2588208369466643E-2</v>
      </c>
      <c r="F3953" s="4384"/>
      <c r="G3953" s="2811"/>
      <c r="H3953" s="3541"/>
      <c r="I3953" s="896"/>
      <c r="J3953" s="3216"/>
      <c r="K3953" s="2811"/>
      <c r="L3953" s="2810"/>
      <c r="M3953" s="3335"/>
      <c r="N3953" s="2768"/>
    </row>
    <row r="3954" spans="1:16" ht="15.75" hidden="1" customHeight="1" x14ac:dyDescent="0.25">
      <c r="B3954" s="441"/>
      <c r="C3954" s="2524" t="s">
        <v>7444</v>
      </c>
      <c r="D3954" s="2698">
        <v>93975000</v>
      </c>
      <c r="E3954" s="2810">
        <f>D3954/D3691*100</f>
        <v>8.7009768815206293E-2</v>
      </c>
      <c r="F3954" s="4384"/>
      <c r="G3954" s="2811"/>
      <c r="H3954" s="3541"/>
      <c r="I3954" s="896"/>
      <c r="J3954" s="3216"/>
      <c r="K3954" s="2811"/>
      <c r="L3954" s="2810"/>
      <c r="M3954" s="3335"/>
      <c r="N3954" s="2768"/>
    </row>
    <row r="3955" spans="1:16" ht="9.75" hidden="1" customHeight="1" x14ac:dyDescent="0.25">
      <c r="B3955" s="441"/>
      <c r="C3955" s="2524"/>
      <c r="D3955" s="2698"/>
      <c r="E3955" s="2810"/>
      <c r="F3955" s="4384"/>
      <c r="G3955" s="2811"/>
      <c r="H3955" s="3541"/>
      <c r="I3955" s="896"/>
      <c r="J3955" s="3216"/>
      <c r="K3955" s="2811"/>
      <c r="L3955" s="2810"/>
      <c r="M3955" s="3335"/>
      <c r="N3955" s="2768"/>
    </row>
    <row r="3956" spans="1:16" s="32" customFormat="1" ht="15.75" hidden="1" customHeight="1" x14ac:dyDescent="0.25">
      <c r="A3956" s="1"/>
      <c r="B3956" s="441"/>
      <c r="C3956" s="2525" t="s">
        <v>7445</v>
      </c>
      <c r="D3956" s="2692">
        <f>D3957</f>
        <v>700000000</v>
      </c>
      <c r="E3956" s="2813">
        <f>D3956/D3691*100</f>
        <v>0.64811745858626657</v>
      </c>
      <c r="F3956" s="3834"/>
      <c r="G3956" s="3064"/>
      <c r="H3956" s="3540"/>
      <c r="I3956" s="899"/>
      <c r="J3956" s="3217"/>
      <c r="K3956" s="3064"/>
      <c r="L3956" s="2813"/>
      <c r="M3956" s="2970"/>
      <c r="N3956" s="2837"/>
      <c r="P3956" s="630"/>
    </row>
    <row r="3957" spans="1:16" ht="15.75" hidden="1" customHeight="1" x14ac:dyDescent="0.25">
      <c r="B3957" s="441"/>
      <c r="C3957" s="2524" t="s">
        <v>7446</v>
      </c>
      <c r="D3957" s="2698">
        <v>700000000</v>
      </c>
      <c r="E3957" s="2810">
        <f>D3957/D3691*100</f>
        <v>0.64811745858626657</v>
      </c>
      <c r="F3957" s="4384"/>
      <c r="G3957" s="2811"/>
      <c r="H3957" s="3541"/>
      <c r="I3957" s="896"/>
      <c r="J3957" s="3216"/>
      <c r="K3957" s="2811"/>
      <c r="L3957" s="2810"/>
      <c r="M3957" s="3335"/>
      <c r="N3957" s="2768"/>
    </row>
    <row r="3958" spans="1:16" ht="12" hidden="1" customHeight="1" x14ac:dyDescent="0.25">
      <c r="B3958" s="441"/>
      <c r="C3958" s="2528"/>
      <c r="D3958" s="2724"/>
      <c r="E3958" s="2840"/>
      <c r="F3958" s="4380"/>
      <c r="G3958" s="3132"/>
      <c r="H3958" s="3132"/>
      <c r="I3958" s="2755"/>
      <c r="J3958" s="2830"/>
      <c r="K3958" s="2755"/>
      <c r="L3958" s="2840"/>
      <c r="M3958" s="3342"/>
      <c r="N3958" s="2768"/>
    </row>
    <row r="3959" spans="1:16" ht="19.5" hidden="1" customHeight="1" x14ac:dyDescent="0.25">
      <c r="B3959" s="440"/>
      <c r="C3959" s="2497" t="s">
        <v>7447</v>
      </c>
      <c r="D3959" s="2669">
        <f>SUM(D3960+D3963)</f>
        <v>131250000</v>
      </c>
      <c r="E3959" s="2786">
        <f>D3959/D3691*100</f>
        <v>0.12152202348492498</v>
      </c>
      <c r="F3959" s="3835"/>
      <c r="G3959" s="2719"/>
      <c r="H3959" s="2786"/>
      <c r="I3959" s="2719"/>
      <c r="J3959" s="2719"/>
      <c r="K3959" s="2719"/>
      <c r="L3959" s="2786"/>
      <c r="M3959" s="2987"/>
      <c r="N3959" s="2768"/>
    </row>
    <row r="3960" spans="1:16" ht="17.25" hidden="1" customHeight="1" x14ac:dyDescent="0.25">
      <c r="B3960" s="441"/>
      <c r="C3960" s="2525" t="s">
        <v>7448</v>
      </c>
      <c r="D3960" s="2692">
        <f>D3961</f>
        <v>35000000</v>
      </c>
      <c r="E3960" s="2813">
        <f>D3960/D3691*100</f>
        <v>3.240587292931333E-2</v>
      </c>
      <c r="F3960" s="3834"/>
      <c r="G3960" s="3555"/>
      <c r="H3960" s="3555"/>
      <c r="I3960" s="3555"/>
      <c r="J3960" s="3555"/>
      <c r="K3960" s="3555"/>
      <c r="L3960" s="3555"/>
      <c r="M3960" s="3555"/>
      <c r="N3960" s="2768"/>
    </row>
    <row r="3961" spans="1:16" ht="19.5" hidden="1" customHeight="1" x14ac:dyDescent="0.25">
      <c r="B3961" s="441"/>
      <c r="C3961" s="2524" t="s">
        <v>7449</v>
      </c>
      <c r="D3961" s="2698">
        <v>35000000</v>
      </c>
      <c r="E3961" s="2879">
        <f>D3961/D3691*100</f>
        <v>3.240587292931333E-2</v>
      </c>
      <c r="F3961" s="4384"/>
      <c r="G3961" s="3216"/>
      <c r="H3961" s="3216"/>
      <c r="I3961" s="3216"/>
      <c r="J3961" s="3216"/>
      <c r="K3961" s="3216"/>
      <c r="L3961" s="3216"/>
      <c r="M3961" s="3216"/>
      <c r="N3961" s="2768"/>
    </row>
    <row r="3962" spans="1:16" ht="9" hidden="1" customHeight="1" x14ac:dyDescent="0.25">
      <c r="B3962" s="441"/>
      <c r="C3962" s="2527"/>
      <c r="D3962" s="2698"/>
      <c r="E3962" s="2879"/>
      <c r="F3962" s="4384"/>
      <c r="G3962" s="2704"/>
      <c r="H3962" s="3500"/>
      <c r="I3962" s="2704"/>
      <c r="J3962" s="3216"/>
      <c r="K3962" s="896"/>
      <c r="L3962" s="2810"/>
      <c r="M3962" s="2968"/>
      <c r="N3962" s="2768"/>
    </row>
    <row r="3963" spans="1:16" ht="18" hidden="1" customHeight="1" x14ac:dyDescent="0.25">
      <c r="B3963" s="441"/>
      <c r="C3963" s="2525" t="s">
        <v>7450</v>
      </c>
      <c r="D3963" s="2692">
        <f>D3964</f>
        <v>96250000</v>
      </c>
      <c r="E3963" s="3214">
        <f>D3963/D3691*100</f>
        <v>8.9116150555611645E-2</v>
      </c>
      <c r="F3963" s="3834"/>
      <c r="G3963" s="3555"/>
      <c r="H3963" s="3555"/>
      <c r="I3963" s="3555"/>
      <c r="J3963" s="3217"/>
      <c r="K3963" s="3217"/>
      <c r="L3963" s="3442"/>
      <c r="M3963" s="3019"/>
      <c r="N3963" s="2768"/>
    </row>
    <row r="3964" spans="1:16" ht="15.75" hidden="1" customHeight="1" x14ac:dyDescent="0.25">
      <c r="B3964" s="441"/>
      <c r="C3964" s="2524" t="s">
        <v>7451</v>
      </c>
      <c r="D3964" s="2698">
        <v>96250000</v>
      </c>
      <c r="E3964" s="2879">
        <f>D3964/D3691*100</f>
        <v>8.9116150555611645E-2</v>
      </c>
      <c r="F3964" s="4384"/>
      <c r="G3964" s="3216"/>
      <c r="H3964" s="3216"/>
      <c r="I3964" s="3216"/>
      <c r="J3964" s="3534"/>
      <c r="K3964" s="3535"/>
      <c r="L3964" s="2810"/>
      <c r="M3964" s="2968"/>
      <c r="N3964" s="2768"/>
    </row>
    <row r="3965" spans="1:16" ht="12" hidden="1" customHeight="1" x14ac:dyDescent="0.25">
      <c r="B3965" s="441"/>
      <c r="C3965" s="2528"/>
      <c r="D3965" s="2706"/>
      <c r="E3965" s="2840"/>
      <c r="F3965" s="4464"/>
      <c r="G3965" s="2830"/>
      <c r="H3965" s="2840"/>
      <c r="I3965" s="2840"/>
      <c r="J3965" s="2708"/>
      <c r="K3965" s="2881"/>
      <c r="L3965" s="3006"/>
      <c r="M3965" s="3342"/>
      <c r="N3965" s="2768"/>
    </row>
    <row r="3966" spans="1:16" ht="18" hidden="1" customHeight="1" x14ac:dyDescent="0.25">
      <c r="B3966" s="440"/>
      <c r="C3966" s="2497" t="s">
        <v>7452</v>
      </c>
      <c r="D3966" s="2669">
        <f>SUM(D3967+D3970)</f>
        <v>1230600300</v>
      </c>
      <c r="E3966" s="2786">
        <f>D3966/D3691*100</f>
        <v>1.1393907699592818</v>
      </c>
      <c r="F3966" s="3835"/>
      <c r="G3966" s="2719"/>
      <c r="H3966" s="2786"/>
      <c r="I3966" s="2786"/>
      <c r="J3966" s="2719"/>
      <c r="K3966" s="2719"/>
      <c r="L3966" s="2744"/>
      <c r="M3966" s="2987"/>
      <c r="N3966" s="2768"/>
    </row>
    <row r="3967" spans="1:16" ht="15.75" hidden="1" customHeight="1" x14ac:dyDescent="0.25">
      <c r="B3967" s="445"/>
      <c r="C3967" s="2525" t="s">
        <v>7453</v>
      </c>
      <c r="D3967" s="2692">
        <f>D3968</f>
        <v>900000000</v>
      </c>
      <c r="E3967" s="2813">
        <f>D3967/D3691*100</f>
        <v>0.83329387532519983</v>
      </c>
      <c r="F3967" s="3834"/>
      <c r="G3967" s="2679"/>
      <c r="H3967" s="2813"/>
      <c r="I3967" s="2813"/>
      <c r="J3967" s="2722"/>
      <c r="K3967" s="2722"/>
      <c r="L3967" s="899"/>
      <c r="M3967" s="2970"/>
      <c r="N3967" s="2768"/>
    </row>
    <row r="3968" spans="1:16" ht="16.5" hidden="1" customHeight="1" x14ac:dyDescent="0.25">
      <c r="B3968" s="441"/>
      <c r="C3968" s="2524" t="s">
        <v>7454</v>
      </c>
      <c r="D3968" s="2698">
        <v>900000000</v>
      </c>
      <c r="E3968" s="2879">
        <f>D3968/D3691*100</f>
        <v>0.83329387532519983</v>
      </c>
      <c r="F3968" s="4384"/>
      <c r="G3968" s="2685"/>
      <c r="H3968" s="2810"/>
      <c r="I3968" s="2810"/>
      <c r="J3968" s="3216"/>
      <c r="K3968" s="3216"/>
      <c r="L3968" s="898"/>
      <c r="M3968" s="3335"/>
      <c r="N3968" s="2768"/>
    </row>
    <row r="3969" spans="1:16" ht="12" hidden="1" customHeight="1" x14ac:dyDescent="0.25">
      <c r="B3969" s="441"/>
      <c r="C3969" s="2524"/>
      <c r="D3969" s="2698"/>
      <c r="E3969" s="2879"/>
      <c r="F3969" s="4384"/>
      <c r="G3969" s="2685"/>
      <c r="H3969" s="2810"/>
      <c r="I3969" s="2810"/>
      <c r="J3969" s="3216"/>
      <c r="K3969" s="3216"/>
      <c r="L3969" s="898"/>
      <c r="M3969" s="3347"/>
      <c r="N3969" s="2743"/>
    </row>
    <row r="3970" spans="1:16" s="32" customFormat="1" ht="16.5" hidden="1" customHeight="1" x14ac:dyDescent="0.25">
      <c r="A3970" s="1"/>
      <c r="B3970" s="441"/>
      <c r="C3970" s="2525" t="s">
        <v>7455</v>
      </c>
      <c r="D3970" s="2692">
        <f>D3971</f>
        <v>330600300</v>
      </c>
      <c r="E3970" s="3214">
        <f>D3970/D3691*100</f>
        <v>0.30609689463408185</v>
      </c>
      <c r="F3970" s="3834"/>
      <c r="G3970" s="2679"/>
      <c r="H3970" s="2813"/>
      <c r="I3970" s="2813"/>
      <c r="J3970" s="3217"/>
      <c r="K3970" s="3217"/>
      <c r="L3970" s="899"/>
      <c r="M3970" s="3001"/>
      <c r="N3970" s="2668"/>
      <c r="P3970" s="630"/>
    </row>
    <row r="3971" spans="1:16" ht="16.5" hidden="1" customHeight="1" x14ac:dyDescent="0.25">
      <c r="B3971" s="441"/>
      <c r="C3971" s="2524" t="s">
        <v>7456</v>
      </c>
      <c r="D3971" s="2698">
        <v>330600300</v>
      </c>
      <c r="E3971" s="2879">
        <f>D3971/D3691*100</f>
        <v>0.30609689463408185</v>
      </c>
      <c r="F3971" s="4384"/>
      <c r="G3971" s="2685"/>
      <c r="H3971" s="2810"/>
      <c r="I3971" s="2810"/>
      <c r="J3971" s="3216"/>
      <c r="K3971" s="3216"/>
      <c r="L3971" s="898"/>
      <c r="M3971" s="3347"/>
      <c r="N3971" s="2743"/>
    </row>
    <row r="3972" spans="1:16" ht="12" hidden="1" customHeight="1" x14ac:dyDescent="0.25">
      <c r="B3972" s="441"/>
      <c r="C3972" s="2528"/>
      <c r="D3972" s="2724"/>
      <c r="E3972" s="3226"/>
      <c r="F3972" s="4380"/>
      <c r="G3972" s="3132"/>
      <c r="H3972" s="3226"/>
      <c r="I3972" s="3226"/>
      <c r="J3972" s="2830"/>
      <c r="K3972" s="3539"/>
      <c r="L3972" s="3139"/>
      <c r="M3972" s="3558"/>
      <c r="N3972" s="2743"/>
    </row>
    <row r="3973" spans="1:16" ht="18" hidden="1" customHeight="1" x14ac:dyDescent="0.25">
      <c r="B3973" s="440"/>
      <c r="C3973" s="2497" t="s">
        <v>7457</v>
      </c>
      <c r="D3973" s="2669">
        <f>SUM(D3974+D3977+D3980+D3983+D3987)</f>
        <v>1825834000</v>
      </c>
      <c r="E3973" s="2786">
        <f>D3973/D3691*100</f>
        <v>1.6905069884005679</v>
      </c>
      <c r="F3973" s="3835"/>
      <c r="G3973" s="2719"/>
      <c r="H3973" s="2719"/>
      <c r="I3973" s="2719"/>
      <c r="J3973" s="2719"/>
      <c r="K3973" s="2719"/>
      <c r="L3973" s="2744"/>
      <c r="M3973" s="2987"/>
      <c r="N3973" s="2750"/>
    </row>
    <row r="3974" spans="1:16" ht="18" hidden="1" customHeight="1" x14ac:dyDescent="0.25">
      <c r="B3974" s="441"/>
      <c r="C3974" s="2525" t="s">
        <v>7458</v>
      </c>
      <c r="D3974" s="2676">
        <f>D3975</f>
        <v>160775000</v>
      </c>
      <c r="E3974" s="2813">
        <f>D3974/D3691*100</f>
        <v>0.14885869200601001</v>
      </c>
      <c r="F3974" s="3841"/>
      <c r="G3974" s="3217"/>
      <c r="H3974" s="3217"/>
      <c r="I3974" s="3217"/>
      <c r="J3974" s="2725"/>
      <c r="K3974" s="2725"/>
      <c r="L3974" s="899"/>
      <c r="M3974" s="2970"/>
      <c r="N3974" s="2768"/>
    </row>
    <row r="3975" spans="1:16" ht="15" hidden="1" customHeight="1" x14ac:dyDescent="0.25">
      <c r="B3975" s="441"/>
      <c r="C3975" s="2524" t="s">
        <v>7459</v>
      </c>
      <c r="D3975" s="2698">
        <v>160775000</v>
      </c>
      <c r="E3975" s="2879">
        <f>D3975/D3691*100</f>
        <v>0.14885869200601001</v>
      </c>
      <c r="F3975" s="4384"/>
      <c r="G3975" s="3216"/>
      <c r="H3975" s="3216"/>
      <c r="I3975" s="3216"/>
      <c r="J3975" s="3534"/>
      <c r="K3975" s="3535"/>
      <c r="L3975" s="898"/>
      <c r="M3975" s="3335"/>
      <c r="N3975" s="2768"/>
    </row>
    <row r="3976" spans="1:16" ht="12" hidden="1" customHeight="1" x14ac:dyDescent="0.25">
      <c r="B3976" s="441"/>
      <c r="C3976" s="2527"/>
      <c r="D3976" s="2698"/>
      <c r="E3976" s="2879"/>
      <c r="F3976" s="4384"/>
      <c r="G3976" s="2685"/>
      <c r="H3976" s="2685"/>
      <c r="I3976" s="2685"/>
      <c r="J3976" s="2685"/>
      <c r="K3976" s="898"/>
      <c r="L3976" s="898"/>
      <c r="M3976" s="3335"/>
      <c r="N3976" s="2768"/>
    </row>
    <row r="3977" spans="1:16" ht="17.25" hidden="1" customHeight="1" x14ac:dyDescent="0.25">
      <c r="B3977" s="441"/>
      <c r="C3977" s="2525" t="s">
        <v>7460</v>
      </c>
      <c r="D3977" s="2692">
        <f>D3978</f>
        <v>180000000</v>
      </c>
      <c r="E3977" s="3214">
        <f>D3977/D3691*100</f>
        <v>0.16665877506503995</v>
      </c>
      <c r="F3977" s="3834"/>
      <c r="G3977" s="3217"/>
      <c r="H3977" s="3217"/>
      <c r="I3977" s="3217"/>
      <c r="J3977" s="2679"/>
      <c r="K3977" s="3217"/>
      <c r="L3977" s="3217"/>
      <c r="M3977" s="2970"/>
      <c r="N3977" s="2768"/>
    </row>
    <row r="3978" spans="1:16" ht="16.5" hidden="1" customHeight="1" x14ac:dyDescent="0.25">
      <c r="B3978" s="441"/>
      <c r="C3978" s="2524" t="s">
        <v>7461</v>
      </c>
      <c r="D3978" s="2698">
        <v>180000000</v>
      </c>
      <c r="E3978" s="2879">
        <f>D3978/D3691*100</f>
        <v>0.16665877506503995</v>
      </c>
      <c r="F3978" s="4384"/>
      <c r="G3978" s="3216"/>
      <c r="H3978" s="3216"/>
      <c r="I3978" s="3216"/>
      <c r="J3978" s="2685"/>
      <c r="K3978" s="3216"/>
      <c r="L3978" s="3216"/>
      <c r="M3978" s="3335"/>
      <c r="N3978" s="2768"/>
    </row>
    <row r="3979" spans="1:16" ht="11.25" hidden="1" customHeight="1" x14ac:dyDescent="0.25">
      <c r="B3979" s="441"/>
      <c r="C3979" s="2526"/>
      <c r="D3979" s="2706"/>
      <c r="E3979" s="2879"/>
      <c r="F3979" s="4464"/>
      <c r="G3979" s="3542"/>
      <c r="H3979" s="3542"/>
      <c r="I3979" s="3542"/>
      <c r="J3979" s="2708"/>
      <c r="K3979" s="3542"/>
      <c r="L3979" s="3542"/>
      <c r="M3979" s="3342"/>
      <c r="N3979" s="2768"/>
    </row>
    <row r="3980" spans="1:16" ht="17.25" hidden="1" customHeight="1" x14ac:dyDescent="0.25">
      <c r="B3980" s="441"/>
      <c r="C3980" s="2525" t="s">
        <v>7462</v>
      </c>
      <c r="D3980" s="2692">
        <f>D3981</f>
        <v>93129000</v>
      </c>
      <c r="E3980" s="3214">
        <f>D3980/D3691*100</f>
        <v>8.6226472572400598E-2</v>
      </c>
      <c r="F3980" s="4384"/>
      <c r="G3980" s="3216"/>
      <c r="H3980" s="3216"/>
      <c r="I3980" s="3216"/>
      <c r="J3980" s="2685"/>
      <c r="K3980" s="3216"/>
      <c r="L3980" s="3216"/>
      <c r="M3980" s="3335"/>
      <c r="N3980" s="2768"/>
    </row>
    <row r="3981" spans="1:16" ht="30.75" hidden="1" customHeight="1" x14ac:dyDescent="0.25">
      <c r="B3981" s="441"/>
      <c r="C3981" s="2524" t="s">
        <v>7463</v>
      </c>
      <c r="D3981" s="2698">
        <v>93129000</v>
      </c>
      <c r="E3981" s="2879">
        <f>D3981/D3691*100</f>
        <v>8.6226472572400598E-2</v>
      </c>
      <c r="F3981" s="4384"/>
      <c r="G3981" s="3216"/>
      <c r="H3981" s="3216"/>
      <c r="I3981" s="3216"/>
      <c r="J3981" s="2685"/>
      <c r="K3981" s="3216"/>
      <c r="L3981" s="3216"/>
      <c r="M3981" s="3335"/>
      <c r="N3981" s="2768"/>
    </row>
    <row r="3982" spans="1:16" ht="12.75" hidden="1" customHeight="1" x14ac:dyDescent="0.25">
      <c r="B3982" s="441"/>
      <c r="C3982" s="2524"/>
      <c r="D3982" s="2698"/>
      <c r="E3982" s="2879"/>
      <c r="F3982" s="4384"/>
      <c r="G3982" s="3216"/>
      <c r="H3982" s="3216"/>
      <c r="I3982" s="3216"/>
      <c r="J3982" s="2685"/>
      <c r="K3982" s="3216"/>
      <c r="L3982" s="3216"/>
      <c r="M3982" s="3335"/>
      <c r="N3982" s="2768"/>
    </row>
    <row r="3983" spans="1:16" ht="17.25" hidden="1" customHeight="1" x14ac:dyDescent="0.25">
      <c r="B3983" s="441"/>
      <c r="C3983" s="2525" t="s">
        <v>7464</v>
      </c>
      <c r="D3983" s="2692">
        <f>SUM(D3984:D3985)</f>
        <v>1309000000</v>
      </c>
      <c r="E3983" s="3214">
        <f>D3983/D3691*100</f>
        <v>1.2119796475563185</v>
      </c>
      <c r="F3983" s="4384"/>
      <c r="G3983" s="3216"/>
      <c r="H3983" s="3216"/>
      <c r="I3983" s="3216"/>
      <c r="J3983" s="2685"/>
      <c r="K3983" s="3216"/>
      <c r="L3983" s="3216"/>
      <c r="M3983" s="3335"/>
      <c r="N3983" s="2768"/>
    </row>
    <row r="3984" spans="1:16" ht="29.25" hidden="1" customHeight="1" x14ac:dyDescent="0.25">
      <c r="B3984" s="441"/>
      <c r="C3984" s="2524" t="s">
        <v>7465</v>
      </c>
      <c r="D3984" s="2698">
        <v>109000000</v>
      </c>
      <c r="E3984" s="2879">
        <f>D3984/D3691*100</f>
        <v>0.10092114712271864</v>
      </c>
      <c r="F3984" s="4384"/>
      <c r="G3984" s="3216"/>
      <c r="H3984" s="3216"/>
      <c r="I3984" s="3216"/>
      <c r="J3984" s="2685"/>
      <c r="K3984" s="3216"/>
      <c r="L3984" s="3216"/>
      <c r="M3984" s="3335"/>
      <c r="N3984" s="2768"/>
    </row>
    <row r="3985" spans="1:16" ht="19.5" hidden="1" customHeight="1" x14ac:dyDescent="0.25">
      <c r="B3985" s="441"/>
      <c r="C3985" s="2526" t="s">
        <v>7466</v>
      </c>
      <c r="D3985" s="2724">
        <v>1200000000</v>
      </c>
      <c r="E3985" s="2879">
        <f>D3985/D3691*100</f>
        <v>1.1110585004335998</v>
      </c>
      <c r="F3985" s="4380"/>
      <c r="G3985" s="3542"/>
      <c r="H3985" s="3542"/>
      <c r="I3985" s="3542"/>
      <c r="J3985" s="2830"/>
      <c r="K3985" s="3542"/>
      <c r="L3985" s="3542"/>
      <c r="M3985" s="3342"/>
      <c r="N3985" s="2768"/>
    </row>
    <row r="3986" spans="1:16" ht="10.5" hidden="1" customHeight="1" x14ac:dyDescent="0.25">
      <c r="B3986" s="441"/>
      <c r="C3986" s="2524"/>
      <c r="D3986" s="2698"/>
      <c r="E3986" s="2879"/>
      <c r="F3986" s="4384"/>
      <c r="G3986" s="3216"/>
      <c r="H3986" s="3216"/>
      <c r="I3986" s="3216"/>
      <c r="J3986" s="2685"/>
      <c r="K3986" s="3216"/>
      <c r="L3986" s="3216"/>
      <c r="M3986" s="3335"/>
      <c r="N3986" s="2768"/>
    </row>
    <row r="3987" spans="1:16" s="32" customFormat="1" ht="21" hidden="1" customHeight="1" x14ac:dyDescent="0.25">
      <c r="A3987" s="1"/>
      <c r="B3987" s="441"/>
      <c r="C3987" s="2525" t="s">
        <v>7467</v>
      </c>
      <c r="D3987" s="2692">
        <f>D3988</f>
        <v>82930000</v>
      </c>
      <c r="E3987" s="3214">
        <f>D3987/D3691*100</f>
        <v>7.6783401200798698E-2</v>
      </c>
      <c r="F3987" s="3834"/>
      <c r="G3987" s="3217"/>
      <c r="H3987" s="3217"/>
      <c r="I3987" s="3217"/>
      <c r="J3987" s="2679"/>
      <c r="K3987" s="3217"/>
      <c r="L3987" s="3217"/>
      <c r="M3987" s="2970"/>
      <c r="N3987" s="2837"/>
      <c r="P3987" s="630"/>
    </row>
    <row r="3988" spans="1:16" ht="30" hidden="1" customHeight="1" x14ac:dyDescent="0.25">
      <c r="B3988" s="441"/>
      <c r="C3988" s="2524" t="s">
        <v>7468</v>
      </c>
      <c r="D3988" s="2698">
        <v>82930000</v>
      </c>
      <c r="E3988" s="2879">
        <f>D3988/D3691*100</f>
        <v>7.6783401200798698E-2</v>
      </c>
      <c r="F3988" s="4384"/>
      <c r="G3988" s="3216"/>
      <c r="H3988" s="3216"/>
      <c r="I3988" s="3216"/>
      <c r="J3988" s="2685"/>
      <c r="K3988" s="3216"/>
      <c r="L3988" s="3216"/>
      <c r="M3988" s="3335"/>
      <c r="N3988" s="2768"/>
    </row>
    <row r="3989" spans="1:16" ht="12" hidden="1" customHeight="1" x14ac:dyDescent="0.25">
      <c r="B3989" s="441"/>
      <c r="C3989" s="2528"/>
      <c r="D3989" s="2724"/>
      <c r="E3989" s="2840"/>
      <c r="F3989" s="4380"/>
      <c r="G3989" s="2830"/>
      <c r="H3989" s="2840"/>
      <c r="I3989" s="2840"/>
      <c r="J3989" s="2830"/>
      <c r="K3989" s="2755"/>
      <c r="L3989" s="2755"/>
      <c r="M3989" s="3342"/>
      <c r="N3989" s="2768"/>
    </row>
    <row r="3990" spans="1:16" ht="18.75" hidden="1" customHeight="1" x14ac:dyDescent="0.25">
      <c r="B3990" s="440"/>
      <c r="C3990" s="2497" t="s">
        <v>7473</v>
      </c>
      <c r="D3990" s="2669">
        <f>SUM(D3991)</f>
        <v>722300000</v>
      </c>
      <c r="E3990" s="2786">
        <f>D3990/D3691*100</f>
        <v>0.66876462905265766</v>
      </c>
      <c r="F3990" s="3835"/>
      <c r="G3990" s="2719"/>
      <c r="H3990" s="2786"/>
      <c r="I3990" s="2744"/>
      <c r="J3990" s="2719"/>
      <c r="K3990" s="2719"/>
      <c r="L3990" s="2786"/>
      <c r="M3990" s="2719"/>
      <c r="N3990" s="2768"/>
    </row>
    <row r="3991" spans="1:16" ht="15.75" hidden="1" customHeight="1" x14ac:dyDescent="0.25">
      <c r="B3991" s="445"/>
      <c r="C3991" s="2525" t="s">
        <v>7469</v>
      </c>
      <c r="D3991" s="2692">
        <f>SUM(D3992:D3994)</f>
        <v>722300000</v>
      </c>
      <c r="E3991" s="3214">
        <f>D3991/D3691*100</f>
        <v>0.66876462905265766</v>
      </c>
      <c r="F3991" s="3834"/>
      <c r="G3991" s="3217"/>
      <c r="H3991" s="3217"/>
      <c r="I3991" s="3217"/>
      <c r="J3991" s="2679"/>
      <c r="K3991" s="2679"/>
      <c r="L3991" s="2722"/>
      <c r="M3991" s="2722"/>
      <c r="N3991" s="2768"/>
    </row>
    <row r="3992" spans="1:16" ht="17.25" hidden="1" customHeight="1" x14ac:dyDescent="0.25">
      <c r="B3992" s="441"/>
      <c r="C3992" s="2524" t="s">
        <v>7470</v>
      </c>
      <c r="D3992" s="896">
        <v>151300000</v>
      </c>
      <c r="E3992" s="2879">
        <f>D3992/D3691*100</f>
        <v>0.14008595926300305</v>
      </c>
      <c r="F3992" s="4414"/>
      <c r="G3992" s="3216"/>
      <c r="H3992" s="3216"/>
      <c r="I3992" s="3216"/>
      <c r="J3992" s="3534"/>
      <c r="K3992" s="3535"/>
      <c r="L3992" s="3216"/>
      <c r="M3992" s="2685"/>
      <c r="N3992" s="2768"/>
    </row>
    <row r="3993" spans="1:16" ht="16.5" hidden="1" customHeight="1" x14ac:dyDescent="0.25">
      <c r="B3993" s="441"/>
      <c r="C3993" s="2524" t="s">
        <v>7554</v>
      </c>
      <c r="D3993" s="896">
        <v>100000000</v>
      </c>
      <c r="E3993" s="2879">
        <f>D3993/D3691*100</f>
        <v>9.2588208369466643E-2</v>
      </c>
      <c r="F3993" s="4414"/>
      <c r="G3993" s="3216"/>
      <c r="H3993" s="3216"/>
      <c r="I3993" s="3216"/>
      <c r="J3993" s="3534"/>
      <c r="K3993" s="3216"/>
      <c r="L3993" s="3216"/>
      <c r="M3993" s="2685"/>
      <c r="N3993" s="2768"/>
    </row>
    <row r="3994" spans="1:16" s="196" customFormat="1" ht="16.5" hidden="1" customHeight="1" x14ac:dyDescent="0.25">
      <c r="A3994" s="12"/>
      <c r="B3994" s="442"/>
      <c r="C3994" s="2524" t="s">
        <v>7471</v>
      </c>
      <c r="D3994" s="2698">
        <v>471000000</v>
      </c>
      <c r="E3994" s="2879">
        <f>D3994/D3691*100</f>
        <v>0.43609046142018792</v>
      </c>
      <c r="F3994" s="4384"/>
      <c r="G3994" s="2685"/>
      <c r="H3994" s="2810"/>
      <c r="I3994" s="896"/>
      <c r="J3994" s="2685"/>
      <c r="K3994" s="896"/>
      <c r="L3994" s="896"/>
      <c r="M3994" s="2757"/>
      <c r="N3994" s="2951"/>
      <c r="P3994" s="631"/>
    </row>
    <row r="3995" spans="1:16" ht="12" hidden="1" customHeight="1" x14ac:dyDescent="0.25">
      <c r="B3995" s="441"/>
      <c r="C3995" s="2528"/>
      <c r="D3995" s="2724"/>
      <c r="E3995" s="2840"/>
      <c r="F3995" s="4380"/>
      <c r="G3995" s="3132"/>
      <c r="H3995" s="2801"/>
      <c r="I3995" s="2751"/>
      <c r="J3995" s="2830"/>
      <c r="K3995" s="3139"/>
      <c r="L3995" s="2755"/>
      <c r="M3995" s="3342"/>
      <c r="N3995" s="2768"/>
    </row>
    <row r="3996" spans="1:16" ht="18" hidden="1" customHeight="1" x14ac:dyDescent="0.25">
      <c r="B3996" s="440"/>
      <c r="C3996" s="2497" t="s">
        <v>7472</v>
      </c>
      <c r="D3996" s="2669">
        <f>SUM(D3997+D4005+D4009+D406)</f>
        <v>1932608000</v>
      </c>
      <c r="E3996" s="2786">
        <f>D3996/D3691*100</f>
        <v>1.7893671220049823</v>
      </c>
      <c r="F3996" s="3835"/>
      <c r="G3996" s="2719"/>
      <c r="H3996" s="2719"/>
      <c r="I3996" s="2719"/>
      <c r="J3996" s="2719"/>
      <c r="K3996" s="2719"/>
      <c r="L3996" s="2786"/>
      <c r="M3996" s="2987"/>
      <c r="N3996" s="2768"/>
    </row>
    <row r="3997" spans="1:16" ht="15.75" hidden="1" customHeight="1" x14ac:dyDescent="0.25">
      <c r="B3997" s="441"/>
      <c r="C3997" s="2525" t="s">
        <v>7474</v>
      </c>
      <c r="D3997" s="2721">
        <f>SUM(D3998:D4003)</f>
        <v>1152608000</v>
      </c>
      <c r="E3997" s="3214">
        <f>D3997/D3691*100</f>
        <v>1.0671790967231423</v>
      </c>
      <c r="F3997" s="3839"/>
      <c r="G3997" s="3217"/>
      <c r="H3997" s="3217"/>
      <c r="I3997" s="3217"/>
      <c r="J3997" s="2722"/>
      <c r="K3997" s="2722"/>
      <c r="L3997" s="3214"/>
      <c r="M3997" s="3005"/>
      <c r="N3997" s="2768"/>
    </row>
    <row r="3998" spans="1:16" ht="16.5" hidden="1" customHeight="1" x14ac:dyDescent="0.25">
      <c r="B3998" s="441"/>
      <c r="C3998" s="2524" t="s">
        <v>7475</v>
      </c>
      <c r="D3998" s="2698">
        <v>102608000</v>
      </c>
      <c r="E3998" s="2879">
        <f>D3998/D3691*100</f>
        <v>9.5002908843742337E-2</v>
      </c>
      <c r="F3998" s="4384"/>
      <c r="G3998" s="3216"/>
      <c r="H3998" s="3216"/>
      <c r="I3998" s="3216"/>
      <c r="J3998" s="3534"/>
      <c r="K3998" s="3535"/>
      <c r="L3998" s="2810"/>
      <c r="M3998" s="2757"/>
      <c r="N3998" s="2768"/>
    </row>
    <row r="3999" spans="1:16" ht="15.75" hidden="1" customHeight="1" x14ac:dyDescent="0.25">
      <c r="B3999" s="441"/>
      <c r="C3999" s="2524" t="s">
        <v>7476</v>
      </c>
      <c r="D3999" s="2698">
        <v>150000000</v>
      </c>
      <c r="E3999" s="2879">
        <f>D3999/D3691*100</f>
        <v>0.13888231255419997</v>
      </c>
      <c r="F3999" s="4384"/>
      <c r="G3999" s="3216"/>
      <c r="H3999" s="3216"/>
      <c r="I3999" s="3216"/>
      <c r="J3999" s="3534"/>
      <c r="K3999" s="3559"/>
      <c r="L3999" s="2685"/>
      <c r="M3999" s="2685"/>
      <c r="N3999" s="2768"/>
    </row>
    <row r="4000" spans="1:16" ht="16.5" hidden="1" customHeight="1" x14ac:dyDescent="0.25">
      <c r="B4000" s="441"/>
      <c r="C4000" s="2524" t="s">
        <v>7477</v>
      </c>
      <c r="D4000" s="2698">
        <v>150000000</v>
      </c>
      <c r="E4000" s="2879">
        <f>D4000/D3691*100</f>
        <v>0.13888231255419997</v>
      </c>
      <c r="F4000" s="4384"/>
      <c r="G4000" s="3216"/>
      <c r="H4000" s="3216"/>
      <c r="I4000" s="3216"/>
      <c r="J4000" s="3534"/>
      <c r="K4000" s="3535"/>
      <c r="L4000" s="2810"/>
      <c r="M4000" s="2757"/>
      <c r="N4000" s="2768"/>
    </row>
    <row r="4001" spans="1:16" ht="16.5" hidden="1" customHeight="1" x14ac:dyDescent="0.25">
      <c r="B4001" s="441"/>
      <c r="C4001" s="2526" t="s">
        <v>7478</v>
      </c>
      <c r="D4001" s="2724">
        <v>400000000</v>
      </c>
      <c r="E4001" s="2879">
        <f>D4001/D3691*100</f>
        <v>0.37035283347786657</v>
      </c>
      <c r="F4001" s="4380"/>
      <c r="G4001" s="3542"/>
      <c r="H4001" s="3542"/>
      <c r="I4001" s="3542"/>
      <c r="J4001" s="3538"/>
      <c r="K4001" s="3557"/>
      <c r="L4001" s="2818"/>
      <c r="M4001" s="2742"/>
      <c r="N4001" s="2768"/>
    </row>
    <row r="4002" spans="1:16" ht="16.5" hidden="1" customHeight="1" x14ac:dyDescent="0.25">
      <c r="B4002" s="441"/>
      <c r="C4002" s="2524" t="s">
        <v>7479</v>
      </c>
      <c r="D4002" s="2698">
        <v>300000000</v>
      </c>
      <c r="E4002" s="2879">
        <f>D4002/D3691*100</f>
        <v>0.27776462510839994</v>
      </c>
      <c r="F4002" s="4384"/>
      <c r="G4002" s="3216"/>
      <c r="H4002" s="3216"/>
      <c r="I4002" s="3216"/>
      <c r="J4002" s="3534"/>
      <c r="K4002" s="3535"/>
      <c r="L4002" s="2810"/>
      <c r="M4002" s="2757"/>
      <c r="N4002" s="2768"/>
    </row>
    <row r="4003" spans="1:16" ht="16.5" hidden="1" customHeight="1" x14ac:dyDescent="0.25">
      <c r="B4003" s="441"/>
      <c r="C4003" s="2524" t="s">
        <v>7480</v>
      </c>
      <c r="D4003" s="2698">
        <v>50000000</v>
      </c>
      <c r="E4003" s="2879">
        <f>D4003/D3691*100</f>
        <v>4.6294104184733322E-2</v>
      </c>
      <c r="F4003" s="4384"/>
      <c r="G4003" s="3216"/>
      <c r="H4003" s="3216"/>
      <c r="I4003" s="3216"/>
      <c r="J4003" s="3534"/>
      <c r="K4003" s="3535"/>
      <c r="L4003" s="2810"/>
      <c r="M4003" s="2757"/>
      <c r="N4003" s="2768"/>
    </row>
    <row r="4004" spans="1:16" ht="13.5" hidden="1" customHeight="1" x14ac:dyDescent="0.25">
      <c r="B4004" s="441"/>
      <c r="C4004" s="2526"/>
      <c r="D4004" s="2724"/>
      <c r="E4004" s="2879"/>
      <c r="F4004" s="4384"/>
      <c r="G4004" s="3216"/>
      <c r="H4004" s="3216"/>
      <c r="I4004" s="3216"/>
      <c r="J4004" s="3534"/>
      <c r="K4004" s="3535"/>
      <c r="L4004" s="2810"/>
      <c r="M4004" s="2757"/>
      <c r="N4004" s="2768"/>
    </row>
    <row r="4005" spans="1:16" ht="16.5" hidden="1" customHeight="1" x14ac:dyDescent="0.25">
      <c r="B4005" s="441"/>
      <c r="C4005" s="2525" t="s">
        <v>7481</v>
      </c>
      <c r="D4005" s="2692">
        <f>SUM(D4006:D4007)</f>
        <v>315350000</v>
      </c>
      <c r="E4005" s="3214">
        <f>D4005/D3691*100</f>
        <v>0.29197691509311308</v>
      </c>
      <c r="F4005" s="4384"/>
      <c r="G4005" s="3216"/>
      <c r="H4005" s="3216"/>
      <c r="I4005" s="3216"/>
      <c r="J4005" s="3534"/>
      <c r="K4005" s="3535"/>
      <c r="L4005" s="2818"/>
      <c r="M4005" s="2742"/>
      <c r="N4005" s="2768"/>
    </row>
    <row r="4006" spans="1:16" ht="16.5" hidden="1" customHeight="1" x14ac:dyDescent="0.25">
      <c r="B4006" s="441"/>
      <c r="C4006" s="2524" t="s">
        <v>7482</v>
      </c>
      <c r="D4006" s="2698">
        <v>150000000</v>
      </c>
      <c r="E4006" s="2879">
        <f>D4006/D3691*100</f>
        <v>0.13888231255419997</v>
      </c>
      <c r="F4006" s="4384"/>
      <c r="G4006" s="3216"/>
      <c r="H4006" s="3216"/>
      <c r="I4006" s="3216"/>
      <c r="J4006" s="3534"/>
      <c r="K4006" s="3535"/>
      <c r="L4006" s="2818"/>
      <c r="M4006" s="2742"/>
      <c r="N4006" s="2768"/>
    </row>
    <row r="4007" spans="1:16" ht="16.5" hidden="1" customHeight="1" x14ac:dyDescent="0.25">
      <c r="B4007" s="441"/>
      <c r="C4007" s="2524" t="s">
        <v>7483</v>
      </c>
      <c r="D4007" s="2698">
        <v>165350000</v>
      </c>
      <c r="E4007" s="2879">
        <f>D4007/D3691*100</f>
        <v>0.1530946025389131</v>
      </c>
      <c r="F4007" s="4384"/>
      <c r="G4007" s="3216"/>
      <c r="H4007" s="3216"/>
      <c r="I4007" s="3216"/>
      <c r="J4007" s="3534"/>
      <c r="K4007" s="3535"/>
      <c r="L4007" s="2818"/>
      <c r="M4007" s="2742"/>
      <c r="N4007" s="2768"/>
    </row>
    <row r="4008" spans="1:16" ht="10.5" hidden="1" customHeight="1" x14ac:dyDescent="0.25">
      <c r="B4008" s="441"/>
      <c r="C4008" s="2524"/>
      <c r="D4008" s="2698"/>
      <c r="E4008" s="2879"/>
      <c r="F4008" s="4384"/>
      <c r="G4008" s="3216"/>
      <c r="H4008" s="3216"/>
      <c r="I4008" s="3216"/>
      <c r="J4008" s="3534"/>
      <c r="K4008" s="3535"/>
      <c r="L4008" s="2818"/>
      <c r="M4008" s="2742"/>
      <c r="N4008" s="2768"/>
    </row>
    <row r="4009" spans="1:16" ht="16.5" hidden="1" customHeight="1" x14ac:dyDescent="0.25">
      <c r="B4009" s="441"/>
      <c r="C4009" s="2525" t="s">
        <v>7484</v>
      </c>
      <c r="D4009" s="2692">
        <f>SUM(D4010:D4013)</f>
        <v>464650000</v>
      </c>
      <c r="E4009" s="3214">
        <f>D4009/D3691*100</f>
        <v>0.43021111018872676</v>
      </c>
      <c r="F4009" s="4384"/>
      <c r="G4009" s="3216"/>
      <c r="H4009" s="3216"/>
      <c r="I4009" s="3216"/>
      <c r="J4009" s="3534"/>
      <c r="K4009" s="3535"/>
      <c r="L4009" s="2818"/>
      <c r="M4009" s="2742"/>
      <c r="N4009" s="2768"/>
    </row>
    <row r="4010" spans="1:16" ht="16.5" hidden="1" customHeight="1" x14ac:dyDescent="0.25">
      <c r="B4010" s="441"/>
      <c r="C4010" s="2524" t="s">
        <v>7485</v>
      </c>
      <c r="D4010" s="2698">
        <v>100000000</v>
      </c>
      <c r="E4010" s="2879">
        <f>D4010/D3691*100</f>
        <v>9.2588208369466643E-2</v>
      </c>
      <c r="F4010" s="4384"/>
      <c r="G4010" s="3216"/>
      <c r="H4010" s="3216"/>
      <c r="I4010" s="3216"/>
      <c r="J4010" s="3534"/>
      <c r="K4010" s="3535"/>
      <c r="L4010" s="2818"/>
      <c r="M4010" s="2742"/>
      <c r="N4010" s="2768"/>
    </row>
    <row r="4011" spans="1:16" ht="16.5" hidden="1" customHeight="1" x14ac:dyDescent="0.25">
      <c r="B4011" s="441"/>
      <c r="C4011" s="2524" t="s">
        <v>7486</v>
      </c>
      <c r="D4011" s="2698">
        <v>114650000</v>
      </c>
      <c r="E4011" s="2879">
        <f>D4011/D3691*100</f>
        <v>0.10615238089559352</v>
      </c>
      <c r="F4011" s="4384"/>
      <c r="G4011" s="3216"/>
      <c r="H4011" s="3216"/>
      <c r="I4011" s="3216"/>
      <c r="J4011" s="3534"/>
      <c r="K4011" s="3535"/>
      <c r="L4011" s="2818"/>
      <c r="M4011" s="2742"/>
      <c r="N4011" s="2768"/>
    </row>
    <row r="4012" spans="1:16" s="196" customFormat="1" ht="16.5" hidden="1" customHeight="1" x14ac:dyDescent="0.25">
      <c r="A4012" s="12"/>
      <c r="B4012" s="442"/>
      <c r="C4012" s="2524" t="s">
        <v>7487</v>
      </c>
      <c r="D4012" s="2698">
        <v>150000000</v>
      </c>
      <c r="E4012" s="2879">
        <f>D4012/D3691*100</f>
        <v>0.13888231255419997</v>
      </c>
      <c r="F4012" s="4384"/>
      <c r="G4012" s="3216"/>
      <c r="H4012" s="3216"/>
      <c r="I4012" s="3216"/>
      <c r="J4012" s="3534"/>
      <c r="K4012" s="3535"/>
      <c r="L4012" s="2818"/>
      <c r="M4012" s="2742"/>
      <c r="N4012" s="2951"/>
      <c r="P4012" s="631"/>
    </row>
    <row r="4013" spans="1:16" s="196" customFormat="1" ht="16.5" hidden="1" customHeight="1" x14ac:dyDescent="0.25">
      <c r="A4013" s="12"/>
      <c r="B4013" s="442"/>
      <c r="C4013" s="2524" t="s">
        <v>7488</v>
      </c>
      <c r="D4013" s="2698">
        <v>100000000</v>
      </c>
      <c r="E4013" s="2879">
        <f>D4013/D3691*100</f>
        <v>9.2588208369466643E-2</v>
      </c>
      <c r="F4013" s="4384"/>
      <c r="G4013" s="3216"/>
      <c r="H4013" s="3216"/>
      <c r="I4013" s="3216"/>
      <c r="J4013" s="3534"/>
      <c r="K4013" s="3535"/>
      <c r="L4013" s="2818"/>
      <c r="M4013" s="2742"/>
      <c r="N4013" s="2951"/>
      <c r="P4013" s="631"/>
    </row>
    <row r="4014" spans="1:16" ht="15.75" hidden="1" customHeight="1" x14ac:dyDescent="0.25">
      <c r="B4014" s="441"/>
      <c r="C4014" s="2626"/>
      <c r="D4014" s="2838"/>
      <c r="E4014" s="2895"/>
      <c r="F4014" s="4485"/>
      <c r="G4014" s="2911"/>
      <c r="H4014" s="2895"/>
      <c r="I4014" s="3006"/>
      <c r="J4014" s="2911"/>
      <c r="K4014" s="898"/>
      <c r="L4014" s="911"/>
      <c r="M4014" s="3347"/>
      <c r="N4014" s="2768"/>
    </row>
    <row r="4015" spans="1:16" ht="20.25" hidden="1" customHeight="1" x14ac:dyDescent="0.25">
      <c r="B4015" s="440"/>
      <c r="C4015" s="2497" t="s">
        <v>7489</v>
      </c>
      <c r="D4015" s="2669">
        <f>SUM(D4016+D4019+D4023+D4027+D4031+D4038+D4041+D4044+D4048+D4052)</f>
        <v>3350520300</v>
      </c>
      <c r="E4015" s="2786">
        <f>D4015/D3691*100</f>
        <v>3.1021867168252792</v>
      </c>
      <c r="F4015" s="3835"/>
      <c r="G4015" s="2719"/>
      <c r="H4015" s="2786"/>
      <c r="I4015" s="2744"/>
      <c r="J4015" s="2719"/>
      <c r="K4015" s="2719"/>
      <c r="L4015" s="2786"/>
      <c r="M4015" s="2987"/>
      <c r="N4015" s="2768"/>
    </row>
    <row r="4016" spans="1:16" ht="28.5" hidden="1" customHeight="1" x14ac:dyDescent="0.25">
      <c r="B4016" s="441"/>
      <c r="C4016" s="2525" t="s">
        <v>7490</v>
      </c>
      <c r="D4016" s="2676">
        <f>D4017</f>
        <v>0</v>
      </c>
      <c r="E4016" s="3214">
        <f>D4016/D3691*100</f>
        <v>0</v>
      </c>
      <c r="F4016" s="3841"/>
      <c r="G4016" s="3217"/>
      <c r="H4016" s="3217"/>
      <c r="I4016" s="3217"/>
      <c r="J4016" s="2725"/>
      <c r="K4016" s="2725"/>
      <c r="L4016" s="3214"/>
      <c r="M4016" s="3005"/>
      <c r="N4016" s="2768"/>
    </row>
    <row r="4017" spans="2:16" ht="16.5" hidden="1" customHeight="1" x14ac:dyDescent="0.25">
      <c r="B4017" s="441"/>
      <c r="C4017" s="2524" t="s">
        <v>7491</v>
      </c>
      <c r="D4017" s="2698">
        <v>0</v>
      </c>
      <c r="E4017" s="2879">
        <f>D4017/D3691*100</f>
        <v>0</v>
      </c>
      <c r="F4017" s="4384"/>
      <c r="G4017" s="3216"/>
      <c r="H4017" s="3216"/>
      <c r="I4017" s="3216"/>
      <c r="J4017" s="3534"/>
      <c r="K4017" s="3535"/>
      <c r="L4017" s="2685"/>
      <c r="M4017" s="2685"/>
      <c r="N4017" s="2768"/>
    </row>
    <row r="4018" spans="2:16" ht="12" hidden="1" customHeight="1" x14ac:dyDescent="0.25">
      <c r="B4018" s="441"/>
      <c r="C4018" s="2524"/>
      <c r="D4018" s="2698"/>
      <c r="E4018" s="3556"/>
      <c r="F4018" s="4384"/>
      <c r="G4018" s="3216"/>
      <c r="H4018" s="3216"/>
      <c r="I4018" s="3216"/>
      <c r="J4018" s="3534"/>
      <c r="K4018" s="3535"/>
      <c r="L4018" s="2810"/>
      <c r="M4018" s="2757"/>
      <c r="N4018" s="2768"/>
    </row>
    <row r="4019" spans="2:16" ht="16.5" hidden="1" customHeight="1" x14ac:dyDescent="0.25">
      <c r="B4019" s="441"/>
      <c r="C4019" s="2521" t="s">
        <v>7492</v>
      </c>
      <c r="D4019" s="2692">
        <f>SUM(D4020:D4021)</f>
        <v>277980000</v>
      </c>
      <c r="E4019" s="3214">
        <f>D4019/D3691*100</f>
        <v>0.2573767016254434</v>
      </c>
      <c r="F4019" s="3834"/>
      <c r="G4019" s="3064"/>
      <c r="H4019" s="3445"/>
      <c r="I4019" s="2679"/>
      <c r="J4019" s="3217"/>
      <c r="K4019" s="3217"/>
      <c r="L4019" s="3442"/>
      <c r="M4019" s="3042"/>
      <c r="N4019" s="2768"/>
    </row>
    <row r="4020" spans="2:16" ht="17.25" hidden="1" customHeight="1" x14ac:dyDescent="0.25">
      <c r="B4020" s="441"/>
      <c r="C4020" s="2524" t="s">
        <v>7493</v>
      </c>
      <c r="D4020" s="2698">
        <v>177310000</v>
      </c>
      <c r="E4020" s="2879">
        <f>D4020/122925060000*100</f>
        <v>0.14424235383737052</v>
      </c>
      <c r="F4020" s="4384"/>
      <c r="G4020" s="3216"/>
      <c r="H4020" s="3216"/>
      <c r="I4020" s="3216"/>
      <c r="J4020" s="3216"/>
      <c r="K4020" s="3216"/>
      <c r="L4020" s="2685"/>
      <c r="M4020" s="2685"/>
      <c r="N4020" s="2768"/>
    </row>
    <row r="4021" spans="2:16" ht="17.25" hidden="1" customHeight="1" x14ac:dyDescent="0.25">
      <c r="B4021" s="441"/>
      <c r="C4021" s="2524" t="s">
        <v>7494</v>
      </c>
      <c r="D4021" s="2698">
        <v>100670000</v>
      </c>
      <c r="E4021" s="2879">
        <f>D4021/122925060000*100</f>
        <v>8.1895424740894979E-2</v>
      </c>
      <c r="F4021" s="4384"/>
      <c r="G4021" s="2811"/>
      <c r="H4021" s="2810"/>
      <c r="I4021" s="940"/>
      <c r="J4021" s="3534"/>
      <c r="K4021" s="3535"/>
      <c r="L4021" s="898"/>
      <c r="M4021" s="3335"/>
      <c r="N4021" s="2768"/>
    </row>
    <row r="4022" spans="2:16" ht="12" hidden="1" customHeight="1" x14ac:dyDescent="0.25">
      <c r="B4022" s="441"/>
      <c r="C4022" s="2527"/>
      <c r="D4022" s="2698"/>
      <c r="E4022" s="2879"/>
      <c r="F4022" s="4384"/>
      <c r="G4022" s="2685"/>
      <c r="H4022" s="2685"/>
      <c r="I4022" s="2685"/>
      <c r="J4022" s="3216"/>
      <c r="K4022" s="896"/>
      <c r="L4022" s="2810"/>
      <c r="M4022" s="2757"/>
      <c r="N4022" s="2768"/>
    </row>
    <row r="4023" spans="2:16" ht="15.75" hidden="1" customHeight="1" x14ac:dyDescent="0.25">
      <c r="B4023" s="441"/>
      <c r="C4023" s="2525" t="s">
        <v>7495</v>
      </c>
      <c r="D4023" s="2692">
        <f>SUM(D4024:D4025)</f>
        <v>362700000</v>
      </c>
      <c r="E4023" s="3214">
        <f>D4023/D3691*100</f>
        <v>0.33581743175605555</v>
      </c>
      <c r="F4023" s="3834"/>
      <c r="G4023" s="3064"/>
      <c r="H4023" s="2813"/>
      <c r="I4023" s="2759"/>
      <c r="J4023" s="3217"/>
      <c r="K4023" s="3217"/>
      <c r="L4023" s="2813"/>
      <c r="M4023" s="2970"/>
      <c r="N4023" s="2768"/>
    </row>
    <row r="4024" spans="2:16" ht="17.25" hidden="1" customHeight="1" x14ac:dyDescent="0.25">
      <c r="B4024" s="441"/>
      <c r="C4024" s="2524" t="s">
        <v>7496</v>
      </c>
      <c r="D4024" s="2698">
        <v>212700000</v>
      </c>
      <c r="E4024" s="2879">
        <f>D4024/D3691*100</f>
        <v>0.19693511920185558</v>
      </c>
      <c r="F4024" s="4384"/>
      <c r="G4024" s="3216"/>
      <c r="H4024" s="3216"/>
      <c r="I4024" s="3216"/>
      <c r="J4024" s="3216"/>
      <c r="K4024" s="3216"/>
      <c r="L4024" s="3216"/>
      <c r="M4024" s="3216"/>
      <c r="N4024" s="2768"/>
    </row>
    <row r="4025" spans="2:16" ht="16.5" hidden="1" customHeight="1" x14ac:dyDescent="0.25">
      <c r="B4025" s="441"/>
      <c r="C4025" s="2524" t="s">
        <v>7497</v>
      </c>
      <c r="D4025" s="2698">
        <v>150000000</v>
      </c>
      <c r="E4025" s="2879">
        <f>D4025/D3691*100</f>
        <v>0.13888231255419997</v>
      </c>
      <c r="F4025" s="4384"/>
      <c r="G4025" s="3216"/>
      <c r="H4025" s="3216"/>
      <c r="I4025" s="3216"/>
      <c r="J4025" s="3560"/>
      <c r="K4025" s="3559"/>
      <c r="L4025" s="3561"/>
      <c r="M4025" s="2757"/>
      <c r="N4025" s="2768"/>
    </row>
    <row r="4026" spans="2:16" s="1" customFormat="1" ht="11.25" hidden="1" customHeight="1" x14ac:dyDescent="0.25">
      <c r="B4026" s="441"/>
      <c r="C4026" s="2524"/>
      <c r="D4026" s="2698"/>
      <c r="E4026" s="2879"/>
      <c r="F4026" s="4384"/>
      <c r="G4026" s="3216"/>
      <c r="H4026" s="3216"/>
      <c r="I4026" s="3216"/>
      <c r="J4026" s="3216"/>
      <c r="K4026" s="3216"/>
      <c r="L4026" s="3216"/>
      <c r="M4026" s="3216"/>
      <c r="N4026" s="2837"/>
      <c r="P4026" s="220"/>
    </row>
    <row r="4027" spans="2:16" ht="18" hidden="1" customHeight="1" x14ac:dyDescent="0.25">
      <c r="B4027" s="441"/>
      <c r="C4027" s="2525" t="s">
        <v>7498</v>
      </c>
      <c r="D4027" s="2692">
        <f>SUM(D4028:D4029)</f>
        <v>160000000</v>
      </c>
      <c r="E4027" s="3214">
        <f>D4027/D3691*100</f>
        <v>0.14814113339114665</v>
      </c>
      <c r="F4027" s="4384"/>
      <c r="G4027" s="2811"/>
      <c r="H4027" s="2810"/>
      <c r="I4027" s="2685"/>
      <c r="J4027" s="3534"/>
      <c r="K4027" s="3535"/>
      <c r="L4027" s="2685"/>
      <c r="M4027" s="2685"/>
      <c r="N4027" s="2768"/>
    </row>
    <row r="4028" spans="2:16" ht="15.75" hidden="1" customHeight="1" x14ac:dyDescent="0.25">
      <c r="B4028" s="441"/>
      <c r="C4028" s="2526" t="s">
        <v>7499</v>
      </c>
      <c r="D4028" s="2706">
        <v>60000000</v>
      </c>
      <c r="E4028" s="2879">
        <f>D4028/D3691*100</f>
        <v>5.5552925021679987E-2</v>
      </c>
      <c r="F4028" s="4464"/>
      <c r="G4028" s="2849"/>
      <c r="H4028" s="2840"/>
      <c r="I4028" s="2830"/>
      <c r="J4028" s="3562"/>
      <c r="K4028" s="3557"/>
      <c r="L4028" s="2708"/>
      <c r="M4028" s="2708"/>
      <c r="N4028" s="2768"/>
    </row>
    <row r="4029" spans="2:16" ht="16.5" hidden="1" customHeight="1" x14ac:dyDescent="0.25">
      <c r="B4029" s="441"/>
      <c r="C4029" s="2524" t="s">
        <v>7500</v>
      </c>
      <c r="D4029" s="2698">
        <v>100000000</v>
      </c>
      <c r="E4029" s="2879">
        <f>D4029/D3691*100</f>
        <v>9.2588208369466643E-2</v>
      </c>
      <c r="F4029" s="4384"/>
      <c r="G4029" s="2811"/>
      <c r="H4029" s="2810"/>
      <c r="I4029" s="2685"/>
      <c r="J4029" s="3534"/>
      <c r="K4029" s="3535"/>
      <c r="L4029" s="2685"/>
      <c r="M4029" s="2685"/>
      <c r="N4029" s="2768"/>
    </row>
    <row r="4030" spans="2:16" ht="11.25" hidden="1" customHeight="1" x14ac:dyDescent="0.25">
      <c r="B4030" s="441"/>
      <c r="C4030" s="2524"/>
      <c r="D4030" s="2698"/>
      <c r="E4030" s="2879"/>
      <c r="F4030" s="4384"/>
      <c r="G4030" s="2811"/>
      <c r="H4030" s="2810"/>
      <c r="I4030" s="2685"/>
      <c r="J4030" s="3534"/>
      <c r="K4030" s="3535"/>
      <c r="L4030" s="2685"/>
      <c r="M4030" s="2685"/>
      <c r="N4030" s="2768"/>
    </row>
    <row r="4031" spans="2:16" ht="19.5" hidden="1" customHeight="1" x14ac:dyDescent="0.25">
      <c r="B4031" s="441"/>
      <c r="C4031" s="2525" t="s">
        <v>7501</v>
      </c>
      <c r="D4031" s="2692">
        <f>SUM(D4032:D4036)</f>
        <v>645000000</v>
      </c>
      <c r="E4031" s="3214">
        <f>D4031/D3691*100</f>
        <v>0.59719394398305992</v>
      </c>
      <c r="F4031" s="4384"/>
      <c r="G4031" s="2811"/>
      <c r="H4031" s="2810"/>
      <c r="I4031" s="2685"/>
      <c r="J4031" s="3534"/>
      <c r="K4031" s="3535"/>
      <c r="L4031" s="2685"/>
      <c r="M4031" s="2685"/>
      <c r="N4031" s="2768"/>
    </row>
    <row r="4032" spans="2:16" ht="15.75" hidden="1" customHeight="1" x14ac:dyDescent="0.25">
      <c r="B4032" s="441"/>
      <c r="C4032" s="2524" t="s">
        <v>7502</v>
      </c>
      <c r="D4032" s="2698">
        <v>205000000</v>
      </c>
      <c r="E4032" s="2879">
        <f>D4032/D3691*100</f>
        <v>0.18980582715740663</v>
      </c>
      <c r="F4032" s="4384"/>
      <c r="G4032" s="2811"/>
      <c r="H4032" s="2810"/>
      <c r="I4032" s="2685"/>
      <c r="J4032" s="3534"/>
      <c r="K4032" s="3535"/>
      <c r="L4032" s="2685"/>
      <c r="M4032" s="2685"/>
      <c r="N4032" s="2768"/>
    </row>
    <row r="4033" spans="1:16" ht="15.75" hidden="1" customHeight="1" x14ac:dyDescent="0.25">
      <c r="B4033" s="441"/>
      <c r="C4033" s="2524" t="s">
        <v>7503</v>
      </c>
      <c r="D4033" s="2698">
        <v>130000000</v>
      </c>
      <c r="E4033" s="2879">
        <f>D4033/D3691*100</f>
        <v>0.12036467088030664</v>
      </c>
      <c r="F4033" s="4384"/>
      <c r="G4033" s="2811"/>
      <c r="H4033" s="2810"/>
      <c r="I4033" s="2685"/>
      <c r="J4033" s="3534"/>
      <c r="K4033" s="3535"/>
      <c r="L4033" s="2685"/>
      <c r="M4033" s="2685"/>
      <c r="N4033" s="2768"/>
    </row>
    <row r="4034" spans="1:16" ht="15.75" hidden="1" customHeight="1" x14ac:dyDescent="0.25">
      <c r="B4034" s="441"/>
      <c r="C4034" s="2524" t="s">
        <v>7504</v>
      </c>
      <c r="D4034" s="2698">
        <v>110000000</v>
      </c>
      <c r="E4034" s="2879">
        <f>D4034/D3691*100</f>
        <v>0.10184702920641331</v>
      </c>
      <c r="F4034" s="4384"/>
      <c r="G4034" s="2811"/>
      <c r="H4034" s="2810"/>
      <c r="I4034" s="2685"/>
      <c r="J4034" s="3534"/>
      <c r="K4034" s="3535"/>
      <c r="L4034" s="2685"/>
      <c r="M4034" s="2685"/>
      <c r="N4034" s="2768"/>
    </row>
    <row r="4035" spans="1:16" ht="15.75" hidden="1" customHeight="1" x14ac:dyDescent="0.25">
      <c r="B4035" s="441"/>
      <c r="C4035" s="2524" t="s">
        <v>7505</v>
      </c>
      <c r="D4035" s="2698">
        <v>75000000</v>
      </c>
      <c r="E4035" s="2879">
        <f>D4035/D3691*100</f>
        <v>6.9441156277099986E-2</v>
      </c>
      <c r="F4035" s="4384"/>
      <c r="G4035" s="2811"/>
      <c r="H4035" s="2810"/>
      <c r="I4035" s="2685"/>
      <c r="J4035" s="3534"/>
      <c r="K4035" s="3535"/>
      <c r="L4035" s="2685"/>
      <c r="M4035" s="2685"/>
      <c r="N4035" s="2768"/>
    </row>
    <row r="4036" spans="1:16" ht="15.75" hidden="1" customHeight="1" x14ac:dyDescent="0.25">
      <c r="B4036" s="441"/>
      <c r="C4036" s="2524" t="s">
        <v>7506</v>
      </c>
      <c r="D4036" s="2698">
        <v>125000000</v>
      </c>
      <c r="E4036" s="2879">
        <f>D4036/D3691*100</f>
        <v>0.11573526046183333</v>
      </c>
      <c r="F4036" s="4384"/>
      <c r="G4036" s="2811"/>
      <c r="H4036" s="2810"/>
      <c r="I4036" s="2685"/>
      <c r="J4036" s="3534"/>
      <c r="K4036" s="3535"/>
      <c r="L4036" s="2685"/>
      <c r="M4036" s="2685"/>
      <c r="N4036" s="2768"/>
    </row>
    <row r="4037" spans="1:16" ht="14.25" hidden="1" customHeight="1" x14ac:dyDescent="0.25">
      <c r="B4037" s="441"/>
      <c r="C4037" s="2525"/>
      <c r="D4037" s="2698"/>
      <c r="E4037" s="2879"/>
      <c r="F4037" s="4384"/>
      <c r="G4037" s="2811"/>
      <c r="H4037" s="2810"/>
      <c r="I4037" s="2685"/>
      <c r="J4037" s="3534"/>
      <c r="K4037" s="3535"/>
      <c r="L4037" s="2685"/>
      <c r="M4037" s="2685"/>
      <c r="N4037" s="2768"/>
    </row>
    <row r="4038" spans="1:16" ht="15.75" hidden="1" customHeight="1" x14ac:dyDescent="0.25">
      <c r="B4038" s="441"/>
      <c r="C4038" s="2525" t="s">
        <v>3040</v>
      </c>
      <c r="D4038" s="2692">
        <f>D4039</f>
        <v>423650000</v>
      </c>
      <c r="E4038" s="3214">
        <f>D4038/D3691*100</f>
        <v>0.39224994475724551</v>
      </c>
      <c r="F4038" s="4384"/>
      <c r="G4038" s="2811"/>
      <c r="H4038" s="2810"/>
      <c r="I4038" s="2685"/>
      <c r="J4038" s="3534"/>
      <c r="K4038" s="3535"/>
      <c r="L4038" s="2685"/>
      <c r="M4038" s="2685"/>
      <c r="N4038" s="2768"/>
    </row>
    <row r="4039" spans="1:16" ht="16.5" hidden="1" customHeight="1" x14ac:dyDescent="0.25">
      <c r="B4039" s="441"/>
      <c r="C4039" s="2524" t="s">
        <v>3041</v>
      </c>
      <c r="D4039" s="2698">
        <v>423650000</v>
      </c>
      <c r="E4039" s="2879">
        <f>D4039/D3691*100</f>
        <v>0.39224994475724551</v>
      </c>
      <c r="F4039" s="4384"/>
      <c r="G4039" s="2811"/>
      <c r="H4039" s="2810"/>
      <c r="I4039" s="2685"/>
      <c r="J4039" s="3534"/>
      <c r="K4039" s="3535"/>
      <c r="L4039" s="2685"/>
      <c r="M4039" s="2685"/>
      <c r="N4039" s="2768"/>
    </row>
    <row r="4040" spans="1:16" ht="10.5" hidden="1" customHeight="1" x14ac:dyDescent="0.25">
      <c r="B4040" s="441"/>
      <c r="C4040" s="2526"/>
      <c r="D4040" s="2724"/>
      <c r="E4040" s="2840"/>
      <c r="F4040" s="4380"/>
      <c r="G4040" s="2849"/>
      <c r="H4040" s="2840"/>
      <c r="I4040" s="2830"/>
      <c r="J4040" s="3538"/>
      <c r="K4040" s="3539"/>
      <c r="L4040" s="2830"/>
      <c r="M4040" s="2830"/>
      <c r="N4040" s="2768"/>
    </row>
    <row r="4041" spans="1:16" s="32" customFormat="1" ht="16.5" hidden="1" customHeight="1" x14ac:dyDescent="0.25">
      <c r="A4041" s="1"/>
      <c r="B4041" s="441"/>
      <c r="C4041" s="2525" t="s">
        <v>7507</v>
      </c>
      <c r="D4041" s="2692">
        <f>D4042</f>
        <v>45660000</v>
      </c>
      <c r="E4041" s="3214">
        <f>D4041/D3691*100</f>
        <v>4.2275775941498471E-2</v>
      </c>
      <c r="F4041" s="3834"/>
      <c r="G4041" s="3064"/>
      <c r="H4041" s="2813"/>
      <c r="I4041" s="2679"/>
      <c r="J4041" s="4382"/>
      <c r="K4041" s="4381"/>
      <c r="L4041" s="2679"/>
      <c r="M4041" s="2679"/>
      <c r="N4041" s="2837"/>
      <c r="P4041" s="630"/>
    </row>
    <row r="4042" spans="1:16" ht="16.5" hidden="1" customHeight="1" x14ac:dyDescent="0.25">
      <c r="B4042" s="441"/>
      <c r="C4042" s="2524" t="s">
        <v>7508</v>
      </c>
      <c r="D4042" s="2698">
        <v>45660000</v>
      </c>
      <c r="E4042" s="2879">
        <f>D4042/D3691*100</f>
        <v>4.2275775941498471E-2</v>
      </c>
      <c r="F4042" s="4384"/>
      <c r="G4042" s="2811"/>
      <c r="H4042" s="2810"/>
      <c r="I4042" s="2685"/>
      <c r="J4042" s="3534"/>
      <c r="K4042" s="3535"/>
      <c r="L4042" s="2685"/>
      <c r="M4042" s="2685"/>
      <c r="N4042" s="2768"/>
    </row>
    <row r="4043" spans="1:16" ht="9.75" hidden="1" customHeight="1" x14ac:dyDescent="0.25">
      <c r="B4043" s="441"/>
      <c r="C4043" s="2524"/>
      <c r="D4043" s="2698"/>
      <c r="E4043" s="2810"/>
      <c r="F4043" s="4384"/>
      <c r="G4043" s="2811"/>
      <c r="H4043" s="2810"/>
      <c r="I4043" s="2685"/>
      <c r="J4043" s="3534"/>
      <c r="K4043" s="3535"/>
      <c r="L4043" s="2685"/>
      <c r="M4043" s="2685"/>
      <c r="N4043" s="2768"/>
    </row>
    <row r="4044" spans="1:16" s="32" customFormat="1" ht="16.5" hidden="1" customHeight="1" x14ac:dyDescent="0.25">
      <c r="A4044" s="1"/>
      <c r="B4044" s="441"/>
      <c r="C4044" s="2525" t="s">
        <v>7509</v>
      </c>
      <c r="D4044" s="2692">
        <f>SUM(D4045:D4046)</f>
        <v>0</v>
      </c>
      <c r="E4044" s="2813"/>
      <c r="F4044" s="3834"/>
      <c r="G4044" s="3064"/>
      <c r="H4044" s="2813"/>
      <c r="I4044" s="2679"/>
      <c r="J4044" s="4382"/>
      <c r="K4044" s="4381"/>
      <c r="L4044" s="2679"/>
      <c r="M4044" s="2679"/>
      <c r="N4044" s="2837"/>
      <c r="P4044" s="630"/>
    </row>
    <row r="4045" spans="1:16" ht="16.5" hidden="1" customHeight="1" x14ac:dyDescent="0.25">
      <c r="B4045" s="441"/>
      <c r="C4045" s="2524" t="s">
        <v>7510</v>
      </c>
      <c r="D4045" s="2698">
        <v>0</v>
      </c>
      <c r="E4045" s="2810"/>
      <c r="F4045" s="4384"/>
      <c r="G4045" s="2811"/>
      <c r="H4045" s="2810"/>
      <c r="I4045" s="2685"/>
      <c r="J4045" s="3534"/>
      <c r="K4045" s="3535"/>
      <c r="L4045" s="2685"/>
      <c r="M4045" s="2685"/>
      <c r="N4045" s="2768"/>
    </row>
    <row r="4046" spans="1:16" ht="16.5" hidden="1" customHeight="1" x14ac:dyDescent="0.25">
      <c r="B4046" s="441"/>
      <c r="C4046" s="2524" t="s">
        <v>7511</v>
      </c>
      <c r="D4046" s="2698">
        <v>0</v>
      </c>
      <c r="E4046" s="2810"/>
      <c r="F4046" s="4384"/>
      <c r="G4046" s="2811"/>
      <c r="H4046" s="2810"/>
      <c r="I4046" s="2685"/>
      <c r="J4046" s="3534"/>
      <c r="K4046" s="3535"/>
      <c r="L4046" s="2685"/>
      <c r="M4046" s="2685"/>
      <c r="N4046" s="2768"/>
    </row>
    <row r="4047" spans="1:16" ht="9.75" hidden="1" customHeight="1" x14ac:dyDescent="0.25">
      <c r="B4047" s="441"/>
      <c r="C4047" s="2524"/>
      <c r="D4047" s="2698"/>
      <c r="E4047" s="2810"/>
      <c r="F4047" s="4384"/>
      <c r="G4047" s="2811"/>
      <c r="H4047" s="2810"/>
      <c r="I4047" s="2685"/>
      <c r="J4047" s="3534"/>
      <c r="K4047" s="3535"/>
      <c r="L4047" s="2685"/>
      <c r="M4047" s="2685"/>
      <c r="N4047" s="2768"/>
    </row>
    <row r="4048" spans="1:16" s="32" customFormat="1" ht="16.5" hidden="1" customHeight="1" x14ac:dyDescent="0.25">
      <c r="A4048" s="1"/>
      <c r="B4048" s="441"/>
      <c r="C4048" s="2525" t="s">
        <v>7512</v>
      </c>
      <c r="D4048" s="2692">
        <f>SUM(D4049:D4050)</f>
        <v>1360530300</v>
      </c>
      <c r="E4048" s="3214">
        <f>D4048/D3691*100</f>
        <v>1.2596906290937298</v>
      </c>
      <c r="F4048" s="3834"/>
      <c r="G4048" s="3064"/>
      <c r="H4048" s="2813"/>
      <c r="I4048" s="2679"/>
      <c r="J4048" s="4382"/>
      <c r="K4048" s="4381"/>
      <c r="L4048" s="2679"/>
      <c r="M4048" s="2679"/>
      <c r="N4048" s="2837"/>
      <c r="P4048" s="630"/>
    </row>
    <row r="4049" spans="1:16" ht="16.5" hidden="1" customHeight="1" x14ac:dyDescent="0.25">
      <c r="B4049" s="441"/>
      <c r="C4049" s="2524" t="s">
        <v>7513</v>
      </c>
      <c r="D4049" s="2698">
        <v>1260530300</v>
      </c>
      <c r="E4049" s="2879">
        <f>D4049/D3691*100</f>
        <v>1.1671024207242631</v>
      </c>
      <c r="F4049" s="4384"/>
      <c r="G4049" s="2811"/>
      <c r="H4049" s="2810"/>
      <c r="I4049" s="2685"/>
      <c r="J4049" s="3534"/>
      <c r="K4049" s="3535"/>
      <c r="L4049" s="2685"/>
      <c r="M4049" s="2685"/>
      <c r="N4049" s="2768"/>
    </row>
    <row r="4050" spans="1:16" ht="16.5" hidden="1" customHeight="1" x14ac:dyDescent="0.25">
      <c r="B4050" s="441"/>
      <c r="C4050" s="2524" t="s">
        <v>7514</v>
      </c>
      <c r="D4050" s="2698">
        <v>100000000</v>
      </c>
      <c r="E4050" s="2879">
        <f>D4050/D3691*100</f>
        <v>9.2588208369466643E-2</v>
      </c>
      <c r="F4050" s="4384"/>
      <c r="G4050" s="2811"/>
      <c r="H4050" s="2810"/>
      <c r="I4050" s="2685"/>
      <c r="J4050" s="3534"/>
      <c r="K4050" s="3535"/>
      <c r="L4050" s="2685"/>
      <c r="M4050" s="2685"/>
      <c r="N4050" s="2768"/>
    </row>
    <row r="4051" spans="1:16" ht="9.75" hidden="1" customHeight="1" x14ac:dyDescent="0.25">
      <c r="B4051" s="441"/>
      <c r="C4051" s="2524"/>
      <c r="D4051" s="2698"/>
      <c r="E4051" s="2810"/>
      <c r="F4051" s="4384"/>
      <c r="G4051" s="2811"/>
      <c r="H4051" s="2810"/>
      <c r="I4051" s="2685"/>
      <c r="J4051" s="3534"/>
      <c r="K4051" s="3535"/>
      <c r="L4051" s="2685"/>
      <c r="M4051" s="2685"/>
      <c r="N4051" s="2768"/>
    </row>
    <row r="4052" spans="1:16" s="32" customFormat="1" ht="16.5" hidden="1" customHeight="1" x14ac:dyDescent="0.25">
      <c r="A4052" s="1"/>
      <c r="B4052" s="441"/>
      <c r="C4052" s="2525" t="s">
        <v>7515</v>
      </c>
      <c r="D4052" s="2692">
        <f>D4053</f>
        <v>75000000</v>
      </c>
      <c r="E4052" s="3214">
        <f>D4052/D3691*100</f>
        <v>6.9441156277099986E-2</v>
      </c>
      <c r="F4052" s="3834"/>
      <c r="G4052" s="3064"/>
      <c r="H4052" s="2813"/>
      <c r="I4052" s="2679"/>
      <c r="J4052" s="4382"/>
      <c r="K4052" s="4381"/>
      <c r="L4052" s="2679"/>
      <c r="M4052" s="2679"/>
      <c r="N4052" s="2837"/>
      <c r="P4052" s="630"/>
    </row>
    <row r="4053" spans="1:16" ht="16.5" hidden="1" customHeight="1" x14ac:dyDescent="0.25">
      <c r="B4053" s="441"/>
      <c r="C4053" s="2524" t="s">
        <v>7516</v>
      </c>
      <c r="D4053" s="2698">
        <v>75000000</v>
      </c>
      <c r="E4053" s="2879">
        <f>D4053/D3691*100</f>
        <v>6.9441156277099986E-2</v>
      </c>
      <c r="F4053" s="4384"/>
      <c r="G4053" s="2811"/>
      <c r="H4053" s="2810"/>
      <c r="I4053" s="2685"/>
      <c r="J4053" s="3534"/>
      <c r="K4053" s="3535"/>
      <c r="L4053" s="2685"/>
      <c r="M4053" s="2685"/>
      <c r="N4053" s="2768"/>
    </row>
    <row r="4054" spans="1:16" ht="12" hidden="1" customHeight="1" x14ac:dyDescent="0.25">
      <c r="B4054" s="441"/>
      <c r="C4054" s="2528"/>
      <c r="D4054" s="2724"/>
      <c r="E4054" s="3341"/>
      <c r="F4054" s="3860"/>
      <c r="G4054" s="2830"/>
      <c r="H4054" s="2840"/>
      <c r="I4054" s="2755"/>
      <c r="J4054" s="2991"/>
      <c r="K4054" s="902"/>
      <c r="L4054" s="2755"/>
      <c r="M4054" s="3342"/>
      <c r="N4054" s="2768"/>
    </row>
    <row r="4055" spans="1:16" ht="30" hidden="1" customHeight="1" x14ac:dyDescent="0.25">
      <c r="B4055" s="440"/>
      <c r="C4055" s="2497" t="s">
        <v>7517</v>
      </c>
      <c r="D4055" s="2669">
        <f>SUM(D4056+D4059+D4064+D4067+D4071)</f>
        <v>3174200000</v>
      </c>
      <c r="E4055" s="2786">
        <f>D4055/D3691*100</f>
        <v>2.9389349100636104</v>
      </c>
      <c r="F4055" s="3835"/>
      <c r="G4055" s="2719"/>
      <c r="H4055" s="2786"/>
      <c r="I4055" s="2744"/>
      <c r="J4055" s="2719"/>
      <c r="K4055" s="2719"/>
      <c r="L4055" s="2786"/>
      <c r="M4055" s="2987"/>
      <c r="N4055" s="2768"/>
    </row>
    <row r="4056" spans="1:16" ht="20.25" hidden="1" customHeight="1" x14ac:dyDescent="0.25">
      <c r="B4056" s="441"/>
      <c r="C4056" s="2525" t="s">
        <v>7518</v>
      </c>
      <c r="D4056" s="2692">
        <f>D4057</f>
        <v>50000000</v>
      </c>
      <c r="E4056" s="3214">
        <f>D4056/D3691*100</f>
        <v>4.6294104184733322E-2</v>
      </c>
      <c r="F4056" s="3834"/>
      <c r="G4056" s="3064"/>
      <c r="H4056" s="2813"/>
      <c r="I4056" s="2759"/>
      <c r="J4056" s="3217"/>
      <c r="K4056" s="3217"/>
      <c r="L4056" s="2813"/>
      <c r="M4056" s="2970"/>
      <c r="N4056" s="2768"/>
    </row>
    <row r="4057" spans="1:16" ht="17.25" hidden="1" customHeight="1" x14ac:dyDescent="0.25">
      <c r="B4057" s="441"/>
      <c r="C4057" s="2524" t="s">
        <v>7519</v>
      </c>
      <c r="D4057" s="2698">
        <v>50000000</v>
      </c>
      <c r="E4057" s="2879">
        <f>D4057/D3691*100</f>
        <v>4.6294104184733322E-2</v>
      </c>
      <c r="F4057" s="4384"/>
      <c r="G4057" s="2811"/>
      <c r="H4057" s="2810"/>
      <c r="I4057" s="940"/>
      <c r="J4057" s="3534"/>
      <c r="K4057" s="3535"/>
      <c r="L4057" s="2810"/>
      <c r="M4057" s="3335"/>
      <c r="N4057" s="2768"/>
    </row>
    <row r="4058" spans="1:16" ht="12" hidden="1" customHeight="1" x14ac:dyDescent="0.25">
      <c r="B4058" s="441"/>
      <c r="C4058" s="2526"/>
      <c r="D4058" s="2724"/>
      <c r="E4058" s="2879"/>
      <c r="F4058" s="4380"/>
      <c r="G4058" s="2849"/>
      <c r="H4058" s="2840"/>
      <c r="I4058" s="2769"/>
      <c r="J4058" s="3538"/>
      <c r="K4058" s="3557"/>
      <c r="L4058" s="2818"/>
      <c r="M4058" s="3347"/>
      <c r="N4058" s="2768"/>
    </row>
    <row r="4059" spans="1:16" s="32" customFormat="1" ht="27.75" hidden="1" customHeight="1" x14ac:dyDescent="0.25">
      <c r="A4059" s="1"/>
      <c r="B4059" s="441"/>
      <c r="C4059" s="2525" t="s">
        <v>7520</v>
      </c>
      <c r="D4059" s="2692">
        <f>SUM(D4060:D4062)</f>
        <v>462500000</v>
      </c>
      <c r="E4059" s="3214">
        <f>D4059/D3691*100</f>
        <v>0.42822046370878325</v>
      </c>
      <c r="F4059" s="3834"/>
      <c r="G4059" s="3064"/>
      <c r="H4059" s="2813"/>
      <c r="I4059" s="899"/>
      <c r="J4059" s="4382"/>
      <c r="K4059" s="4381"/>
      <c r="L4059" s="2813"/>
      <c r="M4059" s="2970"/>
      <c r="N4059" s="2837"/>
      <c r="P4059" s="630"/>
    </row>
    <row r="4060" spans="1:16" ht="17.25" hidden="1" customHeight="1" x14ac:dyDescent="0.25">
      <c r="B4060" s="441"/>
      <c r="C4060" s="2524" t="s">
        <v>7521</v>
      </c>
      <c r="D4060" s="2698">
        <v>75000000</v>
      </c>
      <c r="E4060" s="2879">
        <f>D4060/D3691*100</f>
        <v>6.9441156277099986E-2</v>
      </c>
      <c r="F4060" s="4384"/>
      <c r="G4060" s="2811"/>
      <c r="H4060" s="2810"/>
      <c r="I4060" s="896"/>
      <c r="J4060" s="3534"/>
      <c r="K4060" s="3535"/>
      <c r="L4060" s="2810"/>
      <c r="M4060" s="3335"/>
      <c r="N4060" s="2768"/>
    </row>
    <row r="4061" spans="1:16" ht="17.25" hidden="1" customHeight="1" x14ac:dyDescent="0.25">
      <c r="B4061" s="441"/>
      <c r="C4061" s="2524" t="s">
        <v>7522</v>
      </c>
      <c r="D4061" s="2698">
        <v>50000000</v>
      </c>
      <c r="E4061" s="2879">
        <f>D4061/D3691*100</f>
        <v>4.6294104184733322E-2</v>
      </c>
      <c r="F4061" s="4384"/>
      <c r="G4061" s="2811"/>
      <c r="H4061" s="2810"/>
      <c r="I4061" s="896"/>
      <c r="J4061" s="3534"/>
      <c r="K4061" s="3535"/>
      <c r="L4061" s="2810"/>
      <c r="M4061" s="3335"/>
      <c r="N4061" s="2768"/>
    </row>
    <row r="4062" spans="1:16" ht="17.25" hidden="1" customHeight="1" x14ac:dyDescent="0.25">
      <c r="B4062" s="441"/>
      <c r="C4062" s="2524" t="s">
        <v>7523</v>
      </c>
      <c r="D4062" s="2698">
        <v>337500000</v>
      </c>
      <c r="E4062" s="2879">
        <f>D4062/D3691*100</f>
        <v>0.31248520324694995</v>
      </c>
      <c r="F4062" s="4384"/>
      <c r="G4062" s="2811"/>
      <c r="H4062" s="2810"/>
      <c r="I4062" s="896"/>
      <c r="J4062" s="3534"/>
      <c r="K4062" s="3535"/>
      <c r="L4062" s="2810"/>
      <c r="M4062" s="3335"/>
      <c r="N4062" s="2768"/>
    </row>
    <row r="4063" spans="1:16" ht="12" hidden="1" customHeight="1" x14ac:dyDescent="0.25">
      <c r="B4063" s="441"/>
      <c r="C4063" s="2524"/>
      <c r="D4063" s="2698"/>
      <c r="E4063" s="2879"/>
      <c r="F4063" s="4384"/>
      <c r="G4063" s="2811"/>
      <c r="H4063" s="2810"/>
      <c r="I4063" s="896"/>
      <c r="J4063" s="3534"/>
      <c r="K4063" s="3535"/>
      <c r="L4063" s="2810"/>
      <c r="M4063" s="3335"/>
      <c r="N4063" s="2768"/>
    </row>
    <row r="4064" spans="1:16" s="32" customFormat="1" ht="17.25" hidden="1" customHeight="1" x14ac:dyDescent="0.25">
      <c r="A4064" s="1"/>
      <c r="B4064" s="441"/>
      <c r="C4064" s="2525" t="s">
        <v>7524</v>
      </c>
      <c r="D4064" s="2692">
        <f>D4065</f>
        <v>50000000</v>
      </c>
      <c r="E4064" s="3214">
        <f>D4064/D3691*100</f>
        <v>4.6294104184733322E-2</v>
      </c>
      <c r="F4064" s="3834"/>
      <c r="G4064" s="3064"/>
      <c r="H4064" s="2813"/>
      <c r="I4064" s="899"/>
      <c r="J4064" s="4382"/>
      <c r="K4064" s="4381"/>
      <c r="L4064" s="2813"/>
      <c r="M4064" s="2970"/>
      <c r="N4064" s="2837"/>
      <c r="P4064" s="630"/>
    </row>
    <row r="4065" spans="1:16" ht="17.25" hidden="1" customHeight="1" x14ac:dyDescent="0.25">
      <c r="B4065" s="441"/>
      <c r="C4065" s="2524" t="s">
        <v>7525</v>
      </c>
      <c r="D4065" s="2698">
        <v>50000000</v>
      </c>
      <c r="E4065" s="2879">
        <f>D4065/D3691*100</f>
        <v>4.6294104184733322E-2</v>
      </c>
      <c r="F4065" s="4384"/>
      <c r="G4065" s="2811"/>
      <c r="H4065" s="2810"/>
      <c r="I4065" s="896"/>
      <c r="J4065" s="3534"/>
      <c r="K4065" s="3535"/>
      <c r="L4065" s="2810"/>
      <c r="M4065" s="3335"/>
      <c r="N4065" s="2768"/>
    </row>
    <row r="4066" spans="1:16" ht="11.25" hidden="1" customHeight="1" x14ac:dyDescent="0.25">
      <c r="B4066" s="441"/>
      <c r="C4066" s="2524"/>
      <c r="D4066" s="2698"/>
      <c r="E4066" s="2879"/>
      <c r="F4066" s="4384"/>
      <c r="G4066" s="2811"/>
      <c r="H4066" s="2810"/>
      <c r="I4066" s="896"/>
      <c r="J4066" s="3534"/>
      <c r="K4066" s="3535"/>
      <c r="L4066" s="2810"/>
      <c r="M4066" s="3335"/>
      <c r="N4066" s="2768"/>
    </row>
    <row r="4067" spans="1:16" s="32" customFormat="1" ht="17.25" hidden="1" customHeight="1" x14ac:dyDescent="0.25">
      <c r="A4067" s="1"/>
      <c r="B4067" s="441"/>
      <c r="C4067" s="2525" t="s">
        <v>7526</v>
      </c>
      <c r="D4067" s="2692">
        <f>SUM(D4068:D4069)</f>
        <v>2222500000</v>
      </c>
      <c r="E4067" s="3214">
        <f>D4067/D3691*100</f>
        <v>2.0577729310113964</v>
      </c>
      <c r="F4067" s="3834"/>
      <c r="G4067" s="3064"/>
      <c r="H4067" s="2813"/>
      <c r="I4067" s="899"/>
      <c r="J4067" s="4382"/>
      <c r="K4067" s="4381"/>
      <c r="L4067" s="2813"/>
      <c r="M4067" s="2970"/>
      <c r="N4067" s="2837"/>
      <c r="P4067" s="630"/>
    </row>
    <row r="4068" spans="1:16" ht="17.25" hidden="1" customHeight="1" x14ac:dyDescent="0.25">
      <c r="B4068" s="441"/>
      <c r="C4068" s="2524" t="s">
        <v>7527</v>
      </c>
      <c r="D4068" s="2698">
        <v>2172500000</v>
      </c>
      <c r="E4068" s="2879">
        <f>D4068/D3691*100</f>
        <v>2.011478826826663</v>
      </c>
      <c r="F4068" s="4384"/>
      <c r="G4068" s="2811"/>
      <c r="H4068" s="2810"/>
      <c r="I4068" s="896"/>
      <c r="J4068" s="3534"/>
      <c r="K4068" s="3535"/>
      <c r="L4068" s="2810"/>
      <c r="M4068" s="3335"/>
      <c r="N4068" s="2768"/>
    </row>
    <row r="4069" spans="1:16" ht="17.25" hidden="1" customHeight="1" x14ac:dyDescent="0.25">
      <c r="B4069" s="441"/>
      <c r="C4069" s="2524" t="s">
        <v>7528</v>
      </c>
      <c r="D4069" s="2698">
        <v>50000000</v>
      </c>
      <c r="E4069" s="2879">
        <f>D4069/D3691*100</f>
        <v>4.6294104184733322E-2</v>
      </c>
      <c r="F4069" s="4384"/>
      <c r="G4069" s="2811"/>
      <c r="H4069" s="2810"/>
      <c r="I4069" s="896"/>
      <c r="J4069" s="3534"/>
      <c r="K4069" s="3535"/>
      <c r="L4069" s="2810"/>
      <c r="M4069" s="3335"/>
      <c r="N4069" s="2768"/>
    </row>
    <row r="4070" spans="1:16" ht="10.5" hidden="1" customHeight="1" x14ac:dyDescent="0.25">
      <c r="B4070" s="441"/>
      <c r="C4070" s="2524"/>
      <c r="D4070" s="2698"/>
      <c r="E4070" s="2879"/>
      <c r="F4070" s="4384"/>
      <c r="G4070" s="2811"/>
      <c r="H4070" s="2810"/>
      <c r="I4070" s="896"/>
      <c r="J4070" s="3534"/>
      <c r="K4070" s="3535"/>
      <c r="L4070" s="2810"/>
      <c r="M4070" s="3335"/>
      <c r="N4070" s="2768"/>
    </row>
    <row r="4071" spans="1:16" s="32" customFormat="1" ht="17.25" hidden="1" customHeight="1" x14ac:dyDescent="0.25">
      <c r="A4071" s="1"/>
      <c r="B4071" s="441"/>
      <c r="C4071" s="2525" t="s">
        <v>7529</v>
      </c>
      <c r="D4071" s="2692">
        <f>SUM(D4072:D4075)</f>
        <v>389200000</v>
      </c>
      <c r="E4071" s="3214">
        <f>D4071/D3691*100</f>
        <v>0.36035330697396423</v>
      </c>
      <c r="F4071" s="3834"/>
      <c r="G4071" s="3064"/>
      <c r="H4071" s="2813"/>
      <c r="I4071" s="899"/>
      <c r="J4071" s="4382"/>
      <c r="K4071" s="4381"/>
      <c r="L4071" s="2813"/>
      <c r="M4071" s="2970"/>
      <c r="N4071" s="2837"/>
      <c r="P4071" s="630"/>
    </row>
    <row r="4072" spans="1:16" ht="17.25" hidden="1" customHeight="1" x14ac:dyDescent="0.25">
      <c r="B4072" s="441"/>
      <c r="C4072" s="2524" t="s">
        <v>7530</v>
      </c>
      <c r="D4072" s="2698">
        <v>130000000</v>
      </c>
      <c r="E4072" s="2879">
        <f>D4072/D3691*100</f>
        <v>0.12036467088030664</v>
      </c>
      <c r="F4072" s="4384"/>
      <c r="G4072" s="2811"/>
      <c r="H4072" s="2810"/>
      <c r="I4072" s="896"/>
      <c r="J4072" s="3534"/>
      <c r="K4072" s="3535"/>
      <c r="L4072" s="2810"/>
      <c r="M4072" s="3335"/>
      <c r="N4072" s="2768"/>
    </row>
    <row r="4073" spans="1:16" ht="17.25" hidden="1" customHeight="1" x14ac:dyDescent="0.25">
      <c r="B4073" s="441"/>
      <c r="C4073" s="2524" t="s">
        <v>7531</v>
      </c>
      <c r="D4073" s="2698">
        <v>98500000</v>
      </c>
      <c r="E4073" s="2879">
        <f>D4073/D3691*100</f>
        <v>9.1199385243924652E-2</v>
      </c>
      <c r="F4073" s="4384"/>
      <c r="G4073" s="2811"/>
      <c r="H4073" s="2810"/>
      <c r="I4073" s="896"/>
      <c r="J4073" s="3534"/>
      <c r="K4073" s="3535"/>
      <c r="L4073" s="2810"/>
      <c r="M4073" s="3335"/>
      <c r="N4073" s="2768"/>
    </row>
    <row r="4074" spans="1:16" ht="17.25" hidden="1" customHeight="1" x14ac:dyDescent="0.25">
      <c r="B4074" s="441"/>
      <c r="C4074" s="2524" t="s">
        <v>7532</v>
      </c>
      <c r="D4074" s="2698">
        <v>125000000</v>
      </c>
      <c r="E4074" s="2879">
        <f>D4074/D3691*100</f>
        <v>0.11573526046183333</v>
      </c>
      <c r="F4074" s="4384"/>
      <c r="G4074" s="2811"/>
      <c r="H4074" s="2810"/>
      <c r="I4074" s="896"/>
      <c r="J4074" s="3534"/>
      <c r="K4074" s="3535"/>
      <c r="L4074" s="2810"/>
      <c r="M4074" s="3335"/>
      <c r="N4074" s="2768"/>
    </row>
    <row r="4075" spans="1:16" ht="17.25" hidden="1" customHeight="1" x14ac:dyDescent="0.25">
      <c r="B4075" s="441"/>
      <c r="C4075" s="2524" t="s">
        <v>7533</v>
      </c>
      <c r="D4075" s="2698">
        <v>35700000</v>
      </c>
      <c r="E4075" s="2879">
        <f>D4075/D3691*100</f>
        <v>3.3053990387899593E-2</v>
      </c>
      <c r="F4075" s="4384"/>
      <c r="G4075" s="2811"/>
      <c r="H4075" s="2810"/>
      <c r="I4075" s="896"/>
      <c r="J4075" s="3534"/>
      <c r="K4075" s="3535"/>
      <c r="L4075" s="2810"/>
      <c r="M4075" s="3335"/>
      <c r="N4075" s="2768"/>
    </row>
    <row r="4076" spans="1:16" ht="12" hidden="1" customHeight="1" x14ac:dyDescent="0.25">
      <c r="B4076" s="441"/>
      <c r="C4076" s="2528"/>
      <c r="D4076" s="2724"/>
      <c r="E4076" s="2840"/>
      <c r="F4076" s="4380"/>
      <c r="G4076" s="2830"/>
      <c r="H4076" s="2840"/>
      <c r="I4076" s="2755"/>
      <c r="J4076" s="2830"/>
      <c r="K4076" s="902"/>
      <c r="L4076" s="2755"/>
      <c r="M4076" s="3342"/>
      <c r="N4076" s="2768"/>
    </row>
    <row r="4077" spans="1:16" ht="18" hidden="1" customHeight="1" x14ac:dyDescent="0.25">
      <c r="B4077" s="440"/>
      <c r="C4077" s="2497" t="s">
        <v>7534</v>
      </c>
      <c r="D4077" s="2669">
        <f>SUM(D4078+D4083+D4086+D4091)</f>
        <v>905000000</v>
      </c>
      <c r="E4077" s="2786">
        <f>D4077/D3691*100</f>
        <v>0.83792328574367314</v>
      </c>
      <c r="F4077" s="3835"/>
      <c r="G4077" s="2719"/>
      <c r="H4077" s="2719"/>
      <c r="I4077" s="2719"/>
      <c r="J4077" s="2719"/>
      <c r="K4077" s="2719"/>
      <c r="L4077" s="2786"/>
      <c r="M4077" s="2987"/>
      <c r="N4077" s="2768"/>
    </row>
    <row r="4078" spans="1:16" ht="21" hidden="1" customHeight="1" x14ac:dyDescent="0.25">
      <c r="B4078" s="441"/>
      <c r="C4078" s="2525" t="s">
        <v>3049</v>
      </c>
      <c r="D4078" s="899">
        <f>SUM(D4079:D4081)</f>
        <v>336185000</v>
      </c>
      <c r="E4078" s="2813">
        <f>D4078/D3691*100</f>
        <v>0.31126766830689145</v>
      </c>
      <c r="F4078" s="3862"/>
      <c r="G4078" s="2679"/>
      <c r="H4078" s="2679"/>
      <c r="I4078" s="2679"/>
      <c r="J4078" s="2977"/>
      <c r="K4078" s="2977"/>
      <c r="L4078" s="2722"/>
      <c r="M4078" s="2722"/>
      <c r="N4078" s="2768"/>
    </row>
    <row r="4079" spans="1:16" ht="15.75" hidden="1" customHeight="1" x14ac:dyDescent="0.25">
      <c r="B4079" s="441"/>
      <c r="C4079" s="2524" t="s">
        <v>7535</v>
      </c>
      <c r="D4079" s="896">
        <v>47540000</v>
      </c>
      <c r="E4079" s="2879">
        <f>D4079/D3691*100</f>
        <v>4.4016434258844446E-2</v>
      </c>
      <c r="F4079" s="4414"/>
      <c r="G4079" s="2685"/>
      <c r="H4079" s="2685"/>
      <c r="I4079" s="2685"/>
      <c r="J4079" s="3534"/>
      <c r="K4079" s="3535"/>
      <c r="L4079" s="2685"/>
      <c r="M4079" s="2685"/>
      <c r="N4079" s="2768"/>
      <c r="P4079" s="630"/>
    </row>
    <row r="4080" spans="1:16" ht="18.75" hidden="1" customHeight="1" x14ac:dyDescent="0.25">
      <c r="B4080" s="441"/>
      <c r="C4080" s="2524" t="s">
        <v>7536</v>
      </c>
      <c r="D4080" s="896">
        <v>44709000</v>
      </c>
      <c r="E4080" s="2879">
        <f>D4080/D3691*100</f>
        <v>4.1395262079904842E-2</v>
      </c>
      <c r="F4080" s="4414"/>
      <c r="G4080" s="2685"/>
      <c r="H4080" s="2685"/>
      <c r="I4080" s="2685"/>
      <c r="J4080" s="3534"/>
      <c r="K4080" s="3535"/>
      <c r="L4080" s="898"/>
      <c r="M4080" s="3335"/>
      <c r="N4080" s="2768"/>
    </row>
    <row r="4081" spans="1:16" ht="14.25" hidden="1" customHeight="1" x14ac:dyDescent="0.25">
      <c r="B4081" s="441"/>
      <c r="C4081" s="2524" t="s">
        <v>7537</v>
      </c>
      <c r="D4081" s="896">
        <v>243936000</v>
      </c>
      <c r="E4081" s="2879">
        <f>D4081/D3691*100</f>
        <v>0.22585597196814219</v>
      </c>
      <c r="F4081" s="4414"/>
      <c r="G4081" s="2685"/>
      <c r="H4081" s="2685"/>
      <c r="I4081" s="2685"/>
      <c r="J4081" s="2864"/>
      <c r="K4081" s="1478"/>
      <c r="L4081" s="2813"/>
      <c r="M4081" s="2970"/>
      <c r="N4081" s="2768"/>
    </row>
    <row r="4082" spans="1:16" ht="12" hidden="1" customHeight="1" x14ac:dyDescent="0.25">
      <c r="B4082" s="441"/>
      <c r="C4082" s="2524"/>
      <c r="D4082" s="896"/>
      <c r="E4082" s="2879"/>
      <c r="F4082" s="4414"/>
      <c r="G4082" s="2685"/>
      <c r="H4082" s="2685"/>
      <c r="I4082" s="2685"/>
      <c r="J4082" s="2864"/>
      <c r="K4082" s="1478"/>
      <c r="L4082" s="2813"/>
      <c r="M4082" s="2970"/>
      <c r="N4082" s="2768"/>
    </row>
    <row r="4083" spans="1:16" ht="31.5" hidden="1" customHeight="1" x14ac:dyDescent="0.25">
      <c r="B4083" s="441"/>
      <c r="C4083" s="2525" t="s">
        <v>3052</v>
      </c>
      <c r="D4083" s="899">
        <f>D4084</f>
        <v>35415000</v>
      </c>
      <c r="E4083" s="3214">
        <f>D4083/D3691*100</f>
        <v>3.2790113994046612E-2</v>
      </c>
      <c r="F4083" s="3862"/>
      <c r="G4083" s="2679"/>
      <c r="H4083" s="2679"/>
      <c r="I4083" s="2679"/>
      <c r="J4083" s="2982"/>
      <c r="K4083" s="2679"/>
      <c r="L4083" s="2679"/>
      <c r="M4083" s="3042"/>
      <c r="N4083" s="2768"/>
    </row>
    <row r="4084" spans="1:16" ht="18" hidden="1" customHeight="1" x14ac:dyDescent="0.25">
      <c r="B4084" s="441"/>
      <c r="C4084" s="2524" t="s">
        <v>3053</v>
      </c>
      <c r="D4084" s="896">
        <v>35415000</v>
      </c>
      <c r="E4084" s="2879">
        <f>D4084/D3691*100</f>
        <v>3.2790113994046612E-2</v>
      </c>
      <c r="F4084" s="4414"/>
      <c r="G4084" s="2685"/>
      <c r="H4084" s="2685"/>
      <c r="I4084" s="2685"/>
      <c r="J4084" s="3534"/>
      <c r="K4084" s="2685"/>
      <c r="L4084" s="2685"/>
      <c r="M4084" s="2685"/>
      <c r="N4084" s="2768"/>
    </row>
    <row r="4085" spans="1:16" ht="10.5" hidden="1" customHeight="1" x14ac:dyDescent="0.25">
      <c r="B4085" s="441"/>
      <c r="C4085" s="2527"/>
      <c r="D4085" s="898"/>
      <c r="E4085" s="2879"/>
      <c r="F4085" s="3862"/>
      <c r="G4085" s="2679"/>
      <c r="H4085" s="2679"/>
      <c r="I4085" s="2679"/>
      <c r="J4085" s="2980"/>
      <c r="K4085" s="898"/>
      <c r="L4085" s="898"/>
      <c r="M4085" s="3335"/>
      <c r="N4085" s="2768"/>
    </row>
    <row r="4086" spans="1:16" ht="18" hidden="1" customHeight="1" x14ac:dyDescent="0.25">
      <c r="B4086" s="441"/>
      <c r="C4086" s="2525" t="s">
        <v>3054</v>
      </c>
      <c r="D4086" s="899">
        <f>SUM(D4087:D4089)</f>
        <v>270696000</v>
      </c>
      <c r="E4086" s="3214">
        <f>D4086/D3691*100</f>
        <v>0.25063257652781146</v>
      </c>
      <c r="F4086" s="3862"/>
      <c r="G4086" s="2679"/>
      <c r="H4086" s="2679"/>
      <c r="I4086" s="2679"/>
      <c r="J4086" s="2982"/>
      <c r="K4086" s="2679"/>
      <c r="L4086" s="2679"/>
      <c r="M4086" s="2679"/>
      <c r="N4086" s="2768"/>
      <c r="P4086" s="630"/>
    </row>
    <row r="4087" spans="1:16" ht="15.75" hidden="1" customHeight="1" x14ac:dyDescent="0.25">
      <c r="B4087" s="441"/>
      <c r="C4087" s="2524" t="s">
        <v>7538</v>
      </c>
      <c r="D4087" s="896">
        <v>80612000</v>
      </c>
      <c r="E4087" s="2879">
        <f>D4087/D3691*100</f>
        <v>7.4637206530794462E-2</v>
      </c>
      <c r="F4087" s="4414"/>
      <c r="G4087" s="2685"/>
      <c r="H4087" s="2685"/>
      <c r="I4087" s="2685"/>
      <c r="J4087" s="2864"/>
      <c r="K4087" s="2685"/>
      <c r="L4087" s="2685"/>
      <c r="M4087" s="2685"/>
      <c r="N4087" s="2768"/>
      <c r="P4087" s="630"/>
    </row>
    <row r="4088" spans="1:16" ht="15" hidden="1" customHeight="1" x14ac:dyDescent="0.25">
      <c r="B4088" s="441"/>
      <c r="C4088" s="2524" t="s">
        <v>7539</v>
      </c>
      <c r="D4088" s="896">
        <v>92957000</v>
      </c>
      <c r="E4088" s="2879">
        <f>D4088/D3691*100</f>
        <v>8.6067220854005116E-2</v>
      </c>
      <c r="F4088" s="3862"/>
      <c r="G4088" s="2685"/>
      <c r="H4088" s="2685"/>
      <c r="I4088" s="2685"/>
      <c r="J4088" s="2980"/>
      <c r="K4088" s="2700"/>
      <c r="L4088" s="2685"/>
      <c r="M4088" s="2685"/>
      <c r="N4088" s="2768"/>
    </row>
    <row r="4089" spans="1:16" ht="16.5" hidden="1" customHeight="1" x14ac:dyDescent="0.25">
      <c r="B4089" s="441"/>
      <c r="C4089" s="2524" t="s">
        <v>7540</v>
      </c>
      <c r="D4089" s="896">
        <v>97127000</v>
      </c>
      <c r="E4089" s="2879">
        <f>D4089/D3691*100</f>
        <v>8.9928149143011879E-2</v>
      </c>
      <c r="F4089" s="3862"/>
      <c r="G4089" s="2830"/>
      <c r="H4089" s="2830"/>
      <c r="I4089" s="2830"/>
      <c r="J4089" s="2980"/>
      <c r="K4089" s="2700"/>
      <c r="L4089" s="2685"/>
      <c r="M4089" s="2685"/>
      <c r="N4089" s="2768"/>
    </row>
    <row r="4090" spans="1:16" ht="11.25" hidden="1" customHeight="1" x14ac:dyDescent="0.25">
      <c r="B4090" s="441"/>
      <c r="C4090" s="2526"/>
      <c r="D4090" s="2709"/>
      <c r="E4090" s="2879"/>
      <c r="F4090" s="3859"/>
      <c r="G4090" s="2685"/>
      <c r="H4090" s="2685"/>
      <c r="I4090" s="2685"/>
      <c r="J4090" s="2980"/>
      <c r="K4090" s="2700"/>
      <c r="L4090" s="2685"/>
      <c r="M4090" s="2830"/>
      <c r="N4090" s="2768"/>
    </row>
    <row r="4091" spans="1:16" s="32" customFormat="1" ht="16.5" hidden="1" customHeight="1" x14ac:dyDescent="0.25">
      <c r="A4091" s="1"/>
      <c r="B4091" s="441"/>
      <c r="C4091" s="2525" t="s">
        <v>7541</v>
      </c>
      <c r="D4091" s="2767">
        <f>SUM(D4092:D4094)</f>
        <v>262704000</v>
      </c>
      <c r="E4091" s="3214">
        <f>D4091/D3691*100</f>
        <v>0.24323292691492368</v>
      </c>
      <c r="F4091" s="3859"/>
      <c r="G4091" s="2679"/>
      <c r="H4091" s="2679"/>
      <c r="I4091" s="2679"/>
      <c r="J4091" s="2982"/>
      <c r="K4091" s="2694"/>
      <c r="L4091" s="2679"/>
      <c r="M4091" s="2722"/>
      <c r="N4091" s="2837"/>
      <c r="P4091" s="630"/>
    </row>
    <row r="4092" spans="1:16" ht="16.5" hidden="1" customHeight="1" x14ac:dyDescent="0.25">
      <c r="B4092" s="441"/>
      <c r="C4092" s="2524" t="s">
        <v>7542</v>
      </c>
      <c r="D4092" s="2709">
        <v>83300000</v>
      </c>
      <c r="E4092" s="2879">
        <f>D4092/D3691*100</f>
        <v>7.712597757176573E-2</v>
      </c>
      <c r="F4092" s="3859"/>
      <c r="G4092" s="2685"/>
      <c r="H4092" s="2685"/>
      <c r="I4092" s="2685"/>
      <c r="J4092" s="2980"/>
      <c r="K4092" s="2700"/>
      <c r="L4092" s="2685"/>
      <c r="M4092" s="2830"/>
      <c r="N4092" s="2768"/>
    </row>
    <row r="4093" spans="1:16" ht="16.5" hidden="1" customHeight="1" x14ac:dyDescent="0.25">
      <c r="B4093" s="441"/>
      <c r="C4093" s="2524" t="s">
        <v>7543</v>
      </c>
      <c r="D4093" s="2709">
        <v>52984000</v>
      </c>
      <c r="E4093" s="2879">
        <f>D4093/D3691*100</f>
        <v>4.9056936322478213E-2</v>
      </c>
      <c r="F4093" s="3859"/>
      <c r="G4093" s="2685"/>
      <c r="H4093" s="2685"/>
      <c r="I4093" s="2685"/>
      <c r="J4093" s="2980"/>
      <c r="K4093" s="2700"/>
      <c r="L4093" s="2685"/>
      <c r="M4093" s="2830"/>
      <c r="N4093" s="2768"/>
    </row>
    <row r="4094" spans="1:16" ht="16.5" hidden="1" customHeight="1" x14ac:dyDescent="0.25">
      <c r="B4094" s="441"/>
      <c r="C4094" s="2526" t="s">
        <v>7544</v>
      </c>
      <c r="D4094" s="2709">
        <v>126420000</v>
      </c>
      <c r="E4094" s="2879">
        <f>D4094/D3691*100</f>
        <v>0.11705001302067974</v>
      </c>
      <c r="F4094" s="3859"/>
      <c r="G4094" s="2685"/>
      <c r="H4094" s="2685"/>
      <c r="I4094" s="2685"/>
      <c r="J4094" s="2980"/>
      <c r="K4094" s="2700"/>
      <c r="L4094" s="2685"/>
      <c r="M4094" s="2830"/>
      <c r="N4094" s="2768"/>
    </row>
    <row r="4095" spans="1:16" ht="12" hidden="1" customHeight="1" x14ac:dyDescent="0.25">
      <c r="B4095" s="441"/>
      <c r="C4095" s="2528"/>
      <c r="D4095" s="2706"/>
      <c r="E4095" s="2840"/>
      <c r="F4095" s="4464"/>
      <c r="G4095" s="2830"/>
      <c r="H4095" s="2840"/>
      <c r="I4095" s="2755"/>
      <c r="J4095" s="2708"/>
      <c r="K4095" s="2708"/>
      <c r="L4095" s="2708"/>
      <c r="M4095" s="3342"/>
      <c r="N4095" s="2768"/>
    </row>
    <row r="4096" spans="1:16" s="32" customFormat="1" ht="31.5" hidden="1" x14ac:dyDescent="0.25">
      <c r="A4096" s="1"/>
      <c r="B4096" s="440"/>
      <c r="C4096" s="2532" t="s">
        <v>7545</v>
      </c>
      <c r="D4096" s="2669">
        <f>SUM(D4097+D4100)</f>
        <v>440000000</v>
      </c>
      <c r="E4096" s="2786">
        <f>D4096/D3691*100</f>
        <v>0.40738811682565323</v>
      </c>
      <c r="F4096" s="4385"/>
      <c r="G4096" s="3201"/>
      <c r="H4096" s="3545"/>
      <c r="I4096" s="2744"/>
      <c r="J4096" s="3201"/>
      <c r="K4096" s="3201"/>
      <c r="L4096" s="3201"/>
      <c r="M4096" s="2987"/>
      <c r="N4096" s="2837"/>
      <c r="P4096" s="630"/>
    </row>
    <row r="4097" spans="1:19" s="32" customFormat="1" ht="22.5" hidden="1" customHeight="1" x14ac:dyDescent="0.25">
      <c r="A4097" s="1"/>
      <c r="B4097" s="441"/>
      <c r="C4097" s="2521" t="s">
        <v>7546</v>
      </c>
      <c r="D4097" s="2721">
        <f>D4098</f>
        <v>240000000</v>
      </c>
      <c r="E4097" s="2813">
        <f>D4097/D3691*100</f>
        <v>0.22221170008671995</v>
      </c>
      <c r="F4097" s="4380"/>
      <c r="G4097" s="4383"/>
      <c r="H4097" s="3547"/>
      <c r="I4097" s="2751"/>
      <c r="J4097" s="4383"/>
      <c r="K4097" s="4383"/>
      <c r="L4097" s="4383"/>
      <c r="M4097" s="3009"/>
      <c r="N4097" s="2837"/>
      <c r="P4097" s="630"/>
    </row>
    <row r="4098" spans="1:19" s="196" customFormat="1" ht="15.75" hidden="1" customHeight="1" x14ac:dyDescent="0.25">
      <c r="A4098" s="12"/>
      <c r="B4098" s="442"/>
      <c r="C4098" s="2524" t="s">
        <v>7547</v>
      </c>
      <c r="D4098" s="2698">
        <v>240000000</v>
      </c>
      <c r="E4098" s="2810">
        <f>D4098/D3691*100</f>
        <v>0.22221170008671995</v>
      </c>
      <c r="F4098" s="4384"/>
      <c r="G4098" s="2685"/>
      <c r="H4098" s="2810"/>
      <c r="I4098" s="896"/>
      <c r="J4098" s="2685"/>
      <c r="K4098" s="2685"/>
      <c r="L4098" s="2685"/>
      <c r="M4098" s="2757"/>
      <c r="N4098" s="2951"/>
      <c r="P4098" s="631"/>
    </row>
    <row r="4099" spans="1:19" ht="10.5" hidden="1" customHeight="1" x14ac:dyDescent="0.25">
      <c r="B4099" s="441"/>
      <c r="C4099" s="2527"/>
      <c r="D4099" s="2698"/>
      <c r="E4099" s="2810"/>
      <c r="F4099" s="4384"/>
      <c r="G4099" s="2685"/>
      <c r="H4099" s="2810"/>
      <c r="I4099" s="898"/>
      <c r="J4099" s="2685"/>
      <c r="K4099" s="2685"/>
      <c r="L4099" s="2685"/>
      <c r="M4099" s="3335"/>
      <c r="N4099" s="2768"/>
    </row>
    <row r="4100" spans="1:19" s="32" customFormat="1" ht="17.25" hidden="1" customHeight="1" x14ac:dyDescent="0.25">
      <c r="A4100" s="1"/>
      <c r="B4100" s="441"/>
      <c r="C4100" s="2525" t="s">
        <v>7548</v>
      </c>
      <c r="D4100" s="2692">
        <f>D4101</f>
        <v>200000000</v>
      </c>
      <c r="E4100" s="2813">
        <f>D4100/D3691*100</f>
        <v>0.18517641673893329</v>
      </c>
      <c r="F4100" s="4384"/>
      <c r="G4100" s="3445"/>
      <c r="H4100" s="3442"/>
      <c r="I4100" s="899"/>
      <c r="J4100" s="3445"/>
      <c r="K4100" s="3445"/>
      <c r="L4100" s="3445"/>
      <c r="M4100" s="2970"/>
      <c r="N4100" s="2837"/>
      <c r="P4100" s="630"/>
    </row>
    <row r="4101" spans="1:19" s="196" customFormat="1" ht="16.5" hidden="1" customHeight="1" x14ac:dyDescent="0.25">
      <c r="A4101" s="12"/>
      <c r="B4101" s="442"/>
      <c r="C4101" s="2524" t="s">
        <v>7549</v>
      </c>
      <c r="D4101" s="2698">
        <v>200000000</v>
      </c>
      <c r="E4101" s="2810">
        <f>D4101/D3691*100</f>
        <v>0.18517641673893329</v>
      </c>
      <c r="F4101" s="4384"/>
      <c r="G4101" s="2685"/>
      <c r="H4101" s="2810"/>
      <c r="I4101" s="896"/>
      <c r="J4101" s="2685"/>
      <c r="K4101" s="2685"/>
      <c r="L4101" s="2685"/>
      <c r="M4101" s="2757"/>
      <c r="N4101" s="2951"/>
      <c r="P4101" s="631"/>
    </row>
    <row r="4102" spans="1:19" ht="12" hidden="1" customHeight="1" x14ac:dyDescent="0.25">
      <c r="B4102" s="441"/>
      <c r="C4102" s="2528"/>
      <c r="D4102" s="2724"/>
      <c r="E4102" s="2840"/>
      <c r="F4102" s="4380"/>
      <c r="G4102" s="2830"/>
      <c r="H4102" s="2840"/>
      <c r="I4102" s="2755"/>
      <c r="J4102" s="2830"/>
      <c r="K4102" s="2830"/>
      <c r="L4102" s="2830"/>
      <c r="M4102" s="3342"/>
      <c r="N4102" s="2768"/>
    </row>
    <row r="4103" spans="1:19" ht="18" hidden="1" customHeight="1" x14ac:dyDescent="0.25">
      <c r="B4103" s="440"/>
      <c r="C4103" s="2497" t="s">
        <v>7550</v>
      </c>
      <c r="D4103" s="2669">
        <f>SUM(D4104:D4106)</f>
        <v>20949567000</v>
      </c>
      <c r="E4103" s="2786">
        <f>D4103/D3691*100</f>
        <v>19.396828746461022</v>
      </c>
      <c r="F4103" s="3835"/>
      <c r="G4103" s="2719"/>
      <c r="H4103" s="2786"/>
      <c r="I4103" s="2744"/>
      <c r="J4103" s="2719"/>
      <c r="K4103" s="2719"/>
      <c r="L4103" s="2786"/>
      <c r="M4103" s="2987"/>
      <c r="N4103" s="2768"/>
    </row>
    <row r="4104" spans="1:19" ht="18.75" hidden="1" customHeight="1" x14ac:dyDescent="0.25">
      <c r="B4104" s="441"/>
      <c r="C4104" s="2524" t="s">
        <v>7551</v>
      </c>
      <c r="D4104" s="2698">
        <f>10000000000-433269+269</f>
        <v>9999567000</v>
      </c>
      <c r="E4104" s="3356">
        <f>D4104/D3691*100</f>
        <v>9.2584199300044254</v>
      </c>
      <c r="F4104" s="3834"/>
      <c r="G4104" s="2679"/>
      <c r="H4104" s="2679"/>
      <c r="I4104" s="2759"/>
      <c r="J4104" s="2679"/>
      <c r="K4104" s="2679"/>
      <c r="L4104" s="3214"/>
      <c r="M4104" s="3005"/>
      <c r="N4104" s="2768"/>
    </row>
    <row r="4105" spans="1:19" ht="15.75" hidden="1" customHeight="1" x14ac:dyDescent="0.25">
      <c r="B4105" s="441"/>
      <c r="C4105" s="2494" t="s">
        <v>7552</v>
      </c>
      <c r="D4105" s="2698">
        <v>7200000000</v>
      </c>
      <c r="E4105" s="3354">
        <f>D4105/D3691*100</f>
        <v>6.6663510026015986</v>
      </c>
      <c r="F4105" s="4384"/>
      <c r="G4105" s="2811"/>
      <c r="H4105" s="2810"/>
      <c r="I4105" s="940"/>
      <c r="J4105" s="3534"/>
      <c r="K4105" s="3535"/>
      <c r="L4105" s="2810"/>
      <c r="M4105" s="2968"/>
      <c r="N4105" s="2768"/>
    </row>
    <row r="4106" spans="1:19" ht="29.25" hidden="1" customHeight="1" x14ac:dyDescent="0.25">
      <c r="B4106" s="441"/>
      <c r="C4106" s="2494" t="s">
        <v>7553</v>
      </c>
      <c r="D4106" s="2698">
        <v>3750000000</v>
      </c>
      <c r="E4106" s="3354">
        <f>D4106/D3691*100</f>
        <v>3.4720578138549993</v>
      </c>
      <c r="F4106" s="4384"/>
      <c r="G4106" s="2811"/>
      <c r="H4106" s="2810"/>
      <c r="I4106" s="940"/>
      <c r="J4106" s="3534"/>
      <c r="K4106" s="3535"/>
      <c r="L4106" s="2810"/>
      <c r="M4106" s="2757"/>
      <c r="N4106" s="2768"/>
    </row>
    <row r="4107" spans="1:19" ht="12" hidden="1" customHeight="1" x14ac:dyDescent="0.25">
      <c r="B4107" s="441"/>
      <c r="C4107" s="2563"/>
      <c r="D4107" s="3139"/>
      <c r="E4107" s="3357"/>
      <c r="F4107" s="4484"/>
      <c r="G4107" s="3025"/>
      <c r="H4107" s="2752"/>
      <c r="I4107" s="3342"/>
      <c r="J4107" s="2755"/>
      <c r="K4107" s="2755"/>
      <c r="L4107" s="2755"/>
      <c r="M4107" s="2755"/>
      <c r="N4107" s="2768"/>
    </row>
    <row r="4108" spans="1:19" ht="16.5" hidden="1" customHeight="1" x14ac:dyDescent="0.25">
      <c r="B4108" s="3075"/>
      <c r="C4108" s="2522" t="s">
        <v>7004</v>
      </c>
      <c r="D4108" s="2945">
        <f>SUM(D4110+D4170+D4224+D4240+D4263+D4269+D4307+D4311+D4328+D4342+D4351+D4360+D4379)</f>
        <v>103304292000</v>
      </c>
      <c r="E4108" s="2948">
        <f>D4108/2512247400000*100</f>
        <v>4.1120270240900636</v>
      </c>
      <c r="F4108" s="4409"/>
      <c r="G4108" s="3421"/>
      <c r="H4108" s="3422"/>
      <c r="I4108" s="3422"/>
      <c r="J4108" s="3423"/>
      <c r="K4108" s="3423"/>
      <c r="L4108" s="3422"/>
      <c r="M4108" s="3422"/>
      <c r="N4108" s="2768"/>
    </row>
    <row r="4109" spans="1:19" s="1306" customFormat="1" ht="6" hidden="1" customHeight="1" x14ac:dyDescent="0.25">
      <c r="A4109" s="1305"/>
      <c r="B4109" s="3424"/>
      <c r="C4109" s="2618"/>
      <c r="D4109" s="2952"/>
      <c r="E4109" s="3425"/>
      <c r="F4109" s="4404"/>
      <c r="G4109" s="3426"/>
      <c r="H4109" s="3427"/>
      <c r="I4109" s="3426"/>
      <c r="J4109" s="3428"/>
      <c r="K4109" s="3428"/>
      <c r="L4109" s="3427"/>
      <c r="M4109" s="3426"/>
      <c r="N4109" s="3429"/>
      <c r="P4109" s="1307"/>
    </row>
    <row r="4110" spans="1:19" ht="16.5" hidden="1" customHeight="1" x14ac:dyDescent="0.25">
      <c r="B4110" s="440"/>
      <c r="C4110" s="2575" t="s">
        <v>7843</v>
      </c>
      <c r="D4110" s="2952">
        <f>SUM(D4111+D4115+D4122+D4134+D4141+D4151+D4157+D4167)</f>
        <v>41186007000</v>
      </c>
      <c r="E4110" s="2955">
        <f>D4110/D4108*100</f>
        <v>39.86863101486626</v>
      </c>
      <c r="F4110" s="3893"/>
      <c r="G4110" s="3095"/>
      <c r="H4110" s="3430"/>
      <c r="I4110" s="3095"/>
      <c r="J4110" s="3094"/>
      <c r="K4110" s="3094"/>
      <c r="L4110" s="3430"/>
      <c r="M4110" s="3095"/>
      <c r="N4110" s="2768"/>
      <c r="P4110" s="617" t="s">
        <v>4152</v>
      </c>
    </row>
    <row r="4111" spans="1:19" ht="14.25" hidden="1" customHeight="1" x14ac:dyDescent="0.25">
      <c r="B4111" s="441"/>
      <c r="C4111" s="2525" t="s">
        <v>4741</v>
      </c>
      <c r="D4111" s="2826">
        <f>SUM(D4112:D4113)</f>
        <v>800000000</v>
      </c>
      <c r="E4111" s="2801">
        <f>D4111/D4108*100</f>
        <v>0.77441119290571203</v>
      </c>
      <c r="F4111" s="3883"/>
      <c r="G4111" s="3168"/>
      <c r="H4111" s="3431"/>
      <c r="I4111" s="2679"/>
      <c r="J4111" s="3168"/>
      <c r="K4111" s="3168"/>
      <c r="L4111" s="3431"/>
      <c r="M4111" s="2679"/>
      <c r="N4111" s="2768"/>
      <c r="P4111" s="5088" t="s">
        <v>3088</v>
      </c>
      <c r="Q4111" s="5089"/>
      <c r="R4111" s="5089"/>
      <c r="S4111" s="5089"/>
    </row>
    <row r="4112" spans="1:19" ht="16.5" hidden="1" customHeight="1" x14ac:dyDescent="0.25">
      <c r="B4112" s="441"/>
      <c r="C4112" s="2524" t="s">
        <v>4742</v>
      </c>
      <c r="D4112" s="896">
        <v>400000000</v>
      </c>
      <c r="E4112" s="3432">
        <f>D4112/D4108*100</f>
        <v>0.38720559645285602</v>
      </c>
      <c r="F4112" s="4458"/>
      <c r="G4112" s="3433"/>
      <c r="H4112" s="3434"/>
      <c r="I4112" s="2685"/>
      <c r="J4112" s="3161"/>
      <c r="K4112" s="2700"/>
      <c r="L4112" s="3434"/>
      <c r="M4112" s="2685"/>
      <c r="N4112" s="2768"/>
      <c r="P4112" s="618" t="s">
        <v>3089</v>
      </c>
    </row>
    <row r="4113" spans="1:16" ht="18" hidden="1" customHeight="1" x14ac:dyDescent="0.25">
      <c r="B4113" s="441"/>
      <c r="C4113" s="2524" t="s">
        <v>4743</v>
      </c>
      <c r="D4113" s="896">
        <v>400000000</v>
      </c>
      <c r="E4113" s="3432">
        <f>D4113/D4108*100</f>
        <v>0.38720559645285602</v>
      </c>
      <c r="F4113" s="4458"/>
      <c r="G4113" s="3433"/>
      <c r="H4113" s="3434"/>
      <c r="I4113" s="2685"/>
      <c r="J4113" s="3161"/>
      <c r="K4113" s="3161"/>
      <c r="L4113" s="3434"/>
      <c r="M4113" s="2685"/>
      <c r="N4113" s="2768"/>
      <c r="P4113" s="617" t="s">
        <v>4153</v>
      </c>
    </row>
    <row r="4114" spans="1:16" ht="9.75" hidden="1" customHeight="1" x14ac:dyDescent="0.25">
      <c r="B4114" s="441"/>
      <c r="C4114" s="2506"/>
      <c r="D4114" s="2724"/>
      <c r="E4114" s="2879"/>
      <c r="F4114" s="4380"/>
      <c r="G4114" s="2685"/>
      <c r="H4114" s="2685"/>
      <c r="I4114" s="2685"/>
      <c r="J4114" s="2834"/>
      <c r="K4114" s="2700"/>
      <c r="L4114" s="2685"/>
      <c r="M4114" s="2685"/>
      <c r="N4114" s="2768"/>
      <c r="P4114" s="617" t="s">
        <v>4154</v>
      </c>
    </row>
    <row r="4115" spans="1:16" ht="18.75" hidden="1" customHeight="1" x14ac:dyDescent="0.25">
      <c r="B4115" s="441"/>
      <c r="C4115" s="2525" t="s">
        <v>4744</v>
      </c>
      <c r="D4115" s="899">
        <f>SUM(D4116:D4120)</f>
        <v>1400000000</v>
      </c>
      <c r="E4115" s="2813">
        <f>D4115/D4108*100</f>
        <v>1.3552195875849959</v>
      </c>
      <c r="F4115" s="3879"/>
      <c r="G4115" s="3163"/>
      <c r="H4115" s="3435"/>
      <c r="I4115" s="2679"/>
      <c r="J4115" s="3163"/>
      <c r="K4115" s="3163"/>
      <c r="L4115" s="3431"/>
      <c r="M4115" s="2679"/>
      <c r="N4115" s="2768"/>
      <c r="P4115" s="617" t="s">
        <v>4155</v>
      </c>
    </row>
    <row r="4116" spans="1:16" ht="28.5" hidden="1" customHeight="1" x14ac:dyDescent="0.25">
      <c r="B4116" s="441"/>
      <c r="C4116" s="2524" t="s">
        <v>4745</v>
      </c>
      <c r="D4116" s="3436">
        <v>300000000</v>
      </c>
      <c r="E4116" s="2810">
        <f>D4116/D4108*100</f>
        <v>0.29040419733964201</v>
      </c>
      <c r="F4116" s="4458"/>
      <c r="G4116" s="3433"/>
      <c r="H4116" s="3434"/>
      <c r="I4116" s="2685"/>
      <c r="J4116" s="3161"/>
      <c r="K4116" s="2700"/>
      <c r="L4116" s="3434"/>
      <c r="M4116" s="2685"/>
      <c r="N4116" s="2768"/>
      <c r="P4116" s="617" t="s">
        <v>2392</v>
      </c>
    </row>
    <row r="4117" spans="1:16" ht="15.75" hidden="1" customHeight="1" x14ac:dyDescent="0.25">
      <c r="B4117" s="441"/>
      <c r="C4117" s="2524" t="s">
        <v>4746</v>
      </c>
      <c r="D4117" s="896">
        <v>300000000</v>
      </c>
      <c r="E4117" s="2810">
        <f>D4117/D4108*100</f>
        <v>0.29040419733964201</v>
      </c>
      <c r="F4117" s="4458"/>
      <c r="G4117" s="3433"/>
      <c r="H4117" s="3434"/>
      <c r="I4117" s="2685"/>
      <c r="J4117" s="3161"/>
      <c r="K4117" s="2700"/>
      <c r="L4117" s="3434"/>
      <c r="M4117" s="2685"/>
      <c r="N4117" s="2768"/>
      <c r="P4117" s="617" t="s">
        <v>4156</v>
      </c>
    </row>
    <row r="4118" spans="1:16" ht="17.25" hidden="1" customHeight="1" x14ac:dyDescent="0.25">
      <c r="B4118" s="441"/>
      <c r="C4118" s="2524" t="s">
        <v>4747</v>
      </c>
      <c r="D4118" s="896">
        <v>200000000</v>
      </c>
      <c r="E4118" s="2810">
        <f>D4118/D4108*100</f>
        <v>0.19360279822642801</v>
      </c>
      <c r="F4118" s="4458"/>
      <c r="G4118" s="3433"/>
      <c r="H4118" s="3434"/>
      <c r="I4118" s="2685"/>
      <c r="J4118" s="3161"/>
      <c r="K4118" s="2700"/>
      <c r="L4118" s="3434"/>
      <c r="M4118" s="2685"/>
      <c r="N4118" s="2768"/>
      <c r="P4118" s="617" t="s">
        <v>4157</v>
      </c>
    </row>
    <row r="4119" spans="1:16" ht="17.25" hidden="1" customHeight="1" x14ac:dyDescent="0.25">
      <c r="B4119" s="441"/>
      <c r="C4119" s="2524" t="s">
        <v>4748</v>
      </c>
      <c r="D4119" s="896">
        <v>300000000</v>
      </c>
      <c r="E4119" s="2810">
        <f>D4119/D4108*100</f>
        <v>0.29040419733964201</v>
      </c>
      <c r="F4119" s="4458"/>
      <c r="G4119" s="3433"/>
      <c r="H4119" s="3434"/>
      <c r="I4119" s="2685"/>
      <c r="J4119" s="3161"/>
      <c r="K4119" s="2700"/>
      <c r="L4119" s="3434"/>
      <c r="M4119" s="2685"/>
      <c r="N4119" s="2768"/>
      <c r="P4119" s="617" t="s">
        <v>4158</v>
      </c>
    </row>
    <row r="4120" spans="1:16" ht="14.25" hidden="1" customHeight="1" x14ac:dyDescent="0.25">
      <c r="B4120" s="441"/>
      <c r="C4120" s="2524" t="s">
        <v>4749</v>
      </c>
      <c r="D4120" s="896">
        <v>300000000</v>
      </c>
      <c r="E4120" s="2810">
        <f>D4120/D4108*100</f>
        <v>0.29040419733964201</v>
      </c>
      <c r="F4120" s="4458"/>
      <c r="G4120" s="3433"/>
      <c r="H4120" s="3434"/>
      <c r="I4120" s="2685"/>
      <c r="J4120" s="3161"/>
      <c r="K4120" s="2700"/>
      <c r="L4120" s="3434"/>
      <c r="M4120" s="2685"/>
      <c r="N4120" s="2768"/>
      <c r="P4120" s="617" t="s">
        <v>4159</v>
      </c>
    </row>
    <row r="4121" spans="1:16" ht="9" hidden="1" customHeight="1" x14ac:dyDescent="0.25">
      <c r="B4121" s="441"/>
      <c r="C4121" s="2585"/>
      <c r="D4121" s="2769"/>
      <c r="E4121" s="2810"/>
      <c r="F4121" s="4451"/>
      <c r="G4121" s="2804"/>
      <c r="H4121" s="2804"/>
      <c r="I4121" s="2685"/>
      <c r="J4121" s="3248"/>
      <c r="K4121" s="2700"/>
      <c r="L4121" s="2685"/>
      <c r="M4121" s="2685"/>
      <c r="N4121" s="2768"/>
      <c r="P4121" s="617" t="s">
        <v>4160</v>
      </c>
    </row>
    <row r="4122" spans="1:16" s="32" customFormat="1" ht="19.5" hidden="1" customHeight="1" x14ac:dyDescent="0.25">
      <c r="A4122" s="1"/>
      <c r="B4122" s="441"/>
      <c r="C4122" s="2576" t="s">
        <v>4750</v>
      </c>
      <c r="D4122" s="899">
        <f>SUM(D4123:D4132)</f>
        <v>5068603000</v>
      </c>
      <c r="E4122" s="2813">
        <f>D4122/D4108*100</f>
        <v>4.9064786194943384</v>
      </c>
      <c r="F4122" s="3852"/>
      <c r="G4122" s="2725"/>
      <c r="H4122" s="2725"/>
      <c r="I4122" s="2679"/>
      <c r="J4122" s="3266"/>
      <c r="K4122" s="2694"/>
      <c r="L4122" s="2725"/>
      <c r="M4122" s="2679"/>
      <c r="N4122" s="2837"/>
      <c r="P4122" s="630"/>
    </row>
    <row r="4123" spans="1:16" ht="15" hidden="1" customHeight="1" x14ac:dyDescent="0.25">
      <c r="B4123" s="441"/>
      <c r="C4123" s="2577" t="s">
        <v>4751</v>
      </c>
      <c r="D4123" s="896">
        <v>1000000000</v>
      </c>
      <c r="E4123" s="2810">
        <f>D4123/D4108*100</f>
        <v>0.96801399113213993</v>
      </c>
      <c r="F4123" s="4449"/>
      <c r="G4123" s="2804"/>
      <c r="H4123" s="2804"/>
      <c r="I4123" s="2685"/>
      <c r="J4123" s="3248"/>
      <c r="K4123" s="2700"/>
      <c r="L4123" s="2804"/>
      <c r="M4123" s="2685"/>
      <c r="N4123" s="2768"/>
    </row>
    <row r="4124" spans="1:16" ht="14.25" hidden="1" customHeight="1" x14ac:dyDescent="0.25">
      <c r="B4124" s="441"/>
      <c r="C4124" s="2577" t="s">
        <v>4752</v>
      </c>
      <c r="D4124" s="896">
        <v>875000000</v>
      </c>
      <c r="E4124" s="2810">
        <f>D4124/D4108*100</f>
        <v>0.84701224224062244</v>
      </c>
      <c r="F4124" s="4449"/>
      <c r="G4124" s="2804"/>
      <c r="H4124" s="2804"/>
      <c r="I4124" s="2685"/>
      <c r="J4124" s="3248"/>
      <c r="K4124" s="2700"/>
      <c r="L4124" s="2804"/>
      <c r="M4124" s="2685"/>
      <c r="N4124" s="2768"/>
    </row>
    <row r="4125" spans="1:16" ht="19.5" hidden="1" customHeight="1" x14ac:dyDescent="0.25">
      <c r="B4125" s="441"/>
      <c r="C4125" s="2577" t="s">
        <v>4753</v>
      </c>
      <c r="D4125" s="896">
        <v>400000000</v>
      </c>
      <c r="E4125" s="2810">
        <f>D4125/D4108*100</f>
        <v>0.38720559645285602</v>
      </c>
      <c r="F4125" s="4449"/>
      <c r="G4125" s="2804"/>
      <c r="H4125" s="2804"/>
      <c r="I4125" s="2685"/>
      <c r="J4125" s="3248"/>
      <c r="K4125" s="2700"/>
      <c r="L4125" s="2804"/>
      <c r="M4125" s="2685"/>
      <c r="N4125" s="2768"/>
    </row>
    <row r="4126" spans="1:16" ht="16.5" hidden="1" customHeight="1" x14ac:dyDescent="0.25">
      <c r="B4126" s="441"/>
      <c r="C4126" s="2577" t="s">
        <v>4754</v>
      </c>
      <c r="D4126" s="896">
        <v>100000000</v>
      </c>
      <c r="E4126" s="2810">
        <f>D4126/D4108*100</f>
        <v>9.6801399113214004E-2</v>
      </c>
      <c r="F4126" s="4449"/>
      <c r="G4126" s="2804"/>
      <c r="H4126" s="2804"/>
      <c r="I4126" s="2685"/>
      <c r="J4126" s="3248"/>
      <c r="K4126" s="2700"/>
      <c r="L4126" s="2804"/>
      <c r="M4126" s="2685"/>
      <c r="N4126" s="2768"/>
    </row>
    <row r="4127" spans="1:16" ht="15.75" hidden="1" customHeight="1" x14ac:dyDescent="0.25">
      <c r="B4127" s="441"/>
      <c r="C4127" s="2577" t="s">
        <v>4755</v>
      </c>
      <c r="D4127" s="896">
        <v>600000000</v>
      </c>
      <c r="E4127" s="2810">
        <f>D4127/D4108*100</f>
        <v>0.58080839467928402</v>
      </c>
      <c r="F4127" s="4449"/>
      <c r="G4127" s="2804"/>
      <c r="H4127" s="2804"/>
      <c r="I4127" s="2685"/>
      <c r="J4127" s="3248"/>
      <c r="K4127" s="2700"/>
      <c r="L4127" s="2804"/>
      <c r="M4127" s="2685"/>
      <c r="N4127" s="2768"/>
    </row>
    <row r="4128" spans="1:16" ht="14.25" hidden="1" customHeight="1" x14ac:dyDescent="0.25">
      <c r="B4128" s="441"/>
      <c r="C4128" s="2577" t="s">
        <v>4756</v>
      </c>
      <c r="D4128" s="896">
        <v>300000000</v>
      </c>
      <c r="E4128" s="2810">
        <f>D4128/D4108*100</f>
        <v>0.29040419733964201</v>
      </c>
      <c r="F4128" s="4449"/>
      <c r="G4128" s="2804"/>
      <c r="H4128" s="2804"/>
      <c r="I4128" s="2685"/>
      <c r="J4128" s="3248"/>
      <c r="K4128" s="2700"/>
      <c r="L4128" s="2804"/>
      <c r="M4128" s="2685"/>
      <c r="N4128" s="2768"/>
    </row>
    <row r="4129" spans="2:14" ht="18.75" hidden="1" customHeight="1" x14ac:dyDescent="0.25">
      <c r="B4129" s="441"/>
      <c r="C4129" s="2577" t="s">
        <v>4757</v>
      </c>
      <c r="D4129" s="896">
        <v>500000000</v>
      </c>
      <c r="E4129" s="2810">
        <f>D4129/D4108*100</f>
        <v>0.48400699556606996</v>
      </c>
      <c r="F4129" s="4449"/>
      <c r="G4129" s="2804"/>
      <c r="H4129" s="2804"/>
      <c r="I4129" s="2685"/>
      <c r="J4129" s="3248"/>
      <c r="K4129" s="2700"/>
      <c r="L4129" s="2804"/>
      <c r="M4129" s="2685"/>
      <c r="N4129" s="2768"/>
    </row>
    <row r="4130" spans="2:14" ht="18" hidden="1" customHeight="1" x14ac:dyDescent="0.25">
      <c r="B4130" s="441"/>
      <c r="C4130" s="2577" t="s">
        <v>4758</v>
      </c>
      <c r="D4130" s="896">
        <v>300000000</v>
      </c>
      <c r="E4130" s="2810">
        <f>D4130/D4108*100</f>
        <v>0.29040419733964201</v>
      </c>
      <c r="F4130" s="4449"/>
      <c r="G4130" s="2804"/>
      <c r="H4130" s="2804"/>
      <c r="I4130" s="2685"/>
      <c r="J4130" s="3248"/>
      <c r="K4130" s="2700"/>
      <c r="L4130" s="2804"/>
      <c r="M4130" s="2685"/>
      <c r="N4130" s="2768"/>
    </row>
    <row r="4131" spans="2:14" ht="17.25" hidden="1" customHeight="1" x14ac:dyDescent="0.25">
      <c r="B4131" s="441"/>
      <c r="C4131" s="2577" t="s">
        <v>4759</v>
      </c>
      <c r="D4131" s="896">
        <v>700000000</v>
      </c>
      <c r="E4131" s="2810">
        <f>D4131/D4108*100</f>
        <v>0.67760979379249797</v>
      </c>
      <c r="F4131" s="4449"/>
      <c r="G4131" s="2804"/>
      <c r="H4131" s="2804"/>
      <c r="I4131" s="2685"/>
      <c r="J4131" s="3248"/>
      <c r="K4131" s="2700"/>
      <c r="L4131" s="2804"/>
      <c r="M4131" s="2685"/>
      <c r="N4131" s="2768"/>
    </row>
    <row r="4132" spans="2:14" ht="18.75" hidden="1" customHeight="1" x14ac:dyDescent="0.25">
      <c r="B4132" s="441"/>
      <c r="C4132" s="2577" t="s">
        <v>4760</v>
      </c>
      <c r="D4132" s="896">
        <v>293603000</v>
      </c>
      <c r="E4132" s="2810">
        <f>D4132/D4108*100</f>
        <v>0.28421181183836969</v>
      </c>
      <c r="F4132" s="4449"/>
      <c r="G4132" s="2804"/>
      <c r="H4132" s="2804"/>
      <c r="I4132" s="2685"/>
      <c r="J4132" s="3248"/>
      <c r="K4132" s="2700"/>
      <c r="L4132" s="2804"/>
      <c r="M4132" s="2685"/>
      <c r="N4132" s="2768"/>
    </row>
    <row r="4133" spans="2:14" ht="9.75" hidden="1" customHeight="1" x14ac:dyDescent="0.25">
      <c r="B4133" s="441"/>
      <c r="C4133" s="2585"/>
      <c r="D4133" s="2769"/>
      <c r="E4133" s="2810"/>
      <c r="F4133" s="4451"/>
      <c r="G4133" s="2804"/>
      <c r="H4133" s="2804"/>
      <c r="I4133" s="2685"/>
      <c r="J4133" s="3248"/>
      <c r="K4133" s="2700"/>
      <c r="L4133" s="2804"/>
      <c r="M4133" s="2685"/>
      <c r="N4133" s="2768"/>
    </row>
    <row r="4134" spans="2:14" ht="21" hidden="1" customHeight="1" x14ac:dyDescent="0.25">
      <c r="B4134" s="441"/>
      <c r="C4134" s="2525" t="s">
        <v>4761</v>
      </c>
      <c r="D4134" s="899">
        <f>SUM(D4135:D4139)</f>
        <v>11600000000</v>
      </c>
      <c r="E4134" s="2813">
        <f>D4134/D4108*100</f>
        <v>11.228962297132822</v>
      </c>
      <c r="F4134" s="3879"/>
      <c r="G4134" s="3163"/>
      <c r="H4134" s="3435"/>
      <c r="I4134" s="2679"/>
      <c r="J4134" s="3163"/>
      <c r="K4134" s="3163"/>
      <c r="L4134" s="3431"/>
      <c r="M4134" s="2679"/>
      <c r="N4134" s="2768"/>
    </row>
    <row r="4135" spans="2:14" ht="14.25" hidden="1" customHeight="1" x14ac:dyDescent="0.25">
      <c r="B4135" s="441"/>
      <c r="C4135" s="2524" t="s">
        <v>4762</v>
      </c>
      <c r="D4135" s="896">
        <v>600000000</v>
      </c>
      <c r="E4135" s="2810">
        <f>D4135/D4108*100</f>
        <v>0.58080839467928402</v>
      </c>
      <c r="F4135" s="4449"/>
      <c r="G4135" s="3433"/>
      <c r="H4135" s="3434"/>
      <c r="I4135" s="2685"/>
      <c r="J4135" s="2852"/>
      <c r="K4135" s="3433"/>
      <c r="L4135" s="3434"/>
      <c r="M4135" s="2685"/>
      <c r="N4135" s="2768"/>
    </row>
    <row r="4136" spans="2:14" ht="14.25" hidden="1" customHeight="1" x14ac:dyDescent="0.25">
      <c r="B4136" s="441"/>
      <c r="C4136" s="2524" t="s">
        <v>4763</v>
      </c>
      <c r="D4136" s="896">
        <v>10000000000</v>
      </c>
      <c r="E4136" s="2810">
        <f>D4136/D4108*100</f>
        <v>9.6801399113214011</v>
      </c>
      <c r="F4136" s="4458"/>
      <c r="G4136" s="3433"/>
      <c r="H4136" s="3434"/>
      <c r="I4136" s="2685"/>
      <c r="J4136" s="3161"/>
      <c r="K4136" s="3244"/>
      <c r="L4136" s="3434"/>
      <c r="M4136" s="2685"/>
      <c r="N4136" s="2768"/>
    </row>
    <row r="4137" spans="2:14" ht="18.75" hidden="1" customHeight="1" x14ac:dyDescent="0.25">
      <c r="B4137" s="441"/>
      <c r="C4137" s="2524" t="s">
        <v>4764</v>
      </c>
      <c r="D4137" s="896">
        <v>100000000</v>
      </c>
      <c r="E4137" s="2810">
        <f>D4137/D4108*100</f>
        <v>9.6801399113214004E-2</v>
      </c>
      <c r="F4137" s="4458"/>
      <c r="G4137" s="3433"/>
      <c r="H4137" s="3434"/>
      <c r="I4137" s="2685"/>
      <c r="J4137" s="3161"/>
      <c r="K4137" s="3161"/>
      <c r="L4137" s="3434"/>
      <c r="M4137" s="2685"/>
      <c r="N4137" s="2768"/>
    </row>
    <row r="4138" spans="2:14" ht="17.25" hidden="1" customHeight="1" x14ac:dyDescent="0.25">
      <c r="B4138" s="441"/>
      <c r="C4138" s="2524" t="s">
        <v>4765</v>
      </c>
      <c r="D4138" s="3436">
        <v>100000000</v>
      </c>
      <c r="E4138" s="2810">
        <f>D4138/D4108*100</f>
        <v>9.6801399113214004E-2</v>
      </c>
      <c r="F4138" s="4458"/>
      <c r="G4138" s="3433"/>
      <c r="H4138" s="3434"/>
      <c r="I4138" s="2685"/>
      <c r="J4138" s="3161"/>
      <c r="K4138" s="3433"/>
      <c r="L4138" s="3434"/>
      <c r="M4138" s="2685"/>
      <c r="N4138" s="2768"/>
    </row>
    <row r="4139" spans="2:14" ht="14.25" hidden="1" customHeight="1" x14ac:dyDescent="0.25">
      <c r="B4139" s="441"/>
      <c r="C4139" s="2524" t="s">
        <v>4766</v>
      </c>
      <c r="D4139" s="896">
        <v>800000000</v>
      </c>
      <c r="E4139" s="2810">
        <f>D4139/D4108*100</f>
        <v>0.77441119290571203</v>
      </c>
      <c r="F4139" s="4458"/>
      <c r="G4139" s="3433"/>
      <c r="H4139" s="3434"/>
      <c r="I4139" s="2685"/>
      <c r="J4139" s="3161"/>
      <c r="K4139" s="3433"/>
      <c r="L4139" s="3434"/>
      <c r="M4139" s="2685"/>
      <c r="N4139" s="2768"/>
    </row>
    <row r="4140" spans="2:14" ht="12" hidden="1" customHeight="1" x14ac:dyDescent="0.25">
      <c r="B4140" s="441"/>
      <c r="C4140" s="2585"/>
      <c r="D4140" s="2769"/>
      <c r="E4140" s="2810"/>
      <c r="F4140" s="4451"/>
      <c r="G4140" s="3251"/>
      <c r="H4140" s="2804"/>
      <c r="I4140" s="2685"/>
      <c r="J4140" s="3248"/>
      <c r="K4140" s="3437"/>
      <c r="L4140" s="2685"/>
      <c r="M4140" s="2685"/>
      <c r="N4140" s="2768"/>
    </row>
    <row r="4141" spans="2:14" ht="20.25" hidden="1" customHeight="1" x14ac:dyDescent="0.25">
      <c r="B4141" s="441"/>
      <c r="C4141" s="2525" t="s">
        <v>663</v>
      </c>
      <c r="D4141" s="899">
        <f>SUM(D4142:D4149)</f>
        <v>1650000000</v>
      </c>
      <c r="E4141" s="2813">
        <f>D4141/D4108*100</f>
        <v>1.5972230853680311</v>
      </c>
      <c r="F4141" s="3879"/>
      <c r="G4141" s="3163"/>
      <c r="H4141" s="3435"/>
      <c r="I4141" s="2679"/>
      <c r="J4141" s="3163"/>
      <c r="K4141" s="3163"/>
      <c r="L4141" s="3431"/>
      <c r="M4141" s="2679"/>
      <c r="N4141" s="2768"/>
    </row>
    <row r="4142" spans="2:14" ht="15.75" hidden="1" customHeight="1" x14ac:dyDescent="0.25">
      <c r="B4142" s="441"/>
      <c r="C4142" s="2524" t="s">
        <v>4767</v>
      </c>
      <c r="D4142" s="896">
        <v>200000000</v>
      </c>
      <c r="E4142" s="2810">
        <f>D4142/D4108*100</f>
        <v>0.19360279822642801</v>
      </c>
      <c r="F4142" s="4458"/>
      <c r="G4142" s="3438"/>
      <c r="H4142" s="3434"/>
      <c r="I4142" s="2685"/>
      <c r="J4142" s="3161"/>
      <c r="K4142" s="3433"/>
      <c r="L4142" s="3434"/>
      <c r="M4142" s="2685"/>
      <c r="N4142" s="2768"/>
    </row>
    <row r="4143" spans="2:14" ht="15.75" hidden="1" customHeight="1" x14ac:dyDescent="0.25">
      <c r="B4143" s="441"/>
      <c r="C4143" s="2524" t="s">
        <v>4768</v>
      </c>
      <c r="D4143" s="896">
        <v>200000000</v>
      </c>
      <c r="E4143" s="2810">
        <f>D4143/D4108*100</f>
        <v>0.19360279822642801</v>
      </c>
      <c r="F4143" s="4458"/>
      <c r="G4143" s="3433"/>
      <c r="H4143" s="3434"/>
      <c r="I4143" s="2685"/>
      <c r="J4143" s="3161"/>
      <c r="K4143" s="3433"/>
      <c r="L4143" s="3434"/>
      <c r="M4143" s="2685"/>
      <c r="N4143" s="2768"/>
    </row>
    <row r="4144" spans="2:14" ht="16.5" hidden="1" customHeight="1" x14ac:dyDescent="0.25">
      <c r="B4144" s="441"/>
      <c r="C4144" s="2524" t="s">
        <v>4769</v>
      </c>
      <c r="D4144" s="896">
        <v>300000000</v>
      </c>
      <c r="E4144" s="2810">
        <f>D4144/D4108*100</f>
        <v>0.29040419733964201</v>
      </c>
      <c r="F4144" s="4458"/>
      <c r="G4144" s="2804"/>
      <c r="H4144" s="2804"/>
      <c r="I4144" s="2804"/>
      <c r="J4144" s="3161"/>
      <c r="K4144" s="2731"/>
      <c r="L4144" s="2804"/>
      <c r="M4144" s="2804"/>
      <c r="N4144" s="2768"/>
    </row>
    <row r="4145" spans="2:14" ht="18" hidden="1" customHeight="1" x14ac:dyDescent="0.25">
      <c r="B4145" s="441"/>
      <c r="C4145" s="2524" t="s">
        <v>4770</v>
      </c>
      <c r="D4145" s="896">
        <v>200000000</v>
      </c>
      <c r="E4145" s="2810">
        <f>D4145/D4108*100</f>
        <v>0.19360279822642801</v>
      </c>
      <c r="F4145" s="4458"/>
      <c r="G4145" s="2804"/>
      <c r="H4145" s="2804"/>
      <c r="I4145" s="2804"/>
      <c r="J4145" s="3161"/>
      <c r="K4145" s="2731"/>
      <c r="L4145" s="2804"/>
      <c r="M4145" s="2804"/>
      <c r="N4145" s="2768"/>
    </row>
    <row r="4146" spans="2:14" ht="16.5" hidden="1" customHeight="1" x14ac:dyDescent="0.25">
      <c r="B4146" s="441"/>
      <c r="C4146" s="2524" t="s">
        <v>4771</v>
      </c>
      <c r="D4146" s="896">
        <v>250000000</v>
      </c>
      <c r="E4146" s="2810">
        <f>D4146/D4108*100</f>
        <v>0.24200349778303498</v>
      </c>
      <c r="F4146" s="4458"/>
      <c r="G4146" s="2804"/>
      <c r="H4146" s="2804"/>
      <c r="I4146" s="2804"/>
      <c r="J4146" s="3161"/>
      <c r="K4146" s="2731"/>
      <c r="L4146" s="2804"/>
      <c r="M4146" s="2804"/>
      <c r="N4146" s="2768"/>
    </row>
    <row r="4147" spans="2:14" ht="18" hidden="1" customHeight="1" x14ac:dyDescent="0.25">
      <c r="B4147" s="441"/>
      <c r="C4147" s="2524" t="s">
        <v>4772</v>
      </c>
      <c r="D4147" s="896">
        <v>100000000</v>
      </c>
      <c r="E4147" s="2810">
        <f>D4147/D4108*100</f>
        <v>9.6801399113214004E-2</v>
      </c>
      <c r="F4147" s="4458"/>
      <c r="G4147" s="2804"/>
      <c r="H4147" s="2804"/>
      <c r="I4147" s="2804"/>
      <c r="J4147" s="3161"/>
      <c r="K4147" s="2731"/>
      <c r="L4147" s="2804"/>
      <c r="M4147" s="2804"/>
      <c r="N4147" s="2768"/>
    </row>
    <row r="4148" spans="2:14" ht="18" hidden="1" customHeight="1" x14ac:dyDescent="0.25">
      <c r="B4148" s="441"/>
      <c r="C4148" s="2524" t="s">
        <v>4773</v>
      </c>
      <c r="D4148" s="896">
        <v>100000000</v>
      </c>
      <c r="E4148" s="2810">
        <f>D4148/D4108*100</f>
        <v>9.6801399113214004E-2</v>
      </c>
      <c r="F4148" s="4458"/>
      <c r="G4148" s="2804"/>
      <c r="H4148" s="2804"/>
      <c r="I4148" s="2804"/>
      <c r="J4148" s="3161"/>
      <c r="K4148" s="3244"/>
      <c r="L4148" s="3434"/>
      <c r="M4148" s="2685"/>
      <c r="N4148" s="2768"/>
    </row>
    <row r="4149" spans="2:14" ht="19.5" hidden="1" customHeight="1" x14ac:dyDescent="0.25">
      <c r="B4149" s="441"/>
      <c r="C4149" s="2524" t="s">
        <v>4774</v>
      </c>
      <c r="D4149" s="896">
        <v>300000000</v>
      </c>
      <c r="E4149" s="2810">
        <f>D4149/D4108*100</f>
        <v>0.29040419733964201</v>
      </c>
      <c r="F4149" s="4458"/>
      <c r="G4149" s="2804"/>
      <c r="H4149" s="2804"/>
      <c r="I4149" s="2804"/>
      <c r="J4149" s="3161"/>
      <c r="K4149" s="2731"/>
      <c r="L4149" s="2804"/>
      <c r="M4149" s="2804"/>
      <c r="N4149" s="2768"/>
    </row>
    <row r="4150" spans="2:14" ht="10.5" hidden="1" customHeight="1" x14ac:dyDescent="0.25">
      <c r="B4150" s="441"/>
      <c r="C4150" s="2585"/>
      <c r="D4150" s="2769"/>
      <c r="E4150" s="2810"/>
      <c r="F4150" s="4451"/>
      <c r="G4150" s="3268"/>
      <c r="H4150" s="2804"/>
      <c r="I4150" s="2804"/>
      <c r="J4150" s="3248"/>
      <c r="K4150" s="3249"/>
      <c r="L4150" s="2804"/>
      <c r="M4150" s="2804"/>
      <c r="N4150" s="2768"/>
    </row>
    <row r="4151" spans="2:14" ht="19.5" hidden="1" customHeight="1" x14ac:dyDescent="0.25">
      <c r="B4151" s="439"/>
      <c r="C4151" s="2619" t="s">
        <v>4775</v>
      </c>
      <c r="D4151" s="2692">
        <f>SUM(D4152:D4155)</f>
        <v>1911124000</v>
      </c>
      <c r="E4151" s="2813">
        <f>D4151/D4108*100</f>
        <v>1.8499947707884199</v>
      </c>
      <c r="F4151" s="3834"/>
      <c r="G4151" s="2725"/>
      <c r="H4151" s="2725"/>
      <c r="I4151" s="2725"/>
      <c r="J4151" s="2723"/>
      <c r="K4151" s="2680"/>
      <c r="L4151" s="2725"/>
      <c r="M4151" s="2725"/>
      <c r="N4151" s="3439"/>
    </row>
    <row r="4152" spans="2:14" ht="16.5" hidden="1" customHeight="1" x14ac:dyDescent="0.25">
      <c r="B4152" s="439"/>
      <c r="C4152" s="2620" t="s">
        <v>4776</v>
      </c>
      <c r="D4152" s="2698">
        <v>1000000000</v>
      </c>
      <c r="E4152" s="2810">
        <f>D4152/D4108*100</f>
        <v>0.96801399113213993</v>
      </c>
      <c r="F4152" s="4384"/>
      <c r="G4152" s="2804"/>
      <c r="H4152" s="2804"/>
      <c r="I4152" s="2804"/>
      <c r="J4152" s="2700"/>
      <c r="K4152" s="2731"/>
      <c r="L4152" s="2804"/>
      <c r="M4152" s="2804"/>
      <c r="N4152" s="3439"/>
    </row>
    <row r="4153" spans="2:14" ht="17.25" hidden="1" customHeight="1" x14ac:dyDescent="0.25">
      <c r="B4153" s="439"/>
      <c r="C4153" s="2620" t="s">
        <v>4778</v>
      </c>
      <c r="D4153" s="2698">
        <v>500000000</v>
      </c>
      <c r="E4153" s="2810">
        <f>D4153/D4108*100</f>
        <v>0.48400699556606996</v>
      </c>
      <c r="F4153" s="4384"/>
      <c r="G4153" s="2804"/>
      <c r="H4153" s="2804"/>
      <c r="I4153" s="2804"/>
      <c r="J4153" s="2700"/>
      <c r="K4153" s="2731"/>
      <c r="L4153" s="2804"/>
      <c r="M4153" s="2804"/>
      <c r="N4153" s="3439"/>
    </row>
    <row r="4154" spans="2:14" ht="17.25" hidden="1" customHeight="1" x14ac:dyDescent="0.25">
      <c r="B4154" s="439"/>
      <c r="C4154" s="2621" t="s">
        <v>4777</v>
      </c>
      <c r="D4154" s="2706">
        <v>211124000</v>
      </c>
      <c r="E4154" s="2810">
        <f>D4154/D4108*100</f>
        <v>0.20437098586378191</v>
      </c>
      <c r="F4154" s="4464"/>
      <c r="G4154" s="2830"/>
      <c r="H4154" s="2830"/>
      <c r="I4154" s="2830"/>
      <c r="J4154" s="2834"/>
      <c r="K4154" s="2834"/>
      <c r="L4154" s="2830"/>
      <c r="M4154" s="2830"/>
      <c r="N4154" s="3439"/>
    </row>
    <row r="4155" spans="2:14" ht="18" hidden="1" customHeight="1" x14ac:dyDescent="0.25">
      <c r="B4155" s="439"/>
      <c r="C4155" s="2621" t="s">
        <v>4779</v>
      </c>
      <c r="D4155" s="2706">
        <v>200000000</v>
      </c>
      <c r="E4155" s="2810">
        <f>D4155/D4108*100</f>
        <v>0.19360279822642801</v>
      </c>
      <c r="F4155" s="4464"/>
      <c r="G4155" s="2685"/>
      <c r="H4155" s="2685"/>
      <c r="I4155" s="2685"/>
      <c r="J4155" s="2700"/>
      <c r="K4155" s="2700"/>
      <c r="L4155" s="2685"/>
      <c r="M4155" s="2685"/>
      <c r="N4155" s="3439"/>
    </row>
    <row r="4156" spans="2:14" ht="10.5" hidden="1" customHeight="1" x14ac:dyDescent="0.25">
      <c r="B4156" s="439"/>
      <c r="C4156" s="2621"/>
      <c r="D4156" s="2706"/>
      <c r="E4156" s="2810"/>
      <c r="F4156" s="4464"/>
      <c r="G4156" s="2685"/>
      <c r="H4156" s="2685"/>
      <c r="I4156" s="2685"/>
      <c r="J4156" s="2700"/>
      <c r="K4156" s="2700"/>
      <c r="L4156" s="2685"/>
      <c r="M4156" s="2685"/>
      <c r="N4156" s="3439"/>
    </row>
    <row r="4157" spans="2:14" ht="18" hidden="1" customHeight="1" x14ac:dyDescent="0.25">
      <c r="B4157" s="439"/>
      <c r="C4157" s="2622" t="s">
        <v>670</v>
      </c>
      <c r="D4157" s="2712">
        <f>SUM(D4158:D4165)</f>
        <v>18566000000</v>
      </c>
      <c r="E4157" s="2813">
        <f>D4157/D4108*100</f>
        <v>17.972147759359309</v>
      </c>
      <c r="F4157" s="3912"/>
      <c r="G4157" s="2679"/>
      <c r="H4157" s="2679"/>
      <c r="I4157" s="2679"/>
      <c r="J4157" s="2694"/>
      <c r="K4157" s="2694"/>
      <c r="L4157" s="2679"/>
      <c r="M4157" s="2679"/>
      <c r="N4157" s="3440"/>
    </row>
    <row r="4158" spans="2:14" ht="15.75" hidden="1" customHeight="1" x14ac:dyDescent="0.25">
      <c r="B4158" s="439"/>
      <c r="C4158" s="2621" t="s">
        <v>4780</v>
      </c>
      <c r="D4158" s="2706">
        <v>9990000000</v>
      </c>
      <c r="E4158" s="2810">
        <f>D4158/D4108*100</f>
        <v>9.6704597714100782</v>
      </c>
      <c r="F4158" s="4464"/>
      <c r="G4158" s="2685"/>
      <c r="H4158" s="2685"/>
      <c r="I4158" s="2685"/>
      <c r="J4158" s="2700"/>
      <c r="K4158" s="2700"/>
      <c r="L4158" s="2685"/>
      <c r="M4158" s="2685"/>
      <c r="N4158" s="3439"/>
    </row>
    <row r="4159" spans="2:14" ht="16.5" hidden="1" customHeight="1" x14ac:dyDescent="0.25">
      <c r="B4159" s="439"/>
      <c r="C4159" s="2621" t="s">
        <v>4781</v>
      </c>
      <c r="D4159" s="2706">
        <v>300000000</v>
      </c>
      <c r="E4159" s="2810">
        <f>D4159/D4108*100</f>
        <v>0.29040419733964201</v>
      </c>
      <c r="F4159" s="4464"/>
      <c r="G4159" s="2685"/>
      <c r="H4159" s="2685"/>
      <c r="I4159" s="2685"/>
      <c r="J4159" s="2700"/>
      <c r="K4159" s="2700"/>
      <c r="L4159" s="2685"/>
      <c r="M4159" s="2685"/>
      <c r="N4159" s="3439"/>
    </row>
    <row r="4160" spans="2:14" ht="17.25" hidden="1" customHeight="1" x14ac:dyDescent="0.25">
      <c r="B4160" s="439"/>
      <c r="C4160" s="2621" t="s">
        <v>4782</v>
      </c>
      <c r="D4160" s="2706">
        <v>200000000</v>
      </c>
      <c r="E4160" s="2810">
        <f>D4160/D4108*100</f>
        <v>0.19360279822642801</v>
      </c>
      <c r="F4160" s="4464"/>
      <c r="G4160" s="2685"/>
      <c r="H4160" s="2685"/>
      <c r="I4160" s="2685"/>
      <c r="J4160" s="2700"/>
      <c r="K4160" s="2700"/>
      <c r="L4160" s="2685"/>
      <c r="M4160" s="2685"/>
      <c r="N4160" s="3439"/>
    </row>
    <row r="4161" spans="2:14" ht="18" hidden="1" customHeight="1" x14ac:dyDescent="0.25">
      <c r="B4161" s="439"/>
      <c r="C4161" s="2621" t="s">
        <v>4783</v>
      </c>
      <c r="D4161" s="2706">
        <v>200000000</v>
      </c>
      <c r="E4161" s="2810">
        <f>D4161/D4108*100</f>
        <v>0.19360279822642801</v>
      </c>
      <c r="F4161" s="4464"/>
      <c r="G4161" s="2685"/>
      <c r="H4161" s="2685"/>
      <c r="I4161" s="2685"/>
      <c r="J4161" s="2700"/>
      <c r="K4161" s="2700"/>
      <c r="L4161" s="2685"/>
      <c r="M4161" s="2685"/>
      <c r="N4161" s="3439"/>
    </row>
    <row r="4162" spans="2:14" ht="15" hidden="1" customHeight="1" x14ac:dyDescent="0.25">
      <c r="B4162" s="439"/>
      <c r="C4162" s="2621" t="s">
        <v>4784</v>
      </c>
      <c r="D4162" s="2706">
        <v>300000000</v>
      </c>
      <c r="E4162" s="2810">
        <f>D4162/D4108*100</f>
        <v>0.29040419733964201</v>
      </c>
      <c r="F4162" s="4464"/>
      <c r="G4162" s="2685"/>
      <c r="H4162" s="2685"/>
      <c r="I4162" s="2685"/>
      <c r="J4162" s="2700"/>
      <c r="K4162" s="2700"/>
      <c r="L4162" s="2685"/>
      <c r="M4162" s="2685"/>
      <c r="N4162" s="3439"/>
    </row>
    <row r="4163" spans="2:14" ht="17.25" hidden="1" customHeight="1" x14ac:dyDescent="0.25">
      <c r="B4163" s="439"/>
      <c r="C4163" s="2621" t="s">
        <v>4786</v>
      </c>
      <c r="D4163" s="2706">
        <v>200000000</v>
      </c>
      <c r="E4163" s="2810">
        <f>D4163/D4108*100</f>
        <v>0.19360279822642801</v>
      </c>
      <c r="F4163" s="4464"/>
      <c r="G4163" s="2685"/>
      <c r="H4163" s="2685"/>
      <c r="I4163" s="2685"/>
      <c r="J4163" s="2700"/>
      <c r="K4163" s="2700"/>
      <c r="L4163" s="2685"/>
      <c r="M4163" s="2685"/>
      <c r="N4163" s="3439"/>
    </row>
    <row r="4164" spans="2:14" ht="15.75" hidden="1" customHeight="1" x14ac:dyDescent="0.25">
      <c r="B4164" s="439"/>
      <c r="C4164" s="2621" t="s">
        <v>7842</v>
      </c>
      <c r="D4164" s="2706">
        <v>200000000</v>
      </c>
      <c r="E4164" s="2810">
        <f>D4164/D4108*100</f>
        <v>0.19360279822642801</v>
      </c>
      <c r="F4164" s="4464"/>
      <c r="G4164" s="2685"/>
      <c r="H4164" s="2685"/>
      <c r="I4164" s="2685"/>
      <c r="J4164" s="2700"/>
      <c r="K4164" s="2700"/>
      <c r="L4164" s="2685"/>
      <c r="M4164" s="2685"/>
      <c r="N4164" s="3439"/>
    </row>
    <row r="4165" spans="2:14" ht="16.5" hidden="1" customHeight="1" x14ac:dyDescent="0.25">
      <c r="B4165" s="439"/>
      <c r="C4165" s="2621" t="s">
        <v>4787</v>
      </c>
      <c r="D4165" s="2706">
        <v>7176000000</v>
      </c>
      <c r="E4165" s="2810">
        <f>D4165/D4108*100</f>
        <v>6.9464684003642363</v>
      </c>
      <c r="F4165" s="4464"/>
      <c r="G4165" s="2685"/>
      <c r="H4165" s="2685"/>
      <c r="I4165" s="2685"/>
      <c r="J4165" s="2700"/>
      <c r="K4165" s="2700"/>
      <c r="L4165" s="2685"/>
      <c r="M4165" s="2685"/>
      <c r="N4165" s="3439"/>
    </row>
    <row r="4166" spans="2:14" ht="12" hidden="1" customHeight="1" x14ac:dyDescent="0.25">
      <c r="B4166" s="439"/>
      <c r="C4166" s="2621"/>
      <c r="D4166" s="2706"/>
      <c r="E4166" s="2810"/>
      <c r="F4166" s="4464"/>
      <c r="G4166" s="2685"/>
      <c r="H4166" s="2685"/>
      <c r="I4166" s="2685"/>
      <c r="J4166" s="2700"/>
      <c r="K4166" s="2700"/>
      <c r="L4166" s="2685"/>
      <c r="M4166" s="2685"/>
      <c r="N4166" s="3439"/>
    </row>
    <row r="4167" spans="2:14" ht="18" hidden="1" customHeight="1" x14ac:dyDescent="0.25">
      <c r="B4167" s="439"/>
      <c r="C4167" s="2622" t="s">
        <v>4788</v>
      </c>
      <c r="D4167" s="2712">
        <f>D4168</f>
        <v>190280000</v>
      </c>
      <c r="E4167" s="2813">
        <f>D4167/D4108*100</f>
        <v>0.1841937022326236</v>
      </c>
      <c r="F4167" s="3912"/>
      <c r="G4167" s="2679"/>
      <c r="H4167" s="2679"/>
      <c r="I4167" s="2679"/>
      <c r="J4167" s="2694"/>
      <c r="K4167" s="2694"/>
      <c r="L4167" s="2679"/>
      <c r="M4167" s="2679"/>
      <c r="N4167" s="3440"/>
    </row>
    <row r="4168" spans="2:14" ht="21.75" hidden="1" customHeight="1" x14ac:dyDescent="0.25">
      <c r="B4168" s="439"/>
      <c r="C4168" s="2620" t="s">
        <v>4789</v>
      </c>
      <c r="D4168" s="2698">
        <v>190280000</v>
      </c>
      <c r="E4168" s="2810">
        <f>D4168/D4108*100</f>
        <v>0.1841937022326236</v>
      </c>
      <c r="F4168" s="4384"/>
      <c r="G4168" s="2685"/>
      <c r="H4168" s="2685"/>
      <c r="I4168" s="2685"/>
      <c r="J4168" s="2700"/>
      <c r="K4168" s="2700"/>
      <c r="L4168" s="2685"/>
      <c r="M4168" s="2685"/>
      <c r="N4168" s="3439"/>
    </row>
    <row r="4169" spans="2:14" ht="14.25" hidden="1" customHeight="1" x14ac:dyDescent="0.25">
      <c r="B4169" s="441"/>
      <c r="C4169" s="2623"/>
      <c r="D4169" s="3025"/>
      <c r="E4169" s="3226"/>
      <c r="F4169" s="4486"/>
      <c r="G4169" s="3441"/>
      <c r="H4169" s="3132"/>
      <c r="I4169" s="3132"/>
      <c r="J4169" s="3248"/>
      <c r="K4169" s="3441"/>
      <c r="L4169" s="3132"/>
      <c r="M4169" s="3132"/>
      <c r="N4169" s="2768"/>
    </row>
    <row r="4170" spans="2:14" ht="16.5" hidden="1" customHeight="1" x14ac:dyDescent="0.25">
      <c r="B4170" s="440"/>
      <c r="C4170" s="2624" t="s">
        <v>398</v>
      </c>
      <c r="D4170" s="2669">
        <f>SUM(D4171+D4176+D4182+D4191+D4194+D4208+D4212+D4216+D4220)</f>
        <v>20593004000</v>
      </c>
      <c r="E4170" s="2786">
        <f>D4170/D4108*100</f>
        <v>19.934315991440123</v>
      </c>
      <c r="F4170" s="3835"/>
      <c r="G4170" s="2719"/>
      <c r="H4170" s="2719"/>
      <c r="I4170" s="2719"/>
      <c r="J4170" s="2720"/>
      <c r="K4170" s="2720"/>
      <c r="L4170" s="2719"/>
      <c r="M4170" s="2719"/>
      <c r="N4170" s="2768"/>
    </row>
    <row r="4171" spans="2:14" ht="18.75" hidden="1" customHeight="1" x14ac:dyDescent="0.25">
      <c r="B4171" s="441"/>
      <c r="C4171" s="2538" t="s">
        <v>91</v>
      </c>
      <c r="D4171" s="2826">
        <f>SUM(D4172:D4174)</f>
        <v>207975100</v>
      </c>
      <c r="E4171" s="3214">
        <f>D4171/D4108*100</f>
        <v>0.20132280660710594</v>
      </c>
      <c r="F4171" s="3883"/>
      <c r="G4171" s="3189"/>
      <c r="H4171" s="3435"/>
      <c r="I4171" s="2722"/>
      <c r="J4171" s="3168"/>
      <c r="K4171" s="3168"/>
      <c r="L4171" s="3435"/>
      <c r="M4171" s="2900"/>
      <c r="N4171" s="2768"/>
    </row>
    <row r="4172" spans="2:14" ht="18.75" hidden="1" customHeight="1" x14ac:dyDescent="0.25">
      <c r="B4172" s="441"/>
      <c r="C4172" s="2524" t="s">
        <v>4790</v>
      </c>
      <c r="D4172" s="896">
        <v>90165100</v>
      </c>
      <c r="E4172" s="2810">
        <f>D4172/D4108*100</f>
        <v>8.7281078311828519E-2</v>
      </c>
      <c r="F4172" s="4458"/>
      <c r="G4172" s="3434"/>
      <c r="H4172" s="3434"/>
      <c r="I4172" s="2685"/>
      <c r="J4172" s="3161"/>
      <c r="K4172" s="3433"/>
      <c r="L4172" s="3434"/>
      <c r="M4172" s="2685"/>
      <c r="N4172" s="2768"/>
    </row>
    <row r="4173" spans="2:14" ht="18" hidden="1" customHeight="1" x14ac:dyDescent="0.25">
      <c r="B4173" s="441"/>
      <c r="C4173" s="2585" t="s">
        <v>4791</v>
      </c>
      <c r="D4173" s="2769">
        <v>57755000</v>
      </c>
      <c r="E4173" s="2818">
        <f>D4173/D4108*100</f>
        <v>5.5907648057836754E-2</v>
      </c>
      <c r="F4173" s="4451"/>
      <c r="G4173" s="3271"/>
      <c r="H4173" s="2830"/>
      <c r="I4173" s="2830"/>
      <c r="J4173" s="3248"/>
      <c r="K4173" s="3271"/>
      <c r="L4173" s="2830"/>
      <c r="M4173" s="2830"/>
      <c r="N4173" s="2768"/>
    </row>
    <row r="4174" spans="2:14" ht="18" hidden="1" customHeight="1" x14ac:dyDescent="0.25">
      <c r="B4174" s="441"/>
      <c r="C4174" s="2577" t="s">
        <v>2549</v>
      </c>
      <c r="D4174" s="896">
        <v>60055000</v>
      </c>
      <c r="E4174" s="2810">
        <f>D4174/D4108*100</f>
        <v>5.8134080237440669E-2</v>
      </c>
      <c r="F4174" s="4449"/>
      <c r="G4174" s="3437"/>
      <c r="H4174" s="2685"/>
      <c r="I4174" s="2685"/>
      <c r="J4174" s="2686"/>
      <c r="K4174" s="3437"/>
      <c r="L4174" s="2685"/>
      <c r="M4174" s="2685"/>
      <c r="N4174" s="2768"/>
    </row>
    <row r="4175" spans="2:14" ht="8.25" hidden="1" customHeight="1" x14ac:dyDescent="0.25">
      <c r="B4175" s="441"/>
      <c r="C4175" s="2585"/>
      <c r="D4175" s="2769"/>
      <c r="E4175" s="2810"/>
      <c r="F4175" s="4451"/>
      <c r="G4175" s="3251"/>
      <c r="H4175" s="2830"/>
      <c r="I4175" s="2830"/>
      <c r="J4175" s="3248"/>
      <c r="K4175" s="3251"/>
      <c r="L4175" s="2830"/>
      <c r="M4175" s="2830"/>
      <c r="N4175" s="2768"/>
    </row>
    <row r="4176" spans="2:14" ht="14.25" hidden="1" customHeight="1" x14ac:dyDescent="0.25">
      <c r="B4176" s="441"/>
      <c r="C4176" s="2525" t="s">
        <v>93</v>
      </c>
      <c r="D4176" s="899">
        <f>SUM(D4177:D4180)</f>
        <v>700000000</v>
      </c>
      <c r="E4176" s="2813">
        <f>D4176/D4108*100</f>
        <v>0.67760979379249797</v>
      </c>
      <c r="F4176" s="3879"/>
      <c r="G4176" s="3163"/>
      <c r="H4176" s="3435"/>
      <c r="I4176" s="2679"/>
      <c r="J4176" s="3163"/>
      <c r="K4176" s="3163"/>
      <c r="L4176" s="3435"/>
      <c r="M4176" s="2679"/>
      <c r="N4176" s="2768"/>
    </row>
    <row r="4177" spans="2:14" ht="17.25" hidden="1" customHeight="1" x14ac:dyDescent="0.25">
      <c r="B4177" s="441"/>
      <c r="C4177" s="2524" t="s">
        <v>4792</v>
      </c>
      <c r="D4177" s="896">
        <v>250000000</v>
      </c>
      <c r="E4177" s="2810">
        <f>D4177/D4108*100</f>
        <v>0.24200349778303498</v>
      </c>
      <c r="F4177" s="4458"/>
      <c r="G4177" s="3434"/>
      <c r="H4177" s="3434"/>
      <c r="I4177" s="2685"/>
      <c r="J4177" s="3161"/>
      <c r="K4177" s="3433"/>
      <c r="L4177" s="3434"/>
      <c r="M4177" s="2685"/>
      <c r="N4177" s="2768"/>
    </row>
    <row r="4178" spans="2:14" ht="18" hidden="1" customHeight="1" x14ac:dyDescent="0.25">
      <c r="B4178" s="441"/>
      <c r="C4178" s="2524" t="s">
        <v>4793</v>
      </c>
      <c r="D4178" s="896">
        <v>200000000</v>
      </c>
      <c r="E4178" s="2810">
        <f>D4178/D4108*100</f>
        <v>0.19360279822642801</v>
      </c>
      <c r="F4178" s="4458"/>
      <c r="G4178" s="3434"/>
      <c r="H4178" s="3434"/>
      <c r="I4178" s="2685"/>
      <c r="J4178" s="3161"/>
      <c r="K4178" s="3433"/>
      <c r="L4178" s="3434"/>
      <c r="M4178" s="2685"/>
      <c r="N4178" s="2768"/>
    </row>
    <row r="4179" spans="2:14" ht="18" hidden="1" customHeight="1" x14ac:dyDescent="0.25">
      <c r="B4179" s="441"/>
      <c r="C4179" s="2524" t="s">
        <v>4794</v>
      </c>
      <c r="D4179" s="896">
        <v>125000000</v>
      </c>
      <c r="E4179" s="2810">
        <f>D4179/D4108*100</f>
        <v>0.12100174889151749</v>
      </c>
      <c r="F4179" s="4458"/>
      <c r="G4179" s="2804"/>
      <c r="H4179" s="2804"/>
      <c r="I4179" s="2804"/>
      <c r="J4179" s="3161"/>
      <c r="K4179" s="2731"/>
      <c r="L4179" s="2804"/>
      <c r="M4179" s="2804"/>
      <c r="N4179" s="2768"/>
    </row>
    <row r="4180" spans="2:14" ht="27.75" hidden="1" customHeight="1" x14ac:dyDescent="0.25">
      <c r="B4180" s="441"/>
      <c r="C4180" s="2524" t="s">
        <v>4795</v>
      </c>
      <c r="D4180" s="896">
        <v>125000000</v>
      </c>
      <c r="E4180" s="2810">
        <f>D4180/D4108*100</f>
        <v>0.12100174889151749</v>
      </c>
      <c r="F4180" s="4458"/>
      <c r="G4180" s="3434"/>
      <c r="H4180" s="3434"/>
      <c r="I4180" s="2685"/>
      <c r="J4180" s="3161"/>
      <c r="K4180" s="3433"/>
      <c r="L4180" s="3434"/>
      <c r="M4180" s="2685"/>
      <c r="N4180" s="2768"/>
    </row>
    <row r="4181" spans="2:14" ht="10.5" hidden="1" customHeight="1" x14ac:dyDescent="0.25">
      <c r="B4181" s="441"/>
      <c r="C4181" s="2585"/>
      <c r="D4181" s="2769"/>
      <c r="E4181" s="2879"/>
      <c r="F4181" s="4451"/>
      <c r="G4181" s="3268"/>
      <c r="H4181" s="2685"/>
      <c r="I4181" s="2685"/>
      <c r="J4181" s="3248"/>
      <c r="K4181" s="3268"/>
      <c r="L4181" s="2685"/>
      <c r="M4181" s="2685"/>
      <c r="N4181" s="2768"/>
    </row>
    <row r="4182" spans="2:14" ht="23.25" hidden="1" customHeight="1" x14ac:dyDescent="0.25">
      <c r="B4182" s="441"/>
      <c r="C4182" s="2525" t="s">
        <v>2565</v>
      </c>
      <c r="D4182" s="899">
        <f>SUM(D4183:D4189)</f>
        <v>2250000000</v>
      </c>
      <c r="E4182" s="2813">
        <f>D4182/D4108*100</f>
        <v>2.1780314800473146</v>
      </c>
      <c r="F4182" s="3879"/>
      <c r="G4182" s="2722"/>
      <c r="H4182" s="2679"/>
      <c r="I4182" s="2679"/>
      <c r="J4182" s="3163"/>
      <c r="K4182" s="2723"/>
      <c r="L4182" s="2679"/>
      <c r="M4182" s="2679"/>
      <c r="N4182" s="2768"/>
    </row>
    <row r="4183" spans="2:14" ht="17.25" hidden="1" customHeight="1" x14ac:dyDescent="0.25">
      <c r="B4183" s="441"/>
      <c r="C4183" s="2524" t="s">
        <v>4796</v>
      </c>
      <c r="D4183" s="896">
        <v>114500000</v>
      </c>
      <c r="E4183" s="2810">
        <f>D4183/D4108*100</f>
        <v>0.11083760198463002</v>
      </c>
      <c r="F4183" s="4458"/>
      <c r="G4183" s="2685"/>
      <c r="H4183" s="2685"/>
      <c r="I4183" s="2685"/>
      <c r="J4183" s="3161"/>
      <c r="K4183" s="2700"/>
      <c r="L4183" s="2685"/>
      <c r="M4183" s="2685"/>
      <c r="N4183" s="2768"/>
    </row>
    <row r="4184" spans="2:14" ht="18" hidden="1" customHeight="1" x14ac:dyDescent="0.25">
      <c r="B4184" s="441"/>
      <c r="C4184" s="2524" t="s">
        <v>4797</v>
      </c>
      <c r="D4184" s="896">
        <v>300000000</v>
      </c>
      <c r="E4184" s="2810">
        <f>D4184/D4108*100</f>
        <v>0.29040419733964201</v>
      </c>
      <c r="F4184" s="4458"/>
      <c r="G4184" s="2685"/>
      <c r="H4184" s="2685"/>
      <c r="I4184" s="2685"/>
      <c r="J4184" s="3161"/>
      <c r="K4184" s="2700"/>
      <c r="L4184" s="2685"/>
      <c r="M4184" s="2685"/>
      <c r="N4184" s="2768"/>
    </row>
    <row r="4185" spans="2:14" ht="17.25" hidden="1" customHeight="1" x14ac:dyDescent="0.25">
      <c r="B4185" s="441"/>
      <c r="C4185" s="2524" t="s">
        <v>4798</v>
      </c>
      <c r="D4185" s="896">
        <v>50000000</v>
      </c>
      <c r="E4185" s="2810">
        <f>D4185/D4108*100</f>
        <v>4.8400699556607002E-2</v>
      </c>
      <c r="F4185" s="4458"/>
      <c r="G4185" s="2685"/>
      <c r="H4185" s="2685"/>
      <c r="I4185" s="2685"/>
      <c r="J4185" s="3161"/>
      <c r="K4185" s="2700"/>
      <c r="L4185" s="2685"/>
      <c r="M4185" s="2685"/>
      <c r="N4185" s="2768"/>
    </row>
    <row r="4186" spans="2:14" ht="16.5" hidden="1" customHeight="1" x14ac:dyDescent="0.25">
      <c r="B4186" s="441"/>
      <c r="C4186" s="2524" t="s">
        <v>4799</v>
      </c>
      <c r="D4186" s="896">
        <v>550000000</v>
      </c>
      <c r="E4186" s="2810">
        <f>D4186/D4108*100</f>
        <v>0.53240769512267694</v>
      </c>
      <c r="F4186" s="4458"/>
      <c r="G4186" s="2685"/>
      <c r="H4186" s="2685"/>
      <c r="I4186" s="2685"/>
      <c r="J4186" s="3161"/>
      <c r="K4186" s="2700"/>
      <c r="L4186" s="2685"/>
      <c r="M4186" s="2685"/>
      <c r="N4186" s="2768"/>
    </row>
    <row r="4187" spans="2:14" ht="16.5" hidden="1" customHeight="1" x14ac:dyDescent="0.25">
      <c r="B4187" s="441"/>
      <c r="C4187" s="2524" t="s">
        <v>4800</v>
      </c>
      <c r="D4187" s="896">
        <v>150000000</v>
      </c>
      <c r="E4187" s="2810">
        <f>D4187/D4108*100</f>
        <v>0.14520209866982101</v>
      </c>
      <c r="F4187" s="4458"/>
      <c r="G4187" s="2685"/>
      <c r="H4187" s="2685"/>
      <c r="I4187" s="2685"/>
      <c r="J4187" s="3161"/>
      <c r="K4187" s="2700"/>
      <c r="L4187" s="2685"/>
      <c r="M4187" s="2685"/>
      <c r="N4187" s="2768"/>
    </row>
    <row r="4188" spans="2:14" ht="16.5" hidden="1" customHeight="1" x14ac:dyDescent="0.25">
      <c r="B4188" s="441"/>
      <c r="C4188" s="2524" t="s">
        <v>4801</v>
      </c>
      <c r="D4188" s="896">
        <v>1000000000</v>
      </c>
      <c r="E4188" s="2810">
        <f>D4188/D4108*100</f>
        <v>0.96801399113213993</v>
      </c>
      <c r="F4188" s="4458"/>
      <c r="G4188" s="2685"/>
      <c r="H4188" s="2685"/>
      <c r="I4188" s="2685"/>
      <c r="J4188" s="3161"/>
      <c r="K4188" s="2700"/>
      <c r="L4188" s="2685"/>
      <c r="M4188" s="2685"/>
      <c r="N4188" s="2768"/>
    </row>
    <row r="4189" spans="2:14" ht="18.75" hidden="1" customHeight="1" x14ac:dyDescent="0.25">
      <c r="B4189" s="441"/>
      <c r="C4189" s="2524" t="s">
        <v>4802</v>
      </c>
      <c r="D4189" s="896">
        <v>85500000</v>
      </c>
      <c r="E4189" s="2810">
        <f>D4189/D4108*100</f>
        <v>8.276519624179797E-2</v>
      </c>
      <c r="F4189" s="4458"/>
      <c r="G4189" s="2685"/>
      <c r="H4189" s="2685"/>
      <c r="I4189" s="2685"/>
      <c r="J4189" s="3161"/>
      <c r="K4189" s="2700"/>
      <c r="L4189" s="2685"/>
      <c r="M4189" s="2685"/>
      <c r="N4189" s="2768"/>
    </row>
    <row r="4190" spans="2:14" ht="9" hidden="1" customHeight="1" x14ac:dyDescent="0.25">
      <c r="B4190" s="441"/>
      <c r="C4190" s="2524"/>
      <c r="D4190" s="896"/>
      <c r="E4190" s="2810"/>
      <c r="F4190" s="4458"/>
      <c r="G4190" s="2685"/>
      <c r="H4190" s="2685"/>
      <c r="I4190" s="2685"/>
      <c r="J4190" s="3161"/>
      <c r="K4190" s="2700"/>
      <c r="L4190" s="2685"/>
      <c r="M4190" s="2685"/>
      <c r="N4190" s="2768"/>
    </row>
    <row r="4191" spans="2:14" ht="17.25" hidden="1" customHeight="1" x14ac:dyDescent="0.25">
      <c r="B4191" s="441"/>
      <c r="C4191" s="2525" t="s">
        <v>1296</v>
      </c>
      <c r="D4191" s="899">
        <f>SUM(D4192:D4192)</f>
        <v>400000000</v>
      </c>
      <c r="E4191" s="2813">
        <f>D4191/D4108*100</f>
        <v>0.38720559645285602</v>
      </c>
      <c r="F4191" s="3879"/>
      <c r="G4191" s="2679"/>
      <c r="H4191" s="2679"/>
      <c r="I4191" s="2679"/>
      <c r="J4191" s="3163"/>
      <c r="K4191" s="2694"/>
      <c r="L4191" s="2679"/>
      <c r="M4191" s="2679"/>
      <c r="N4191" s="2768"/>
    </row>
    <row r="4192" spans="2:14" ht="16.5" hidden="1" customHeight="1" x14ac:dyDescent="0.25">
      <c r="B4192" s="441"/>
      <c r="C4192" s="2524" t="s">
        <v>4803</v>
      </c>
      <c r="D4192" s="896">
        <v>400000000</v>
      </c>
      <c r="E4192" s="2810">
        <f>D4192/D4108*100</f>
        <v>0.38720559645285602</v>
      </c>
      <c r="F4192" s="4458"/>
      <c r="G4192" s="2685"/>
      <c r="H4192" s="2685"/>
      <c r="I4192" s="2685"/>
      <c r="J4192" s="3161"/>
      <c r="K4192" s="2700"/>
      <c r="L4192" s="2685"/>
      <c r="M4192" s="2685"/>
      <c r="N4192" s="2768"/>
    </row>
    <row r="4193" spans="2:14" ht="10.5" hidden="1" customHeight="1" x14ac:dyDescent="0.25">
      <c r="B4193" s="441"/>
      <c r="C4193" s="2592"/>
      <c r="D4193" s="2759"/>
      <c r="E4193" s="3442"/>
      <c r="F4193" s="3875"/>
      <c r="G4193" s="2685"/>
      <c r="H4193" s="2685"/>
      <c r="I4193" s="2685"/>
      <c r="J4193" s="2732"/>
      <c r="K4193" s="2723"/>
      <c r="L4193" s="2722"/>
      <c r="M4193" s="2722"/>
      <c r="N4193" s="2768"/>
    </row>
    <row r="4194" spans="2:14" ht="16.5" hidden="1" customHeight="1" x14ac:dyDescent="0.25">
      <c r="B4194" s="441"/>
      <c r="C4194" s="2525" t="s">
        <v>2583</v>
      </c>
      <c r="D4194" s="899">
        <f>SUM(D4195:D4206)</f>
        <v>1600000000</v>
      </c>
      <c r="E4194" s="2813">
        <f>D4194/D4108*100</f>
        <v>1.5488223858114241</v>
      </c>
      <c r="F4194" s="3879"/>
      <c r="G4194" s="2679"/>
      <c r="H4194" s="2679"/>
      <c r="I4194" s="2679"/>
      <c r="J4194" s="3163"/>
      <c r="K4194" s="2694"/>
      <c r="L4194" s="2679"/>
      <c r="M4194" s="2679"/>
      <c r="N4194" s="2768"/>
    </row>
    <row r="4195" spans="2:14" ht="17.25" hidden="1" customHeight="1" x14ac:dyDescent="0.25">
      <c r="B4195" s="441"/>
      <c r="C4195" s="2524" t="s">
        <v>4804</v>
      </c>
      <c r="D4195" s="896">
        <v>100000000</v>
      </c>
      <c r="E4195" s="2810">
        <f>D4195/D4108*100</f>
        <v>9.6801399113214004E-2</v>
      </c>
      <c r="F4195" s="4446"/>
      <c r="G4195" s="2685"/>
      <c r="H4195" s="2685"/>
      <c r="I4195" s="2685"/>
      <c r="J4195" s="2852"/>
      <c r="K4195" s="2700"/>
      <c r="L4195" s="2685"/>
      <c r="M4195" s="2685"/>
      <c r="N4195" s="2768"/>
    </row>
    <row r="4196" spans="2:14" ht="18" hidden="1" customHeight="1" x14ac:dyDescent="0.25">
      <c r="B4196" s="441"/>
      <c r="C4196" s="2524" t="s">
        <v>4805</v>
      </c>
      <c r="D4196" s="896">
        <v>100000000</v>
      </c>
      <c r="E4196" s="2810">
        <f>D4196/D4108*100</f>
        <v>9.6801399113214004E-2</v>
      </c>
      <c r="F4196" s="4446"/>
      <c r="G4196" s="2685"/>
      <c r="H4196" s="2685"/>
      <c r="I4196" s="2685"/>
      <c r="J4196" s="2852"/>
      <c r="K4196" s="2700"/>
      <c r="L4196" s="2685"/>
      <c r="M4196" s="2685"/>
      <c r="N4196" s="2768"/>
    </row>
    <row r="4197" spans="2:14" ht="18" hidden="1" customHeight="1" x14ac:dyDescent="0.25">
      <c r="B4197" s="441"/>
      <c r="C4197" s="2524" t="s">
        <v>4806</v>
      </c>
      <c r="D4197" s="896">
        <v>150000000</v>
      </c>
      <c r="E4197" s="2810">
        <f>D4197/D4108*100</f>
        <v>0.14520209866982101</v>
      </c>
      <c r="F4197" s="4446"/>
      <c r="G4197" s="2685"/>
      <c r="H4197" s="2685"/>
      <c r="I4197" s="2685"/>
      <c r="J4197" s="2852"/>
      <c r="K4197" s="2700"/>
      <c r="L4197" s="2685"/>
      <c r="M4197" s="2685"/>
      <c r="N4197" s="2768"/>
    </row>
    <row r="4198" spans="2:14" ht="18" hidden="1" customHeight="1" x14ac:dyDescent="0.25">
      <c r="B4198" s="441"/>
      <c r="C4198" s="2524" t="s">
        <v>4807</v>
      </c>
      <c r="D4198" s="896">
        <v>50000000</v>
      </c>
      <c r="E4198" s="2810">
        <f>D4198/D4108*100</f>
        <v>4.8400699556607002E-2</v>
      </c>
      <c r="F4198" s="4446"/>
      <c r="G4198" s="2685"/>
      <c r="H4198" s="2685"/>
      <c r="I4198" s="2685"/>
      <c r="J4198" s="2852"/>
      <c r="K4198" s="2700"/>
      <c r="L4198" s="2685"/>
      <c r="M4198" s="2685"/>
      <c r="N4198" s="2768"/>
    </row>
    <row r="4199" spans="2:14" ht="15.75" hidden="1" customHeight="1" x14ac:dyDescent="0.25">
      <c r="B4199" s="441"/>
      <c r="C4199" s="2524" t="s">
        <v>4808</v>
      </c>
      <c r="D4199" s="896">
        <v>200000000</v>
      </c>
      <c r="E4199" s="2810">
        <f>D4199/D4108*100</f>
        <v>0.19360279822642801</v>
      </c>
      <c r="F4199" s="4458"/>
      <c r="G4199" s="2685"/>
      <c r="H4199" s="2685"/>
      <c r="I4199" s="2685"/>
      <c r="J4199" s="3161"/>
      <c r="K4199" s="2700"/>
      <c r="L4199" s="2685"/>
      <c r="M4199" s="2685"/>
      <c r="N4199" s="2768"/>
    </row>
    <row r="4200" spans="2:14" ht="28.5" hidden="1" customHeight="1" x14ac:dyDescent="0.25">
      <c r="B4200" s="441"/>
      <c r="C4200" s="2524" t="s">
        <v>4809</v>
      </c>
      <c r="D4200" s="3436">
        <v>50000000</v>
      </c>
      <c r="E4200" s="2810">
        <f>D4200/D4108*100</f>
        <v>4.8400699556607002E-2</v>
      </c>
      <c r="F4200" s="4458"/>
      <c r="G4200" s="2685"/>
      <c r="H4200" s="2685"/>
      <c r="I4200" s="2685"/>
      <c r="J4200" s="3161"/>
      <c r="K4200" s="2700"/>
      <c r="L4200" s="2685"/>
      <c r="M4200" s="2685"/>
      <c r="N4200" s="2768"/>
    </row>
    <row r="4201" spans="2:14" ht="16.5" hidden="1" customHeight="1" x14ac:dyDescent="0.25">
      <c r="B4201" s="441"/>
      <c r="C4201" s="2524" t="s">
        <v>4810</v>
      </c>
      <c r="D4201" s="896">
        <v>100000000</v>
      </c>
      <c r="E4201" s="2810">
        <f>D4201/D4108*100</f>
        <v>9.6801399113214004E-2</v>
      </c>
      <c r="F4201" s="4446"/>
      <c r="G4201" s="2685"/>
      <c r="H4201" s="2685"/>
      <c r="I4201" s="2685"/>
      <c r="J4201" s="2852"/>
      <c r="K4201" s="2700"/>
      <c r="L4201" s="2685"/>
      <c r="M4201" s="2685"/>
      <c r="N4201" s="2768"/>
    </row>
    <row r="4202" spans="2:14" ht="17.25" hidden="1" customHeight="1" x14ac:dyDescent="0.25">
      <c r="B4202" s="441"/>
      <c r="C4202" s="2524" t="s">
        <v>4811</v>
      </c>
      <c r="D4202" s="896">
        <v>300000000</v>
      </c>
      <c r="E4202" s="2810">
        <f>D4202/D4108*100</f>
        <v>0.29040419733964201</v>
      </c>
      <c r="F4202" s="4458"/>
      <c r="G4202" s="2685"/>
      <c r="H4202" s="2685"/>
      <c r="I4202" s="2685"/>
      <c r="J4202" s="3161"/>
      <c r="K4202" s="2700"/>
      <c r="L4202" s="2685"/>
      <c r="M4202" s="2685"/>
      <c r="N4202" s="2768"/>
    </row>
    <row r="4203" spans="2:14" ht="16.5" hidden="1" customHeight="1" x14ac:dyDescent="0.25">
      <c r="B4203" s="441"/>
      <c r="C4203" s="2585" t="s">
        <v>4812</v>
      </c>
      <c r="D4203" s="2769">
        <v>200000000</v>
      </c>
      <c r="E4203" s="2810">
        <f>D4203/D4108*100</f>
        <v>0.19360279822642801</v>
      </c>
      <c r="F4203" s="4451"/>
      <c r="G4203" s="3245"/>
      <c r="H4203" s="2685"/>
      <c r="I4203" s="2685"/>
      <c r="J4203" s="3248"/>
      <c r="K4203" s="3244"/>
      <c r="L4203" s="2685"/>
      <c r="M4203" s="2685"/>
      <c r="N4203" s="2768"/>
    </row>
    <row r="4204" spans="2:14" ht="18" hidden="1" customHeight="1" x14ac:dyDescent="0.25">
      <c r="B4204" s="441"/>
      <c r="C4204" s="2577" t="s">
        <v>4813</v>
      </c>
      <c r="D4204" s="896">
        <v>100000000</v>
      </c>
      <c r="E4204" s="2810">
        <f>D4204/D4108*100</f>
        <v>9.6801399113214004E-2</v>
      </c>
      <c r="F4204" s="4449"/>
      <c r="G4204" s="3244"/>
      <c r="H4204" s="2685"/>
      <c r="I4204" s="2685"/>
      <c r="J4204" s="3248"/>
      <c r="K4204" s="3244"/>
      <c r="L4204" s="2685"/>
      <c r="M4204" s="2685"/>
      <c r="N4204" s="2768"/>
    </row>
    <row r="4205" spans="2:14" ht="16.5" hidden="1" customHeight="1" x14ac:dyDescent="0.25">
      <c r="B4205" s="441"/>
      <c r="C4205" s="2577" t="s">
        <v>4814</v>
      </c>
      <c r="D4205" s="896">
        <v>100000000</v>
      </c>
      <c r="E4205" s="2810">
        <f>D4205/D4108*100</f>
        <v>9.6801399113214004E-2</v>
      </c>
      <c r="F4205" s="4449"/>
      <c r="G4205" s="3244"/>
      <c r="H4205" s="2685"/>
      <c r="I4205" s="2685"/>
      <c r="J4205" s="3248"/>
      <c r="K4205" s="3244"/>
      <c r="L4205" s="2685"/>
      <c r="M4205" s="2685"/>
      <c r="N4205" s="2768"/>
    </row>
    <row r="4206" spans="2:14" ht="14.25" hidden="1" customHeight="1" x14ac:dyDescent="0.25">
      <c r="B4206" s="441"/>
      <c r="C4206" s="2577" t="s">
        <v>4815</v>
      </c>
      <c r="D4206" s="896">
        <v>150000000</v>
      </c>
      <c r="E4206" s="2810">
        <f>D4206/D4108*100</f>
        <v>0.14520209866982101</v>
      </c>
      <c r="F4206" s="4449"/>
      <c r="G4206" s="3244"/>
      <c r="H4206" s="2685"/>
      <c r="I4206" s="2685"/>
      <c r="J4206" s="3248"/>
      <c r="K4206" s="3244"/>
      <c r="L4206" s="2685"/>
      <c r="M4206" s="2685"/>
      <c r="N4206" s="2768"/>
    </row>
    <row r="4207" spans="2:14" ht="11.25" hidden="1" customHeight="1" x14ac:dyDescent="0.25">
      <c r="B4207" s="441"/>
      <c r="C4207" s="2577"/>
      <c r="D4207" s="896"/>
      <c r="E4207" s="2810"/>
      <c r="F4207" s="4449"/>
      <c r="G4207" s="3244"/>
      <c r="H4207" s="2685"/>
      <c r="I4207" s="2685"/>
      <c r="J4207" s="3248"/>
      <c r="K4207" s="3244"/>
      <c r="L4207" s="2685"/>
      <c r="M4207" s="2685"/>
      <c r="N4207" s="2768"/>
    </row>
    <row r="4208" spans="2:14" ht="30" hidden="1" customHeight="1" x14ac:dyDescent="0.25">
      <c r="B4208" s="441"/>
      <c r="C4208" s="2538" t="s">
        <v>2602</v>
      </c>
      <c r="D4208" s="2751">
        <f>SUM(D4209:D4210)</f>
        <v>6236428900</v>
      </c>
      <c r="E4208" s="3214">
        <f>D4208/D4108*100</f>
        <v>6.0369504299008216</v>
      </c>
      <c r="F4208" s="3864"/>
      <c r="G4208" s="3443"/>
      <c r="H4208" s="2679"/>
      <c r="I4208" s="2679"/>
      <c r="J4208" s="899"/>
      <c r="K4208" s="899"/>
      <c r="L4208" s="2679"/>
      <c r="M4208" s="2679"/>
      <c r="N4208" s="2768"/>
    </row>
    <row r="4209" spans="2:14" ht="17.25" hidden="1" customHeight="1" x14ac:dyDescent="0.25">
      <c r="B4209" s="441"/>
      <c r="C4209" s="2524" t="s">
        <v>4816</v>
      </c>
      <c r="D4209" s="896">
        <v>600000000</v>
      </c>
      <c r="E4209" s="2810">
        <f>D4209/D4108*100</f>
        <v>0.58080839467928402</v>
      </c>
      <c r="F4209" s="4458"/>
      <c r="G4209" s="2685"/>
      <c r="H4209" s="2685"/>
      <c r="I4209" s="2685"/>
      <c r="J4209" s="3161"/>
      <c r="K4209" s="2700"/>
      <c r="L4209" s="2685"/>
      <c r="M4209" s="2685"/>
      <c r="N4209" s="2768"/>
    </row>
    <row r="4210" spans="2:14" ht="18.75" hidden="1" customHeight="1" x14ac:dyDescent="0.25">
      <c r="B4210" s="441"/>
      <c r="C4210" s="2524" t="s">
        <v>4817</v>
      </c>
      <c r="D4210" s="896">
        <v>5636428900</v>
      </c>
      <c r="E4210" s="2810">
        <f>D4210/D4108*100</f>
        <v>5.4561420352215375</v>
      </c>
      <c r="F4210" s="4458"/>
      <c r="G4210" s="2685"/>
      <c r="H4210" s="2685"/>
      <c r="I4210" s="2685"/>
      <c r="J4210" s="3161"/>
      <c r="K4210" s="3244"/>
      <c r="L4210" s="3434"/>
      <c r="M4210" s="2685"/>
      <c r="N4210" s="2768"/>
    </row>
    <row r="4211" spans="2:14" ht="11.25" hidden="1" customHeight="1" x14ac:dyDescent="0.25">
      <c r="B4211" s="441"/>
      <c r="C4211" s="2585"/>
      <c r="D4211" s="2769"/>
      <c r="E4211" s="2810"/>
      <c r="F4211" s="4451"/>
      <c r="G4211" s="3244"/>
      <c r="H4211" s="2685"/>
      <c r="I4211" s="2685"/>
      <c r="J4211" s="3248"/>
      <c r="K4211" s="3244"/>
      <c r="L4211" s="2685"/>
      <c r="M4211" s="2685"/>
      <c r="N4211" s="2768"/>
    </row>
    <row r="4212" spans="2:14" ht="14.25" hidden="1" customHeight="1" x14ac:dyDescent="0.25">
      <c r="B4212" s="441"/>
      <c r="C4212" s="2525" t="s">
        <v>2609</v>
      </c>
      <c r="D4212" s="899">
        <f>SUM(D4213:D4214)</f>
        <v>8748600000</v>
      </c>
      <c r="E4212" s="2813">
        <f>D4212/D4108*100</f>
        <v>8.4687672028186398</v>
      </c>
      <c r="F4212" s="3879"/>
      <c r="G4212" s="2679"/>
      <c r="H4212" s="2679"/>
      <c r="I4212" s="2679"/>
      <c r="J4212" s="3163"/>
      <c r="K4212" s="2694"/>
      <c r="L4212" s="2679"/>
      <c r="M4212" s="2679"/>
      <c r="N4212" s="2768"/>
    </row>
    <row r="4213" spans="2:14" ht="14.25" hidden="1" customHeight="1" x14ac:dyDescent="0.25">
      <c r="B4213" s="441"/>
      <c r="C4213" s="2524" t="s">
        <v>2610</v>
      </c>
      <c r="D4213" s="896">
        <v>7663250000</v>
      </c>
      <c r="E4213" s="2810">
        <f>D4213/D4108*100</f>
        <v>7.418133217543371</v>
      </c>
      <c r="F4213" s="3879"/>
      <c r="G4213" s="3145"/>
      <c r="H4213" s="3145"/>
      <c r="I4213" s="3145"/>
      <c r="J4213" s="3274"/>
      <c r="K4213" s="3444"/>
      <c r="L4213" s="3145"/>
      <c r="M4213" s="3145"/>
      <c r="N4213" s="2768"/>
    </row>
    <row r="4214" spans="2:14" ht="14.25" hidden="1" customHeight="1" x14ac:dyDescent="0.25">
      <c r="B4214" s="441"/>
      <c r="C4214" s="2524" t="s">
        <v>2611</v>
      </c>
      <c r="D4214" s="896">
        <v>1085350000</v>
      </c>
      <c r="E4214" s="2810">
        <f>D4214/D4108*100</f>
        <v>1.0506339852752682</v>
      </c>
      <c r="F4214" s="3879"/>
      <c r="G4214" s="3145"/>
      <c r="H4214" s="3145"/>
      <c r="I4214" s="3145"/>
      <c r="J4214" s="3274"/>
      <c r="K4214" s="3444"/>
      <c r="L4214" s="3145"/>
      <c r="M4214" s="3145"/>
      <c r="N4214" s="2768"/>
    </row>
    <row r="4215" spans="2:14" ht="10.5" hidden="1" customHeight="1" x14ac:dyDescent="0.25">
      <c r="B4215" s="441"/>
      <c r="C4215" s="2524"/>
      <c r="D4215" s="896"/>
      <c r="E4215" s="2810"/>
      <c r="F4215" s="3879"/>
      <c r="G4215" s="3437"/>
      <c r="H4215" s="3145"/>
      <c r="I4215" s="3145"/>
      <c r="J4215" s="3274"/>
      <c r="K4215" s="3437"/>
      <c r="L4215" s="3145"/>
      <c r="M4215" s="3145"/>
      <c r="N4215" s="2768"/>
    </row>
    <row r="4216" spans="2:14" ht="14.25" hidden="1" customHeight="1" x14ac:dyDescent="0.25">
      <c r="B4216" s="441"/>
      <c r="C4216" s="2525" t="s">
        <v>2612</v>
      </c>
      <c r="D4216" s="899">
        <f>SUM(D4217:D4218)</f>
        <v>250000000</v>
      </c>
      <c r="E4216" s="2813">
        <f>D4216/D4108*100</f>
        <v>0.24200349778303498</v>
      </c>
      <c r="F4216" s="3879"/>
      <c r="G4216" s="3163"/>
      <c r="H4216" s="3435"/>
      <c r="I4216" s="2679"/>
      <c r="J4216" s="3163"/>
      <c r="K4216" s="3163"/>
      <c r="L4216" s="2679"/>
      <c r="M4216" s="2679"/>
      <c r="N4216" s="2768"/>
    </row>
    <row r="4217" spans="2:14" ht="31.5" hidden="1" customHeight="1" x14ac:dyDescent="0.25">
      <c r="B4217" s="441"/>
      <c r="C4217" s="2524" t="s">
        <v>4818</v>
      </c>
      <c r="D4217" s="896">
        <v>125000000</v>
      </c>
      <c r="E4217" s="2810">
        <f>D4217/D4108*100</f>
        <v>0.12100174889151749</v>
      </c>
      <c r="F4217" s="4458"/>
      <c r="G4217" s="3433"/>
      <c r="H4217" s="3434"/>
      <c r="I4217" s="2685"/>
      <c r="J4217" s="3161"/>
      <c r="K4217" s="2834"/>
      <c r="L4217" s="3434"/>
      <c r="M4217" s="2685"/>
      <c r="N4217" s="2768"/>
    </row>
    <row r="4218" spans="2:14" ht="20.25" hidden="1" customHeight="1" x14ac:dyDescent="0.25">
      <c r="B4218" s="441"/>
      <c r="C4218" s="2524" t="s">
        <v>4819</v>
      </c>
      <c r="D4218" s="896">
        <v>125000000</v>
      </c>
      <c r="E4218" s="2810">
        <f>D4218/D4108*100</f>
        <v>0.12100174889151749</v>
      </c>
      <c r="F4218" s="4458"/>
      <c r="G4218" s="3433"/>
      <c r="H4218" s="3434"/>
      <c r="I4218" s="2685"/>
      <c r="J4218" s="3161"/>
      <c r="K4218" s="2700"/>
      <c r="L4218" s="3434"/>
      <c r="M4218" s="2685"/>
      <c r="N4218" s="2768"/>
    </row>
    <row r="4219" spans="2:14" ht="9" hidden="1" customHeight="1" x14ac:dyDescent="0.25">
      <c r="B4219" s="441"/>
      <c r="C4219" s="2528"/>
      <c r="D4219" s="911"/>
      <c r="E4219" s="2810"/>
      <c r="F4219" s="3859"/>
      <c r="G4219" s="2991"/>
      <c r="H4219" s="2830"/>
      <c r="I4219" s="2830"/>
      <c r="J4219" s="2834"/>
      <c r="K4219" s="2831"/>
      <c r="L4219" s="2830"/>
      <c r="M4219" s="2830"/>
      <c r="N4219" s="2768"/>
    </row>
    <row r="4220" spans="2:14" ht="14.25" hidden="1" customHeight="1" x14ac:dyDescent="0.25">
      <c r="B4220" s="441"/>
      <c r="C4220" s="2525" t="s">
        <v>2615</v>
      </c>
      <c r="D4220" s="899">
        <f>SUM(D4221:D4222)</f>
        <v>200000000</v>
      </c>
      <c r="E4220" s="2813">
        <f>D4220/D4108*100</f>
        <v>0.19360279822642801</v>
      </c>
      <c r="F4220" s="3862"/>
      <c r="G4220" s="3115"/>
      <c r="H4220" s="3445"/>
      <c r="I4220" s="3445"/>
      <c r="J4220" s="2794"/>
      <c r="K4220" s="2794"/>
      <c r="L4220" s="3445"/>
      <c r="M4220" s="3445"/>
      <c r="N4220" s="2837"/>
    </row>
    <row r="4221" spans="2:14" ht="18.75" hidden="1" customHeight="1" x14ac:dyDescent="0.25">
      <c r="B4221" s="448"/>
      <c r="C4221" s="2524" t="s">
        <v>4820</v>
      </c>
      <c r="D4221" s="896">
        <v>100000000</v>
      </c>
      <c r="E4221" s="2810">
        <f>D4221/D4108*100</f>
        <v>9.6801399113214004E-2</v>
      </c>
      <c r="F4221" s="4414"/>
      <c r="G4221" s="2689"/>
      <c r="H4221" s="2685"/>
      <c r="I4221" s="2685"/>
      <c r="J4221" s="2700"/>
      <c r="K4221" s="2700"/>
      <c r="L4221" s="2685"/>
      <c r="M4221" s="2685"/>
      <c r="N4221" s="2951"/>
    </row>
    <row r="4222" spans="2:14" ht="30.75" hidden="1" customHeight="1" x14ac:dyDescent="0.25">
      <c r="B4222" s="448"/>
      <c r="C4222" s="2524" t="s">
        <v>4821</v>
      </c>
      <c r="D4222" s="3436">
        <v>100000000</v>
      </c>
      <c r="E4222" s="2810">
        <f>D4222/D4108*100</f>
        <v>9.6801399113214004E-2</v>
      </c>
      <c r="F4222" s="4414"/>
      <c r="G4222" s="2689"/>
      <c r="H4222" s="2685"/>
      <c r="I4222" s="2685"/>
      <c r="J4222" s="2700"/>
      <c r="K4222" s="2700"/>
      <c r="L4222" s="2685"/>
      <c r="M4222" s="2685"/>
      <c r="N4222" s="2951"/>
    </row>
    <row r="4223" spans="2:14" ht="14.25" hidden="1" customHeight="1" x14ac:dyDescent="0.25">
      <c r="B4223" s="441"/>
      <c r="C4223" s="2625"/>
      <c r="D4223" s="2755"/>
      <c r="E4223" s="2840"/>
      <c r="F4223" s="3860"/>
      <c r="G4223" s="2991"/>
      <c r="H4223" s="2830"/>
      <c r="I4223" s="2830"/>
      <c r="J4223" s="2834"/>
      <c r="K4223" s="2834"/>
      <c r="L4223" s="2830"/>
      <c r="M4223" s="2830"/>
      <c r="N4223" s="2768"/>
    </row>
    <row r="4224" spans="2:14" ht="17.25" hidden="1" customHeight="1" x14ac:dyDescent="0.25">
      <c r="B4224" s="440"/>
      <c r="C4224" s="2532" t="s">
        <v>7844</v>
      </c>
      <c r="D4224" s="2744">
        <f>SUM(D4225+D4236)</f>
        <v>0</v>
      </c>
      <c r="E4224" s="2786">
        <f>D4224/D4108*100</f>
        <v>0</v>
      </c>
      <c r="F4224" s="3863"/>
      <c r="G4224" s="2986"/>
      <c r="H4224" s="2719"/>
      <c r="I4224" s="2744"/>
      <c r="J4224" s="2988"/>
      <c r="K4224" s="2988"/>
      <c r="L4224" s="2719"/>
      <c r="M4224" s="2744"/>
      <c r="N4224" s="2768"/>
    </row>
    <row r="4225" spans="2:14" ht="18.75" hidden="1" customHeight="1" x14ac:dyDescent="0.25">
      <c r="B4225" s="441"/>
      <c r="C4225" s="2521" t="s">
        <v>4822</v>
      </c>
      <c r="D4225" s="2759">
        <f>SUM(D4226:D4234)</f>
        <v>0</v>
      </c>
      <c r="E4225" s="2801">
        <f>D4225/D4108*100</f>
        <v>0</v>
      </c>
      <c r="F4225" s="3884"/>
      <c r="G4225" s="3178"/>
      <c r="H4225" s="3435"/>
      <c r="I4225" s="2759"/>
      <c r="J4225" s="3178"/>
      <c r="K4225" s="3178"/>
      <c r="L4225" s="3435"/>
      <c r="M4225" s="2759"/>
      <c r="N4225" s="2837"/>
    </row>
    <row r="4226" spans="2:14" ht="33" hidden="1" customHeight="1" x14ac:dyDescent="0.25">
      <c r="B4226" s="441"/>
      <c r="C4226" s="2533" t="s">
        <v>4823</v>
      </c>
      <c r="D4226" s="2709">
        <v>0</v>
      </c>
      <c r="E4226" s="2818">
        <f>D4226/D4108*100</f>
        <v>0</v>
      </c>
      <c r="F4226" s="4454"/>
      <c r="G4226" s="3446"/>
      <c r="H4226" s="3446"/>
      <c r="I4226" s="2830"/>
      <c r="J4226" s="3447"/>
      <c r="K4226" s="2834"/>
      <c r="L4226" s="3446"/>
      <c r="M4226" s="2830"/>
      <c r="N4226" s="2768"/>
    </row>
    <row r="4227" spans="2:14" ht="30" hidden="1" customHeight="1" x14ac:dyDescent="0.25">
      <c r="B4227" s="441"/>
      <c r="C4227" s="2524" t="s">
        <v>4824</v>
      </c>
      <c r="D4227" s="2709">
        <v>0</v>
      </c>
      <c r="E4227" s="2818">
        <f>D4227/D4108*100</f>
        <v>0</v>
      </c>
      <c r="F4227" s="4449"/>
      <c r="G4227" s="3434"/>
      <c r="H4227" s="3434"/>
      <c r="I4227" s="2685"/>
      <c r="J4227" s="2852"/>
      <c r="K4227" s="2700"/>
      <c r="L4227" s="3434"/>
      <c r="M4227" s="2685"/>
      <c r="N4227" s="2768"/>
    </row>
    <row r="4228" spans="2:14" ht="28.5" hidden="1" customHeight="1" x14ac:dyDescent="0.25">
      <c r="B4228" s="441"/>
      <c r="C4228" s="2524" t="s">
        <v>4825</v>
      </c>
      <c r="D4228" s="2709">
        <v>0</v>
      </c>
      <c r="E4228" s="2818">
        <f>D4228/D4108*100</f>
        <v>0</v>
      </c>
      <c r="F4228" s="4449"/>
      <c r="G4228" s="3434"/>
      <c r="H4228" s="3434"/>
      <c r="I4228" s="2685"/>
      <c r="J4228" s="2852"/>
      <c r="K4228" s="2700"/>
      <c r="L4228" s="3434"/>
      <c r="M4228" s="2685"/>
      <c r="N4228" s="2768"/>
    </row>
    <row r="4229" spans="2:14" ht="32.25" hidden="1" customHeight="1" x14ac:dyDescent="0.25">
      <c r="B4229" s="441"/>
      <c r="C4229" s="2524" t="s">
        <v>4826</v>
      </c>
      <c r="D4229" s="2709">
        <v>0</v>
      </c>
      <c r="E4229" s="2818">
        <f>D4229/D4108*100</f>
        <v>0</v>
      </c>
      <c r="F4229" s="4449"/>
      <c r="G4229" s="3434"/>
      <c r="H4229" s="3434"/>
      <c r="I4229" s="2685"/>
      <c r="J4229" s="2852"/>
      <c r="K4229" s="2700"/>
      <c r="L4229" s="3434"/>
      <c r="M4229" s="2685"/>
      <c r="N4229" s="2768"/>
    </row>
    <row r="4230" spans="2:14" ht="27.75" hidden="1" customHeight="1" x14ac:dyDescent="0.25">
      <c r="B4230" s="441"/>
      <c r="C4230" s="2524" t="s">
        <v>4827</v>
      </c>
      <c r="D4230" s="2709">
        <v>0</v>
      </c>
      <c r="E4230" s="2818">
        <f>D4230/D4108*100</f>
        <v>0</v>
      </c>
      <c r="F4230" s="4449"/>
      <c r="G4230" s="3434"/>
      <c r="H4230" s="3434"/>
      <c r="I4230" s="2685"/>
      <c r="J4230" s="2852"/>
      <c r="K4230" s="2700"/>
      <c r="L4230" s="3434"/>
      <c r="M4230" s="2685"/>
      <c r="N4230" s="2768"/>
    </row>
    <row r="4231" spans="2:14" ht="30.75" hidden="1" customHeight="1" x14ac:dyDescent="0.25">
      <c r="B4231" s="441"/>
      <c r="C4231" s="2524" t="s">
        <v>4828</v>
      </c>
      <c r="D4231" s="2709">
        <v>0</v>
      </c>
      <c r="E4231" s="2818">
        <f>D4231/D4108*100</f>
        <v>0</v>
      </c>
      <c r="F4231" s="4449"/>
      <c r="G4231" s="3434"/>
      <c r="H4231" s="3448"/>
      <c r="I4231" s="2685"/>
      <c r="J4231" s="2922"/>
      <c r="K4231" s="2700"/>
      <c r="L4231" s="3434"/>
      <c r="M4231" s="2685"/>
      <c r="N4231" s="2768"/>
    </row>
    <row r="4232" spans="2:14" ht="29.25" hidden="1" customHeight="1" x14ac:dyDescent="0.25">
      <c r="B4232" s="441"/>
      <c r="C4232" s="2524" t="s">
        <v>4829</v>
      </c>
      <c r="D4232" s="2709">
        <v>0</v>
      </c>
      <c r="E4232" s="2818">
        <f>D4232/D4108*100</f>
        <v>0</v>
      </c>
      <c r="F4232" s="4449"/>
      <c r="G4232" s="3434"/>
      <c r="H4232" s="3448"/>
      <c r="I4232" s="2685"/>
      <c r="J4232" s="2922"/>
      <c r="K4232" s="2700"/>
      <c r="L4232" s="3434"/>
      <c r="M4232" s="2685"/>
      <c r="N4232" s="2768"/>
    </row>
    <row r="4233" spans="2:14" ht="30.75" hidden="1" customHeight="1" x14ac:dyDescent="0.25">
      <c r="B4233" s="441"/>
      <c r="C4233" s="2524" t="s">
        <v>4830</v>
      </c>
      <c r="D4233" s="2709">
        <v>0</v>
      </c>
      <c r="E4233" s="2818">
        <f>D4233/D4108*100</f>
        <v>0</v>
      </c>
      <c r="F4233" s="4449"/>
      <c r="G4233" s="3434"/>
      <c r="H4233" s="3448"/>
      <c r="I4233" s="2685"/>
      <c r="J4233" s="2922"/>
      <c r="K4233" s="2700"/>
      <c r="L4233" s="3434"/>
      <c r="M4233" s="2685"/>
      <c r="N4233" s="2768"/>
    </row>
    <row r="4234" spans="2:14" ht="33" hidden="1" customHeight="1" x14ac:dyDescent="0.25">
      <c r="B4234" s="441"/>
      <c r="C4234" s="2524" t="s">
        <v>4831</v>
      </c>
      <c r="D4234" s="2709">
        <v>0</v>
      </c>
      <c r="E4234" s="2810">
        <f>D4234/D4108*100</f>
        <v>0</v>
      </c>
      <c r="F4234" s="4449"/>
      <c r="G4234" s="3434"/>
      <c r="H4234" s="3448"/>
      <c r="I4234" s="2685"/>
      <c r="J4234" s="2922"/>
      <c r="K4234" s="2700"/>
      <c r="L4234" s="3434"/>
      <c r="M4234" s="2685"/>
      <c r="N4234" s="2768"/>
    </row>
    <row r="4235" spans="2:14" ht="12.75" hidden="1" customHeight="1" x14ac:dyDescent="0.25">
      <c r="B4235" s="441"/>
      <c r="C4235" s="2585"/>
      <c r="D4235" s="2769"/>
      <c r="E4235" s="2879"/>
      <c r="F4235" s="4451"/>
      <c r="G4235" s="3249"/>
      <c r="H4235" s="2804"/>
      <c r="I4235" s="898"/>
      <c r="J4235" s="3248"/>
      <c r="K4235" s="3244"/>
      <c r="L4235" s="2685"/>
      <c r="M4235" s="898"/>
      <c r="N4235" s="2768"/>
    </row>
    <row r="4236" spans="2:14" ht="18.75" hidden="1" customHeight="1" x14ac:dyDescent="0.25">
      <c r="B4236" s="441"/>
      <c r="C4236" s="2525" t="s">
        <v>4832</v>
      </c>
      <c r="D4236" s="899">
        <f>SUM(D4237:D4238)</f>
        <v>0</v>
      </c>
      <c r="E4236" s="2813">
        <f>D4236/D4108*100</f>
        <v>0</v>
      </c>
      <c r="F4236" s="3879"/>
      <c r="G4236" s="3163"/>
      <c r="H4236" s="3435"/>
      <c r="I4236" s="899"/>
      <c r="J4236" s="3163"/>
      <c r="K4236" s="3163"/>
      <c r="L4236" s="3435"/>
      <c r="M4236" s="899"/>
      <c r="N4236" s="2768"/>
    </row>
    <row r="4237" spans="2:14" ht="32.25" hidden="1" customHeight="1" x14ac:dyDescent="0.25">
      <c r="B4237" s="441"/>
      <c r="C4237" s="2524" t="s">
        <v>4833</v>
      </c>
      <c r="D4237" s="896">
        <v>0</v>
      </c>
      <c r="E4237" s="2810">
        <f>D4237/D4108*100</f>
        <v>0</v>
      </c>
      <c r="F4237" s="4458"/>
      <c r="G4237" s="2685"/>
      <c r="H4237" s="2685"/>
      <c r="I4237" s="2685"/>
      <c r="J4237" s="3161"/>
      <c r="K4237" s="2700"/>
      <c r="L4237" s="2685"/>
      <c r="M4237" s="2685"/>
      <c r="N4237" s="2768"/>
    </row>
    <row r="4238" spans="2:14" ht="33" hidden="1" customHeight="1" x14ac:dyDescent="0.25">
      <c r="B4238" s="441"/>
      <c r="C4238" s="2524" t="s">
        <v>4834</v>
      </c>
      <c r="D4238" s="3436">
        <v>0</v>
      </c>
      <c r="E4238" s="2810">
        <f>D4238/D4108*100</f>
        <v>0</v>
      </c>
      <c r="F4238" s="4458"/>
      <c r="G4238" s="2685"/>
      <c r="H4238" s="2685"/>
      <c r="I4238" s="2830"/>
      <c r="J4238" s="3170"/>
      <c r="K4238" s="2700"/>
      <c r="L4238" s="2685"/>
      <c r="M4238" s="2830"/>
      <c r="N4238" s="2768"/>
    </row>
    <row r="4239" spans="2:14" ht="14.25" hidden="1" customHeight="1" x14ac:dyDescent="0.25">
      <c r="B4239" s="441"/>
      <c r="C4239" s="2495"/>
      <c r="D4239" s="2755"/>
      <c r="E4239" s="2840"/>
      <c r="F4239" s="3860"/>
      <c r="G4239" s="2818"/>
      <c r="H4239" s="2830"/>
      <c r="I4239" s="911"/>
      <c r="J4239" s="3218"/>
      <c r="K4239" s="2706"/>
      <c r="L4239" s="2830"/>
      <c r="M4239" s="911"/>
      <c r="N4239" s="2768"/>
    </row>
    <row r="4240" spans="2:14" ht="33.75" hidden="1" customHeight="1" x14ac:dyDescent="0.25">
      <c r="B4240" s="440"/>
      <c r="C4240" s="2624" t="s">
        <v>4835</v>
      </c>
      <c r="D4240" s="2669">
        <f>SUM(D4241,D4250)</f>
        <v>0</v>
      </c>
      <c r="E4240" s="2786">
        <f>D4240/D4108*100</f>
        <v>0</v>
      </c>
      <c r="F4240" s="3835"/>
      <c r="G4240" s="2719"/>
      <c r="H4240" s="2719"/>
      <c r="I4240" s="2719"/>
      <c r="J4240" s="2720"/>
      <c r="K4240" s="2720"/>
      <c r="L4240" s="2719"/>
      <c r="M4240" s="2719"/>
      <c r="N4240" s="2768"/>
    </row>
    <row r="4241" spans="1:16" ht="18.75" hidden="1" customHeight="1" x14ac:dyDescent="0.25">
      <c r="B4241" s="441"/>
      <c r="C4241" s="2538" t="s">
        <v>4836</v>
      </c>
      <c r="D4241" s="2759">
        <f>SUM(D4242:D4248)</f>
        <v>0</v>
      </c>
      <c r="E4241" s="2801">
        <f>D4241/D4108*100</f>
        <v>0</v>
      </c>
      <c r="F4241" s="3884"/>
      <c r="G4241" s="2804"/>
      <c r="H4241" s="2804"/>
      <c r="I4241" s="2804"/>
      <c r="J4241" s="3178"/>
      <c r="K4241" s="2731"/>
      <c r="L4241" s="2804"/>
      <c r="M4241" s="2804"/>
      <c r="N4241" s="2768"/>
    </row>
    <row r="4242" spans="1:16" ht="17.25" hidden="1" customHeight="1" x14ac:dyDescent="0.25">
      <c r="B4242" s="448"/>
      <c r="C4242" s="2524" t="s">
        <v>4837</v>
      </c>
      <c r="D4242" s="896">
        <v>0</v>
      </c>
      <c r="E4242" s="2810">
        <f>D4242/D4108*100</f>
        <v>0</v>
      </c>
      <c r="F4242" s="4458"/>
      <c r="G4242" s="2804"/>
      <c r="H4242" s="2804"/>
      <c r="I4242" s="2804"/>
      <c r="J4242" s="3161"/>
      <c r="K4242" s="2731"/>
      <c r="L4242" s="2804"/>
      <c r="M4242" s="2804"/>
      <c r="N4242" s="2951"/>
    </row>
    <row r="4243" spans="1:16" ht="29.25" hidden="1" customHeight="1" x14ac:dyDescent="0.25">
      <c r="B4243" s="448"/>
      <c r="C4243" s="2526" t="s">
        <v>4838</v>
      </c>
      <c r="D4243" s="896">
        <v>0</v>
      </c>
      <c r="E4243" s="2810">
        <f>D4243/D4108*100</f>
        <v>0</v>
      </c>
      <c r="F4243" s="4452"/>
      <c r="G4243" s="2818"/>
      <c r="H4243" s="2830"/>
      <c r="I4243" s="2830"/>
      <c r="J4243" s="3218"/>
      <c r="K4243" s="2706"/>
      <c r="L4243" s="2830"/>
      <c r="M4243" s="2709"/>
      <c r="N4243" s="3449"/>
    </row>
    <row r="4244" spans="1:16" ht="17.25" hidden="1" customHeight="1" x14ac:dyDescent="0.25">
      <c r="B4244" s="462"/>
      <c r="C4244" s="2524" t="s">
        <v>4839</v>
      </c>
      <c r="D4244" s="896">
        <v>0</v>
      </c>
      <c r="E4244" s="2810">
        <f>D4244/D4108*100</f>
        <v>0</v>
      </c>
      <c r="F4244" s="4414"/>
      <c r="G4244" s="2810"/>
      <c r="H4244" s="2685"/>
      <c r="I4244" s="2685"/>
      <c r="J4244" s="3224"/>
      <c r="K4244" s="2698"/>
      <c r="L4244" s="2685"/>
      <c r="M4244" s="896"/>
      <c r="N4244" s="2951"/>
    </row>
    <row r="4245" spans="1:16" ht="18.75" hidden="1" customHeight="1" x14ac:dyDescent="0.25">
      <c r="B4245" s="462"/>
      <c r="C4245" s="2524" t="s">
        <v>4840</v>
      </c>
      <c r="D4245" s="896">
        <v>0</v>
      </c>
      <c r="E4245" s="2810">
        <f>D4245/D4108*100</f>
        <v>0</v>
      </c>
      <c r="F4245" s="4414"/>
      <c r="G4245" s="2810"/>
      <c r="H4245" s="2685"/>
      <c r="I4245" s="2685"/>
      <c r="J4245" s="3224"/>
      <c r="K4245" s="2698"/>
      <c r="L4245" s="2685"/>
      <c r="M4245" s="896"/>
      <c r="N4245" s="2951"/>
    </row>
    <row r="4246" spans="1:16" ht="19.5" hidden="1" customHeight="1" x14ac:dyDescent="0.25">
      <c r="B4246" s="3450"/>
      <c r="C4246" s="2533" t="s">
        <v>4841</v>
      </c>
      <c r="D4246" s="896">
        <v>0</v>
      </c>
      <c r="E4246" s="2810">
        <f>D4246/D4108*100</f>
        <v>0</v>
      </c>
      <c r="F4246" s="4452"/>
      <c r="G4246" s="2818"/>
      <c r="H4246" s="2708"/>
      <c r="I4246" s="2708"/>
      <c r="J4246" s="3225"/>
      <c r="K4246" s="2706"/>
      <c r="L4246" s="2708"/>
      <c r="M4246" s="2709"/>
      <c r="N4246" s="3449"/>
    </row>
    <row r="4247" spans="1:16" ht="17.25" hidden="1" customHeight="1" x14ac:dyDescent="0.25">
      <c r="B4247" s="3450"/>
      <c r="C4247" s="2533" t="s">
        <v>4842</v>
      </c>
      <c r="D4247" s="896">
        <v>0</v>
      </c>
      <c r="E4247" s="2810">
        <f>D4247/D4108*100</f>
        <v>0</v>
      </c>
      <c r="F4247" s="4452"/>
      <c r="G4247" s="2818"/>
      <c r="H4247" s="2708"/>
      <c r="I4247" s="2708"/>
      <c r="J4247" s="3225"/>
      <c r="K4247" s="2706"/>
      <c r="L4247" s="2708"/>
      <c r="M4247" s="2709"/>
      <c r="N4247" s="3449"/>
    </row>
    <row r="4248" spans="1:16" ht="20.25" hidden="1" customHeight="1" x14ac:dyDescent="0.25">
      <c r="B4248" s="3450"/>
      <c r="C4248" s="2533" t="s">
        <v>4843</v>
      </c>
      <c r="D4248" s="896">
        <v>0</v>
      </c>
      <c r="E4248" s="2810">
        <f>D4248/D4108*100</f>
        <v>0</v>
      </c>
      <c r="F4248" s="4452"/>
      <c r="G4248" s="2818"/>
      <c r="H4248" s="2708"/>
      <c r="I4248" s="2708"/>
      <c r="J4248" s="3225"/>
      <c r="K4248" s="2706"/>
      <c r="L4248" s="2708"/>
      <c r="M4248" s="2709"/>
      <c r="N4248" s="3449"/>
    </row>
    <row r="4249" spans="1:16" ht="12.75" hidden="1" customHeight="1" x14ac:dyDescent="0.25">
      <c r="B4249" s="3450"/>
      <c r="C4249" s="2533"/>
      <c r="D4249" s="2709"/>
      <c r="E4249" s="2810"/>
      <c r="F4249" s="4452"/>
      <c r="G4249" s="2818"/>
      <c r="H4249" s="2708"/>
      <c r="I4249" s="2708"/>
      <c r="J4249" s="3225"/>
      <c r="K4249" s="2706"/>
      <c r="L4249" s="2708"/>
      <c r="M4249" s="2709"/>
      <c r="N4249" s="3449"/>
    </row>
    <row r="4250" spans="1:16" s="32" customFormat="1" ht="30" hidden="1" customHeight="1" x14ac:dyDescent="0.25">
      <c r="A4250" s="1"/>
      <c r="B4250" s="445"/>
      <c r="C4250" s="2534" t="s">
        <v>4844</v>
      </c>
      <c r="D4250" s="2767">
        <f>SUM(D4251:D4261)</f>
        <v>0</v>
      </c>
      <c r="E4250" s="2813">
        <f>D4250/D4108*100</f>
        <v>0</v>
      </c>
      <c r="F4250" s="3859"/>
      <c r="G4250" s="2873"/>
      <c r="H4250" s="2934"/>
      <c r="I4250" s="2934"/>
      <c r="J4250" s="3451"/>
      <c r="K4250" s="2712"/>
      <c r="L4250" s="2934"/>
      <c r="M4250" s="2767"/>
      <c r="N4250" s="2668"/>
      <c r="P4250" s="630"/>
    </row>
    <row r="4251" spans="1:16" ht="19.5" hidden="1" customHeight="1" x14ac:dyDescent="0.25">
      <c r="B4251" s="3450"/>
      <c r="C4251" s="2533" t="s">
        <v>4845</v>
      </c>
      <c r="D4251" s="2709">
        <v>0</v>
      </c>
      <c r="E4251" s="2810">
        <f>D4251/D4108*100</f>
        <v>0</v>
      </c>
      <c r="F4251" s="4452"/>
      <c r="G4251" s="2818"/>
      <c r="H4251" s="2708"/>
      <c r="I4251" s="2708"/>
      <c r="J4251" s="3225"/>
      <c r="K4251" s="2706"/>
      <c r="L4251" s="2708"/>
      <c r="M4251" s="2709"/>
      <c r="N4251" s="3449"/>
    </row>
    <row r="4252" spans="1:16" ht="21" hidden="1" customHeight="1" x14ac:dyDescent="0.25">
      <c r="B4252" s="3450"/>
      <c r="C4252" s="2533" t="s">
        <v>4846</v>
      </c>
      <c r="D4252" s="2709">
        <v>0</v>
      </c>
      <c r="E4252" s="2810">
        <f>D4252/D4108*100</f>
        <v>0</v>
      </c>
      <c r="F4252" s="4452"/>
      <c r="G4252" s="2818"/>
      <c r="H4252" s="2708"/>
      <c r="I4252" s="2708"/>
      <c r="J4252" s="3225"/>
      <c r="K4252" s="2706"/>
      <c r="L4252" s="2708"/>
      <c r="M4252" s="2709"/>
      <c r="N4252" s="3449"/>
    </row>
    <row r="4253" spans="1:16" ht="18" hidden="1" customHeight="1" x14ac:dyDescent="0.25">
      <c r="B4253" s="3450"/>
      <c r="C4253" s="2533" t="s">
        <v>4847</v>
      </c>
      <c r="D4253" s="2709">
        <v>0</v>
      </c>
      <c r="E4253" s="2810">
        <f>D4253/D4108*100</f>
        <v>0</v>
      </c>
      <c r="F4253" s="4452"/>
      <c r="G4253" s="2818"/>
      <c r="H4253" s="2708"/>
      <c r="I4253" s="2708"/>
      <c r="J4253" s="3225"/>
      <c r="K4253" s="2706"/>
      <c r="L4253" s="2708"/>
      <c r="M4253" s="2709"/>
      <c r="N4253" s="3449"/>
    </row>
    <row r="4254" spans="1:16" ht="31.5" hidden="1" customHeight="1" x14ac:dyDescent="0.25">
      <c r="B4254" s="3450"/>
      <c r="C4254" s="2533" t="s">
        <v>4848</v>
      </c>
      <c r="D4254" s="2709">
        <v>0</v>
      </c>
      <c r="E4254" s="2810">
        <f>D4254/D4108*100</f>
        <v>0</v>
      </c>
      <c r="F4254" s="4452"/>
      <c r="G4254" s="2818"/>
      <c r="H4254" s="2708"/>
      <c r="I4254" s="2708"/>
      <c r="J4254" s="3225"/>
      <c r="K4254" s="2706"/>
      <c r="L4254" s="2708"/>
      <c r="M4254" s="2709"/>
      <c r="N4254" s="3449"/>
    </row>
    <row r="4255" spans="1:16" ht="28.5" hidden="1" customHeight="1" x14ac:dyDescent="0.25">
      <c r="B4255" s="3450"/>
      <c r="C4255" s="2533" t="s">
        <v>4849</v>
      </c>
      <c r="D4255" s="2709">
        <v>0</v>
      </c>
      <c r="E4255" s="2810">
        <f>D4255/D4108*100</f>
        <v>0</v>
      </c>
      <c r="F4255" s="4452"/>
      <c r="G4255" s="2818"/>
      <c r="H4255" s="2708"/>
      <c r="I4255" s="2708"/>
      <c r="J4255" s="3225"/>
      <c r="K4255" s="2706"/>
      <c r="L4255" s="2708"/>
      <c r="M4255" s="2709"/>
      <c r="N4255" s="3449"/>
    </row>
    <row r="4256" spans="1:16" ht="19.5" hidden="1" customHeight="1" x14ac:dyDescent="0.25">
      <c r="B4256" s="3450"/>
      <c r="C4256" s="2533" t="s">
        <v>4850</v>
      </c>
      <c r="D4256" s="2709">
        <v>0</v>
      </c>
      <c r="E4256" s="2810">
        <f>D4256/D4108*100</f>
        <v>0</v>
      </c>
      <c r="F4256" s="4452"/>
      <c r="G4256" s="2818"/>
      <c r="H4256" s="2708"/>
      <c r="I4256" s="2708"/>
      <c r="J4256" s="3225"/>
      <c r="K4256" s="2706"/>
      <c r="L4256" s="2708"/>
      <c r="M4256" s="2709"/>
      <c r="N4256" s="3449"/>
    </row>
    <row r="4257" spans="2:14" ht="16.5" hidden="1" customHeight="1" x14ac:dyDescent="0.25">
      <c r="B4257" s="3450"/>
      <c r="C4257" s="2533" t="s">
        <v>4851</v>
      </c>
      <c r="D4257" s="2709">
        <v>0</v>
      </c>
      <c r="E4257" s="2810">
        <f>D4257/D4108*100</f>
        <v>0</v>
      </c>
      <c r="F4257" s="4452"/>
      <c r="G4257" s="2818"/>
      <c r="H4257" s="2708"/>
      <c r="I4257" s="2708"/>
      <c r="J4257" s="3225"/>
      <c r="K4257" s="2706"/>
      <c r="L4257" s="2708"/>
      <c r="M4257" s="2709"/>
      <c r="N4257" s="3449"/>
    </row>
    <row r="4258" spans="2:14" ht="30" hidden="1" customHeight="1" x14ac:dyDescent="0.25">
      <c r="B4258" s="3450"/>
      <c r="C4258" s="2533" t="s">
        <v>4852</v>
      </c>
      <c r="D4258" s="2709">
        <v>0</v>
      </c>
      <c r="E4258" s="2810">
        <f>D4258/D4108*100</f>
        <v>0</v>
      </c>
      <c r="F4258" s="4452"/>
      <c r="G4258" s="2818"/>
      <c r="H4258" s="2708"/>
      <c r="I4258" s="2708"/>
      <c r="J4258" s="3225"/>
      <c r="K4258" s="2706"/>
      <c r="L4258" s="2708"/>
      <c r="M4258" s="2709"/>
      <c r="N4258" s="3449"/>
    </row>
    <row r="4259" spans="2:14" ht="16.5" hidden="1" customHeight="1" x14ac:dyDescent="0.25">
      <c r="B4259" s="3450"/>
      <c r="C4259" s="2533" t="s">
        <v>4853</v>
      </c>
      <c r="D4259" s="2709">
        <v>0</v>
      </c>
      <c r="E4259" s="2810">
        <f>D4259/D4108*100</f>
        <v>0</v>
      </c>
      <c r="F4259" s="4452"/>
      <c r="G4259" s="2818"/>
      <c r="H4259" s="2708"/>
      <c r="I4259" s="2708"/>
      <c r="J4259" s="3225"/>
      <c r="K4259" s="2706"/>
      <c r="L4259" s="2708"/>
      <c r="M4259" s="2709"/>
      <c r="N4259" s="3449"/>
    </row>
    <row r="4260" spans="2:14" ht="20.25" hidden="1" customHeight="1" x14ac:dyDescent="0.25">
      <c r="B4260" s="3450"/>
      <c r="C4260" s="2533" t="s">
        <v>4854</v>
      </c>
      <c r="D4260" s="2709">
        <v>0</v>
      </c>
      <c r="E4260" s="2810">
        <f>D4260/D4108*100</f>
        <v>0</v>
      </c>
      <c r="F4260" s="4452"/>
      <c r="G4260" s="2818"/>
      <c r="H4260" s="2708"/>
      <c r="I4260" s="2708"/>
      <c r="J4260" s="3225"/>
      <c r="K4260" s="2706"/>
      <c r="L4260" s="2708"/>
      <c r="M4260" s="2709"/>
      <c r="N4260" s="3449"/>
    </row>
    <row r="4261" spans="2:14" ht="27.75" hidden="1" customHeight="1" x14ac:dyDescent="0.25">
      <c r="B4261" s="3450"/>
      <c r="C4261" s="2533" t="s">
        <v>4855</v>
      </c>
      <c r="D4261" s="2709">
        <v>0</v>
      </c>
      <c r="E4261" s="2810">
        <f>D4261/D4108*100</f>
        <v>0</v>
      </c>
      <c r="F4261" s="4452"/>
      <c r="G4261" s="2818"/>
      <c r="H4261" s="2708"/>
      <c r="I4261" s="2708"/>
      <c r="J4261" s="3225"/>
      <c r="K4261" s="2706"/>
      <c r="L4261" s="2708"/>
      <c r="M4261" s="2709"/>
      <c r="N4261" s="3449"/>
    </row>
    <row r="4262" spans="2:14" ht="14.25" hidden="1" customHeight="1" x14ac:dyDescent="0.25">
      <c r="B4262" s="565"/>
      <c r="C4262" s="2626"/>
      <c r="D4262" s="3006"/>
      <c r="E4262" s="2895"/>
      <c r="F4262" s="4482"/>
      <c r="G4262" s="2895"/>
      <c r="H4262" s="2911"/>
      <c r="I4262" s="2911"/>
      <c r="J4262" s="3219"/>
      <c r="K4262" s="2838"/>
      <c r="L4262" s="2911"/>
      <c r="M4262" s="3006"/>
      <c r="N4262" s="3452"/>
    </row>
    <row r="4263" spans="2:14" ht="19.5" hidden="1" customHeight="1" x14ac:dyDescent="0.25">
      <c r="B4263" s="440"/>
      <c r="C4263" s="2471" t="s">
        <v>7845</v>
      </c>
      <c r="D4263" s="2744">
        <f>D4264</f>
        <v>351000000</v>
      </c>
      <c r="E4263" s="2786">
        <f>D4263/D4108*100</f>
        <v>0.33977291088738115</v>
      </c>
      <c r="F4263" s="3886"/>
      <c r="G4263" s="3453"/>
      <c r="H4263" s="3454"/>
      <c r="I4263" s="2744"/>
      <c r="J4263" s="3181"/>
      <c r="K4263" s="2744"/>
      <c r="L4263" s="2719"/>
      <c r="M4263" s="2744"/>
      <c r="N4263" s="2837"/>
    </row>
    <row r="4264" spans="2:14" ht="14.25" hidden="1" customHeight="1" x14ac:dyDescent="0.25">
      <c r="B4264" s="444"/>
      <c r="C4264" s="2472" t="s">
        <v>4856</v>
      </c>
      <c r="D4264" s="2759">
        <f>SUM(D4265:D4267)</f>
        <v>351000000</v>
      </c>
      <c r="E4264" s="2813">
        <f>D4264/D4108*100</f>
        <v>0.33977291088738115</v>
      </c>
      <c r="F4264" s="3884"/>
      <c r="G4264" s="3455"/>
      <c r="H4264" s="3456"/>
      <c r="I4264" s="2759"/>
      <c r="J4264" s="3178"/>
      <c r="K4264" s="2759"/>
      <c r="L4264" s="2725"/>
      <c r="M4264" s="2759"/>
      <c r="N4264" s="2837"/>
    </row>
    <row r="4265" spans="2:14" ht="19.5" hidden="1" customHeight="1" x14ac:dyDescent="0.25">
      <c r="B4265" s="449"/>
      <c r="C4265" s="2473" t="s">
        <v>4857</v>
      </c>
      <c r="D4265" s="896">
        <v>0</v>
      </c>
      <c r="E4265" s="2810">
        <f>D4265/D4108*100</f>
        <v>0</v>
      </c>
      <c r="F4265" s="4458"/>
      <c r="G4265" s="3046"/>
      <c r="H4265" s="3457"/>
      <c r="I4265" s="898"/>
      <c r="J4265" s="3161"/>
      <c r="K4265" s="896"/>
      <c r="L4265" s="2685"/>
      <c r="M4265" s="898"/>
      <c r="N4265" s="2768"/>
    </row>
    <row r="4266" spans="2:14" ht="18" hidden="1" customHeight="1" x14ac:dyDescent="0.25">
      <c r="B4266" s="449"/>
      <c r="C4266" s="2473" t="s">
        <v>4858</v>
      </c>
      <c r="D4266" s="896">
        <v>351000000</v>
      </c>
      <c r="E4266" s="2810">
        <f>D4266/D4108*100</f>
        <v>0.33977291088738115</v>
      </c>
      <c r="F4266" s="4458"/>
      <c r="G4266" s="3046"/>
      <c r="H4266" s="3457"/>
      <c r="I4266" s="898"/>
      <c r="J4266" s="3161"/>
      <c r="K4266" s="896"/>
      <c r="L4266" s="2685"/>
      <c r="M4266" s="898"/>
      <c r="N4266" s="2768"/>
    </row>
    <row r="4267" spans="2:14" ht="18.75" hidden="1" customHeight="1" x14ac:dyDescent="0.25">
      <c r="B4267" s="449"/>
      <c r="C4267" s="2473" t="s">
        <v>4859</v>
      </c>
      <c r="D4267" s="896">
        <v>0</v>
      </c>
      <c r="E4267" s="2810">
        <f>D4267/D4108*100</f>
        <v>0</v>
      </c>
      <c r="F4267" s="4458"/>
      <c r="G4267" s="3046"/>
      <c r="H4267" s="3457"/>
      <c r="I4267" s="898"/>
      <c r="J4267" s="3161"/>
      <c r="K4267" s="896"/>
      <c r="L4267" s="2685"/>
      <c r="M4267" s="898"/>
      <c r="N4267" s="2768"/>
    </row>
    <row r="4268" spans="2:14" ht="14.25" hidden="1" customHeight="1" x14ac:dyDescent="0.25">
      <c r="B4268" s="445"/>
      <c r="C4268" s="2476"/>
      <c r="D4268" s="2709"/>
      <c r="E4268" s="2818"/>
      <c r="F4268" s="4471"/>
      <c r="G4268" s="3458"/>
      <c r="H4268" s="3459"/>
      <c r="I4268" s="911"/>
      <c r="J4268" s="3174"/>
      <c r="K4268" s="2709"/>
      <c r="L4268" s="2708"/>
      <c r="M4268" s="911"/>
      <c r="N4268" s="2768"/>
    </row>
    <row r="4269" spans="2:14" ht="17.25" hidden="1" customHeight="1" x14ac:dyDescent="0.25">
      <c r="B4269" s="440"/>
      <c r="C4269" s="2471" t="s">
        <v>7846</v>
      </c>
      <c r="D4269" s="2744">
        <f>SUM(D4270+D4290+D4296+D4301+D4304)</f>
        <v>13728669000</v>
      </c>
      <c r="E4269" s="2786">
        <f>D4269/D4108*100</f>
        <v>13.289543671622084</v>
      </c>
      <c r="F4269" s="3886"/>
      <c r="G4269" s="3453"/>
      <c r="H4269" s="3454"/>
      <c r="I4269" s="2744"/>
      <c r="J4269" s="3181"/>
      <c r="K4269" s="2744"/>
      <c r="L4269" s="2719"/>
      <c r="M4269" s="2744"/>
      <c r="N4269" s="2837"/>
    </row>
    <row r="4270" spans="2:14" ht="19.5" hidden="1" customHeight="1" x14ac:dyDescent="0.25">
      <c r="B4270" s="444"/>
      <c r="C4270" s="2472" t="s">
        <v>4860</v>
      </c>
      <c r="D4270" s="2759">
        <f>SUM(D4271:D4288)</f>
        <v>6130291000</v>
      </c>
      <c r="E4270" s="2813">
        <f>D4270/D4108*100</f>
        <v>5.9342074577114374</v>
      </c>
      <c r="F4270" s="3884"/>
      <c r="G4270" s="3455"/>
      <c r="H4270" s="3456"/>
      <c r="I4270" s="2759"/>
      <c r="J4270" s="3178"/>
      <c r="K4270" s="2759"/>
      <c r="L4270" s="2725"/>
      <c r="M4270" s="2759"/>
      <c r="N4270" s="2837"/>
    </row>
    <row r="4271" spans="2:14" ht="16.5" hidden="1" customHeight="1" x14ac:dyDescent="0.25">
      <c r="B4271" s="449"/>
      <c r="C4271" s="2473" t="s">
        <v>4861</v>
      </c>
      <c r="D4271" s="896">
        <v>233611900</v>
      </c>
      <c r="E4271" s="2810">
        <f>D4271/D4108*100</f>
        <v>0.2261395876949624</v>
      </c>
      <c r="F4271" s="4458"/>
      <c r="G4271" s="3046"/>
      <c r="H4271" s="3457"/>
      <c r="I4271" s="898"/>
      <c r="J4271" s="3161"/>
      <c r="K4271" s="896"/>
      <c r="L4271" s="2685"/>
      <c r="M4271" s="898"/>
      <c r="N4271" s="2768"/>
    </row>
    <row r="4272" spans="2:14" ht="14.25" hidden="1" customHeight="1" x14ac:dyDescent="0.25">
      <c r="B4272" s="449"/>
      <c r="C4272" s="2473" t="s">
        <v>4862</v>
      </c>
      <c r="D4272" s="896">
        <v>239824900</v>
      </c>
      <c r="E4272" s="2810">
        <f>D4272/D4108*100</f>
        <v>0.23215385862186635</v>
      </c>
      <c r="F4272" s="4458"/>
      <c r="G4272" s="3046"/>
      <c r="H4272" s="3457"/>
      <c r="I4272" s="898"/>
      <c r="J4272" s="3161"/>
      <c r="K4272" s="896"/>
      <c r="L4272" s="2685"/>
      <c r="M4272" s="898"/>
      <c r="N4272" s="2768"/>
    </row>
    <row r="4273" spans="2:14" ht="16.5" hidden="1" customHeight="1" x14ac:dyDescent="0.25">
      <c r="B4273" s="449"/>
      <c r="C4273" s="2473" t="s">
        <v>4863</v>
      </c>
      <c r="D4273" s="896">
        <v>249024900</v>
      </c>
      <c r="E4273" s="2810">
        <f>D4273/D4108*100</f>
        <v>0.24105958734028204</v>
      </c>
      <c r="F4273" s="4458"/>
      <c r="G4273" s="3046"/>
      <c r="H4273" s="3457"/>
      <c r="I4273" s="898"/>
      <c r="J4273" s="3161"/>
      <c r="K4273" s="896"/>
      <c r="L4273" s="2685"/>
      <c r="M4273" s="898"/>
      <c r="N4273" s="2768"/>
    </row>
    <row r="4274" spans="2:14" ht="30.75" hidden="1" customHeight="1" x14ac:dyDescent="0.25">
      <c r="B4274" s="449"/>
      <c r="C4274" s="2473" t="s">
        <v>4864</v>
      </c>
      <c r="D4274" s="896">
        <v>228211900</v>
      </c>
      <c r="E4274" s="2810">
        <f>D4274/D4108*100</f>
        <v>0.22091231214284882</v>
      </c>
      <c r="F4274" s="4458"/>
      <c r="G4274" s="3046"/>
      <c r="H4274" s="3457"/>
      <c r="I4274" s="898"/>
      <c r="J4274" s="3161"/>
      <c r="K4274" s="896"/>
      <c r="L4274" s="2685"/>
      <c r="M4274" s="898"/>
      <c r="N4274" s="2768"/>
    </row>
    <row r="4275" spans="2:14" ht="30.75" hidden="1" customHeight="1" x14ac:dyDescent="0.25">
      <c r="B4275" s="449"/>
      <c r="C4275" s="2473" t="s">
        <v>4865</v>
      </c>
      <c r="D4275" s="896">
        <v>233811900</v>
      </c>
      <c r="E4275" s="2810">
        <f>D4275/D4108*100</f>
        <v>0.22633319049318881</v>
      </c>
      <c r="F4275" s="4458"/>
      <c r="G4275" s="3046"/>
      <c r="H4275" s="3457"/>
      <c r="I4275" s="898"/>
      <c r="J4275" s="3161"/>
      <c r="K4275" s="896"/>
      <c r="L4275" s="2685"/>
      <c r="M4275" s="898"/>
      <c r="N4275" s="2768"/>
    </row>
    <row r="4276" spans="2:14" ht="32.25" hidden="1" customHeight="1" x14ac:dyDescent="0.25">
      <c r="B4276" s="449"/>
      <c r="C4276" s="2473" t="s">
        <v>4866</v>
      </c>
      <c r="D4276" s="896">
        <v>217811900</v>
      </c>
      <c r="E4276" s="2810">
        <f>D4276/D4108*100</f>
        <v>0.21084496663507454</v>
      </c>
      <c r="F4276" s="4458"/>
      <c r="G4276" s="3046"/>
      <c r="H4276" s="3457"/>
      <c r="I4276" s="898"/>
      <c r="J4276" s="3161"/>
      <c r="K4276" s="896"/>
      <c r="L4276" s="2685"/>
      <c r="M4276" s="898"/>
      <c r="N4276" s="2768"/>
    </row>
    <row r="4277" spans="2:14" ht="33" hidden="1" customHeight="1" x14ac:dyDescent="0.25">
      <c r="B4277" s="449"/>
      <c r="C4277" s="2473" t="s">
        <v>4867</v>
      </c>
      <c r="D4277" s="896">
        <v>227011900</v>
      </c>
      <c r="E4277" s="2810">
        <f>D4277/D4108*100</f>
        <v>0.21975069535349026</v>
      </c>
      <c r="F4277" s="4458"/>
      <c r="G4277" s="3046"/>
      <c r="H4277" s="3457"/>
      <c r="I4277" s="898"/>
      <c r="J4277" s="3161"/>
      <c r="K4277" s="896"/>
      <c r="L4277" s="2685"/>
      <c r="M4277" s="898"/>
      <c r="N4277" s="2768"/>
    </row>
    <row r="4278" spans="2:14" ht="30" hidden="1" customHeight="1" x14ac:dyDescent="0.25">
      <c r="B4278" s="449"/>
      <c r="C4278" s="2473" t="s">
        <v>4868</v>
      </c>
      <c r="D4278" s="896">
        <v>233811900</v>
      </c>
      <c r="E4278" s="2810">
        <f>D4278/D4108*100</f>
        <v>0.22633319049318881</v>
      </c>
      <c r="F4278" s="4458"/>
      <c r="G4278" s="3046"/>
      <c r="H4278" s="3457"/>
      <c r="I4278" s="898"/>
      <c r="J4278" s="3161"/>
      <c r="K4278" s="896"/>
      <c r="L4278" s="2685"/>
      <c r="M4278" s="898"/>
      <c r="N4278" s="2768"/>
    </row>
    <row r="4279" spans="2:14" ht="28.5" hidden="1" customHeight="1" x14ac:dyDescent="0.25">
      <c r="B4279" s="449"/>
      <c r="C4279" s="2473" t="s">
        <v>4869</v>
      </c>
      <c r="D4279" s="896">
        <v>242211900</v>
      </c>
      <c r="E4279" s="2810">
        <f>D4279/D4108*100</f>
        <v>0.23446450801869878</v>
      </c>
      <c r="F4279" s="4458"/>
      <c r="G4279" s="3046"/>
      <c r="H4279" s="3457"/>
      <c r="I4279" s="898"/>
      <c r="J4279" s="3161"/>
      <c r="K4279" s="896"/>
      <c r="L4279" s="2685"/>
      <c r="M4279" s="898"/>
      <c r="N4279" s="2768"/>
    </row>
    <row r="4280" spans="2:14" ht="29.25" hidden="1" customHeight="1" x14ac:dyDescent="0.25">
      <c r="B4280" s="449"/>
      <c r="C4280" s="2473" t="s">
        <v>4870</v>
      </c>
      <c r="D4280" s="896">
        <v>242211900</v>
      </c>
      <c r="E4280" s="2810">
        <f>D4280/D4108*100</f>
        <v>0.23446450801869878</v>
      </c>
      <c r="F4280" s="4458"/>
      <c r="G4280" s="3046"/>
      <c r="H4280" s="3457"/>
      <c r="I4280" s="898"/>
      <c r="J4280" s="3161"/>
      <c r="K4280" s="896"/>
      <c r="L4280" s="2685"/>
      <c r="M4280" s="898"/>
      <c r="N4280" s="2768"/>
    </row>
    <row r="4281" spans="2:14" ht="27.75" hidden="1" customHeight="1" x14ac:dyDescent="0.25">
      <c r="B4281" s="449"/>
      <c r="C4281" s="2473" t="s">
        <v>4871</v>
      </c>
      <c r="D4281" s="896">
        <v>233811900</v>
      </c>
      <c r="E4281" s="2810">
        <f>D4281/D4108*100</f>
        <v>0.22633319049318881</v>
      </c>
      <c r="F4281" s="4458"/>
      <c r="G4281" s="3046"/>
      <c r="H4281" s="3457"/>
      <c r="I4281" s="898"/>
      <c r="J4281" s="3161"/>
      <c r="K4281" s="896"/>
      <c r="L4281" s="2685"/>
      <c r="M4281" s="898"/>
      <c r="N4281" s="2768"/>
    </row>
    <row r="4282" spans="2:14" ht="28.5" hidden="1" customHeight="1" x14ac:dyDescent="0.25">
      <c r="B4282" s="449"/>
      <c r="C4282" s="2473" t="s">
        <v>4872</v>
      </c>
      <c r="D4282" s="896">
        <v>234211900</v>
      </c>
      <c r="E4282" s="2810">
        <f>D4282/D4108*100</f>
        <v>0.22672039608964165</v>
      </c>
      <c r="F4282" s="4458"/>
      <c r="G4282" s="3046"/>
      <c r="H4282" s="3457"/>
      <c r="I4282" s="898"/>
      <c r="J4282" s="3161"/>
      <c r="K4282" s="896"/>
      <c r="L4282" s="2685"/>
      <c r="M4282" s="898"/>
      <c r="N4282" s="2768"/>
    </row>
    <row r="4283" spans="2:14" ht="18" hidden="1" customHeight="1" x14ac:dyDescent="0.25">
      <c r="B4283" s="449"/>
      <c r="C4283" s="2473" t="s">
        <v>4873</v>
      </c>
      <c r="D4283" s="896">
        <v>324413900</v>
      </c>
      <c r="E4283" s="2810">
        <f>D4283/D4108*100</f>
        <v>0.31403719411774295</v>
      </c>
      <c r="F4283" s="4458"/>
      <c r="G4283" s="3046"/>
      <c r="H4283" s="3457"/>
      <c r="I4283" s="898"/>
      <c r="J4283" s="3161"/>
      <c r="K4283" s="896"/>
      <c r="L4283" s="2685"/>
      <c r="M4283" s="898"/>
      <c r="N4283" s="2768"/>
    </row>
    <row r="4284" spans="2:14" ht="17.25" hidden="1" customHeight="1" x14ac:dyDescent="0.25">
      <c r="B4284" s="449"/>
      <c r="C4284" s="2473" t="s">
        <v>4874</v>
      </c>
      <c r="D4284" s="896">
        <v>786611900</v>
      </c>
      <c r="E4284" s="2810">
        <f>D4284/D4108*100</f>
        <v>0.76145132479103583</v>
      </c>
      <c r="F4284" s="4458"/>
      <c r="G4284" s="3046"/>
      <c r="H4284" s="3457"/>
      <c r="I4284" s="898"/>
      <c r="J4284" s="3161"/>
      <c r="K4284" s="896"/>
      <c r="L4284" s="2685"/>
      <c r="M4284" s="898"/>
      <c r="N4284" s="2768"/>
    </row>
    <row r="4285" spans="2:14" ht="15.75" hidden="1" customHeight="1" x14ac:dyDescent="0.25">
      <c r="B4285" s="449"/>
      <c r="C4285" s="2473" t="s">
        <v>4875</v>
      </c>
      <c r="D4285" s="896">
        <v>988611900</v>
      </c>
      <c r="E4285" s="2810">
        <f>D4285/D4108*100</f>
        <v>0.95699015099972806</v>
      </c>
      <c r="F4285" s="4458"/>
      <c r="G4285" s="3046"/>
      <c r="H4285" s="3457"/>
      <c r="I4285" s="898"/>
      <c r="J4285" s="3161"/>
      <c r="K4285" s="896"/>
      <c r="L4285" s="2685"/>
      <c r="M4285" s="898"/>
      <c r="N4285" s="2768"/>
    </row>
    <row r="4286" spans="2:14" ht="16.5" hidden="1" customHeight="1" x14ac:dyDescent="0.25">
      <c r="B4286" s="449"/>
      <c r="C4286" s="2473" t="s">
        <v>4876</v>
      </c>
      <c r="D4286" s="896">
        <v>656611900</v>
      </c>
      <c r="E4286" s="2810">
        <f>D4286/D4108*100</f>
        <v>0.63560950594385757</v>
      </c>
      <c r="F4286" s="4458"/>
      <c r="G4286" s="3046"/>
      <c r="H4286" s="3457"/>
      <c r="I4286" s="898"/>
      <c r="J4286" s="3161"/>
      <c r="K4286" s="896"/>
      <c r="L4286" s="2685"/>
      <c r="M4286" s="898"/>
      <c r="N4286" s="2768"/>
    </row>
    <row r="4287" spans="2:14" ht="16.5" hidden="1" customHeight="1" x14ac:dyDescent="0.25">
      <c r="B4287" s="449"/>
      <c r="C4287" s="2473" t="s">
        <v>4877</v>
      </c>
      <c r="D4287" s="896">
        <v>281461900</v>
      </c>
      <c r="E4287" s="2810">
        <f>D4287/D4108*100</f>
        <v>0.27245905717063529</v>
      </c>
      <c r="F4287" s="4458"/>
      <c r="G4287" s="3046"/>
      <c r="H4287" s="3457"/>
      <c r="I4287" s="898"/>
      <c r="J4287" s="3161"/>
      <c r="K4287" s="896"/>
      <c r="L4287" s="2685"/>
      <c r="M4287" s="898"/>
      <c r="N4287" s="2768"/>
    </row>
    <row r="4288" spans="2:14" ht="16.5" hidden="1" customHeight="1" x14ac:dyDescent="0.25">
      <c r="B4288" s="449"/>
      <c r="C4288" s="2473" t="s">
        <v>4878</v>
      </c>
      <c r="D4288" s="896">
        <v>277010700</v>
      </c>
      <c r="E4288" s="2810">
        <f>D4288/D4108*100</f>
        <v>0.26815023329330789</v>
      </c>
      <c r="F4288" s="4458"/>
      <c r="G4288" s="3046"/>
      <c r="H4288" s="3457"/>
      <c r="I4288" s="898"/>
      <c r="J4288" s="3161"/>
      <c r="K4288" s="896"/>
      <c r="L4288" s="2685"/>
      <c r="M4288" s="898"/>
      <c r="N4288" s="2768"/>
    </row>
    <row r="4289" spans="1:16" ht="10.5" hidden="1" customHeight="1" x14ac:dyDescent="0.25">
      <c r="B4289" s="449"/>
      <c r="C4289" s="2473"/>
      <c r="D4289" s="896"/>
      <c r="E4289" s="2810"/>
      <c r="F4289" s="4458"/>
      <c r="G4289" s="3046"/>
      <c r="H4289" s="3457"/>
      <c r="I4289" s="898"/>
      <c r="J4289" s="3161"/>
      <c r="K4289" s="896"/>
      <c r="L4289" s="2685"/>
      <c r="M4289" s="898"/>
      <c r="N4289" s="2768"/>
    </row>
    <row r="4290" spans="1:16" ht="27.75" hidden="1" customHeight="1" x14ac:dyDescent="0.25">
      <c r="B4290" s="449"/>
      <c r="C4290" s="2474" t="s">
        <v>4879</v>
      </c>
      <c r="D4290" s="899">
        <f>SUM(D4291:D4294)</f>
        <v>1893066100</v>
      </c>
      <c r="E4290" s="2813">
        <f>D4290/D4108*100</f>
        <v>1.8325144709379551</v>
      </c>
      <c r="F4290" s="3879"/>
      <c r="G4290" s="3048"/>
      <c r="H4290" s="3460"/>
      <c r="I4290" s="899"/>
      <c r="J4290" s="3163"/>
      <c r="K4290" s="899"/>
      <c r="L4290" s="2679"/>
      <c r="M4290" s="899"/>
      <c r="N4290" s="2837"/>
    </row>
    <row r="4291" spans="1:16" ht="18.75" hidden="1" customHeight="1" x14ac:dyDescent="0.25">
      <c r="B4291" s="449"/>
      <c r="C4291" s="2473" t="s">
        <v>4880</v>
      </c>
      <c r="D4291" s="896">
        <v>741630900</v>
      </c>
      <c r="E4291" s="2810">
        <f>D4291/D4108*100</f>
        <v>0.71790908745592097</v>
      </c>
      <c r="F4291" s="4458"/>
      <c r="G4291" s="3046"/>
      <c r="H4291" s="3457"/>
      <c r="I4291" s="898"/>
      <c r="J4291" s="3161"/>
      <c r="K4291" s="896"/>
      <c r="L4291" s="2685"/>
      <c r="M4291" s="898"/>
      <c r="N4291" s="2768"/>
    </row>
    <row r="4292" spans="1:16" ht="38.25" hidden="1" customHeight="1" x14ac:dyDescent="0.25">
      <c r="B4292" s="445"/>
      <c r="C4292" s="2476" t="s">
        <v>4881</v>
      </c>
      <c r="D4292" s="2709">
        <v>726611900</v>
      </c>
      <c r="E4292" s="2810">
        <f>D4292/D4108*100</f>
        <v>0.70337048532310731</v>
      </c>
      <c r="F4292" s="4471"/>
      <c r="G4292" s="3458"/>
      <c r="H4292" s="3459"/>
      <c r="I4292" s="911"/>
      <c r="J4292" s="3174"/>
      <c r="K4292" s="2709"/>
      <c r="L4292" s="2708"/>
      <c r="M4292" s="911"/>
      <c r="N4292" s="2768"/>
    </row>
    <row r="4293" spans="1:16" ht="18.75" hidden="1" customHeight="1" x14ac:dyDescent="0.25">
      <c r="B4293" s="445"/>
      <c r="C4293" s="2476" t="s">
        <v>4882</v>
      </c>
      <c r="D4293" s="2709">
        <v>212411650</v>
      </c>
      <c r="E4293" s="2810">
        <f>D4293/D4108*100</f>
        <v>0.20561744907946325</v>
      </c>
      <c r="F4293" s="4471"/>
      <c r="G4293" s="3458"/>
      <c r="H4293" s="3459"/>
      <c r="I4293" s="911"/>
      <c r="J4293" s="3174"/>
      <c r="K4293" s="2709"/>
      <c r="L4293" s="2708"/>
      <c r="M4293" s="911"/>
      <c r="N4293" s="2768"/>
    </row>
    <row r="4294" spans="1:16" ht="19.5" hidden="1" customHeight="1" x14ac:dyDescent="0.25">
      <c r="B4294" s="445"/>
      <c r="C4294" s="2476" t="s">
        <v>4952</v>
      </c>
      <c r="D4294" s="2709">
        <v>212411650</v>
      </c>
      <c r="E4294" s="2810">
        <f>D4294/D4108*100</f>
        <v>0.20561744907946325</v>
      </c>
      <c r="F4294" s="4471"/>
      <c r="G4294" s="3458"/>
      <c r="H4294" s="3459"/>
      <c r="I4294" s="911"/>
      <c r="J4294" s="3174"/>
      <c r="K4294" s="2709"/>
      <c r="L4294" s="2708"/>
      <c r="M4294" s="911"/>
      <c r="N4294" s="2768"/>
    </row>
    <row r="4295" spans="1:16" ht="10.5" hidden="1" customHeight="1" x14ac:dyDescent="0.25">
      <c r="B4295" s="445"/>
      <c r="C4295" s="2476"/>
      <c r="D4295" s="2709"/>
      <c r="E4295" s="2810"/>
      <c r="F4295" s="4471"/>
      <c r="G4295" s="3458"/>
      <c r="H4295" s="3459"/>
      <c r="I4295" s="911"/>
      <c r="J4295" s="3174"/>
      <c r="K4295" s="2709"/>
      <c r="L4295" s="2708"/>
      <c r="M4295" s="911"/>
      <c r="N4295" s="2768"/>
    </row>
    <row r="4296" spans="1:16" s="32" customFormat="1" ht="30.75" hidden="1" customHeight="1" x14ac:dyDescent="0.25">
      <c r="A4296" s="1"/>
      <c r="B4296" s="445"/>
      <c r="C4296" s="2477" t="s">
        <v>4890</v>
      </c>
      <c r="D4296" s="2767">
        <f>SUM(D4297:D4299)</f>
        <v>3400000000</v>
      </c>
      <c r="E4296" s="2813">
        <f>D4296/D4108*100</f>
        <v>3.291247569849276</v>
      </c>
      <c r="F4296" s="3881"/>
      <c r="G4296" s="3113"/>
      <c r="H4296" s="3461"/>
      <c r="I4296" s="2767"/>
      <c r="J4296" s="3167"/>
      <c r="K4296" s="2767"/>
      <c r="L4296" s="2934"/>
      <c r="M4296" s="2767"/>
      <c r="N4296" s="2837"/>
      <c r="P4296" s="630"/>
    </row>
    <row r="4297" spans="1:16" ht="27" hidden="1" customHeight="1" x14ac:dyDescent="0.25">
      <c r="B4297" s="445"/>
      <c r="C4297" s="2476" t="s">
        <v>4883</v>
      </c>
      <c r="D4297" s="2709">
        <v>800000000</v>
      </c>
      <c r="E4297" s="2810">
        <f>D4297/D4108*100</f>
        <v>0.77441119290571203</v>
      </c>
      <c r="F4297" s="4471"/>
      <c r="G4297" s="3458"/>
      <c r="H4297" s="3459"/>
      <c r="I4297" s="911"/>
      <c r="J4297" s="3174"/>
      <c r="K4297" s="2709"/>
      <c r="L4297" s="2708"/>
      <c r="M4297" s="911"/>
      <c r="N4297" s="2768"/>
    </row>
    <row r="4298" spans="1:16" ht="19.5" hidden="1" customHeight="1" x14ac:dyDescent="0.25">
      <c r="B4298" s="445"/>
      <c r="C4298" s="2476" t="s">
        <v>4884</v>
      </c>
      <c r="D4298" s="2709">
        <v>1300000000</v>
      </c>
      <c r="E4298" s="2810">
        <f>D4298/D4108*100</f>
        <v>1.258418188471782</v>
      </c>
      <c r="F4298" s="4471"/>
      <c r="G4298" s="3458"/>
      <c r="H4298" s="3459"/>
      <c r="I4298" s="911"/>
      <c r="J4298" s="3174"/>
      <c r="K4298" s="2709"/>
      <c r="L4298" s="2708"/>
      <c r="M4298" s="911"/>
      <c r="N4298" s="2768"/>
    </row>
    <row r="4299" spans="1:16" ht="28.5" hidden="1" customHeight="1" x14ac:dyDescent="0.25">
      <c r="B4299" s="445"/>
      <c r="C4299" s="2476" t="s">
        <v>4885</v>
      </c>
      <c r="D4299" s="2709">
        <v>1300000000</v>
      </c>
      <c r="E4299" s="2810">
        <f>D4299/D4108*100</f>
        <v>1.258418188471782</v>
      </c>
      <c r="F4299" s="4471"/>
      <c r="G4299" s="3458"/>
      <c r="H4299" s="3459"/>
      <c r="I4299" s="911"/>
      <c r="J4299" s="3174"/>
      <c r="K4299" s="2709"/>
      <c r="L4299" s="2708"/>
      <c r="M4299" s="911"/>
      <c r="N4299" s="2768"/>
    </row>
    <row r="4300" spans="1:16" ht="12.75" hidden="1" customHeight="1" x14ac:dyDescent="0.25">
      <c r="B4300" s="445"/>
      <c r="C4300" s="2476"/>
      <c r="D4300" s="2709"/>
      <c r="E4300" s="2810"/>
      <c r="F4300" s="4471"/>
      <c r="G4300" s="3458"/>
      <c r="H4300" s="3459"/>
      <c r="I4300" s="911"/>
      <c r="J4300" s="3174"/>
      <c r="K4300" s="2709"/>
      <c r="L4300" s="2708"/>
      <c r="M4300" s="911"/>
      <c r="N4300" s="2768"/>
    </row>
    <row r="4301" spans="1:16" s="32" customFormat="1" ht="19.5" hidden="1" customHeight="1" x14ac:dyDescent="0.25">
      <c r="A4301" s="1"/>
      <c r="B4301" s="445"/>
      <c r="C4301" s="2477" t="s">
        <v>4886</v>
      </c>
      <c r="D4301" s="2767">
        <f>D4302</f>
        <v>1300000000</v>
      </c>
      <c r="E4301" s="2813">
        <f>D4301/D4108*100</f>
        <v>1.258418188471782</v>
      </c>
      <c r="F4301" s="3881"/>
      <c r="G4301" s="3113"/>
      <c r="H4301" s="3461"/>
      <c r="I4301" s="2767"/>
      <c r="J4301" s="3167"/>
      <c r="K4301" s="2767"/>
      <c r="L4301" s="2934"/>
      <c r="M4301" s="2767"/>
      <c r="N4301" s="2837"/>
      <c r="P4301" s="630"/>
    </row>
    <row r="4302" spans="1:16" ht="19.5" hidden="1" customHeight="1" x14ac:dyDescent="0.25">
      <c r="B4302" s="445"/>
      <c r="C4302" s="2476" t="s">
        <v>4887</v>
      </c>
      <c r="D4302" s="2709">
        <v>1300000000</v>
      </c>
      <c r="E4302" s="2810">
        <f>D4302/D4108*100</f>
        <v>1.258418188471782</v>
      </c>
      <c r="F4302" s="4471"/>
      <c r="G4302" s="3458"/>
      <c r="H4302" s="3459"/>
      <c r="I4302" s="911"/>
      <c r="J4302" s="3174"/>
      <c r="K4302" s="2709"/>
      <c r="L4302" s="2708"/>
      <c r="M4302" s="911"/>
      <c r="N4302" s="2768"/>
    </row>
    <row r="4303" spans="1:16" ht="12" hidden="1" customHeight="1" x14ac:dyDescent="0.25">
      <c r="B4303" s="445"/>
      <c r="C4303" s="2476"/>
      <c r="D4303" s="2709"/>
      <c r="E4303" s="2810"/>
      <c r="F4303" s="4471"/>
      <c r="G4303" s="3458"/>
      <c r="H4303" s="3459"/>
      <c r="I4303" s="911"/>
      <c r="J4303" s="3174"/>
      <c r="K4303" s="2709"/>
      <c r="L4303" s="2708"/>
      <c r="M4303" s="911"/>
      <c r="N4303" s="2768"/>
    </row>
    <row r="4304" spans="1:16" s="32" customFormat="1" ht="19.5" hidden="1" customHeight="1" x14ac:dyDescent="0.25">
      <c r="A4304" s="1"/>
      <c r="B4304" s="445"/>
      <c r="C4304" s="2477" t="s">
        <v>4888</v>
      </c>
      <c r="D4304" s="2767">
        <f>D4305</f>
        <v>1005311900</v>
      </c>
      <c r="E4304" s="2813">
        <f>D4304/D4108*100</f>
        <v>0.97315598465163478</v>
      </c>
      <c r="F4304" s="3881"/>
      <c r="G4304" s="3113"/>
      <c r="H4304" s="3461"/>
      <c r="I4304" s="2767"/>
      <c r="J4304" s="3167"/>
      <c r="K4304" s="2767"/>
      <c r="L4304" s="2934"/>
      <c r="M4304" s="2767"/>
      <c r="N4304" s="2837"/>
      <c r="P4304" s="630"/>
    </row>
    <row r="4305" spans="1:16" ht="25.5" hidden="1" customHeight="1" x14ac:dyDescent="0.25">
      <c r="B4305" s="445"/>
      <c r="C4305" s="2476" t="s">
        <v>4889</v>
      </c>
      <c r="D4305" s="2709">
        <v>1005311900</v>
      </c>
      <c r="E4305" s="2810">
        <f>D4305/D4108*100</f>
        <v>0.97315598465163478</v>
      </c>
      <c r="F4305" s="4471"/>
      <c r="G4305" s="3458"/>
      <c r="H4305" s="3459"/>
      <c r="I4305" s="911"/>
      <c r="J4305" s="3174"/>
      <c r="K4305" s="2709"/>
      <c r="L4305" s="2708"/>
      <c r="M4305" s="911"/>
      <c r="N4305" s="2768"/>
    </row>
    <row r="4306" spans="1:16" ht="14.25" hidden="1" customHeight="1" x14ac:dyDescent="0.25">
      <c r="B4306" s="445"/>
      <c r="C4306" s="2476"/>
      <c r="D4306" s="2709"/>
      <c r="E4306" s="2818"/>
      <c r="F4306" s="4471"/>
      <c r="G4306" s="3458"/>
      <c r="H4306" s="3459"/>
      <c r="I4306" s="911"/>
      <c r="J4306" s="3174"/>
      <c r="K4306" s="2709"/>
      <c r="L4306" s="2708"/>
      <c r="M4306" s="911"/>
      <c r="N4306" s="2768"/>
    </row>
    <row r="4307" spans="1:16" ht="18.75" hidden="1" customHeight="1" x14ac:dyDescent="0.25">
      <c r="B4307" s="440"/>
      <c r="C4307" s="2471" t="s">
        <v>7847</v>
      </c>
      <c r="D4307" s="2744">
        <f>D4308</f>
        <v>5491468000</v>
      </c>
      <c r="E4307" s="2786">
        <f>D4307/D4108*100</f>
        <v>5.3158178558544309</v>
      </c>
      <c r="F4307" s="3886"/>
      <c r="G4307" s="3453"/>
      <c r="H4307" s="3454"/>
      <c r="I4307" s="2744"/>
      <c r="J4307" s="3181"/>
      <c r="K4307" s="2744"/>
      <c r="L4307" s="2719"/>
      <c r="M4307" s="2744"/>
      <c r="N4307" s="2837"/>
    </row>
    <row r="4308" spans="1:16" ht="18" hidden="1" customHeight="1" x14ac:dyDescent="0.25">
      <c r="B4308" s="444"/>
      <c r="C4308" s="2472" t="s">
        <v>4891</v>
      </c>
      <c r="D4308" s="2759">
        <f>SUM(D4309:D4309)</f>
        <v>5491468000</v>
      </c>
      <c r="E4308" s="2813">
        <f>D4308/D4108*100</f>
        <v>5.3158178558544309</v>
      </c>
      <c r="F4308" s="3884"/>
      <c r="G4308" s="3455"/>
      <c r="H4308" s="3456"/>
      <c r="I4308" s="2759"/>
      <c r="J4308" s="3178"/>
      <c r="K4308" s="2759"/>
      <c r="L4308" s="2725"/>
      <c r="M4308" s="2759"/>
      <c r="N4308" s="2837"/>
    </row>
    <row r="4309" spans="1:16" ht="19.5" hidden="1" customHeight="1" x14ac:dyDescent="0.25">
      <c r="B4309" s="449"/>
      <c r="C4309" s="2473" t="s">
        <v>4892</v>
      </c>
      <c r="D4309" s="896">
        <v>5491468000</v>
      </c>
      <c r="E4309" s="2810">
        <f>D4309/D4108*100</f>
        <v>5.3158178558544309</v>
      </c>
      <c r="F4309" s="4458"/>
      <c r="G4309" s="3046"/>
      <c r="H4309" s="3457"/>
      <c r="I4309" s="898"/>
      <c r="J4309" s="3161"/>
      <c r="K4309" s="896"/>
      <c r="L4309" s="2685"/>
      <c r="M4309" s="898"/>
      <c r="N4309" s="2768"/>
    </row>
    <row r="4310" spans="1:16" ht="14.25" hidden="1" customHeight="1" x14ac:dyDescent="0.25">
      <c r="B4310" s="441"/>
      <c r="C4310" s="2475"/>
      <c r="D4310" s="2769"/>
      <c r="E4310" s="2840"/>
      <c r="F4310" s="4459"/>
      <c r="G4310" s="3462"/>
      <c r="H4310" s="3190"/>
      <c r="I4310" s="2755"/>
      <c r="J4310" s="3170"/>
      <c r="K4310" s="2769"/>
      <c r="L4310" s="2830"/>
      <c r="M4310" s="2755"/>
      <c r="N4310" s="2877"/>
    </row>
    <row r="4311" spans="1:16" ht="19.5" hidden="1" customHeight="1" x14ac:dyDescent="0.25">
      <c r="B4311" s="440"/>
      <c r="C4311" s="2471" t="s">
        <v>3357</v>
      </c>
      <c r="D4311" s="2744">
        <f>SUM(D4312+D4318+D4322+D4325)</f>
        <v>2745734000</v>
      </c>
      <c r="E4311" s="2786">
        <f>D4311/D4108*100</f>
        <v>2.6579089279272154</v>
      </c>
      <c r="F4311" s="3886"/>
      <c r="G4311" s="3453"/>
      <c r="H4311" s="3454"/>
      <c r="I4311" s="2744"/>
      <c r="J4311" s="3181"/>
      <c r="K4311" s="2744"/>
      <c r="L4311" s="2719"/>
      <c r="M4311" s="2744"/>
      <c r="N4311" s="2773"/>
    </row>
    <row r="4312" spans="1:16" ht="14.25" hidden="1" customHeight="1" x14ac:dyDescent="0.25">
      <c r="B4312" s="441"/>
      <c r="C4312" s="2478" t="s">
        <v>4893</v>
      </c>
      <c r="D4312" s="2751">
        <f>SUM(D4313:D4316)</f>
        <v>2095734000</v>
      </c>
      <c r="E4312" s="2873">
        <f>D4312/D4108*100</f>
        <v>2.0286998336913245</v>
      </c>
      <c r="F4312" s="3889"/>
      <c r="G4312" s="3463"/>
      <c r="H4312" s="3464"/>
      <c r="I4312" s="2751"/>
      <c r="J4312" s="3193"/>
      <c r="K4312" s="2751"/>
      <c r="L4312" s="2722"/>
      <c r="M4312" s="2751"/>
      <c r="N4312" s="2773"/>
    </row>
    <row r="4313" spans="1:16" ht="17.25" hidden="1" customHeight="1" x14ac:dyDescent="0.25">
      <c r="B4313" s="441"/>
      <c r="C4313" s="2476" t="s">
        <v>4894</v>
      </c>
      <c r="D4313" s="2709">
        <v>1500000000</v>
      </c>
      <c r="E4313" s="2818">
        <f>D4313/D4108*100</f>
        <v>1.4520209866982099</v>
      </c>
      <c r="F4313" s="4471"/>
      <c r="G4313" s="3458"/>
      <c r="H4313" s="3459"/>
      <c r="I4313" s="911"/>
      <c r="J4313" s="3174"/>
      <c r="K4313" s="2709"/>
      <c r="L4313" s="2708"/>
      <c r="M4313" s="911"/>
      <c r="N4313" s="2877"/>
    </row>
    <row r="4314" spans="1:16" ht="14.25" hidden="1" customHeight="1" x14ac:dyDescent="0.25">
      <c r="B4314" s="441"/>
      <c r="C4314" s="2476" t="s">
        <v>4895</v>
      </c>
      <c r="D4314" s="2709">
        <v>150000000</v>
      </c>
      <c r="E4314" s="2818">
        <f>D4314/D4108*100</f>
        <v>0.14520209866982101</v>
      </c>
      <c r="F4314" s="4471"/>
      <c r="G4314" s="3458"/>
      <c r="H4314" s="3459"/>
      <c r="I4314" s="911"/>
      <c r="J4314" s="3174"/>
      <c r="K4314" s="2709"/>
      <c r="L4314" s="2708"/>
      <c r="M4314" s="911"/>
      <c r="N4314" s="2877"/>
    </row>
    <row r="4315" spans="1:16" ht="21" hidden="1" customHeight="1" x14ac:dyDescent="0.25">
      <c r="B4315" s="441"/>
      <c r="C4315" s="2476" t="s">
        <v>4896</v>
      </c>
      <c r="D4315" s="2709">
        <v>145734000</v>
      </c>
      <c r="E4315" s="2818">
        <f>D4315/D4108*100</f>
        <v>0.14107255098365129</v>
      </c>
      <c r="F4315" s="4471"/>
      <c r="G4315" s="3458"/>
      <c r="H4315" s="3459"/>
      <c r="I4315" s="911"/>
      <c r="J4315" s="3174"/>
      <c r="K4315" s="2709"/>
      <c r="L4315" s="2708"/>
      <c r="M4315" s="911"/>
      <c r="N4315" s="2877"/>
    </row>
    <row r="4316" spans="1:16" ht="28.5" hidden="1" customHeight="1" x14ac:dyDescent="0.25">
      <c r="B4316" s="441"/>
      <c r="C4316" s="2476" t="s">
        <v>4897</v>
      </c>
      <c r="D4316" s="2709">
        <v>300000000</v>
      </c>
      <c r="E4316" s="2818">
        <f>D4316/D4108*100</f>
        <v>0.29040419733964201</v>
      </c>
      <c r="F4316" s="4471"/>
      <c r="G4316" s="3458"/>
      <c r="H4316" s="3459"/>
      <c r="I4316" s="911"/>
      <c r="J4316" s="3174"/>
      <c r="K4316" s="2709"/>
      <c r="L4316" s="2708"/>
      <c r="M4316" s="911"/>
      <c r="N4316" s="2877"/>
    </row>
    <row r="4317" spans="1:16" ht="10.5" hidden="1" customHeight="1" x14ac:dyDescent="0.25">
      <c r="B4317" s="441"/>
      <c r="C4317" s="2476"/>
      <c r="D4317" s="2709"/>
      <c r="E4317" s="2818"/>
      <c r="F4317" s="4471"/>
      <c r="G4317" s="3458"/>
      <c r="H4317" s="3459"/>
      <c r="I4317" s="911"/>
      <c r="J4317" s="3174"/>
      <c r="K4317" s="2709"/>
      <c r="L4317" s="2708"/>
      <c r="M4317" s="911"/>
      <c r="N4317" s="2877"/>
    </row>
    <row r="4318" spans="1:16" s="32" customFormat="1" ht="20.25" hidden="1" customHeight="1" x14ac:dyDescent="0.25">
      <c r="A4318" s="1"/>
      <c r="B4318" s="441"/>
      <c r="C4318" s="2477" t="s">
        <v>4898</v>
      </c>
      <c r="D4318" s="2767">
        <f>SUM(D4319:D4320)</f>
        <v>200000000</v>
      </c>
      <c r="E4318" s="2873">
        <f>D4318/D4108*100</f>
        <v>0.19360279822642801</v>
      </c>
      <c r="F4318" s="3881"/>
      <c r="G4318" s="3113"/>
      <c r="H4318" s="3461"/>
      <c r="I4318" s="2767"/>
      <c r="J4318" s="3167"/>
      <c r="K4318" s="2767"/>
      <c r="L4318" s="2934"/>
      <c r="M4318" s="2767"/>
      <c r="N4318" s="2773"/>
      <c r="P4318" s="630"/>
    </row>
    <row r="4319" spans="1:16" ht="28.5" hidden="1" customHeight="1" x14ac:dyDescent="0.25">
      <c r="B4319" s="441"/>
      <c r="C4319" s="2476" t="s">
        <v>4899</v>
      </c>
      <c r="D4319" s="2709">
        <v>150000000</v>
      </c>
      <c r="E4319" s="2818">
        <f>D4319/D4108*100</f>
        <v>0.14520209866982101</v>
      </c>
      <c r="F4319" s="4471"/>
      <c r="G4319" s="3458"/>
      <c r="H4319" s="3459"/>
      <c r="I4319" s="911"/>
      <c r="J4319" s="3174"/>
      <c r="K4319" s="2709"/>
      <c r="L4319" s="2708"/>
      <c r="M4319" s="911"/>
      <c r="N4319" s="2877"/>
    </row>
    <row r="4320" spans="1:16" ht="19.5" hidden="1" customHeight="1" x14ac:dyDescent="0.25">
      <c r="B4320" s="441"/>
      <c r="C4320" s="2476" t="s">
        <v>4900</v>
      </c>
      <c r="D4320" s="2709">
        <v>50000000</v>
      </c>
      <c r="E4320" s="2818">
        <f>D4320/D4108*100</f>
        <v>4.8400699556607002E-2</v>
      </c>
      <c r="F4320" s="4471"/>
      <c r="G4320" s="3458"/>
      <c r="H4320" s="3459"/>
      <c r="I4320" s="911"/>
      <c r="J4320" s="3174"/>
      <c r="K4320" s="2709"/>
      <c r="L4320" s="2708"/>
      <c r="M4320" s="911"/>
      <c r="N4320" s="2877"/>
    </row>
    <row r="4321" spans="1:16" ht="10.5" hidden="1" customHeight="1" x14ac:dyDescent="0.25">
      <c r="B4321" s="441"/>
      <c r="C4321" s="2476"/>
      <c r="D4321" s="2709"/>
      <c r="E4321" s="2818"/>
      <c r="F4321" s="4471"/>
      <c r="G4321" s="3458"/>
      <c r="H4321" s="3459"/>
      <c r="I4321" s="911"/>
      <c r="J4321" s="3174"/>
      <c r="K4321" s="2709"/>
      <c r="L4321" s="2708"/>
      <c r="M4321" s="911"/>
      <c r="N4321" s="2877"/>
    </row>
    <row r="4322" spans="1:16" s="32" customFormat="1" ht="16.5" hidden="1" customHeight="1" x14ac:dyDescent="0.25">
      <c r="A4322" s="1"/>
      <c r="B4322" s="441"/>
      <c r="C4322" s="2477" t="s">
        <v>4901</v>
      </c>
      <c r="D4322" s="2767">
        <f>D4323</f>
        <v>50000000</v>
      </c>
      <c r="E4322" s="2873">
        <f>D4322/D4108*100</f>
        <v>4.8400699556607002E-2</v>
      </c>
      <c r="F4322" s="3881"/>
      <c r="G4322" s="3113"/>
      <c r="H4322" s="3461"/>
      <c r="I4322" s="2767"/>
      <c r="J4322" s="3167"/>
      <c r="K4322" s="2767"/>
      <c r="L4322" s="2934"/>
      <c r="M4322" s="2767"/>
      <c r="N4322" s="2773"/>
      <c r="P4322" s="630"/>
    </row>
    <row r="4323" spans="1:16" ht="16.5" hidden="1" customHeight="1" x14ac:dyDescent="0.25">
      <c r="B4323" s="441"/>
      <c r="C4323" s="2476" t="s">
        <v>4902</v>
      </c>
      <c r="D4323" s="2709">
        <v>50000000</v>
      </c>
      <c r="E4323" s="2818">
        <f>D4323/D4108*100</f>
        <v>4.8400699556607002E-2</v>
      </c>
      <c r="F4323" s="4471"/>
      <c r="G4323" s="3458"/>
      <c r="H4323" s="3459"/>
      <c r="I4323" s="911"/>
      <c r="J4323" s="3174"/>
      <c r="K4323" s="2709"/>
      <c r="L4323" s="2708"/>
      <c r="M4323" s="911"/>
      <c r="N4323" s="2877"/>
    </row>
    <row r="4324" spans="1:16" ht="11.25" hidden="1" customHeight="1" x14ac:dyDescent="0.25">
      <c r="B4324" s="441"/>
      <c r="C4324" s="2476"/>
      <c r="D4324" s="2709"/>
      <c r="E4324" s="2818"/>
      <c r="F4324" s="4471"/>
      <c r="G4324" s="3458"/>
      <c r="H4324" s="3459"/>
      <c r="I4324" s="911"/>
      <c r="J4324" s="3174"/>
      <c r="K4324" s="2709"/>
      <c r="L4324" s="2708"/>
      <c r="M4324" s="911"/>
      <c r="N4324" s="2877"/>
    </row>
    <row r="4325" spans="1:16" s="32" customFormat="1" ht="15.75" hidden="1" customHeight="1" x14ac:dyDescent="0.25">
      <c r="A4325" s="1"/>
      <c r="B4325" s="441"/>
      <c r="C4325" s="2477" t="s">
        <v>4903</v>
      </c>
      <c r="D4325" s="2767">
        <f>D4326</f>
        <v>400000000</v>
      </c>
      <c r="E4325" s="2873">
        <f>D4325/D4108*100</f>
        <v>0.38720559645285602</v>
      </c>
      <c r="F4325" s="3881"/>
      <c r="G4325" s="3113"/>
      <c r="H4325" s="3461"/>
      <c r="I4325" s="2767"/>
      <c r="J4325" s="3167"/>
      <c r="K4325" s="2767"/>
      <c r="L4325" s="2934"/>
      <c r="M4325" s="2767"/>
      <c r="N4325" s="2773"/>
      <c r="P4325" s="630"/>
    </row>
    <row r="4326" spans="1:16" ht="14.25" hidden="1" customHeight="1" x14ac:dyDescent="0.25">
      <c r="B4326" s="441"/>
      <c r="C4326" s="2476" t="s">
        <v>4904</v>
      </c>
      <c r="D4326" s="2709">
        <v>400000000</v>
      </c>
      <c r="E4326" s="2818">
        <f>D4326/D4108*100</f>
        <v>0.38720559645285602</v>
      </c>
      <c r="F4326" s="4471"/>
      <c r="G4326" s="3458"/>
      <c r="H4326" s="3459"/>
      <c r="I4326" s="911"/>
      <c r="J4326" s="3174"/>
      <c r="K4326" s="2709"/>
      <c r="L4326" s="2708"/>
      <c r="M4326" s="911"/>
      <c r="N4326" s="2877"/>
    </row>
    <row r="4327" spans="1:16" ht="14.25" hidden="1" customHeight="1" x14ac:dyDescent="0.25">
      <c r="B4327" s="441"/>
      <c r="C4327" s="2476"/>
      <c r="D4327" s="2709"/>
      <c r="E4327" s="2818"/>
      <c r="F4327" s="4471"/>
      <c r="G4327" s="3458"/>
      <c r="H4327" s="3459"/>
      <c r="I4327" s="911"/>
      <c r="J4327" s="3174"/>
      <c r="K4327" s="2709"/>
      <c r="L4327" s="2708"/>
      <c r="M4327" s="911"/>
      <c r="N4327" s="2877"/>
    </row>
    <row r="4328" spans="1:16" s="32" customFormat="1" ht="19.5" hidden="1" customHeight="1" x14ac:dyDescent="0.25">
      <c r="A4328" s="1"/>
      <c r="B4328" s="440"/>
      <c r="C4328" s="2471" t="s">
        <v>339</v>
      </c>
      <c r="D4328" s="2744">
        <f>SUM(D4329+D4336+D4339)</f>
        <v>2745734000</v>
      </c>
      <c r="E4328" s="2786">
        <f>D4328/D4108*100</f>
        <v>2.6579089279272154</v>
      </c>
      <c r="F4328" s="3886"/>
      <c r="G4328" s="3453"/>
      <c r="H4328" s="3454"/>
      <c r="I4328" s="2744"/>
      <c r="J4328" s="3181"/>
      <c r="K4328" s="2744"/>
      <c r="L4328" s="2719"/>
      <c r="M4328" s="2744"/>
      <c r="N4328" s="2773"/>
      <c r="P4328" s="630"/>
    </row>
    <row r="4329" spans="1:16" s="32" customFormat="1" ht="18" hidden="1" customHeight="1" x14ac:dyDescent="0.25">
      <c r="A4329" s="1"/>
      <c r="B4329" s="441"/>
      <c r="C4329" s="2478" t="s">
        <v>3362</v>
      </c>
      <c r="D4329" s="2751">
        <f>SUM(D4330:D4334)</f>
        <v>2315734000</v>
      </c>
      <c r="E4329" s="2873">
        <f>D4329/D4108*100</f>
        <v>2.241662911740395</v>
      </c>
      <c r="F4329" s="3889"/>
      <c r="G4329" s="3463"/>
      <c r="H4329" s="3464"/>
      <c r="I4329" s="2751"/>
      <c r="J4329" s="3193"/>
      <c r="K4329" s="2751"/>
      <c r="L4329" s="2722"/>
      <c r="M4329" s="2751"/>
      <c r="N4329" s="2773"/>
      <c r="P4329" s="630"/>
    </row>
    <row r="4330" spans="1:16" s="196" customFormat="1" ht="17.25" hidden="1" customHeight="1" x14ac:dyDescent="0.25">
      <c r="A4330" s="12"/>
      <c r="B4330" s="442"/>
      <c r="C4330" s="2476" t="s">
        <v>4905</v>
      </c>
      <c r="D4330" s="2709">
        <v>615634000</v>
      </c>
      <c r="E4330" s="2818">
        <f>D4330/D4108*100</f>
        <v>0.59594232541664394</v>
      </c>
      <c r="F4330" s="4471"/>
      <c r="G4330" s="3105"/>
      <c r="H4330" s="3465"/>
      <c r="I4330" s="2709"/>
      <c r="J4330" s="3174"/>
      <c r="K4330" s="2709"/>
      <c r="L4330" s="2708"/>
      <c r="M4330" s="2709"/>
      <c r="N4330" s="3466"/>
      <c r="P4330" s="631"/>
    </row>
    <row r="4331" spans="1:16" s="196" customFormat="1" ht="17.25" hidden="1" customHeight="1" x14ac:dyDescent="0.25">
      <c r="A4331" s="12"/>
      <c r="B4331" s="442"/>
      <c r="C4331" s="2476" t="s">
        <v>4906</v>
      </c>
      <c r="D4331" s="2709">
        <v>500000000</v>
      </c>
      <c r="E4331" s="2818">
        <f>D4331/D4108*100</f>
        <v>0.48400699556606996</v>
      </c>
      <c r="F4331" s="4471"/>
      <c r="G4331" s="3105"/>
      <c r="H4331" s="3465"/>
      <c r="I4331" s="2709"/>
      <c r="J4331" s="3174"/>
      <c r="K4331" s="2709"/>
      <c r="L4331" s="2708"/>
      <c r="M4331" s="2709"/>
      <c r="N4331" s="3466"/>
      <c r="P4331" s="631"/>
    </row>
    <row r="4332" spans="1:16" s="196" customFormat="1" ht="16.5" hidden="1" customHeight="1" x14ac:dyDescent="0.25">
      <c r="A4332" s="12"/>
      <c r="B4332" s="442"/>
      <c r="C4332" s="2476" t="s">
        <v>4907</v>
      </c>
      <c r="D4332" s="2709">
        <v>200000000</v>
      </c>
      <c r="E4332" s="2818">
        <f>D4332/D4108*100</f>
        <v>0.19360279822642801</v>
      </c>
      <c r="F4332" s="4471"/>
      <c r="G4332" s="3105"/>
      <c r="H4332" s="3465"/>
      <c r="I4332" s="2709"/>
      <c r="J4332" s="3174"/>
      <c r="K4332" s="2709"/>
      <c r="L4332" s="2708"/>
      <c r="M4332" s="2709"/>
      <c r="N4332" s="3466"/>
      <c r="P4332" s="631"/>
    </row>
    <row r="4333" spans="1:16" s="196" customFormat="1" ht="27.75" hidden="1" customHeight="1" x14ac:dyDescent="0.25">
      <c r="A4333" s="12"/>
      <c r="B4333" s="442"/>
      <c r="C4333" s="2476" t="s">
        <v>4908</v>
      </c>
      <c r="D4333" s="2709">
        <v>700100000</v>
      </c>
      <c r="E4333" s="2818">
        <f>D4333/D4108*100</f>
        <v>0.67770659519161125</v>
      </c>
      <c r="F4333" s="4471"/>
      <c r="G4333" s="3105"/>
      <c r="H4333" s="3465"/>
      <c r="I4333" s="2709"/>
      <c r="J4333" s="3174"/>
      <c r="K4333" s="2709"/>
      <c r="L4333" s="2708"/>
      <c r="M4333" s="2709"/>
      <c r="N4333" s="3466"/>
      <c r="P4333" s="631"/>
    </row>
    <row r="4334" spans="1:16" s="196" customFormat="1" ht="19.5" hidden="1" customHeight="1" x14ac:dyDescent="0.25">
      <c r="A4334" s="12"/>
      <c r="B4334" s="442"/>
      <c r="C4334" s="2476" t="s">
        <v>4909</v>
      </c>
      <c r="D4334" s="2709">
        <v>300000000</v>
      </c>
      <c r="E4334" s="2818">
        <f>D4334/D4108*100</f>
        <v>0.29040419733964201</v>
      </c>
      <c r="F4334" s="4471"/>
      <c r="G4334" s="3105"/>
      <c r="H4334" s="3465"/>
      <c r="I4334" s="2709"/>
      <c r="J4334" s="3174"/>
      <c r="K4334" s="2709"/>
      <c r="L4334" s="2708"/>
      <c r="M4334" s="2709"/>
      <c r="N4334" s="3466"/>
      <c r="P4334" s="631"/>
    </row>
    <row r="4335" spans="1:16" s="196" customFormat="1" ht="10.5" hidden="1" customHeight="1" x14ac:dyDescent="0.25">
      <c r="A4335" s="12"/>
      <c r="B4335" s="442"/>
      <c r="C4335" s="2476"/>
      <c r="D4335" s="2709"/>
      <c r="E4335" s="2818"/>
      <c r="F4335" s="4471"/>
      <c r="G4335" s="3105"/>
      <c r="H4335" s="3465"/>
      <c r="I4335" s="2709"/>
      <c r="J4335" s="3174"/>
      <c r="K4335" s="2709"/>
      <c r="L4335" s="2708"/>
      <c r="M4335" s="2709"/>
      <c r="N4335" s="3466"/>
      <c r="P4335" s="631"/>
    </row>
    <row r="4336" spans="1:16" s="32" customFormat="1" ht="18.75" hidden="1" customHeight="1" x14ac:dyDescent="0.25">
      <c r="A4336" s="1"/>
      <c r="B4336" s="441"/>
      <c r="C4336" s="2477" t="s">
        <v>4910</v>
      </c>
      <c r="D4336" s="2767">
        <f>D4337</f>
        <v>300000000</v>
      </c>
      <c r="E4336" s="2873">
        <f>D4336/D4108*100</f>
        <v>0.29040419733964201</v>
      </c>
      <c r="F4336" s="3881"/>
      <c r="G4336" s="3113"/>
      <c r="H4336" s="3461"/>
      <c r="I4336" s="2767"/>
      <c r="J4336" s="3167"/>
      <c r="K4336" s="2767"/>
      <c r="L4336" s="2934"/>
      <c r="M4336" s="2767"/>
      <c r="N4336" s="2773"/>
      <c r="P4336" s="630"/>
    </row>
    <row r="4337" spans="1:16" s="196" customFormat="1" ht="18" hidden="1" customHeight="1" x14ac:dyDescent="0.25">
      <c r="A4337" s="12"/>
      <c r="B4337" s="442"/>
      <c r="C4337" s="2476" t="s">
        <v>4911</v>
      </c>
      <c r="D4337" s="2709">
        <v>300000000</v>
      </c>
      <c r="E4337" s="2818">
        <f>D4337/D4108*100</f>
        <v>0.29040419733964201</v>
      </c>
      <c r="F4337" s="4471"/>
      <c r="G4337" s="3105"/>
      <c r="H4337" s="3465"/>
      <c r="I4337" s="2709"/>
      <c r="J4337" s="3174"/>
      <c r="K4337" s="2709"/>
      <c r="L4337" s="2708"/>
      <c r="M4337" s="2709"/>
      <c r="N4337" s="3466"/>
      <c r="P4337" s="631"/>
    </row>
    <row r="4338" spans="1:16" s="32" customFormat="1" ht="10.5" hidden="1" customHeight="1" x14ac:dyDescent="0.25">
      <c r="A4338" s="1"/>
      <c r="B4338" s="441"/>
      <c r="C4338" s="2477"/>
      <c r="D4338" s="2767"/>
      <c r="E4338" s="2818"/>
      <c r="F4338" s="3881"/>
      <c r="G4338" s="3113"/>
      <c r="H4338" s="3461"/>
      <c r="I4338" s="2767"/>
      <c r="J4338" s="3167"/>
      <c r="K4338" s="2767"/>
      <c r="L4338" s="2934"/>
      <c r="M4338" s="2767"/>
      <c r="N4338" s="2773"/>
      <c r="P4338" s="630"/>
    </row>
    <row r="4339" spans="1:16" s="32" customFormat="1" ht="18.75" hidden="1" customHeight="1" x14ac:dyDescent="0.25">
      <c r="A4339" s="1"/>
      <c r="B4339" s="441"/>
      <c r="C4339" s="2477" t="s">
        <v>4912</v>
      </c>
      <c r="D4339" s="2767">
        <f>D4340</f>
        <v>130000000</v>
      </c>
      <c r="E4339" s="2873">
        <f>D4339/D4108*100</f>
        <v>0.12584181884717818</v>
      </c>
      <c r="F4339" s="3881"/>
      <c r="G4339" s="3113"/>
      <c r="H4339" s="3461"/>
      <c r="I4339" s="2767"/>
      <c r="J4339" s="3167"/>
      <c r="K4339" s="2767"/>
      <c r="L4339" s="2934"/>
      <c r="M4339" s="2767"/>
      <c r="N4339" s="2773"/>
      <c r="P4339" s="630"/>
    </row>
    <row r="4340" spans="1:16" s="196" customFormat="1" ht="18" hidden="1" customHeight="1" x14ac:dyDescent="0.25">
      <c r="A4340" s="12"/>
      <c r="B4340" s="442"/>
      <c r="C4340" s="2476" t="s">
        <v>4913</v>
      </c>
      <c r="D4340" s="2709">
        <v>130000000</v>
      </c>
      <c r="E4340" s="2818">
        <f>D4340/D4108*100</f>
        <v>0.12584181884717818</v>
      </c>
      <c r="F4340" s="4471"/>
      <c r="G4340" s="3105"/>
      <c r="H4340" s="3465"/>
      <c r="I4340" s="2709"/>
      <c r="J4340" s="3174"/>
      <c r="K4340" s="2709"/>
      <c r="L4340" s="2708"/>
      <c r="M4340" s="2709"/>
      <c r="N4340" s="3466"/>
      <c r="P4340" s="631"/>
    </row>
    <row r="4341" spans="1:16" s="32" customFormat="1" ht="14.25" hidden="1" customHeight="1" x14ac:dyDescent="0.25">
      <c r="A4341" s="1"/>
      <c r="B4341" s="441"/>
      <c r="C4341" s="2477"/>
      <c r="D4341" s="2767"/>
      <c r="E4341" s="2873"/>
      <c r="F4341" s="3881"/>
      <c r="G4341" s="3113"/>
      <c r="H4341" s="3461"/>
      <c r="I4341" s="2767"/>
      <c r="J4341" s="3167"/>
      <c r="K4341" s="2767"/>
      <c r="L4341" s="2934"/>
      <c r="M4341" s="2767"/>
      <c r="N4341" s="2773"/>
      <c r="P4341" s="630"/>
    </row>
    <row r="4342" spans="1:16" s="32" customFormat="1" ht="17.25" hidden="1" customHeight="1" x14ac:dyDescent="0.25">
      <c r="A4342" s="1"/>
      <c r="B4342" s="440"/>
      <c r="C4342" s="2471" t="s">
        <v>3376</v>
      </c>
      <c r="D4342" s="2744">
        <f>SUM(D4343+D4348)</f>
        <v>2745734000</v>
      </c>
      <c r="E4342" s="2786">
        <f>D4342/D4108*100</f>
        <v>2.6579089279272154</v>
      </c>
      <c r="F4342" s="3886"/>
      <c r="G4342" s="3453"/>
      <c r="H4342" s="3454"/>
      <c r="I4342" s="2744"/>
      <c r="J4342" s="3181"/>
      <c r="K4342" s="2744"/>
      <c r="L4342" s="2719"/>
      <c r="M4342" s="2744"/>
      <c r="N4342" s="2773"/>
      <c r="P4342" s="630"/>
    </row>
    <row r="4343" spans="1:16" s="32" customFormat="1" ht="18" hidden="1" customHeight="1" x14ac:dyDescent="0.25">
      <c r="A4343" s="1"/>
      <c r="B4343" s="441"/>
      <c r="C4343" s="2478" t="s">
        <v>4914</v>
      </c>
      <c r="D4343" s="2751">
        <f>SUM(D4344:D4346)</f>
        <v>2395960620</v>
      </c>
      <c r="E4343" s="2873">
        <f>D4343/D4108*100</f>
        <v>2.3193234023616367</v>
      </c>
      <c r="F4343" s="3889"/>
      <c r="G4343" s="3463"/>
      <c r="H4343" s="3464"/>
      <c r="I4343" s="2751"/>
      <c r="J4343" s="3193"/>
      <c r="K4343" s="2751"/>
      <c r="L4343" s="2722"/>
      <c r="M4343" s="2751"/>
      <c r="N4343" s="2773"/>
      <c r="P4343" s="630"/>
    </row>
    <row r="4344" spans="1:16" s="196" customFormat="1" ht="15.75" hidden="1" customHeight="1" x14ac:dyDescent="0.25">
      <c r="A4344" s="12"/>
      <c r="B4344" s="442"/>
      <c r="C4344" s="2476" t="s">
        <v>4915</v>
      </c>
      <c r="D4344" s="2709">
        <v>411584750</v>
      </c>
      <c r="E4344" s="2818">
        <f>D4344/D4108*100</f>
        <v>0.39841979653662402</v>
      </c>
      <c r="F4344" s="4471"/>
      <c r="G4344" s="3105"/>
      <c r="H4344" s="3465"/>
      <c r="I4344" s="2709"/>
      <c r="J4344" s="3174"/>
      <c r="K4344" s="2709"/>
      <c r="L4344" s="2708"/>
      <c r="M4344" s="2709"/>
      <c r="N4344" s="3466"/>
      <c r="P4344" s="631"/>
    </row>
    <row r="4345" spans="1:16" s="196" customFormat="1" ht="18" hidden="1" customHeight="1" x14ac:dyDescent="0.25">
      <c r="A4345" s="12"/>
      <c r="B4345" s="442"/>
      <c r="C4345" s="2476" t="s">
        <v>4916</v>
      </c>
      <c r="D4345" s="2709">
        <v>968516315</v>
      </c>
      <c r="E4345" s="2818">
        <f>D4345/D4108*100</f>
        <v>0.93753734355974294</v>
      </c>
      <c r="F4345" s="4471"/>
      <c r="G4345" s="3105"/>
      <c r="H4345" s="3465"/>
      <c r="I4345" s="2709"/>
      <c r="J4345" s="3174"/>
      <c r="K4345" s="2709"/>
      <c r="L4345" s="2708"/>
      <c r="M4345" s="2709"/>
      <c r="N4345" s="3466"/>
      <c r="P4345" s="631"/>
    </row>
    <row r="4346" spans="1:16" s="196" customFormat="1" ht="15" hidden="1" customHeight="1" x14ac:dyDescent="0.25">
      <c r="A4346" s="12"/>
      <c r="B4346" s="442"/>
      <c r="C4346" s="2476" t="s">
        <v>4917</v>
      </c>
      <c r="D4346" s="2709">
        <v>1015859555</v>
      </c>
      <c r="E4346" s="2818">
        <f>D4346/D4108*100</f>
        <v>0.98336626226526969</v>
      </c>
      <c r="F4346" s="4471"/>
      <c r="G4346" s="3105"/>
      <c r="H4346" s="3465"/>
      <c r="I4346" s="2709"/>
      <c r="J4346" s="3174"/>
      <c r="K4346" s="2709"/>
      <c r="L4346" s="2708"/>
      <c r="M4346" s="2709"/>
      <c r="N4346" s="3466"/>
      <c r="P4346" s="631"/>
    </row>
    <row r="4347" spans="1:16" s="32" customFormat="1" ht="11.25" hidden="1" customHeight="1" x14ac:dyDescent="0.25">
      <c r="A4347" s="1"/>
      <c r="B4347" s="441"/>
      <c r="C4347" s="2477"/>
      <c r="D4347" s="2767"/>
      <c r="E4347" s="2818"/>
      <c r="F4347" s="3881"/>
      <c r="G4347" s="3113"/>
      <c r="H4347" s="3461"/>
      <c r="I4347" s="2767"/>
      <c r="J4347" s="3167"/>
      <c r="K4347" s="2767"/>
      <c r="L4347" s="2934"/>
      <c r="M4347" s="2767"/>
      <c r="N4347" s="2773"/>
      <c r="P4347" s="630"/>
    </row>
    <row r="4348" spans="1:16" s="32" customFormat="1" ht="19.5" hidden="1" customHeight="1" x14ac:dyDescent="0.25">
      <c r="A4348" s="1"/>
      <c r="B4348" s="441"/>
      <c r="C4348" s="2477" t="s">
        <v>4918</v>
      </c>
      <c r="D4348" s="2767">
        <f>D4349</f>
        <v>349773380</v>
      </c>
      <c r="E4348" s="2873">
        <f>D4348/D4108*100</f>
        <v>0.33858552556557864</v>
      </c>
      <c r="F4348" s="3881"/>
      <c r="G4348" s="3113"/>
      <c r="H4348" s="3461"/>
      <c r="I4348" s="2767"/>
      <c r="J4348" s="3167"/>
      <c r="K4348" s="2767"/>
      <c r="L4348" s="2934"/>
      <c r="M4348" s="2767"/>
      <c r="N4348" s="2773"/>
      <c r="P4348" s="630"/>
    </row>
    <row r="4349" spans="1:16" s="196" customFormat="1" ht="15.75" hidden="1" customHeight="1" x14ac:dyDescent="0.25">
      <c r="A4349" s="12"/>
      <c r="B4349" s="442"/>
      <c r="C4349" s="2476" t="s">
        <v>4919</v>
      </c>
      <c r="D4349" s="2709">
        <v>349773380</v>
      </c>
      <c r="E4349" s="2818">
        <f>D4349/D4108*100</f>
        <v>0.33858552556557864</v>
      </c>
      <c r="F4349" s="4471"/>
      <c r="G4349" s="3105"/>
      <c r="H4349" s="3465"/>
      <c r="I4349" s="2709"/>
      <c r="J4349" s="3174"/>
      <c r="K4349" s="2709"/>
      <c r="L4349" s="2708"/>
      <c r="M4349" s="2709"/>
      <c r="N4349" s="3466"/>
      <c r="P4349" s="631"/>
    </row>
    <row r="4350" spans="1:16" s="32" customFormat="1" ht="14.25" hidden="1" customHeight="1" x14ac:dyDescent="0.25">
      <c r="A4350" s="1"/>
      <c r="B4350" s="441"/>
      <c r="C4350" s="2477"/>
      <c r="D4350" s="2767"/>
      <c r="E4350" s="2873"/>
      <c r="F4350" s="3881"/>
      <c r="G4350" s="3113"/>
      <c r="H4350" s="3461"/>
      <c r="I4350" s="2767"/>
      <c r="J4350" s="3167"/>
      <c r="K4350" s="2767"/>
      <c r="L4350" s="2934"/>
      <c r="M4350" s="2767"/>
      <c r="N4350" s="2773"/>
      <c r="P4350" s="630"/>
    </row>
    <row r="4351" spans="1:16" s="32" customFormat="1" ht="18.75" hidden="1" customHeight="1" x14ac:dyDescent="0.25">
      <c r="A4351" s="1"/>
      <c r="B4351" s="440"/>
      <c r="C4351" s="2471" t="s">
        <v>7848</v>
      </c>
      <c r="D4351" s="2744">
        <f>SUM(D4352+D4355)</f>
        <v>2745734000</v>
      </c>
      <c r="E4351" s="2786">
        <f>D4351/D4108*100</f>
        <v>2.6579089279272154</v>
      </c>
      <c r="F4351" s="3886"/>
      <c r="G4351" s="3453"/>
      <c r="H4351" s="3454"/>
      <c r="I4351" s="2744"/>
      <c r="J4351" s="3181"/>
      <c r="K4351" s="2744"/>
      <c r="L4351" s="2719"/>
      <c r="M4351" s="2744"/>
      <c r="N4351" s="2773"/>
      <c r="P4351" s="630"/>
    </row>
    <row r="4352" spans="1:16" s="32" customFormat="1" ht="30" hidden="1" customHeight="1" x14ac:dyDescent="0.25">
      <c r="A4352" s="1"/>
      <c r="B4352" s="441"/>
      <c r="C4352" s="2478" t="s">
        <v>4921</v>
      </c>
      <c r="D4352" s="2751">
        <f>D4353</f>
        <v>547300000</v>
      </c>
      <c r="E4352" s="2873">
        <f>D4352/D4108*100</f>
        <v>0.52979405734662022</v>
      </c>
      <c r="F4352" s="3889"/>
      <c r="G4352" s="3463"/>
      <c r="H4352" s="3464"/>
      <c r="I4352" s="2751"/>
      <c r="J4352" s="3193"/>
      <c r="K4352" s="2751"/>
      <c r="L4352" s="2722"/>
      <c r="M4352" s="2751"/>
      <c r="N4352" s="2773"/>
      <c r="P4352" s="630"/>
    </row>
    <row r="4353" spans="1:16" s="196" customFormat="1" ht="20.25" hidden="1" customHeight="1" x14ac:dyDescent="0.25">
      <c r="A4353" s="12"/>
      <c r="B4353" s="442"/>
      <c r="C4353" s="2476" t="s">
        <v>4922</v>
      </c>
      <c r="D4353" s="2709">
        <v>547300000</v>
      </c>
      <c r="E4353" s="2818">
        <f>D4353/D4108*100</f>
        <v>0.52979405734662022</v>
      </c>
      <c r="F4353" s="4471"/>
      <c r="G4353" s="3105"/>
      <c r="H4353" s="3465"/>
      <c r="I4353" s="2709"/>
      <c r="J4353" s="3174"/>
      <c r="K4353" s="2709"/>
      <c r="L4353" s="2708"/>
      <c r="M4353" s="2709"/>
      <c r="N4353" s="3466"/>
      <c r="P4353" s="631"/>
    </row>
    <row r="4354" spans="1:16" s="32" customFormat="1" ht="10.5" hidden="1" customHeight="1" x14ac:dyDescent="0.25">
      <c r="A4354" s="1"/>
      <c r="B4354" s="441"/>
      <c r="C4354" s="2477"/>
      <c r="D4354" s="2767"/>
      <c r="E4354" s="2818"/>
      <c r="F4354" s="3881"/>
      <c r="G4354" s="3113"/>
      <c r="H4354" s="3461"/>
      <c r="I4354" s="2767"/>
      <c r="J4354" s="3167"/>
      <c r="K4354" s="2767"/>
      <c r="L4354" s="2934"/>
      <c r="M4354" s="2767"/>
      <c r="N4354" s="2773"/>
      <c r="P4354" s="630"/>
    </row>
    <row r="4355" spans="1:16" s="32" customFormat="1" ht="28.5" hidden="1" customHeight="1" x14ac:dyDescent="0.25">
      <c r="A4355" s="1"/>
      <c r="B4355" s="441"/>
      <c r="C4355" s="2477" t="s">
        <v>4923</v>
      </c>
      <c r="D4355" s="2767">
        <f>SUM(D4356:D4358)</f>
        <v>2198434000</v>
      </c>
      <c r="E4355" s="2873">
        <f>D4355/D4108*100</f>
        <v>2.1281148705805952</v>
      </c>
      <c r="F4355" s="3881"/>
      <c r="G4355" s="3113"/>
      <c r="H4355" s="3461"/>
      <c r="I4355" s="2767"/>
      <c r="J4355" s="3167"/>
      <c r="K4355" s="2767"/>
      <c r="L4355" s="2934"/>
      <c r="M4355" s="2767"/>
      <c r="N4355" s="2773"/>
      <c r="P4355" s="630"/>
    </row>
    <row r="4356" spans="1:16" ht="18" hidden="1" customHeight="1" x14ac:dyDescent="0.25">
      <c r="B4356" s="441"/>
      <c r="C4356" s="2476" t="s">
        <v>4924</v>
      </c>
      <c r="D4356" s="2709">
        <v>437002000</v>
      </c>
      <c r="E4356" s="2818">
        <f>D4356/D4108*100</f>
        <v>0.42302405015272743</v>
      </c>
      <c r="F4356" s="4471"/>
      <c r="G4356" s="3458"/>
      <c r="H4356" s="3459"/>
      <c r="I4356" s="911"/>
      <c r="J4356" s="3174"/>
      <c r="K4356" s="2709"/>
      <c r="L4356" s="2708"/>
      <c r="M4356" s="911"/>
      <c r="N4356" s="2877"/>
    </row>
    <row r="4357" spans="1:16" ht="15" hidden="1" customHeight="1" x14ac:dyDescent="0.25">
      <c r="B4357" s="441"/>
      <c r="C4357" s="2476" t="s">
        <v>4925</v>
      </c>
      <c r="D4357" s="2709">
        <v>1154366000</v>
      </c>
      <c r="E4357" s="2818">
        <f>D4357/D4108*100</f>
        <v>1.1174424388872439</v>
      </c>
      <c r="F4357" s="4471"/>
      <c r="G4357" s="3458"/>
      <c r="H4357" s="3459"/>
      <c r="I4357" s="911"/>
      <c r="J4357" s="3174"/>
      <c r="K4357" s="2709"/>
      <c r="L4357" s="2708"/>
      <c r="M4357" s="911"/>
      <c r="N4357" s="2877"/>
    </row>
    <row r="4358" spans="1:16" ht="16.5" hidden="1" customHeight="1" x14ac:dyDescent="0.25">
      <c r="B4358" s="441"/>
      <c r="C4358" s="2476" t="s">
        <v>4926</v>
      </c>
      <c r="D4358" s="2709">
        <v>607066000</v>
      </c>
      <c r="E4358" s="2818">
        <f>D4358/D4108*100</f>
        <v>0.58764838154062371</v>
      </c>
      <c r="F4358" s="4471"/>
      <c r="G4358" s="3458"/>
      <c r="H4358" s="3459"/>
      <c r="I4358" s="911"/>
      <c r="J4358" s="3174"/>
      <c r="K4358" s="2709"/>
      <c r="L4358" s="2708"/>
      <c r="M4358" s="911"/>
      <c r="N4358" s="2877"/>
    </row>
    <row r="4359" spans="1:16" ht="12" hidden="1" customHeight="1" x14ac:dyDescent="0.25">
      <c r="B4359" s="441"/>
      <c r="C4359" s="2476"/>
      <c r="D4359" s="2709"/>
      <c r="E4359" s="2818"/>
      <c r="F4359" s="4471"/>
      <c r="G4359" s="3458"/>
      <c r="H4359" s="3459"/>
      <c r="I4359" s="911"/>
      <c r="J4359" s="3174"/>
      <c r="K4359" s="2709"/>
      <c r="L4359" s="2708"/>
      <c r="M4359" s="911"/>
      <c r="N4359" s="2877"/>
    </row>
    <row r="4360" spans="1:16" s="32" customFormat="1" ht="29.25" hidden="1" customHeight="1" x14ac:dyDescent="0.25">
      <c r="A4360" s="1"/>
      <c r="B4360" s="440"/>
      <c r="C4360" s="2471" t="s">
        <v>7849</v>
      </c>
      <c r="D4360" s="2744">
        <f>SUM(D4361+D4364+D4370+D4376)</f>
        <v>1372867000</v>
      </c>
      <c r="E4360" s="2786">
        <f>D4360/D4108*100</f>
        <v>1.3289544639636077</v>
      </c>
      <c r="F4360" s="3886"/>
      <c r="G4360" s="3453"/>
      <c r="H4360" s="3454"/>
      <c r="I4360" s="2744"/>
      <c r="J4360" s="3181"/>
      <c r="K4360" s="2744"/>
      <c r="L4360" s="2719"/>
      <c r="M4360" s="2744"/>
      <c r="N4360" s="2773"/>
      <c r="P4360" s="630"/>
    </row>
    <row r="4361" spans="1:16" s="32" customFormat="1" ht="18.75" hidden="1" customHeight="1" x14ac:dyDescent="0.25">
      <c r="A4361" s="1"/>
      <c r="B4361" s="441"/>
      <c r="C4361" s="2478" t="s">
        <v>4928</v>
      </c>
      <c r="D4361" s="2751">
        <f>D4362</f>
        <v>136600000</v>
      </c>
      <c r="E4361" s="2873">
        <f>D4361/D4108*100</f>
        <v>0.13223071118865032</v>
      </c>
      <c r="F4361" s="3889"/>
      <c r="G4361" s="3463"/>
      <c r="H4361" s="3464"/>
      <c r="I4361" s="2751"/>
      <c r="J4361" s="3193"/>
      <c r="K4361" s="2751"/>
      <c r="L4361" s="2722"/>
      <c r="M4361" s="2751"/>
      <c r="N4361" s="2773"/>
      <c r="P4361" s="630"/>
    </row>
    <row r="4362" spans="1:16" ht="17.25" hidden="1" customHeight="1" x14ac:dyDescent="0.25">
      <c r="B4362" s="441"/>
      <c r="C4362" s="2476" t="s">
        <v>4929</v>
      </c>
      <c r="D4362" s="2709">
        <v>136600000</v>
      </c>
      <c r="E4362" s="2818">
        <f>D4362/D4108*100</f>
        <v>0.13223071118865032</v>
      </c>
      <c r="F4362" s="4471"/>
      <c r="G4362" s="3458"/>
      <c r="H4362" s="3459"/>
      <c r="I4362" s="911"/>
      <c r="J4362" s="3174"/>
      <c r="K4362" s="2709"/>
      <c r="L4362" s="2708"/>
      <c r="M4362" s="911"/>
      <c r="N4362" s="2877"/>
    </row>
    <row r="4363" spans="1:16" ht="13.5" hidden="1" customHeight="1" x14ac:dyDescent="0.25">
      <c r="B4363" s="441"/>
      <c r="C4363" s="2476"/>
      <c r="D4363" s="2709"/>
      <c r="E4363" s="2873"/>
      <c r="F4363" s="4471"/>
      <c r="G4363" s="3458"/>
      <c r="H4363" s="3459"/>
      <c r="I4363" s="911"/>
      <c r="J4363" s="3174"/>
      <c r="K4363" s="2709"/>
      <c r="L4363" s="2708"/>
      <c r="M4363" s="911"/>
      <c r="N4363" s="2877"/>
    </row>
    <row r="4364" spans="1:16" s="32" customFormat="1" ht="30.75" hidden="1" customHeight="1" x14ac:dyDescent="0.25">
      <c r="A4364" s="1"/>
      <c r="B4364" s="441"/>
      <c r="C4364" s="2477" t="s">
        <v>4930</v>
      </c>
      <c r="D4364" s="2767">
        <f>SUM(D4365:D4368)</f>
        <v>53173100</v>
      </c>
      <c r="E4364" s="2873">
        <f>D4364/D4108*100</f>
        <v>5.147230475186839E-2</v>
      </c>
      <c r="F4364" s="3881"/>
      <c r="G4364" s="3113"/>
      <c r="H4364" s="3461"/>
      <c r="I4364" s="2767"/>
      <c r="J4364" s="3167"/>
      <c r="K4364" s="2767"/>
      <c r="L4364" s="2934"/>
      <c r="M4364" s="2767"/>
      <c r="N4364" s="2773"/>
      <c r="P4364" s="630"/>
    </row>
    <row r="4365" spans="1:16" ht="17.25" hidden="1" customHeight="1" x14ac:dyDescent="0.25">
      <c r="B4365" s="441"/>
      <c r="C4365" s="2476" t="s">
        <v>4931</v>
      </c>
      <c r="D4365" s="2709">
        <v>15707400</v>
      </c>
      <c r="E4365" s="2818">
        <f>D4365/D4108*100</f>
        <v>1.5204982964308977E-2</v>
      </c>
      <c r="F4365" s="4471"/>
      <c r="G4365" s="3458"/>
      <c r="H4365" s="3459"/>
      <c r="I4365" s="911"/>
      <c r="J4365" s="3174"/>
      <c r="K4365" s="2709"/>
      <c r="L4365" s="2708"/>
      <c r="M4365" s="911"/>
      <c r="N4365" s="2877"/>
    </row>
    <row r="4366" spans="1:16" ht="17.25" hidden="1" customHeight="1" x14ac:dyDescent="0.25">
      <c r="B4366" s="441"/>
      <c r="C4366" s="2476" t="s">
        <v>4933</v>
      </c>
      <c r="D4366" s="2709">
        <v>7507400</v>
      </c>
      <c r="E4366" s="2818">
        <f>D4366/D4108*100</f>
        <v>7.2672682370254283E-3</v>
      </c>
      <c r="F4366" s="4471"/>
      <c r="G4366" s="3458"/>
      <c r="H4366" s="3459"/>
      <c r="I4366" s="911"/>
      <c r="J4366" s="3174"/>
      <c r="K4366" s="2709"/>
      <c r="L4366" s="2708"/>
      <c r="M4366" s="911"/>
      <c r="N4366" s="2877"/>
    </row>
    <row r="4367" spans="1:16" ht="17.25" hidden="1" customHeight="1" x14ac:dyDescent="0.25">
      <c r="B4367" s="441"/>
      <c r="C4367" s="2476" t="s">
        <v>4932</v>
      </c>
      <c r="D4367" s="2709">
        <v>7507400</v>
      </c>
      <c r="E4367" s="2818">
        <f>D4367/D4108*100</f>
        <v>7.2672682370254283E-3</v>
      </c>
      <c r="F4367" s="4471"/>
      <c r="G4367" s="3458"/>
      <c r="H4367" s="3459"/>
      <c r="I4367" s="911"/>
      <c r="J4367" s="3174"/>
      <c r="K4367" s="2709"/>
      <c r="L4367" s="2708"/>
      <c r="M4367" s="911"/>
      <c r="N4367" s="2877"/>
    </row>
    <row r="4368" spans="1:16" ht="17.25" hidden="1" customHeight="1" x14ac:dyDescent="0.25">
      <c r="B4368" s="441"/>
      <c r="C4368" s="2476" t="s">
        <v>4934</v>
      </c>
      <c r="D4368" s="2709">
        <v>22450900</v>
      </c>
      <c r="E4368" s="2818">
        <f>D4368/D4108*100</f>
        <v>2.1732785313508564E-2</v>
      </c>
      <c r="F4368" s="4471"/>
      <c r="G4368" s="3458"/>
      <c r="H4368" s="3459"/>
      <c r="I4368" s="911"/>
      <c r="J4368" s="3174"/>
      <c r="K4368" s="2709"/>
      <c r="L4368" s="2708"/>
      <c r="M4368" s="911"/>
      <c r="N4368" s="2877"/>
    </row>
    <row r="4369" spans="1:16" ht="12.75" hidden="1" customHeight="1" x14ac:dyDescent="0.25">
      <c r="B4369" s="441"/>
      <c r="C4369" s="2476"/>
      <c r="D4369" s="2709"/>
      <c r="E4369" s="2818"/>
      <c r="F4369" s="4471"/>
      <c r="G4369" s="3458"/>
      <c r="H4369" s="3459"/>
      <c r="I4369" s="911"/>
      <c r="J4369" s="3174"/>
      <c r="K4369" s="2709"/>
      <c r="L4369" s="2708"/>
      <c r="M4369" s="911"/>
      <c r="N4369" s="2877"/>
    </row>
    <row r="4370" spans="1:16" s="32" customFormat="1" ht="17.25" hidden="1" customHeight="1" x14ac:dyDescent="0.25">
      <c r="A4370" s="1"/>
      <c r="B4370" s="441"/>
      <c r="C4370" s="2477" t="s">
        <v>4935</v>
      </c>
      <c r="D4370" s="2767">
        <f>SUM(D4371:D4374)</f>
        <v>989920550</v>
      </c>
      <c r="E4370" s="2820">
        <f>D4370/D4108*100</f>
        <v>0.95825694250922311</v>
      </c>
      <c r="F4370" s="3881"/>
      <c r="G4370" s="3113"/>
      <c r="H4370" s="3461"/>
      <c r="I4370" s="2767"/>
      <c r="J4370" s="3167"/>
      <c r="K4370" s="2767"/>
      <c r="L4370" s="2934"/>
      <c r="M4370" s="2767"/>
      <c r="N4370" s="2773"/>
      <c r="P4370" s="630"/>
    </row>
    <row r="4371" spans="1:16" ht="48.75" hidden="1" customHeight="1" x14ac:dyDescent="0.25">
      <c r="B4371" s="441"/>
      <c r="C4371" s="2476" t="s">
        <v>4936</v>
      </c>
      <c r="D4371" s="2709">
        <v>395644150</v>
      </c>
      <c r="E4371" s="2818">
        <f>D4371/D4108*100</f>
        <v>0.38298907270958304</v>
      </c>
      <c r="F4371" s="4471"/>
      <c r="G4371" s="3458"/>
      <c r="H4371" s="3459"/>
      <c r="I4371" s="911"/>
      <c r="J4371" s="3174"/>
      <c r="K4371" s="2709"/>
      <c r="L4371" s="2708"/>
      <c r="M4371" s="911"/>
      <c r="N4371" s="2877"/>
    </row>
    <row r="4372" spans="1:16" ht="17.25" hidden="1" customHeight="1" x14ac:dyDescent="0.25">
      <c r="B4372" s="441"/>
      <c r="C4372" s="2476" t="s">
        <v>4937</v>
      </c>
      <c r="D4372" s="2709">
        <v>173409050</v>
      </c>
      <c r="E4372" s="2818">
        <f>D4372/D4108*100</f>
        <v>0.16786238658893282</v>
      </c>
      <c r="F4372" s="4471"/>
      <c r="G4372" s="3458"/>
      <c r="H4372" s="3459"/>
      <c r="I4372" s="911"/>
      <c r="J4372" s="3174"/>
      <c r="K4372" s="2709"/>
      <c r="L4372" s="2708"/>
      <c r="M4372" s="911"/>
      <c r="N4372" s="2877"/>
    </row>
    <row r="4373" spans="1:16" ht="17.25" hidden="1" customHeight="1" x14ac:dyDescent="0.25">
      <c r="B4373" s="441"/>
      <c r="C4373" s="2476" t="s">
        <v>4938</v>
      </c>
      <c r="D4373" s="2709">
        <v>320867350</v>
      </c>
      <c r="E4373" s="2818">
        <f>D4373/D4108*100</f>
        <v>0.31060408409749324</v>
      </c>
      <c r="F4373" s="4471"/>
      <c r="G4373" s="3458"/>
      <c r="H4373" s="3459"/>
      <c r="I4373" s="911"/>
      <c r="J4373" s="3174"/>
      <c r="K4373" s="2709"/>
      <c r="L4373" s="2708"/>
      <c r="M4373" s="911"/>
      <c r="N4373" s="2877"/>
    </row>
    <row r="4374" spans="1:16" ht="17.25" hidden="1" customHeight="1" x14ac:dyDescent="0.25">
      <c r="B4374" s="441"/>
      <c r="C4374" s="2476" t="s">
        <v>4939</v>
      </c>
      <c r="D4374" s="2709">
        <v>100000000</v>
      </c>
      <c r="E4374" s="2818">
        <f>D4374/D4108*100</f>
        <v>9.6801399113214004E-2</v>
      </c>
      <c r="F4374" s="4471"/>
      <c r="G4374" s="3458"/>
      <c r="H4374" s="3459"/>
      <c r="I4374" s="911"/>
      <c r="J4374" s="3174"/>
      <c r="K4374" s="2709"/>
      <c r="L4374" s="2708"/>
      <c r="M4374" s="911"/>
      <c r="N4374" s="2877"/>
    </row>
    <row r="4375" spans="1:16" ht="11.25" hidden="1" customHeight="1" x14ac:dyDescent="0.25">
      <c r="B4375" s="441"/>
      <c r="C4375" s="2476"/>
      <c r="D4375" s="2709"/>
      <c r="E4375" s="2818"/>
      <c r="F4375" s="4471"/>
      <c r="G4375" s="3458"/>
      <c r="H4375" s="3459"/>
      <c r="I4375" s="911"/>
      <c r="J4375" s="3174"/>
      <c r="K4375" s="2709"/>
      <c r="L4375" s="2708"/>
      <c r="M4375" s="911"/>
      <c r="N4375" s="2877"/>
    </row>
    <row r="4376" spans="1:16" s="32" customFormat="1" ht="20.25" hidden="1" customHeight="1" x14ac:dyDescent="0.25">
      <c r="A4376" s="1"/>
      <c r="B4376" s="441"/>
      <c r="C4376" s="2477" t="s">
        <v>4940</v>
      </c>
      <c r="D4376" s="2767">
        <f>D4377</f>
        <v>193173350</v>
      </c>
      <c r="E4376" s="2873">
        <f>D4376/D4108*100</f>
        <v>0.18699450551386579</v>
      </c>
      <c r="F4376" s="3881"/>
      <c r="G4376" s="3113"/>
      <c r="H4376" s="3461"/>
      <c r="I4376" s="2767"/>
      <c r="J4376" s="3167"/>
      <c r="K4376" s="2767"/>
      <c r="L4376" s="2934"/>
      <c r="M4376" s="2767"/>
      <c r="N4376" s="2773"/>
      <c r="P4376" s="630"/>
    </row>
    <row r="4377" spans="1:16" ht="17.25" hidden="1" customHeight="1" x14ac:dyDescent="0.25">
      <c r="B4377" s="441"/>
      <c r="C4377" s="2476" t="s">
        <v>4941</v>
      </c>
      <c r="D4377" s="2709">
        <v>193173350</v>
      </c>
      <c r="E4377" s="2818">
        <f>D4377/D4108*100</f>
        <v>0.18699450551386579</v>
      </c>
      <c r="F4377" s="4471"/>
      <c r="G4377" s="3458"/>
      <c r="H4377" s="3459"/>
      <c r="I4377" s="911"/>
      <c r="J4377" s="3174"/>
      <c r="K4377" s="2709"/>
      <c r="L4377" s="2708"/>
      <c r="M4377" s="911"/>
      <c r="N4377" s="2877"/>
    </row>
    <row r="4378" spans="1:16" ht="14.25" hidden="1" customHeight="1" x14ac:dyDescent="0.25">
      <c r="B4378" s="441"/>
      <c r="C4378" s="2518"/>
      <c r="D4378" s="2894"/>
      <c r="E4378" s="2895"/>
      <c r="F4378" s="4461"/>
      <c r="G4378" s="3467"/>
      <c r="H4378" s="3468"/>
      <c r="I4378" s="3006"/>
      <c r="J4378" s="3195"/>
      <c r="K4378" s="2894"/>
      <c r="L4378" s="2911"/>
      <c r="M4378" s="3006"/>
      <c r="N4378" s="2877"/>
    </row>
    <row r="4379" spans="1:16" ht="20.25" hidden="1" customHeight="1" x14ac:dyDescent="0.25">
      <c r="B4379" s="440"/>
      <c r="C4379" s="2627" t="s">
        <v>7850</v>
      </c>
      <c r="D4379" s="2744">
        <f>SUM(D4380+D4387)</f>
        <v>9598341000</v>
      </c>
      <c r="E4379" s="2786">
        <f>D4379/D4108*100</f>
        <v>9.291328379657255</v>
      </c>
      <c r="F4379" s="3886"/>
      <c r="G4379" s="3453"/>
      <c r="H4379" s="3454"/>
      <c r="I4379" s="2744"/>
      <c r="J4379" s="3181"/>
      <c r="K4379" s="2744"/>
      <c r="L4379" s="2719"/>
      <c r="M4379" s="2744"/>
      <c r="N4379" s="2773"/>
    </row>
    <row r="4380" spans="1:16" ht="18" hidden="1" customHeight="1" x14ac:dyDescent="0.25">
      <c r="B4380" s="441"/>
      <c r="C4380" s="2478" t="s">
        <v>4943</v>
      </c>
      <c r="D4380" s="2751">
        <f>SUM(D4381+D4384)</f>
        <v>1372866000</v>
      </c>
      <c r="E4380" s="2813">
        <f>D4380/D4108*100</f>
        <v>1.3289534959496165</v>
      </c>
      <c r="F4380" s="3889"/>
      <c r="G4380" s="3463"/>
      <c r="H4380" s="3464"/>
      <c r="I4380" s="2751"/>
      <c r="J4380" s="3193"/>
      <c r="K4380" s="2751"/>
      <c r="L4380" s="2722"/>
      <c r="M4380" s="2751"/>
      <c r="N4380" s="2773"/>
    </row>
    <row r="4381" spans="1:16" ht="16.5" hidden="1" customHeight="1" x14ac:dyDescent="0.25">
      <c r="B4381" s="441"/>
      <c r="C4381" s="2474" t="s">
        <v>4944</v>
      </c>
      <c r="D4381" s="899">
        <f>D4382</f>
        <v>300000000</v>
      </c>
      <c r="E4381" s="2813">
        <f>D4381/D4108*100</f>
        <v>0.29040419733964201</v>
      </c>
      <c r="F4381" s="3879"/>
      <c r="G4381" s="3048"/>
      <c r="H4381" s="3460"/>
      <c r="I4381" s="899"/>
      <c r="J4381" s="3163"/>
      <c r="K4381" s="899"/>
      <c r="L4381" s="2679"/>
      <c r="M4381" s="899"/>
      <c r="N4381" s="2773"/>
    </row>
    <row r="4382" spans="1:16" ht="20.25" hidden="1" customHeight="1" x14ac:dyDescent="0.25">
      <c r="B4382" s="441"/>
      <c r="C4382" s="2473" t="s">
        <v>4945</v>
      </c>
      <c r="D4382" s="896">
        <v>300000000</v>
      </c>
      <c r="E4382" s="2810">
        <f>D4382/D4108*100</f>
        <v>0.29040419733964201</v>
      </c>
      <c r="F4382" s="4458"/>
      <c r="G4382" s="3046"/>
      <c r="H4382" s="3457"/>
      <c r="I4382" s="898"/>
      <c r="J4382" s="3161"/>
      <c r="K4382" s="896"/>
      <c r="L4382" s="2685"/>
      <c r="M4382" s="898"/>
      <c r="N4382" s="2877"/>
    </row>
    <row r="4383" spans="1:16" ht="8.25" hidden="1" customHeight="1" x14ac:dyDescent="0.25">
      <c r="B4383" s="441"/>
      <c r="C4383" s="2473"/>
      <c r="D4383" s="896"/>
      <c r="E4383" s="2810"/>
      <c r="F4383" s="4458"/>
      <c r="G4383" s="3046"/>
      <c r="H4383" s="3457"/>
      <c r="I4383" s="898"/>
      <c r="J4383" s="3161"/>
      <c r="K4383" s="896"/>
      <c r="L4383" s="2685"/>
      <c r="M4383" s="898"/>
      <c r="N4383" s="2877"/>
    </row>
    <row r="4384" spans="1:16" ht="30.75" hidden="1" customHeight="1" x14ac:dyDescent="0.25">
      <c r="B4384" s="441"/>
      <c r="C4384" s="2474" t="s">
        <v>4942</v>
      </c>
      <c r="D4384" s="899">
        <f>D4385</f>
        <v>1072866000</v>
      </c>
      <c r="E4384" s="2813">
        <f>D4384/D4108*100</f>
        <v>1.0385492986099745</v>
      </c>
      <c r="F4384" s="3879"/>
      <c r="G4384" s="3048"/>
      <c r="H4384" s="3460"/>
      <c r="I4384" s="899"/>
      <c r="J4384" s="3163"/>
      <c r="K4384" s="899"/>
      <c r="L4384" s="2679"/>
      <c r="M4384" s="899"/>
      <c r="N4384" s="2773"/>
    </row>
    <row r="4385" spans="2:16" ht="18" hidden="1" customHeight="1" x14ac:dyDescent="0.25">
      <c r="B4385" s="441"/>
      <c r="C4385" s="2473" t="s">
        <v>4946</v>
      </c>
      <c r="D4385" s="896">
        <v>1072866000</v>
      </c>
      <c r="E4385" s="2810">
        <f>D4385/D4108*100</f>
        <v>1.0385492986099745</v>
      </c>
      <c r="F4385" s="4458"/>
      <c r="G4385" s="3046"/>
      <c r="H4385" s="3457"/>
      <c r="I4385" s="898"/>
      <c r="J4385" s="3161"/>
      <c r="K4385" s="896"/>
      <c r="L4385" s="2685"/>
      <c r="M4385" s="898"/>
      <c r="N4385" s="2877"/>
    </row>
    <row r="4386" spans="2:16" ht="9" hidden="1" customHeight="1" x14ac:dyDescent="0.25">
      <c r="B4386" s="441"/>
      <c r="C4386" s="2475"/>
      <c r="D4386" s="2769"/>
      <c r="E4386" s="2840"/>
      <c r="F4386" s="4459"/>
      <c r="G4386" s="3462"/>
      <c r="H4386" s="3190"/>
      <c r="I4386" s="2755"/>
      <c r="J4386" s="3170"/>
      <c r="K4386" s="2769"/>
      <c r="L4386" s="2830"/>
      <c r="M4386" s="2755"/>
      <c r="N4386" s="2877"/>
    </row>
    <row r="4387" spans="2:16" ht="14.25" hidden="1" customHeight="1" x14ac:dyDescent="0.25">
      <c r="B4387" s="449"/>
      <c r="C4387" s="2619" t="s">
        <v>4947</v>
      </c>
      <c r="D4387" s="899">
        <f>SUM(D4388+D4391)</f>
        <v>8225475000</v>
      </c>
      <c r="E4387" s="2813">
        <f>D4387/D4108*100</f>
        <v>7.9623748837076391</v>
      </c>
      <c r="F4387" s="3852"/>
      <c r="G4387" s="2969"/>
      <c r="H4387" s="2679"/>
      <c r="I4387" s="899"/>
      <c r="J4387" s="2970"/>
      <c r="K4387" s="2970"/>
      <c r="L4387" s="2679"/>
      <c r="M4387" s="899"/>
      <c r="N4387" s="2877"/>
    </row>
    <row r="4388" spans="2:16" ht="14.25" hidden="1" customHeight="1" x14ac:dyDescent="0.25">
      <c r="B4388" s="441"/>
      <c r="C4388" s="2586" t="s">
        <v>4948</v>
      </c>
      <c r="D4388" s="2751">
        <f>D4389</f>
        <v>5479741600</v>
      </c>
      <c r="E4388" s="3214">
        <f>D4388/D4108*100</f>
        <v>5.3044665365888184</v>
      </c>
      <c r="F4388" s="3845"/>
      <c r="G4388" s="3002"/>
      <c r="H4388" s="3431"/>
      <c r="I4388" s="2759"/>
      <c r="J4388" s="3009"/>
      <c r="K4388" s="3009"/>
      <c r="L4388" s="3431"/>
      <c r="M4388" s="2759"/>
      <c r="N4388" s="2768"/>
    </row>
    <row r="4389" spans="2:16" ht="18.75" hidden="1" customHeight="1" x14ac:dyDescent="0.25">
      <c r="B4389" s="441"/>
      <c r="C4389" s="2611" t="s">
        <v>4949</v>
      </c>
      <c r="D4389" s="3433">
        <f>5491466800-11725524+324</f>
        <v>5479741600</v>
      </c>
      <c r="E4389" s="2810">
        <f>D4389/D4108*100</f>
        <v>5.3044665365888184</v>
      </c>
      <c r="F4389" s="4454"/>
      <c r="G4389" s="3434"/>
      <c r="H4389" s="3434"/>
      <c r="I4389" s="896"/>
      <c r="J4389" s="2742"/>
      <c r="K4389" s="3245"/>
      <c r="L4389" s="3434"/>
      <c r="M4389" s="896"/>
      <c r="N4389" s="2768"/>
    </row>
    <row r="4390" spans="2:16" ht="9.75" hidden="1" customHeight="1" x14ac:dyDescent="0.25">
      <c r="B4390" s="441"/>
      <c r="C4390" s="2586"/>
      <c r="D4390" s="2751"/>
      <c r="E4390" s="2813"/>
      <c r="F4390" s="3913"/>
      <c r="G4390" s="2991"/>
      <c r="H4390" s="2804"/>
      <c r="I4390" s="898"/>
      <c r="J4390" s="3001"/>
      <c r="K4390" s="3245"/>
      <c r="L4390" s="2685"/>
      <c r="M4390" s="898"/>
      <c r="N4390" s="2768"/>
    </row>
    <row r="4391" spans="2:16" ht="18" hidden="1" customHeight="1" x14ac:dyDescent="0.25">
      <c r="B4391" s="441"/>
      <c r="C4391" s="2587" t="s">
        <v>4950</v>
      </c>
      <c r="D4391" s="2767">
        <f>D4392</f>
        <v>2745733400</v>
      </c>
      <c r="E4391" s="2873">
        <f>D4391/D4108*100</f>
        <v>2.6579083471188207</v>
      </c>
      <c r="F4391" s="3913"/>
      <c r="G4391" s="2976"/>
      <c r="H4391" s="3435"/>
      <c r="I4391" s="2679"/>
      <c r="J4391" s="3001"/>
      <c r="K4391" s="3001"/>
      <c r="L4391" s="3435"/>
      <c r="M4391" s="2679"/>
      <c r="N4391" s="2768"/>
    </row>
    <row r="4392" spans="2:16" ht="14.25" hidden="1" customHeight="1" x14ac:dyDescent="0.25">
      <c r="B4392" s="441"/>
      <c r="C4392" s="2524" t="s">
        <v>4951</v>
      </c>
      <c r="D4392" s="896">
        <v>2745733400</v>
      </c>
      <c r="E4392" s="3413">
        <f>D4392/D4108*100</f>
        <v>2.6579083471188207</v>
      </c>
      <c r="F4392" s="4446"/>
      <c r="G4392" s="2542"/>
      <c r="H4392" s="3434"/>
      <c r="I4392" s="2708"/>
      <c r="J4392" s="2769"/>
      <c r="K4392" s="2831"/>
      <c r="L4392" s="3434"/>
      <c r="M4392" s="2708"/>
      <c r="N4392" s="2768"/>
    </row>
    <row r="4393" spans="2:16" ht="14.25" hidden="1" customHeight="1" x14ac:dyDescent="0.25">
      <c r="B4393" s="441"/>
      <c r="C4393" s="2563"/>
      <c r="D4393" s="3139"/>
      <c r="E4393" s="3357"/>
      <c r="F4393" s="4484"/>
      <c r="G4393" s="3025"/>
      <c r="H4393" s="2752"/>
      <c r="I4393" s="3342"/>
      <c r="J4393" s="2755"/>
      <c r="K4393" s="2755"/>
      <c r="L4393" s="2755"/>
      <c r="M4393" s="2755"/>
      <c r="N4393" s="2768"/>
    </row>
    <row r="4394" spans="2:16" ht="18.75" hidden="1" customHeight="1" x14ac:dyDescent="0.25">
      <c r="B4394" s="3075"/>
      <c r="C4394" s="2522" t="s">
        <v>7005</v>
      </c>
      <c r="D4394" s="2945">
        <f>SUM(D4396+D4450+D4491+D4515+D4519+D4526+D4531+D4535+D4539+D4543+D4548+D4562+D4583+D4593+D4616+D4633+D4646+D4654+D4667+D4679+D4690+D4706+D4716+D4720+D4724)</f>
        <v>102355632000</v>
      </c>
      <c r="E4394" s="3469">
        <f>SUM(D4394/2512247400000*100)</f>
        <v>4.0742656157192165</v>
      </c>
      <c r="F4394" s="2945"/>
      <c r="G4394" s="3076"/>
      <c r="H4394" s="2948"/>
      <c r="I4394" s="2945"/>
      <c r="J4394" s="2950"/>
      <c r="K4394" s="2950"/>
      <c r="L4394" s="2948"/>
      <c r="M4394" s="2945"/>
      <c r="N4394" s="2768"/>
      <c r="P4394" s="658"/>
    </row>
    <row r="4395" spans="2:16" ht="8.25" hidden="1" customHeight="1" x14ac:dyDescent="0.25">
      <c r="B4395" s="441"/>
      <c r="C4395" s="2478"/>
      <c r="D4395" s="2721"/>
      <c r="E4395" s="2785"/>
      <c r="F4395" s="3851"/>
      <c r="G4395" s="2899"/>
      <c r="H4395" s="2785"/>
      <c r="I4395" s="2751"/>
      <c r="J4395" s="2901"/>
      <c r="K4395" s="2901"/>
      <c r="L4395" s="2751"/>
      <c r="M4395" s="2751"/>
      <c r="N4395" s="2768"/>
    </row>
    <row r="4396" spans="2:16" ht="17.25" hidden="1" customHeight="1" x14ac:dyDescent="0.25">
      <c r="B4396" s="440"/>
      <c r="C4396" s="2471" t="s">
        <v>2640</v>
      </c>
      <c r="D4396" s="2744">
        <f>SUM(D4397+D4400+D4409+D4426+D4433+D4437+D4443+D4447)</f>
        <v>23229747375</v>
      </c>
      <c r="E4396" s="2672">
        <f>SUM(D4396/D4394*100)</f>
        <v>22.695133546730482</v>
      </c>
      <c r="F4396" s="3850"/>
      <c r="G4396" s="2886"/>
      <c r="H4396" s="2672"/>
      <c r="I4396" s="2744"/>
      <c r="J4396" s="2887"/>
      <c r="K4396" s="2887"/>
      <c r="L4396" s="2672"/>
      <c r="M4396" s="2744"/>
      <c r="N4396" s="2768"/>
      <c r="P4396" s="44"/>
    </row>
    <row r="4397" spans="2:16" ht="16.5" hidden="1" customHeight="1" x14ac:dyDescent="0.25">
      <c r="B4397" s="441"/>
      <c r="C4397" s="2472" t="s">
        <v>1454</v>
      </c>
      <c r="D4397" s="2759">
        <f>D4398</f>
        <v>15818400000</v>
      </c>
      <c r="E4397" s="2734">
        <f>SUM(D4397/D4394*100)</f>
        <v>15.454352331095958</v>
      </c>
      <c r="F4397" s="3855"/>
      <c r="G4397" s="2970"/>
      <c r="H4397" s="2969"/>
      <c r="I4397" s="2970"/>
      <c r="J4397" s="3470"/>
      <c r="K4397" s="3004"/>
      <c r="L4397" s="2969"/>
      <c r="M4397" s="2970"/>
      <c r="N4397" s="2768"/>
    </row>
    <row r="4398" spans="2:16" ht="15.75" hidden="1" customHeight="1" x14ac:dyDescent="0.25">
      <c r="B4398" s="441"/>
      <c r="C4398" s="2473" t="s">
        <v>2641</v>
      </c>
      <c r="D4398" s="896">
        <v>15818400000</v>
      </c>
      <c r="E4398" s="2690">
        <f>SUM(D4398/D4394*100)</f>
        <v>15.454352331095958</v>
      </c>
      <c r="F4398" s="3868"/>
      <c r="G4398" s="2757"/>
      <c r="H4398" s="2967"/>
      <c r="I4398" s="2757"/>
      <c r="J4398" s="2972"/>
      <c r="K4398" s="2686"/>
      <c r="L4398" s="2967"/>
      <c r="M4398" s="2757"/>
      <c r="N4398" s="2768"/>
    </row>
    <row r="4399" spans="2:16" ht="10.5" hidden="1" customHeight="1" x14ac:dyDescent="0.25">
      <c r="B4399" s="441"/>
      <c r="C4399" s="2474"/>
      <c r="D4399" s="896"/>
      <c r="E4399" s="3035"/>
      <c r="F4399" s="3868"/>
      <c r="G4399" s="898"/>
      <c r="H4399" s="3035"/>
      <c r="I4399" s="898"/>
      <c r="J4399" s="902"/>
      <c r="K4399" s="902"/>
      <c r="L4399" s="898"/>
      <c r="M4399" s="898"/>
      <c r="N4399" s="2768"/>
    </row>
    <row r="4400" spans="2:16" ht="13.5" hidden="1" customHeight="1" x14ac:dyDescent="0.25">
      <c r="B4400" s="441"/>
      <c r="C4400" s="2521" t="s">
        <v>2485</v>
      </c>
      <c r="D4400" s="2767">
        <f>SUM(D4401:D4407)</f>
        <v>2426900000</v>
      </c>
      <c r="E4400" s="2695">
        <f>SUM(D4400/D4394*100)</f>
        <v>2.371046861397915</v>
      </c>
      <c r="F4400" s="3849"/>
      <c r="G4400" s="2904"/>
      <c r="H4400" s="2695"/>
      <c r="I4400" s="899"/>
      <c r="J4400" s="2905"/>
      <c r="K4400" s="2905"/>
      <c r="L4400" s="2695"/>
      <c r="M4400" s="899"/>
      <c r="N4400" s="2768"/>
    </row>
    <row r="4401" spans="2:14" ht="17.25" hidden="1" customHeight="1" x14ac:dyDescent="0.25">
      <c r="B4401" s="441"/>
      <c r="C4401" s="2473" t="s">
        <v>5811</v>
      </c>
      <c r="D4401" s="896">
        <v>560000000</v>
      </c>
      <c r="E4401" s="2690">
        <f>SUM(D4401/D4394*100)</f>
        <v>0.54711205339438473</v>
      </c>
      <c r="F4401" s="4449"/>
      <c r="G4401" s="2862"/>
      <c r="H4401" s="2685"/>
      <c r="I4401" s="2685"/>
      <c r="J4401" s="3471"/>
      <c r="K4401" s="3471"/>
      <c r="L4401" s="2685"/>
      <c r="M4401" s="2685"/>
      <c r="N4401" s="2768"/>
    </row>
    <row r="4402" spans="2:14" ht="17.25" hidden="1" customHeight="1" x14ac:dyDescent="0.25">
      <c r="B4402" s="441"/>
      <c r="C4402" s="2473" t="s">
        <v>5812</v>
      </c>
      <c r="D4402" s="896">
        <v>188000000</v>
      </c>
      <c r="E4402" s="2690">
        <f>SUM(D4402/D4394*100)</f>
        <v>0.18367333221097204</v>
      </c>
      <c r="F4402" s="4449"/>
      <c r="G4402" s="2862"/>
      <c r="H4402" s="2685"/>
      <c r="I4402" s="2685"/>
      <c r="J4402" s="3471"/>
      <c r="K4402" s="3471"/>
      <c r="L4402" s="2685"/>
      <c r="M4402" s="2685"/>
      <c r="N4402" s="2768"/>
    </row>
    <row r="4403" spans="2:14" ht="17.25" hidden="1" customHeight="1" x14ac:dyDescent="0.25">
      <c r="B4403" s="441"/>
      <c r="C4403" s="2473" t="s">
        <v>5817</v>
      </c>
      <c r="D4403" s="896">
        <v>792000000</v>
      </c>
      <c r="E4403" s="2690">
        <f>SUM(D4403/D4394*100)</f>
        <v>0.77377276122920136</v>
      </c>
      <c r="F4403" s="4449"/>
      <c r="G4403" s="2757"/>
      <c r="H4403" s="2967"/>
      <c r="I4403" s="2757"/>
      <c r="J4403" s="3471"/>
      <c r="K4403" s="3471"/>
      <c r="L4403" s="2685"/>
      <c r="M4403" s="2685"/>
      <c r="N4403" s="2768"/>
    </row>
    <row r="4404" spans="2:14" ht="13.5" hidden="1" customHeight="1" x14ac:dyDescent="0.25">
      <c r="B4404" s="441"/>
      <c r="C4404" s="2476" t="s">
        <v>5813</v>
      </c>
      <c r="D4404" s="2709">
        <v>265000000</v>
      </c>
      <c r="E4404" s="2690">
        <f>SUM(D4404/D4394*100)</f>
        <v>0.25890123955269995</v>
      </c>
      <c r="F4404" s="4449"/>
      <c r="G4404" s="2757"/>
      <c r="H4404" s="2967"/>
      <c r="I4404" s="2757"/>
      <c r="J4404" s="3811"/>
      <c r="K4404" s="3811"/>
      <c r="L4404" s="2685"/>
      <c r="M4404" s="2685"/>
      <c r="N4404" s="2768"/>
    </row>
    <row r="4405" spans="2:14" ht="18" hidden="1" customHeight="1" x14ac:dyDescent="0.25">
      <c r="B4405" s="441"/>
      <c r="C4405" s="2476" t="s">
        <v>5814</v>
      </c>
      <c r="D4405" s="2709">
        <v>44000000</v>
      </c>
      <c r="E4405" s="2690">
        <f>SUM(D4405/D4394*100)</f>
        <v>4.2987375623844519E-2</v>
      </c>
      <c r="F4405" s="4449"/>
      <c r="G4405" s="2757"/>
      <c r="H4405" s="2967"/>
      <c r="I4405" s="2757"/>
      <c r="J4405" s="3811"/>
      <c r="K4405" s="3811"/>
      <c r="L4405" s="2685"/>
      <c r="M4405" s="2685"/>
      <c r="N4405" s="2768"/>
    </row>
    <row r="4406" spans="2:14" ht="18" hidden="1" customHeight="1" x14ac:dyDescent="0.25">
      <c r="B4406" s="441"/>
      <c r="C4406" s="2476" t="s">
        <v>5815</v>
      </c>
      <c r="D4406" s="2709">
        <v>77900000</v>
      </c>
      <c r="E4406" s="2690">
        <f>SUM(D4406/D4394*100)</f>
        <v>7.6107194570397455E-2</v>
      </c>
      <c r="F4406" s="4449"/>
      <c r="G4406" s="2757"/>
      <c r="H4406" s="2967"/>
      <c r="I4406" s="2757"/>
      <c r="J4406" s="3811"/>
      <c r="K4406" s="3811"/>
      <c r="L4406" s="2685"/>
      <c r="M4406" s="2685"/>
      <c r="N4406" s="2768"/>
    </row>
    <row r="4407" spans="2:14" ht="16.5" hidden="1" customHeight="1" x14ac:dyDescent="0.25">
      <c r="B4407" s="441"/>
      <c r="C4407" s="2476" t="s">
        <v>5816</v>
      </c>
      <c r="D4407" s="2709">
        <v>500000000</v>
      </c>
      <c r="E4407" s="2690">
        <f>SUM(D4407/D4394*100)</f>
        <v>0.48849290481641505</v>
      </c>
      <c r="F4407" s="4449"/>
      <c r="G4407" s="2757"/>
      <c r="H4407" s="2967"/>
      <c r="I4407" s="2757"/>
      <c r="J4407" s="3811"/>
      <c r="K4407" s="3811"/>
      <c r="L4407" s="2685"/>
      <c r="M4407" s="2685"/>
      <c r="N4407" s="2768"/>
    </row>
    <row r="4408" spans="2:14" ht="11.25" hidden="1" customHeight="1" x14ac:dyDescent="0.25">
      <c r="B4408" s="441"/>
      <c r="C4408" s="2476"/>
      <c r="D4408" s="2709"/>
      <c r="E4408" s="3035"/>
      <c r="F4408" s="3868"/>
      <c r="G4408" s="898"/>
      <c r="H4408" s="3035"/>
      <c r="I4408" s="898"/>
      <c r="J4408" s="943"/>
      <c r="K4408" s="902"/>
      <c r="L4408" s="898"/>
      <c r="M4408" s="898"/>
      <c r="N4408" s="2768"/>
    </row>
    <row r="4409" spans="2:14" ht="16.5" hidden="1" customHeight="1" x14ac:dyDescent="0.25">
      <c r="B4409" s="441"/>
      <c r="C4409" s="2628" t="s">
        <v>2645</v>
      </c>
      <c r="D4409" s="2692">
        <f>SUM(D4410:D4424)</f>
        <v>3586292600</v>
      </c>
      <c r="E4409" s="2695">
        <f>D4409/D4394*100</f>
        <v>3.5037569793912269</v>
      </c>
      <c r="F4409" s="3853"/>
      <c r="G4409" s="2921"/>
      <c r="H4409" s="2695"/>
      <c r="I4409" s="2679"/>
      <c r="J4409" s="2905"/>
      <c r="K4409" s="2905"/>
      <c r="L4409" s="2695"/>
      <c r="M4409" s="2679"/>
      <c r="N4409" s="2768"/>
    </row>
    <row r="4410" spans="2:14" ht="15.75" hidden="1" customHeight="1" x14ac:dyDescent="0.25">
      <c r="B4410" s="441"/>
      <c r="C4410" s="2629" t="s">
        <v>5818</v>
      </c>
      <c r="D4410" s="896">
        <v>300000000</v>
      </c>
      <c r="E4410" s="2690">
        <f>SUM(D4410/D4394*100)</f>
        <v>0.29309574288984896</v>
      </c>
      <c r="F4410" s="4449"/>
      <c r="G4410" s="2688"/>
      <c r="H4410" s="2685"/>
      <c r="I4410" s="2685"/>
      <c r="J4410" s="3474"/>
      <c r="K4410" s="3474"/>
      <c r="L4410" s="2685"/>
      <c r="M4410" s="2685"/>
      <c r="N4410" s="2768"/>
    </row>
    <row r="4411" spans="2:14" ht="15.75" hidden="1" customHeight="1" x14ac:dyDescent="0.25">
      <c r="B4411" s="441"/>
      <c r="C4411" s="2629" t="s">
        <v>5846</v>
      </c>
      <c r="D4411" s="896">
        <v>246000000</v>
      </c>
      <c r="E4411" s="2690">
        <f>D4411/D4394*100</f>
        <v>0.24033850916967617</v>
      </c>
      <c r="F4411" s="4449"/>
      <c r="G4411" s="2688"/>
      <c r="H4411" s="2685"/>
      <c r="I4411" s="2685"/>
      <c r="J4411" s="3474"/>
      <c r="K4411" s="3474"/>
      <c r="L4411" s="2685"/>
      <c r="M4411" s="2685"/>
      <c r="N4411" s="2768"/>
    </row>
    <row r="4412" spans="2:14" ht="17.25" hidden="1" customHeight="1" x14ac:dyDescent="0.25">
      <c r="B4412" s="441"/>
      <c r="C4412" s="2630" t="s">
        <v>5819</v>
      </c>
      <c r="D4412" s="2698">
        <v>205000000</v>
      </c>
      <c r="E4412" s="2690">
        <f>D4412/D4394*100</f>
        <v>0.20028209097473015</v>
      </c>
      <c r="F4412" s="4449"/>
      <c r="G4412" s="2688"/>
      <c r="H4412" s="2685"/>
      <c r="I4412" s="2685"/>
      <c r="J4412" s="3474"/>
      <c r="K4412" s="3474"/>
      <c r="L4412" s="2685"/>
      <c r="M4412" s="2685"/>
      <c r="N4412" s="2768"/>
    </row>
    <row r="4413" spans="2:14" ht="17.25" hidden="1" customHeight="1" x14ac:dyDescent="0.25">
      <c r="B4413" s="441"/>
      <c r="C4413" s="2629" t="s">
        <v>5847</v>
      </c>
      <c r="D4413" s="896">
        <v>185475000</v>
      </c>
      <c r="E4413" s="2690">
        <f>D4413/D4394*100</f>
        <v>0.18120644304164915</v>
      </c>
      <c r="F4413" s="4449"/>
      <c r="G4413" s="2980"/>
      <c r="H4413" s="2685"/>
      <c r="I4413" s="2685"/>
      <c r="J4413" s="3474"/>
      <c r="K4413" s="3474"/>
      <c r="L4413" s="2685"/>
      <c r="M4413" s="2685"/>
      <c r="N4413" s="2768"/>
    </row>
    <row r="4414" spans="2:14" ht="15" hidden="1" customHeight="1" x14ac:dyDescent="0.25">
      <c r="B4414" s="441"/>
      <c r="C4414" s="2629" t="s">
        <v>5820</v>
      </c>
      <c r="D4414" s="896">
        <v>52400000</v>
      </c>
      <c r="E4414" s="2690">
        <f>D4414/D4394*100</f>
        <v>5.1194056424760284E-2</v>
      </c>
      <c r="F4414" s="4449"/>
      <c r="G4414" s="2757"/>
      <c r="H4414" s="2967"/>
      <c r="I4414" s="2757"/>
      <c r="J4414" s="3474"/>
      <c r="K4414" s="2757"/>
      <c r="L4414" s="2967"/>
      <c r="M4414" s="2967"/>
      <c r="N4414" s="2768"/>
    </row>
    <row r="4415" spans="2:14" ht="16.5" hidden="1" customHeight="1" x14ac:dyDescent="0.25">
      <c r="B4415" s="441"/>
      <c r="C4415" s="2629" t="s">
        <v>5821</v>
      </c>
      <c r="D4415" s="896">
        <v>115000000</v>
      </c>
      <c r="E4415" s="2690">
        <f>D4415/D4394*100</f>
        <v>0.11235336810777544</v>
      </c>
      <c r="F4415" s="4449"/>
      <c r="G4415" s="2864"/>
      <c r="H4415" s="2685"/>
      <c r="I4415" s="2685"/>
      <c r="J4415" s="3474"/>
      <c r="K4415" s="3474"/>
      <c r="L4415" s="2685"/>
      <c r="M4415" s="2685"/>
      <c r="N4415" s="2768"/>
    </row>
    <row r="4416" spans="2:14" ht="13.5" hidden="1" customHeight="1" x14ac:dyDescent="0.25">
      <c r="B4416" s="441"/>
      <c r="C4416" s="2629" t="s">
        <v>5848</v>
      </c>
      <c r="D4416" s="896">
        <v>90200000</v>
      </c>
      <c r="E4416" s="2690">
        <f>D4416/D4394*100</f>
        <v>8.8124120028881259E-2</v>
      </c>
      <c r="F4416" s="4449"/>
      <c r="G4416" s="2757"/>
      <c r="H4416" s="2967"/>
      <c r="I4416" s="2757"/>
      <c r="J4416" s="3474"/>
      <c r="K4416" s="3474"/>
      <c r="L4416" s="2685"/>
      <c r="M4416" s="2685"/>
      <c r="N4416" s="2768"/>
    </row>
    <row r="4417" spans="1:16" hidden="1" x14ac:dyDescent="0.25">
      <c r="B4417" s="441"/>
      <c r="C4417" s="2629" t="s">
        <v>5850</v>
      </c>
      <c r="D4417" s="896">
        <v>38500000</v>
      </c>
      <c r="E4417" s="2690">
        <f>D4417/D4394*100</f>
        <v>3.7613953670863953E-2</v>
      </c>
      <c r="F4417" s="4449"/>
      <c r="G4417" s="2757"/>
      <c r="H4417" s="2967"/>
      <c r="I4417" s="2757"/>
      <c r="J4417" s="3474"/>
      <c r="K4417" s="2757"/>
      <c r="L4417" s="2967"/>
      <c r="M4417" s="2967"/>
      <c r="N4417" s="2768"/>
    </row>
    <row r="4418" spans="1:16" ht="16.5" hidden="1" customHeight="1" x14ac:dyDescent="0.25">
      <c r="B4418" s="441"/>
      <c r="C4418" s="2629" t="s">
        <v>5849</v>
      </c>
      <c r="D4418" s="896">
        <v>166307000</v>
      </c>
      <c r="E4418" s="2690">
        <f>D4418/D4394*100</f>
        <v>0.16247957904260707</v>
      </c>
      <c r="F4418" s="4449"/>
      <c r="G4418" s="2757"/>
      <c r="H4418" s="2967"/>
      <c r="I4418" s="2757"/>
      <c r="J4418" s="3474"/>
      <c r="K4418" s="2757"/>
      <c r="L4418" s="2967"/>
      <c r="M4418" s="2967"/>
      <c r="N4418" s="2768"/>
    </row>
    <row r="4419" spans="1:16" ht="14.25" hidden="1" customHeight="1" x14ac:dyDescent="0.25">
      <c r="B4419" s="441"/>
      <c r="C4419" s="2629" t="s">
        <v>5851</v>
      </c>
      <c r="D4419" s="896">
        <v>179460100</v>
      </c>
      <c r="E4419" s="2690">
        <f>D4419/D4394*100</f>
        <v>0.17532997109528861</v>
      </c>
      <c r="F4419" s="4449"/>
      <c r="G4419" s="2688"/>
      <c r="H4419" s="2685"/>
      <c r="I4419" s="2685"/>
      <c r="J4419" s="3474"/>
      <c r="K4419" s="3474"/>
      <c r="L4419" s="2685"/>
      <c r="M4419" s="2685"/>
      <c r="N4419" s="2768"/>
    </row>
    <row r="4420" spans="1:16" hidden="1" x14ac:dyDescent="0.25">
      <c r="B4420" s="441"/>
      <c r="C4420" s="2629" t="s">
        <v>5822</v>
      </c>
      <c r="D4420" s="896">
        <v>258000000</v>
      </c>
      <c r="E4420" s="2690">
        <f>D4420/D4394*100</f>
        <v>0.25206233888527013</v>
      </c>
      <c r="F4420" s="4449"/>
      <c r="G4420" s="2864"/>
      <c r="H4420" s="2685"/>
      <c r="I4420" s="2685"/>
      <c r="J4420" s="3474"/>
      <c r="K4420" s="3474"/>
      <c r="L4420" s="2685"/>
      <c r="M4420" s="2685"/>
      <c r="N4420" s="2768"/>
    </row>
    <row r="4421" spans="1:16" ht="18.75" hidden="1" customHeight="1" x14ac:dyDescent="0.25">
      <c r="B4421" s="441"/>
      <c r="C4421" s="2629" t="s">
        <v>5823</v>
      </c>
      <c r="D4421" s="896">
        <v>103200300</v>
      </c>
      <c r="E4421" s="2690">
        <f>D4421/D4394*100</f>
        <v>0.10082522864985094</v>
      </c>
      <c r="F4421" s="4449"/>
      <c r="G4421" s="2864"/>
      <c r="H4421" s="2685"/>
      <c r="I4421" s="2685"/>
      <c r="J4421" s="3474"/>
      <c r="K4421" s="3474"/>
      <c r="L4421" s="2685"/>
      <c r="M4421" s="2685"/>
      <c r="N4421" s="2768"/>
    </row>
    <row r="4422" spans="1:16" ht="15.75" hidden="1" customHeight="1" x14ac:dyDescent="0.25">
      <c r="B4422" s="441"/>
      <c r="C4422" s="2629" t="s">
        <v>5824</v>
      </c>
      <c r="D4422" s="896">
        <v>900000000</v>
      </c>
      <c r="E4422" s="2690">
        <f>D4422/D4394*100</f>
        <v>0.87928722866954701</v>
      </c>
      <c r="F4422" s="4449"/>
      <c r="G4422" s="2688"/>
      <c r="H4422" s="2685"/>
      <c r="I4422" s="2685"/>
      <c r="J4422" s="3474"/>
      <c r="K4422" s="3474"/>
      <c r="L4422" s="2685"/>
      <c r="M4422" s="2685"/>
      <c r="N4422" s="2768"/>
    </row>
    <row r="4423" spans="1:16" ht="17.25" hidden="1" customHeight="1" x14ac:dyDescent="0.25">
      <c r="B4423" s="441"/>
      <c r="C4423" s="2629" t="s">
        <v>5825</v>
      </c>
      <c r="D4423" s="896">
        <v>675000000</v>
      </c>
      <c r="E4423" s="2690">
        <f>D4423/D4394*100</f>
        <v>0.65946542150216025</v>
      </c>
      <c r="F4423" s="4449"/>
      <c r="G4423" s="2688"/>
      <c r="H4423" s="2685"/>
      <c r="I4423" s="2685"/>
      <c r="J4423" s="3474"/>
      <c r="K4423" s="3474"/>
      <c r="L4423" s="2685"/>
      <c r="M4423" s="2685"/>
      <c r="N4423" s="2768"/>
    </row>
    <row r="4424" spans="1:16" ht="16.5" hidden="1" customHeight="1" x14ac:dyDescent="0.25">
      <c r="B4424" s="441"/>
      <c r="C4424" s="2629" t="s">
        <v>5826</v>
      </c>
      <c r="D4424" s="896">
        <v>71750200</v>
      </c>
      <c r="E4424" s="2690">
        <f>D4424/D4394*100</f>
        <v>7.0098927238317482E-2</v>
      </c>
      <c r="F4424" s="4449"/>
      <c r="G4424" s="2757"/>
      <c r="H4424" s="2967"/>
      <c r="I4424" s="2757"/>
      <c r="J4424" s="3474"/>
      <c r="K4424" s="3474"/>
      <c r="L4424" s="2685"/>
      <c r="M4424" s="2685"/>
      <c r="N4424" s="2768"/>
    </row>
    <row r="4425" spans="1:16" ht="10.5" hidden="1" customHeight="1" x14ac:dyDescent="0.25">
      <c r="B4425" s="441"/>
      <c r="C4425" s="2473"/>
      <c r="D4425" s="896"/>
      <c r="E4425" s="2690"/>
      <c r="F4425" s="3868"/>
      <c r="G4425" s="2980"/>
      <c r="H4425" s="3457"/>
      <c r="I4425" s="2980"/>
      <c r="J4425" s="2891"/>
      <c r="K4425" s="3477"/>
      <c r="L4425" s="3145"/>
      <c r="M4425" s="2685"/>
      <c r="N4425" s="2768"/>
    </row>
    <row r="4426" spans="1:16" s="32" customFormat="1" ht="17.25" hidden="1" customHeight="1" x14ac:dyDescent="0.25">
      <c r="A4426" s="1"/>
      <c r="B4426" s="441"/>
      <c r="C4426" s="2474" t="s">
        <v>5827</v>
      </c>
      <c r="D4426" s="899">
        <f>SUM(D4427:D4431)</f>
        <v>300633000</v>
      </c>
      <c r="E4426" s="2695">
        <f>D4426/D4394*100</f>
        <v>0.29371417490734658</v>
      </c>
      <c r="F4426" s="3853"/>
      <c r="G4426" s="2982"/>
      <c r="H4426" s="3460"/>
      <c r="I4426" s="2982"/>
      <c r="J4426" s="2901"/>
      <c r="K4426" s="3742"/>
      <c r="L4426" s="2679"/>
      <c r="M4426" s="2679"/>
      <c r="N4426" s="2837"/>
      <c r="P4426" s="630"/>
    </row>
    <row r="4427" spans="1:16" ht="17.25" hidden="1" customHeight="1" x14ac:dyDescent="0.25">
      <c r="B4427" s="441"/>
      <c r="C4427" s="2473" t="s">
        <v>5828</v>
      </c>
      <c r="D4427" s="896">
        <v>38161000</v>
      </c>
      <c r="E4427" s="2690">
        <f>D4427/D4394*100</f>
        <v>3.7282755481398422E-2</v>
      </c>
      <c r="F4427" s="3868"/>
      <c r="G4427" s="2980"/>
      <c r="H4427" s="3457"/>
      <c r="I4427" s="2980"/>
      <c r="J4427" s="2891"/>
      <c r="K4427" s="3477"/>
      <c r="L4427" s="3145"/>
      <c r="M4427" s="2685"/>
      <c r="N4427" s="2768"/>
    </row>
    <row r="4428" spans="1:16" ht="18" hidden="1" customHeight="1" x14ac:dyDescent="0.25">
      <c r="B4428" s="441"/>
      <c r="C4428" s="2473" t="s">
        <v>5829</v>
      </c>
      <c r="D4428" s="896">
        <v>49786000</v>
      </c>
      <c r="E4428" s="2690">
        <f>D4428/D4394*100</f>
        <v>4.8640215518380076E-2</v>
      </c>
      <c r="F4428" s="3868"/>
      <c r="G4428" s="2980"/>
      <c r="H4428" s="3457"/>
      <c r="I4428" s="2980"/>
      <c r="J4428" s="2891"/>
      <c r="K4428" s="3477"/>
      <c r="L4428" s="3145"/>
      <c r="M4428" s="2685"/>
      <c r="N4428" s="2768"/>
    </row>
    <row r="4429" spans="1:16" ht="17.25" hidden="1" customHeight="1" x14ac:dyDescent="0.25">
      <c r="B4429" s="441"/>
      <c r="C4429" s="2473" t="s">
        <v>5830</v>
      </c>
      <c r="D4429" s="896">
        <v>112119000</v>
      </c>
      <c r="E4429" s="2690">
        <f>D4429/D4394*100</f>
        <v>0.10953867199022327</v>
      </c>
      <c r="F4429" s="3868"/>
      <c r="G4429" s="2980"/>
      <c r="H4429" s="3457"/>
      <c r="I4429" s="2980"/>
      <c r="J4429" s="2891"/>
      <c r="K4429" s="3477"/>
      <c r="L4429" s="3145"/>
      <c r="M4429" s="2685"/>
      <c r="N4429" s="2768"/>
    </row>
    <row r="4430" spans="1:16" ht="17.25" hidden="1" customHeight="1" x14ac:dyDescent="0.25">
      <c r="B4430" s="441"/>
      <c r="C4430" s="2473" t="s">
        <v>5831</v>
      </c>
      <c r="D4430" s="896">
        <v>49786000</v>
      </c>
      <c r="E4430" s="2690">
        <f>D4430/D4394*100</f>
        <v>4.8640215518380076E-2</v>
      </c>
      <c r="F4430" s="3868"/>
      <c r="G4430" s="2980"/>
      <c r="H4430" s="3457"/>
      <c r="I4430" s="2980"/>
      <c r="J4430" s="2891"/>
      <c r="K4430" s="3477"/>
      <c r="L4430" s="3145"/>
      <c r="M4430" s="2685"/>
      <c r="N4430" s="2768"/>
    </row>
    <row r="4431" spans="1:16" ht="17.25" hidden="1" customHeight="1" x14ac:dyDescent="0.25">
      <c r="B4431" s="441"/>
      <c r="C4431" s="2473" t="s">
        <v>5832</v>
      </c>
      <c r="D4431" s="896">
        <v>50781000</v>
      </c>
      <c r="E4431" s="2690">
        <f>D4431/D4394*100</f>
        <v>4.961231639896474E-2</v>
      </c>
      <c r="F4431" s="3868"/>
      <c r="G4431" s="2980"/>
      <c r="H4431" s="3457"/>
      <c r="I4431" s="2980"/>
      <c r="J4431" s="2891"/>
      <c r="K4431" s="3477"/>
      <c r="L4431" s="3145"/>
      <c r="M4431" s="2685"/>
      <c r="N4431" s="2768"/>
    </row>
    <row r="4432" spans="1:16" ht="11.25" hidden="1" customHeight="1" x14ac:dyDescent="0.25">
      <c r="B4432" s="441"/>
      <c r="C4432" s="2473"/>
      <c r="D4432" s="896"/>
      <c r="E4432" s="2690"/>
      <c r="F4432" s="3868"/>
      <c r="G4432" s="2980"/>
      <c r="H4432" s="3457"/>
      <c r="I4432" s="2980"/>
      <c r="J4432" s="2891"/>
      <c r="K4432" s="3477"/>
      <c r="L4432" s="3145"/>
      <c r="M4432" s="2685"/>
      <c r="N4432" s="2768"/>
    </row>
    <row r="4433" spans="1:16" s="32" customFormat="1" ht="15" hidden="1" customHeight="1" x14ac:dyDescent="0.25">
      <c r="A4433" s="1"/>
      <c r="B4433" s="441"/>
      <c r="C4433" s="2474" t="s">
        <v>5833</v>
      </c>
      <c r="D4433" s="899">
        <f>SUM(D4434:D4435)</f>
        <v>126871775</v>
      </c>
      <c r="E4433" s="2695">
        <f>D4433/D4394*100</f>
        <v>0.12395192381792924</v>
      </c>
      <c r="F4433" s="3853"/>
      <c r="G4433" s="2982"/>
      <c r="H4433" s="3460"/>
      <c r="I4433" s="2982"/>
      <c r="J4433" s="2901"/>
      <c r="K4433" s="3742"/>
      <c r="L4433" s="2679"/>
      <c r="M4433" s="2679"/>
      <c r="N4433" s="2837"/>
      <c r="P4433" s="630"/>
    </row>
    <row r="4434" spans="1:16" ht="16.5" hidden="1" customHeight="1" x14ac:dyDescent="0.25">
      <c r="B4434" s="441"/>
      <c r="C4434" s="2473" t="s">
        <v>5834</v>
      </c>
      <c r="D4434" s="896">
        <v>54060775</v>
      </c>
      <c r="E4434" s="2690">
        <f>D4434/D4394*100</f>
        <v>5.2816610032753258E-2</v>
      </c>
      <c r="F4434" s="3868"/>
      <c r="G4434" s="2980"/>
      <c r="H4434" s="3457"/>
      <c r="I4434" s="2980"/>
      <c r="J4434" s="2891"/>
      <c r="K4434" s="3477"/>
      <c r="L4434" s="3145"/>
      <c r="M4434" s="2685"/>
      <c r="N4434" s="2768"/>
    </row>
    <row r="4435" spans="1:16" ht="14.25" hidden="1" customHeight="1" x14ac:dyDescent="0.25">
      <c r="B4435" s="441"/>
      <c r="C4435" s="2473" t="s">
        <v>5835</v>
      </c>
      <c r="D4435" s="896">
        <v>72811000</v>
      </c>
      <c r="E4435" s="2690">
        <f>D4435/D4394*100</f>
        <v>7.1135313785175985E-2</v>
      </c>
      <c r="F4435" s="3868"/>
      <c r="G4435" s="2980"/>
      <c r="H4435" s="3457"/>
      <c r="I4435" s="2980"/>
      <c r="J4435" s="2891"/>
      <c r="K4435" s="3477"/>
      <c r="L4435" s="3145"/>
      <c r="M4435" s="2685"/>
      <c r="N4435" s="2768"/>
    </row>
    <row r="4436" spans="1:16" ht="9.75" hidden="1" customHeight="1" x14ac:dyDescent="0.25">
      <c r="B4436" s="441"/>
      <c r="C4436" s="2473"/>
      <c r="D4436" s="896"/>
      <c r="E4436" s="2690"/>
      <c r="F4436" s="3868"/>
      <c r="G4436" s="2980"/>
      <c r="H4436" s="3457"/>
      <c r="I4436" s="2980"/>
      <c r="J4436" s="2891"/>
      <c r="K4436" s="3477"/>
      <c r="L4436" s="3145"/>
      <c r="M4436" s="2685"/>
      <c r="N4436" s="2768"/>
    </row>
    <row r="4437" spans="1:16" s="32" customFormat="1" ht="16.5" hidden="1" customHeight="1" x14ac:dyDescent="0.25">
      <c r="A4437" s="1"/>
      <c r="B4437" s="441"/>
      <c r="C4437" s="2474" t="s">
        <v>5836</v>
      </c>
      <c r="D4437" s="899">
        <f>SUM(D4438:D4441)</f>
        <v>596100000</v>
      </c>
      <c r="E4437" s="2695">
        <f>D4437/D4394*100</f>
        <v>0.58238124112212997</v>
      </c>
      <c r="F4437" s="3853"/>
      <c r="G4437" s="2982"/>
      <c r="H4437" s="3460"/>
      <c r="I4437" s="2982"/>
      <c r="J4437" s="2901"/>
      <c r="K4437" s="3742"/>
      <c r="L4437" s="2679"/>
      <c r="M4437" s="2679"/>
      <c r="N4437" s="2837"/>
      <c r="P4437" s="630"/>
    </row>
    <row r="4438" spans="1:16" ht="16.5" hidden="1" customHeight="1" x14ac:dyDescent="0.25">
      <c r="B4438" s="441"/>
      <c r="C4438" s="2473" t="s">
        <v>5837</v>
      </c>
      <c r="D4438" s="896">
        <v>124950000</v>
      </c>
      <c r="E4438" s="2690">
        <f>D4438/D4394*100</f>
        <v>0.12207437691362211</v>
      </c>
      <c r="F4438" s="3868"/>
      <c r="G4438" s="2980"/>
      <c r="H4438" s="3457"/>
      <c r="I4438" s="2980"/>
      <c r="J4438" s="2891"/>
      <c r="K4438" s="3477"/>
      <c r="L4438" s="3145"/>
      <c r="M4438" s="2685"/>
      <c r="N4438" s="2768"/>
    </row>
    <row r="4439" spans="1:16" ht="16.5" hidden="1" customHeight="1" x14ac:dyDescent="0.25">
      <c r="B4439" s="441"/>
      <c r="C4439" s="2473" t="s">
        <v>5838</v>
      </c>
      <c r="D4439" s="896">
        <v>48400000</v>
      </c>
      <c r="E4439" s="2690">
        <f>D4439/D4394*100</f>
        <v>4.7286113186228967E-2</v>
      </c>
      <c r="F4439" s="3868"/>
      <c r="G4439" s="2980"/>
      <c r="H4439" s="3457"/>
      <c r="I4439" s="2980"/>
      <c r="J4439" s="2891"/>
      <c r="K4439" s="3477"/>
      <c r="L4439" s="3145"/>
      <c r="M4439" s="2685"/>
      <c r="N4439" s="2768"/>
    </row>
    <row r="4440" spans="1:16" ht="28.5" hidden="1" customHeight="1" x14ac:dyDescent="0.25">
      <c r="B4440" s="441"/>
      <c r="C4440" s="2473" t="s">
        <v>5839</v>
      </c>
      <c r="D4440" s="896">
        <v>57400000</v>
      </c>
      <c r="E4440" s="2690">
        <f>D4440/D4394*100</f>
        <v>5.6078985472924441E-2</v>
      </c>
      <c r="F4440" s="3868"/>
      <c r="G4440" s="2980"/>
      <c r="H4440" s="3457"/>
      <c r="I4440" s="2980"/>
      <c r="J4440" s="2891"/>
      <c r="K4440" s="3477"/>
      <c r="L4440" s="3145"/>
      <c r="M4440" s="2685"/>
      <c r="N4440" s="2768"/>
    </row>
    <row r="4441" spans="1:16" ht="18.75" hidden="1" customHeight="1" x14ac:dyDescent="0.25">
      <c r="B4441" s="441"/>
      <c r="C4441" s="2473" t="s">
        <v>5840</v>
      </c>
      <c r="D4441" s="896">
        <v>365350000</v>
      </c>
      <c r="E4441" s="2690">
        <f>D4441/D4394*100</f>
        <v>0.35694176554935447</v>
      </c>
      <c r="F4441" s="3868"/>
      <c r="G4441" s="2980"/>
      <c r="H4441" s="3457"/>
      <c r="I4441" s="2980"/>
      <c r="J4441" s="2891"/>
      <c r="K4441" s="3477"/>
      <c r="L4441" s="3145"/>
      <c r="M4441" s="2685"/>
      <c r="N4441" s="2768"/>
    </row>
    <row r="4442" spans="1:16" ht="12.75" hidden="1" customHeight="1" x14ac:dyDescent="0.25">
      <c r="B4442" s="441"/>
      <c r="C4442" s="2473"/>
      <c r="D4442" s="896"/>
      <c r="E4442" s="2690"/>
      <c r="F4442" s="3868"/>
      <c r="G4442" s="2980"/>
      <c r="H4442" s="3457"/>
      <c r="I4442" s="2980"/>
      <c r="J4442" s="2891"/>
      <c r="K4442" s="3477"/>
      <c r="L4442" s="3145"/>
      <c r="M4442" s="2685"/>
      <c r="N4442" s="2768"/>
    </row>
    <row r="4443" spans="1:16" s="32" customFormat="1" ht="17.25" hidden="1" customHeight="1" x14ac:dyDescent="0.25">
      <c r="A4443" s="1"/>
      <c r="B4443" s="441"/>
      <c r="C4443" s="2474" t="s">
        <v>5841</v>
      </c>
      <c r="D4443" s="899">
        <f>SUM(D4444:D4445)</f>
        <v>265800000</v>
      </c>
      <c r="E4443" s="2695">
        <f>D4443/D4394*100</f>
        <v>0.25968282820040622</v>
      </c>
      <c r="F4443" s="3853"/>
      <c r="G4443" s="2982"/>
      <c r="H4443" s="3460"/>
      <c r="I4443" s="2982"/>
      <c r="J4443" s="2901"/>
      <c r="K4443" s="3742"/>
      <c r="L4443" s="2679"/>
      <c r="M4443" s="2679"/>
      <c r="N4443" s="2837"/>
      <c r="P4443" s="630"/>
    </row>
    <row r="4444" spans="1:16" ht="15.75" hidden="1" customHeight="1" x14ac:dyDescent="0.25">
      <c r="B4444" s="441"/>
      <c r="C4444" s="2473" t="s">
        <v>5842</v>
      </c>
      <c r="D4444" s="896">
        <v>250000000</v>
      </c>
      <c r="E4444" s="2690">
        <f>D4444/D4394*100</f>
        <v>0.24424645240820753</v>
      </c>
      <c r="F4444" s="3868"/>
      <c r="G4444" s="2980"/>
      <c r="H4444" s="3457"/>
      <c r="I4444" s="2980"/>
      <c r="J4444" s="2891"/>
      <c r="K4444" s="3477"/>
      <c r="L4444" s="3145"/>
      <c r="M4444" s="2685"/>
      <c r="N4444" s="2768"/>
    </row>
    <row r="4445" spans="1:16" ht="21" hidden="1" customHeight="1" x14ac:dyDescent="0.25">
      <c r="B4445" s="441"/>
      <c r="C4445" s="2473" t="s">
        <v>5843</v>
      </c>
      <c r="D4445" s="896">
        <v>15800000</v>
      </c>
      <c r="E4445" s="2690">
        <f>D4445/D4394*100</f>
        <v>1.5436375792198713E-2</v>
      </c>
      <c r="F4445" s="3868"/>
      <c r="G4445" s="2980"/>
      <c r="H4445" s="3457"/>
      <c r="I4445" s="2980"/>
      <c r="J4445" s="2891"/>
      <c r="K4445" s="3477"/>
      <c r="L4445" s="3145"/>
      <c r="M4445" s="2685"/>
      <c r="N4445" s="2768"/>
    </row>
    <row r="4446" spans="1:16" ht="9" hidden="1" customHeight="1" x14ac:dyDescent="0.25">
      <c r="B4446" s="441"/>
      <c r="C4446" s="2473"/>
      <c r="D4446" s="896"/>
      <c r="E4446" s="2690"/>
      <c r="F4446" s="3868"/>
      <c r="G4446" s="2980"/>
      <c r="H4446" s="3457"/>
      <c r="I4446" s="2980"/>
      <c r="J4446" s="2891"/>
      <c r="K4446" s="3477"/>
      <c r="L4446" s="3145"/>
      <c r="M4446" s="2685"/>
      <c r="N4446" s="2768"/>
    </row>
    <row r="4447" spans="1:16" s="32" customFormat="1" ht="16.5" hidden="1" customHeight="1" x14ac:dyDescent="0.25">
      <c r="A4447" s="1"/>
      <c r="B4447" s="441"/>
      <c r="C4447" s="2474" t="s">
        <v>5844</v>
      </c>
      <c r="D4447" s="899">
        <f>D4448</f>
        <v>108750000</v>
      </c>
      <c r="E4447" s="2695">
        <f>D4447/D4394*100</f>
        <v>0.10624720679757026</v>
      </c>
      <c r="F4447" s="3853"/>
      <c r="G4447" s="2982"/>
      <c r="H4447" s="3460"/>
      <c r="I4447" s="2982"/>
      <c r="J4447" s="2901"/>
      <c r="K4447" s="3742"/>
      <c r="L4447" s="2679"/>
      <c r="M4447" s="2679"/>
      <c r="N4447" s="2837"/>
      <c r="P4447" s="630"/>
    </row>
    <row r="4448" spans="1:16" ht="20.25" hidden="1" customHeight="1" x14ac:dyDescent="0.25">
      <c r="B4448" s="441"/>
      <c r="C4448" s="2473" t="s">
        <v>5845</v>
      </c>
      <c r="D4448" s="896">
        <v>108750000</v>
      </c>
      <c r="E4448" s="2690">
        <f>D4448/D4394*100</f>
        <v>0.10624720679757026</v>
      </c>
      <c r="F4448" s="3868"/>
      <c r="G4448" s="2980"/>
      <c r="H4448" s="3457"/>
      <c r="I4448" s="2980"/>
      <c r="J4448" s="2891"/>
      <c r="K4448" s="3477"/>
      <c r="L4448" s="3145"/>
      <c r="M4448" s="2685"/>
      <c r="N4448" s="2768"/>
    </row>
    <row r="4449" spans="2:14" ht="12" hidden="1" customHeight="1" x14ac:dyDescent="0.25">
      <c r="B4449" s="441"/>
      <c r="C4449" s="2476"/>
      <c r="D4449" s="2709"/>
      <c r="E4449" s="2778"/>
      <c r="F4449" s="4430"/>
      <c r="G4449" s="911"/>
      <c r="H4449" s="2778"/>
      <c r="I4449" s="911"/>
      <c r="J4449" s="2891"/>
      <c r="K4449" s="2755"/>
      <c r="L4449" s="911"/>
      <c r="M4449" s="911"/>
      <c r="N4449" s="2768"/>
    </row>
    <row r="4450" spans="2:14" ht="16.5" hidden="1" customHeight="1" x14ac:dyDescent="0.25">
      <c r="B4450" s="440"/>
      <c r="C4450" s="2471" t="s">
        <v>398</v>
      </c>
      <c r="D4450" s="2744">
        <f>SUM(D4451+D4454+D4457+D4461+D4464+D4467+D4471+D4478+D4481+D4484+D4487)</f>
        <v>18171080000</v>
      </c>
      <c r="E4450" s="2672">
        <f>D4450/D4394*100</f>
        <v>17.752887305702924</v>
      </c>
      <c r="F4450" s="3850"/>
      <c r="G4450" s="2886"/>
      <c r="H4450" s="2672"/>
      <c r="I4450" s="2744"/>
      <c r="J4450" s="2887"/>
      <c r="K4450" s="2887"/>
      <c r="L4450" s="2672"/>
      <c r="M4450" s="2744"/>
      <c r="N4450" s="2768"/>
    </row>
    <row r="4451" spans="2:14" ht="18" hidden="1" customHeight="1" x14ac:dyDescent="0.25">
      <c r="B4451" s="441"/>
      <c r="C4451" s="2521" t="s">
        <v>2665</v>
      </c>
      <c r="D4451" s="2825">
        <f>SUM(D4452)</f>
        <v>10557150000</v>
      </c>
      <c r="E4451" s="2734">
        <f>D4451/D4394*100</f>
        <v>10.314185740165231</v>
      </c>
      <c r="F4451" s="3914"/>
      <c r="G4451" s="2900"/>
      <c r="H4451" s="2695"/>
      <c r="I4451" s="2759"/>
      <c r="J4451" s="3478"/>
      <c r="K4451" s="3478"/>
      <c r="L4451" s="2695"/>
      <c r="M4451" s="2759"/>
      <c r="N4451" s="2768"/>
    </row>
    <row r="4452" spans="2:14" ht="15.75" hidden="1" customHeight="1" x14ac:dyDescent="0.25">
      <c r="B4452" s="441"/>
      <c r="C4452" s="2473" t="s">
        <v>2666</v>
      </c>
      <c r="D4452" s="896">
        <v>10557150000</v>
      </c>
      <c r="E4452" s="2690">
        <f>D4452/D4394*100</f>
        <v>10.314185740165231</v>
      </c>
      <c r="F4452" s="4449"/>
      <c r="G4452" s="896"/>
      <c r="H4452" s="2685"/>
      <c r="I4452" s="896"/>
      <c r="J4452" s="3479"/>
      <c r="K4452" s="3479"/>
      <c r="L4452" s="2685"/>
      <c r="M4452" s="896"/>
      <c r="N4452" s="2768"/>
    </row>
    <row r="4453" spans="2:14" ht="12" hidden="1" customHeight="1" x14ac:dyDescent="0.25">
      <c r="B4453" s="441"/>
      <c r="C4453" s="2473"/>
      <c r="D4453" s="896"/>
      <c r="E4453" s="3035"/>
      <c r="F4453" s="3868"/>
      <c r="G4453" s="898"/>
      <c r="H4453" s="2685"/>
      <c r="I4453" s="898"/>
      <c r="J4453" s="943"/>
      <c r="K4453" s="902"/>
      <c r="L4453" s="898"/>
      <c r="M4453" s="898"/>
      <c r="N4453" s="2768"/>
    </row>
    <row r="4454" spans="2:14" ht="17.25" hidden="1" customHeight="1" x14ac:dyDescent="0.25">
      <c r="B4454" s="441"/>
      <c r="C4454" s="2474" t="s">
        <v>2667</v>
      </c>
      <c r="D4454" s="899">
        <f>SUM(D4455:D4455)</f>
        <v>400000000</v>
      </c>
      <c r="E4454" s="2695">
        <f>D4454/D4394*100</f>
        <v>0.39079432385313201</v>
      </c>
      <c r="F4454" s="3853"/>
      <c r="G4454" s="2921"/>
      <c r="H4454" s="2679"/>
      <c r="I4454" s="899"/>
      <c r="J4454" s="2905"/>
      <c r="K4454" s="2905"/>
      <c r="L4454" s="2695"/>
      <c r="M4454" s="899"/>
      <c r="N4454" s="2768"/>
    </row>
    <row r="4455" spans="2:14" ht="16.5" hidden="1" customHeight="1" x14ac:dyDescent="0.25">
      <c r="B4455" s="441"/>
      <c r="C4455" s="2473" t="s">
        <v>2668</v>
      </c>
      <c r="D4455" s="896">
        <v>400000000</v>
      </c>
      <c r="E4455" s="2690">
        <f>D4455/D4394*100</f>
        <v>0.39079432385313201</v>
      </c>
      <c r="F4455" s="4449"/>
      <c r="G4455" s="2688"/>
      <c r="H4455" s="2685"/>
      <c r="I4455" s="2830"/>
      <c r="J4455" s="3480"/>
      <c r="K4455" s="3480"/>
      <c r="L4455" s="2685"/>
      <c r="M4455" s="2830"/>
      <c r="N4455" s="2768"/>
    </row>
    <row r="4456" spans="2:14" ht="10.5" hidden="1" customHeight="1" x14ac:dyDescent="0.25">
      <c r="B4456" s="441"/>
      <c r="C4456" s="2473"/>
      <c r="D4456" s="896"/>
      <c r="E4456" s="3035"/>
      <c r="F4456" s="3868"/>
      <c r="G4456" s="898"/>
      <c r="H4456" s="3035"/>
      <c r="I4456" s="898"/>
      <c r="J4456" s="943"/>
      <c r="K4456" s="902"/>
      <c r="L4456" s="898"/>
      <c r="M4456" s="898"/>
      <c r="N4456" s="2768"/>
    </row>
    <row r="4457" spans="2:14" ht="14.25" hidden="1" customHeight="1" x14ac:dyDescent="0.25">
      <c r="B4457" s="441"/>
      <c r="C4457" s="2491" t="s">
        <v>2669</v>
      </c>
      <c r="D4457" s="2692">
        <f>SUM(D4458:D4459)</f>
        <v>458525000</v>
      </c>
      <c r="E4457" s="2695">
        <f>D4457/D4394*100</f>
        <v>0.44797241836189333</v>
      </c>
      <c r="F4457" s="3834"/>
      <c r="G4457" s="2679"/>
      <c r="H4457" s="2679"/>
      <c r="I4457" s="899"/>
      <c r="J4457" s="2694"/>
      <c r="K4457" s="2694"/>
      <c r="L4457" s="2695"/>
      <c r="M4457" s="899"/>
      <c r="N4457" s="2768"/>
    </row>
    <row r="4458" spans="2:14" ht="15.75" hidden="1" customHeight="1" x14ac:dyDescent="0.25">
      <c r="B4458" s="441"/>
      <c r="C4458" s="2473" t="s">
        <v>5852</v>
      </c>
      <c r="D4458" s="896">
        <v>300000000</v>
      </c>
      <c r="E4458" s="2690">
        <f>D4458/D4394*100</f>
        <v>0.29309574288984896</v>
      </c>
      <c r="F4458" s="4449"/>
      <c r="G4458" s="2919"/>
      <c r="H4458" s="2685"/>
      <c r="I4458" s="896"/>
      <c r="J4458" s="3481"/>
      <c r="K4458" s="3481"/>
      <c r="L4458" s="2685"/>
      <c r="M4458" s="896"/>
      <c r="N4458" s="2768"/>
    </row>
    <row r="4459" spans="2:14" ht="17.25" hidden="1" customHeight="1" x14ac:dyDescent="0.25">
      <c r="B4459" s="441"/>
      <c r="C4459" s="2526" t="s">
        <v>5853</v>
      </c>
      <c r="D4459" s="896">
        <v>158525000</v>
      </c>
      <c r="E4459" s="2690">
        <f>D4459/D4394*100</f>
        <v>0.15487667547204437</v>
      </c>
      <c r="F4459" s="4414"/>
      <c r="G4459" s="896"/>
      <c r="H4459" s="2685"/>
      <c r="I4459" s="896"/>
      <c r="J4459" s="3481"/>
      <c r="K4459" s="3481"/>
      <c r="L4459" s="2685"/>
      <c r="M4459" s="896"/>
      <c r="N4459" s="2768"/>
    </row>
    <row r="4460" spans="2:14" ht="12" hidden="1" customHeight="1" x14ac:dyDescent="0.25">
      <c r="B4460" s="441"/>
      <c r="C4460" s="2473"/>
      <c r="D4460" s="896"/>
      <c r="E4460" s="3035"/>
      <c r="F4460" s="3868"/>
      <c r="G4460" s="898"/>
      <c r="H4460" s="3035"/>
      <c r="I4460" s="898"/>
      <c r="J4460" s="943"/>
      <c r="K4460" s="902"/>
      <c r="L4460" s="898"/>
      <c r="M4460" s="898"/>
      <c r="N4460" s="2768"/>
    </row>
    <row r="4461" spans="2:14" ht="15.75" hidden="1" customHeight="1" x14ac:dyDescent="0.25">
      <c r="B4461" s="441"/>
      <c r="C4461" s="2474" t="s">
        <v>2673</v>
      </c>
      <c r="D4461" s="899">
        <f>D4462</f>
        <v>189355000</v>
      </c>
      <c r="E4461" s="2695">
        <f>D4461/D4394*100</f>
        <v>0.18499714798302452</v>
      </c>
      <c r="F4461" s="3853"/>
      <c r="G4461" s="2921"/>
      <c r="H4461" s="2679"/>
      <c r="I4461" s="899"/>
      <c r="J4461" s="915"/>
      <c r="K4461" s="915"/>
      <c r="L4461" s="2695"/>
      <c r="M4461" s="2695"/>
      <c r="N4461" s="2768"/>
    </row>
    <row r="4462" spans="2:14" ht="16.5" hidden="1" customHeight="1" x14ac:dyDescent="0.25">
      <c r="B4462" s="441"/>
      <c r="C4462" s="2473" t="s">
        <v>5854</v>
      </c>
      <c r="D4462" s="896">
        <v>189355000</v>
      </c>
      <c r="E4462" s="2690">
        <f>D4462/D4394*100</f>
        <v>0.18499714798302452</v>
      </c>
      <c r="F4462" s="4449"/>
      <c r="G4462" s="2688"/>
      <c r="H4462" s="2685"/>
      <c r="I4462" s="896"/>
      <c r="J4462" s="3482"/>
      <c r="K4462" s="3482"/>
      <c r="L4462" s="2685"/>
      <c r="M4462" s="2685"/>
      <c r="N4462" s="2768"/>
    </row>
    <row r="4463" spans="2:14" ht="10.5" hidden="1" customHeight="1" x14ac:dyDescent="0.25">
      <c r="B4463" s="441"/>
      <c r="C4463" s="2474"/>
      <c r="D4463" s="896"/>
      <c r="E4463" s="3035"/>
      <c r="F4463" s="3868"/>
      <c r="G4463" s="898"/>
      <c r="H4463" s="2690"/>
      <c r="I4463" s="896"/>
      <c r="J4463" s="902"/>
      <c r="K4463" s="902"/>
      <c r="L4463" s="896"/>
      <c r="M4463" s="896"/>
      <c r="N4463" s="2768"/>
    </row>
    <row r="4464" spans="2:14" ht="17.25" hidden="1" customHeight="1" x14ac:dyDescent="0.25">
      <c r="B4464" s="441"/>
      <c r="C4464" s="2491" t="s">
        <v>2675</v>
      </c>
      <c r="D4464" s="2692">
        <f>SUM(D4465:D4465)</f>
        <v>55850000</v>
      </c>
      <c r="E4464" s="2695">
        <f>D4464/D4394*100</f>
        <v>5.4564657467993556E-2</v>
      </c>
      <c r="F4464" s="3834"/>
      <c r="G4464" s="2679"/>
      <c r="H4464" s="2679"/>
      <c r="I4464" s="899"/>
      <c r="J4464" s="2694"/>
      <c r="K4464" s="2694"/>
      <c r="L4464" s="2695"/>
      <c r="M4464" s="2695"/>
      <c r="N4464" s="2768"/>
    </row>
    <row r="4465" spans="2:14" ht="14.25" hidden="1" customHeight="1" x14ac:dyDescent="0.25">
      <c r="B4465" s="441"/>
      <c r="C4465" s="2473" t="s">
        <v>5855</v>
      </c>
      <c r="D4465" s="896">
        <v>55850000</v>
      </c>
      <c r="E4465" s="2690">
        <f>D4465/D4394*100</f>
        <v>5.4564657467993556E-2</v>
      </c>
      <c r="F4465" s="4449"/>
      <c r="G4465" s="896"/>
      <c r="H4465" s="2685"/>
      <c r="I4465" s="896"/>
      <c r="J4465" s="3483"/>
      <c r="K4465" s="3483"/>
      <c r="L4465" s="2685"/>
      <c r="M4465" s="2685"/>
      <c r="N4465" s="2768"/>
    </row>
    <row r="4466" spans="2:14" ht="11.25" hidden="1" customHeight="1" x14ac:dyDescent="0.25">
      <c r="B4466" s="441"/>
      <c r="C4466" s="2473"/>
      <c r="D4466" s="896"/>
      <c r="E4466" s="3035"/>
      <c r="F4466" s="4449"/>
      <c r="G4466" s="896"/>
      <c r="H4466" s="2690"/>
      <c r="I4466" s="896"/>
      <c r="J4466" s="943"/>
      <c r="K4466" s="940"/>
      <c r="L4466" s="896"/>
      <c r="M4466" s="896"/>
      <c r="N4466" s="2768"/>
    </row>
    <row r="4467" spans="2:14" ht="29.25" hidden="1" customHeight="1" x14ac:dyDescent="0.25">
      <c r="B4467" s="441"/>
      <c r="C4467" s="2491" t="s">
        <v>5856</v>
      </c>
      <c r="D4467" s="2692">
        <f>SUM(D4468:D4469)</f>
        <v>471000000</v>
      </c>
      <c r="E4467" s="2695">
        <f>D4467/D4394*100</f>
        <v>0.46016031633706289</v>
      </c>
      <c r="F4467" s="3834"/>
      <c r="G4467" s="2970"/>
      <c r="H4467" s="2969"/>
      <c r="I4467" s="2970"/>
      <c r="J4467" s="2970"/>
      <c r="K4467" s="2970"/>
      <c r="L4467" s="2970"/>
      <c r="M4467" s="2970"/>
      <c r="N4467" s="2768"/>
    </row>
    <row r="4468" spans="2:14" ht="21.75" hidden="1" customHeight="1" x14ac:dyDescent="0.25">
      <c r="B4468" s="441"/>
      <c r="C4468" s="2494" t="s">
        <v>5857</v>
      </c>
      <c r="D4468" s="2698">
        <v>330000000</v>
      </c>
      <c r="E4468" s="2690">
        <f>D4468/D4394*100</f>
        <v>0.32240531717883392</v>
      </c>
      <c r="F4468" s="4384"/>
      <c r="G4468" s="2757"/>
      <c r="H4468" s="2967"/>
      <c r="I4468" s="2757"/>
      <c r="J4468" s="2757"/>
      <c r="K4468" s="2757"/>
      <c r="L4468" s="2757"/>
      <c r="M4468" s="2757"/>
      <c r="N4468" s="2768"/>
    </row>
    <row r="4469" spans="2:14" ht="18.75" hidden="1" customHeight="1" x14ac:dyDescent="0.25">
      <c r="B4469" s="441"/>
      <c r="C4469" s="2494" t="s">
        <v>5858</v>
      </c>
      <c r="D4469" s="2698">
        <v>141000000</v>
      </c>
      <c r="E4469" s="2690">
        <f>D4469/D4394*100</f>
        <v>0.13775499915822903</v>
      </c>
      <c r="F4469" s="4384"/>
      <c r="G4469" s="2753"/>
      <c r="H4469" s="2993"/>
      <c r="I4469" s="2753"/>
      <c r="J4469" s="2757"/>
      <c r="K4469" s="2757"/>
      <c r="L4469" s="2753"/>
      <c r="M4469" s="2753"/>
      <c r="N4469" s="2768"/>
    </row>
    <row r="4470" spans="2:14" ht="10.5" hidden="1" customHeight="1" x14ac:dyDescent="0.25">
      <c r="B4470" s="441"/>
      <c r="C4470" s="2473"/>
      <c r="D4470" s="896"/>
      <c r="E4470" s="2695"/>
      <c r="F4470" s="4449"/>
      <c r="G4470" s="2991"/>
      <c r="H4470" s="3417"/>
      <c r="I4470" s="2991"/>
      <c r="J4470" s="915"/>
      <c r="K4470" s="1478"/>
      <c r="L4470" s="2722"/>
      <c r="M4470" s="2722"/>
      <c r="N4470" s="2768"/>
    </row>
    <row r="4471" spans="2:14" ht="28.5" hidden="1" customHeight="1" x14ac:dyDescent="0.25">
      <c r="B4471" s="441"/>
      <c r="C4471" s="2491" t="s">
        <v>5859</v>
      </c>
      <c r="D4471" s="2692">
        <f>SUM(D4472:D4476)</f>
        <v>4907000000</v>
      </c>
      <c r="E4471" s="2695">
        <f>D4471/D4394*100</f>
        <v>4.7940693678682962</v>
      </c>
      <c r="F4471" s="3834"/>
      <c r="G4471" s="2970"/>
      <c r="H4471" s="2969"/>
      <c r="I4471" s="2970"/>
      <c r="J4471" s="2694"/>
      <c r="K4471" s="2694"/>
      <c r="L4471" s="2695"/>
      <c r="M4471" s="2722"/>
      <c r="N4471" s="2768"/>
    </row>
    <row r="4472" spans="2:14" ht="14.25" hidden="1" customHeight="1" x14ac:dyDescent="0.25">
      <c r="B4472" s="441"/>
      <c r="C4472" s="2473" t="s">
        <v>5860</v>
      </c>
      <c r="D4472" s="896">
        <v>1372000000</v>
      </c>
      <c r="E4472" s="2690">
        <f>D4472/D4394*100</f>
        <v>1.3404245308162426</v>
      </c>
      <c r="F4472" s="4449"/>
      <c r="G4472" s="2757"/>
      <c r="H4472" s="2967"/>
      <c r="I4472" s="2757"/>
      <c r="J4472" s="3484"/>
      <c r="K4472" s="3484"/>
      <c r="L4472" s="2685"/>
      <c r="M4472" s="2830"/>
      <c r="N4472" s="2768"/>
    </row>
    <row r="4473" spans="2:14" ht="15.75" hidden="1" customHeight="1" x14ac:dyDescent="0.25">
      <c r="B4473" s="441"/>
      <c r="C4473" s="2473" t="s">
        <v>5861</v>
      </c>
      <c r="D4473" s="896">
        <v>50000000</v>
      </c>
      <c r="E4473" s="2690">
        <f>D4473/D4394*100</f>
        <v>4.8849290481641501E-2</v>
      </c>
      <c r="F4473" s="4449"/>
      <c r="G4473" s="2757"/>
      <c r="H4473" s="2967"/>
      <c r="I4473" s="2757"/>
      <c r="J4473" s="2757"/>
      <c r="K4473" s="2757"/>
      <c r="L4473" s="2757"/>
      <c r="M4473" s="2757"/>
      <c r="N4473" s="2768"/>
    </row>
    <row r="4474" spans="2:14" ht="16.5" hidden="1" customHeight="1" x14ac:dyDescent="0.25">
      <c r="B4474" s="441"/>
      <c r="C4474" s="2473" t="s">
        <v>5862</v>
      </c>
      <c r="D4474" s="896">
        <v>150000000</v>
      </c>
      <c r="E4474" s="2690">
        <f>D4474/D4394*100</f>
        <v>0.14654787144492448</v>
      </c>
      <c r="F4474" s="4454"/>
      <c r="G4474" s="2742"/>
      <c r="H4474" s="2985"/>
      <c r="I4474" s="2742"/>
      <c r="J4474" s="2742"/>
      <c r="K4474" s="2742"/>
      <c r="L4474" s="2742"/>
      <c r="M4474" s="2742"/>
      <c r="N4474" s="2768"/>
    </row>
    <row r="4475" spans="2:14" ht="15.75" hidden="1" customHeight="1" x14ac:dyDescent="0.25">
      <c r="B4475" s="441"/>
      <c r="C4475" s="2473" t="s">
        <v>5863</v>
      </c>
      <c r="D4475" s="896">
        <v>35000000</v>
      </c>
      <c r="E4475" s="2690">
        <f>D4475/D4394*100</f>
        <v>3.4194503337149046E-2</v>
      </c>
      <c r="F4475" s="4454"/>
      <c r="G4475" s="2742"/>
      <c r="H4475" s="2985"/>
      <c r="I4475" s="2742"/>
      <c r="J4475" s="2742"/>
      <c r="K4475" s="2742"/>
      <c r="L4475" s="2742"/>
      <c r="M4475" s="2742"/>
      <c r="N4475" s="2768"/>
    </row>
    <row r="4476" spans="2:14" ht="15.75" hidden="1" customHeight="1" x14ac:dyDescent="0.25">
      <c r="B4476" s="441"/>
      <c r="C4476" s="2473" t="s">
        <v>5864</v>
      </c>
      <c r="D4476" s="896">
        <v>3300000000</v>
      </c>
      <c r="E4476" s="2690">
        <f>D4476/D4394*100</f>
        <v>3.2240531717883387</v>
      </c>
      <c r="F4476" s="4454"/>
      <c r="G4476" s="2742"/>
      <c r="H4476" s="2985"/>
      <c r="I4476" s="2742"/>
      <c r="J4476" s="2742"/>
      <c r="K4476" s="2742"/>
      <c r="L4476" s="2742"/>
      <c r="M4476" s="2742"/>
      <c r="N4476" s="2768"/>
    </row>
    <row r="4477" spans="2:14" ht="11.25" hidden="1" customHeight="1" x14ac:dyDescent="0.25">
      <c r="B4477" s="441"/>
      <c r="C4477" s="2478"/>
      <c r="D4477" s="2769"/>
      <c r="E4477" s="2690"/>
      <c r="F4477" s="4422"/>
      <c r="G4477" s="911"/>
      <c r="H4477" s="2778"/>
      <c r="I4477" s="911"/>
      <c r="J4477" s="911"/>
      <c r="K4477" s="911"/>
      <c r="L4477" s="911"/>
      <c r="M4477" s="911"/>
      <c r="N4477" s="2768"/>
    </row>
    <row r="4478" spans="2:14" ht="16.5" hidden="1" customHeight="1" x14ac:dyDescent="0.25">
      <c r="B4478" s="441"/>
      <c r="C4478" s="2474" t="s">
        <v>5865</v>
      </c>
      <c r="D4478" s="899">
        <f>D4479</f>
        <v>238200000</v>
      </c>
      <c r="E4478" s="2695">
        <f>D4478/D4394*100</f>
        <v>0.2327180198545401</v>
      </c>
      <c r="F4478" s="3861"/>
      <c r="G4478" s="898"/>
      <c r="H4478" s="3035"/>
      <c r="I4478" s="898"/>
      <c r="J4478" s="898"/>
      <c r="K4478" s="898"/>
      <c r="L4478" s="898"/>
      <c r="M4478" s="898"/>
      <c r="N4478" s="2768"/>
    </row>
    <row r="4479" spans="2:14" ht="18" hidden="1" customHeight="1" x14ac:dyDescent="0.25">
      <c r="B4479" s="441"/>
      <c r="C4479" s="2473" t="s">
        <v>5866</v>
      </c>
      <c r="D4479" s="896">
        <v>238200000</v>
      </c>
      <c r="E4479" s="2690">
        <f>D4479/D4394*100</f>
        <v>0.2327180198545401</v>
      </c>
      <c r="F4479" s="3861"/>
      <c r="G4479" s="898"/>
      <c r="H4479" s="3035"/>
      <c r="I4479" s="898"/>
      <c r="J4479" s="898"/>
      <c r="K4479" s="898"/>
      <c r="L4479" s="898"/>
      <c r="M4479" s="898"/>
      <c r="N4479" s="2768"/>
    </row>
    <row r="4480" spans="2:14" ht="8.25" hidden="1" customHeight="1" x14ac:dyDescent="0.25">
      <c r="B4480" s="441"/>
      <c r="C4480" s="2474"/>
      <c r="D4480" s="896"/>
      <c r="E4480" s="2690"/>
      <c r="F4480" s="3861"/>
      <c r="G4480" s="898"/>
      <c r="H4480" s="3035"/>
      <c r="I4480" s="898"/>
      <c r="J4480" s="898"/>
      <c r="K4480" s="898"/>
      <c r="L4480" s="898"/>
      <c r="M4480" s="898"/>
      <c r="N4480" s="2768"/>
    </row>
    <row r="4481" spans="1:16" ht="16.5" hidden="1" customHeight="1" x14ac:dyDescent="0.25">
      <c r="B4481" s="441"/>
      <c r="C4481" s="2474" t="s">
        <v>5867</v>
      </c>
      <c r="D4481" s="899">
        <f>D4482</f>
        <v>400000000</v>
      </c>
      <c r="E4481" s="2695">
        <f>D4481/D4394*100</f>
        <v>0.39079432385313201</v>
      </c>
      <c r="F4481" s="3861"/>
      <c r="G4481" s="898"/>
      <c r="H4481" s="3035"/>
      <c r="I4481" s="898"/>
      <c r="J4481" s="898"/>
      <c r="K4481" s="898"/>
      <c r="L4481" s="898"/>
      <c r="M4481" s="898"/>
      <c r="N4481" s="2768"/>
    </row>
    <row r="4482" spans="1:16" ht="16.5" hidden="1" customHeight="1" x14ac:dyDescent="0.25">
      <c r="B4482" s="441"/>
      <c r="C4482" s="2473" t="s">
        <v>5868</v>
      </c>
      <c r="D4482" s="896">
        <v>400000000</v>
      </c>
      <c r="E4482" s="2690">
        <f>D4482/D4394*100</f>
        <v>0.39079432385313201</v>
      </c>
      <c r="F4482" s="3861"/>
      <c r="G4482" s="898"/>
      <c r="H4482" s="3035"/>
      <c r="I4482" s="898"/>
      <c r="J4482" s="898"/>
      <c r="K4482" s="898"/>
      <c r="L4482" s="898"/>
      <c r="M4482" s="898"/>
      <c r="N4482" s="2768"/>
    </row>
    <row r="4483" spans="1:16" ht="8.25" hidden="1" customHeight="1" x14ac:dyDescent="0.25">
      <c r="B4483" s="441"/>
      <c r="C4483" s="2475"/>
      <c r="D4483" s="2769"/>
      <c r="E4483" s="2690"/>
      <c r="F4483" s="3864"/>
      <c r="G4483" s="2755"/>
      <c r="H4483" s="2784"/>
      <c r="I4483" s="2755"/>
      <c r="J4483" s="2755"/>
      <c r="K4483" s="2755"/>
      <c r="L4483" s="2755"/>
      <c r="M4483" s="2755"/>
      <c r="N4483" s="2768"/>
    </row>
    <row r="4484" spans="1:16" s="32" customFormat="1" ht="18.75" hidden="1" customHeight="1" x14ac:dyDescent="0.25">
      <c r="A4484" s="1"/>
      <c r="B4484" s="441"/>
      <c r="C4484" s="2474" t="s">
        <v>5869</v>
      </c>
      <c r="D4484" s="899">
        <f>D4485</f>
        <v>214000000</v>
      </c>
      <c r="E4484" s="2695">
        <f>D4484/D4394*100</f>
        <v>0.20907496326142561</v>
      </c>
      <c r="F4484" s="3861"/>
      <c r="G4484" s="899"/>
      <c r="H4484" s="2695"/>
      <c r="I4484" s="899"/>
      <c r="J4484" s="899"/>
      <c r="K4484" s="899"/>
      <c r="L4484" s="899"/>
      <c r="M4484" s="899"/>
      <c r="N4484" s="2837"/>
      <c r="P4484" s="630"/>
    </row>
    <row r="4485" spans="1:16" ht="15.75" hidden="1" customHeight="1" x14ac:dyDescent="0.25">
      <c r="B4485" s="441"/>
      <c r="C4485" s="2473" t="s">
        <v>5870</v>
      </c>
      <c r="D4485" s="896">
        <v>214000000</v>
      </c>
      <c r="E4485" s="2690">
        <f>D4485/D4394*100</f>
        <v>0.20907496326142561</v>
      </c>
      <c r="F4485" s="3861"/>
      <c r="G4485" s="898"/>
      <c r="H4485" s="3035"/>
      <c r="I4485" s="898"/>
      <c r="J4485" s="898"/>
      <c r="K4485" s="898"/>
      <c r="L4485" s="898"/>
      <c r="M4485" s="898"/>
      <c r="N4485" s="2768"/>
    </row>
    <row r="4486" spans="1:16" ht="11.25" hidden="1" customHeight="1" x14ac:dyDescent="0.25">
      <c r="B4486" s="441"/>
      <c r="C4486" s="2473"/>
      <c r="D4486" s="896"/>
      <c r="E4486" s="2690"/>
      <c r="F4486" s="3861"/>
      <c r="G4486" s="898"/>
      <c r="H4486" s="3035"/>
      <c r="I4486" s="898"/>
      <c r="J4486" s="898"/>
      <c r="K4486" s="898"/>
      <c r="L4486" s="898"/>
      <c r="M4486" s="898"/>
      <c r="N4486" s="2768"/>
    </row>
    <row r="4487" spans="1:16" s="32" customFormat="1" ht="18" hidden="1" customHeight="1" x14ac:dyDescent="0.25">
      <c r="A4487" s="1"/>
      <c r="B4487" s="441"/>
      <c r="C4487" s="2474" t="s">
        <v>5871</v>
      </c>
      <c r="D4487" s="899">
        <f>SUM(D4488:D4489)</f>
        <v>280000000</v>
      </c>
      <c r="E4487" s="2695">
        <f>D4487/D4394*100</f>
        <v>0.27355602669719237</v>
      </c>
      <c r="F4487" s="3861"/>
      <c r="G4487" s="899"/>
      <c r="H4487" s="2695"/>
      <c r="I4487" s="899"/>
      <c r="J4487" s="899"/>
      <c r="K4487" s="899"/>
      <c r="L4487" s="899"/>
      <c r="M4487" s="899"/>
      <c r="N4487" s="2837"/>
      <c r="P4487" s="630"/>
    </row>
    <row r="4488" spans="1:16" ht="17.25" hidden="1" customHeight="1" x14ac:dyDescent="0.25">
      <c r="B4488" s="441"/>
      <c r="C4488" s="2473" t="s">
        <v>5872</v>
      </c>
      <c r="D4488" s="896">
        <v>200000000</v>
      </c>
      <c r="E4488" s="2690">
        <f>D4488/D4394*100</f>
        <v>0.195397161926566</v>
      </c>
      <c r="F4488" s="3861"/>
      <c r="G4488" s="898"/>
      <c r="H4488" s="3035"/>
      <c r="I4488" s="898"/>
      <c r="J4488" s="898"/>
      <c r="K4488" s="898"/>
      <c r="L4488" s="898"/>
      <c r="M4488" s="898"/>
      <c r="N4488" s="2768"/>
    </row>
    <row r="4489" spans="1:16" ht="16.5" hidden="1" customHeight="1" x14ac:dyDescent="0.25">
      <c r="B4489" s="441"/>
      <c r="C4489" s="2473" t="s">
        <v>5873</v>
      </c>
      <c r="D4489" s="896">
        <v>80000000</v>
      </c>
      <c r="E4489" s="2690">
        <f>D4489/D4394*100</f>
        <v>7.8158864770626404E-2</v>
      </c>
      <c r="F4489" s="3861"/>
      <c r="G4489" s="898"/>
      <c r="H4489" s="3035"/>
      <c r="I4489" s="898"/>
      <c r="J4489" s="898"/>
      <c r="K4489" s="898"/>
      <c r="L4489" s="898"/>
      <c r="M4489" s="898"/>
      <c r="N4489" s="2768"/>
    </row>
    <row r="4490" spans="1:16" ht="12" hidden="1" customHeight="1" x14ac:dyDescent="0.25">
      <c r="B4490" s="441"/>
      <c r="C4490" s="2478"/>
      <c r="D4490" s="2769"/>
      <c r="E4490" s="2784"/>
      <c r="F4490" s="3864"/>
      <c r="G4490" s="2755"/>
      <c r="H4490" s="2784"/>
      <c r="I4490" s="2755"/>
      <c r="J4490" s="2755"/>
      <c r="K4490" s="2755"/>
      <c r="L4490" s="2755"/>
      <c r="M4490" s="2755"/>
      <c r="N4490" s="2768"/>
    </row>
    <row r="4491" spans="1:16" ht="17.25" hidden="1" customHeight="1" x14ac:dyDescent="0.25">
      <c r="B4491" s="440"/>
      <c r="C4491" s="2532" t="s">
        <v>2618</v>
      </c>
      <c r="D4491" s="2744">
        <f>SUM(D4492+D4495+D4499+D4502+D4506+D4509+D4512)</f>
        <v>5390320000</v>
      </c>
      <c r="E4491" s="2672">
        <f>D4491/D4394*100</f>
        <v>5.2662661493800362</v>
      </c>
      <c r="F4491" s="3850"/>
      <c r="G4491" s="2886"/>
      <c r="H4491" s="2672"/>
      <c r="I4491" s="2719"/>
      <c r="J4491" s="2887"/>
      <c r="K4491" s="2887"/>
      <c r="L4491" s="2672"/>
      <c r="M4491" s="2719"/>
      <c r="N4491" s="2768"/>
    </row>
    <row r="4492" spans="1:16" ht="16.5" hidden="1" customHeight="1" x14ac:dyDescent="0.25">
      <c r="B4492" s="441"/>
      <c r="C4492" s="2521" t="s">
        <v>5874</v>
      </c>
      <c r="D4492" s="2825">
        <f>D4493</f>
        <v>0</v>
      </c>
      <c r="E4492" s="2734">
        <f>D4492/D4394*100</f>
        <v>0</v>
      </c>
      <c r="F4492" s="3914"/>
      <c r="G4492" s="2900"/>
      <c r="H4492" s="2695"/>
      <c r="I4492" s="2722"/>
      <c r="J4492" s="3485"/>
      <c r="K4492" s="3485"/>
      <c r="L4492" s="2695"/>
      <c r="M4492" s="2722"/>
      <c r="N4492" s="2768"/>
    </row>
    <row r="4493" spans="1:16" ht="18" hidden="1" customHeight="1" x14ac:dyDescent="0.25">
      <c r="B4493" s="441"/>
      <c r="C4493" s="2524" t="s">
        <v>5875</v>
      </c>
      <c r="D4493" s="896">
        <v>0</v>
      </c>
      <c r="E4493" s="2690">
        <f>D4493/D4394*100</f>
        <v>0</v>
      </c>
      <c r="F4493" s="3862"/>
      <c r="G4493" s="2864"/>
      <c r="H4493" s="2685"/>
      <c r="I4493" s="2685"/>
      <c r="J4493" s="3486"/>
      <c r="K4493" s="3486"/>
      <c r="L4493" s="2685"/>
      <c r="M4493" s="2830"/>
      <c r="N4493" s="2768"/>
    </row>
    <row r="4494" spans="1:16" ht="11.25" hidden="1" customHeight="1" x14ac:dyDescent="0.25">
      <c r="B4494" s="441"/>
      <c r="C4494" s="2527"/>
      <c r="D4494" s="898"/>
      <c r="E4494" s="2690"/>
      <c r="F4494" s="3862"/>
      <c r="G4494" s="2980"/>
      <c r="H4494" s="2685"/>
      <c r="I4494" s="2685"/>
      <c r="J4494" s="943"/>
      <c r="K4494" s="3476"/>
      <c r="L4494" s="3145"/>
      <c r="M4494" s="2830"/>
      <c r="N4494" s="2768"/>
    </row>
    <row r="4495" spans="1:16" ht="15.75" hidden="1" customHeight="1" x14ac:dyDescent="0.25">
      <c r="B4495" s="441"/>
      <c r="C4495" s="2521" t="s">
        <v>5876</v>
      </c>
      <c r="D4495" s="2692">
        <f>SUM(D4496:D4497)</f>
        <v>0</v>
      </c>
      <c r="E4495" s="2695">
        <f>D4495/D4394*100</f>
        <v>0</v>
      </c>
      <c r="F4495" s="3834"/>
      <c r="G4495" s="2679"/>
      <c r="H4495" s="2695"/>
      <c r="I4495" s="2695"/>
      <c r="J4495" s="2694"/>
      <c r="K4495" s="2694"/>
      <c r="L4495" s="2695"/>
      <c r="M4495" s="2695"/>
      <c r="N4495" s="2768"/>
    </row>
    <row r="4496" spans="1:16" ht="32.25" hidden="1" customHeight="1" x14ac:dyDescent="0.25">
      <c r="B4496" s="441"/>
      <c r="C4496" s="2524" t="s">
        <v>6040</v>
      </c>
      <c r="D4496" s="2709">
        <v>0</v>
      </c>
      <c r="E4496" s="2690">
        <f>D4496/D4394*100</f>
        <v>0</v>
      </c>
      <c r="F4496" s="4452"/>
      <c r="G4496" s="2864"/>
      <c r="H4496" s="2685"/>
      <c r="I4496" s="2685"/>
      <c r="J4496" s="3487"/>
      <c r="K4496" s="3487"/>
      <c r="L4496" s="2685"/>
      <c r="M4496" s="2830"/>
      <c r="N4496" s="2768"/>
    </row>
    <row r="4497" spans="1:16" s="196" customFormat="1" ht="30" hidden="1" customHeight="1" x14ac:dyDescent="0.25">
      <c r="A4497" s="12"/>
      <c r="B4497" s="442"/>
      <c r="C4497" s="2524" t="s">
        <v>6673</v>
      </c>
      <c r="D4497" s="2698">
        <v>0</v>
      </c>
      <c r="E4497" s="2690">
        <f>D4497/D4394*100</f>
        <v>0</v>
      </c>
      <c r="F4497" s="4384"/>
      <c r="G4497" s="2864"/>
      <c r="H4497" s="2685"/>
      <c r="I4497" s="2685"/>
      <c r="J4497" s="3476"/>
      <c r="K4497" s="3476"/>
      <c r="L4497" s="2685"/>
      <c r="M4497" s="2830"/>
      <c r="N4497" s="2951"/>
      <c r="P4497" s="631"/>
    </row>
    <row r="4498" spans="1:16" ht="11.25" hidden="1" customHeight="1" x14ac:dyDescent="0.25">
      <c r="B4498" s="441"/>
      <c r="C4498" s="2528"/>
      <c r="D4498" s="2805"/>
      <c r="E4498" s="3035"/>
      <c r="F4498" s="3834"/>
      <c r="G4498" s="2980"/>
      <c r="H4498" s="2685"/>
      <c r="I4498" s="2685"/>
      <c r="J4498" s="3476"/>
      <c r="K4498" s="3476"/>
      <c r="L4498" s="2685"/>
      <c r="M4498" s="2830"/>
      <c r="N4498" s="2768"/>
    </row>
    <row r="4499" spans="1:16" ht="29.25" hidden="1" customHeight="1" x14ac:dyDescent="0.25">
      <c r="B4499" s="441"/>
      <c r="C4499" s="2525" t="s">
        <v>5877</v>
      </c>
      <c r="D4499" s="2692">
        <f>D4500</f>
        <v>218580000</v>
      </c>
      <c r="E4499" s="2695">
        <f>D4499/D4394*100</f>
        <v>0.213549558269544</v>
      </c>
      <c r="F4499" s="3834"/>
      <c r="G4499" s="2679"/>
      <c r="H4499" s="2695"/>
      <c r="I4499" s="2695"/>
      <c r="J4499" s="2694"/>
      <c r="K4499" s="2694"/>
      <c r="L4499" s="2695"/>
      <c r="M4499" s="2695"/>
      <c r="N4499" s="2768"/>
    </row>
    <row r="4500" spans="1:16" ht="20.25" hidden="1" customHeight="1" x14ac:dyDescent="0.25">
      <c r="B4500" s="441"/>
      <c r="C4500" s="2524" t="s">
        <v>5878</v>
      </c>
      <c r="D4500" s="2769">
        <v>218580000</v>
      </c>
      <c r="E4500" s="2690">
        <f>D4500/D4394*100</f>
        <v>0.213549558269544</v>
      </c>
      <c r="F4500" s="4426"/>
      <c r="G4500" s="2864"/>
      <c r="H4500" s="2685"/>
      <c r="I4500" s="2685"/>
      <c r="J4500" s="3488"/>
      <c r="K4500" s="3488"/>
      <c r="L4500" s="2685"/>
      <c r="M4500" s="2830"/>
      <c r="N4500" s="2768"/>
    </row>
    <row r="4501" spans="1:16" ht="10.5" hidden="1" customHeight="1" x14ac:dyDescent="0.25">
      <c r="B4501" s="441"/>
      <c r="C4501" s="2527"/>
      <c r="D4501" s="898"/>
      <c r="E4501" s="2695"/>
      <c r="F4501" s="3862"/>
      <c r="G4501" s="2980"/>
      <c r="H4501" s="2679"/>
      <c r="I4501" s="2679"/>
      <c r="J4501" s="2930"/>
      <c r="K4501" s="3489"/>
      <c r="L4501" s="2679"/>
      <c r="M4501" s="2722"/>
      <c r="N4501" s="2768"/>
    </row>
    <row r="4502" spans="1:16" ht="15.75" hidden="1" customHeight="1" x14ac:dyDescent="0.25">
      <c r="B4502" s="441"/>
      <c r="C4502" s="2521" t="s">
        <v>5879</v>
      </c>
      <c r="D4502" s="2692">
        <f>SUM(D4503:D4504)</f>
        <v>5171740000</v>
      </c>
      <c r="E4502" s="2695">
        <f>D4502/D4394*100</f>
        <v>5.0527165911104923</v>
      </c>
      <c r="F4502" s="3834"/>
      <c r="G4502" s="2679"/>
      <c r="H4502" s="2695"/>
      <c r="I4502" s="2679"/>
      <c r="J4502" s="2694"/>
      <c r="K4502" s="2694"/>
      <c r="L4502" s="2695"/>
      <c r="M4502" s="2722"/>
      <c r="N4502" s="2768"/>
    </row>
    <row r="4503" spans="1:16" ht="30.75" hidden="1" customHeight="1" x14ac:dyDescent="0.25">
      <c r="B4503" s="441"/>
      <c r="C4503" s="2533" t="s">
        <v>5880</v>
      </c>
      <c r="D4503" s="2769">
        <v>3651280000</v>
      </c>
      <c r="E4503" s="2690">
        <f>D4503/D4394*100</f>
        <v>3.5672487469961593</v>
      </c>
      <c r="F4503" s="4426"/>
      <c r="G4503" s="2709"/>
      <c r="H4503" s="2708"/>
      <c r="I4503" s="2709"/>
      <c r="J4503" s="3490"/>
      <c r="K4503" s="3490"/>
      <c r="L4503" s="2708"/>
      <c r="M4503" s="2709"/>
      <c r="N4503" s="2768"/>
    </row>
    <row r="4504" spans="1:16" ht="28.5" hidden="1" customHeight="1" x14ac:dyDescent="0.25">
      <c r="B4504" s="441"/>
      <c r="C4504" s="2533" t="s">
        <v>5881</v>
      </c>
      <c r="D4504" s="2709">
        <v>1520460000</v>
      </c>
      <c r="E4504" s="2690">
        <f>D4504/D4394*100</f>
        <v>1.4854678441143325</v>
      </c>
      <c r="F4504" s="3861"/>
      <c r="G4504" s="898"/>
      <c r="H4504" s="3035"/>
      <c r="I4504" s="898"/>
      <c r="J4504" s="898"/>
      <c r="K4504" s="898"/>
      <c r="L4504" s="898"/>
      <c r="M4504" s="898"/>
      <c r="N4504" s="2768"/>
    </row>
    <row r="4505" spans="1:16" ht="12" hidden="1" customHeight="1" x14ac:dyDescent="0.25">
      <c r="B4505" s="441"/>
      <c r="C4505" s="2527"/>
      <c r="D4505" s="2709"/>
      <c r="E4505" s="2784"/>
      <c r="F4505" s="3864"/>
      <c r="G4505" s="2755"/>
      <c r="H4505" s="2784"/>
      <c r="I4505" s="2755"/>
      <c r="J4505" s="2755"/>
      <c r="K4505" s="2755"/>
      <c r="L4505" s="2755"/>
      <c r="M4505" s="2755"/>
      <c r="N4505" s="2768"/>
    </row>
    <row r="4506" spans="1:16" ht="17.25" hidden="1" customHeight="1" x14ac:dyDescent="0.25">
      <c r="B4506" s="441"/>
      <c r="C4506" s="2491" t="s">
        <v>5882</v>
      </c>
      <c r="D4506" s="899">
        <f>D4507</f>
        <v>0</v>
      </c>
      <c r="E4506" s="2695">
        <f>D4506/D4394*100</f>
        <v>0</v>
      </c>
      <c r="F4506" s="3861"/>
      <c r="G4506" s="2970"/>
      <c r="H4506" s="2969"/>
      <c r="I4506" s="2970"/>
      <c r="J4506" s="2767"/>
      <c r="K4506" s="2970"/>
      <c r="L4506" s="2970"/>
      <c r="M4506" s="2970"/>
      <c r="N4506" s="2768"/>
    </row>
    <row r="4507" spans="1:16" ht="18.75" hidden="1" customHeight="1" x14ac:dyDescent="0.25">
      <c r="B4507" s="441"/>
      <c r="C4507" s="2473" t="s">
        <v>5883</v>
      </c>
      <c r="D4507" s="896">
        <v>0</v>
      </c>
      <c r="E4507" s="2690">
        <f>D4507/D4394*100</f>
        <v>0</v>
      </c>
      <c r="F4507" s="4446"/>
      <c r="G4507" s="2757"/>
      <c r="H4507" s="2967"/>
      <c r="I4507" s="2757"/>
      <c r="J4507" s="3491"/>
      <c r="K4507" s="2757"/>
      <c r="L4507" s="2757"/>
      <c r="M4507" s="2757"/>
      <c r="N4507" s="2768"/>
    </row>
    <row r="4508" spans="1:16" ht="10.5" hidden="1" customHeight="1" x14ac:dyDescent="0.25">
      <c r="B4508" s="441"/>
      <c r="C4508" s="2475"/>
      <c r="D4508" s="2769"/>
      <c r="E4508" s="2690"/>
      <c r="F4508" s="4453"/>
      <c r="G4508" s="2753"/>
      <c r="H4508" s="2993"/>
      <c r="I4508" s="2753"/>
      <c r="J4508" s="3812"/>
      <c r="K4508" s="2753"/>
      <c r="L4508" s="2753"/>
      <c r="M4508" s="2753"/>
      <c r="N4508" s="2768"/>
    </row>
    <row r="4509" spans="1:16" s="32" customFormat="1" ht="22.5" hidden="1" customHeight="1" x14ac:dyDescent="0.25">
      <c r="A4509" s="1"/>
      <c r="B4509" s="441"/>
      <c r="C4509" s="2474" t="s">
        <v>5884</v>
      </c>
      <c r="D4509" s="899">
        <f>D4510</f>
        <v>0</v>
      </c>
      <c r="E4509" s="2695">
        <f>D4509/D4394*100</f>
        <v>0</v>
      </c>
      <c r="F4509" s="3861"/>
      <c r="G4509" s="2970"/>
      <c r="H4509" s="2969"/>
      <c r="I4509" s="2970"/>
      <c r="J4509" s="3813"/>
      <c r="K4509" s="2970"/>
      <c r="L4509" s="2970"/>
      <c r="M4509" s="2970"/>
      <c r="N4509" s="2837"/>
      <c r="P4509" s="630"/>
    </row>
    <row r="4510" spans="1:16" ht="17.25" hidden="1" customHeight="1" x14ac:dyDescent="0.25">
      <c r="B4510" s="441"/>
      <c r="C4510" s="2473" t="s">
        <v>5885</v>
      </c>
      <c r="D4510" s="896">
        <v>0</v>
      </c>
      <c r="E4510" s="2690">
        <f>D4510/D4394*100</f>
        <v>0</v>
      </c>
      <c r="F4510" s="4446"/>
      <c r="G4510" s="2757"/>
      <c r="H4510" s="2967"/>
      <c r="I4510" s="2757"/>
      <c r="J4510" s="3491"/>
      <c r="K4510" s="2757"/>
      <c r="L4510" s="2757"/>
      <c r="M4510" s="2757"/>
      <c r="N4510" s="2768"/>
    </row>
    <row r="4511" spans="1:16" ht="9" hidden="1" customHeight="1" x14ac:dyDescent="0.25">
      <c r="B4511" s="441"/>
      <c r="C4511" s="2473"/>
      <c r="D4511" s="896"/>
      <c r="E4511" s="2690"/>
      <c r="F4511" s="4446"/>
      <c r="G4511" s="2757"/>
      <c r="H4511" s="2967"/>
      <c r="I4511" s="2757"/>
      <c r="J4511" s="3491"/>
      <c r="K4511" s="2757"/>
      <c r="L4511" s="2757"/>
      <c r="M4511" s="2757"/>
      <c r="N4511" s="2768"/>
    </row>
    <row r="4512" spans="1:16" s="32" customFormat="1" ht="19.5" hidden="1" customHeight="1" x14ac:dyDescent="0.25">
      <c r="A4512" s="1"/>
      <c r="B4512" s="441"/>
      <c r="C4512" s="2474" t="s">
        <v>5886</v>
      </c>
      <c r="D4512" s="899">
        <f>D4513</f>
        <v>0</v>
      </c>
      <c r="E4512" s="2695">
        <f>D4512/D4394*100</f>
        <v>0</v>
      </c>
      <c r="F4512" s="3861"/>
      <c r="G4512" s="2970"/>
      <c r="H4512" s="2969"/>
      <c r="I4512" s="2970"/>
      <c r="J4512" s="3813"/>
      <c r="K4512" s="2970"/>
      <c r="L4512" s="2970"/>
      <c r="M4512" s="2970"/>
      <c r="N4512" s="2837"/>
      <c r="P4512" s="630"/>
    </row>
    <row r="4513" spans="1:16" ht="29.25" hidden="1" customHeight="1" x14ac:dyDescent="0.25">
      <c r="B4513" s="441"/>
      <c r="C4513" s="2473" t="s">
        <v>5887</v>
      </c>
      <c r="D4513" s="896">
        <v>0</v>
      </c>
      <c r="E4513" s="2690">
        <f>D4513/D4394*100</f>
        <v>0</v>
      </c>
      <c r="F4513" s="4446"/>
      <c r="G4513" s="2757"/>
      <c r="H4513" s="2967"/>
      <c r="I4513" s="2757"/>
      <c r="J4513" s="3491"/>
      <c r="K4513" s="2757"/>
      <c r="L4513" s="2757"/>
      <c r="M4513" s="2757"/>
      <c r="N4513" s="2768"/>
    </row>
    <row r="4514" spans="1:16" ht="12" hidden="1" customHeight="1" x14ac:dyDescent="0.25">
      <c r="B4514" s="441"/>
      <c r="C4514" s="2528"/>
      <c r="D4514" s="2769"/>
      <c r="E4514" s="2784"/>
      <c r="F4514" s="3864"/>
      <c r="G4514" s="2755"/>
      <c r="H4514" s="2784"/>
      <c r="I4514" s="2755"/>
      <c r="J4514" s="2755"/>
      <c r="K4514" s="2755"/>
      <c r="L4514" s="2755"/>
      <c r="M4514" s="2755"/>
      <c r="N4514" s="2768"/>
    </row>
    <row r="4515" spans="1:16" s="20" customFormat="1" ht="18.75" hidden="1" customHeight="1" x14ac:dyDescent="0.25">
      <c r="A4515" s="963"/>
      <c r="B4515" s="440"/>
      <c r="C4515" s="2532" t="s">
        <v>6038</v>
      </c>
      <c r="D4515" s="2744">
        <f>SUM(D4516)</f>
        <v>8715000000</v>
      </c>
      <c r="E4515" s="2672">
        <f>D4515/D4394*100</f>
        <v>8.5144313309501136</v>
      </c>
      <c r="F4515" s="3863"/>
      <c r="G4515" s="2986"/>
      <c r="H4515" s="2672"/>
      <c r="I4515" s="2744"/>
      <c r="J4515" s="2988"/>
      <c r="K4515" s="2988"/>
      <c r="L4515" s="2672"/>
      <c r="M4515" s="2744"/>
      <c r="N4515" s="2704"/>
      <c r="P4515" s="617"/>
    </row>
    <row r="4516" spans="1:16" s="20" customFormat="1" ht="29.25" hidden="1" customHeight="1" x14ac:dyDescent="0.25">
      <c r="A4516" s="963"/>
      <c r="B4516" s="441"/>
      <c r="C4516" s="2521" t="s">
        <v>2699</v>
      </c>
      <c r="D4516" s="2751">
        <f>SUM(D4517)</f>
        <v>8715000000</v>
      </c>
      <c r="E4516" s="2734">
        <f>D4516/D4394*100</f>
        <v>8.5144313309501136</v>
      </c>
      <c r="F4516" s="3916"/>
      <c r="G4516" s="2970"/>
      <c r="H4516" s="2969"/>
      <c r="I4516" s="2970"/>
      <c r="J4516" s="2751"/>
      <c r="K4516" s="2970"/>
      <c r="L4516" s="2969"/>
      <c r="M4516" s="2970"/>
      <c r="N4516" s="2704"/>
      <c r="P4516" s="617"/>
    </row>
    <row r="4517" spans="1:16" s="20" customFormat="1" ht="21" hidden="1" customHeight="1" x14ac:dyDescent="0.25">
      <c r="A4517" s="963"/>
      <c r="B4517" s="441"/>
      <c r="C4517" s="2524" t="s">
        <v>6039</v>
      </c>
      <c r="D4517" s="2698">
        <v>8715000000</v>
      </c>
      <c r="E4517" s="2690">
        <f>D4517/D4394*100</f>
        <v>8.5144313309501136</v>
      </c>
      <c r="F4517" s="4384"/>
      <c r="G4517" s="2757"/>
      <c r="H4517" s="2967"/>
      <c r="I4517" s="2757"/>
      <c r="J4517" s="3492"/>
      <c r="K4517" s="2757"/>
      <c r="L4517" s="2967"/>
      <c r="M4517" s="2757"/>
      <c r="N4517" s="2704"/>
      <c r="P4517" s="617"/>
    </row>
    <row r="4518" spans="1:16" s="27" customFormat="1" ht="12" hidden="1" customHeight="1" x14ac:dyDescent="0.25">
      <c r="A4518" s="6"/>
      <c r="B4518" s="441"/>
      <c r="C4518" s="2528"/>
      <c r="D4518" s="2769"/>
      <c r="E4518" s="2784"/>
      <c r="F4518" s="3872"/>
      <c r="G4518" s="2755"/>
      <c r="H4518" s="2784"/>
      <c r="I4518" s="2755"/>
      <c r="J4518" s="2755"/>
      <c r="K4518" s="2755"/>
      <c r="L4518" s="2755"/>
      <c r="M4518" s="2755"/>
      <c r="N4518" s="2701"/>
      <c r="P4518" s="80"/>
    </row>
    <row r="4519" spans="1:16" s="20" customFormat="1" ht="17.25" hidden="1" customHeight="1" x14ac:dyDescent="0.25">
      <c r="A4519" s="963"/>
      <c r="B4519" s="458"/>
      <c r="C4519" s="2532" t="s">
        <v>2703</v>
      </c>
      <c r="D4519" s="2744">
        <f>SUM(D4520+D4523)</f>
        <v>0</v>
      </c>
      <c r="E4519" s="2672">
        <f>D4519/D4394*100</f>
        <v>0</v>
      </c>
      <c r="F4519" s="3844"/>
      <c r="G4519" s="2987"/>
      <c r="H4519" s="2670"/>
      <c r="I4519" s="2987"/>
      <c r="J4519" s="2744"/>
      <c r="K4519" s="2744"/>
      <c r="L4519" s="2672"/>
      <c r="M4519" s="2719"/>
      <c r="N4519" s="2704"/>
      <c r="P4519" s="617"/>
    </row>
    <row r="4520" spans="1:16" s="20" customFormat="1" ht="19.5" hidden="1" customHeight="1" x14ac:dyDescent="0.25">
      <c r="A4520" s="963"/>
      <c r="B4520" s="441"/>
      <c r="C4520" s="2521" t="s">
        <v>5888</v>
      </c>
      <c r="D4520" s="2759">
        <f>D4521</f>
        <v>0</v>
      </c>
      <c r="E4520" s="2734">
        <f>D4520/D4394*100</f>
        <v>0</v>
      </c>
      <c r="F4520" s="3865"/>
      <c r="G4520" s="2970"/>
      <c r="H4520" s="2969"/>
      <c r="I4520" s="2970"/>
      <c r="J4520" s="2901"/>
      <c r="K4520" s="2970"/>
      <c r="L4520" s="2969"/>
      <c r="M4520" s="2970"/>
      <c r="N4520" s="2704"/>
      <c r="P4520" s="617"/>
    </row>
    <row r="4521" spans="1:16" s="20" customFormat="1" ht="17.25" hidden="1" customHeight="1" x14ac:dyDescent="0.25">
      <c r="A4521" s="963"/>
      <c r="B4521" s="441"/>
      <c r="C4521" s="2524" t="s">
        <v>5889</v>
      </c>
      <c r="D4521" s="2698">
        <v>0</v>
      </c>
      <c r="E4521" s="2690">
        <f>D4521/D4394*100</f>
        <v>0</v>
      </c>
      <c r="F4521" s="4384"/>
      <c r="G4521" s="2757"/>
      <c r="H4521" s="2967"/>
      <c r="I4521" s="2757"/>
      <c r="J4521" s="3495"/>
      <c r="K4521" s="2757"/>
      <c r="L4521" s="2967"/>
      <c r="M4521" s="2757"/>
      <c r="N4521" s="2704"/>
      <c r="P4521" s="617"/>
    </row>
    <row r="4522" spans="1:16" s="20" customFormat="1" ht="12" hidden="1" customHeight="1" x14ac:dyDescent="0.25">
      <c r="A4522" s="963"/>
      <c r="B4522" s="441"/>
      <c r="C4522" s="2526"/>
      <c r="D4522" s="2724"/>
      <c r="E4522" s="2690"/>
      <c r="F4522" s="4464"/>
      <c r="G4522" s="2742"/>
      <c r="H4522" s="2985"/>
      <c r="I4522" s="2742"/>
      <c r="J4522" s="3814"/>
      <c r="K4522" s="2753"/>
      <c r="L4522" s="2985"/>
      <c r="M4522" s="2742"/>
      <c r="N4522" s="2704"/>
      <c r="P4522" s="617"/>
    </row>
    <row r="4523" spans="1:16" s="32" customFormat="1" ht="17.25" hidden="1" customHeight="1" x14ac:dyDescent="0.25">
      <c r="A4523" s="470"/>
      <c r="B4523" s="441"/>
      <c r="C4523" s="2525" t="s">
        <v>5890</v>
      </c>
      <c r="D4523" s="2692">
        <f>D4524</f>
        <v>0</v>
      </c>
      <c r="E4523" s="2695">
        <f>D4523/D4394*100</f>
        <v>0</v>
      </c>
      <c r="F4523" s="3912"/>
      <c r="G4523" s="3001"/>
      <c r="H4523" s="2976"/>
      <c r="I4523" s="3001"/>
      <c r="J4523" s="3815"/>
      <c r="K4523" s="3009"/>
      <c r="L4523" s="2976"/>
      <c r="M4523" s="3001"/>
      <c r="N4523" s="3115"/>
      <c r="P4523" s="630"/>
    </row>
    <row r="4524" spans="1:16" s="20" customFormat="1" ht="17.25" hidden="1" customHeight="1" x14ac:dyDescent="0.25">
      <c r="A4524" s="963"/>
      <c r="B4524" s="441"/>
      <c r="C4524" s="2524" t="s">
        <v>5891</v>
      </c>
      <c r="D4524" s="2698">
        <v>0</v>
      </c>
      <c r="E4524" s="2690">
        <f>D4524/D4394*100</f>
        <v>0</v>
      </c>
      <c r="F4524" s="4464"/>
      <c r="G4524" s="2742"/>
      <c r="H4524" s="2985"/>
      <c r="I4524" s="2742"/>
      <c r="J4524" s="3814"/>
      <c r="K4524" s="2753"/>
      <c r="L4524" s="2985"/>
      <c r="M4524" s="2742"/>
      <c r="N4524" s="2704"/>
      <c r="P4524" s="617"/>
    </row>
    <row r="4525" spans="1:16" ht="12" hidden="1" customHeight="1" x14ac:dyDescent="0.25">
      <c r="B4525" s="441"/>
      <c r="C4525" s="2528"/>
      <c r="D4525" s="2724"/>
      <c r="E4525" s="2784"/>
      <c r="F4525" s="4422"/>
      <c r="G4525" s="911"/>
      <c r="H4525" s="2778"/>
      <c r="I4525" s="911"/>
      <c r="J4525" s="2755"/>
      <c r="K4525" s="2755"/>
      <c r="L4525" s="911"/>
      <c r="M4525" s="911"/>
      <c r="N4525" s="2768"/>
    </row>
    <row r="4526" spans="1:16" ht="17.25" hidden="1" customHeight="1" x14ac:dyDescent="0.25">
      <c r="B4526" s="440"/>
      <c r="C4526" s="2497" t="s">
        <v>2355</v>
      </c>
      <c r="D4526" s="2669">
        <f>SUM(D4527)</f>
        <v>0</v>
      </c>
      <c r="E4526" s="2672">
        <f>D4526/D4394*100</f>
        <v>0</v>
      </c>
      <c r="F4526" s="3835"/>
      <c r="G4526" s="2719"/>
      <c r="H4526" s="2672"/>
      <c r="I4526" s="2744"/>
      <c r="J4526" s="2720"/>
      <c r="K4526" s="2720"/>
      <c r="L4526" s="2672"/>
      <c r="M4526" s="2744"/>
      <c r="N4526" s="2768"/>
    </row>
    <row r="4527" spans="1:16" ht="17.25" hidden="1" customHeight="1" x14ac:dyDescent="0.25">
      <c r="B4527" s="441"/>
      <c r="C4527" s="2521" t="s">
        <v>5892</v>
      </c>
      <c r="D4527" s="2826">
        <f>SUM(D4528+D4529)</f>
        <v>0</v>
      </c>
      <c r="E4527" s="2734">
        <f>D4527/D4394*100</f>
        <v>0</v>
      </c>
      <c r="F4527" s="3867"/>
      <c r="G4527" s="3012"/>
      <c r="H4527" s="2695"/>
      <c r="I4527" s="2751"/>
      <c r="J4527" s="3013"/>
      <c r="K4527" s="3013"/>
      <c r="L4527" s="2695"/>
      <c r="M4527" s="2751"/>
      <c r="N4527" s="2768"/>
    </row>
    <row r="4528" spans="1:16" ht="17.25" hidden="1" customHeight="1" x14ac:dyDescent="0.25">
      <c r="B4528" s="441"/>
      <c r="C4528" s="2495" t="s">
        <v>5893</v>
      </c>
      <c r="D4528" s="2706">
        <v>0</v>
      </c>
      <c r="E4528" s="2710">
        <f>D4528/D4394*100</f>
        <v>0</v>
      </c>
      <c r="F4528" s="4464"/>
      <c r="G4528" s="911"/>
      <c r="H4528" s="2708"/>
      <c r="I4528" s="2709"/>
      <c r="J4528" s="3816"/>
      <c r="K4528" s="3816"/>
      <c r="L4528" s="2708"/>
      <c r="M4528" s="2769"/>
      <c r="N4528" s="2768"/>
    </row>
    <row r="4529" spans="1:16" ht="18.75" hidden="1" customHeight="1" x14ac:dyDescent="0.25">
      <c r="B4529" s="441"/>
      <c r="C4529" s="2524" t="s">
        <v>5894</v>
      </c>
      <c r="D4529" s="2698">
        <v>0</v>
      </c>
      <c r="E4529" s="2710">
        <f>D4529/D4394*100</f>
        <v>0</v>
      </c>
      <c r="F4529" s="3876"/>
      <c r="G4529" s="898"/>
      <c r="H4529" s="3035"/>
      <c r="I4529" s="898"/>
      <c r="J4529" s="898"/>
      <c r="K4529" s="898"/>
      <c r="L4529" s="898"/>
      <c r="M4529" s="898"/>
      <c r="N4529" s="2768"/>
    </row>
    <row r="4530" spans="1:16" ht="12" hidden="1" customHeight="1" x14ac:dyDescent="0.25">
      <c r="B4530" s="441"/>
      <c r="C4530" s="2528"/>
      <c r="D4530" s="2724"/>
      <c r="E4530" s="2752"/>
      <c r="F4530" s="3833"/>
      <c r="G4530" s="3139"/>
      <c r="H4530" s="3496"/>
      <c r="I4530" s="3139"/>
      <c r="J4530" s="3139"/>
      <c r="K4530" s="2755"/>
      <c r="L4530" s="2755"/>
      <c r="M4530" s="2755"/>
      <c r="N4530" s="2768"/>
    </row>
    <row r="4531" spans="1:16" s="20" customFormat="1" ht="18" hidden="1" customHeight="1" x14ac:dyDescent="0.25">
      <c r="A4531" s="963"/>
      <c r="B4531" s="440"/>
      <c r="C4531" s="2471" t="s">
        <v>5895</v>
      </c>
      <c r="D4531" s="2744">
        <f>D4532</f>
        <v>180000000</v>
      </c>
      <c r="E4531" s="2672">
        <f>D4531/D4394*100</f>
        <v>0.17585744573390941</v>
      </c>
      <c r="F4531" s="3850"/>
      <c r="G4531" s="2886"/>
      <c r="H4531" s="2672"/>
      <c r="I4531" s="2744"/>
      <c r="J4531" s="2887"/>
      <c r="K4531" s="2887"/>
      <c r="L4531" s="2672"/>
      <c r="M4531" s="2744"/>
      <c r="N4531" s="2704"/>
      <c r="P4531" s="617"/>
    </row>
    <row r="4532" spans="1:16" s="20" customFormat="1" ht="17.25" hidden="1" customHeight="1" x14ac:dyDescent="0.25">
      <c r="A4532" s="963"/>
      <c r="B4532" s="441"/>
      <c r="C4532" s="2521" t="s">
        <v>5896</v>
      </c>
      <c r="D4532" s="2825">
        <f>SUM(D4533:D4533)</f>
        <v>180000000</v>
      </c>
      <c r="E4532" s="2734">
        <f>D4532/D4394*100</f>
        <v>0.17585744573390941</v>
      </c>
      <c r="F4532" s="3914"/>
      <c r="G4532" s="2900"/>
      <c r="H4532" s="2695"/>
      <c r="I4532" s="2759"/>
      <c r="J4532" s="3485"/>
      <c r="K4532" s="3485"/>
      <c r="L4532" s="2695"/>
      <c r="M4532" s="2759"/>
      <c r="N4532" s="2704"/>
      <c r="P4532" s="617"/>
    </row>
    <row r="4533" spans="1:16" s="20" customFormat="1" ht="17.25" hidden="1" customHeight="1" x14ac:dyDescent="0.25">
      <c r="A4533" s="963"/>
      <c r="B4533" s="441"/>
      <c r="C4533" s="2494" t="s">
        <v>5897</v>
      </c>
      <c r="D4533" s="2698">
        <v>180000000</v>
      </c>
      <c r="E4533" s="2760">
        <f>D4533/D4394*100</f>
        <v>0.17585744573390941</v>
      </c>
      <c r="F4533" s="4384"/>
      <c r="G4533" s="2929"/>
      <c r="H4533" s="2685"/>
      <c r="I4533" s="940"/>
      <c r="J4533" s="3497"/>
      <c r="K4533" s="3497"/>
      <c r="L4533" s="2685"/>
      <c r="M4533" s="940"/>
      <c r="N4533" s="2704"/>
      <c r="P4533" s="617"/>
    </row>
    <row r="4534" spans="1:16" s="27" customFormat="1" ht="12" hidden="1" customHeight="1" x14ac:dyDescent="0.25">
      <c r="A4534" s="6"/>
      <c r="B4534" s="441"/>
      <c r="C4534" s="2528"/>
      <c r="D4534" s="2709"/>
      <c r="E4534" s="2778"/>
      <c r="F4534" s="4430"/>
      <c r="G4534" s="911"/>
      <c r="H4534" s="2778"/>
      <c r="I4534" s="911"/>
      <c r="J4534" s="2755"/>
      <c r="K4534" s="2755"/>
      <c r="L4534" s="911"/>
      <c r="M4534" s="911"/>
      <c r="N4534" s="2701"/>
      <c r="P4534" s="80"/>
    </row>
    <row r="4535" spans="1:16" s="20" customFormat="1" ht="18" hidden="1" customHeight="1" x14ac:dyDescent="0.25">
      <c r="A4535" s="963"/>
      <c r="B4535" s="440"/>
      <c r="C4535" s="2497" t="s">
        <v>5898</v>
      </c>
      <c r="D4535" s="2744">
        <f>D4536</f>
        <v>240000000</v>
      </c>
      <c r="E4535" s="2672">
        <f>D4535/D4394*100</f>
        <v>0.23447659431187917</v>
      </c>
      <c r="F4535" s="3850"/>
      <c r="G4535" s="2987"/>
      <c r="H4535" s="2670"/>
      <c r="I4535" s="2987"/>
      <c r="J4535" s="2887"/>
      <c r="K4535" s="2887"/>
      <c r="L4535" s="2672"/>
      <c r="M4535" s="2744"/>
      <c r="N4535" s="2704"/>
      <c r="P4535" s="617"/>
    </row>
    <row r="4536" spans="1:16" s="20" customFormat="1" ht="30" hidden="1" customHeight="1" x14ac:dyDescent="0.25">
      <c r="A4536" s="963"/>
      <c r="B4536" s="441"/>
      <c r="C4536" s="2482" t="s">
        <v>5899</v>
      </c>
      <c r="D4536" s="2751">
        <f>D4537</f>
        <v>240000000</v>
      </c>
      <c r="E4536" s="2785">
        <f>D4536/D4394*100</f>
        <v>0.23447659431187917</v>
      </c>
      <c r="F4536" s="3851"/>
      <c r="G4536" s="3005"/>
      <c r="H4536" s="2677"/>
      <c r="I4536" s="3005"/>
      <c r="J4536" s="2901"/>
      <c r="K4536" s="2901"/>
      <c r="L4536" s="2695"/>
      <c r="M4536" s="2759"/>
      <c r="N4536" s="2704"/>
      <c r="P4536" s="617"/>
    </row>
    <row r="4537" spans="1:16" s="20" customFormat="1" ht="30" hidden="1" customHeight="1" x14ac:dyDescent="0.25">
      <c r="A4537" s="963"/>
      <c r="B4537" s="441"/>
      <c r="C4537" s="2473" t="s">
        <v>5900</v>
      </c>
      <c r="D4537" s="896">
        <v>240000000</v>
      </c>
      <c r="E4537" s="2690">
        <f>D4537/D4394*100</f>
        <v>0.23447659431187917</v>
      </c>
      <c r="F4537" s="4414"/>
      <c r="G4537" s="2757"/>
      <c r="H4537" s="2967"/>
      <c r="I4537" s="2757"/>
      <c r="J4537" s="2975"/>
      <c r="K4537" s="3498"/>
      <c r="L4537" s="2685"/>
      <c r="M4537" s="896"/>
      <c r="N4537" s="2704"/>
      <c r="P4537" s="617"/>
    </row>
    <row r="4538" spans="1:16" ht="12" hidden="1" customHeight="1" x14ac:dyDescent="0.25">
      <c r="B4538" s="441"/>
      <c r="C4538" s="2528"/>
      <c r="D4538" s="2709"/>
      <c r="E4538" s="2778"/>
      <c r="F4538" s="4430"/>
      <c r="G4538" s="911"/>
      <c r="H4538" s="2778"/>
      <c r="I4538" s="911"/>
      <c r="J4538" s="2755"/>
      <c r="K4538" s="2755"/>
      <c r="L4538" s="911"/>
      <c r="M4538" s="911"/>
      <c r="N4538" s="2768"/>
    </row>
    <row r="4539" spans="1:16" s="27" customFormat="1" ht="18" hidden="1" customHeight="1" x14ac:dyDescent="0.25">
      <c r="A4539" s="6"/>
      <c r="B4539" s="440"/>
      <c r="C4539" s="2497" t="s">
        <v>5391</v>
      </c>
      <c r="D4539" s="2669">
        <f>D4540</f>
        <v>795000000</v>
      </c>
      <c r="E4539" s="2672">
        <f>D4539/D4394*100</f>
        <v>0.77670371865809984</v>
      </c>
      <c r="F4539" s="3835"/>
      <c r="G4539" s="2987"/>
      <c r="H4539" s="2670"/>
      <c r="I4539" s="2987"/>
      <c r="J4539" s="2987"/>
      <c r="K4539" s="2987"/>
      <c r="L4539" s="2987"/>
      <c r="M4539" s="2987"/>
      <c r="N4539" s="2701"/>
      <c r="P4539" s="80"/>
    </row>
    <row r="4540" spans="1:16" s="27" customFormat="1" ht="20.25" hidden="1" customHeight="1" x14ac:dyDescent="0.25">
      <c r="A4540" s="6"/>
      <c r="B4540" s="441"/>
      <c r="C4540" s="2521" t="s">
        <v>5901</v>
      </c>
      <c r="D4540" s="2825">
        <f>SUM(D4541:D4541)</f>
        <v>795000000</v>
      </c>
      <c r="E4540" s="2734">
        <f>D4540/D4394*100</f>
        <v>0.77670371865809984</v>
      </c>
      <c r="F4540" s="3914"/>
      <c r="G4540" s="3005"/>
      <c r="H4540" s="2677"/>
      <c r="I4540" s="3005"/>
      <c r="J4540" s="3005"/>
      <c r="K4540" s="3005"/>
      <c r="L4540" s="3005"/>
      <c r="M4540" s="3005"/>
      <c r="N4540" s="2701"/>
      <c r="P4540" s="80"/>
    </row>
    <row r="4541" spans="1:16" s="27" customFormat="1" ht="16.5" hidden="1" customHeight="1" x14ac:dyDescent="0.25">
      <c r="A4541" s="6"/>
      <c r="B4541" s="441"/>
      <c r="C4541" s="2494" t="s">
        <v>5902</v>
      </c>
      <c r="D4541" s="2698">
        <v>795000000</v>
      </c>
      <c r="E4541" s="2690">
        <f>D4541/D4394*100</f>
        <v>0.77670371865809984</v>
      </c>
      <c r="F4541" s="4384"/>
      <c r="G4541" s="2757"/>
      <c r="H4541" s="2967"/>
      <c r="I4541" s="2757"/>
      <c r="J4541" s="2757"/>
      <c r="K4541" s="2757"/>
      <c r="L4541" s="2757"/>
      <c r="M4541" s="2757"/>
      <c r="N4541" s="2701"/>
      <c r="P4541" s="80"/>
    </row>
    <row r="4542" spans="1:16" ht="12" hidden="1" customHeight="1" x14ac:dyDescent="0.25">
      <c r="B4542" s="441"/>
      <c r="C4542" s="2478"/>
      <c r="D4542" s="2769"/>
      <c r="E4542" s="2784"/>
      <c r="F4542" s="3864"/>
      <c r="G4542" s="2755"/>
      <c r="H4542" s="2784"/>
      <c r="I4542" s="2755"/>
      <c r="J4542" s="2755"/>
      <c r="K4542" s="2755"/>
      <c r="L4542" s="2755"/>
      <c r="M4542" s="2755"/>
      <c r="N4542" s="2768"/>
    </row>
    <row r="4543" spans="1:16" ht="17.25" hidden="1" customHeight="1" x14ac:dyDescent="0.25">
      <c r="B4543" s="440"/>
      <c r="C4543" s="2471" t="s">
        <v>5903</v>
      </c>
      <c r="D4543" s="2744">
        <f>D4544</f>
        <v>441570200</v>
      </c>
      <c r="E4543" s="2672">
        <f>D4543/D4394*100</f>
        <v>0.43140781935673067</v>
      </c>
      <c r="F4543" s="3835"/>
      <c r="G4543" s="2886"/>
      <c r="H4543" s="2672"/>
      <c r="I4543" s="2719"/>
      <c r="J4543" s="2887"/>
      <c r="K4543" s="2887"/>
      <c r="L4543" s="2672"/>
      <c r="M4543" s="2719"/>
      <c r="N4543" s="2768"/>
    </row>
    <row r="4544" spans="1:16" ht="19.5" hidden="1" customHeight="1" x14ac:dyDescent="0.25">
      <c r="B4544" s="441"/>
      <c r="C4544" s="2521" t="s">
        <v>5904</v>
      </c>
      <c r="D4544" s="2825">
        <f>SUM(D4545:D4546)</f>
        <v>441570200</v>
      </c>
      <c r="E4544" s="2734">
        <f>D4544/D4394*100</f>
        <v>0.43140781935673067</v>
      </c>
      <c r="F4544" s="3841"/>
      <c r="G4544" s="2900"/>
      <c r="H4544" s="2695"/>
      <c r="I4544" s="2722"/>
      <c r="J4544" s="3485"/>
      <c r="K4544" s="3485"/>
      <c r="L4544" s="2695"/>
      <c r="M4544" s="2722"/>
      <c r="N4544" s="2768"/>
    </row>
    <row r="4545" spans="1:16" ht="18" hidden="1" customHeight="1" x14ac:dyDescent="0.25">
      <c r="B4545" s="441"/>
      <c r="C4545" s="2494" t="s">
        <v>5905</v>
      </c>
      <c r="D4545" s="2698">
        <v>209800000</v>
      </c>
      <c r="E4545" s="2690">
        <f>D4545/D4394*100</f>
        <v>0.20497162286096773</v>
      </c>
      <c r="F4545" s="4384"/>
      <c r="G4545" s="2864"/>
      <c r="H4545" s="2685"/>
      <c r="I4545" s="2708"/>
      <c r="J4545" s="3499"/>
      <c r="K4545" s="3499"/>
      <c r="L4545" s="2685"/>
      <c r="M4545" s="2830"/>
      <c r="N4545" s="2768"/>
    </row>
    <row r="4546" spans="1:16" ht="17.25" hidden="1" customHeight="1" x14ac:dyDescent="0.25">
      <c r="B4546" s="441"/>
      <c r="C4546" s="2494" t="s">
        <v>5906</v>
      </c>
      <c r="D4546" s="2698">
        <v>231770200</v>
      </c>
      <c r="E4546" s="2690">
        <f>D4546/D4394*100</f>
        <v>0.22643619649576294</v>
      </c>
      <c r="F4546" s="4384"/>
      <c r="G4546" s="2757"/>
      <c r="H4546" s="2967"/>
      <c r="I4546" s="2757"/>
      <c r="J4546" s="3499"/>
      <c r="K4546" s="3499"/>
      <c r="L4546" s="2685"/>
      <c r="M4546" s="2710"/>
      <c r="N4546" s="2768"/>
    </row>
    <row r="4547" spans="1:16" ht="12" hidden="1" customHeight="1" x14ac:dyDescent="0.25">
      <c r="B4547" s="441"/>
      <c r="C4547" s="2526"/>
      <c r="D4547" s="2769"/>
      <c r="E4547" s="2784"/>
      <c r="F4547" s="3872"/>
      <c r="G4547" s="2991"/>
      <c r="H4547" s="3417"/>
      <c r="I4547" s="2991"/>
      <c r="J4547" s="2755"/>
      <c r="K4547" s="2755"/>
      <c r="L4547" s="2784"/>
      <c r="M4547" s="2784"/>
      <c r="N4547" s="2768"/>
    </row>
    <row r="4548" spans="1:16" ht="21" hidden="1" customHeight="1" x14ac:dyDescent="0.25">
      <c r="B4548" s="440"/>
      <c r="C4548" s="2497" t="s">
        <v>464</v>
      </c>
      <c r="D4548" s="2744">
        <f>D4549+D4552+D4556</f>
        <v>716265000</v>
      </c>
      <c r="E4548" s="2672">
        <f>D4548/D4394*100</f>
        <v>0.69978074093665887</v>
      </c>
      <c r="F4548" s="3850"/>
      <c r="G4548" s="2987"/>
      <c r="H4548" s="2670"/>
      <c r="I4548" s="2987"/>
      <c r="J4548" s="2887"/>
      <c r="K4548" s="2887"/>
      <c r="L4548" s="2672"/>
      <c r="M4548" s="2719"/>
      <c r="N4548" s="2768"/>
    </row>
    <row r="4549" spans="1:16" ht="18" hidden="1" customHeight="1" x14ac:dyDescent="0.25">
      <c r="B4549" s="441"/>
      <c r="C4549" s="2609" t="s">
        <v>5907</v>
      </c>
      <c r="D4549" s="3188">
        <f>D4550</f>
        <v>49000000</v>
      </c>
      <c r="E4549" s="2734">
        <f>D4549/D4394*100</f>
        <v>4.7872304672008668E-2</v>
      </c>
      <c r="F4549" s="3910"/>
      <c r="G4549" s="3005"/>
      <c r="H4549" s="2677"/>
      <c r="I4549" s="3005"/>
      <c r="J4549" s="3005"/>
      <c r="K4549" s="3005"/>
      <c r="L4549" s="3005"/>
      <c r="M4549" s="3005"/>
      <c r="N4549" s="2768"/>
    </row>
    <row r="4550" spans="1:16" ht="16.5" hidden="1" customHeight="1" x14ac:dyDescent="0.25">
      <c r="B4550" s="441"/>
      <c r="C4550" s="2494" t="s">
        <v>5908</v>
      </c>
      <c r="D4550" s="2698">
        <v>49000000</v>
      </c>
      <c r="E4550" s="2690">
        <f>D4550/D4394*100</f>
        <v>4.7872304672008668E-2</v>
      </c>
      <c r="F4550" s="4384"/>
      <c r="G4550" s="2757"/>
      <c r="H4550" s="2967"/>
      <c r="I4550" s="2757"/>
      <c r="J4550" s="2757"/>
      <c r="K4550" s="2757"/>
      <c r="L4550" s="2757"/>
      <c r="M4550" s="2757"/>
      <c r="N4550" s="2768"/>
    </row>
    <row r="4551" spans="1:16" ht="12" hidden="1" customHeight="1" x14ac:dyDescent="0.25">
      <c r="B4551" s="441"/>
      <c r="C4551" s="2506"/>
      <c r="D4551" s="2724"/>
      <c r="E4551" s="2690"/>
      <c r="F4551" s="4380"/>
      <c r="G4551" s="2753"/>
      <c r="H4551" s="2993"/>
      <c r="I4551" s="2753"/>
      <c r="J4551" s="2753"/>
      <c r="K4551" s="2753"/>
      <c r="L4551" s="2753"/>
      <c r="M4551" s="2753"/>
      <c r="N4551" s="2743"/>
    </row>
    <row r="4552" spans="1:16" s="32" customFormat="1" ht="18" hidden="1" customHeight="1" x14ac:dyDescent="0.25">
      <c r="A4552" s="1"/>
      <c r="B4552" s="441"/>
      <c r="C4552" s="2525" t="s">
        <v>5909</v>
      </c>
      <c r="D4552" s="899">
        <f>SUM(D4553:D4554)</f>
        <v>307500000</v>
      </c>
      <c r="E4552" s="2695">
        <f>D4552/D4394*100</f>
        <v>0.30042313646209523</v>
      </c>
      <c r="F4552" s="3862"/>
      <c r="G4552" s="899"/>
      <c r="H4552" s="2695"/>
      <c r="I4552" s="899"/>
      <c r="J4552" s="899"/>
      <c r="K4552" s="899"/>
      <c r="L4552" s="2751"/>
      <c r="M4552" s="2751"/>
      <c r="N4552" s="2668"/>
      <c r="P4552" s="630"/>
    </row>
    <row r="4553" spans="1:16" s="3819" customFormat="1" ht="17.25" hidden="1" customHeight="1" x14ac:dyDescent="0.25">
      <c r="A4553" s="3818"/>
      <c r="B4553" s="3821"/>
      <c r="C4553" s="2524" t="s">
        <v>5910</v>
      </c>
      <c r="D4553" s="896">
        <v>226200000</v>
      </c>
      <c r="E4553" s="2690">
        <f>D4553/D4394*100</f>
        <v>0.22099419013894614</v>
      </c>
      <c r="F4553" s="4414"/>
      <c r="G4553" s="896"/>
      <c r="H4553" s="2690"/>
      <c r="I4553" s="896"/>
      <c r="J4553" s="896"/>
      <c r="K4553" s="896"/>
      <c r="L4553" s="896"/>
      <c r="M4553" s="896"/>
      <c r="N4553" s="2951"/>
      <c r="P4553" s="3820"/>
    </row>
    <row r="4554" spans="1:16" s="3819" customFormat="1" ht="18.75" hidden="1" customHeight="1" x14ac:dyDescent="0.25">
      <c r="A4554" s="3818"/>
      <c r="B4554" s="3821"/>
      <c r="C4554" s="2524" t="s">
        <v>5911</v>
      </c>
      <c r="D4554" s="896">
        <v>81300000</v>
      </c>
      <c r="E4554" s="2690">
        <f>D4554/D4394*100</f>
        <v>7.9428946323149077E-2</v>
      </c>
      <c r="F4554" s="4414"/>
      <c r="G4554" s="896"/>
      <c r="H4554" s="2690"/>
      <c r="I4554" s="896"/>
      <c r="J4554" s="896"/>
      <c r="K4554" s="896"/>
      <c r="L4554" s="896"/>
      <c r="M4554" s="896"/>
      <c r="N4554" s="2951"/>
      <c r="P4554" s="3820"/>
    </row>
    <row r="4555" spans="1:16" s="210" customFormat="1" ht="11.25" hidden="1" customHeight="1" x14ac:dyDescent="0.25">
      <c r="A4555" s="3817"/>
      <c r="B4555" s="449"/>
      <c r="C4555" s="2527"/>
      <c r="D4555" s="898"/>
      <c r="E4555" s="2690"/>
      <c r="F4555" s="3862"/>
      <c r="G4555" s="898"/>
      <c r="H4555" s="3035"/>
      <c r="I4555" s="898"/>
      <c r="J4555" s="898"/>
      <c r="K4555" s="898"/>
      <c r="L4555" s="898"/>
      <c r="M4555" s="898"/>
      <c r="N4555" s="2768"/>
      <c r="P4555" s="97"/>
    </row>
    <row r="4556" spans="1:16" s="509" customFormat="1" ht="18" hidden="1" customHeight="1" x14ac:dyDescent="0.25">
      <c r="A4556" s="3822"/>
      <c r="B4556" s="449"/>
      <c r="C4556" s="2525" t="s">
        <v>5912</v>
      </c>
      <c r="D4556" s="899">
        <f>SUM(D4557:D4560)</f>
        <v>359765000</v>
      </c>
      <c r="E4556" s="2695">
        <f>D4556/D4394*100</f>
        <v>0.35148529980255511</v>
      </c>
      <c r="F4556" s="3862"/>
      <c r="G4556" s="899"/>
      <c r="H4556" s="2695"/>
      <c r="I4556" s="899"/>
      <c r="J4556" s="899"/>
      <c r="K4556" s="899"/>
      <c r="L4556" s="899"/>
      <c r="M4556" s="899"/>
      <c r="N4556" s="2837"/>
      <c r="P4556" s="3823"/>
    </row>
    <row r="4557" spans="1:16" s="3819" customFormat="1" ht="31.5" hidden="1" customHeight="1" x14ac:dyDescent="0.25">
      <c r="A4557" s="3818"/>
      <c r="B4557" s="3821"/>
      <c r="C4557" s="2524" t="s">
        <v>5915</v>
      </c>
      <c r="D4557" s="896">
        <v>92400000</v>
      </c>
      <c r="E4557" s="2690">
        <f>D4557/D4394*100</f>
        <v>9.0273488810073479E-2</v>
      </c>
      <c r="F4557" s="4414"/>
      <c r="G4557" s="896"/>
      <c r="H4557" s="2690"/>
      <c r="I4557" s="896"/>
      <c r="J4557" s="896"/>
      <c r="K4557" s="896"/>
      <c r="L4557" s="896"/>
      <c r="M4557" s="896"/>
      <c r="N4557" s="2951"/>
      <c r="P4557" s="3820"/>
    </row>
    <row r="4558" spans="1:16" s="3819" customFormat="1" ht="18" hidden="1" customHeight="1" x14ac:dyDescent="0.25">
      <c r="A4558" s="3818"/>
      <c r="B4558" s="3821"/>
      <c r="C4558" s="2524" t="s">
        <v>5913</v>
      </c>
      <c r="D4558" s="896">
        <v>108300000</v>
      </c>
      <c r="E4558" s="2690">
        <f>D4558/D4394*100</f>
        <v>0.10580756318323548</v>
      </c>
      <c r="F4558" s="4414"/>
      <c r="G4558" s="896"/>
      <c r="H4558" s="2690"/>
      <c r="I4558" s="896"/>
      <c r="J4558" s="896"/>
      <c r="K4558" s="896"/>
      <c r="L4558" s="896"/>
      <c r="M4558" s="896"/>
      <c r="N4558" s="2951"/>
      <c r="P4558" s="3820"/>
    </row>
    <row r="4559" spans="1:16" s="3819" customFormat="1" ht="17.25" hidden="1" customHeight="1" x14ac:dyDescent="0.25">
      <c r="A4559" s="3818"/>
      <c r="B4559" s="3821"/>
      <c r="C4559" s="2524" t="s">
        <v>5914</v>
      </c>
      <c r="D4559" s="896">
        <v>57065000</v>
      </c>
      <c r="E4559" s="2690">
        <f>D4559/D4394*100</f>
        <v>5.5751695226697442E-2</v>
      </c>
      <c r="F4559" s="4414"/>
      <c r="G4559" s="896"/>
      <c r="H4559" s="2690"/>
      <c r="I4559" s="896"/>
      <c r="J4559" s="896"/>
      <c r="K4559" s="896"/>
      <c r="L4559" s="896"/>
      <c r="M4559" s="896"/>
      <c r="N4559" s="2951"/>
      <c r="P4559" s="3820"/>
    </row>
    <row r="4560" spans="1:16" s="3819" customFormat="1" ht="18" hidden="1" customHeight="1" x14ac:dyDescent="0.25">
      <c r="A4560" s="3818"/>
      <c r="B4560" s="3821"/>
      <c r="C4560" s="2524" t="s">
        <v>5916</v>
      </c>
      <c r="D4560" s="896">
        <v>102000000</v>
      </c>
      <c r="E4560" s="2690">
        <f>D4560/D4394*100</f>
        <v>9.9652552582548654E-2</v>
      </c>
      <c r="F4560" s="4414"/>
      <c r="G4560" s="896"/>
      <c r="H4560" s="2690"/>
      <c r="I4560" s="896"/>
      <c r="J4560" s="896"/>
      <c r="K4560" s="896"/>
      <c r="L4560" s="896"/>
      <c r="M4560" s="896"/>
      <c r="N4560" s="2951"/>
      <c r="P4560" s="3820"/>
    </row>
    <row r="4561" spans="1:16" s="210" customFormat="1" ht="12" hidden="1" customHeight="1" x14ac:dyDescent="0.25">
      <c r="A4561" s="3817"/>
      <c r="B4561" s="445"/>
      <c r="C4561" s="2535"/>
      <c r="D4561" s="911"/>
      <c r="E4561" s="2778"/>
      <c r="F4561" s="3859"/>
      <c r="G4561" s="911"/>
      <c r="H4561" s="2778"/>
      <c r="I4561" s="911"/>
      <c r="J4561" s="911"/>
      <c r="K4561" s="911"/>
      <c r="L4561" s="911"/>
      <c r="M4561" s="911"/>
      <c r="N4561" s="2768"/>
      <c r="P4561" s="97"/>
    </row>
    <row r="4562" spans="1:16" s="509" customFormat="1" ht="18.75" hidden="1" customHeight="1" x14ac:dyDescent="0.25">
      <c r="A4562" s="3822"/>
      <c r="B4562" s="440"/>
      <c r="C4562" s="2532" t="s">
        <v>4997</v>
      </c>
      <c r="D4562" s="2744">
        <f>SUM(D4563+D4566+D4569+D4575+D4580)</f>
        <v>0</v>
      </c>
      <c r="E4562" s="2672">
        <f>D4562/D4394*100</f>
        <v>0</v>
      </c>
      <c r="F4562" s="3863"/>
      <c r="G4562" s="2744"/>
      <c r="H4562" s="2672"/>
      <c r="I4562" s="2744"/>
      <c r="J4562" s="2744"/>
      <c r="K4562" s="2744"/>
      <c r="L4562" s="2744"/>
      <c r="M4562" s="2744"/>
      <c r="N4562" s="2837"/>
      <c r="P4562" s="3823"/>
    </row>
    <row r="4563" spans="1:16" s="509" customFormat="1" ht="19.5" hidden="1" customHeight="1" x14ac:dyDescent="0.25">
      <c r="A4563" s="3822"/>
      <c r="B4563" s="444"/>
      <c r="C4563" s="2538" t="s">
        <v>5917</v>
      </c>
      <c r="D4563" s="2759">
        <f>D4564</f>
        <v>0</v>
      </c>
      <c r="E4563" s="2734">
        <f>D4563/D4394*100</f>
        <v>0</v>
      </c>
      <c r="F4563" s="3870"/>
      <c r="G4563" s="2759"/>
      <c r="H4563" s="2734"/>
      <c r="I4563" s="2759"/>
      <c r="J4563" s="2759"/>
      <c r="K4563" s="2759"/>
      <c r="L4563" s="2759"/>
      <c r="M4563" s="2759"/>
      <c r="N4563" s="2837"/>
      <c r="P4563" s="3823"/>
    </row>
    <row r="4564" spans="1:16" s="3819" customFormat="1" ht="16.5" hidden="1" customHeight="1" x14ac:dyDescent="0.25">
      <c r="A4564" s="3818"/>
      <c r="B4564" s="3821"/>
      <c r="C4564" s="2524" t="s">
        <v>5918</v>
      </c>
      <c r="D4564" s="896">
        <v>0</v>
      </c>
      <c r="E4564" s="2690">
        <f>D4564/D4394*100</f>
        <v>0</v>
      </c>
      <c r="F4564" s="4414"/>
      <c r="G4564" s="896"/>
      <c r="H4564" s="2690"/>
      <c r="I4564" s="896"/>
      <c r="J4564" s="896"/>
      <c r="K4564" s="896"/>
      <c r="L4564" s="896"/>
      <c r="M4564" s="896"/>
      <c r="N4564" s="2951"/>
      <c r="P4564" s="3820"/>
    </row>
    <row r="4565" spans="1:16" s="210" customFormat="1" ht="6.75" hidden="1" customHeight="1" x14ac:dyDescent="0.25">
      <c r="A4565" s="3817"/>
      <c r="B4565" s="449"/>
      <c r="C4565" s="2527"/>
      <c r="D4565" s="898"/>
      <c r="E4565" s="2690"/>
      <c r="F4565" s="3862"/>
      <c r="G4565" s="898"/>
      <c r="H4565" s="3035"/>
      <c r="I4565" s="898"/>
      <c r="J4565" s="898"/>
      <c r="K4565" s="898"/>
      <c r="L4565" s="898"/>
      <c r="M4565" s="898"/>
      <c r="N4565" s="2768"/>
      <c r="P4565" s="97"/>
    </row>
    <row r="4566" spans="1:16" s="509" customFormat="1" ht="18.75" hidden="1" customHeight="1" x14ac:dyDescent="0.25">
      <c r="A4566" s="3822"/>
      <c r="B4566" s="449"/>
      <c r="C4566" s="2525" t="s">
        <v>5919</v>
      </c>
      <c r="D4566" s="899">
        <f>D4567</f>
        <v>0</v>
      </c>
      <c r="E4566" s="2695">
        <f>D4566/D4394*100</f>
        <v>0</v>
      </c>
      <c r="F4566" s="3862"/>
      <c r="G4566" s="899"/>
      <c r="H4566" s="2695"/>
      <c r="I4566" s="899"/>
      <c r="J4566" s="899"/>
      <c r="K4566" s="899"/>
      <c r="L4566" s="899"/>
      <c r="M4566" s="899"/>
      <c r="N4566" s="2837"/>
      <c r="P4566" s="3823"/>
    </row>
    <row r="4567" spans="1:16" s="3819" customFormat="1" ht="21" hidden="1" customHeight="1" x14ac:dyDescent="0.25">
      <c r="A4567" s="3818"/>
      <c r="B4567" s="3821"/>
      <c r="C4567" s="2524" t="s">
        <v>5920</v>
      </c>
      <c r="D4567" s="896">
        <v>0</v>
      </c>
      <c r="E4567" s="2690">
        <f>D4567/D4394*100</f>
        <v>0</v>
      </c>
      <c r="F4567" s="4414"/>
      <c r="G4567" s="896"/>
      <c r="H4567" s="2690"/>
      <c r="I4567" s="896"/>
      <c r="J4567" s="896"/>
      <c r="K4567" s="896"/>
      <c r="L4567" s="896"/>
      <c r="M4567" s="896"/>
      <c r="N4567" s="2951"/>
      <c r="P4567" s="3820"/>
    </row>
    <row r="4568" spans="1:16" s="210" customFormat="1" ht="9.75" hidden="1" customHeight="1" x14ac:dyDescent="0.25">
      <c r="A4568" s="3817"/>
      <c r="B4568" s="449"/>
      <c r="C4568" s="2527"/>
      <c r="D4568" s="898"/>
      <c r="E4568" s="2690"/>
      <c r="F4568" s="3862"/>
      <c r="G4568" s="898"/>
      <c r="H4568" s="3035"/>
      <c r="I4568" s="898"/>
      <c r="J4568" s="898"/>
      <c r="K4568" s="898"/>
      <c r="L4568" s="898"/>
      <c r="M4568" s="898"/>
      <c r="N4568" s="2768"/>
      <c r="P4568" s="97"/>
    </row>
    <row r="4569" spans="1:16" s="509" customFormat="1" ht="18" hidden="1" customHeight="1" x14ac:dyDescent="0.25">
      <c r="A4569" s="3822"/>
      <c r="B4569" s="449"/>
      <c r="C4569" s="2525" t="s">
        <v>5921</v>
      </c>
      <c r="D4569" s="899">
        <f>SUM(D4570:D4573)</f>
        <v>0</v>
      </c>
      <c r="E4569" s="2695">
        <f>D4569/D4394*100</f>
        <v>0</v>
      </c>
      <c r="F4569" s="3862"/>
      <c r="G4569" s="899"/>
      <c r="H4569" s="2695"/>
      <c r="I4569" s="899"/>
      <c r="J4569" s="899"/>
      <c r="K4569" s="899"/>
      <c r="L4569" s="899"/>
      <c r="M4569" s="899"/>
      <c r="N4569" s="2837"/>
      <c r="P4569" s="3823"/>
    </row>
    <row r="4570" spans="1:16" s="3819" customFormat="1" ht="18" hidden="1" customHeight="1" x14ac:dyDescent="0.25">
      <c r="A4570" s="3818"/>
      <c r="B4570" s="3821"/>
      <c r="C4570" s="2524" t="s">
        <v>5922</v>
      </c>
      <c r="D4570" s="896">
        <v>0</v>
      </c>
      <c r="E4570" s="2690">
        <f>D4570/D4394*100</f>
        <v>0</v>
      </c>
      <c r="F4570" s="4414"/>
      <c r="G4570" s="896"/>
      <c r="H4570" s="2690"/>
      <c r="I4570" s="896"/>
      <c r="J4570" s="896"/>
      <c r="K4570" s="896"/>
      <c r="L4570" s="896"/>
      <c r="M4570" s="896"/>
      <c r="N4570" s="2951"/>
      <c r="P4570" s="3820"/>
    </row>
    <row r="4571" spans="1:16" s="3819" customFormat="1" ht="15.75" hidden="1" customHeight="1" x14ac:dyDescent="0.25">
      <c r="A4571" s="3818"/>
      <c r="B4571" s="3821"/>
      <c r="C4571" s="2524" t="s">
        <v>5923</v>
      </c>
      <c r="D4571" s="896">
        <v>0</v>
      </c>
      <c r="E4571" s="2690">
        <f>D4571/D4394*100</f>
        <v>0</v>
      </c>
      <c r="F4571" s="4414"/>
      <c r="G4571" s="896"/>
      <c r="H4571" s="2690"/>
      <c r="I4571" s="896"/>
      <c r="J4571" s="896"/>
      <c r="K4571" s="896"/>
      <c r="L4571" s="896"/>
      <c r="M4571" s="896"/>
      <c r="N4571" s="2951"/>
      <c r="P4571" s="3820"/>
    </row>
    <row r="4572" spans="1:16" s="3819" customFormat="1" ht="17.25" hidden="1" customHeight="1" x14ac:dyDescent="0.25">
      <c r="A4572" s="3818"/>
      <c r="B4572" s="3821"/>
      <c r="C4572" s="2524" t="s">
        <v>5924</v>
      </c>
      <c r="D4572" s="896">
        <v>0</v>
      </c>
      <c r="E4572" s="2690">
        <f>D4572/D4394*100</f>
        <v>0</v>
      </c>
      <c r="F4572" s="4414"/>
      <c r="G4572" s="896"/>
      <c r="H4572" s="2690"/>
      <c r="I4572" s="896"/>
      <c r="J4572" s="896"/>
      <c r="K4572" s="896"/>
      <c r="L4572" s="896"/>
      <c r="M4572" s="896"/>
      <c r="N4572" s="2951"/>
      <c r="P4572" s="3820"/>
    </row>
    <row r="4573" spans="1:16" s="3819" customFormat="1" ht="15.75" hidden="1" customHeight="1" x14ac:dyDescent="0.25">
      <c r="A4573" s="3818"/>
      <c r="B4573" s="3821"/>
      <c r="C4573" s="2524" t="s">
        <v>5925</v>
      </c>
      <c r="D4573" s="896">
        <v>0</v>
      </c>
      <c r="E4573" s="2690">
        <f>D4573/D4394*100</f>
        <v>0</v>
      </c>
      <c r="F4573" s="4414"/>
      <c r="G4573" s="896"/>
      <c r="H4573" s="2690"/>
      <c r="I4573" s="896"/>
      <c r="J4573" s="896"/>
      <c r="K4573" s="896"/>
      <c r="L4573" s="896"/>
      <c r="M4573" s="896"/>
      <c r="N4573" s="2951"/>
      <c r="P4573" s="3820"/>
    </row>
    <row r="4574" spans="1:16" s="210" customFormat="1" ht="12" hidden="1" customHeight="1" x14ac:dyDescent="0.25">
      <c r="A4574" s="3817"/>
      <c r="B4574" s="449"/>
      <c r="C4574" s="2527"/>
      <c r="D4574" s="898"/>
      <c r="E4574" s="2690"/>
      <c r="F4574" s="3862"/>
      <c r="G4574" s="898"/>
      <c r="H4574" s="3035"/>
      <c r="I4574" s="898"/>
      <c r="J4574" s="898"/>
      <c r="K4574" s="898"/>
      <c r="L4574" s="898"/>
      <c r="M4574" s="898"/>
      <c r="N4574" s="2768"/>
      <c r="P4574" s="97"/>
    </row>
    <row r="4575" spans="1:16" s="509" customFormat="1" ht="21" hidden="1" customHeight="1" x14ac:dyDescent="0.25">
      <c r="A4575" s="3822"/>
      <c r="B4575" s="449"/>
      <c r="C4575" s="2525" t="s">
        <v>5926</v>
      </c>
      <c r="D4575" s="899">
        <f>SUM(D4576:D4578)</f>
        <v>0</v>
      </c>
      <c r="E4575" s="2695">
        <f>D4575/D4394*100</f>
        <v>0</v>
      </c>
      <c r="F4575" s="3862"/>
      <c r="G4575" s="899"/>
      <c r="H4575" s="2695"/>
      <c r="I4575" s="899"/>
      <c r="J4575" s="899"/>
      <c r="K4575" s="899"/>
      <c r="L4575" s="899"/>
      <c r="M4575" s="899"/>
      <c r="N4575" s="2837"/>
      <c r="P4575" s="3823"/>
    </row>
    <row r="4576" spans="1:16" s="3819" customFormat="1" ht="18" hidden="1" customHeight="1" x14ac:dyDescent="0.25">
      <c r="A4576" s="3818"/>
      <c r="B4576" s="3821"/>
      <c r="C4576" s="2524" t="s">
        <v>5927</v>
      </c>
      <c r="D4576" s="896">
        <v>0</v>
      </c>
      <c r="E4576" s="2690">
        <f>D4576/D4394*100</f>
        <v>0</v>
      </c>
      <c r="F4576" s="4414"/>
      <c r="G4576" s="896"/>
      <c r="H4576" s="2690"/>
      <c r="I4576" s="896"/>
      <c r="J4576" s="896"/>
      <c r="K4576" s="896"/>
      <c r="L4576" s="896"/>
      <c r="M4576" s="896"/>
      <c r="N4576" s="2951"/>
      <c r="P4576" s="3820"/>
    </row>
    <row r="4577" spans="1:16" s="3819" customFormat="1" ht="15" hidden="1" customHeight="1" x14ac:dyDescent="0.25">
      <c r="A4577" s="3818"/>
      <c r="B4577" s="3821"/>
      <c r="C4577" s="2524" t="s">
        <v>5928</v>
      </c>
      <c r="D4577" s="896">
        <v>0</v>
      </c>
      <c r="E4577" s="2690">
        <f>D4577/D4394*100</f>
        <v>0</v>
      </c>
      <c r="F4577" s="4414"/>
      <c r="G4577" s="896"/>
      <c r="H4577" s="2690"/>
      <c r="I4577" s="896"/>
      <c r="J4577" s="896"/>
      <c r="K4577" s="896"/>
      <c r="L4577" s="896"/>
      <c r="M4577" s="896"/>
      <c r="N4577" s="2951"/>
      <c r="P4577" s="3820"/>
    </row>
    <row r="4578" spans="1:16" s="3819" customFormat="1" ht="17.25" hidden="1" customHeight="1" x14ac:dyDescent="0.25">
      <c r="A4578" s="3818"/>
      <c r="B4578" s="3821"/>
      <c r="C4578" s="2524" t="s">
        <v>5929</v>
      </c>
      <c r="D4578" s="896">
        <v>0</v>
      </c>
      <c r="E4578" s="2690">
        <f>D4578/D4394*100</f>
        <v>0</v>
      </c>
      <c r="F4578" s="4414"/>
      <c r="G4578" s="896"/>
      <c r="H4578" s="2690"/>
      <c r="I4578" s="896"/>
      <c r="J4578" s="896"/>
      <c r="K4578" s="896"/>
      <c r="L4578" s="896"/>
      <c r="M4578" s="896"/>
      <c r="N4578" s="2951"/>
      <c r="P4578" s="3820"/>
    </row>
    <row r="4579" spans="1:16" s="3819" customFormat="1" ht="11.25" hidden="1" customHeight="1" x14ac:dyDescent="0.25">
      <c r="A4579" s="3818"/>
      <c r="B4579" s="3821"/>
      <c r="C4579" s="2524"/>
      <c r="D4579" s="896"/>
      <c r="E4579" s="2690"/>
      <c r="F4579" s="4414"/>
      <c r="G4579" s="896"/>
      <c r="H4579" s="2690"/>
      <c r="I4579" s="896"/>
      <c r="J4579" s="896"/>
      <c r="K4579" s="896"/>
      <c r="L4579" s="896"/>
      <c r="M4579" s="896"/>
      <c r="N4579" s="2951"/>
      <c r="P4579" s="3820"/>
    </row>
    <row r="4580" spans="1:16" s="509" customFormat="1" ht="17.25" hidden="1" customHeight="1" x14ac:dyDescent="0.25">
      <c r="A4580" s="3822"/>
      <c r="B4580" s="449"/>
      <c r="C4580" s="2525" t="s">
        <v>5930</v>
      </c>
      <c r="D4580" s="899">
        <f>D4581</f>
        <v>0</v>
      </c>
      <c r="E4580" s="2695">
        <f>D4580/D4394*100</f>
        <v>0</v>
      </c>
      <c r="F4580" s="3862"/>
      <c r="G4580" s="899"/>
      <c r="H4580" s="2695"/>
      <c r="I4580" s="899"/>
      <c r="J4580" s="899"/>
      <c r="K4580" s="899"/>
      <c r="L4580" s="899"/>
      <c r="M4580" s="899"/>
      <c r="N4580" s="2837"/>
      <c r="P4580" s="3823"/>
    </row>
    <row r="4581" spans="1:16" s="3819" customFormat="1" ht="16.5" hidden="1" customHeight="1" x14ac:dyDescent="0.25">
      <c r="A4581" s="3818"/>
      <c r="B4581" s="3821"/>
      <c r="C4581" s="2524" t="s">
        <v>5931</v>
      </c>
      <c r="D4581" s="896">
        <v>0</v>
      </c>
      <c r="E4581" s="2690">
        <f>D4581/D4394*100</f>
        <v>0</v>
      </c>
      <c r="F4581" s="4414"/>
      <c r="G4581" s="896"/>
      <c r="H4581" s="2690"/>
      <c r="I4581" s="896"/>
      <c r="J4581" s="896"/>
      <c r="K4581" s="896"/>
      <c r="L4581" s="896"/>
      <c r="M4581" s="896"/>
      <c r="N4581" s="2951"/>
      <c r="P4581" s="3820"/>
    </row>
    <row r="4582" spans="1:16" s="210" customFormat="1" ht="12" hidden="1" customHeight="1" x14ac:dyDescent="0.25">
      <c r="A4582" s="3817"/>
      <c r="B4582" s="445"/>
      <c r="C4582" s="2535"/>
      <c r="D4582" s="911"/>
      <c r="E4582" s="2778"/>
      <c r="F4582" s="3859"/>
      <c r="G4582" s="911"/>
      <c r="H4582" s="2778"/>
      <c r="I4582" s="911"/>
      <c r="J4582" s="911"/>
      <c r="K4582" s="911"/>
      <c r="L4582" s="911"/>
      <c r="M4582" s="911"/>
      <c r="N4582" s="2768"/>
      <c r="P4582" s="97"/>
    </row>
    <row r="4583" spans="1:16" s="210" customFormat="1" ht="17.25" hidden="1" customHeight="1" x14ac:dyDescent="0.25">
      <c r="A4583" s="3817"/>
      <c r="B4583" s="440"/>
      <c r="C4583" s="2532" t="s">
        <v>5743</v>
      </c>
      <c r="D4583" s="2744">
        <f>SUM(D4584+D4587+D4590)</f>
        <v>652213323</v>
      </c>
      <c r="E4583" s="2672">
        <f>D4583/D4394*100</f>
        <v>0.63720316142447342</v>
      </c>
      <c r="F4583" s="3863"/>
      <c r="G4583" s="2744"/>
      <c r="H4583" s="2672"/>
      <c r="I4583" s="2744"/>
      <c r="J4583" s="2744"/>
      <c r="K4583" s="2744"/>
      <c r="L4583" s="2744"/>
      <c r="M4583" s="2744"/>
      <c r="N4583" s="2768"/>
      <c r="P4583" s="97"/>
    </row>
    <row r="4584" spans="1:16" s="509" customFormat="1" ht="18" hidden="1" customHeight="1" x14ac:dyDescent="0.25">
      <c r="A4584" s="3822"/>
      <c r="B4584" s="444"/>
      <c r="C4584" s="2538" t="s">
        <v>5932</v>
      </c>
      <c r="D4584" s="2759">
        <f>D4585</f>
        <v>301700000</v>
      </c>
      <c r="E4584" s="2734">
        <f>D4584/D4394*100</f>
        <v>0.29475661876622483</v>
      </c>
      <c r="F4584" s="3870"/>
      <c r="G4584" s="2759"/>
      <c r="H4584" s="2734"/>
      <c r="I4584" s="2759"/>
      <c r="J4584" s="2759"/>
      <c r="K4584" s="2759"/>
      <c r="L4584" s="2759"/>
      <c r="M4584" s="2759"/>
      <c r="N4584" s="2837"/>
      <c r="P4584" s="3823"/>
    </row>
    <row r="4585" spans="1:16" s="3819" customFormat="1" ht="15.75" hidden="1" customHeight="1" x14ac:dyDescent="0.25">
      <c r="A4585" s="3818"/>
      <c r="B4585" s="3821"/>
      <c r="C4585" s="2524" t="s">
        <v>5937</v>
      </c>
      <c r="D4585" s="896">
        <v>301700000</v>
      </c>
      <c r="E4585" s="2690">
        <f>D4585/D4394*100</f>
        <v>0.29475661876622483</v>
      </c>
      <c r="F4585" s="4414"/>
      <c r="G4585" s="896"/>
      <c r="H4585" s="2690"/>
      <c r="I4585" s="896"/>
      <c r="J4585" s="896"/>
      <c r="K4585" s="896"/>
      <c r="L4585" s="896"/>
      <c r="M4585" s="896"/>
      <c r="N4585" s="2951"/>
      <c r="P4585" s="3820"/>
    </row>
    <row r="4586" spans="1:16" s="210" customFormat="1" ht="12" hidden="1" customHeight="1" x14ac:dyDescent="0.25">
      <c r="A4586" s="3817"/>
      <c r="B4586" s="449"/>
      <c r="C4586" s="2527"/>
      <c r="D4586" s="898"/>
      <c r="E4586" s="2690"/>
      <c r="F4586" s="3862"/>
      <c r="G4586" s="898"/>
      <c r="H4586" s="3035"/>
      <c r="I4586" s="898"/>
      <c r="J4586" s="898"/>
      <c r="K4586" s="898"/>
      <c r="L4586" s="898"/>
      <c r="M4586" s="898"/>
      <c r="N4586" s="2768"/>
      <c r="P4586" s="97"/>
    </row>
    <row r="4587" spans="1:16" s="509" customFormat="1" ht="18" hidden="1" customHeight="1" x14ac:dyDescent="0.25">
      <c r="A4587" s="3822"/>
      <c r="B4587" s="449"/>
      <c r="C4587" s="2525" t="s">
        <v>5933</v>
      </c>
      <c r="D4587" s="899">
        <f>D4588</f>
        <v>196733323</v>
      </c>
      <c r="E4587" s="2695">
        <f>D4587/D4394*100</f>
        <v>0.19220566485291204</v>
      </c>
      <c r="F4587" s="3862"/>
      <c r="G4587" s="899"/>
      <c r="H4587" s="2695"/>
      <c r="I4587" s="899"/>
      <c r="J4587" s="899"/>
      <c r="K4587" s="899"/>
      <c r="L4587" s="899"/>
      <c r="M4587" s="899"/>
      <c r="N4587" s="2837"/>
      <c r="P4587" s="3823"/>
    </row>
    <row r="4588" spans="1:16" s="3819" customFormat="1" ht="18" hidden="1" customHeight="1" x14ac:dyDescent="0.25">
      <c r="A4588" s="3818"/>
      <c r="B4588" s="3821"/>
      <c r="C4588" s="2524" t="s">
        <v>5934</v>
      </c>
      <c r="D4588" s="896">
        <v>196733323</v>
      </c>
      <c r="E4588" s="2690">
        <f>D4588/D4394*100</f>
        <v>0.19220566485291204</v>
      </c>
      <c r="F4588" s="4414"/>
      <c r="G4588" s="896"/>
      <c r="H4588" s="2690"/>
      <c r="I4588" s="896"/>
      <c r="J4588" s="896"/>
      <c r="K4588" s="896"/>
      <c r="L4588" s="896"/>
      <c r="M4588" s="896"/>
      <c r="N4588" s="2951"/>
      <c r="P4588" s="3820"/>
    </row>
    <row r="4589" spans="1:16" s="210" customFormat="1" ht="12" hidden="1" customHeight="1" x14ac:dyDescent="0.25">
      <c r="A4589" s="3817"/>
      <c r="B4589" s="449"/>
      <c r="C4589" s="2527"/>
      <c r="D4589" s="898"/>
      <c r="E4589" s="2690"/>
      <c r="F4589" s="3862"/>
      <c r="G4589" s="898"/>
      <c r="H4589" s="3035"/>
      <c r="I4589" s="898"/>
      <c r="J4589" s="898"/>
      <c r="K4589" s="898"/>
      <c r="L4589" s="898"/>
      <c r="M4589" s="898"/>
      <c r="N4589" s="2768"/>
      <c r="P4589" s="97"/>
    </row>
    <row r="4590" spans="1:16" s="509" customFormat="1" ht="28.5" hidden="1" customHeight="1" x14ac:dyDescent="0.25">
      <c r="A4590" s="3822"/>
      <c r="B4590" s="449"/>
      <c r="C4590" s="2525" t="s">
        <v>5935</v>
      </c>
      <c r="D4590" s="899">
        <f>D4591</f>
        <v>153780000</v>
      </c>
      <c r="E4590" s="2695">
        <f>D4590/D4394*100</f>
        <v>0.1502408778053366</v>
      </c>
      <c r="F4590" s="3862"/>
      <c r="G4590" s="899"/>
      <c r="H4590" s="2695"/>
      <c r="I4590" s="899"/>
      <c r="J4590" s="899"/>
      <c r="K4590" s="899"/>
      <c r="L4590" s="899"/>
      <c r="M4590" s="899"/>
      <c r="N4590" s="2837"/>
      <c r="P4590" s="3823"/>
    </row>
    <row r="4591" spans="1:16" s="3819" customFormat="1" ht="16.5" hidden="1" customHeight="1" x14ac:dyDescent="0.25">
      <c r="A4591" s="3818"/>
      <c r="B4591" s="3821"/>
      <c r="C4591" s="2524" t="s">
        <v>5936</v>
      </c>
      <c r="D4591" s="896">
        <v>153780000</v>
      </c>
      <c r="E4591" s="2690">
        <f>D4591/D4394*100</f>
        <v>0.1502408778053366</v>
      </c>
      <c r="F4591" s="4414"/>
      <c r="G4591" s="896"/>
      <c r="H4591" s="2690"/>
      <c r="I4591" s="896"/>
      <c r="J4591" s="896"/>
      <c r="K4591" s="896"/>
      <c r="L4591" s="896"/>
      <c r="M4591" s="896"/>
      <c r="N4591" s="2951"/>
      <c r="P4591" s="3820"/>
    </row>
    <row r="4592" spans="1:16" s="3819" customFormat="1" ht="12.75" hidden="1" customHeight="1" x14ac:dyDescent="0.25">
      <c r="A4592" s="3818"/>
      <c r="B4592" s="3920"/>
      <c r="C4592" s="2533"/>
      <c r="D4592" s="2709"/>
      <c r="E4592" s="2710"/>
      <c r="F4592" s="4452"/>
      <c r="G4592" s="2709"/>
      <c r="H4592" s="2710"/>
      <c r="I4592" s="2709"/>
      <c r="J4592" s="2709"/>
      <c r="K4592" s="2709"/>
      <c r="L4592" s="2709"/>
      <c r="M4592" s="2709"/>
      <c r="N4592" s="2951"/>
      <c r="P4592" s="3820"/>
    </row>
    <row r="4593" spans="1:16" s="509" customFormat="1" ht="19.5" hidden="1" customHeight="1" x14ac:dyDescent="0.25">
      <c r="A4593" s="3822"/>
      <c r="B4593" s="440"/>
      <c r="C4593" s="2532" t="s">
        <v>5938</v>
      </c>
      <c r="D4593" s="2744">
        <f>SUM(D4594+D4597+D4601+D4609+D4612)</f>
        <v>0</v>
      </c>
      <c r="E4593" s="2672">
        <f>D4593/D4394*100</f>
        <v>0</v>
      </c>
      <c r="F4593" s="3863"/>
      <c r="G4593" s="2744"/>
      <c r="H4593" s="2672"/>
      <c r="I4593" s="2744"/>
      <c r="J4593" s="2744"/>
      <c r="K4593" s="2744"/>
      <c r="L4593" s="2744"/>
      <c r="M4593" s="2744"/>
      <c r="N4593" s="2837"/>
      <c r="P4593" s="3823"/>
    </row>
    <row r="4594" spans="1:16" s="509" customFormat="1" ht="22.5" hidden="1" customHeight="1" x14ac:dyDescent="0.25">
      <c r="A4594" s="3822"/>
      <c r="B4594" s="441"/>
      <c r="C4594" s="2521" t="s">
        <v>5939</v>
      </c>
      <c r="D4594" s="2751">
        <f>D4595</f>
        <v>0</v>
      </c>
      <c r="E4594" s="2734">
        <f>D4594/D4394*100</f>
        <v>0</v>
      </c>
      <c r="F4594" s="3860"/>
      <c r="G4594" s="2751"/>
      <c r="H4594" s="2785"/>
      <c r="I4594" s="2751"/>
      <c r="J4594" s="2751"/>
      <c r="K4594" s="2751"/>
      <c r="L4594" s="2751"/>
      <c r="M4594" s="2751"/>
      <c r="N4594" s="2837"/>
      <c r="P4594" s="3823"/>
    </row>
    <row r="4595" spans="1:16" s="3819" customFormat="1" ht="33.75" hidden="1" customHeight="1" x14ac:dyDescent="0.25">
      <c r="A4595" s="3818"/>
      <c r="B4595" s="3920"/>
      <c r="C4595" s="2533" t="s">
        <v>5954</v>
      </c>
      <c r="D4595" s="2709">
        <v>0</v>
      </c>
      <c r="E4595" s="2690">
        <f>D4595/D4394*100</f>
        <v>0</v>
      </c>
      <c r="F4595" s="4452"/>
      <c r="G4595" s="2709"/>
      <c r="H4595" s="2710"/>
      <c r="I4595" s="2709"/>
      <c r="J4595" s="2709"/>
      <c r="K4595" s="2709"/>
      <c r="L4595" s="2709"/>
      <c r="M4595" s="2709"/>
      <c r="N4595" s="2951"/>
      <c r="P4595" s="3820"/>
    </row>
    <row r="4596" spans="1:16" s="3819" customFormat="1" ht="12" hidden="1" customHeight="1" x14ac:dyDescent="0.25">
      <c r="A4596" s="3818"/>
      <c r="B4596" s="3920"/>
      <c r="C4596" s="2533"/>
      <c r="D4596" s="2709"/>
      <c r="E4596" s="2690"/>
      <c r="F4596" s="4452"/>
      <c r="G4596" s="2709"/>
      <c r="H4596" s="2710"/>
      <c r="I4596" s="2709"/>
      <c r="J4596" s="2709"/>
      <c r="K4596" s="2709"/>
      <c r="L4596" s="2709"/>
      <c r="M4596" s="2709"/>
      <c r="N4596" s="2951"/>
      <c r="P4596" s="3820"/>
    </row>
    <row r="4597" spans="1:16" s="509" customFormat="1" ht="19.5" hidden="1" customHeight="1" x14ac:dyDescent="0.25">
      <c r="A4597" s="3822"/>
      <c r="B4597" s="445"/>
      <c r="C4597" s="2534" t="s">
        <v>5940</v>
      </c>
      <c r="D4597" s="2767">
        <f>SUM(D4598:D4599)</f>
        <v>0</v>
      </c>
      <c r="E4597" s="2695">
        <f>D4597/D4394*100</f>
        <v>0</v>
      </c>
      <c r="F4597" s="3859"/>
      <c r="G4597" s="2767"/>
      <c r="H4597" s="2821"/>
      <c r="I4597" s="2767"/>
      <c r="J4597" s="2767"/>
      <c r="K4597" s="2767"/>
      <c r="L4597" s="2767"/>
      <c r="M4597" s="2767"/>
      <c r="N4597" s="2837"/>
      <c r="P4597" s="3823"/>
    </row>
    <row r="4598" spans="1:16" s="3819" customFormat="1" ht="28.5" hidden="1" customHeight="1" x14ac:dyDescent="0.25">
      <c r="A4598" s="3818"/>
      <c r="B4598" s="3920"/>
      <c r="C4598" s="2533" t="s">
        <v>5941</v>
      </c>
      <c r="D4598" s="2709">
        <v>0</v>
      </c>
      <c r="E4598" s="2690">
        <f>D4598/D4394*100</f>
        <v>0</v>
      </c>
      <c r="F4598" s="4452"/>
      <c r="G4598" s="2709"/>
      <c r="H4598" s="2710"/>
      <c r="I4598" s="2709"/>
      <c r="J4598" s="2709"/>
      <c r="K4598" s="2709"/>
      <c r="L4598" s="2709"/>
      <c r="M4598" s="2709"/>
      <c r="N4598" s="2951"/>
      <c r="P4598" s="3820"/>
    </row>
    <row r="4599" spans="1:16" s="3819" customFormat="1" ht="31.5" hidden="1" customHeight="1" x14ac:dyDescent="0.25">
      <c r="A4599" s="3818"/>
      <c r="B4599" s="3920"/>
      <c r="C4599" s="2533" t="s">
        <v>5942</v>
      </c>
      <c r="D4599" s="2709">
        <v>0</v>
      </c>
      <c r="E4599" s="2690">
        <f>D4599/D4394*100</f>
        <v>0</v>
      </c>
      <c r="F4599" s="4452"/>
      <c r="G4599" s="2709"/>
      <c r="H4599" s="2710"/>
      <c r="I4599" s="2709"/>
      <c r="J4599" s="2709"/>
      <c r="K4599" s="2709"/>
      <c r="L4599" s="2709"/>
      <c r="M4599" s="2709"/>
      <c r="N4599" s="2951"/>
      <c r="P4599" s="3820"/>
    </row>
    <row r="4600" spans="1:16" s="3819" customFormat="1" ht="12.75" hidden="1" customHeight="1" x14ac:dyDescent="0.25">
      <c r="A4600" s="3818"/>
      <c r="B4600" s="3920"/>
      <c r="C4600" s="2533"/>
      <c r="D4600" s="2709"/>
      <c r="E4600" s="2690"/>
      <c r="F4600" s="4452"/>
      <c r="G4600" s="2709"/>
      <c r="H4600" s="2710"/>
      <c r="I4600" s="2709"/>
      <c r="J4600" s="2709"/>
      <c r="K4600" s="2709"/>
      <c r="L4600" s="2709"/>
      <c r="M4600" s="2709"/>
      <c r="N4600" s="2951"/>
      <c r="P4600" s="3820"/>
    </row>
    <row r="4601" spans="1:16" s="509" customFormat="1" ht="19.5" hidden="1" customHeight="1" x14ac:dyDescent="0.25">
      <c r="A4601" s="3822"/>
      <c r="B4601" s="445"/>
      <c r="C4601" s="2534" t="s">
        <v>5943</v>
      </c>
      <c r="D4601" s="2767">
        <f>SUM(D4602:D4607)</f>
        <v>0</v>
      </c>
      <c r="E4601" s="2695">
        <f>D4601/D4394*100</f>
        <v>0</v>
      </c>
      <c r="F4601" s="3859"/>
      <c r="G4601" s="2767"/>
      <c r="H4601" s="2821"/>
      <c r="I4601" s="2767"/>
      <c r="J4601" s="2767"/>
      <c r="K4601" s="2767"/>
      <c r="L4601" s="2767"/>
      <c r="M4601" s="2767"/>
      <c r="N4601" s="2837"/>
      <c r="P4601" s="3823"/>
    </row>
    <row r="4602" spans="1:16" s="3819" customFormat="1" ht="16.5" hidden="1" customHeight="1" x14ac:dyDescent="0.25">
      <c r="A4602" s="3818"/>
      <c r="B4602" s="3920"/>
      <c r="C4602" s="2533" t="s">
        <v>5944</v>
      </c>
      <c r="D4602" s="2709">
        <v>0</v>
      </c>
      <c r="E4602" s="2690">
        <f>D4602/D4394*100</f>
        <v>0</v>
      </c>
      <c r="F4602" s="4452"/>
      <c r="G4602" s="2709"/>
      <c r="H4602" s="2710"/>
      <c r="I4602" s="2709"/>
      <c r="J4602" s="2709"/>
      <c r="K4602" s="2709"/>
      <c r="L4602" s="2709"/>
      <c r="M4602" s="2709"/>
      <c r="N4602" s="2951"/>
      <c r="P4602" s="3820"/>
    </row>
    <row r="4603" spans="1:16" s="3819" customFormat="1" ht="17.25" hidden="1" customHeight="1" x14ac:dyDescent="0.25">
      <c r="A4603" s="3818"/>
      <c r="B4603" s="3920"/>
      <c r="C4603" s="2533" t="s">
        <v>5945</v>
      </c>
      <c r="D4603" s="2709">
        <v>0</v>
      </c>
      <c r="E4603" s="2690">
        <f>D4603/D4394*100</f>
        <v>0</v>
      </c>
      <c r="F4603" s="4452"/>
      <c r="G4603" s="2709"/>
      <c r="H4603" s="2710"/>
      <c r="I4603" s="2709"/>
      <c r="J4603" s="2709"/>
      <c r="K4603" s="2709"/>
      <c r="L4603" s="2709"/>
      <c r="M4603" s="2709"/>
      <c r="N4603" s="2951"/>
      <c r="P4603" s="3820"/>
    </row>
    <row r="4604" spans="1:16" s="3819" customFormat="1" ht="19.5" hidden="1" customHeight="1" x14ac:dyDescent="0.25">
      <c r="A4604" s="3818"/>
      <c r="B4604" s="3920"/>
      <c r="C4604" s="2533" t="s">
        <v>5946</v>
      </c>
      <c r="D4604" s="2709">
        <v>0</v>
      </c>
      <c r="E4604" s="2690">
        <f>D4604/D4394*100</f>
        <v>0</v>
      </c>
      <c r="F4604" s="4452"/>
      <c r="G4604" s="2709"/>
      <c r="H4604" s="2710"/>
      <c r="I4604" s="2709"/>
      <c r="J4604" s="2709"/>
      <c r="K4604" s="2709"/>
      <c r="L4604" s="2709"/>
      <c r="M4604" s="2709"/>
      <c r="N4604" s="2951"/>
      <c r="P4604" s="3820"/>
    </row>
    <row r="4605" spans="1:16" s="3819" customFormat="1" ht="18" hidden="1" customHeight="1" x14ac:dyDescent="0.25">
      <c r="A4605" s="3818"/>
      <c r="B4605" s="3920"/>
      <c r="C4605" s="2533" t="s">
        <v>5947</v>
      </c>
      <c r="D4605" s="2709">
        <v>0</v>
      </c>
      <c r="E4605" s="2690">
        <f>D4605/D4394*100</f>
        <v>0</v>
      </c>
      <c r="F4605" s="4452"/>
      <c r="G4605" s="2709"/>
      <c r="H4605" s="2710"/>
      <c r="I4605" s="2709"/>
      <c r="J4605" s="2709"/>
      <c r="K4605" s="2709"/>
      <c r="L4605" s="2709"/>
      <c r="M4605" s="2709"/>
      <c r="N4605" s="2951"/>
      <c r="P4605" s="3820"/>
    </row>
    <row r="4606" spans="1:16" s="3819" customFormat="1" ht="17.25" hidden="1" customHeight="1" x14ac:dyDescent="0.25">
      <c r="A4606" s="3818"/>
      <c r="B4606" s="3920"/>
      <c r="C4606" s="2533" t="s">
        <v>5948</v>
      </c>
      <c r="D4606" s="2709">
        <v>0</v>
      </c>
      <c r="E4606" s="2690">
        <f>D4606/D4394*100</f>
        <v>0</v>
      </c>
      <c r="F4606" s="4452"/>
      <c r="G4606" s="2709"/>
      <c r="H4606" s="2710"/>
      <c r="I4606" s="2709"/>
      <c r="J4606" s="2709"/>
      <c r="K4606" s="2709"/>
      <c r="L4606" s="2709"/>
      <c r="M4606" s="2709"/>
      <c r="N4606" s="2951"/>
      <c r="P4606" s="3820"/>
    </row>
    <row r="4607" spans="1:16" s="3819" customFormat="1" ht="19.5" hidden="1" customHeight="1" x14ac:dyDescent="0.25">
      <c r="A4607" s="3818"/>
      <c r="B4607" s="3920"/>
      <c r="C4607" s="2533" t="s">
        <v>5949</v>
      </c>
      <c r="D4607" s="2709">
        <v>0</v>
      </c>
      <c r="E4607" s="2690">
        <f>D4607/D4394*100</f>
        <v>0</v>
      </c>
      <c r="F4607" s="4452"/>
      <c r="G4607" s="2709"/>
      <c r="H4607" s="2710"/>
      <c r="I4607" s="2709"/>
      <c r="J4607" s="2709"/>
      <c r="K4607" s="2709"/>
      <c r="L4607" s="2709"/>
      <c r="M4607" s="2709"/>
      <c r="N4607" s="2951"/>
      <c r="P4607" s="3820"/>
    </row>
    <row r="4608" spans="1:16" s="3819" customFormat="1" ht="11.25" hidden="1" customHeight="1" x14ac:dyDescent="0.25">
      <c r="A4608" s="3818"/>
      <c r="B4608" s="3920"/>
      <c r="C4608" s="2533"/>
      <c r="D4608" s="2709"/>
      <c r="E4608" s="2690"/>
      <c r="F4608" s="4452"/>
      <c r="G4608" s="2709"/>
      <c r="H4608" s="2710"/>
      <c r="I4608" s="2709"/>
      <c r="J4608" s="2709"/>
      <c r="K4608" s="2709"/>
      <c r="L4608" s="2709"/>
      <c r="M4608" s="2709"/>
      <c r="N4608" s="2951"/>
      <c r="P4608" s="3820"/>
    </row>
    <row r="4609" spans="1:16" s="509" customFormat="1" ht="19.5" hidden="1" customHeight="1" x14ac:dyDescent="0.25">
      <c r="A4609" s="3822"/>
      <c r="B4609" s="445"/>
      <c r="C4609" s="2534" t="s">
        <v>5950</v>
      </c>
      <c r="D4609" s="2767">
        <f>D4610</f>
        <v>0</v>
      </c>
      <c r="E4609" s="2695">
        <f>D4609/D4394*100</f>
        <v>0</v>
      </c>
      <c r="F4609" s="3859"/>
      <c r="G4609" s="2767"/>
      <c r="H4609" s="2821"/>
      <c r="I4609" s="2767"/>
      <c r="J4609" s="2767"/>
      <c r="K4609" s="2767"/>
      <c r="L4609" s="2767"/>
      <c r="M4609" s="2767"/>
      <c r="N4609" s="2837"/>
      <c r="P4609" s="3823"/>
    </row>
    <row r="4610" spans="1:16" s="3819" customFormat="1" ht="18.75" hidden="1" customHeight="1" x14ac:dyDescent="0.25">
      <c r="A4610" s="3818"/>
      <c r="B4610" s="3920"/>
      <c r="C4610" s="2533" t="s">
        <v>5951</v>
      </c>
      <c r="D4610" s="2709">
        <v>0</v>
      </c>
      <c r="E4610" s="2690">
        <f>D4610/D4394*100</f>
        <v>0</v>
      </c>
      <c r="F4610" s="4452"/>
      <c r="G4610" s="2709"/>
      <c r="H4610" s="2710"/>
      <c r="I4610" s="2709"/>
      <c r="J4610" s="2709"/>
      <c r="K4610" s="2709"/>
      <c r="L4610" s="2709"/>
      <c r="M4610" s="2709"/>
      <c r="N4610" s="2951"/>
      <c r="P4610" s="3820"/>
    </row>
    <row r="4611" spans="1:16" s="3819" customFormat="1" ht="10.5" hidden="1" customHeight="1" x14ac:dyDescent="0.25">
      <c r="A4611" s="3818"/>
      <c r="B4611" s="3920"/>
      <c r="C4611" s="2533"/>
      <c r="D4611" s="2709"/>
      <c r="E4611" s="2690"/>
      <c r="F4611" s="4452"/>
      <c r="G4611" s="2709"/>
      <c r="H4611" s="2710"/>
      <c r="I4611" s="2709"/>
      <c r="J4611" s="2709"/>
      <c r="K4611" s="2709"/>
      <c r="L4611" s="2709"/>
      <c r="M4611" s="2709"/>
      <c r="N4611" s="2951"/>
      <c r="P4611" s="3820"/>
    </row>
    <row r="4612" spans="1:16" s="509" customFormat="1" ht="19.5" hidden="1" customHeight="1" x14ac:dyDescent="0.25">
      <c r="A4612" s="3822"/>
      <c r="B4612" s="445"/>
      <c r="C4612" s="2534" t="s">
        <v>5952</v>
      </c>
      <c r="D4612" s="2767">
        <f>SUM(D4613:D4614)</f>
        <v>0</v>
      </c>
      <c r="E4612" s="2695">
        <f>D4612/D4394*100</f>
        <v>0</v>
      </c>
      <c r="F4612" s="3859"/>
      <c r="G4612" s="2767"/>
      <c r="H4612" s="2821"/>
      <c r="I4612" s="2767"/>
      <c r="J4612" s="2767"/>
      <c r="K4612" s="2767"/>
      <c r="L4612" s="2767"/>
      <c r="M4612" s="2767"/>
      <c r="N4612" s="2837"/>
      <c r="P4612" s="3823"/>
    </row>
    <row r="4613" spans="1:16" s="3819" customFormat="1" ht="19.5" hidden="1" customHeight="1" x14ac:dyDescent="0.25">
      <c r="A4613" s="3818"/>
      <c r="B4613" s="3920"/>
      <c r="C4613" s="2533" t="s">
        <v>5953</v>
      </c>
      <c r="D4613" s="2709">
        <v>0</v>
      </c>
      <c r="E4613" s="2690">
        <f>D4613/D4394*100</f>
        <v>0</v>
      </c>
      <c r="F4613" s="4452"/>
      <c r="G4613" s="2709"/>
      <c r="H4613" s="2710"/>
      <c r="I4613" s="2709"/>
      <c r="J4613" s="2709"/>
      <c r="K4613" s="2709"/>
      <c r="L4613" s="2709"/>
      <c r="M4613" s="2709"/>
      <c r="N4613" s="2951"/>
      <c r="P4613" s="3820"/>
    </row>
    <row r="4614" spans="1:16" s="3819" customFormat="1" ht="19.5" hidden="1" customHeight="1" x14ac:dyDescent="0.25">
      <c r="A4614" s="3818"/>
      <c r="B4614" s="3920"/>
      <c r="C4614" s="2533" t="s">
        <v>5955</v>
      </c>
      <c r="D4614" s="2709">
        <v>0</v>
      </c>
      <c r="E4614" s="2690">
        <f>D4614/D4394*100</f>
        <v>0</v>
      </c>
      <c r="F4614" s="4452"/>
      <c r="G4614" s="2709"/>
      <c r="H4614" s="2710"/>
      <c r="I4614" s="2709"/>
      <c r="J4614" s="2709"/>
      <c r="K4614" s="2709"/>
      <c r="L4614" s="2709"/>
      <c r="M4614" s="2709"/>
      <c r="N4614" s="2951"/>
      <c r="P4614" s="3820"/>
    </row>
    <row r="4615" spans="1:16" s="3819" customFormat="1" ht="15.75" hidden="1" customHeight="1" x14ac:dyDescent="0.25">
      <c r="A4615" s="3818"/>
      <c r="B4615" s="3920"/>
      <c r="C4615" s="2533"/>
      <c r="D4615" s="2709"/>
      <c r="E4615" s="2710"/>
      <c r="F4615" s="4452"/>
      <c r="G4615" s="2709"/>
      <c r="H4615" s="2710"/>
      <c r="I4615" s="2709"/>
      <c r="J4615" s="2709"/>
      <c r="K4615" s="2709"/>
      <c r="L4615" s="2709"/>
      <c r="M4615" s="2709"/>
      <c r="N4615" s="3449"/>
      <c r="P4615" s="3820"/>
    </row>
    <row r="4616" spans="1:16" s="509" customFormat="1" ht="29.25" hidden="1" customHeight="1" x14ac:dyDescent="0.25">
      <c r="A4616" s="3822"/>
      <c r="B4616" s="440"/>
      <c r="C4616" s="2532" t="s">
        <v>5956</v>
      </c>
      <c r="D4616" s="2744">
        <f>SUM(D4617+D4620+D4623+D4626+D4630)</f>
        <v>778966000</v>
      </c>
      <c r="E4616" s="2672">
        <f>D4616/D4394*100</f>
        <v>0.76103872818644702</v>
      </c>
      <c r="F4616" s="3863"/>
      <c r="G4616" s="2744"/>
      <c r="H4616" s="2672"/>
      <c r="I4616" s="2744"/>
      <c r="J4616" s="2744"/>
      <c r="K4616" s="2744"/>
      <c r="L4616" s="2744"/>
      <c r="M4616" s="2744"/>
      <c r="N4616" s="2771"/>
      <c r="P4616" s="3823"/>
    </row>
    <row r="4617" spans="1:16" s="509" customFormat="1" ht="21" hidden="1" customHeight="1" x14ac:dyDescent="0.25">
      <c r="A4617" s="3822"/>
      <c r="B4617" s="441"/>
      <c r="C4617" s="2521" t="s">
        <v>5957</v>
      </c>
      <c r="D4617" s="2751">
        <f>D4618</f>
        <v>37000000</v>
      </c>
      <c r="E4617" s="2734">
        <f>D4617/D4394*100</f>
        <v>3.6148474956414711E-2</v>
      </c>
      <c r="F4617" s="3860"/>
      <c r="G4617" s="2751"/>
      <c r="H4617" s="2785"/>
      <c r="I4617" s="2751"/>
      <c r="J4617" s="2751"/>
      <c r="K4617" s="2751"/>
      <c r="L4617" s="2751"/>
      <c r="M4617" s="2751"/>
      <c r="N4617" s="2773"/>
      <c r="P4617" s="3823"/>
    </row>
    <row r="4618" spans="1:16" s="3819" customFormat="1" ht="29.25" hidden="1" customHeight="1" x14ac:dyDescent="0.25">
      <c r="A4618" s="3818"/>
      <c r="B4618" s="3920"/>
      <c r="C4618" s="2533" t="s">
        <v>5958</v>
      </c>
      <c r="D4618" s="2709">
        <v>37000000</v>
      </c>
      <c r="E4618" s="2690">
        <f>D4618/D4394*100</f>
        <v>3.6148474956414711E-2</v>
      </c>
      <c r="F4618" s="4452"/>
      <c r="G4618" s="2709"/>
      <c r="H4618" s="2710"/>
      <c r="I4618" s="2709"/>
      <c r="J4618" s="2709"/>
      <c r="K4618" s="2709"/>
      <c r="L4618" s="2709"/>
      <c r="M4618" s="2709"/>
      <c r="N4618" s="2951"/>
      <c r="P4618" s="3820"/>
    </row>
    <row r="4619" spans="1:16" s="3819" customFormat="1" ht="10.5" hidden="1" customHeight="1" x14ac:dyDescent="0.25">
      <c r="A4619" s="3818"/>
      <c r="B4619" s="3920"/>
      <c r="C4619" s="2533"/>
      <c r="D4619" s="2709"/>
      <c r="E4619" s="2690"/>
      <c r="F4619" s="4452"/>
      <c r="G4619" s="2709"/>
      <c r="H4619" s="2710"/>
      <c r="I4619" s="2709"/>
      <c r="J4619" s="2709"/>
      <c r="K4619" s="2709"/>
      <c r="L4619" s="2709"/>
      <c r="M4619" s="2709"/>
      <c r="N4619" s="2951"/>
      <c r="P4619" s="3820"/>
    </row>
    <row r="4620" spans="1:16" s="509" customFormat="1" ht="19.5" hidden="1" customHeight="1" x14ac:dyDescent="0.25">
      <c r="A4620" s="3822"/>
      <c r="B4620" s="445"/>
      <c r="C4620" s="2534" t="s">
        <v>5959</v>
      </c>
      <c r="D4620" s="2767">
        <f>D4621</f>
        <v>292000000</v>
      </c>
      <c r="E4620" s="2695">
        <f>D4620/D4394*100</f>
        <v>0.28527985641278636</v>
      </c>
      <c r="F4620" s="3859"/>
      <c r="G4620" s="2767"/>
      <c r="H4620" s="2821"/>
      <c r="I4620" s="2767"/>
      <c r="J4620" s="2767"/>
      <c r="K4620" s="2767"/>
      <c r="L4620" s="2767"/>
      <c r="M4620" s="2767"/>
      <c r="N4620" s="2837"/>
      <c r="P4620" s="3823"/>
    </row>
    <row r="4621" spans="1:16" s="3819" customFormat="1" ht="18" hidden="1" customHeight="1" x14ac:dyDescent="0.25">
      <c r="A4621" s="3818"/>
      <c r="B4621" s="3920"/>
      <c r="C4621" s="2533" t="s">
        <v>5960</v>
      </c>
      <c r="D4621" s="2709">
        <v>292000000</v>
      </c>
      <c r="E4621" s="2690">
        <f>D4621/D4394*100</f>
        <v>0.28527985641278636</v>
      </c>
      <c r="F4621" s="4452"/>
      <c r="G4621" s="2709"/>
      <c r="H4621" s="2710"/>
      <c r="I4621" s="2709"/>
      <c r="J4621" s="2709"/>
      <c r="K4621" s="2709"/>
      <c r="L4621" s="2709"/>
      <c r="M4621" s="2709"/>
      <c r="N4621" s="2951"/>
      <c r="P4621" s="3820"/>
    </row>
    <row r="4622" spans="1:16" s="3819" customFormat="1" ht="12" hidden="1" customHeight="1" x14ac:dyDescent="0.25">
      <c r="A4622" s="3818"/>
      <c r="B4622" s="3920"/>
      <c r="C4622" s="2533"/>
      <c r="D4622" s="2709"/>
      <c r="E4622" s="2690"/>
      <c r="F4622" s="4452"/>
      <c r="G4622" s="2709"/>
      <c r="H4622" s="2710"/>
      <c r="I4622" s="2709"/>
      <c r="J4622" s="2709"/>
      <c r="K4622" s="2709"/>
      <c r="L4622" s="2709"/>
      <c r="M4622" s="2709"/>
      <c r="N4622" s="2951"/>
      <c r="P4622" s="3820"/>
    </row>
    <row r="4623" spans="1:16" s="509" customFormat="1" ht="18" hidden="1" customHeight="1" x14ac:dyDescent="0.25">
      <c r="A4623" s="3822"/>
      <c r="B4623" s="445"/>
      <c r="C4623" s="2534" t="s">
        <v>5961</v>
      </c>
      <c r="D4623" s="2767">
        <f>D4624</f>
        <v>45750000</v>
      </c>
      <c r="E4623" s="2695">
        <f>D4623/D4394*100</f>
        <v>4.4697100790701973E-2</v>
      </c>
      <c r="F4623" s="3859"/>
      <c r="G4623" s="2767"/>
      <c r="H4623" s="2821"/>
      <c r="I4623" s="2767"/>
      <c r="J4623" s="2767"/>
      <c r="K4623" s="2767"/>
      <c r="L4623" s="2767"/>
      <c r="M4623" s="2767"/>
      <c r="N4623" s="2837"/>
      <c r="P4623" s="3823"/>
    </row>
    <row r="4624" spans="1:16" s="3819" customFormat="1" ht="16.5" hidden="1" customHeight="1" x14ac:dyDescent="0.25">
      <c r="A4624" s="3818"/>
      <c r="B4624" s="3920"/>
      <c r="C4624" s="2533" t="s">
        <v>5962</v>
      </c>
      <c r="D4624" s="2709">
        <v>45750000</v>
      </c>
      <c r="E4624" s="2690">
        <f t="shared" ref="E4624" si="1">D4624/D4397*100</f>
        <v>0.28922014868760432</v>
      </c>
      <c r="F4624" s="4452"/>
      <c r="G4624" s="2709"/>
      <c r="H4624" s="2710"/>
      <c r="I4624" s="2709"/>
      <c r="J4624" s="2709"/>
      <c r="K4624" s="2709"/>
      <c r="L4624" s="2709"/>
      <c r="M4624" s="2709"/>
      <c r="N4624" s="2951"/>
      <c r="P4624" s="3820"/>
    </row>
    <row r="4625" spans="1:16" s="3819" customFormat="1" ht="11.25" hidden="1" customHeight="1" x14ac:dyDescent="0.25">
      <c r="A4625" s="3818"/>
      <c r="B4625" s="3920"/>
      <c r="C4625" s="2533"/>
      <c r="D4625" s="2709"/>
      <c r="E4625" s="2690"/>
      <c r="F4625" s="4452"/>
      <c r="G4625" s="2709"/>
      <c r="H4625" s="2710"/>
      <c r="I4625" s="2709"/>
      <c r="J4625" s="2709"/>
      <c r="K4625" s="2709"/>
      <c r="L4625" s="2709"/>
      <c r="M4625" s="2709"/>
      <c r="N4625" s="2951"/>
      <c r="P4625" s="3820"/>
    </row>
    <row r="4626" spans="1:16" s="509" customFormat="1" ht="17.25" hidden="1" customHeight="1" x14ac:dyDescent="0.25">
      <c r="A4626" s="3822"/>
      <c r="B4626" s="445"/>
      <c r="C4626" s="2534" t="s">
        <v>5963</v>
      </c>
      <c r="D4626" s="2767">
        <f>SUM(D4627:D4628)</f>
        <v>276000000</v>
      </c>
      <c r="E4626" s="2695">
        <f>D4626/D4394*100</f>
        <v>0.26964808345866104</v>
      </c>
      <c r="F4626" s="3859"/>
      <c r="G4626" s="2767"/>
      <c r="H4626" s="2821"/>
      <c r="I4626" s="2767"/>
      <c r="J4626" s="2767"/>
      <c r="K4626" s="2767"/>
      <c r="L4626" s="2767"/>
      <c r="M4626" s="2767"/>
      <c r="N4626" s="2837"/>
      <c r="P4626" s="3823"/>
    </row>
    <row r="4627" spans="1:16" s="3819" customFormat="1" ht="19.5" hidden="1" customHeight="1" x14ac:dyDescent="0.25">
      <c r="A4627" s="3818"/>
      <c r="B4627" s="3920"/>
      <c r="C4627" s="2533" t="s">
        <v>5964</v>
      </c>
      <c r="D4627" s="2709">
        <v>100000000</v>
      </c>
      <c r="E4627" s="2690">
        <f>D4627/D4394*100</f>
        <v>9.7698580963283002E-2</v>
      </c>
      <c r="F4627" s="4452"/>
      <c r="G4627" s="2709"/>
      <c r="H4627" s="2710"/>
      <c r="I4627" s="2709"/>
      <c r="J4627" s="2709"/>
      <c r="K4627" s="2709"/>
      <c r="L4627" s="2709"/>
      <c r="M4627" s="2709"/>
      <c r="N4627" s="2951"/>
      <c r="P4627" s="3820"/>
    </row>
    <row r="4628" spans="1:16" s="3819" customFormat="1" ht="19.5" hidden="1" customHeight="1" x14ac:dyDescent="0.25">
      <c r="A4628" s="3818"/>
      <c r="B4628" s="3920"/>
      <c r="C4628" s="2533" t="s">
        <v>5965</v>
      </c>
      <c r="D4628" s="2709">
        <v>176000000</v>
      </c>
      <c r="E4628" s="2690">
        <f>D4628/D4394*100</f>
        <v>0.17194950249537808</v>
      </c>
      <c r="F4628" s="4452"/>
      <c r="G4628" s="2709"/>
      <c r="H4628" s="2710"/>
      <c r="I4628" s="2709"/>
      <c r="J4628" s="2709"/>
      <c r="K4628" s="2709"/>
      <c r="L4628" s="2709"/>
      <c r="M4628" s="2709"/>
      <c r="N4628" s="2951"/>
      <c r="P4628" s="3820"/>
    </row>
    <row r="4629" spans="1:16" s="3819" customFormat="1" ht="11.25" hidden="1" customHeight="1" x14ac:dyDescent="0.25">
      <c r="A4629" s="3818"/>
      <c r="B4629" s="3920"/>
      <c r="C4629" s="2533"/>
      <c r="D4629" s="2709"/>
      <c r="E4629" s="2690"/>
      <c r="F4629" s="4452"/>
      <c r="G4629" s="2709"/>
      <c r="H4629" s="2710"/>
      <c r="I4629" s="2709"/>
      <c r="J4629" s="2709"/>
      <c r="K4629" s="2709"/>
      <c r="L4629" s="2709"/>
      <c r="M4629" s="2709"/>
      <c r="N4629" s="2951"/>
      <c r="P4629" s="3820"/>
    </row>
    <row r="4630" spans="1:16" s="509" customFormat="1" ht="19.5" hidden="1" customHeight="1" x14ac:dyDescent="0.25">
      <c r="A4630" s="3822"/>
      <c r="B4630" s="445"/>
      <c r="C4630" s="2534" t="s">
        <v>5966</v>
      </c>
      <c r="D4630" s="2767">
        <f>D4631</f>
        <v>128216000</v>
      </c>
      <c r="E4630" s="2695">
        <f>D4630/D4394*100</f>
        <v>0.12526521256788292</v>
      </c>
      <c r="F4630" s="3859"/>
      <c r="G4630" s="2767"/>
      <c r="H4630" s="2821"/>
      <c r="I4630" s="2767"/>
      <c r="J4630" s="2767"/>
      <c r="K4630" s="2767"/>
      <c r="L4630" s="2767"/>
      <c r="M4630" s="2767"/>
      <c r="N4630" s="2837"/>
      <c r="P4630" s="3823"/>
    </row>
    <row r="4631" spans="1:16" s="3819" customFormat="1" ht="19.5" hidden="1" customHeight="1" x14ac:dyDescent="0.25">
      <c r="A4631" s="3818"/>
      <c r="B4631" s="3920"/>
      <c r="C4631" s="2533" t="s">
        <v>5967</v>
      </c>
      <c r="D4631" s="2709">
        <v>128216000</v>
      </c>
      <c r="E4631" s="2690">
        <f>D4631/D4394*100</f>
        <v>0.12526521256788292</v>
      </c>
      <c r="F4631" s="4452"/>
      <c r="G4631" s="2709"/>
      <c r="H4631" s="2710"/>
      <c r="I4631" s="2709"/>
      <c r="J4631" s="2709"/>
      <c r="K4631" s="2709"/>
      <c r="L4631" s="2709"/>
      <c r="M4631" s="2709"/>
      <c r="N4631" s="2951"/>
      <c r="P4631" s="3820"/>
    </row>
    <row r="4632" spans="1:16" s="210" customFormat="1" ht="12" hidden="1" customHeight="1" x14ac:dyDescent="0.25">
      <c r="A4632" s="3817"/>
      <c r="B4632" s="445"/>
      <c r="C4632" s="2535"/>
      <c r="D4632" s="911"/>
      <c r="E4632" s="2778"/>
      <c r="F4632" s="3859"/>
      <c r="G4632" s="911"/>
      <c r="H4632" s="2778"/>
      <c r="I4632" s="911"/>
      <c r="J4632" s="911"/>
      <c r="K4632" s="911"/>
      <c r="L4632" s="911"/>
      <c r="M4632" s="911"/>
      <c r="N4632" s="2768"/>
      <c r="P4632" s="97"/>
    </row>
    <row r="4633" spans="1:16" s="20" customFormat="1" ht="18" hidden="1" customHeight="1" x14ac:dyDescent="0.25">
      <c r="A4633" s="963"/>
      <c r="B4633" s="440"/>
      <c r="C4633" s="2471" t="s">
        <v>5970</v>
      </c>
      <c r="D4633" s="2744">
        <f>SUM(D4634+D4637+D4640+D4643)</f>
        <v>252000000</v>
      </c>
      <c r="E4633" s="2672">
        <f>D4633/D4394*100</f>
        <v>0.24620042402747314</v>
      </c>
      <c r="F4633" s="3917"/>
      <c r="G4633" s="3501"/>
      <c r="H4633" s="2672"/>
      <c r="I4633" s="2744"/>
      <c r="J4633" s="2887"/>
      <c r="K4633" s="2887"/>
      <c r="L4633" s="2672"/>
      <c r="M4633" s="2744"/>
      <c r="N4633" s="3493"/>
      <c r="P4633" s="617"/>
    </row>
    <row r="4634" spans="1:16" s="20" customFormat="1" ht="19.5" hidden="1" customHeight="1" x14ac:dyDescent="0.25">
      <c r="A4634" s="963"/>
      <c r="B4634" s="441"/>
      <c r="C4634" s="2521" t="s">
        <v>5968</v>
      </c>
      <c r="D4634" s="2826">
        <f>D4635</f>
        <v>50000000</v>
      </c>
      <c r="E4634" s="2734">
        <f>D4634/D4394*100</f>
        <v>4.8849290481641501E-2</v>
      </c>
      <c r="F4634" s="3867"/>
      <c r="G4634" s="3012"/>
      <c r="H4634" s="2695"/>
      <c r="I4634" s="2759"/>
      <c r="J4634" s="3013"/>
      <c r="K4634" s="3013"/>
      <c r="L4634" s="2695"/>
      <c r="M4634" s="2759"/>
      <c r="N4634" s="2704"/>
      <c r="P4634" s="617"/>
    </row>
    <row r="4635" spans="1:16" s="20" customFormat="1" ht="15.75" hidden="1" customHeight="1" x14ac:dyDescent="0.25">
      <c r="A4635" s="963"/>
      <c r="B4635" s="441"/>
      <c r="C4635" s="2494" t="s">
        <v>5969</v>
      </c>
      <c r="D4635" s="2698">
        <v>50000000</v>
      </c>
      <c r="E4635" s="2690">
        <f>D4635/D4394*100</f>
        <v>4.8849290481641501E-2</v>
      </c>
      <c r="F4635" s="4384"/>
      <c r="G4635" s="2757"/>
      <c r="H4635" s="2967"/>
      <c r="I4635" s="2757"/>
      <c r="J4635" s="3502"/>
      <c r="K4635" s="2757"/>
      <c r="L4635" s="2967"/>
      <c r="M4635" s="2967"/>
      <c r="N4635" s="2704"/>
      <c r="P4635" s="617"/>
    </row>
    <row r="4636" spans="1:16" s="20" customFormat="1" ht="11.25" hidden="1" customHeight="1" x14ac:dyDescent="0.25">
      <c r="A4636" s="963"/>
      <c r="B4636" s="441"/>
      <c r="C4636" s="2494"/>
      <c r="D4636" s="2698"/>
      <c r="E4636" s="2690"/>
      <c r="F4636" s="4384"/>
      <c r="G4636" s="2757"/>
      <c r="H4636" s="2967"/>
      <c r="I4636" s="2757"/>
      <c r="J4636" s="3502"/>
      <c r="K4636" s="2757"/>
      <c r="L4636" s="2967"/>
      <c r="M4636" s="2993"/>
      <c r="N4636" s="2704"/>
      <c r="P4636" s="617"/>
    </row>
    <row r="4637" spans="1:16" s="20" customFormat="1" ht="16.5" hidden="1" customHeight="1" x14ac:dyDescent="0.25">
      <c r="A4637" s="963"/>
      <c r="B4637" s="441"/>
      <c r="C4637" s="2491" t="s">
        <v>5971</v>
      </c>
      <c r="D4637" s="2692">
        <f>D4638</f>
        <v>82000000</v>
      </c>
      <c r="E4637" s="2695">
        <f>D4637/D4394*100</f>
        <v>8.0112836389892056E-2</v>
      </c>
      <c r="F4637" s="4384"/>
      <c r="G4637" s="2864"/>
      <c r="H4637" s="2685"/>
      <c r="I4637" s="2685"/>
      <c r="J4637" s="3502"/>
      <c r="K4637" s="3503"/>
      <c r="L4637" s="2685"/>
      <c r="M4637" s="2830"/>
      <c r="N4637" s="2704"/>
      <c r="P4637" s="617"/>
    </row>
    <row r="4638" spans="1:16" s="20" customFormat="1" ht="17.25" hidden="1" customHeight="1" x14ac:dyDescent="0.25">
      <c r="A4638" s="963"/>
      <c r="B4638" s="441"/>
      <c r="C4638" s="2494" t="s">
        <v>5972</v>
      </c>
      <c r="D4638" s="2698">
        <v>82000000</v>
      </c>
      <c r="E4638" s="2690">
        <f>D4638/D4394*100</f>
        <v>8.0112836389892056E-2</v>
      </c>
      <c r="F4638" s="4384"/>
      <c r="G4638" s="2757"/>
      <c r="H4638" s="2967"/>
      <c r="I4638" s="2757"/>
      <c r="J4638" s="3502"/>
      <c r="K4638" s="3503"/>
      <c r="L4638" s="2685"/>
      <c r="M4638" s="2685"/>
      <c r="N4638" s="2704"/>
      <c r="P4638" s="617"/>
    </row>
    <row r="4639" spans="1:16" s="20" customFormat="1" ht="8.25" hidden="1" customHeight="1" x14ac:dyDescent="0.25">
      <c r="A4639" s="963"/>
      <c r="B4639" s="441"/>
      <c r="C4639" s="2495"/>
      <c r="D4639" s="2698"/>
      <c r="E4639" s="2690"/>
      <c r="F4639" s="4384"/>
      <c r="G4639" s="2757"/>
      <c r="H4639" s="2967"/>
      <c r="I4639" s="2757"/>
      <c r="J4639" s="3502"/>
      <c r="K4639" s="3503"/>
      <c r="L4639" s="2685"/>
      <c r="M4639" s="2685"/>
      <c r="N4639" s="2704"/>
      <c r="P4639" s="617"/>
    </row>
    <row r="4640" spans="1:16" s="20" customFormat="1" ht="18" hidden="1" customHeight="1" x14ac:dyDescent="0.25">
      <c r="A4640" s="963"/>
      <c r="B4640" s="441"/>
      <c r="C4640" s="2496" t="s">
        <v>5973</v>
      </c>
      <c r="D4640" s="2692">
        <f>D4641</f>
        <v>100000000</v>
      </c>
      <c r="E4640" s="2695">
        <f>D4640/D4394*100</f>
        <v>9.7698580963283002E-2</v>
      </c>
      <c r="F4640" s="4384"/>
      <c r="G4640" s="2757"/>
      <c r="H4640" s="2967"/>
      <c r="I4640" s="2757"/>
      <c r="J4640" s="3502"/>
      <c r="K4640" s="3503"/>
      <c r="L4640" s="2685"/>
      <c r="M4640" s="2685"/>
      <c r="N4640" s="2704"/>
      <c r="P4640" s="617"/>
    </row>
    <row r="4641" spans="1:16" s="20" customFormat="1" ht="14.25" hidden="1" customHeight="1" x14ac:dyDescent="0.25">
      <c r="A4641" s="963"/>
      <c r="B4641" s="441"/>
      <c r="C4641" s="2473" t="s">
        <v>5974</v>
      </c>
      <c r="D4641" s="896">
        <v>100000000</v>
      </c>
      <c r="E4641" s="2690">
        <f>D4641/D4394*100</f>
        <v>9.7698580963283002E-2</v>
      </c>
      <c r="F4641" s="4446"/>
      <c r="G4641" s="2757"/>
      <c r="H4641" s="2967"/>
      <c r="I4641" s="2757"/>
      <c r="J4641" s="3502"/>
      <c r="K4641" s="3503"/>
      <c r="L4641" s="2685"/>
      <c r="M4641" s="2685"/>
      <c r="N4641" s="2704"/>
      <c r="P4641" s="617"/>
    </row>
    <row r="4642" spans="1:16" s="20" customFormat="1" ht="11.25" hidden="1" customHeight="1" x14ac:dyDescent="0.25">
      <c r="A4642" s="963"/>
      <c r="B4642" s="441"/>
      <c r="C4642" s="2473"/>
      <c r="D4642" s="896"/>
      <c r="E4642" s="2967"/>
      <c r="F4642" s="4446"/>
      <c r="G4642" s="2757"/>
      <c r="H4642" s="2967"/>
      <c r="I4642" s="2757"/>
      <c r="J4642" s="3502"/>
      <c r="K4642" s="3503"/>
      <c r="L4642" s="2685"/>
      <c r="M4642" s="2685"/>
      <c r="N4642" s="2704"/>
      <c r="P4642" s="617"/>
    </row>
    <row r="4643" spans="1:16" s="20" customFormat="1" ht="16.5" hidden="1" customHeight="1" x14ac:dyDescent="0.25">
      <c r="A4643" s="963"/>
      <c r="B4643" s="441"/>
      <c r="C4643" s="2474" t="s">
        <v>5975</v>
      </c>
      <c r="D4643" s="899">
        <f>D4644</f>
        <v>20000000</v>
      </c>
      <c r="E4643" s="2695">
        <f>D4643/D4394*100</f>
        <v>1.9539716192656601E-2</v>
      </c>
      <c r="F4643" s="4446"/>
      <c r="G4643" s="2757"/>
      <c r="H4643" s="2967"/>
      <c r="I4643" s="2757"/>
      <c r="J4643" s="3502"/>
      <c r="K4643" s="2757"/>
      <c r="L4643" s="2967"/>
      <c r="M4643" s="2967"/>
      <c r="N4643" s="2704"/>
      <c r="P4643" s="617"/>
    </row>
    <row r="4644" spans="1:16" s="20" customFormat="1" ht="15" hidden="1" customHeight="1" x14ac:dyDescent="0.25">
      <c r="A4644" s="963"/>
      <c r="B4644" s="441"/>
      <c r="C4644" s="2494" t="s">
        <v>5976</v>
      </c>
      <c r="D4644" s="2698">
        <v>20000000</v>
      </c>
      <c r="E4644" s="2690">
        <f>D4644/D4394*100</f>
        <v>1.9539716192656601E-2</v>
      </c>
      <c r="F4644" s="3834"/>
      <c r="G4644" s="2980"/>
      <c r="H4644" s="2685"/>
      <c r="I4644" s="2685"/>
      <c r="J4644" s="3477"/>
      <c r="K4644" s="2731"/>
      <c r="L4644" s="2804"/>
      <c r="M4644" s="2685"/>
      <c r="N4644" s="2704"/>
      <c r="P4644" s="617"/>
    </row>
    <row r="4645" spans="1:16" ht="12" hidden="1" customHeight="1" x14ac:dyDescent="0.25">
      <c r="B4645" s="441"/>
      <c r="C4645" s="2506"/>
      <c r="D4645" s="2698"/>
      <c r="E4645" s="2690"/>
      <c r="F4645" s="4384"/>
      <c r="G4645" s="2704"/>
      <c r="H4645" s="2685"/>
      <c r="I4645" s="2830"/>
      <c r="J4645" s="3477"/>
      <c r="K4645" s="2834"/>
      <c r="L4645" s="2830"/>
      <c r="M4645" s="2830"/>
      <c r="N4645" s="2768"/>
    </row>
    <row r="4646" spans="1:16" ht="15" hidden="1" customHeight="1" x14ac:dyDescent="0.25">
      <c r="B4646" s="440"/>
      <c r="C4646" s="2497" t="s">
        <v>5977</v>
      </c>
      <c r="D4646" s="2669">
        <f>SUM(D4647+D4650)</f>
        <v>343000000</v>
      </c>
      <c r="E4646" s="2672">
        <f>D4646/D4394*100</f>
        <v>0.33510613270406064</v>
      </c>
      <c r="F4646" s="3835"/>
      <c r="G4646" s="2719"/>
      <c r="H4646" s="2672"/>
      <c r="I4646" s="2719"/>
      <c r="J4646" s="2720"/>
      <c r="K4646" s="2720"/>
      <c r="L4646" s="2672"/>
      <c r="M4646" s="2719"/>
      <c r="N4646" s="2768"/>
    </row>
    <row r="4647" spans="1:16" ht="16.5" hidden="1" customHeight="1" x14ac:dyDescent="0.25">
      <c r="B4647" s="441"/>
      <c r="C4647" s="2521" t="s">
        <v>5978</v>
      </c>
      <c r="D4647" s="2825">
        <f>SUM(D4648)</f>
        <v>145000000</v>
      </c>
      <c r="E4647" s="2734">
        <f>D4647/D4394*100</f>
        <v>0.14166294239676033</v>
      </c>
      <c r="F4647" s="3914"/>
      <c r="G4647" s="2900"/>
      <c r="H4647" s="2695"/>
      <c r="I4647" s="2751"/>
      <c r="J4647" s="3485"/>
      <c r="K4647" s="3485"/>
      <c r="L4647" s="2695"/>
      <c r="M4647" s="2751"/>
      <c r="N4647" s="2768"/>
    </row>
    <row r="4648" spans="1:16" ht="16.5" hidden="1" customHeight="1" x14ac:dyDescent="0.25">
      <c r="B4648" s="441"/>
      <c r="C4648" s="2494" t="s">
        <v>5979</v>
      </c>
      <c r="D4648" s="2698">
        <v>145000000</v>
      </c>
      <c r="E4648" s="2690">
        <f>D4648/D4394*100</f>
        <v>0.14166294239676033</v>
      </c>
      <c r="F4648" s="4384"/>
      <c r="G4648" s="2864"/>
      <c r="H4648" s="2685"/>
      <c r="I4648" s="2685"/>
      <c r="J4648" s="3504"/>
      <c r="K4648" s="3504"/>
      <c r="L4648" s="2685"/>
      <c r="M4648" s="2685"/>
      <c r="N4648" s="2768"/>
    </row>
    <row r="4649" spans="1:16" ht="12" hidden="1" customHeight="1" x14ac:dyDescent="0.25">
      <c r="B4649" s="441"/>
      <c r="C4649" s="2494"/>
      <c r="D4649" s="2698"/>
      <c r="E4649" s="2690"/>
      <c r="F4649" s="4384"/>
      <c r="G4649" s="2864"/>
      <c r="H4649" s="2685"/>
      <c r="I4649" s="2685"/>
      <c r="J4649" s="3504"/>
      <c r="K4649" s="3504"/>
      <c r="L4649" s="2685"/>
      <c r="M4649" s="2685"/>
      <c r="N4649" s="2768"/>
    </row>
    <row r="4650" spans="1:16" ht="17.25" hidden="1" customHeight="1" x14ac:dyDescent="0.25">
      <c r="B4650" s="441"/>
      <c r="C4650" s="2491" t="s">
        <v>5980</v>
      </c>
      <c r="D4650" s="2692">
        <f>D4651+D4652</f>
        <v>198000000</v>
      </c>
      <c r="E4650" s="2695">
        <f>D4650/D4394*100</f>
        <v>0.19344319030730034</v>
      </c>
      <c r="F4650" s="4384"/>
      <c r="G4650" s="2864"/>
      <c r="H4650" s="2685"/>
      <c r="I4650" s="2685"/>
      <c r="J4650" s="3504"/>
      <c r="K4650" s="3504"/>
      <c r="L4650" s="2685"/>
      <c r="M4650" s="2685"/>
      <c r="N4650" s="2768"/>
    </row>
    <row r="4651" spans="1:16" ht="15.75" hidden="1" customHeight="1" x14ac:dyDescent="0.25">
      <c r="B4651" s="441"/>
      <c r="C4651" s="2524" t="s">
        <v>5984</v>
      </c>
      <c r="D4651" s="896">
        <v>180000000</v>
      </c>
      <c r="E4651" s="2690">
        <f>D4651/D4394*100</f>
        <v>0.17585744573390941</v>
      </c>
      <c r="F4651" s="3868"/>
      <c r="G4651" s="898"/>
      <c r="H4651" s="3035"/>
      <c r="I4651" s="898"/>
      <c r="J4651" s="898"/>
      <c r="K4651" s="898"/>
      <c r="L4651" s="898"/>
      <c r="M4651" s="898"/>
      <c r="N4651" s="2768"/>
    </row>
    <row r="4652" spans="1:16" s="196" customFormat="1" ht="15" hidden="1" customHeight="1" x14ac:dyDescent="0.25">
      <c r="A4652" s="12"/>
      <c r="B4652" s="442"/>
      <c r="C4652" s="2524" t="s">
        <v>5981</v>
      </c>
      <c r="D4652" s="896">
        <v>18000000</v>
      </c>
      <c r="E4652" s="2690">
        <f>D4652/D4394*100</f>
        <v>1.7585744573390939E-2</v>
      </c>
      <c r="F4652" s="3868"/>
      <c r="G4652" s="896"/>
      <c r="H4652" s="2690"/>
      <c r="I4652" s="896"/>
      <c r="J4652" s="896"/>
      <c r="K4652" s="896"/>
      <c r="L4652" s="896"/>
      <c r="M4652" s="896"/>
      <c r="N4652" s="2951"/>
      <c r="P4652" s="631"/>
    </row>
    <row r="4653" spans="1:16" ht="12" hidden="1" customHeight="1" x14ac:dyDescent="0.25">
      <c r="B4653" s="441"/>
      <c r="C4653" s="2528" t="s">
        <v>809</v>
      </c>
      <c r="D4653" s="2769"/>
      <c r="E4653" s="2784"/>
      <c r="F4653" s="3872"/>
      <c r="G4653" s="2755"/>
      <c r="H4653" s="2784"/>
      <c r="I4653" s="2755"/>
      <c r="J4653" s="2755"/>
      <c r="K4653" s="2755"/>
      <c r="L4653" s="2755"/>
      <c r="M4653" s="2755"/>
      <c r="N4653" s="2768"/>
    </row>
    <row r="4654" spans="1:16" ht="15.75" hidden="1" customHeight="1" x14ac:dyDescent="0.25">
      <c r="B4654" s="458"/>
      <c r="C4654" s="2532" t="s">
        <v>5982</v>
      </c>
      <c r="D4654" s="2744">
        <f>SUM(D4655+D4658+D4661+D4664)</f>
        <v>333200000</v>
      </c>
      <c r="E4654" s="2672">
        <f>D4654/D4394*100</f>
        <v>0.32553167176965897</v>
      </c>
      <c r="F4654" s="3917"/>
      <c r="G4654" s="3501"/>
      <c r="H4654" s="2672"/>
      <c r="I4654" s="2749"/>
      <c r="J4654" s="2887"/>
      <c r="K4654" s="2887"/>
      <c r="L4654" s="2672"/>
      <c r="M4654" s="2744"/>
      <c r="N4654" s="2768"/>
    </row>
    <row r="4655" spans="1:16" s="20" customFormat="1" ht="18.75" hidden="1" customHeight="1" x14ac:dyDescent="0.25">
      <c r="A4655" s="963"/>
      <c r="B4655" s="441"/>
      <c r="C4655" s="2521" t="s">
        <v>5983</v>
      </c>
      <c r="D4655" s="2692">
        <f>SUM(D4656:D4656)</f>
        <v>180000000</v>
      </c>
      <c r="E4655" s="2695">
        <f>D4655/D4394*100</f>
        <v>0.17585744573390941</v>
      </c>
      <c r="F4655" s="3834"/>
      <c r="G4655" s="2679"/>
      <c r="H4655" s="2734"/>
      <c r="I4655" s="2679"/>
      <c r="J4655" s="2694"/>
      <c r="K4655" s="2694"/>
      <c r="L4655" s="2695"/>
      <c r="M4655" s="2679"/>
      <c r="N4655" s="2704"/>
      <c r="P4655" s="617"/>
    </row>
    <row r="4656" spans="1:16" s="20" customFormat="1" ht="18" hidden="1" customHeight="1" x14ac:dyDescent="0.25">
      <c r="A4656" s="963"/>
      <c r="B4656" s="441"/>
      <c r="C4656" s="2524" t="s">
        <v>5985</v>
      </c>
      <c r="D4656" s="2698">
        <v>180000000</v>
      </c>
      <c r="E4656" s="2690">
        <f>D4656/D4394*100</f>
        <v>0.17585744573390941</v>
      </c>
      <c r="F4656" s="4384"/>
      <c r="G4656" s="896"/>
      <c r="H4656" s="2685"/>
      <c r="I4656" s="2685"/>
      <c r="J4656" s="3505"/>
      <c r="K4656" s="3505"/>
      <c r="L4656" s="2685"/>
      <c r="M4656" s="2685"/>
      <c r="N4656" s="2704"/>
      <c r="P4656" s="617"/>
    </row>
    <row r="4657" spans="1:16" s="20" customFormat="1" ht="11.25" hidden="1" customHeight="1" x14ac:dyDescent="0.25">
      <c r="A4657" s="963"/>
      <c r="B4657" s="441"/>
      <c r="C4657" s="2526"/>
      <c r="D4657" s="2724"/>
      <c r="E4657" s="2690"/>
      <c r="F4657" s="4380"/>
      <c r="G4657" s="896"/>
      <c r="H4657" s="2830"/>
      <c r="I4657" s="2830"/>
      <c r="J4657" s="3506"/>
      <c r="K4657" s="3506"/>
      <c r="L4657" s="2830"/>
      <c r="M4657" s="2830"/>
      <c r="N4657" s="2704"/>
      <c r="P4657" s="617"/>
    </row>
    <row r="4658" spans="1:16" ht="16.5" hidden="1" customHeight="1" x14ac:dyDescent="0.25">
      <c r="B4658" s="441"/>
      <c r="C4658" s="2525" t="s">
        <v>5986</v>
      </c>
      <c r="D4658" s="899">
        <f>D4659</f>
        <v>30000000</v>
      </c>
      <c r="E4658" s="2695">
        <f>D4658/D4394*100</f>
        <v>2.9309574288984896E-2</v>
      </c>
      <c r="F4658" s="3868"/>
      <c r="G4658" s="898"/>
      <c r="H4658" s="3035"/>
      <c r="I4658" s="898"/>
      <c r="J4658" s="898"/>
      <c r="K4658" s="898"/>
      <c r="L4658" s="898"/>
      <c r="M4658" s="898"/>
      <c r="N4658" s="2768"/>
    </row>
    <row r="4659" spans="1:16" ht="17.25" hidden="1" customHeight="1" x14ac:dyDescent="0.25">
      <c r="B4659" s="441"/>
      <c r="C4659" s="2494" t="s">
        <v>5987</v>
      </c>
      <c r="D4659" s="896">
        <v>30000000</v>
      </c>
      <c r="E4659" s="2690">
        <f>D4659/D4394*100</f>
        <v>2.9309574288984896E-2</v>
      </c>
      <c r="F4659" s="3861"/>
      <c r="G4659" s="2970"/>
      <c r="H4659" s="2969"/>
      <c r="I4659" s="2970"/>
      <c r="J4659" s="899"/>
      <c r="K4659" s="899"/>
      <c r="L4659" s="2695"/>
      <c r="M4659" s="899"/>
      <c r="N4659" s="2768"/>
    </row>
    <row r="4660" spans="1:16" ht="10.5" hidden="1" customHeight="1" x14ac:dyDescent="0.25">
      <c r="B4660" s="441"/>
      <c r="C4660" s="2491"/>
      <c r="D4660" s="899"/>
      <c r="E4660" s="2690"/>
      <c r="F4660" s="3861"/>
      <c r="G4660" s="2970"/>
      <c r="H4660" s="2969"/>
      <c r="I4660" s="2970"/>
      <c r="J4660" s="899"/>
      <c r="K4660" s="899"/>
      <c r="L4660" s="2695"/>
      <c r="M4660" s="899"/>
      <c r="N4660" s="2768"/>
    </row>
    <row r="4661" spans="1:16" ht="18" hidden="1" customHeight="1" x14ac:dyDescent="0.25">
      <c r="B4661" s="441"/>
      <c r="C4661" s="2491" t="s">
        <v>5988</v>
      </c>
      <c r="D4661" s="899">
        <f>D4662</f>
        <v>55200000</v>
      </c>
      <c r="E4661" s="2695">
        <f>D4661/D4394*100</f>
        <v>5.392961669173222E-2</v>
      </c>
      <c r="F4661" s="4446"/>
      <c r="G4661" s="2757"/>
      <c r="H4661" s="2967"/>
      <c r="I4661" s="2757"/>
      <c r="J4661" s="3507"/>
      <c r="K4661" s="3507"/>
      <c r="L4661" s="2685"/>
      <c r="M4661" s="896"/>
      <c r="N4661" s="2768"/>
    </row>
    <row r="4662" spans="1:16" ht="15.75" hidden="1" customHeight="1" x14ac:dyDescent="0.25">
      <c r="B4662" s="441"/>
      <c r="C4662" s="2524" t="s">
        <v>5989</v>
      </c>
      <c r="D4662" s="896">
        <v>55200000</v>
      </c>
      <c r="E4662" s="2690">
        <f>D4662/D4394*100</f>
        <v>5.392961669173222E-2</v>
      </c>
      <c r="F4662" s="3868"/>
      <c r="G4662" s="898"/>
      <c r="H4662" s="3035"/>
      <c r="I4662" s="898"/>
      <c r="J4662" s="898"/>
      <c r="K4662" s="898"/>
      <c r="L4662" s="898"/>
      <c r="M4662" s="898"/>
      <c r="N4662" s="2768"/>
    </row>
    <row r="4663" spans="1:16" ht="10.5" hidden="1" customHeight="1" x14ac:dyDescent="0.25">
      <c r="B4663" s="441"/>
      <c r="C4663" s="2526"/>
      <c r="D4663" s="2769"/>
      <c r="E4663" s="2690"/>
      <c r="F4663" s="3872"/>
      <c r="G4663" s="2755"/>
      <c r="H4663" s="2784"/>
      <c r="I4663" s="2755"/>
      <c r="J4663" s="2755"/>
      <c r="K4663" s="2755"/>
      <c r="L4663" s="2755"/>
      <c r="M4663" s="2755"/>
      <c r="N4663" s="2768"/>
    </row>
    <row r="4664" spans="1:16" s="32" customFormat="1" ht="18" hidden="1" customHeight="1" x14ac:dyDescent="0.25">
      <c r="A4664" s="1"/>
      <c r="B4664" s="441"/>
      <c r="C4664" s="2525" t="s">
        <v>5990</v>
      </c>
      <c r="D4664" s="899">
        <f>D4665</f>
        <v>68000000</v>
      </c>
      <c r="E4664" s="2695">
        <f>D4664/D4394*100</f>
        <v>6.643503505503244E-2</v>
      </c>
      <c r="F4664" s="3853"/>
      <c r="G4664" s="899"/>
      <c r="H4664" s="2695"/>
      <c r="I4664" s="899"/>
      <c r="J4664" s="899"/>
      <c r="K4664" s="899"/>
      <c r="L4664" s="899"/>
      <c r="M4664" s="899"/>
      <c r="N4664" s="2837"/>
      <c r="P4664" s="630"/>
    </row>
    <row r="4665" spans="1:16" ht="18.75" hidden="1" customHeight="1" x14ac:dyDescent="0.25">
      <c r="B4665" s="441"/>
      <c r="C4665" s="2524" t="s">
        <v>5991</v>
      </c>
      <c r="D4665" s="896">
        <v>68000000</v>
      </c>
      <c r="E4665" s="2690">
        <f>D4665/D4394*100</f>
        <v>6.643503505503244E-2</v>
      </c>
      <c r="F4665" s="3868"/>
      <c r="G4665" s="898"/>
      <c r="H4665" s="3035"/>
      <c r="I4665" s="898"/>
      <c r="J4665" s="898"/>
      <c r="K4665" s="898"/>
      <c r="L4665" s="898"/>
      <c r="M4665" s="898"/>
      <c r="N4665" s="2768"/>
    </row>
    <row r="4666" spans="1:16" ht="12" hidden="1" customHeight="1" x14ac:dyDescent="0.25">
      <c r="B4666" s="441"/>
      <c r="C4666" s="2528"/>
      <c r="D4666" s="2769"/>
      <c r="E4666" s="2784"/>
      <c r="F4666" s="3872"/>
      <c r="G4666" s="2755"/>
      <c r="H4666" s="2784"/>
      <c r="I4666" s="2755"/>
      <c r="J4666" s="2755"/>
      <c r="K4666" s="2755"/>
      <c r="L4666" s="2755"/>
      <c r="M4666" s="2755"/>
      <c r="N4666" s="2768"/>
    </row>
    <row r="4667" spans="1:16" ht="15.75" hidden="1" customHeight="1" x14ac:dyDescent="0.25">
      <c r="B4667" s="458"/>
      <c r="C4667" s="2532" t="s">
        <v>5992</v>
      </c>
      <c r="D4667" s="2744">
        <f>SUM(D4668+D4671+D4676)</f>
        <v>334470000</v>
      </c>
      <c r="E4667" s="2672">
        <f>D4667/D4394*100</f>
        <v>0.32677244374789266</v>
      </c>
      <c r="F4667" s="3871"/>
      <c r="G4667" s="2749"/>
      <c r="H4667" s="3184"/>
      <c r="I4667" s="2749"/>
      <c r="J4667" s="2749"/>
      <c r="K4667" s="2749"/>
      <c r="L4667" s="2749"/>
      <c r="M4667" s="2749"/>
      <c r="N4667" s="2768"/>
    </row>
    <row r="4668" spans="1:16" s="32" customFormat="1" ht="16.5" hidden="1" customHeight="1" x14ac:dyDescent="0.25">
      <c r="A4668" s="1"/>
      <c r="B4668" s="441"/>
      <c r="C4668" s="2521" t="s">
        <v>5993</v>
      </c>
      <c r="D4668" s="3343">
        <f>D4669</f>
        <v>34500000</v>
      </c>
      <c r="E4668" s="2695">
        <f>D4668/D4394*100</f>
        <v>3.370601043233263E-2</v>
      </c>
      <c r="F4668" s="3872"/>
      <c r="G4668" s="2751"/>
      <c r="H4668" s="2785"/>
      <c r="I4668" s="2751"/>
      <c r="J4668" s="2751"/>
      <c r="K4668" s="2751"/>
      <c r="L4668" s="2751"/>
      <c r="M4668" s="2751"/>
      <c r="N4668" s="2837"/>
      <c r="P4668" s="630"/>
    </row>
    <row r="4669" spans="1:16" ht="15.75" hidden="1" customHeight="1" x14ac:dyDescent="0.25">
      <c r="B4669" s="441"/>
      <c r="C4669" s="2524" t="s">
        <v>5998</v>
      </c>
      <c r="D4669" s="896">
        <v>34500000</v>
      </c>
      <c r="E4669" s="2690">
        <f>D4669/D4394*100</f>
        <v>3.370601043233263E-2</v>
      </c>
      <c r="F4669" s="3868"/>
      <c r="G4669" s="898"/>
      <c r="H4669" s="3035"/>
      <c r="I4669" s="898"/>
      <c r="J4669" s="898"/>
      <c r="K4669" s="898"/>
      <c r="L4669" s="898"/>
      <c r="M4669" s="898"/>
      <c r="N4669" s="2768"/>
    </row>
    <row r="4670" spans="1:16" ht="9.75" hidden="1" customHeight="1" x14ac:dyDescent="0.25">
      <c r="B4670" s="441"/>
      <c r="C4670" s="2527"/>
      <c r="D4670" s="896"/>
      <c r="E4670" s="3035"/>
      <c r="F4670" s="3868"/>
      <c r="G4670" s="898"/>
      <c r="H4670" s="3035"/>
      <c r="I4670" s="898"/>
      <c r="J4670" s="898"/>
      <c r="K4670" s="898"/>
      <c r="L4670" s="898"/>
      <c r="M4670" s="898"/>
      <c r="N4670" s="2768"/>
    </row>
    <row r="4671" spans="1:16" ht="15" hidden="1" customHeight="1" x14ac:dyDescent="0.25">
      <c r="B4671" s="441"/>
      <c r="C4671" s="2525" t="s">
        <v>5994</v>
      </c>
      <c r="D4671" s="899">
        <f>SUM(D4672:D4674)</f>
        <v>249970000</v>
      </c>
      <c r="E4671" s="2695">
        <f>D4671/D4394*100</f>
        <v>0.24421714283391852</v>
      </c>
      <c r="F4671" s="3868"/>
      <c r="G4671" s="898"/>
      <c r="H4671" s="3035"/>
      <c r="I4671" s="898"/>
      <c r="J4671" s="898"/>
      <c r="K4671" s="898"/>
      <c r="L4671" s="898"/>
      <c r="M4671" s="898"/>
      <c r="N4671" s="2768"/>
    </row>
    <row r="4672" spans="1:16" ht="15.75" hidden="1" customHeight="1" x14ac:dyDescent="0.25">
      <c r="B4672" s="441"/>
      <c r="C4672" s="2524" t="s">
        <v>5995</v>
      </c>
      <c r="D4672" s="896">
        <v>21800000</v>
      </c>
      <c r="E4672" s="2690">
        <f>D4672/D4394*100</f>
        <v>2.1298290649995694E-2</v>
      </c>
      <c r="F4672" s="3868"/>
      <c r="G4672" s="898"/>
      <c r="H4672" s="3035"/>
      <c r="I4672" s="898"/>
      <c r="J4672" s="898"/>
      <c r="K4672" s="898"/>
      <c r="L4672" s="898"/>
      <c r="M4672" s="898"/>
      <c r="N4672" s="2768"/>
    </row>
    <row r="4673" spans="1:16" ht="16.5" hidden="1" customHeight="1" x14ac:dyDescent="0.25">
      <c r="B4673" s="441"/>
      <c r="C4673" s="2524" t="s">
        <v>5997</v>
      </c>
      <c r="D4673" s="896">
        <v>183170000</v>
      </c>
      <c r="E4673" s="2690">
        <f>D4673/D4394*100</f>
        <v>0.17895449075044548</v>
      </c>
      <c r="F4673" s="3868"/>
      <c r="G4673" s="898"/>
      <c r="H4673" s="3035"/>
      <c r="I4673" s="898"/>
      <c r="J4673" s="898"/>
      <c r="K4673" s="898"/>
      <c r="L4673" s="898"/>
      <c r="M4673" s="898"/>
      <c r="N4673" s="2768"/>
    </row>
    <row r="4674" spans="1:16" ht="15" hidden="1" customHeight="1" x14ac:dyDescent="0.25">
      <c r="B4674" s="441"/>
      <c r="C4674" s="2524" t="s">
        <v>5996</v>
      </c>
      <c r="D4674" s="896">
        <v>45000000</v>
      </c>
      <c r="E4674" s="2690">
        <f>D4674/D4394*100</f>
        <v>4.3964361433477352E-2</v>
      </c>
      <c r="F4674" s="3868"/>
      <c r="G4674" s="898"/>
      <c r="H4674" s="3035"/>
      <c r="I4674" s="898"/>
      <c r="J4674" s="898"/>
      <c r="K4674" s="898"/>
      <c r="L4674" s="898"/>
      <c r="M4674" s="898"/>
      <c r="N4674" s="2768"/>
    </row>
    <row r="4675" spans="1:16" ht="9" hidden="1" customHeight="1" x14ac:dyDescent="0.25">
      <c r="B4675" s="441"/>
      <c r="C4675" s="2526"/>
      <c r="D4675" s="2769"/>
      <c r="E4675" s="2690"/>
      <c r="F4675" s="3872"/>
      <c r="G4675" s="2755"/>
      <c r="H4675" s="2784"/>
      <c r="I4675" s="2755"/>
      <c r="J4675" s="2755"/>
      <c r="K4675" s="2755"/>
      <c r="L4675" s="2755"/>
      <c r="M4675" s="2755"/>
      <c r="N4675" s="2768"/>
    </row>
    <row r="4676" spans="1:16" s="32" customFormat="1" ht="18.75" hidden="1" customHeight="1" x14ac:dyDescent="0.25">
      <c r="A4676" s="1"/>
      <c r="B4676" s="441"/>
      <c r="C4676" s="2525" t="s">
        <v>5999</v>
      </c>
      <c r="D4676" s="899">
        <f>D4677</f>
        <v>50000000</v>
      </c>
      <c r="E4676" s="2695">
        <f>D4676/D4394*100</f>
        <v>4.8849290481641501E-2</v>
      </c>
      <c r="F4676" s="3853"/>
      <c r="G4676" s="899"/>
      <c r="H4676" s="2695"/>
      <c r="I4676" s="899"/>
      <c r="J4676" s="899"/>
      <c r="K4676" s="899"/>
      <c r="L4676" s="899"/>
      <c r="M4676" s="899"/>
      <c r="N4676" s="2837"/>
      <c r="P4676" s="630"/>
    </row>
    <row r="4677" spans="1:16" ht="18.75" hidden="1" customHeight="1" x14ac:dyDescent="0.25">
      <c r="B4677" s="441"/>
      <c r="C4677" s="2524" t="s">
        <v>6000</v>
      </c>
      <c r="D4677" s="896">
        <v>50000000</v>
      </c>
      <c r="E4677" s="2690">
        <f>D4677/D4394*100</f>
        <v>4.8849290481641501E-2</v>
      </c>
      <c r="F4677" s="3868"/>
      <c r="G4677" s="898"/>
      <c r="H4677" s="3035"/>
      <c r="I4677" s="898"/>
      <c r="J4677" s="898"/>
      <c r="K4677" s="898"/>
      <c r="L4677" s="898"/>
      <c r="M4677" s="898"/>
      <c r="N4677" s="2768"/>
    </row>
    <row r="4678" spans="1:16" ht="12" hidden="1" customHeight="1" x14ac:dyDescent="0.25">
      <c r="B4678" s="441"/>
      <c r="C4678" s="2528"/>
      <c r="D4678" s="2769"/>
      <c r="E4678" s="2784"/>
      <c r="F4678" s="3872"/>
      <c r="G4678" s="2755"/>
      <c r="H4678" s="2784"/>
      <c r="I4678" s="2755"/>
      <c r="J4678" s="2755"/>
      <c r="K4678" s="2755"/>
      <c r="L4678" s="2755"/>
      <c r="M4678" s="2755"/>
      <c r="N4678" s="2768"/>
    </row>
    <row r="4679" spans="1:16" ht="18" hidden="1" customHeight="1" x14ac:dyDescent="0.25">
      <c r="B4679" s="440"/>
      <c r="C4679" s="2471" t="s">
        <v>6001</v>
      </c>
      <c r="D4679" s="2744">
        <f>SUM(D4680+D4683+D4687)</f>
        <v>340040000</v>
      </c>
      <c r="E4679" s="2672">
        <f>D4679/D4394*100</f>
        <v>0.33221425470754751</v>
      </c>
      <c r="F4679" s="3918"/>
      <c r="G4679" s="2987"/>
      <c r="H4679" s="2670"/>
      <c r="I4679" s="2987"/>
      <c r="J4679" s="2887"/>
      <c r="K4679" s="2887"/>
      <c r="L4679" s="2672"/>
      <c r="M4679" s="2744"/>
      <c r="N4679" s="2768"/>
    </row>
    <row r="4680" spans="1:16" ht="18.75" hidden="1" customHeight="1" x14ac:dyDescent="0.25">
      <c r="B4680" s="441"/>
      <c r="C4680" s="2521" t="s">
        <v>6002</v>
      </c>
      <c r="D4680" s="3188">
        <f>SUM(D4681)</f>
        <v>180000000</v>
      </c>
      <c r="E4680" s="2734">
        <f>D4680/D4394*100</f>
        <v>0.17585744573390941</v>
      </c>
      <c r="F4680" s="3910"/>
      <c r="G4680" s="3005"/>
      <c r="H4680" s="2677"/>
      <c r="I4680" s="3005"/>
      <c r="J4680" s="3508"/>
      <c r="K4680" s="3508"/>
      <c r="L4680" s="2695"/>
      <c r="M4680" s="2734"/>
      <c r="N4680" s="2768"/>
    </row>
    <row r="4681" spans="1:16" ht="16.5" hidden="1" customHeight="1" x14ac:dyDescent="0.25">
      <c r="B4681" s="441"/>
      <c r="C4681" s="2494" t="s">
        <v>6041</v>
      </c>
      <c r="D4681" s="2698">
        <v>180000000</v>
      </c>
      <c r="E4681" s="2690">
        <f>D4681/D4394*100</f>
        <v>0.17585744573390941</v>
      </c>
      <c r="F4681" s="4384"/>
      <c r="G4681" s="2757"/>
      <c r="H4681" s="2967"/>
      <c r="I4681" s="2757"/>
      <c r="J4681" s="3509"/>
      <c r="K4681" s="3510"/>
      <c r="L4681" s="2685"/>
      <c r="M4681" s="2690"/>
      <c r="N4681" s="2768"/>
    </row>
    <row r="4682" spans="1:16" ht="9" hidden="1" customHeight="1" x14ac:dyDescent="0.25">
      <c r="B4682" s="441"/>
      <c r="C4682" s="2494"/>
      <c r="D4682" s="2698"/>
      <c r="E4682" s="2690"/>
      <c r="F4682" s="4384"/>
      <c r="G4682" s="2757"/>
      <c r="H4682" s="2967"/>
      <c r="I4682" s="2757"/>
      <c r="J4682" s="3511"/>
      <c r="K4682" s="3512"/>
      <c r="L4682" s="2830"/>
      <c r="M4682" s="2690"/>
      <c r="N4682" s="2768"/>
    </row>
    <row r="4683" spans="1:16" s="32" customFormat="1" ht="16.5" hidden="1" customHeight="1" x14ac:dyDescent="0.25">
      <c r="A4683" s="1"/>
      <c r="B4683" s="441"/>
      <c r="C4683" s="2491" t="s">
        <v>6003</v>
      </c>
      <c r="D4683" s="2692">
        <f>D4684+D4685</f>
        <v>129040000</v>
      </c>
      <c r="E4683" s="2734">
        <f>D4683/D4394*100</f>
        <v>0.12607024887502039</v>
      </c>
      <c r="F4683" s="3834"/>
      <c r="G4683" s="2970"/>
      <c r="H4683" s="2969"/>
      <c r="I4683" s="2970"/>
      <c r="J4683" s="3513"/>
      <c r="K4683" s="3514"/>
      <c r="L4683" s="2722"/>
      <c r="M4683" s="2695"/>
      <c r="N4683" s="2837"/>
      <c r="P4683" s="630"/>
    </row>
    <row r="4684" spans="1:16" s="196" customFormat="1" ht="18" hidden="1" customHeight="1" x14ac:dyDescent="0.25">
      <c r="A4684" s="12"/>
      <c r="B4684" s="442"/>
      <c r="C4684" s="2494" t="s">
        <v>6042</v>
      </c>
      <c r="D4684" s="2698">
        <v>120000000</v>
      </c>
      <c r="E4684" s="2690">
        <f>D4684/D4394*100</f>
        <v>0.11723829715593959</v>
      </c>
      <c r="F4684" s="4384"/>
      <c r="G4684" s="2689"/>
      <c r="H4684" s="3515"/>
      <c r="I4684" s="2689"/>
      <c r="J4684" s="943"/>
      <c r="K4684" s="3516"/>
      <c r="L4684" s="2769"/>
      <c r="M4684" s="2690"/>
      <c r="N4684" s="2951"/>
      <c r="P4684" s="631"/>
    </row>
    <row r="4685" spans="1:16" s="196" customFormat="1" ht="18" hidden="1" customHeight="1" x14ac:dyDescent="0.25">
      <c r="A4685" s="12"/>
      <c r="B4685" s="442"/>
      <c r="C4685" s="2506" t="s">
        <v>6004</v>
      </c>
      <c r="D4685" s="2724">
        <v>9040000</v>
      </c>
      <c r="E4685" s="2690">
        <f>D4685/D4394*100</f>
        <v>8.8319517190807838E-3</v>
      </c>
      <c r="F4685" s="4380"/>
      <c r="G4685" s="3056"/>
      <c r="H4685" s="3921"/>
      <c r="I4685" s="3056"/>
      <c r="J4685" s="2891"/>
      <c r="K4685" s="3922"/>
      <c r="L4685" s="2769"/>
      <c r="M4685" s="2752"/>
      <c r="N4685" s="2951"/>
      <c r="P4685" s="631"/>
    </row>
    <row r="4686" spans="1:16" s="196" customFormat="1" ht="10.5" hidden="1" customHeight="1" x14ac:dyDescent="0.25">
      <c r="A4686" s="12"/>
      <c r="B4686" s="442"/>
      <c r="C4686" s="2494"/>
      <c r="D4686" s="2698"/>
      <c r="E4686" s="2690"/>
      <c r="F4686" s="4384"/>
      <c r="G4686" s="2689"/>
      <c r="H4686" s="3515"/>
      <c r="I4686" s="2689"/>
      <c r="J4686" s="2920"/>
      <c r="K4686" s="3518"/>
      <c r="L4686" s="896"/>
      <c r="M4686" s="2690"/>
      <c r="N4686" s="2951"/>
      <c r="P4686" s="631"/>
    </row>
    <row r="4687" spans="1:16" s="32" customFormat="1" ht="18" hidden="1" customHeight="1" x14ac:dyDescent="0.25">
      <c r="A4687" s="1"/>
      <c r="B4687" s="441"/>
      <c r="C4687" s="2491" t="s">
        <v>6005</v>
      </c>
      <c r="D4687" s="2692">
        <f>D4688</f>
        <v>31000000</v>
      </c>
      <c r="E4687" s="2695">
        <f>D4687/D4394*100</f>
        <v>3.0286560098617729E-2</v>
      </c>
      <c r="F4687" s="3834"/>
      <c r="G4687" s="3115"/>
      <c r="H4687" s="3923"/>
      <c r="I4687" s="3115"/>
      <c r="J4687" s="915"/>
      <c r="K4687" s="3520"/>
      <c r="L4687" s="899"/>
      <c r="M4687" s="2695"/>
      <c r="N4687" s="2837"/>
      <c r="P4687" s="630"/>
    </row>
    <row r="4688" spans="1:16" s="196" customFormat="1" ht="18.75" hidden="1" customHeight="1" x14ac:dyDescent="0.25">
      <c r="A4688" s="12"/>
      <c r="B4688" s="442"/>
      <c r="C4688" s="2524" t="s">
        <v>6006</v>
      </c>
      <c r="D4688" s="896">
        <v>31000000</v>
      </c>
      <c r="E4688" s="2690">
        <f>D4688/D4394*100</f>
        <v>3.0286560098617729E-2</v>
      </c>
      <c r="F4688" s="3868"/>
      <c r="G4688" s="896"/>
      <c r="H4688" s="2690"/>
      <c r="I4688" s="896"/>
      <c r="J4688" s="896"/>
      <c r="K4688" s="896"/>
      <c r="L4688" s="896"/>
      <c r="M4688" s="896"/>
      <c r="N4688" s="2951"/>
      <c r="P4688" s="631"/>
    </row>
    <row r="4689" spans="1:16" ht="14.25" hidden="1" customHeight="1" x14ac:dyDescent="0.25">
      <c r="B4689" s="441"/>
      <c r="C4689" s="2528"/>
      <c r="D4689" s="2769"/>
      <c r="E4689" s="2784"/>
      <c r="F4689" s="3872"/>
      <c r="G4689" s="2755"/>
      <c r="H4689" s="2784"/>
      <c r="I4689" s="2755"/>
      <c r="J4689" s="2755"/>
      <c r="K4689" s="2755"/>
      <c r="L4689" s="2755"/>
      <c r="M4689" s="2755"/>
      <c r="N4689" s="2768"/>
    </row>
    <row r="4690" spans="1:16" ht="15.75" hidden="1" customHeight="1" x14ac:dyDescent="0.25">
      <c r="B4690" s="440"/>
      <c r="C4690" s="2471" t="s">
        <v>6007</v>
      </c>
      <c r="D4690" s="2744">
        <f>SUM(D4691+D4694+D4697+D4700+D4703)</f>
        <v>244190492</v>
      </c>
      <c r="E4690" s="2672">
        <f>D4690/D4394*100</f>
        <v>0.23857064553125912</v>
      </c>
      <c r="F4690" s="3850"/>
      <c r="G4690" s="2987"/>
      <c r="H4690" s="2670"/>
      <c r="I4690" s="2987"/>
      <c r="J4690" s="2887"/>
      <c r="K4690" s="2887"/>
      <c r="L4690" s="2672"/>
      <c r="M4690" s="2672"/>
      <c r="N4690" s="2768"/>
    </row>
    <row r="4691" spans="1:16" ht="21.75" hidden="1" customHeight="1" x14ac:dyDescent="0.25">
      <c r="B4691" s="441"/>
      <c r="C4691" s="2521" t="s">
        <v>6008</v>
      </c>
      <c r="D4691" s="2751">
        <f>SUM(D4692)</f>
        <v>80000000</v>
      </c>
      <c r="E4691" s="2734">
        <f>D4691/D4394*100</f>
        <v>7.8158864770626404E-2</v>
      </c>
      <c r="F4691" s="3860"/>
      <c r="G4691" s="3005"/>
      <c r="H4691" s="2677"/>
      <c r="I4691" s="3005"/>
      <c r="J4691" s="2983"/>
      <c r="K4691" s="2983"/>
      <c r="L4691" s="2695"/>
      <c r="M4691" s="2734"/>
      <c r="N4691" s="2768"/>
    </row>
    <row r="4692" spans="1:16" ht="17.25" hidden="1" customHeight="1" x14ac:dyDescent="0.25">
      <c r="B4692" s="441"/>
      <c r="C4692" s="2494" t="s">
        <v>6009</v>
      </c>
      <c r="D4692" s="2698">
        <v>80000000</v>
      </c>
      <c r="E4692" s="2690">
        <f>D4692/D4394*100</f>
        <v>7.8158864770626404E-2</v>
      </c>
      <c r="F4692" s="4384"/>
      <c r="G4692" s="2757"/>
      <c r="H4692" s="2967"/>
      <c r="I4692" s="2757"/>
      <c r="J4692" s="3517"/>
      <c r="K4692" s="3517"/>
      <c r="L4692" s="2685"/>
      <c r="M4692" s="2690"/>
      <c r="N4692" s="2768"/>
    </row>
    <row r="4693" spans="1:16" ht="9.75" hidden="1" customHeight="1" x14ac:dyDescent="0.25">
      <c r="B4693" s="441"/>
      <c r="C4693" s="2494"/>
      <c r="D4693" s="2698"/>
      <c r="E4693" s="2690"/>
      <c r="F4693" s="4384"/>
      <c r="G4693" s="2761"/>
      <c r="H4693" s="2683"/>
      <c r="I4693" s="2761"/>
      <c r="J4693" s="3517"/>
      <c r="K4693" s="3517"/>
      <c r="L4693" s="2830"/>
      <c r="M4693" s="2690"/>
      <c r="N4693" s="2768"/>
    </row>
    <row r="4694" spans="1:16" ht="30" hidden="1" customHeight="1" x14ac:dyDescent="0.25">
      <c r="B4694" s="441"/>
      <c r="C4694" s="2491" t="s">
        <v>6010</v>
      </c>
      <c r="D4694" s="2692">
        <f>D4695</f>
        <v>17480000</v>
      </c>
      <c r="E4694" s="2695">
        <f>D4694/D4394*100</f>
        <v>1.7077711952381867E-2</v>
      </c>
      <c r="F4694" s="3834"/>
      <c r="G4694" s="3493"/>
      <c r="H4694" s="3494"/>
      <c r="I4694" s="3493"/>
      <c r="J4694" s="2920"/>
      <c r="K4694" s="3518"/>
      <c r="L4694" s="2755"/>
      <c r="M4694" s="2690"/>
      <c r="N4694" s="2768"/>
    </row>
    <row r="4695" spans="1:16" ht="16.5" hidden="1" customHeight="1" x14ac:dyDescent="0.25">
      <c r="B4695" s="441"/>
      <c r="C4695" s="2494" t="s">
        <v>6011</v>
      </c>
      <c r="D4695" s="2698">
        <v>17480000</v>
      </c>
      <c r="E4695" s="2690">
        <f>D4695/D4394*100</f>
        <v>1.7077711952381867E-2</v>
      </c>
      <c r="F4695" s="3834"/>
      <c r="G4695" s="3005"/>
      <c r="H4695" s="2677"/>
      <c r="I4695" s="3005"/>
      <c r="J4695" s="2694"/>
      <c r="K4695" s="2694"/>
      <c r="L4695" s="2695"/>
      <c r="M4695" s="2695"/>
      <c r="N4695" s="2768"/>
    </row>
    <row r="4696" spans="1:16" ht="10.5" hidden="1" customHeight="1" x14ac:dyDescent="0.25">
      <c r="B4696" s="441"/>
      <c r="C4696" s="2491"/>
      <c r="D4696" s="2692"/>
      <c r="E4696" s="2695"/>
      <c r="F4696" s="3834"/>
      <c r="G4696" s="3005"/>
      <c r="H4696" s="2677"/>
      <c r="I4696" s="3005"/>
      <c r="J4696" s="2694"/>
      <c r="K4696" s="2694"/>
      <c r="L4696" s="2695"/>
      <c r="M4696" s="2695"/>
      <c r="N4696" s="2768"/>
    </row>
    <row r="4697" spans="1:16" s="32" customFormat="1" ht="16.5" hidden="1" customHeight="1" x14ac:dyDescent="0.25">
      <c r="A4697" s="1"/>
      <c r="B4697" s="441"/>
      <c r="C4697" s="2491" t="s">
        <v>6012</v>
      </c>
      <c r="D4697" s="2692">
        <f>D4698</f>
        <v>29990492</v>
      </c>
      <c r="E4697" s="2695">
        <f>D4697/D4394*100</f>
        <v>2.9300285107906908E-2</v>
      </c>
      <c r="F4697" s="3834"/>
      <c r="G4697" s="2970"/>
      <c r="H4697" s="2969"/>
      <c r="I4697" s="2970"/>
      <c r="J4697" s="3519"/>
      <c r="K4697" s="3519"/>
      <c r="L4697" s="2679"/>
      <c r="M4697" s="2695"/>
      <c r="N4697" s="2837"/>
      <c r="P4697" s="630"/>
    </row>
    <row r="4698" spans="1:16" ht="15.75" hidden="1" customHeight="1" x14ac:dyDescent="0.25">
      <c r="B4698" s="441"/>
      <c r="C4698" s="2494" t="s">
        <v>6013</v>
      </c>
      <c r="D4698" s="2698">
        <v>29990492</v>
      </c>
      <c r="E4698" s="2690">
        <f>D4698/D4394*100</f>
        <v>2.9300285107906908E-2</v>
      </c>
      <c r="F4698" s="4384"/>
      <c r="G4698" s="3217"/>
      <c r="H4698" s="3217"/>
      <c r="I4698" s="3217"/>
      <c r="J4698" s="915"/>
      <c r="K4698" s="3520"/>
      <c r="L4698" s="3521"/>
      <c r="M4698" s="2695"/>
      <c r="N4698" s="2768"/>
    </row>
    <row r="4699" spans="1:16" ht="8.25" hidden="1" customHeight="1" x14ac:dyDescent="0.25">
      <c r="B4699" s="441"/>
      <c r="C4699" s="2494"/>
      <c r="D4699" s="2698"/>
      <c r="E4699" s="2695"/>
      <c r="F4699" s="4384"/>
      <c r="G4699" s="3522"/>
      <c r="H4699" s="3522"/>
      <c r="I4699" s="3522"/>
      <c r="J4699" s="915"/>
      <c r="K4699" s="3520"/>
      <c r="L4699" s="3521"/>
      <c r="M4699" s="2695"/>
      <c r="N4699" s="2768"/>
    </row>
    <row r="4700" spans="1:16" ht="20.25" hidden="1" customHeight="1" x14ac:dyDescent="0.25">
      <c r="B4700" s="441"/>
      <c r="C4700" s="2491" t="s">
        <v>6014</v>
      </c>
      <c r="D4700" s="2692">
        <f>SUM(D4701)</f>
        <v>44720000</v>
      </c>
      <c r="E4700" s="2695">
        <f>D4700/D4394*100</f>
        <v>4.3690805406780157E-2</v>
      </c>
      <c r="F4700" s="3834"/>
      <c r="G4700" s="3005"/>
      <c r="H4700" s="2677"/>
      <c r="I4700" s="3005"/>
      <c r="J4700" s="2694"/>
      <c r="K4700" s="2694"/>
      <c r="L4700" s="2695"/>
      <c r="M4700" s="2695"/>
      <c r="N4700" s="2768"/>
    </row>
    <row r="4701" spans="1:16" ht="16.5" hidden="1" customHeight="1" x14ac:dyDescent="0.25">
      <c r="B4701" s="441"/>
      <c r="C4701" s="2494" t="s">
        <v>6015</v>
      </c>
      <c r="D4701" s="2698">
        <v>44720000</v>
      </c>
      <c r="E4701" s="2690">
        <f>D4701/D4394*100</f>
        <v>4.3690805406780157E-2</v>
      </c>
      <c r="F4701" s="4384"/>
      <c r="G4701" s="2757"/>
      <c r="H4701" s="2967"/>
      <c r="I4701" s="2757"/>
      <c r="J4701" s="3523"/>
      <c r="K4701" s="3523"/>
      <c r="L4701" s="2685"/>
      <c r="M4701" s="2690"/>
      <c r="N4701" s="2768"/>
    </row>
    <row r="4702" spans="1:16" ht="10.5" hidden="1" customHeight="1" x14ac:dyDescent="0.25">
      <c r="B4702" s="441"/>
      <c r="C4702" s="2506"/>
      <c r="D4702" s="2706"/>
      <c r="E4702" s="2690"/>
      <c r="F4702" s="4464"/>
      <c r="G4702" s="2753"/>
      <c r="H4702" s="2993"/>
      <c r="I4702" s="2753"/>
      <c r="J4702" s="3924"/>
      <c r="K4702" s="3924"/>
      <c r="L4702" s="2708"/>
      <c r="M4702" s="2710"/>
      <c r="N4702" s="2768"/>
    </row>
    <row r="4703" spans="1:16" s="32" customFormat="1" ht="19.5" hidden="1" customHeight="1" x14ac:dyDescent="0.25">
      <c r="A4703" s="1"/>
      <c r="B4703" s="441"/>
      <c r="C4703" s="2491" t="s">
        <v>6016</v>
      </c>
      <c r="D4703" s="2692">
        <f>D4704</f>
        <v>72000000</v>
      </c>
      <c r="E4703" s="2695">
        <f>D4703/D4394*100</f>
        <v>7.0342978293563757E-2</v>
      </c>
      <c r="F4703" s="3834"/>
      <c r="G4703" s="2970"/>
      <c r="H4703" s="2969"/>
      <c r="I4703" s="2970"/>
      <c r="J4703" s="3925"/>
      <c r="K4703" s="3925"/>
      <c r="L4703" s="2679"/>
      <c r="M4703" s="2695"/>
      <c r="N4703" s="2837"/>
      <c r="P4703" s="630"/>
    </row>
    <row r="4704" spans="1:16" ht="16.5" hidden="1" customHeight="1" x14ac:dyDescent="0.25">
      <c r="B4704" s="441"/>
      <c r="C4704" s="2494" t="s">
        <v>6017</v>
      </c>
      <c r="D4704" s="2698">
        <v>72000000</v>
      </c>
      <c r="E4704" s="2690">
        <f>D4704/D4394*100</f>
        <v>7.0342978293563757E-2</v>
      </c>
      <c r="F4704" s="4384"/>
      <c r="G4704" s="2757"/>
      <c r="H4704" s="2967"/>
      <c r="I4704" s="2757"/>
      <c r="J4704" s="3523"/>
      <c r="K4704" s="3523"/>
      <c r="L4704" s="2685"/>
      <c r="M4704" s="2690"/>
      <c r="N4704" s="2768"/>
    </row>
    <row r="4705" spans="1:16" ht="15.75" hidden="1" customHeight="1" x14ac:dyDescent="0.25">
      <c r="B4705" s="441"/>
      <c r="C4705" s="2528"/>
      <c r="D4705" s="2769"/>
      <c r="E4705" s="2784"/>
      <c r="F4705" s="3872"/>
      <c r="G4705" s="2755"/>
      <c r="H4705" s="2784"/>
      <c r="I4705" s="2755"/>
      <c r="J4705" s="2755"/>
      <c r="K4705" s="2755"/>
      <c r="L4705" s="2755"/>
      <c r="M4705" s="2755"/>
      <c r="N4705" s="2768"/>
    </row>
    <row r="4706" spans="1:16" ht="15.75" hidden="1" customHeight="1" x14ac:dyDescent="0.25">
      <c r="B4706" s="440"/>
      <c r="C4706" s="2471" t="s">
        <v>6018</v>
      </c>
      <c r="D4706" s="2744">
        <f>SUM(D4707+D4710+D4713)</f>
        <v>973889500</v>
      </c>
      <c r="E4706" s="2672">
        <f>D4706/D4394*100</f>
        <v>0.95147622165041201</v>
      </c>
      <c r="F4706" s="3850"/>
      <c r="G4706" s="2886"/>
      <c r="H4706" s="2672"/>
      <c r="I4706" s="2744"/>
      <c r="J4706" s="3524"/>
      <c r="K4706" s="3524"/>
      <c r="L4706" s="2672"/>
      <c r="M4706" s="2744"/>
      <c r="N4706" s="2768"/>
    </row>
    <row r="4707" spans="1:16" ht="15.75" hidden="1" customHeight="1" x14ac:dyDescent="0.25">
      <c r="B4707" s="463"/>
      <c r="C4707" s="2521" t="s">
        <v>6019</v>
      </c>
      <c r="D4707" s="2759">
        <f>D4708</f>
        <v>711000000</v>
      </c>
      <c r="E4707" s="2734">
        <f>D4707/D4394*100</f>
        <v>0.69463691064894217</v>
      </c>
      <c r="F4707" s="3870"/>
      <c r="G4707" s="3072"/>
      <c r="H4707" s="2695"/>
      <c r="I4707" s="2722"/>
      <c r="J4707" s="3013"/>
      <c r="K4707" s="3013"/>
      <c r="L4707" s="2695"/>
      <c r="M4707" s="2939"/>
      <c r="N4707" s="2768"/>
    </row>
    <row r="4708" spans="1:16" ht="14.25" hidden="1" customHeight="1" x14ac:dyDescent="0.25">
      <c r="B4708" s="441"/>
      <c r="C4708" s="2494" t="s">
        <v>6020</v>
      </c>
      <c r="D4708" s="2698">
        <v>711000000</v>
      </c>
      <c r="E4708" s="2690">
        <f>D4708/D4394*100</f>
        <v>0.69463691064894217</v>
      </c>
      <c r="F4708" s="4384"/>
      <c r="G4708" s="3216"/>
      <c r="H4708" s="2685"/>
      <c r="I4708" s="2685"/>
      <c r="J4708" s="3525"/>
      <c r="K4708" s="3525"/>
      <c r="L4708" s="2685"/>
      <c r="M4708" s="2685"/>
      <c r="N4708" s="2768"/>
    </row>
    <row r="4709" spans="1:16" ht="10.5" hidden="1" customHeight="1" x14ac:dyDescent="0.25">
      <c r="B4709" s="441"/>
      <c r="C4709" s="2494"/>
      <c r="D4709" s="2698"/>
      <c r="E4709" s="2690"/>
      <c r="F4709" s="4384"/>
      <c r="G4709" s="3216"/>
      <c r="H4709" s="2685"/>
      <c r="I4709" s="2685"/>
      <c r="J4709" s="2920"/>
      <c r="K4709" s="2918"/>
      <c r="L4709" s="2804"/>
      <c r="M4709" s="2804"/>
      <c r="N4709" s="2768"/>
    </row>
    <row r="4710" spans="1:16" ht="16.5" hidden="1" customHeight="1" x14ac:dyDescent="0.25">
      <c r="B4710" s="441"/>
      <c r="C4710" s="2491" t="s">
        <v>6021</v>
      </c>
      <c r="D4710" s="2692">
        <f>SUM(D4711)</f>
        <v>179239500</v>
      </c>
      <c r="E4710" s="2695">
        <f>D4710/D4394*100</f>
        <v>0.17511444802568363</v>
      </c>
      <c r="F4710" s="3834"/>
      <c r="G4710" s="2679"/>
      <c r="H4710" s="2695"/>
      <c r="I4710" s="899"/>
      <c r="J4710" s="2694"/>
      <c r="K4710" s="2694"/>
      <c r="L4710" s="2695"/>
      <c r="M4710" s="899"/>
      <c r="N4710" s="2768"/>
    </row>
    <row r="4711" spans="1:16" ht="14.25" hidden="1" customHeight="1" x14ac:dyDescent="0.25">
      <c r="B4711" s="441"/>
      <c r="C4711" s="2494" t="s">
        <v>6022</v>
      </c>
      <c r="D4711" s="2698">
        <v>179239500</v>
      </c>
      <c r="E4711" s="2690">
        <f>D4711/D4394*100</f>
        <v>0.17511444802568363</v>
      </c>
      <c r="F4711" s="4384"/>
      <c r="G4711" s="2919"/>
      <c r="H4711" s="2685"/>
      <c r="I4711" s="896"/>
      <c r="J4711" s="3526"/>
      <c r="K4711" s="3526"/>
      <c r="L4711" s="2685"/>
      <c r="M4711" s="896"/>
      <c r="N4711" s="2768"/>
    </row>
    <row r="4712" spans="1:16" ht="14.25" hidden="1" customHeight="1" x14ac:dyDescent="0.25">
      <c r="B4712" s="441"/>
      <c r="C4712" s="2506"/>
      <c r="D4712" s="2706"/>
      <c r="E4712" s="2690"/>
      <c r="F4712" s="4464"/>
      <c r="G4712" s="2902"/>
      <c r="H4712" s="2708"/>
      <c r="I4712" s="2709"/>
      <c r="J4712" s="3926"/>
      <c r="K4712" s="3926"/>
      <c r="L4712" s="2708"/>
      <c r="M4712" s="2709"/>
      <c r="N4712" s="2768"/>
    </row>
    <row r="4713" spans="1:16" s="32" customFormat="1" ht="21" hidden="1" customHeight="1" x14ac:dyDescent="0.25">
      <c r="A4713" s="1"/>
      <c r="B4713" s="441"/>
      <c r="C4713" s="2496" t="s">
        <v>6023</v>
      </c>
      <c r="D4713" s="2712">
        <f>D4714</f>
        <v>83650000</v>
      </c>
      <c r="E4713" s="2695">
        <f>D4713/D4394*100</f>
        <v>8.1724862975786225E-2</v>
      </c>
      <c r="F4713" s="3912"/>
      <c r="G4713" s="2904"/>
      <c r="H4713" s="2934"/>
      <c r="I4713" s="2767"/>
      <c r="J4713" s="3927"/>
      <c r="K4713" s="3927"/>
      <c r="L4713" s="2934"/>
      <c r="M4713" s="2767"/>
      <c r="N4713" s="2837"/>
      <c r="P4713" s="630"/>
    </row>
    <row r="4714" spans="1:16" ht="14.25" hidden="1" customHeight="1" x14ac:dyDescent="0.25">
      <c r="B4714" s="441"/>
      <c r="C4714" s="2494" t="s">
        <v>6024</v>
      </c>
      <c r="D4714" s="2706">
        <v>83650000</v>
      </c>
      <c r="E4714" s="2690">
        <f>D4714/D4394*100</f>
        <v>8.1724862975786225E-2</v>
      </c>
      <c r="F4714" s="4464"/>
      <c r="G4714" s="2902"/>
      <c r="H4714" s="2708"/>
      <c r="I4714" s="2709"/>
      <c r="J4714" s="3526"/>
      <c r="K4714" s="3526"/>
      <c r="L4714" s="2708"/>
      <c r="M4714" s="2709"/>
      <c r="N4714" s="2768"/>
    </row>
    <row r="4715" spans="1:16" ht="12" hidden="1" customHeight="1" x14ac:dyDescent="0.25">
      <c r="B4715" s="441"/>
      <c r="C4715" s="2528"/>
      <c r="D4715" s="2709"/>
      <c r="E4715" s="2778"/>
      <c r="F4715" s="4430"/>
      <c r="G4715" s="911"/>
      <c r="H4715" s="2778"/>
      <c r="I4715" s="911"/>
      <c r="J4715" s="2755"/>
      <c r="K4715" s="2755"/>
      <c r="L4715" s="911"/>
      <c r="M4715" s="911"/>
      <c r="N4715" s="2768"/>
    </row>
    <row r="4716" spans="1:16" s="32" customFormat="1" ht="18" hidden="1" customHeight="1" x14ac:dyDescent="0.25">
      <c r="A4716" s="1"/>
      <c r="B4716" s="440"/>
      <c r="C4716" s="2532" t="s">
        <v>6025</v>
      </c>
      <c r="D4716" s="2744">
        <f>D4717</f>
        <v>845400000</v>
      </c>
      <c r="E4716" s="2672">
        <f>D4716/D4394*100</f>
        <v>0.82594380346359442</v>
      </c>
      <c r="F4716" s="3871"/>
      <c r="G4716" s="2744"/>
      <c r="H4716" s="2672"/>
      <c r="I4716" s="2744"/>
      <c r="J4716" s="2744"/>
      <c r="K4716" s="2744"/>
      <c r="L4716" s="2744"/>
      <c r="M4716" s="2751"/>
      <c r="N4716" s="2837"/>
      <c r="P4716" s="630"/>
    </row>
    <row r="4717" spans="1:16" s="32" customFormat="1" ht="18.75" hidden="1" customHeight="1" x14ac:dyDescent="0.25">
      <c r="A4717" s="1"/>
      <c r="B4717" s="441"/>
      <c r="C4717" s="2521" t="s">
        <v>6026</v>
      </c>
      <c r="D4717" s="2751">
        <f>D4718</f>
        <v>845400000</v>
      </c>
      <c r="E4717" s="2785">
        <f>D4717/D4394*100</f>
        <v>0.82594380346359442</v>
      </c>
      <c r="F4717" s="3872"/>
      <c r="G4717" s="2751"/>
      <c r="H4717" s="2785"/>
      <c r="I4717" s="2751"/>
      <c r="J4717" s="2751"/>
      <c r="K4717" s="2751"/>
      <c r="L4717" s="2751"/>
      <c r="M4717" s="2751"/>
      <c r="N4717" s="2837"/>
      <c r="P4717" s="630"/>
    </row>
    <row r="4718" spans="1:16" s="196" customFormat="1" ht="15.75" hidden="1" customHeight="1" x14ac:dyDescent="0.25">
      <c r="A4718" s="12"/>
      <c r="B4718" s="442"/>
      <c r="C4718" s="2524" t="s">
        <v>6027</v>
      </c>
      <c r="D4718" s="896">
        <v>845400000</v>
      </c>
      <c r="E4718" s="2690">
        <f>D4718/D4394*100</f>
        <v>0.82594380346359442</v>
      </c>
      <c r="F4718" s="3868"/>
      <c r="G4718" s="896"/>
      <c r="H4718" s="2690"/>
      <c r="I4718" s="896"/>
      <c r="J4718" s="896"/>
      <c r="K4718" s="896"/>
      <c r="L4718" s="896"/>
      <c r="M4718" s="2769"/>
      <c r="N4718" s="2951"/>
      <c r="P4718" s="631"/>
    </row>
    <row r="4719" spans="1:16" ht="12" hidden="1" customHeight="1" x14ac:dyDescent="0.25">
      <c r="B4719" s="441"/>
      <c r="C4719" s="2528"/>
      <c r="D4719" s="2769"/>
      <c r="E4719" s="2784"/>
      <c r="F4719" s="3872"/>
      <c r="G4719" s="2755"/>
      <c r="H4719" s="2784"/>
      <c r="I4719" s="2755"/>
      <c r="J4719" s="2755"/>
      <c r="K4719" s="2755"/>
      <c r="L4719" s="2755"/>
      <c r="M4719" s="2755"/>
      <c r="N4719" s="2768"/>
    </row>
    <row r="4720" spans="1:16" s="32" customFormat="1" ht="30.75" hidden="1" customHeight="1" x14ac:dyDescent="0.25">
      <c r="A4720" s="1"/>
      <c r="B4720" s="440"/>
      <c r="C4720" s="2532" t="s">
        <v>6028</v>
      </c>
      <c r="D4720" s="2744">
        <f>D4721</f>
        <v>120000000</v>
      </c>
      <c r="E4720" s="2672">
        <f>D4720/D4394*100</f>
        <v>0.11723829715593959</v>
      </c>
      <c r="F4720" s="3871"/>
      <c r="G4720" s="2744"/>
      <c r="H4720" s="2672"/>
      <c r="I4720" s="2744"/>
      <c r="J4720" s="2744"/>
      <c r="K4720" s="2744"/>
      <c r="L4720" s="2744"/>
      <c r="M4720" s="2751"/>
      <c r="N4720" s="2837"/>
      <c r="P4720" s="630"/>
    </row>
    <row r="4721" spans="1:16" s="32" customFormat="1" ht="19.5" hidden="1" customHeight="1" x14ac:dyDescent="0.25">
      <c r="A4721" s="1"/>
      <c r="B4721" s="441"/>
      <c r="C4721" s="2521" t="s">
        <v>6029</v>
      </c>
      <c r="D4721" s="2751">
        <f>D4722</f>
        <v>120000000</v>
      </c>
      <c r="E4721" s="2785">
        <f>D4721/D4394*100</f>
        <v>0.11723829715593959</v>
      </c>
      <c r="F4721" s="3872"/>
      <c r="G4721" s="2751"/>
      <c r="H4721" s="2785"/>
      <c r="I4721" s="2751"/>
      <c r="J4721" s="2751"/>
      <c r="K4721" s="2751"/>
      <c r="L4721" s="2751"/>
      <c r="M4721" s="2751"/>
      <c r="N4721" s="2837"/>
      <c r="P4721" s="630"/>
    </row>
    <row r="4722" spans="1:16" s="196" customFormat="1" ht="17.25" hidden="1" customHeight="1" x14ac:dyDescent="0.25">
      <c r="A4722" s="12"/>
      <c r="B4722" s="442"/>
      <c r="C4722" s="2524" t="s">
        <v>6030</v>
      </c>
      <c r="D4722" s="896">
        <v>120000000</v>
      </c>
      <c r="E4722" s="2690">
        <f>D4722/D4394*100</f>
        <v>0.11723829715593959</v>
      </c>
      <c r="F4722" s="3868"/>
      <c r="G4722" s="896"/>
      <c r="H4722" s="2690"/>
      <c r="I4722" s="896"/>
      <c r="J4722" s="896"/>
      <c r="K4722" s="896"/>
      <c r="L4722" s="896"/>
      <c r="M4722" s="2769"/>
      <c r="N4722" s="2951"/>
      <c r="P4722" s="631"/>
    </row>
    <row r="4723" spans="1:16" ht="12" hidden="1" customHeight="1" x14ac:dyDescent="0.25">
      <c r="B4723" s="441"/>
      <c r="C4723" s="2528"/>
      <c r="D4723" s="2769"/>
      <c r="E4723" s="2784"/>
      <c r="F4723" s="3872"/>
      <c r="G4723" s="2755"/>
      <c r="H4723" s="2784"/>
      <c r="I4723" s="2755"/>
      <c r="J4723" s="2755"/>
      <c r="K4723" s="2755"/>
      <c r="L4723" s="2755"/>
      <c r="M4723" s="2755"/>
      <c r="N4723" s="2768"/>
    </row>
    <row r="4724" spans="1:16" ht="27.75" hidden="1" customHeight="1" x14ac:dyDescent="0.25">
      <c r="B4724" s="440"/>
      <c r="C4724" s="2471" t="s">
        <v>6031</v>
      </c>
      <c r="D4724" s="2744">
        <f>D4725</f>
        <v>39259280110</v>
      </c>
      <c r="E4724" s="2672">
        <f>D4724/D4394*100</f>
        <v>38.355759563870407</v>
      </c>
      <c r="F4724" s="3850"/>
      <c r="G4724" s="2987"/>
      <c r="H4724" s="2670"/>
      <c r="I4724" s="2987"/>
      <c r="J4724" s="2887"/>
      <c r="K4724" s="2987"/>
      <c r="L4724" s="2670"/>
      <c r="M4724" s="2987"/>
      <c r="N4724" s="2768"/>
    </row>
    <row r="4725" spans="1:16" ht="18.75" hidden="1" customHeight="1" x14ac:dyDescent="0.25">
      <c r="B4725" s="441"/>
      <c r="C4725" s="2521" t="s">
        <v>6033</v>
      </c>
      <c r="D4725" s="2826">
        <f>SUM(D4726)</f>
        <v>39259280110</v>
      </c>
      <c r="E4725" s="2734">
        <f>D4725/D4394*100</f>
        <v>38.355759563870407</v>
      </c>
      <c r="F4725" s="3867"/>
      <c r="G4725" s="3005"/>
      <c r="H4725" s="2677"/>
      <c r="I4725" s="3005"/>
      <c r="J4725" s="2901"/>
      <c r="K4725" s="3005"/>
      <c r="L4725" s="2677"/>
      <c r="M4725" s="3005"/>
      <c r="N4725" s="2768"/>
    </row>
    <row r="4726" spans="1:16" ht="18" hidden="1" customHeight="1" x14ac:dyDescent="0.25">
      <c r="B4726" s="441"/>
      <c r="C4726" s="2491" t="s">
        <v>6034</v>
      </c>
      <c r="D4726" s="2692">
        <f>SUM(D4727:D4734)</f>
        <v>39259280110</v>
      </c>
      <c r="E4726" s="2695">
        <f>D4726/D4394*100</f>
        <v>38.355759563870407</v>
      </c>
      <c r="F4726" s="4384"/>
      <c r="G4726" s="2757"/>
      <c r="H4726" s="2967"/>
      <c r="I4726" s="2757"/>
      <c r="J4726" s="3527"/>
      <c r="K4726" s="2757"/>
      <c r="L4726" s="2967"/>
      <c r="M4726" s="2757"/>
      <c r="N4726" s="2768"/>
    </row>
    <row r="4727" spans="1:16" ht="15" hidden="1" customHeight="1" x14ac:dyDescent="0.25">
      <c r="B4727" s="441"/>
      <c r="C4727" s="2494" t="s">
        <v>6035</v>
      </c>
      <c r="D4727" s="2698">
        <v>2683251150</v>
      </c>
      <c r="E4727" s="2690">
        <f>D4727/D4394*100</f>
        <v>2.6214982972309722</v>
      </c>
      <c r="F4727" s="4384"/>
      <c r="G4727" s="3493"/>
      <c r="H4727" s="3494"/>
      <c r="I4727" s="3493"/>
      <c r="J4727" s="2920"/>
      <c r="K4727" s="3528"/>
      <c r="L4727" s="3494"/>
      <c r="M4727" s="3493"/>
      <c r="N4727" s="2768"/>
    </row>
    <row r="4728" spans="1:16" ht="15" hidden="1" customHeight="1" x14ac:dyDescent="0.25">
      <c r="B4728" s="441"/>
      <c r="C4728" s="2494" t="s">
        <v>7852</v>
      </c>
      <c r="D4728" s="2698">
        <v>430000000</v>
      </c>
      <c r="E4728" s="2690">
        <f>D4728/D4394*100</f>
        <v>0.4201038981421169</v>
      </c>
      <c r="F4728" s="3834"/>
      <c r="G4728" s="3005"/>
      <c r="H4728" s="2677"/>
      <c r="I4728" s="3005"/>
      <c r="J4728" s="899"/>
      <c r="K4728" s="3005"/>
      <c r="L4728" s="2677"/>
      <c r="M4728" s="3005"/>
      <c r="N4728" s="2768"/>
    </row>
    <row r="4729" spans="1:16" ht="15.75" hidden="1" customHeight="1" x14ac:dyDescent="0.25">
      <c r="B4729" s="441"/>
      <c r="C4729" s="2494" t="s">
        <v>6036</v>
      </c>
      <c r="D4729" s="2698">
        <v>1940000000</v>
      </c>
      <c r="E4729" s="2690">
        <f>D4729/D4394*100</f>
        <v>1.8953524706876901</v>
      </c>
      <c r="F4729" s="4384"/>
      <c r="G4729" s="2757"/>
      <c r="H4729" s="2967"/>
      <c r="I4729" s="2757"/>
      <c r="J4729" s="3529"/>
      <c r="K4729" s="2757"/>
      <c r="L4729" s="2967"/>
      <c r="M4729" s="2757"/>
      <c r="N4729" s="2768"/>
    </row>
    <row r="4730" spans="1:16" ht="16.5" hidden="1" customHeight="1" x14ac:dyDescent="0.25">
      <c r="B4730" s="441"/>
      <c r="C4730" s="2494" t="s">
        <v>6037</v>
      </c>
      <c r="D4730" s="2698">
        <v>4526010000</v>
      </c>
      <c r="E4730" s="2690">
        <f>D4730/D4394*100</f>
        <v>4.421847544256285</v>
      </c>
      <c r="F4730" s="3834"/>
      <c r="G4730" s="3217"/>
      <c r="H4730" s="3217"/>
      <c r="I4730" s="3217"/>
      <c r="J4730" s="896"/>
      <c r="K4730" s="1478"/>
      <c r="L4730" s="3217"/>
      <c r="M4730" s="3217"/>
      <c r="N4730" s="2768"/>
    </row>
    <row r="4731" spans="1:16" ht="16.5" hidden="1" customHeight="1" x14ac:dyDescent="0.25">
      <c r="B4731" s="441"/>
      <c r="C4731" s="2494" t="s">
        <v>7853</v>
      </c>
      <c r="D4731" s="2698">
        <f>16680000000-1928782496+2544-1088</f>
        <v>14751218960</v>
      </c>
      <c r="E4731" s="2690">
        <f>D4731/D4394*100</f>
        <v>14.411731598706753</v>
      </c>
      <c r="F4731" s="3834"/>
      <c r="G4731" s="3217"/>
      <c r="H4731" s="3217"/>
      <c r="I4731" s="3217"/>
      <c r="J4731" s="896"/>
      <c r="K4731" s="1478"/>
      <c r="L4731" s="3217"/>
      <c r="M4731" s="3217"/>
      <c r="N4731" s="2768"/>
    </row>
    <row r="4732" spans="1:16" ht="16.5" hidden="1" customHeight="1" x14ac:dyDescent="0.25">
      <c r="B4732" s="441"/>
      <c r="C4732" s="2494" t="s">
        <v>7854</v>
      </c>
      <c r="D4732" s="2698">
        <v>1000000000</v>
      </c>
      <c r="E4732" s="2690">
        <f>D4732/D4394*100</f>
        <v>0.9769858096328301</v>
      </c>
      <c r="F4732" s="3834"/>
      <c r="G4732" s="3217"/>
      <c r="H4732" s="3217"/>
      <c r="I4732" s="3217"/>
      <c r="J4732" s="896"/>
      <c r="K4732" s="1478"/>
      <c r="L4732" s="3217"/>
      <c r="M4732" s="3217"/>
      <c r="N4732" s="2768"/>
    </row>
    <row r="4733" spans="1:16" ht="16.5" hidden="1" customHeight="1" x14ac:dyDescent="0.25">
      <c r="B4733" s="441"/>
      <c r="C4733" s="2494" t="s">
        <v>6032</v>
      </c>
      <c r="D4733" s="2698">
        <v>7544800000</v>
      </c>
      <c r="E4733" s="2690">
        <f>D4733/D4394*100</f>
        <v>7.3711625365177751</v>
      </c>
      <c r="F4733" s="3834"/>
      <c r="G4733" s="3217"/>
      <c r="H4733" s="3217"/>
      <c r="I4733" s="3217"/>
      <c r="J4733" s="896"/>
      <c r="K4733" s="1478"/>
      <c r="L4733" s="3217"/>
      <c r="M4733" s="3217"/>
      <c r="N4733" s="2768"/>
    </row>
    <row r="4734" spans="1:16" ht="16.5" hidden="1" customHeight="1" x14ac:dyDescent="0.25">
      <c r="B4734" s="441"/>
      <c r="C4734" s="2494" t="s">
        <v>7855</v>
      </c>
      <c r="D4734" s="2698">
        <v>6384000000</v>
      </c>
      <c r="E4734" s="2690">
        <f>D4734/D4394*100</f>
        <v>6.2370774086959866</v>
      </c>
      <c r="F4734" s="3834"/>
      <c r="G4734" s="3217"/>
      <c r="H4734" s="3217"/>
      <c r="I4734" s="3217"/>
      <c r="J4734" s="896"/>
      <c r="K4734" s="1478"/>
      <c r="L4734" s="3217"/>
      <c r="M4734" s="3217"/>
      <c r="N4734" s="2768"/>
    </row>
    <row r="4735" spans="1:16" ht="14.1" hidden="1" customHeight="1" thickBot="1" x14ac:dyDescent="0.3">
      <c r="B4735" s="443"/>
      <c r="C4735" s="2478"/>
      <c r="D4735" s="2769"/>
      <c r="E4735" s="3341"/>
      <c r="F4735" s="3830"/>
      <c r="G4735" s="2991"/>
      <c r="H4735" s="2784"/>
      <c r="I4735" s="2753"/>
      <c r="J4735" s="3624"/>
      <c r="K4735" s="2992"/>
      <c r="L4735" s="2991"/>
      <c r="M4735" s="3958"/>
      <c r="N4735" s="3959"/>
    </row>
    <row r="4736" spans="1:16" s="37" customFormat="1" ht="24" customHeight="1" thickTop="1" thickBot="1" x14ac:dyDescent="0.3">
      <c r="A4736" s="963"/>
      <c r="B4736" s="3564"/>
      <c r="C4736" s="2633" t="s">
        <v>3061</v>
      </c>
      <c r="D4736" s="3565">
        <f>D14+D355+D301+D322+D324+D330+D353</f>
        <v>2512247400000</v>
      </c>
      <c r="E4736" s="3566">
        <f>D4736/2512247400000*100</f>
        <v>100</v>
      </c>
      <c r="F4736" s="3919"/>
      <c r="G4736" s="3567"/>
      <c r="H4736" s="3568"/>
      <c r="I4736" s="3567"/>
      <c r="J4736" s="3567"/>
      <c r="K4736" s="3567"/>
      <c r="L4736" s="3569"/>
      <c r="M4736" s="3567"/>
      <c r="N4736" s="3570"/>
      <c r="P4736" s="616"/>
    </row>
    <row r="4737" spans="2:16" ht="14.1" customHeight="1" x14ac:dyDescent="0.25">
      <c r="D4737" s="3571"/>
      <c r="E4737" s="2654"/>
      <c r="F4737" s="4488"/>
      <c r="G4737" s="4250"/>
      <c r="H4737" s="3572"/>
      <c r="I4737" s="3573"/>
      <c r="J4737" s="3574"/>
      <c r="K4737" s="3574"/>
      <c r="L4737" s="3575"/>
      <c r="M4737" s="3575"/>
      <c r="N4737" s="3576"/>
    </row>
    <row r="4738" spans="2:16" ht="14.1" customHeight="1" x14ac:dyDescent="0.25">
      <c r="C4738" s="2635"/>
      <c r="E4738" s="2654"/>
      <c r="F4738" s="4488"/>
      <c r="G4738" s="4250"/>
      <c r="H4738" s="3577"/>
      <c r="I4738" s="3578"/>
      <c r="J4738" s="3574"/>
      <c r="K4738" s="3574"/>
      <c r="L4738" s="3575"/>
      <c r="M4738" s="3575"/>
      <c r="N4738" s="3576"/>
    </row>
    <row r="4739" spans="2:16" ht="14.1" customHeight="1" x14ac:dyDescent="0.25">
      <c r="C4739" s="2635"/>
      <c r="D4739" s="3579">
        <f>SUM(D4736-D4741)</f>
        <v>0</v>
      </c>
      <c r="E4739" s="3960"/>
      <c r="F4739" s="4488"/>
      <c r="G4739" s="4250"/>
      <c r="H4739" s="3572"/>
      <c r="I4739" s="3578"/>
      <c r="J4739" s="3574"/>
      <c r="K4739" s="3574"/>
      <c r="L4739" s="3575"/>
      <c r="M4739" s="3575"/>
      <c r="N4739" s="3576"/>
    </row>
    <row r="4740" spans="2:16" ht="14.1" customHeight="1" x14ac:dyDescent="0.25">
      <c r="C4740" s="2635"/>
      <c r="E4740" s="2654"/>
      <c r="F4740" s="4488"/>
      <c r="G4740" s="4250"/>
      <c r="H4740" s="3572"/>
      <c r="I4740" s="5090" t="s">
        <v>4178</v>
      </c>
      <c r="J4740" s="5090"/>
      <c r="K4740" s="5090"/>
      <c r="L4740" s="5090"/>
      <c r="M4740" s="5090"/>
      <c r="N4740" s="4247"/>
    </row>
    <row r="4741" spans="2:16" ht="20.100000000000001" customHeight="1" x14ac:dyDescent="0.25">
      <c r="B4741" s="464"/>
      <c r="C4741" s="2636" t="s">
        <v>6665</v>
      </c>
      <c r="D4741" s="2637">
        <v>2512247400000</v>
      </c>
      <c r="E4741" s="2654"/>
      <c r="F4741" s="4488"/>
      <c r="G4741" s="4250"/>
      <c r="H4741" s="3572"/>
      <c r="I4741" s="5091" t="s">
        <v>3062</v>
      </c>
      <c r="J4741" s="5091"/>
      <c r="K4741" s="5091"/>
      <c r="L4741" s="5091"/>
      <c r="M4741" s="5091"/>
      <c r="N4741" s="4247"/>
    </row>
    <row r="4742" spans="2:16" ht="15" customHeight="1" x14ac:dyDescent="0.25">
      <c r="C4742" s="2635" t="s">
        <v>6666</v>
      </c>
      <c r="D4742" s="3580">
        <v>220449740000</v>
      </c>
      <c r="E4742" s="2654"/>
      <c r="F4742" s="4489"/>
      <c r="G4742" s="4250"/>
      <c r="H4742" s="3572"/>
      <c r="I4742" s="5091" t="s">
        <v>3063</v>
      </c>
      <c r="J4742" s="5091"/>
      <c r="K4742" s="5091"/>
      <c r="L4742" s="5091"/>
      <c r="M4742" s="5091"/>
      <c r="N4742" s="4247"/>
    </row>
    <row r="4743" spans="2:16" x14ac:dyDescent="0.25">
      <c r="B4743" s="4171"/>
      <c r="C4743" s="4172" t="s">
        <v>6667</v>
      </c>
      <c r="D4743" s="4174"/>
      <c r="E4743" s="2654"/>
      <c r="F4743" s="4489"/>
      <c r="G4743" s="4250"/>
      <c r="H4743" s="3572"/>
      <c r="I4743" s="3578"/>
      <c r="K4743" s="3581"/>
      <c r="L4743" s="2652"/>
      <c r="M4743" s="4251"/>
      <c r="N4743" s="4247"/>
    </row>
    <row r="4744" spans="2:16" x14ac:dyDescent="0.25">
      <c r="B4744" s="464"/>
      <c r="C4744" s="4172" t="s">
        <v>6668</v>
      </c>
      <c r="D4744" s="4171"/>
      <c r="E4744" s="2654"/>
      <c r="F4744" s="4489"/>
      <c r="G4744" s="4250"/>
      <c r="H4744" s="3572"/>
      <c r="K4744" s="3581"/>
      <c r="L4744" s="2652"/>
      <c r="M4744" s="3582"/>
      <c r="N4744" s="3583"/>
    </row>
    <row r="4745" spans="2:16" x14ac:dyDescent="0.25">
      <c r="C4745" s="4173" t="s">
        <v>6669</v>
      </c>
      <c r="D4745" s="2637">
        <v>256595449334</v>
      </c>
      <c r="K4745" s="3581"/>
      <c r="L4745" s="2652"/>
      <c r="M4745" s="4252"/>
      <c r="N4745" s="3583"/>
    </row>
    <row r="4746" spans="2:16" x14ac:dyDescent="0.25">
      <c r="C4746" s="4173" t="s">
        <v>6660</v>
      </c>
      <c r="D4746" s="2637">
        <v>428000000000</v>
      </c>
      <c r="K4746" s="3581"/>
      <c r="L4746" s="2652"/>
      <c r="M4746" s="4252"/>
      <c r="N4746" s="3583"/>
    </row>
    <row r="4747" spans="2:16" x14ac:dyDescent="0.25">
      <c r="C4747" s="4173" t="s">
        <v>6671</v>
      </c>
      <c r="D4747" s="2637">
        <v>24818166660</v>
      </c>
      <c r="K4747" s="3581"/>
      <c r="L4747" s="2652"/>
      <c r="M4747" s="4252"/>
      <c r="N4747" s="3583"/>
    </row>
    <row r="4748" spans="2:16" x14ac:dyDescent="0.25">
      <c r="C4748" s="4173" t="s">
        <v>6670</v>
      </c>
      <c r="D4748" s="2637">
        <v>1582384044000</v>
      </c>
      <c r="K4748" s="464"/>
      <c r="L4748" s="2652"/>
      <c r="M4748" s="3582"/>
      <c r="N4748" s="3583"/>
    </row>
    <row r="4749" spans="2:16" x14ac:dyDescent="0.25">
      <c r="D4749" s="3580">
        <f>SUM(D4742:D4748)</f>
        <v>2512247399994</v>
      </c>
      <c r="I4749" s="4984" t="s">
        <v>3064</v>
      </c>
      <c r="J4749" s="4984"/>
      <c r="K4749" s="4984"/>
      <c r="L4749" s="4984"/>
      <c r="M4749" s="4984"/>
      <c r="N4749" s="4247"/>
      <c r="O4749" s="226"/>
      <c r="P4749" s="226"/>
    </row>
    <row r="4750" spans="2:16" ht="15" customHeight="1" x14ac:dyDescent="0.25">
      <c r="I4750" s="5083" t="s">
        <v>4165</v>
      </c>
      <c r="J4750" s="5083"/>
      <c r="K4750" s="5083"/>
      <c r="L4750" s="5083"/>
      <c r="M4750" s="5083"/>
      <c r="N4750" s="4248"/>
    </row>
    <row r="4751" spans="2:16" x14ac:dyDescent="0.25">
      <c r="C4751" s="2635" t="s">
        <v>7817</v>
      </c>
      <c r="I4751" s="5091" t="s">
        <v>3065</v>
      </c>
      <c r="J4751" s="5091"/>
      <c r="K4751" s="5091"/>
      <c r="L4751" s="5091"/>
      <c r="M4751" s="5091"/>
    </row>
    <row r="4752" spans="2:16" x14ac:dyDescent="0.25">
      <c r="B4752" s="4496"/>
      <c r="C4752" s="4538" t="s">
        <v>7818</v>
      </c>
      <c r="D4752" s="3580">
        <v>2512247400000</v>
      </c>
      <c r="I4752" s="4497"/>
      <c r="J4752" s="4497"/>
      <c r="K4752" s="4497"/>
      <c r="L4752" s="4497"/>
      <c r="M4752" s="4497"/>
      <c r="N4752" s="4496"/>
    </row>
    <row r="4753" spans="2:14" x14ac:dyDescent="0.25">
      <c r="B4753" s="4496"/>
      <c r="C4753" s="4538"/>
      <c r="D4753" s="3580"/>
      <c r="I4753" s="4497"/>
      <c r="J4753" s="4497"/>
      <c r="K4753" s="4497"/>
      <c r="L4753" s="4497"/>
      <c r="M4753" s="4497"/>
      <c r="N4753" s="4496"/>
    </row>
    <row r="4754" spans="2:14" x14ac:dyDescent="0.25">
      <c r="B4754" s="4496"/>
      <c r="C4754" s="2635" t="s">
        <v>3060</v>
      </c>
      <c r="D4754" s="2637">
        <v>251224740000</v>
      </c>
      <c r="I4754" s="4497"/>
      <c r="J4754" s="4497"/>
      <c r="K4754" s="4497"/>
      <c r="L4754" s="4497"/>
      <c r="M4754" s="4497"/>
      <c r="N4754" s="4496"/>
    </row>
    <row r="4755" spans="2:14" x14ac:dyDescent="0.25">
      <c r="B4755" s="4496"/>
      <c r="C4755" s="2635" t="s">
        <v>6660</v>
      </c>
      <c r="D4755" s="2637">
        <v>428000000000</v>
      </c>
      <c r="I4755" s="4497"/>
      <c r="J4755" s="4497"/>
      <c r="K4755" s="4497"/>
      <c r="L4755" s="4497"/>
      <c r="M4755" s="4497"/>
      <c r="N4755" s="4496"/>
    </row>
    <row r="4756" spans="2:14" x14ac:dyDescent="0.25">
      <c r="C4756" s="2635" t="s">
        <v>7816</v>
      </c>
      <c r="D4756" s="2637">
        <v>44818166660</v>
      </c>
      <c r="M4756" s="5093"/>
      <c r="N4756" s="5093"/>
    </row>
    <row r="4757" spans="2:14" x14ac:dyDescent="0.25">
      <c r="C4757" s="2635" t="s">
        <v>7819</v>
      </c>
      <c r="D4757" s="2637">
        <v>10000000000</v>
      </c>
      <c r="M4757" s="5093"/>
      <c r="N4757" s="5093"/>
    </row>
    <row r="4758" spans="2:14" x14ac:dyDescent="0.25">
      <c r="C4758" s="2635" t="s">
        <v>7820</v>
      </c>
      <c r="D4758" s="2637">
        <v>10000000000</v>
      </c>
      <c r="M4758" s="5093"/>
      <c r="N4758" s="5093"/>
    </row>
    <row r="4759" spans="2:14" ht="18" x14ac:dyDescent="0.25">
      <c r="C4759" s="2635" t="s">
        <v>7821</v>
      </c>
      <c r="D4759" s="4539">
        <v>10000000000</v>
      </c>
      <c r="M4759" s="5093"/>
      <c r="N4759" s="5093"/>
    </row>
    <row r="4760" spans="2:14" x14ac:dyDescent="0.25">
      <c r="C4760" s="2635" t="s">
        <v>3061</v>
      </c>
      <c r="D4760" s="2637">
        <f>SUM(D4754:D4759)</f>
        <v>754042906660</v>
      </c>
      <c r="M4760" s="3582"/>
      <c r="N4760" s="3583"/>
    </row>
    <row r="4761" spans="2:14" x14ac:dyDescent="0.25">
      <c r="D4761" s="3580">
        <f>SUM(D4752-D4760)</f>
        <v>1758204493340</v>
      </c>
      <c r="M4761" s="4252"/>
      <c r="N4761" s="3583"/>
    </row>
    <row r="4762" spans="2:14" x14ac:dyDescent="0.25">
      <c r="C4762" s="2635" t="s">
        <v>6669</v>
      </c>
      <c r="D4762" s="2637">
        <v>175820449334</v>
      </c>
      <c r="M4762" s="3582"/>
      <c r="N4762" s="3583"/>
    </row>
    <row r="4763" spans="2:14" x14ac:dyDescent="0.25">
      <c r="C4763" s="2635" t="s">
        <v>6670</v>
      </c>
      <c r="D4763" s="2637">
        <f>SUM(D4761-D4762)</f>
        <v>1582384044006</v>
      </c>
      <c r="M4763" s="5093"/>
      <c r="N4763" s="5093"/>
    </row>
    <row r="4764" spans="2:14" x14ac:dyDescent="0.25">
      <c r="C4764" s="2635"/>
      <c r="M4764" s="5092"/>
      <c r="N4764" s="5092"/>
    </row>
  </sheetData>
  <mergeCells count="29">
    <mergeCell ref="M4764:N4764"/>
    <mergeCell ref="I4751:M4751"/>
    <mergeCell ref="M4756:N4756"/>
    <mergeCell ref="M4757:N4757"/>
    <mergeCell ref="M4758:N4758"/>
    <mergeCell ref="M4759:N4759"/>
    <mergeCell ref="M4763:N4763"/>
    <mergeCell ref="P4111:S4111"/>
    <mergeCell ref="I4740:M4740"/>
    <mergeCell ref="I4741:M4741"/>
    <mergeCell ref="I4742:M4742"/>
    <mergeCell ref="I4749:M4749"/>
    <mergeCell ref="I4750:M4750"/>
    <mergeCell ref="N10:N12"/>
    <mergeCell ref="D11:E11"/>
    <mergeCell ref="F11:I11"/>
    <mergeCell ref="J11:M11"/>
    <mergeCell ref="P1734:R1734"/>
    <mergeCell ref="P2869:R2869"/>
    <mergeCell ref="B1:N1"/>
    <mergeCell ref="B2:N2"/>
    <mergeCell ref="A3:N3"/>
    <mergeCell ref="B6:N6"/>
    <mergeCell ref="B7:J7"/>
    <mergeCell ref="B10:B12"/>
    <mergeCell ref="C10:C12"/>
    <mergeCell ref="D10:E10"/>
    <mergeCell ref="F10:I10"/>
    <mergeCell ref="J10:M10"/>
  </mergeCells>
  <printOptions horizontalCentered="1"/>
  <pageMargins left="0.25" right="0.25" top="0.75" bottom="0.75" header="0.3" footer="0.3"/>
  <pageSetup paperSize="258" scale="23" fitToHeight="0" orientation="landscape" r:id="rId1"/>
  <headerFooter>
    <oddFooter>&amp;RHal &amp;P dari &amp;N</oddFooter>
  </headerFooter>
  <rowBreaks count="4" manualBreakCount="4">
    <brk id="1989" min="1" max="18" man="1"/>
    <brk id="2291" max="16383" man="1"/>
    <brk id="3402" max="16383" man="1"/>
    <brk id="3446" max="16383" man="1"/>
  </rowBreaks>
  <colBreaks count="2" manualBreakCount="2">
    <brk id="2" max="1048575" man="1"/>
    <brk id="18" max="1048575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S1048"/>
  <sheetViews>
    <sheetView view="pageBreakPreview" zoomScale="82" zoomScaleNormal="90" zoomScaleSheetLayoutView="82" workbookViewId="0">
      <selection activeCell="A13" sqref="A13:XFD33"/>
    </sheetView>
  </sheetViews>
  <sheetFormatPr defaultColWidth="8.85546875" defaultRowHeight="15.75" x14ac:dyDescent="0.25"/>
  <cols>
    <col min="1" max="1" width="3.28515625" style="20" customWidth="1"/>
    <col min="2" max="2" width="4.7109375" style="40" customWidth="1"/>
    <col min="3" max="3" width="74.140625" style="198" customWidth="1"/>
    <col min="4" max="4" width="22.7109375" style="43" customWidth="1"/>
    <col min="5" max="5" width="13.140625" style="1888" customWidth="1"/>
    <col min="6" max="6" width="23.42578125" style="1889" customWidth="1"/>
    <col min="7" max="7" width="14.5703125" style="1890" customWidth="1"/>
    <col min="8" max="8" width="14.85546875" style="1007" customWidth="1"/>
    <col min="9" max="9" width="11.140625" style="1008" customWidth="1"/>
    <col min="10" max="10" width="14.28515625" style="1007" customWidth="1"/>
    <col min="11" max="11" width="12.85546875" style="1891" customWidth="1"/>
    <col min="12" max="12" width="14.42578125" style="1007" customWidth="1"/>
    <col min="13" max="13" width="10" style="1007" customWidth="1"/>
    <col min="14" max="14" width="15.28515625" style="1002" customWidth="1"/>
    <col min="15" max="15" width="13" hidden="1" customWidth="1"/>
    <col min="16" max="16" width="16.5703125" style="35" bestFit="1" customWidth="1"/>
    <col min="17" max="17" width="21.42578125" style="35" customWidth="1"/>
    <col min="18" max="18" width="24.5703125" customWidth="1"/>
  </cols>
  <sheetData>
    <row r="1" spans="1:18" ht="14.1" customHeight="1" x14ac:dyDescent="0.25">
      <c r="B1" s="5005"/>
      <c r="C1" s="5005"/>
      <c r="D1" s="5005"/>
      <c r="E1" s="5005"/>
      <c r="F1" s="5005"/>
      <c r="G1" s="5005"/>
      <c r="H1" s="5005"/>
      <c r="I1" s="5005"/>
      <c r="J1" s="5005"/>
      <c r="K1" s="5005"/>
      <c r="L1" s="5005"/>
      <c r="M1" s="5005"/>
      <c r="N1" s="5005"/>
    </row>
    <row r="2" spans="1:18" s="37" customFormat="1" ht="21.75" customHeight="1" x14ac:dyDescent="0.25">
      <c r="A2" s="22"/>
      <c r="B2" s="5096" t="s">
        <v>3066</v>
      </c>
      <c r="C2" s="5096"/>
      <c r="D2" s="5096"/>
      <c r="E2" s="5096"/>
      <c r="F2" s="5096"/>
      <c r="G2" s="5096"/>
      <c r="H2" s="5096"/>
      <c r="I2" s="5096"/>
      <c r="J2" s="5096"/>
      <c r="K2" s="5096"/>
      <c r="L2" s="5096"/>
      <c r="M2" s="5096"/>
      <c r="N2" s="5096"/>
      <c r="P2" s="38"/>
      <c r="Q2" s="38"/>
    </row>
    <row r="3" spans="1:18" ht="21.75" customHeight="1" x14ac:dyDescent="0.25">
      <c r="A3" s="22"/>
      <c r="B3" s="5097" t="s">
        <v>3067</v>
      </c>
      <c r="C3" s="5097"/>
      <c r="D3" s="5097"/>
      <c r="E3" s="5097"/>
      <c r="F3" s="5097"/>
      <c r="G3" s="5097"/>
      <c r="H3" s="5097"/>
      <c r="I3" s="5097"/>
      <c r="J3" s="5097"/>
      <c r="K3" s="5097"/>
      <c r="L3" s="5097"/>
      <c r="M3" s="5097"/>
      <c r="N3" s="5097"/>
    </row>
    <row r="4" spans="1:18" ht="21.75" customHeight="1" x14ac:dyDescent="0.3">
      <c r="A4" s="4986" t="s">
        <v>4107</v>
      </c>
      <c r="B4" s="4986"/>
      <c r="C4" s="4986"/>
      <c r="D4" s="4986"/>
      <c r="E4" s="4986"/>
      <c r="F4" s="4986"/>
      <c r="G4" s="4986"/>
      <c r="H4" s="4986"/>
      <c r="I4" s="4986"/>
      <c r="J4" s="4986"/>
      <c r="K4" s="4986"/>
      <c r="L4" s="4986"/>
      <c r="M4" s="4986"/>
      <c r="N4" s="4986"/>
    </row>
    <row r="5" spans="1:18" ht="14.1" customHeight="1" x14ac:dyDescent="0.25">
      <c r="B5" s="1004"/>
      <c r="C5" s="39"/>
      <c r="D5" s="40"/>
      <c r="E5" s="1885"/>
      <c r="F5" s="1886"/>
      <c r="G5" s="1887"/>
      <c r="H5" s="1004"/>
      <c r="I5" s="1005"/>
      <c r="J5" s="1004"/>
      <c r="K5" s="4254"/>
      <c r="L5" s="1004"/>
      <c r="M5" s="1004"/>
      <c r="N5" s="1004"/>
    </row>
    <row r="6" spans="1:18" ht="14.1" customHeight="1" x14ac:dyDescent="0.25">
      <c r="B6" s="1004"/>
      <c r="C6" s="39"/>
      <c r="D6" s="40"/>
      <c r="E6" s="1885"/>
      <c r="F6" s="1886"/>
      <c r="G6" s="1887"/>
      <c r="H6" s="1004"/>
      <c r="I6" s="1005"/>
      <c r="J6" s="1004"/>
      <c r="K6" s="4254"/>
      <c r="L6" s="1004"/>
      <c r="M6" s="1004"/>
      <c r="N6" s="1004"/>
    </row>
    <row r="7" spans="1:18" ht="14.1" customHeight="1" x14ac:dyDescent="0.25">
      <c r="B7" s="5009" t="s">
        <v>3</v>
      </c>
      <c r="C7" s="5009"/>
      <c r="D7" s="5009"/>
      <c r="E7" s="5009"/>
      <c r="F7" s="5009"/>
      <c r="G7" s="5009"/>
      <c r="H7" s="5009"/>
      <c r="I7" s="5009"/>
      <c r="J7" s="5009"/>
      <c r="K7" s="5009"/>
      <c r="L7" s="5009"/>
      <c r="M7" s="5009"/>
      <c r="N7" s="5009"/>
    </row>
    <row r="8" spans="1:18" ht="14.1" customHeight="1" x14ac:dyDescent="0.25">
      <c r="B8" s="5004" t="s">
        <v>4177</v>
      </c>
      <c r="C8" s="5004"/>
      <c r="D8" s="5004"/>
      <c r="E8" s="5004"/>
      <c r="F8" s="5004"/>
      <c r="G8" s="5004"/>
      <c r="H8" s="5004"/>
      <c r="I8" s="5004"/>
      <c r="J8" s="5004"/>
      <c r="K8" s="4254"/>
      <c r="L8" s="4261"/>
      <c r="M8" s="4261"/>
      <c r="N8" s="4261"/>
    </row>
    <row r="9" spans="1:18" ht="14.1" customHeight="1" thickBot="1" x14ac:dyDescent="0.3">
      <c r="B9" s="4262"/>
      <c r="C9" s="42"/>
      <c r="N9" s="408"/>
    </row>
    <row r="10" spans="1:18" ht="18.75" customHeight="1" thickBot="1" x14ac:dyDescent="0.3">
      <c r="B10" s="5094" t="s">
        <v>6</v>
      </c>
      <c r="C10" s="5098" t="s">
        <v>7</v>
      </c>
      <c r="D10" s="5011" t="s">
        <v>8</v>
      </c>
      <c r="E10" s="5011"/>
      <c r="F10" s="5011" t="s">
        <v>9</v>
      </c>
      <c r="G10" s="5011"/>
      <c r="H10" s="5011"/>
      <c r="I10" s="5011"/>
      <c r="J10" s="5011" t="s">
        <v>10</v>
      </c>
      <c r="K10" s="5011"/>
      <c r="L10" s="5011"/>
      <c r="M10" s="5011"/>
      <c r="N10" s="5094" t="s">
        <v>4121</v>
      </c>
    </row>
    <row r="11" spans="1:18" s="45" customFormat="1" ht="82.5" customHeight="1" thickBot="1" x14ac:dyDescent="0.3">
      <c r="A11" s="24"/>
      <c r="B11" s="5095"/>
      <c r="C11" s="5099"/>
      <c r="D11" s="1892" t="s">
        <v>12</v>
      </c>
      <c r="E11" s="1893" t="s">
        <v>3068</v>
      </c>
      <c r="F11" s="1894" t="s">
        <v>13</v>
      </c>
      <c r="G11" s="1010" t="s">
        <v>17</v>
      </c>
      <c r="H11" s="1479" t="s">
        <v>15</v>
      </c>
      <c r="I11" s="1480" t="s">
        <v>16</v>
      </c>
      <c r="J11" s="1479" t="s">
        <v>12</v>
      </c>
      <c r="K11" s="1479" t="s">
        <v>17</v>
      </c>
      <c r="L11" s="1479" t="s">
        <v>15</v>
      </c>
      <c r="M11" s="1479" t="s">
        <v>18</v>
      </c>
      <c r="N11" s="5095"/>
      <c r="P11" s="46"/>
      <c r="Q11" s="46"/>
    </row>
    <row r="12" spans="1:18" ht="20.100000000000001" customHeight="1" thickTop="1" thickBot="1" x14ac:dyDescent="0.3">
      <c r="B12" s="1011" t="s">
        <v>19</v>
      </c>
      <c r="C12" s="47" t="s">
        <v>20</v>
      </c>
      <c r="D12" s="48" t="s">
        <v>21</v>
      </c>
      <c r="E12" s="1895" t="s">
        <v>22</v>
      </c>
      <c r="F12" s="1896" t="s">
        <v>23</v>
      </c>
      <c r="G12" s="1012" t="s">
        <v>24</v>
      </c>
      <c r="H12" s="48" t="s">
        <v>25</v>
      </c>
      <c r="I12" s="1482" t="s">
        <v>26</v>
      </c>
      <c r="J12" s="48" t="s">
        <v>27</v>
      </c>
      <c r="K12" s="1011" t="s">
        <v>28</v>
      </c>
      <c r="L12" s="48" t="s">
        <v>29</v>
      </c>
      <c r="M12" s="1011" t="s">
        <v>30</v>
      </c>
      <c r="N12" s="1011" t="s">
        <v>31</v>
      </c>
    </row>
    <row r="13" spans="1:18" s="1" customFormat="1" ht="21" customHeight="1" thickTop="1" x14ac:dyDescent="0.25">
      <c r="A13" s="22"/>
      <c r="B13" s="4737" t="s">
        <v>32</v>
      </c>
      <c r="C13" s="1898" t="s">
        <v>33</v>
      </c>
      <c r="D13" s="50">
        <f>SUM(D14,D27)</f>
        <v>78361685699</v>
      </c>
      <c r="E13" s="1899">
        <f>D13/2512247400000*100</f>
        <v>3.119186657293386</v>
      </c>
      <c r="F13" s="1900"/>
      <c r="G13" s="1900"/>
      <c r="H13" s="1901"/>
      <c r="I13" s="50"/>
      <c r="J13" s="50"/>
      <c r="K13" s="50"/>
      <c r="L13" s="1902"/>
      <c r="M13" s="50"/>
      <c r="N13" s="1903"/>
      <c r="P13" s="51" t="s">
        <v>4166</v>
      </c>
      <c r="Q13" s="51"/>
      <c r="R13" s="51"/>
    </row>
    <row r="14" spans="1:18" s="4" customFormat="1" ht="23.25" hidden="1" customHeight="1" x14ac:dyDescent="0.25">
      <c r="A14" s="25"/>
      <c r="B14" s="1029" t="s">
        <v>34</v>
      </c>
      <c r="C14" s="56" t="s">
        <v>35</v>
      </c>
      <c r="D14" s="57">
        <f>SUM(D15+D21+D24)</f>
        <v>33543519039</v>
      </c>
      <c r="E14" s="346">
        <f>D14/185815544334*100</f>
        <v>18.052052189297008</v>
      </c>
      <c r="F14" s="988"/>
      <c r="G14" s="988"/>
      <c r="H14" s="1143"/>
      <c r="I14" s="988"/>
      <c r="J14" s="1905"/>
      <c r="K14" s="1905"/>
      <c r="L14" s="200"/>
      <c r="M14" s="988"/>
      <c r="N14" s="1903"/>
      <c r="P14" s="58" t="s">
        <v>4167</v>
      </c>
      <c r="Q14" s="58"/>
    </row>
    <row r="15" spans="1:18" s="4" customFormat="1" ht="15.75" hidden="1" customHeight="1" x14ac:dyDescent="0.25">
      <c r="B15" s="1024"/>
      <c r="C15" s="2474" t="s">
        <v>6043</v>
      </c>
      <c r="D15" s="2692">
        <f>SUM(D16:D19)</f>
        <v>9135759522</v>
      </c>
      <c r="E15" s="1906">
        <f>D15/185815544334*100</f>
        <v>4.9165744204793986</v>
      </c>
      <c r="F15" s="1082"/>
      <c r="G15" s="142"/>
      <c r="H15" s="142"/>
      <c r="I15" s="142"/>
      <c r="J15" s="367"/>
      <c r="K15" s="367"/>
      <c r="L15" s="142"/>
      <c r="M15" s="142"/>
      <c r="N15" s="1907"/>
    </row>
    <row r="16" spans="1:18" s="5" customFormat="1" ht="21" hidden="1" customHeight="1" x14ac:dyDescent="0.25">
      <c r="B16" s="1097"/>
      <c r="C16" s="2473" t="s">
        <v>6044</v>
      </c>
      <c r="D16" s="2698">
        <v>6000000000</v>
      </c>
      <c r="E16" s="344">
        <f>D16/185815544334*100</f>
        <v>3.2290086502209476</v>
      </c>
      <c r="F16" s="1908"/>
      <c r="G16" s="140"/>
      <c r="H16" s="140"/>
      <c r="I16" s="140"/>
      <c r="J16" s="1910"/>
      <c r="K16" s="189"/>
      <c r="L16" s="140"/>
      <c r="M16" s="140"/>
      <c r="N16" s="1911"/>
    </row>
    <row r="17" spans="1:19" s="5" customFormat="1" ht="20.25" hidden="1" customHeight="1" x14ac:dyDescent="0.25">
      <c r="B17" s="1097"/>
      <c r="C17" s="2473" t="s">
        <v>6045</v>
      </c>
      <c r="D17" s="2698">
        <v>600329022</v>
      </c>
      <c r="E17" s="344">
        <f>D17/185815544334*100</f>
        <v>0.32307793416944691</v>
      </c>
      <c r="F17" s="1140"/>
      <c r="G17" s="1140"/>
      <c r="H17" s="201"/>
      <c r="I17" s="189"/>
      <c r="J17" s="1912"/>
      <c r="K17" s="73"/>
      <c r="L17" s="201"/>
      <c r="M17" s="189"/>
      <c r="N17" s="1911"/>
    </row>
    <row r="18" spans="1:19" s="4" customFormat="1" ht="23.25" hidden="1" customHeight="1" x14ac:dyDescent="0.25">
      <c r="B18" s="1024"/>
      <c r="C18" s="2475" t="s">
        <v>6046</v>
      </c>
      <c r="D18" s="2698">
        <v>2215000000</v>
      </c>
      <c r="E18" s="344">
        <f>D18/185815544334*100</f>
        <v>1.1920423600398999</v>
      </c>
      <c r="F18" s="1026"/>
      <c r="G18" s="142"/>
      <c r="H18" s="142"/>
      <c r="I18" s="142"/>
      <c r="J18" s="680"/>
      <c r="K18" s="680"/>
      <c r="L18" s="202"/>
      <c r="M18" s="401"/>
      <c r="N18" s="1485"/>
    </row>
    <row r="19" spans="1:19" s="27" customFormat="1" ht="18.75" hidden="1" customHeight="1" x14ac:dyDescent="0.25">
      <c r="A19" s="6"/>
      <c r="B19" s="1914"/>
      <c r="C19" s="2473" t="s">
        <v>6047</v>
      </c>
      <c r="D19" s="2698">
        <v>320430500</v>
      </c>
      <c r="E19" s="344">
        <f t="shared" ref="E19:E31" si="0">D19/185815544334*100</f>
        <v>0.1724454760491039</v>
      </c>
      <c r="F19" s="1050"/>
      <c r="G19" s="140"/>
      <c r="H19" s="140"/>
      <c r="I19" s="140"/>
      <c r="J19" s="368"/>
      <c r="K19" s="189"/>
      <c r="L19" s="169"/>
      <c r="M19" s="140"/>
      <c r="N19" s="1045"/>
      <c r="P19" s="622">
        <v>83000000</v>
      </c>
      <c r="Q19" s="622"/>
      <c r="R19" s="622">
        <v>817000000</v>
      </c>
      <c r="S19" s="622">
        <f>SUM(P19+R19)</f>
        <v>900000000</v>
      </c>
    </row>
    <row r="20" spans="1:19" s="27" customFormat="1" ht="14.25" hidden="1" customHeight="1" x14ac:dyDescent="0.25">
      <c r="A20" s="6"/>
      <c r="B20" s="1914"/>
      <c r="C20" s="2473"/>
      <c r="D20" s="2698"/>
      <c r="E20" s="344"/>
      <c r="F20" s="1050"/>
      <c r="G20" s="140"/>
      <c r="H20" s="140"/>
      <c r="I20" s="140"/>
      <c r="J20" s="368"/>
      <c r="K20" s="73"/>
      <c r="L20" s="201"/>
      <c r="M20" s="140"/>
      <c r="N20" s="1045"/>
      <c r="P20" s="622">
        <v>40500000</v>
      </c>
      <c r="Q20" s="622"/>
      <c r="R20" s="622">
        <v>309500000</v>
      </c>
      <c r="S20" s="622">
        <f t="shared" ref="S20:S25" si="1">SUM(P20+R20)</f>
        <v>350000000</v>
      </c>
    </row>
    <row r="21" spans="1:19" s="27" customFormat="1" ht="16.5" hidden="1" customHeight="1" x14ac:dyDescent="0.25">
      <c r="A21" s="6"/>
      <c r="B21" s="1914"/>
      <c r="C21" s="2474" t="s">
        <v>6048</v>
      </c>
      <c r="D21" s="2692">
        <f>SUM(D22:D22)</f>
        <v>11407759517</v>
      </c>
      <c r="E21" s="257">
        <f t="shared" si="0"/>
        <v>6.1392923600055571</v>
      </c>
      <c r="F21" s="1050"/>
      <c r="G21" s="140"/>
      <c r="H21" s="140"/>
      <c r="I21" s="140"/>
      <c r="J21" s="368"/>
      <c r="K21" s="189"/>
      <c r="L21" s="201"/>
      <c r="M21" s="140"/>
      <c r="N21" s="1045"/>
      <c r="P21" s="622">
        <v>431450000</v>
      </c>
      <c r="Q21" s="622"/>
      <c r="R21" s="622">
        <v>1268550000</v>
      </c>
      <c r="S21" s="622">
        <f t="shared" si="1"/>
        <v>1700000000</v>
      </c>
    </row>
    <row r="22" spans="1:19" s="27" customFormat="1" ht="18" hidden="1" customHeight="1" x14ac:dyDescent="0.25">
      <c r="A22" s="6"/>
      <c r="B22" s="1914"/>
      <c r="C22" s="2475" t="s">
        <v>6049</v>
      </c>
      <c r="D22" s="2698">
        <v>11407759517</v>
      </c>
      <c r="E22" s="344">
        <f t="shared" si="0"/>
        <v>6.1392923600055571</v>
      </c>
      <c r="F22" s="1050"/>
      <c r="G22" s="140"/>
      <c r="H22" s="140"/>
      <c r="I22" s="140"/>
      <c r="J22" s="368"/>
      <c r="K22" s="189"/>
      <c r="L22" s="169"/>
      <c r="M22" s="140"/>
      <c r="N22" s="1045"/>
      <c r="P22" s="622">
        <v>90950000</v>
      </c>
      <c r="Q22" s="622"/>
      <c r="R22" s="622">
        <v>659050000</v>
      </c>
      <c r="S22" s="622">
        <f t="shared" si="1"/>
        <v>750000000</v>
      </c>
    </row>
    <row r="23" spans="1:19" s="27" customFormat="1" ht="12" hidden="1" customHeight="1" x14ac:dyDescent="0.25">
      <c r="A23" s="6"/>
      <c r="B23" s="1914"/>
      <c r="C23" s="2473"/>
      <c r="D23" s="898"/>
      <c r="E23" s="344"/>
      <c r="F23" s="1050"/>
      <c r="G23" s="140"/>
      <c r="H23" s="140"/>
      <c r="I23" s="140"/>
      <c r="J23" s="368"/>
      <c r="K23" s="189"/>
      <c r="L23" s="201"/>
      <c r="M23" s="140"/>
      <c r="N23" s="1045"/>
      <c r="P23" s="622">
        <v>41150000</v>
      </c>
      <c r="Q23" s="622"/>
      <c r="R23" s="622">
        <v>5958850000</v>
      </c>
      <c r="S23" s="622">
        <f t="shared" si="1"/>
        <v>6000000000</v>
      </c>
    </row>
    <row r="24" spans="1:19" s="27" customFormat="1" ht="21.75" hidden="1" customHeight="1" x14ac:dyDescent="0.25">
      <c r="A24" s="6"/>
      <c r="B24" s="1914"/>
      <c r="C24" s="2474" t="s">
        <v>6050</v>
      </c>
      <c r="D24" s="2692">
        <f>SUM(D25:D25)</f>
        <v>13000000000</v>
      </c>
      <c r="E24" s="257">
        <f t="shared" si="0"/>
        <v>6.9961854088120532</v>
      </c>
      <c r="F24" s="1050"/>
      <c r="G24" s="1050"/>
      <c r="H24" s="201"/>
      <c r="I24" s="189"/>
      <c r="J24" s="368"/>
      <c r="K24" s="189"/>
      <c r="L24" s="201"/>
      <c r="M24" s="189"/>
      <c r="N24" s="1045"/>
      <c r="P24" s="622">
        <v>54000000</v>
      </c>
      <c r="Q24" s="622"/>
      <c r="R24" s="622">
        <v>446000000</v>
      </c>
      <c r="S24" s="622">
        <f t="shared" si="1"/>
        <v>500000000</v>
      </c>
    </row>
    <row r="25" spans="1:19" s="27" customFormat="1" ht="21.75" hidden="1" customHeight="1" x14ac:dyDescent="0.25">
      <c r="A25" s="6"/>
      <c r="B25" s="1914"/>
      <c r="C25" s="2473" t="s">
        <v>6051</v>
      </c>
      <c r="D25" s="2698">
        <v>13000000000</v>
      </c>
      <c r="E25" s="344">
        <f t="shared" si="0"/>
        <v>6.9961854088120532</v>
      </c>
      <c r="F25" s="1050"/>
      <c r="G25" s="1050"/>
      <c r="H25" s="201"/>
      <c r="I25" s="189"/>
      <c r="J25" s="368"/>
      <c r="K25" s="189"/>
      <c r="L25" s="201"/>
      <c r="M25" s="189"/>
      <c r="N25" s="1045"/>
      <c r="P25" s="622">
        <v>198950000</v>
      </c>
      <c r="Q25" s="622"/>
      <c r="R25" s="622">
        <v>736676337</v>
      </c>
      <c r="S25" s="622">
        <f t="shared" si="1"/>
        <v>935626337</v>
      </c>
    </row>
    <row r="26" spans="1:19" s="27" customFormat="1" ht="15" hidden="1" customHeight="1" x14ac:dyDescent="0.25">
      <c r="A26" s="6"/>
      <c r="B26" s="1914"/>
      <c r="C26" s="335"/>
      <c r="D26" s="4214"/>
      <c r="E26" s="1917"/>
      <c r="F26" s="1918"/>
      <c r="G26" s="187"/>
      <c r="H26" s="187"/>
      <c r="I26" s="187"/>
      <c r="J26" s="1919"/>
      <c r="K26" s="338"/>
      <c r="L26" s="1920"/>
      <c r="M26" s="187"/>
      <c r="N26" s="1490"/>
    </row>
    <row r="27" spans="1:19" s="1" customFormat="1" ht="19.5" hidden="1" customHeight="1" x14ac:dyDescent="0.25">
      <c r="A27" s="22"/>
      <c r="B27" s="1029" t="s">
        <v>157</v>
      </c>
      <c r="C27" s="56" t="s">
        <v>7816</v>
      </c>
      <c r="D27" s="2315">
        <f>D28</f>
        <v>44818166660</v>
      </c>
      <c r="E27" s="346">
        <f t="shared" si="0"/>
        <v>24.119707972030678</v>
      </c>
      <c r="F27" s="1921"/>
      <c r="G27" s="1921"/>
      <c r="H27" s="179"/>
      <c r="I27" s="254"/>
      <c r="J27" s="1043"/>
      <c r="K27" s="1921"/>
      <c r="L27" s="179"/>
      <c r="M27" s="179"/>
      <c r="N27" s="1903"/>
      <c r="P27" s="51"/>
      <c r="Q27" s="51" t="e">
        <f>#REF!-#REF!</f>
        <v>#REF!</v>
      </c>
    </row>
    <row r="28" spans="1:19" ht="21.75" hidden="1" customHeight="1" x14ac:dyDescent="0.25">
      <c r="B28" s="1914"/>
      <c r="C28" s="69" t="s">
        <v>7823</v>
      </c>
      <c r="D28" s="1923">
        <f>SUM(D29:D31)</f>
        <v>44818166660</v>
      </c>
      <c r="E28" s="2036">
        <f t="shared" si="0"/>
        <v>24.119707972030678</v>
      </c>
      <c r="F28" s="1923"/>
      <c r="G28" s="1923"/>
      <c r="H28" s="1923"/>
      <c r="I28" s="1923"/>
      <c r="J28" s="1082"/>
      <c r="K28" s="176"/>
      <c r="L28" s="176"/>
      <c r="M28" s="142"/>
      <c r="N28" s="1132"/>
    </row>
    <row r="29" spans="1:19" ht="16.5" hidden="1" customHeight="1" x14ac:dyDescent="0.25">
      <c r="B29" s="1914"/>
      <c r="C29" s="61" t="s">
        <v>7896</v>
      </c>
      <c r="D29" s="1925">
        <v>24818166660</v>
      </c>
      <c r="E29" s="344">
        <f t="shared" si="0"/>
        <v>13.356345804627519</v>
      </c>
      <c r="F29" s="1925"/>
      <c r="G29" s="1925"/>
      <c r="H29" s="1925"/>
      <c r="I29" s="1925"/>
      <c r="J29" s="1927"/>
      <c r="K29" s="169"/>
      <c r="L29" s="169"/>
      <c r="M29" s="140"/>
      <c r="N29" s="1132"/>
    </row>
    <row r="30" spans="1:19" ht="15" hidden="1" customHeight="1" x14ac:dyDescent="0.25">
      <c r="B30" s="1914"/>
      <c r="C30" s="61" t="s">
        <v>7897</v>
      </c>
      <c r="D30" s="4215">
        <v>15265000000</v>
      </c>
      <c r="E30" s="344">
        <f t="shared" si="0"/>
        <v>8.2151361742704605</v>
      </c>
      <c r="F30" s="1928"/>
      <c r="G30" s="109"/>
      <c r="H30" s="194"/>
      <c r="I30" s="253"/>
      <c r="J30" s="1927"/>
      <c r="K30" s="1929"/>
      <c r="L30" s="72"/>
      <c r="M30" s="72"/>
      <c r="N30" s="1132"/>
    </row>
    <row r="31" spans="1:19" ht="18.75" hidden="1" customHeight="1" x14ac:dyDescent="0.25">
      <c r="B31" s="1914"/>
      <c r="C31" s="61" t="s">
        <v>7898</v>
      </c>
      <c r="D31" s="4215">
        <v>4735000000</v>
      </c>
      <c r="E31" s="344">
        <f t="shared" si="0"/>
        <v>2.5482259931326978</v>
      </c>
      <c r="F31" s="1928"/>
      <c r="G31" s="109"/>
      <c r="H31" s="194"/>
      <c r="I31" s="253"/>
      <c r="J31" s="1927"/>
      <c r="K31" s="1929"/>
      <c r="L31" s="72"/>
      <c r="M31" s="72"/>
      <c r="N31" s="1132"/>
    </row>
    <row r="32" spans="1:19" ht="12" hidden="1" customHeight="1" x14ac:dyDescent="0.25">
      <c r="B32" s="1028"/>
      <c r="C32" s="61"/>
      <c r="D32" s="70"/>
      <c r="E32" s="1932"/>
      <c r="F32" s="65"/>
      <c r="G32" s="117"/>
      <c r="H32" s="197"/>
      <c r="I32" s="252"/>
      <c r="J32" s="197"/>
      <c r="K32" s="348"/>
      <c r="L32" s="157"/>
      <c r="M32" s="197"/>
      <c r="N32" s="1132"/>
    </row>
    <row r="33" spans="1:18" s="52" customFormat="1" ht="18.75" customHeight="1" thickBot="1" x14ac:dyDescent="0.3">
      <c r="A33" s="26"/>
      <c r="B33" s="1897" t="s">
        <v>239</v>
      </c>
      <c r="C33" s="49" t="s">
        <v>240</v>
      </c>
      <c r="D33" s="74">
        <f>SUM(D179+D35+D263+D439+D105+D335+D501+D578+D886+D523+D691+D962+D788)</f>
        <v>561740815646.54004</v>
      </c>
      <c r="E33" s="1899">
        <f>D33/1582384044000*100</f>
        <v>35.499651160950407</v>
      </c>
      <c r="F33" s="1933"/>
      <c r="G33" s="1933"/>
      <c r="H33" s="50"/>
      <c r="I33" s="1031"/>
      <c r="J33" s="1031"/>
      <c r="K33" s="1933"/>
      <c r="L33" s="1902"/>
      <c r="M33" s="1031"/>
      <c r="N33" s="1934"/>
      <c r="P33" s="55"/>
      <c r="Q33" s="55"/>
      <c r="R33" s="665">
        <v>2408937478000</v>
      </c>
    </row>
    <row r="34" spans="1:18" ht="10.5" hidden="1" customHeight="1" x14ac:dyDescent="0.25">
      <c r="B34" s="489"/>
      <c r="C34" s="75"/>
      <c r="D34" s="67"/>
      <c r="E34" s="199"/>
      <c r="F34" s="1935"/>
      <c r="G34" s="1935"/>
      <c r="H34" s="199"/>
      <c r="I34" s="199"/>
      <c r="J34" s="197"/>
      <c r="K34" s="348"/>
      <c r="L34" s="336"/>
      <c r="M34" s="197"/>
      <c r="N34" s="1132"/>
      <c r="R34" s="666">
        <v>482516287480</v>
      </c>
    </row>
    <row r="35" spans="1:18" ht="18" hidden="1" customHeight="1" x14ac:dyDescent="0.25">
      <c r="B35" s="1936"/>
      <c r="C35" s="1937" t="s">
        <v>6995</v>
      </c>
      <c r="D35" s="4216">
        <f>SUM(D37+D81+D87+D91+D97+D101)</f>
        <v>33967248034</v>
      </c>
      <c r="E35" s="1939">
        <f>D35/2512247400000*100</f>
        <v>1.3520662031135946</v>
      </c>
      <c r="F35" s="3939"/>
      <c r="G35" s="1940"/>
      <c r="H35" s="1939"/>
      <c r="I35" s="1939"/>
      <c r="J35" s="1940"/>
      <c r="K35" s="1940"/>
      <c r="L35" s="679"/>
      <c r="M35" s="679"/>
      <c r="N35" s="1132"/>
    </row>
    <row r="36" spans="1:18" ht="8.25" hidden="1" customHeight="1" x14ac:dyDescent="0.25">
      <c r="B36" s="1024"/>
      <c r="C36" s="53"/>
      <c r="D36" s="4217"/>
      <c r="E36" s="1048"/>
      <c r="F36" s="1955"/>
      <c r="G36" s="1955"/>
      <c r="H36" s="1048"/>
      <c r="I36" s="1048"/>
      <c r="J36" s="1955"/>
      <c r="K36" s="348"/>
      <c r="L36" s="72"/>
      <c r="M36" s="197"/>
      <c r="N36" s="1132"/>
    </row>
    <row r="37" spans="1:18" s="27" customFormat="1" ht="19.5" hidden="1" customHeight="1" x14ac:dyDescent="0.25">
      <c r="B37" s="1029"/>
      <c r="C37" s="56" t="s">
        <v>354</v>
      </c>
      <c r="D37" s="2744">
        <f>SUM(D38+D42+D55+D60+D66+D75+D78)</f>
        <v>30227666034</v>
      </c>
      <c r="E37" s="57">
        <f>D37/151574776000*100</f>
        <v>19.942411812635633</v>
      </c>
      <c r="F37" s="1962"/>
      <c r="G37" s="200"/>
      <c r="H37" s="131"/>
      <c r="I37" s="131"/>
      <c r="J37" s="200"/>
      <c r="K37" s="179"/>
      <c r="L37" s="200"/>
      <c r="M37" s="131"/>
      <c r="N37" s="1132"/>
      <c r="P37" s="79"/>
      <c r="Q37" s="79">
        <v>42205087300</v>
      </c>
      <c r="R37" s="79">
        <v>26685264601</v>
      </c>
    </row>
    <row r="38" spans="1:18" s="27" customFormat="1" ht="19.5" hidden="1" customHeight="1" x14ac:dyDescent="0.25">
      <c r="B38" s="1024"/>
      <c r="C38" s="2478" t="s">
        <v>355</v>
      </c>
      <c r="D38" s="2751">
        <f>SUM(D39:D40)</f>
        <v>258517000</v>
      </c>
      <c r="E38" s="2099">
        <f>D38/151574776000*100</f>
        <v>0.17055410327639209</v>
      </c>
      <c r="F38" s="101"/>
      <c r="G38" s="233"/>
      <c r="H38" s="233"/>
      <c r="I38" s="233"/>
      <c r="J38" s="101"/>
      <c r="K38" s="101"/>
      <c r="L38" s="209"/>
      <c r="M38" s="233"/>
      <c r="N38" s="1132"/>
      <c r="P38" s="79"/>
      <c r="Q38" s="79"/>
    </row>
    <row r="39" spans="1:18" s="27" customFormat="1" ht="19.5" hidden="1" customHeight="1" x14ac:dyDescent="0.25">
      <c r="B39" s="1024"/>
      <c r="C39" s="2473" t="s">
        <v>6249</v>
      </c>
      <c r="D39" s="896">
        <v>165857240</v>
      </c>
      <c r="E39" s="235">
        <f>D39/151574776000*100</f>
        <v>0.10942271819685884</v>
      </c>
      <c r="F39" s="1963"/>
      <c r="G39" s="140"/>
      <c r="H39" s="140"/>
      <c r="I39" s="140"/>
      <c r="J39" s="1963"/>
      <c r="K39" s="149"/>
      <c r="L39" s="191"/>
      <c r="M39" s="140"/>
      <c r="N39" s="1132"/>
      <c r="P39" s="79"/>
      <c r="Q39" s="79"/>
    </row>
    <row r="40" spans="1:18" s="27" customFormat="1" ht="19.5" hidden="1" customHeight="1" x14ac:dyDescent="0.25">
      <c r="B40" s="1024"/>
      <c r="C40" s="2473" t="s">
        <v>6250</v>
      </c>
      <c r="D40" s="2853">
        <v>92659760</v>
      </c>
      <c r="E40" s="235">
        <f t="shared" ref="E40:E103" si="2">D40/151574776000*100</f>
        <v>6.1131385079533286E-2</v>
      </c>
      <c r="F40" s="1964"/>
      <c r="G40" s="140"/>
      <c r="H40" s="140"/>
      <c r="I40" s="140"/>
      <c r="J40" s="1964"/>
      <c r="K40" s="149"/>
      <c r="L40" s="191"/>
      <c r="M40" s="140"/>
      <c r="N40" s="1132"/>
      <c r="P40" s="79"/>
      <c r="Q40" s="79"/>
    </row>
    <row r="41" spans="1:18" s="27" customFormat="1" ht="12.75" hidden="1" customHeight="1" x14ac:dyDescent="0.25">
      <c r="B41" s="1024"/>
      <c r="C41" s="2475"/>
      <c r="D41" s="2858"/>
      <c r="E41" s="235"/>
      <c r="F41" s="1965"/>
      <c r="G41" s="133"/>
      <c r="H41" s="133"/>
      <c r="I41" s="133"/>
      <c r="J41" s="1965"/>
      <c r="K41" s="149"/>
      <c r="L41" s="149"/>
      <c r="M41" s="149"/>
      <c r="N41" s="1132"/>
      <c r="P41" s="79"/>
      <c r="Q41" s="79"/>
    </row>
    <row r="42" spans="1:18" s="27" customFormat="1" ht="19.5" hidden="1" customHeight="1" x14ac:dyDescent="0.25">
      <c r="B42" s="1024"/>
      <c r="C42" s="2474" t="s">
        <v>362</v>
      </c>
      <c r="D42" s="2812">
        <f>SUM(D43:D53)</f>
        <v>23674795282</v>
      </c>
      <c r="E42" s="328">
        <f t="shared" si="2"/>
        <v>15.619218386309869</v>
      </c>
      <c r="F42" s="1964"/>
      <c r="G42" s="140"/>
      <c r="H42" s="140"/>
      <c r="I42" s="140"/>
      <c r="J42" s="1964"/>
      <c r="K42" s="149"/>
      <c r="L42" s="149"/>
      <c r="M42" s="149"/>
      <c r="N42" s="1132"/>
      <c r="P42" s="79"/>
      <c r="Q42" s="79"/>
    </row>
    <row r="43" spans="1:18" s="27" customFormat="1" ht="18.75" hidden="1" customHeight="1" x14ac:dyDescent="0.25">
      <c r="B43" s="1024"/>
      <c r="C43" s="2473" t="s">
        <v>6252</v>
      </c>
      <c r="D43" s="2853">
        <v>14453009849</v>
      </c>
      <c r="E43" s="235">
        <f t="shared" si="2"/>
        <v>9.5352341797292191</v>
      </c>
      <c r="F43" s="1497"/>
      <c r="G43" s="239"/>
      <c r="H43" s="239"/>
      <c r="I43" s="239"/>
      <c r="J43" s="1497"/>
      <c r="K43" s="374"/>
      <c r="L43" s="149"/>
      <c r="M43" s="149"/>
      <c r="N43" s="1132"/>
      <c r="P43" s="79"/>
      <c r="Q43" s="79"/>
    </row>
    <row r="44" spans="1:18" s="27" customFormat="1" ht="18" hidden="1" customHeight="1" x14ac:dyDescent="0.25">
      <c r="B44" s="1024"/>
      <c r="C44" s="2515" t="s">
        <v>6253</v>
      </c>
      <c r="D44" s="2853">
        <v>329822500</v>
      </c>
      <c r="E44" s="235">
        <f t="shared" si="2"/>
        <v>0.21759722079351779</v>
      </c>
      <c r="F44" s="1964"/>
      <c r="G44" s="140"/>
      <c r="H44" s="140"/>
      <c r="I44" s="140"/>
      <c r="J44" s="1964"/>
      <c r="K44" s="374"/>
      <c r="L44" s="149"/>
      <c r="M44" s="149"/>
      <c r="N44" s="1132"/>
      <c r="P44" s="79"/>
      <c r="Q44" s="79"/>
    </row>
    <row r="45" spans="1:18" s="27" customFormat="1" ht="28.5" hidden="1" customHeight="1" x14ac:dyDescent="0.25">
      <c r="B45" s="1024"/>
      <c r="C45" s="2473" t="s">
        <v>6254</v>
      </c>
      <c r="D45" s="2853">
        <v>4562191800</v>
      </c>
      <c r="E45" s="235">
        <f t="shared" si="2"/>
        <v>3.0098621422340086</v>
      </c>
      <c r="F45" s="1964"/>
      <c r="G45" s="140"/>
      <c r="H45" s="140"/>
      <c r="I45" s="140"/>
      <c r="J45" s="1964"/>
      <c r="K45" s="374"/>
      <c r="L45" s="149"/>
      <c r="M45" s="149"/>
      <c r="N45" s="1132"/>
      <c r="P45" s="79"/>
      <c r="Q45" s="79"/>
    </row>
    <row r="46" spans="1:18" s="27" customFormat="1" ht="28.5" hidden="1" customHeight="1" x14ac:dyDescent="0.25">
      <c r="B46" s="1024"/>
      <c r="C46" s="2473" t="s">
        <v>6255</v>
      </c>
      <c r="D46" s="2853">
        <v>31300000</v>
      </c>
      <c r="E46" s="235">
        <f t="shared" si="2"/>
        <v>2.0649873828611165E-2</v>
      </c>
      <c r="F46" s="1966"/>
      <c r="G46" s="1955"/>
      <c r="H46" s="1048"/>
      <c r="I46" s="1048"/>
      <c r="J46" s="1966"/>
      <c r="K46" s="365"/>
      <c r="L46" s="197"/>
      <c r="M46" s="197"/>
      <c r="N46" s="1132"/>
      <c r="P46" s="79"/>
      <c r="Q46" s="79"/>
    </row>
    <row r="47" spans="1:18" s="27" customFormat="1" ht="33.75" hidden="1" customHeight="1" x14ac:dyDescent="0.25">
      <c r="B47" s="1024"/>
      <c r="C47" s="2473" t="s">
        <v>6256</v>
      </c>
      <c r="D47" s="2853">
        <v>82758000</v>
      </c>
      <c r="E47" s="235">
        <f t="shared" si="2"/>
        <v>5.4598794195150256E-2</v>
      </c>
      <c r="F47" s="1967"/>
      <c r="G47" s="1967"/>
      <c r="H47" s="142"/>
      <c r="I47" s="142"/>
      <c r="J47" s="1967"/>
      <c r="K47" s="1967"/>
      <c r="L47" s="157"/>
      <c r="M47" s="157"/>
      <c r="N47" s="1132"/>
      <c r="P47" s="79"/>
      <c r="Q47" s="79"/>
    </row>
    <row r="48" spans="1:18" s="27" customFormat="1" ht="23.25" hidden="1" customHeight="1" x14ac:dyDescent="0.25">
      <c r="B48" s="1024"/>
      <c r="C48" s="2473" t="s">
        <v>368</v>
      </c>
      <c r="D48" s="2853">
        <v>59792000</v>
      </c>
      <c r="E48" s="235">
        <f t="shared" si="2"/>
        <v>3.9447196676048527E-2</v>
      </c>
      <c r="F48" s="1964"/>
      <c r="G48" s="140"/>
      <c r="H48" s="140"/>
      <c r="I48" s="140"/>
      <c r="J48" s="1964"/>
      <c r="K48" s="149"/>
      <c r="L48" s="73"/>
      <c r="M48" s="73"/>
      <c r="N48" s="1132"/>
      <c r="P48" s="79"/>
      <c r="Q48" s="79"/>
    </row>
    <row r="49" spans="2:17" s="27" customFormat="1" ht="20.25" hidden="1" customHeight="1" x14ac:dyDescent="0.25">
      <c r="B49" s="1024"/>
      <c r="C49" s="2473" t="s">
        <v>369</v>
      </c>
      <c r="D49" s="2853">
        <v>197950000</v>
      </c>
      <c r="E49" s="235">
        <f>D49/151574776000*100</f>
        <v>0.13059560780746265</v>
      </c>
      <c r="F49" s="1964"/>
      <c r="G49" s="140"/>
      <c r="H49" s="140"/>
      <c r="I49" s="140"/>
      <c r="J49" s="1964"/>
      <c r="K49" s="149"/>
      <c r="L49" s="73"/>
      <c r="M49" s="73"/>
      <c r="N49" s="1132"/>
      <c r="P49" s="79"/>
      <c r="Q49" s="79"/>
    </row>
    <row r="50" spans="2:17" s="27" customFormat="1" ht="21.75" hidden="1" customHeight="1" x14ac:dyDescent="0.25">
      <c r="B50" s="1024"/>
      <c r="C50" s="2473" t="s">
        <v>6257</v>
      </c>
      <c r="D50" s="2853">
        <v>152848830</v>
      </c>
      <c r="E50" s="235">
        <f t="shared" si="2"/>
        <v>0.10084054486743889</v>
      </c>
      <c r="F50" s="1964"/>
      <c r="G50" s="140"/>
      <c r="H50" s="140"/>
      <c r="I50" s="140"/>
      <c r="J50" s="1964"/>
      <c r="K50" s="149"/>
      <c r="L50" s="73"/>
      <c r="M50" s="140"/>
      <c r="N50" s="1132"/>
      <c r="P50" s="79"/>
      <c r="Q50" s="79"/>
    </row>
    <row r="51" spans="2:17" s="27" customFormat="1" ht="20.25" hidden="1" customHeight="1" x14ac:dyDescent="0.25">
      <c r="B51" s="1024"/>
      <c r="C51" s="2473" t="s">
        <v>6258</v>
      </c>
      <c r="D51" s="2769">
        <v>13067200</v>
      </c>
      <c r="E51" s="235">
        <f t="shared" si="2"/>
        <v>8.6209594662373101E-3</v>
      </c>
      <c r="F51" s="1964"/>
      <c r="G51" s="140"/>
      <c r="H51" s="140"/>
      <c r="I51" s="140"/>
      <c r="J51" s="1964"/>
      <c r="K51" s="149"/>
      <c r="L51" s="73"/>
      <c r="M51" s="73"/>
      <c r="N51" s="1132"/>
      <c r="P51" s="79"/>
      <c r="Q51" s="79"/>
    </row>
    <row r="52" spans="2:17" s="27" customFormat="1" ht="20.25" hidden="1" customHeight="1" x14ac:dyDescent="0.25">
      <c r="B52" s="1024"/>
      <c r="C52" s="2473" t="s">
        <v>6259</v>
      </c>
      <c r="D52" s="896">
        <v>151569000</v>
      </c>
      <c r="E52" s="235">
        <f t="shared" si="2"/>
        <v>9.9996189339577185E-2</v>
      </c>
      <c r="F52" s="1964"/>
      <c r="G52" s="140"/>
      <c r="H52" s="140"/>
      <c r="I52" s="140"/>
      <c r="J52" s="1964"/>
      <c r="K52" s="149"/>
      <c r="L52" s="73"/>
      <c r="M52" s="73"/>
      <c r="N52" s="1132"/>
      <c r="P52" s="79"/>
      <c r="Q52" s="79"/>
    </row>
    <row r="53" spans="2:17" s="27" customFormat="1" ht="21.75" hidden="1" customHeight="1" x14ac:dyDescent="0.25">
      <c r="B53" s="1024"/>
      <c r="C53" s="2473" t="s">
        <v>6260</v>
      </c>
      <c r="D53" s="2853">
        <v>3640486103</v>
      </c>
      <c r="E53" s="235">
        <f t="shared" si="2"/>
        <v>2.4017756773725996</v>
      </c>
      <c r="F53" s="1964"/>
      <c r="G53" s="140"/>
      <c r="H53" s="140"/>
      <c r="I53" s="140"/>
      <c r="J53" s="1964"/>
      <c r="K53" s="149"/>
      <c r="L53" s="149"/>
      <c r="M53" s="149"/>
      <c r="N53" s="1132"/>
      <c r="P53" s="79"/>
      <c r="Q53" s="79"/>
    </row>
    <row r="54" spans="2:17" s="27" customFormat="1" ht="12" hidden="1" customHeight="1" x14ac:dyDescent="0.25">
      <c r="B54" s="1024"/>
      <c r="C54" s="2517"/>
      <c r="D54" s="2698"/>
      <c r="E54" s="235"/>
      <c r="F54" s="1964"/>
      <c r="G54" s="140"/>
      <c r="H54" s="140"/>
      <c r="I54" s="140"/>
      <c r="J54" s="1964"/>
      <c r="K54" s="149"/>
      <c r="L54" s="149"/>
      <c r="M54" s="149"/>
      <c r="N54" s="1132"/>
      <c r="P54" s="79"/>
      <c r="Q54" s="79"/>
    </row>
    <row r="55" spans="2:17" s="27" customFormat="1" ht="21.75" hidden="1" customHeight="1" x14ac:dyDescent="0.25">
      <c r="B55" s="1024"/>
      <c r="C55" s="2474" t="s">
        <v>375</v>
      </c>
      <c r="D55" s="2692">
        <f>SUM(D56:D58)</f>
        <v>1805578700</v>
      </c>
      <c r="E55" s="328">
        <f t="shared" si="2"/>
        <v>1.1912131738858713</v>
      </c>
      <c r="F55" s="1964"/>
      <c r="G55" s="140"/>
      <c r="H55" s="140"/>
      <c r="I55" s="140"/>
      <c r="J55" s="1964"/>
      <c r="K55" s="149"/>
      <c r="L55" s="73"/>
      <c r="M55" s="73"/>
      <c r="N55" s="1132"/>
      <c r="P55" s="79"/>
      <c r="Q55" s="79"/>
    </row>
    <row r="56" spans="2:17" s="27" customFormat="1" ht="20.25" hidden="1" customHeight="1" x14ac:dyDescent="0.25">
      <c r="B56" s="1024"/>
      <c r="C56" s="2515" t="s">
        <v>376</v>
      </c>
      <c r="D56" s="2709">
        <v>690220000</v>
      </c>
      <c r="E56" s="235">
        <f t="shared" si="2"/>
        <v>0.4553660036416613</v>
      </c>
      <c r="F56" s="1968"/>
      <c r="G56" s="133"/>
      <c r="H56" s="133"/>
      <c r="I56" s="133"/>
      <c r="J56" s="1968"/>
      <c r="K56" s="149"/>
      <c r="L56" s="73"/>
      <c r="M56" s="73"/>
      <c r="N56" s="1132"/>
      <c r="P56" s="79"/>
      <c r="Q56" s="79"/>
    </row>
    <row r="57" spans="2:17" s="27" customFormat="1" ht="19.5" hidden="1" customHeight="1" x14ac:dyDescent="0.25">
      <c r="B57" s="1024"/>
      <c r="C57" s="2516" t="s">
        <v>6261</v>
      </c>
      <c r="D57" s="896">
        <v>127701880</v>
      </c>
      <c r="E57" s="235">
        <f t="shared" si="2"/>
        <v>8.4250086571132379E-2</v>
      </c>
      <c r="F57" s="1969"/>
      <c r="G57" s="140"/>
      <c r="H57" s="140"/>
      <c r="I57" s="140"/>
      <c r="J57" s="1969"/>
      <c r="K57" s="149"/>
      <c r="L57" s="73"/>
      <c r="M57" s="73"/>
      <c r="N57" s="1132"/>
      <c r="P57" s="79"/>
      <c r="Q57" s="79"/>
    </row>
    <row r="58" spans="2:17" s="27" customFormat="1" ht="21.75" hidden="1" customHeight="1" x14ac:dyDescent="0.25">
      <c r="B58" s="1024"/>
      <c r="C58" s="2516" t="s">
        <v>6262</v>
      </c>
      <c r="D58" s="896">
        <v>987656820</v>
      </c>
      <c r="E58" s="235">
        <f t="shared" si="2"/>
        <v>0.65159708367307756</v>
      </c>
      <c r="F58" s="1964"/>
      <c r="G58" s="140"/>
      <c r="H58" s="140"/>
      <c r="I58" s="140"/>
      <c r="J58" s="1964"/>
      <c r="K58" s="149"/>
      <c r="L58" s="73"/>
      <c r="M58" s="73"/>
      <c r="N58" s="1132"/>
      <c r="P58" s="79"/>
      <c r="Q58" s="79"/>
    </row>
    <row r="59" spans="2:17" s="27" customFormat="1" ht="13.5" hidden="1" customHeight="1" x14ac:dyDescent="0.25">
      <c r="B59" s="1024"/>
      <c r="C59" s="2515"/>
      <c r="D59" s="940"/>
      <c r="E59" s="235"/>
      <c r="F59" s="1964"/>
      <c r="G59" s="140"/>
      <c r="H59" s="140"/>
      <c r="I59" s="140"/>
      <c r="J59" s="1964"/>
      <c r="K59" s="149"/>
      <c r="L59" s="73"/>
      <c r="M59" s="73"/>
      <c r="N59" s="1132"/>
      <c r="P59" s="79"/>
      <c r="Q59" s="79"/>
    </row>
    <row r="60" spans="2:17" s="27" customFormat="1" ht="22.5" hidden="1" customHeight="1" x14ac:dyDescent="0.25">
      <c r="B60" s="1024"/>
      <c r="C60" s="2477" t="s">
        <v>381</v>
      </c>
      <c r="D60" s="2692">
        <f>SUM(D61:D64)</f>
        <v>1509550852</v>
      </c>
      <c r="E60" s="328">
        <f t="shared" si="2"/>
        <v>0.99591164957420086</v>
      </c>
      <c r="F60" s="1970"/>
      <c r="G60" s="1971"/>
      <c r="H60" s="110"/>
      <c r="I60" s="110"/>
      <c r="J60" s="1970"/>
      <c r="K60" s="365"/>
      <c r="L60" s="73"/>
      <c r="M60" s="197"/>
      <c r="N60" s="1132"/>
      <c r="P60" s="79"/>
      <c r="Q60" s="79"/>
    </row>
    <row r="61" spans="2:17" s="27" customFormat="1" ht="24" hidden="1" customHeight="1" x14ac:dyDescent="0.25">
      <c r="B61" s="1024"/>
      <c r="C61" s="2473" t="s">
        <v>6263</v>
      </c>
      <c r="D61" s="2709">
        <v>191035248</v>
      </c>
      <c r="E61" s="235">
        <f t="shared" si="2"/>
        <v>0.12603366670982249</v>
      </c>
      <c r="F61" s="1931"/>
      <c r="G61" s="1931"/>
      <c r="H61" s="142"/>
      <c r="I61" s="142"/>
      <c r="J61" s="1931"/>
      <c r="K61" s="1026"/>
      <c r="L61" s="157"/>
      <c r="M61" s="1026"/>
      <c r="N61" s="1132"/>
      <c r="P61" s="79"/>
      <c r="Q61" s="79"/>
    </row>
    <row r="62" spans="2:17" s="27" customFormat="1" ht="31.5" hidden="1" customHeight="1" x14ac:dyDescent="0.25">
      <c r="B62" s="1024"/>
      <c r="C62" s="2473" t="s">
        <v>6264</v>
      </c>
      <c r="D62" s="2853">
        <v>279591000</v>
      </c>
      <c r="E62" s="235">
        <f t="shared" si="2"/>
        <v>0.18445747200048643</v>
      </c>
      <c r="F62" s="1972"/>
      <c r="G62" s="140"/>
      <c r="H62" s="140"/>
      <c r="I62" s="140"/>
      <c r="J62" s="1972"/>
      <c r="K62" s="149"/>
      <c r="L62" s="73"/>
      <c r="M62" s="140"/>
      <c r="N62" s="1132"/>
      <c r="P62" s="79"/>
      <c r="Q62" s="79"/>
    </row>
    <row r="63" spans="2:17" s="27" customFormat="1" ht="18.75" hidden="1" customHeight="1" x14ac:dyDescent="0.25">
      <c r="B63" s="1024"/>
      <c r="C63" s="2473" t="s">
        <v>6265</v>
      </c>
      <c r="D63" s="2853">
        <v>810150000</v>
      </c>
      <c r="E63" s="235">
        <f t="shared" si="2"/>
        <v>0.53448866716451549</v>
      </c>
      <c r="F63" s="1973"/>
      <c r="G63" s="140"/>
      <c r="H63" s="140"/>
      <c r="I63" s="140"/>
      <c r="J63" s="1973"/>
      <c r="K63" s="149"/>
      <c r="L63" s="73"/>
      <c r="M63" s="140"/>
      <c r="N63" s="1132"/>
      <c r="P63" s="79"/>
      <c r="Q63" s="79"/>
    </row>
    <row r="64" spans="2:17" s="27" customFormat="1" ht="31.5" hidden="1" customHeight="1" x14ac:dyDescent="0.25">
      <c r="B64" s="1024"/>
      <c r="C64" s="2473" t="s">
        <v>6266</v>
      </c>
      <c r="D64" s="2706">
        <v>228774604</v>
      </c>
      <c r="E64" s="235">
        <f t="shared" si="2"/>
        <v>0.15093184369937646</v>
      </c>
      <c r="F64" s="1973"/>
      <c r="G64" s="140"/>
      <c r="H64" s="140"/>
      <c r="I64" s="140"/>
      <c r="J64" s="1973"/>
      <c r="K64" s="149"/>
      <c r="L64" s="73"/>
      <c r="M64" s="140"/>
      <c r="N64" s="1132"/>
      <c r="P64" s="79"/>
      <c r="Q64" s="79"/>
    </row>
    <row r="65" spans="2:17" s="27" customFormat="1" ht="12" hidden="1" customHeight="1" x14ac:dyDescent="0.25">
      <c r="B65" s="1024"/>
      <c r="C65" s="2473"/>
      <c r="D65" s="2706"/>
      <c r="E65" s="235"/>
      <c r="F65" s="1973"/>
      <c r="G65" s="140"/>
      <c r="H65" s="140"/>
      <c r="I65" s="140"/>
      <c r="J65" s="1973"/>
      <c r="K65" s="149"/>
      <c r="L65" s="73"/>
      <c r="M65" s="73"/>
      <c r="N65" s="1132"/>
      <c r="P65" s="79"/>
      <c r="Q65" s="79"/>
    </row>
    <row r="66" spans="2:17" s="27" customFormat="1" ht="22.5" hidden="1" customHeight="1" x14ac:dyDescent="0.25">
      <c r="B66" s="1024"/>
      <c r="C66" s="2474" t="s">
        <v>385</v>
      </c>
      <c r="D66" s="2712">
        <f>SUM(D67:D73)</f>
        <v>2122199200</v>
      </c>
      <c r="E66" s="328">
        <f t="shared" si="2"/>
        <v>1.4001005022102095</v>
      </c>
      <c r="F66" s="1973"/>
      <c r="G66" s="140"/>
      <c r="H66" s="140"/>
      <c r="I66" s="110"/>
      <c r="J66" s="1973"/>
      <c r="K66" s="149"/>
      <c r="L66" s="73"/>
      <c r="M66" s="197"/>
      <c r="N66" s="1132"/>
      <c r="P66" s="79"/>
      <c r="Q66" s="79"/>
    </row>
    <row r="67" spans="2:17" s="27" customFormat="1" ht="21" hidden="1" customHeight="1" x14ac:dyDescent="0.25">
      <c r="B67" s="1024"/>
      <c r="C67" s="2473" t="s">
        <v>386</v>
      </c>
      <c r="D67" s="2709">
        <v>600347600</v>
      </c>
      <c r="E67" s="235">
        <f t="shared" si="2"/>
        <v>0.39607355250190179</v>
      </c>
      <c r="F67" s="1974"/>
      <c r="G67" s="140"/>
      <c r="H67" s="140"/>
      <c r="I67" s="110"/>
      <c r="J67" s="1974"/>
      <c r="K67" s="365"/>
      <c r="L67" s="197"/>
      <c r="M67" s="197"/>
      <c r="N67" s="1132"/>
      <c r="P67" s="79"/>
      <c r="Q67" s="79"/>
    </row>
    <row r="68" spans="2:17" s="27" customFormat="1" ht="21" hidden="1" customHeight="1" x14ac:dyDescent="0.25">
      <c r="B68" s="1024"/>
      <c r="C68" s="2473" t="s">
        <v>6267</v>
      </c>
      <c r="D68" s="2709">
        <v>179671600</v>
      </c>
      <c r="E68" s="235">
        <f t="shared" si="2"/>
        <v>0.11853660928385604</v>
      </c>
      <c r="F68" s="1931"/>
      <c r="G68" s="1931"/>
      <c r="H68" s="142"/>
      <c r="I68" s="142"/>
      <c r="J68" s="1931"/>
      <c r="K68" s="1026"/>
      <c r="L68" s="157"/>
      <c r="M68" s="157"/>
      <c r="N68" s="1132"/>
      <c r="P68" s="79"/>
      <c r="Q68" s="79"/>
    </row>
    <row r="69" spans="2:17" s="27" customFormat="1" ht="30.75" hidden="1" customHeight="1" x14ac:dyDescent="0.25">
      <c r="B69" s="1024"/>
      <c r="C69" s="2473" t="s">
        <v>6268</v>
      </c>
      <c r="D69" s="2853">
        <v>194412000</v>
      </c>
      <c r="E69" s="235">
        <f t="shared" si="2"/>
        <v>0.12826144635041387</v>
      </c>
      <c r="F69" s="1975"/>
      <c r="G69" s="140"/>
      <c r="H69" s="140"/>
      <c r="I69" s="140"/>
      <c r="J69" s="1975"/>
      <c r="K69" s="149"/>
      <c r="L69" s="149"/>
      <c r="M69" s="149"/>
      <c r="N69" s="1132"/>
      <c r="P69" s="79"/>
      <c r="Q69" s="79"/>
    </row>
    <row r="70" spans="2:17" s="27" customFormat="1" ht="19.5" hidden="1" customHeight="1" x14ac:dyDescent="0.25">
      <c r="B70" s="1024"/>
      <c r="C70" s="2473" t="s">
        <v>6269</v>
      </c>
      <c r="D70" s="2853">
        <v>393178200</v>
      </c>
      <c r="E70" s="235">
        <f t="shared" si="2"/>
        <v>0.25939553425432738</v>
      </c>
      <c r="F70" s="1964"/>
      <c r="G70" s="140"/>
      <c r="H70" s="140"/>
      <c r="I70" s="140"/>
      <c r="J70" s="1497"/>
      <c r="K70" s="149"/>
      <c r="L70" s="73"/>
      <c r="M70" s="140"/>
      <c r="N70" s="1132"/>
      <c r="P70" s="79"/>
      <c r="Q70" s="79"/>
    </row>
    <row r="71" spans="2:17" s="27" customFormat="1" ht="18" hidden="1" customHeight="1" x14ac:dyDescent="0.25">
      <c r="B71" s="1024"/>
      <c r="C71" s="2473" t="s">
        <v>6270</v>
      </c>
      <c r="D71" s="2853">
        <v>125066800</v>
      </c>
      <c r="E71" s="235">
        <f t="shared" si="2"/>
        <v>8.2511617896106934E-2</v>
      </c>
      <c r="F71" s="1976"/>
      <c r="G71" s="140"/>
      <c r="H71" s="140"/>
      <c r="I71" s="140"/>
      <c r="J71" s="1976"/>
      <c r="K71" s="149"/>
      <c r="L71" s="149"/>
      <c r="M71" s="149"/>
      <c r="N71" s="1132"/>
      <c r="P71" s="79"/>
      <c r="Q71" s="79"/>
    </row>
    <row r="72" spans="2:17" s="27" customFormat="1" ht="20.25" hidden="1" customHeight="1" x14ac:dyDescent="0.25">
      <c r="B72" s="1024"/>
      <c r="C72" s="2473" t="s">
        <v>6271</v>
      </c>
      <c r="D72" s="2853">
        <v>220000000</v>
      </c>
      <c r="E72" s="235">
        <f t="shared" si="2"/>
        <v>0.14514288314039797</v>
      </c>
      <c r="F72" s="1975"/>
      <c r="G72" s="140"/>
      <c r="H72" s="140"/>
      <c r="I72" s="140"/>
      <c r="J72" s="1975"/>
      <c r="K72" s="149"/>
      <c r="L72" s="73"/>
      <c r="M72" s="73"/>
      <c r="N72" s="1132"/>
      <c r="P72" s="79"/>
      <c r="Q72" s="79"/>
    </row>
    <row r="73" spans="2:17" s="27" customFormat="1" ht="36" hidden="1" customHeight="1" x14ac:dyDescent="0.25">
      <c r="B73" s="1024"/>
      <c r="C73" s="2473" t="s">
        <v>6272</v>
      </c>
      <c r="D73" s="2853">
        <v>409523000</v>
      </c>
      <c r="E73" s="235">
        <f t="shared" si="2"/>
        <v>0.27017885878320547</v>
      </c>
      <c r="F73" s="1977"/>
      <c r="G73" s="1978"/>
      <c r="H73" s="1087"/>
      <c r="I73" s="1087"/>
      <c r="J73" s="1977"/>
      <c r="K73" s="365"/>
      <c r="L73" s="73"/>
      <c r="M73" s="197"/>
      <c r="N73" s="1132"/>
      <c r="P73" s="79"/>
      <c r="Q73" s="79"/>
    </row>
    <row r="74" spans="2:17" s="27" customFormat="1" ht="14.25" hidden="1" customHeight="1" x14ac:dyDescent="0.25">
      <c r="B74" s="1024"/>
      <c r="C74" s="2476"/>
      <c r="D74" s="2682"/>
      <c r="E74" s="235"/>
      <c r="F74" s="1979"/>
      <c r="G74" s="1979"/>
      <c r="H74" s="142"/>
      <c r="I74" s="142"/>
      <c r="J74" s="1979"/>
      <c r="K74" s="1049"/>
      <c r="L74" s="157"/>
      <c r="M74" s="157"/>
      <c r="N74" s="1132"/>
      <c r="P74" s="79"/>
      <c r="Q74" s="79"/>
    </row>
    <row r="75" spans="2:17" s="27" customFormat="1" ht="21.75" hidden="1" customHeight="1" x14ac:dyDescent="0.25">
      <c r="B75" s="1024"/>
      <c r="C75" s="2474" t="s">
        <v>6251</v>
      </c>
      <c r="D75" s="2812">
        <f>SUM(D76:D76)</f>
        <v>397600000</v>
      </c>
      <c r="E75" s="328">
        <f t="shared" si="2"/>
        <v>0.26231277425737382</v>
      </c>
      <c r="F75" s="1975"/>
      <c r="G75" s="140"/>
      <c r="H75" s="140"/>
      <c r="I75" s="140"/>
      <c r="J75" s="1975"/>
      <c r="K75" s="149"/>
      <c r="L75" s="73"/>
      <c r="M75" s="73"/>
      <c r="N75" s="1132"/>
      <c r="P75" s="79"/>
      <c r="Q75" s="79"/>
    </row>
    <row r="76" spans="2:17" s="27" customFormat="1" ht="17.25" hidden="1" customHeight="1" x14ac:dyDescent="0.25">
      <c r="B76" s="1024"/>
      <c r="C76" s="2473" t="s">
        <v>6273</v>
      </c>
      <c r="D76" s="2853">
        <v>397600000</v>
      </c>
      <c r="E76" s="235">
        <f t="shared" si="2"/>
        <v>0.26231277425737382</v>
      </c>
      <c r="F76" s="1975"/>
      <c r="G76" s="140"/>
      <c r="H76" s="140"/>
      <c r="I76" s="140"/>
      <c r="J76" s="1975"/>
      <c r="K76" s="149"/>
      <c r="L76" s="149"/>
      <c r="M76" s="149"/>
      <c r="N76" s="1132"/>
      <c r="P76" s="79"/>
      <c r="Q76" s="79"/>
    </row>
    <row r="77" spans="2:17" s="27" customFormat="1" ht="16.5" hidden="1" customHeight="1" x14ac:dyDescent="0.25">
      <c r="B77" s="1024"/>
      <c r="C77" s="2473"/>
      <c r="D77" s="2853"/>
      <c r="E77" s="235"/>
      <c r="F77" s="1964"/>
      <c r="G77" s="140"/>
      <c r="H77" s="140"/>
      <c r="I77" s="140"/>
      <c r="J77" s="1964"/>
      <c r="K77" s="149"/>
      <c r="L77" s="73"/>
      <c r="M77" s="140"/>
      <c r="N77" s="1132"/>
      <c r="P77" s="79"/>
      <c r="Q77" s="79"/>
    </row>
    <row r="78" spans="2:17" s="27" customFormat="1" ht="20.25" hidden="1" customHeight="1" x14ac:dyDescent="0.25">
      <c r="B78" s="1024"/>
      <c r="C78" s="2474" t="s">
        <v>1051</v>
      </c>
      <c r="D78" s="2812">
        <f>SUM(D79:D79)</f>
        <v>459425000</v>
      </c>
      <c r="E78" s="328">
        <f t="shared" si="2"/>
        <v>0.30310122312171517</v>
      </c>
      <c r="F78" s="1964"/>
      <c r="G78" s="140"/>
      <c r="H78" s="140"/>
      <c r="I78" s="140"/>
      <c r="J78" s="1964"/>
      <c r="K78" s="149"/>
      <c r="L78" s="73"/>
      <c r="M78" s="140"/>
      <c r="N78" s="1132"/>
      <c r="P78" s="79"/>
      <c r="Q78" s="79"/>
    </row>
    <row r="79" spans="2:17" s="27" customFormat="1" ht="22.5" hidden="1" customHeight="1" x14ac:dyDescent="0.25">
      <c r="B79" s="1024"/>
      <c r="C79" s="2473" t="s">
        <v>6274</v>
      </c>
      <c r="D79" s="2853">
        <v>459425000</v>
      </c>
      <c r="E79" s="71">
        <f t="shared" si="2"/>
        <v>0.30310122312171517</v>
      </c>
      <c r="F79" s="1964"/>
      <c r="G79" s="140"/>
      <c r="H79" s="140"/>
      <c r="I79" s="140"/>
      <c r="J79" s="1964"/>
      <c r="K79" s="149"/>
      <c r="L79" s="73"/>
      <c r="M79" s="140"/>
      <c r="N79" s="1132"/>
      <c r="P79" s="79"/>
      <c r="Q79" s="79"/>
    </row>
    <row r="80" spans="2:17" ht="12" hidden="1" customHeight="1" x14ac:dyDescent="0.25">
      <c r="B80" s="1024"/>
      <c r="C80" s="100"/>
      <c r="D80" s="4217"/>
      <c r="E80" s="85"/>
      <c r="F80" s="81"/>
      <c r="G80" s="1955"/>
      <c r="H80" s="1048"/>
      <c r="I80" s="1048"/>
      <c r="J80" s="81"/>
      <c r="K80" s="1956"/>
      <c r="L80" s="209"/>
      <c r="M80" s="215"/>
      <c r="N80" s="1132"/>
    </row>
    <row r="81" spans="2:17" s="27" customFormat="1" ht="29.25" hidden="1" customHeight="1" x14ac:dyDescent="0.25">
      <c r="B81" s="1029"/>
      <c r="C81" s="4218" t="s">
        <v>6324</v>
      </c>
      <c r="D81" s="4219">
        <f>SUM(D82)</f>
        <v>404700000</v>
      </c>
      <c r="E81" s="57">
        <f t="shared" si="2"/>
        <v>0.26699693094054117</v>
      </c>
      <c r="F81" s="1981"/>
      <c r="G81" s="131"/>
      <c r="H81" s="131"/>
      <c r="I81" s="131"/>
      <c r="J81" s="1981"/>
      <c r="K81" s="131"/>
      <c r="L81" s="131"/>
      <c r="M81" s="131"/>
      <c r="N81" s="1132"/>
      <c r="P81" s="79"/>
      <c r="Q81" s="79"/>
    </row>
    <row r="82" spans="2:17" s="27" customFormat="1" ht="30" hidden="1" customHeight="1" x14ac:dyDescent="0.25">
      <c r="B82" s="1024"/>
      <c r="C82" s="2474" t="s">
        <v>6332</v>
      </c>
      <c r="D82" s="899">
        <f>SUM(D83:D85)</f>
        <v>404700000</v>
      </c>
      <c r="E82" s="54">
        <f t="shared" si="2"/>
        <v>0.26699693094054117</v>
      </c>
      <c r="F82" s="1982"/>
      <c r="G82" s="233"/>
      <c r="H82" s="233"/>
      <c r="I82" s="233"/>
      <c r="J82" s="1982"/>
      <c r="K82" s="233"/>
      <c r="L82" s="233"/>
      <c r="M82" s="233"/>
      <c r="N82" s="233"/>
      <c r="P82" s="79"/>
      <c r="Q82" s="79">
        <v>0</v>
      </c>
    </row>
    <row r="83" spans="2:17" s="27" customFormat="1" ht="28.5" hidden="1" customHeight="1" x14ac:dyDescent="0.25">
      <c r="B83" s="1024"/>
      <c r="C83" s="2473" t="s">
        <v>6335</v>
      </c>
      <c r="D83" s="896">
        <v>165850000</v>
      </c>
      <c r="E83" s="235">
        <f t="shared" si="2"/>
        <v>0.10941794167652275</v>
      </c>
      <c r="F83" s="1964"/>
      <c r="G83" s="133"/>
      <c r="H83" s="133"/>
      <c r="I83" s="133"/>
      <c r="J83" s="1964"/>
      <c r="K83" s="133"/>
      <c r="L83" s="133"/>
      <c r="M83" s="133"/>
      <c r="N83" s="133"/>
      <c r="P83" s="79"/>
      <c r="Q83" s="79"/>
    </row>
    <row r="84" spans="2:17" s="27" customFormat="1" ht="31.5" hidden="1" customHeight="1" x14ac:dyDescent="0.25">
      <c r="B84" s="1024"/>
      <c r="C84" s="2473" t="s">
        <v>6333</v>
      </c>
      <c r="D84" s="896">
        <v>100000000</v>
      </c>
      <c r="E84" s="235">
        <f t="shared" si="2"/>
        <v>6.5974037791089984E-2</v>
      </c>
      <c r="F84" s="1497"/>
      <c r="G84" s="133"/>
      <c r="H84" s="133"/>
      <c r="I84" s="133"/>
      <c r="J84" s="1497"/>
      <c r="K84" s="133"/>
      <c r="L84" s="133"/>
      <c r="M84" s="133"/>
      <c r="N84" s="133"/>
      <c r="P84" s="79"/>
      <c r="Q84" s="79"/>
    </row>
    <row r="85" spans="2:17" s="27" customFormat="1" ht="21" hidden="1" customHeight="1" x14ac:dyDescent="0.25">
      <c r="B85" s="1024"/>
      <c r="C85" s="2473" t="s">
        <v>6334</v>
      </c>
      <c r="D85" s="896">
        <v>138850000</v>
      </c>
      <c r="E85" s="235">
        <f t="shared" si="2"/>
        <v>9.160495147292845E-2</v>
      </c>
      <c r="F85" s="1964"/>
      <c r="G85" s="140"/>
      <c r="H85" s="140"/>
      <c r="I85" s="140"/>
      <c r="J85" s="1964"/>
      <c r="K85" s="133"/>
      <c r="L85" s="133"/>
      <c r="M85" s="133"/>
      <c r="N85" s="133"/>
      <c r="P85" s="79"/>
      <c r="Q85" s="79"/>
    </row>
    <row r="86" spans="2:17" ht="12" hidden="1" customHeight="1" x14ac:dyDescent="0.25">
      <c r="B86" s="1024"/>
      <c r="C86" s="350"/>
      <c r="D86" s="4217"/>
      <c r="E86" s="235"/>
      <c r="F86" s="81"/>
      <c r="G86" s="3946"/>
      <c r="H86" s="3947"/>
      <c r="I86" s="3947"/>
      <c r="J86" s="81"/>
      <c r="K86" s="348"/>
      <c r="L86" s="157"/>
      <c r="M86" s="197"/>
      <c r="N86" s="1132"/>
    </row>
    <row r="87" spans="2:17" s="27" customFormat="1" ht="19.5" hidden="1" customHeight="1" x14ac:dyDescent="0.25">
      <c r="B87" s="1029"/>
      <c r="C87" s="56" t="s">
        <v>1637</v>
      </c>
      <c r="D87" s="1984">
        <f>SUM(D88)</f>
        <v>177450000</v>
      </c>
      <c r="E87" s="57">
        <f t="shared" si="2"/>
        <v>0.11707093006028918</v>
      </c>
      <c r="F87" s="1984"/>
      <c r="G87" s="131"/>
      <c r="H87" s="131"/>
      <c r="I87" s="131"/>
      <c r="J87" s="1984"/>
      <c r="K87" s="1984"/>
      <c r="L87" s="1984"/>
      <c r="M87" s="1984"/>
      <c r="N87" s="1132"/>
      <c r="P87" s="79"/>
      <c r="Q87" s="79"/>
    </row>
    <row r="88" spans="2:17" s="27" customFormat="1" ht="24.75" hidden="1" customHeight="1" x14ac:dyDescent="0.25">
      <c r="B88" s="1024"/>
      <c r="C88" s="2477" t="s">
        <v>6349</v>
      </c>
      <c r="D88" s="2767">
        <f>D89</f>
        <v>177450000</v>
      </c>
      <c r="E88" s="54">
        <f t="shared" si="2"/>
        <v>0.11707093006028918</v>
      </c>
      <c r="F88" s="1982"/>
      <c r="G88" s="233"/>
      <c r="H88" s="233"/>
      <c r="I88" s="233"/>
      <c r="J88" s="1982"/>
      <c r="K88" s="1982"/>
      <c r="L88" s="142"/>
      <c r="M88" s="142"/>
      <c r="N88" s="1132"/>
      <c r="P88" s="79"/>
      <c r="Q88" s="79"/>
    </row>
    <row r="89" spans="2:17" s="27" customFormat="1" ht="33.75" hidden="1" customHeight="1" x14ac:dyDescent="0.25">
      <c r="B89" s="1024"/>
      <c r="C89" s="2476" t="s">
        <v>6350</v>
      </c>
      <c r="D89" s="2709">
        <v>177450000</v>
      </c>
      <c r="E89" s="235">
        <f t="shared" si="2"/>
        <v>0.11707093006028918</v>
      </c>
      <c r="F89" s="1964"/>
      <c r="G89" s="140"/>
      <c r="H89" s="140"/>
      <c r="I89" s="140"/>
      <c r="J89" s="1964"/>
      <c r="K89" s="149"/>
      <c r="L89" s="140"/>
      <c r="M89" s="140"/>
      <c r="N89" s="1132"/>
      <c r="P89" s="79"/>
      <c r="Q89" s="79"/>
    </row>
    <row r="90" spans="2:17" ht="12" hidden="1" customHeight="1" x14ac:dyDescent="0.25">
      <c r="B90" s="1024"/>
      <c r="C90" s="66"/>
      <c r="D90" s="1964"/>
      <c r="E90" s="235"/>
      <c r="F90" s="81"/>
      <c r="G90" s="1955"/>
      <c r="H90" s="1048"/>
      <c r="I90" s="1048"/>
      <c r="J90" s="81"/>
      <c r="K90" s="348"/>
      <c r="L90" s="157"/>
      <c r="M90" s="197"/>
      <c r="N90" s="1132"/>
    </row>
    <row r="91" spans="2:17" s="27" customFormat="1" ht="18.75" hidden="1" customHeight="1" x14ac:dyDescent="0.25">
      <c r="B91" s="1029"/>
      <c r="C91" s="2471" t="s">
        <v>6354</v>
      </c>
      <c r="D91" s="1984">
        <f>SUM(D92)</f>
        <v>900000000</v>
      </c>
      <c r="E91" s="57">
        <f t="shared" si="2"/>
        <v>0.59376634011980989</v>
      </c>
      <c r="F91" s="1984"/>
      <c r="G91" s="131"/>
      <c r="H91" s="131"/>
      <c r="I91" s="131"/>
      <c r="J91" s="1984"/>
      <c r="K91" s="1984"/>
      <c r="L91" s="179"/>
      <c r="M91" s="179"/>
      <c r="N91" s="1132"/>
      <c r="P91" s="79"/>
      <c r="Q91" s="79"/>
    </row>
    <row r="92" spans="2:17" s="27" customFormat="1" ht="20.25" hidden="1" customHeight="1" x14ac:dyDescent="0.25">
      <c r="B92" s="1024"/>
      <c r="C92" s="2472" t="s">
        <v>6355</v>
      </c>
      <c r="D92" s="2759">
        <f>SUM(D93:D95)</f>
        <v>900000000</v>
      </c>
      <c r="E92" s="54">
        <f t="shared" si="2"/>
        <v>0.59376634011980989</v>
      </c>
      <c r="F92" s="1985"/>
      <c r="G92" s="1985"/>
      <c r="H92" s="142"/>
      <c r="I92" s="233"/>
      <c r="J92" s="1985"/>
      <c r="K92" s="1985"/>
      <c r="L92" s="142"/>
      <c r="M92" s="233"/>
      <c r="N92" s="1132"/>
      <c r="P92" s="79">
        <v>70000000</v>
      </c>
      <c r="Q92" s="79">
        <v>70000000</v>
      </c>
    </row>
    <row r="93" spans="2:17" s="27" customFormat="1" ht="18.75" hidden="1" customHeight="1" x14ac:dyDescent="0.25">
      <c r="B93" s="1024"/>
      <c r="C93" s="2476" t="s">
        <v>6356</v>
      </c>
      <c r="D93" s="2709">
        <v>600000000</v>
      </c>
      <c r="E93" s="235">
        <f t="shared" si="2"/>
        <v>0.39584422674653991</v>
      </c>
      <c r="F93" s="1965"/>
      <c r="G93" s="133"/>
      <c r="H93" s="133"/>
      <c r="I93" s="133"/>
      <c r="J93" s="1965"/>
      <c r="K93" s="3940"/>
      <c r="L93" s="133"/>
      <c r="M93" s="133"/>
      <c r="N93" s="1132"/>
      <c r="P93" s="79"/>
      <c r="Q93" s="79"/>
    </row>
    <row r="94" spans="2:17" s="27" customFormat="1" ht="18.75" hidden="1" customHeight="1" x14ac:dyDescent="0.25">
      <c r="B94" s="1024"/>
      <c r="C94" s="2473" t="s">
        <v>6357</v>
      </c>
      <c r="D94" s="896">
        <v>180000000</v>
      </c>
      <c r="E94" s="235">
        <f t="shared" si="2"/>
        <v>0.11875326802396199</v>
      </c>
      <c r="F94" s="1964"/>
      <c r="G94" s="140"/>
      <c r="H94" s="140"/>
      <c r="I94" s="140"/>
      <c r="J94" s="1964"/>
      <c r="K94" s="149"/>
      <c r="L94" s="140"/>
      <c r="M94" s="140"/>
      <c r="N94" s="1132"/>
      <c r="P94" s="79"/>
      <c r="Q94" s="79"/>
    </row>
    <row r="95" spans="2:17" s="27" customFormat="1" ht="24.75" hidden="1" customHeight="1" x14ac:dyDescent="0.25">
      <c r="B95" s="1024"/>
      <c r="C95" s="2473" t="s">
        <v>6358</v>
      </c>
      <c r="D95" s="896">
        <v>120000000</v>
      </c>
      <c r="E95" s="235">
        <f t="shared" si="2"/>
        <v>7.9168845349307987E-2</v>
      </c>
      <c r="F95" s="1964"/>
      <c r="G95" s="140"/>
      <c r="H95" s="140"/>
      <c r="I95" s="140"/>
      <c r="J95" s="1964"/>
      <c r="K95" s="149"/>
      <c r="L95" s="140"/>
      <c r="M95" s="140"/>
      <c r="N95" s="1132"/>
      <c r="P95" s="79"/>
      <c r="Q95" s="79"/>
    </row>
    <row r="96" spans="2:17" ht="12" hidden="1" customHeight="1" x14ac:dyDescent="0.25">
      <c r="B96" s="1024"/>
      <c r="C96" s="100"/>
      <c r="D96" s="4217"/>
      <c r="E96" s="4720"/>
      <c r="F96" s="81"/>
      <c r="G96" s="1955"/>
      <c r="H96" s="1048"/>
      <c r="I96" s="1048"/>
      <c r="J96" s="81"/>
      <c r="K96" s="1956"/>
      <c r="L96" s="209"/>
      <c r="M96" s="215"/>
      <c r="N96" s="1132"/>
    </row>
    <row r="97" spans="1:17" ht="18.75" hidden="1" customHeight="1" x14ac:dyDescent="0.25">
      <c r="B97" s="1029"/>
      <c r="C97" s="2471" t="s">
        <v>6427</v>
      </c>
      <c r="D97" s="188">
        <f>SUM(D98)</f>
        <v>740000000</v>
      </c>
      <c r="E97" s="57">
        <f t="shared" si="2"/>
        <v>0.48820787965406598</v>
      </c>
      <c r="F97" s="1988"/>
      <c r="G97" s="1988"/>
      <c r="H97" s="179"/>
      <c r="I97" s="179"/>
      <c r="J97" s="1988"/>
      <c r="K97" s="1988"/>
      <c r="L97" s="179"/>
      <c r="M97" s="179"/>
      <c r="N97" s="1132"/>
    </row>
    <row r="98" spans="1:17" s="27" customFormat="1" ht="18" hidden="1" customHeight="1" x14ac:dyDescent="0.25">
      <c r="B98" s="1993"/>
      <c r="C98" s="2478" t="s">
        <v>6428</v>
      </c>
      <c r="D98" s="190">
        <f>D99</f>
        <v>740000000</v>
      </c>
      <c r="E98" s="54">
        <f t="shared" si="2"/>
        <v>0.48820787965406598</v>
      </c>
      <c r="F98" s="1994"/>
      <c r="G98" s="1994"/>
      <c r="H98" s="239"/>
      <c r="I98" s="336"/>
      <c r="J98" s="1994"/>
      <c r="K98" s="1994"/>
      <c r="L98" s="72"/>
      <c r="M98" s="72"/>
      <c r="N98" s="1132"/>
      <c r="P98" s="79">
        <v>7392000000</v>
      </c>
      <c r="Q98" s="79">
        <v>6901000000</v>
      </c>
    </row>
    <row r="99" spans="1:17" s="27" customFormat="1" ht="18.75" hidden="1" customHeight="1" x14ac:dyDescent="0.25">
      <c r="B99" s="1904"/>
      <c r="C99" s="2476" t="s">
        <v>6430</v>
      </c>
      <c r="D99" s="2698">
        <v>740000000</v>
      </c>
      <c r="E99" s="235">
        <f t="shared" si="2"/>
        <v>0.48820787965406598</v>
      </c>
      <c r="F99" s="1995"/>
      <c r="G99" s="140"/>
      <c r="H99" s="140"/>
      <c r="I99" s="140"/>
      <c r="J99" s="1995"/>
      <c r="K99" s="149"/>
      <c r="L99" s="140"/>
      <c r="M99" s="73"/>
      <c r="N99" s="1132"/>
      <c r="P99" s="79">
        <v>7392000000</v>
      </c>
      <c r="Q99" s="79">
        <v>6901000000</v>
      </c>
    </row>
    <row r="100" spans="1:17" s="27" customFormat="1" ht="18.75" hidden="1" customHeight="1" x14ac:dyDescent="0.25">
      <c r="B100" s="489"/>
      <c r="C100" s="2476"/>
      <c r="D100" s="2706"/>
      <c r="E100" s="235"/>
      <c r="F100" s="3941"/>
      <c r="G100" s="133"/>
      <c r="H100" s="239"/>
      <c r="I100" s="133"/>
      <c r="J100" s="3941"/>
      <c r="K100" s="3940"/>
      <c r="L100" s="133"/>
      <c r="M100" s="158"/>
      <c r="N100" s="1132"/>
      <c r="P100" s="79"/>
      <c r="Q100" s="79"/>
    </row>
    <row r="101" spans="1:17" s="27" customFormat="1" ht="18.75" hidden="1" customHeight="1" x14ac:dyDescent="0.25">
      <c r="B101" s="1029"/>
      <c r="C101" s="2471" t="s">
        <v>6432</v>
      </c>
      <c r="D101" s="2744">
        <f>D102</f>
        <v>1517432000</v>
      </c>
      <c r="E101" s="57">
        <f t="shared" si="2"/>
        <v>1.0011111611340928</v>
      </c>
      <c r="F101" s="3944"/>
      <c r="G101" s="677"/>
      <c r="H101" s="677"/>
      <c r="I101" s="677"/>
      <c r="J101" s="3944"/>
      <c r="K101" s="3945"/>
      <c r="L101" s="677"/>
      <c r="M101" s="1044"/>
      <c r="N101" s="1132"/>
      <c r="P101" s="79"/>
      <c r="Q101" s="79"/>
    </row>
    <row r="102" spans="1:17" s="27" customFormat="1" ht="18.75" hidden="1" customHeight="1" x14ac:dyDescent="0.25">
      <c r="B102" s="1024"/>
      <c r="C102" s="2478" t="s">
        <v>6433</v>
      </c>
      <c r="D102" s="2751">
        <f>D103</f>
        <v>1517432000</v>
      </c>
      <c r="E102" s="54">
        <f t="shared" si="2"/>
        <v>1.0011111611340928</v>
      </c>
      <c r="F102" s="3942"/>
      <c r="G102" s="239"/>
      <c r="H102" s="239"/>
      <c r="I102" s="239"/>
      <c r="J102" s="3943"/>
      <c r="K102" s="374"/>
      <c r="L102" s="154"/>
      <c r="M102" s="194"/>
      <c r="N102" s="1132"/>
      <c r="P102" s="79"/>
      <c r="Q102" s="79"/>
    </row>
    <row r="103" spans="1:17" s="27" customFormat="1" ht="18.75" hidden="1" customHeight="1" x14ac:dyDescent="0.25">
      <c r="B103" s="489"/>
      <c r="C103" s="2473" t="s">
        <v>6434</v>
      </c>
      <c r="D103" s="2698">
        <v>1517432000</v>
      </c>
      <c r="E103" s="235">
        <f t="shared" si="2"/>
        <v>1.0011111611340928</v>
      </c>
      <c r="F103" s="1995"/>
      <c r="G103" s="140"/>
      <c r="H103" s="140"/>
      <c r="I103" s="140"/>
      <c r="J103" s="1995"/>
      <c r="K103" s="149"/>
      <c r="L103" s="140"/>
      <c r="M103" s="73"/>
      <c r="N103" s="1132"/>
      <c r="P103" s="79"/>
      <c r="Q103" s="79"/>
    </row>
    <row r="104" spans="1:17" s="27" customFormat="1" ht="18.75" hidden="1" customHeight="1" x14ac:dyDescent="0.25">
      <c r="B104" s="1024"/>
      <c r="C104" s="2475"/>
      <c r="D104" s="2724"/>
      <c r="E104" s="85"/>
      <c r="F104" s="3942"/>
      <c r="G104" s="239"/>
      <c r="H104" s="239"/>
      <c r="I104" s="239"/>
      <c r="J104" s="3942"/>
      <c r="K104" s="151"/>
      <c r="L104" s="239"/>
      <c r="M104" s="191"/>
      <c r="N104" s="1132"/>
      <c r="P104" s="79"/>
      <c r="Q104" s="79"/>
    </row>
    <row r="105" spans="1:17" s="1" customFormat="1" ht="17.25" hidden="1" customHeight="1" x14ac:dyDescent="0.25">
      <c r="A105" s="22"/>
      <c r="B105" s="2034"/>
      <c r="C105" s="1998" t="s">
        <v>7006</v>
      </c>
      <c r="D105" s="4220">
        <f>D107+D176+D136+D140+D150+D154+D159+D163+D167+D172</f>
        <v>43413757000</v>
      </c>
      <c r="E105" s="679">
        <f>D105/2512247400000*100</f>
        <v>1.7280844633374881</v>
      </c>
      <c r="F105" s="1999"/>
      <c r="G105" s="2000"/>
      <c r="H105" s="679"/>
      <c r="I105" s="1500"/>
      <c r="J105" s="2000"/>
      <c r="K105" s="2000"/>
      <c r="L105" s="679"/>
      <c r="M105" s="679"/>
      <c r="N105" s="1903"/>
      <c r="P105" s="51"/>
      <c r="Q105" s="51"/>
    </row>
    <row r="106" spans="1:17" ht="6" hidden="1" customHeight="1" x14ac:dyDescent="0.25">
      <c r="B106" s="1024"/>
      <c r="C106" s="59"/>
      <c r="D106" s="2314"/>
      <c r="E106" s="2032"/>
      <c r="F106" s="2033"/>
      <c r="G106" s="118"/>
      <c r="H106" s="215"/>
      <c r="I106" s="994"/>
      <c r="J106" s="365"/>
      <c r="K106" s="1929"/>
      <c r="L106" s="209"/>
      <c r="M106" s="215"/>
      <c r="N106" s="1132"/>
    </row>
    <row r="107" spans="1:17" s="1" customFormat="1" ht="18.75" hidden="1" customHeight="1" x14ac:dyDescent="0.25">
      <c r="B107" s="1029"/>
      <c r="C107" s="56" t="s">
        <v>630</v>
      </c>
      <c r="D107" s="127">
        <f>D108+D116+D135+D141+D146+D150+D153+D156</f>
        <v>38428707000</v>
      </c>
      <c r="E107" s="346">
        <f>D107/138204815000*100</f>
        <v>27.805620954667898</v>
      </c>
      <c r="F107" s="2035"/>
      <c r="G107" s="2035"/>
      <c r="H107" s="200"/>
      <c r="I107" s="254"/>
      <c r="J107" s="528"/>
      <c r="K107" s="528"/>
      <c r="L107" s="131"/>
      <c r="M107" s="254"/>
      <c r="N107" s="1483"/>
    </row>
    <row r="108" spans="1:17" ht="18.75" hidden="1" customHeight="1" x14ac:dyDescent="0.25">
      <c r="A108" s="2"/>
      <c r="B108" s="1024"/>
      <c r="C108" s="69" t="s">
        <v>1033</v>
      </c>
      <c r="D108" s="72">
        <f>SUM(D109:D114)</f>
        <v>1703049960</v>
      </c>
      <c r="E108" s="1906">
        <f>D108/138204815000*100</f>
        <v>1.2322652868498105</v>
      </c>
      <c r="F108" s="1127"/>
      <c r="G108" s="142"/>
      <c r="H108" s="142"/>
      <c r="I108" s="142"/>
      <c r="J108" s="910"/>
      <c r="K108" s="680"/>
      <c r="L108" s="142"/>
      <c r="M108" s="142"/>
      <c r="N108" s="1483"/>
      <c r="P108" s="617"/>
      <c r="Q108"/>
    </row>
    <row r="109" spans="1:17" ht="17.25" hidden="1" customHeight="1" x14ac:dyDescent="0.25">
      <c r="A109" s="2"/>
      <c r="B109" s="1139"/>
      <c r="C109" s="61" t="s">
        <v>1034</v>
      </c>
      <c r="D109" s="73">
        <v>50000000</v>
      </c>
      <c r="E109" s="344">
        <f>D109/138204815000*100</f>
        <v>3.6178189594913895E-2</v>
      </c>
      <c r="F109" s="1056"/>
      <c r="G109" s="238"/>
      <c r="H109" s="238"/>
      <c r="I109" s="238"/>
      <c r="J109" s="908"/>
      <c r="K109" s="238"/>
      <c r="L109" s="238"/>
      <c r="M109" s="238"/>
      <c r="N109" s="1141"/>
      <c r="P109" s="617"/>
      <c r="Q109"/>
    </row>
    <row r="110" spans="1:17" ht="17.25" hidden="1" customHeight="1" x14ac:dyDescent="0.25">
      <c r="A110" s="2"/>
      <c r="B110" s="1139"/>
      <c r="C110" s="61" t="s">
        <v>1035</v>
      </c>
      <c r="D110" s="73">
        <v>50000000</v>
      </c>
      <c r="E110" s="344">
        <f t="shared" ref="E110:E157" si="3">D110/138204815000*100</f>
        <v>3.6178189594913895E-2</v>
      </c>
      <c r="F110" s="1056"/>
      <c r="G110" s="238"/>
      <c r="H110" s="140"/>
      <c r="I110" s="252"/>
      <c r="J110" s="908"/>
      <c r="K110" s="73"/>
      <c r="L110" s="73"/>
      <c r="M110" s="73"/>
      <c r="N110" s="1141"/>
      <c r="P110" s="617"/>
      <c r="Q110"/>
    </row>
    <row r="111" spans="1:17" ht="17.25" hidden="1" customHeight="1" x14ac:dyDescent="0.25">
      <c r="A111" s="2"/>
      <c r="B111" s="1139"/>
      <c r="C111" s="61" t="s">
        <v>1036</v>
      </c>
      <c r="D111" s="73">
        <v>70000000</v>
      </c>
      <c r="E111" s="344">
        <f t="shared" si="3"/>
        <v>5.0649465432879452E-2</v>
      </c>
      <c r="F111" s="1056"/>
      <c r="G111" s="238"/>
      <c r="H111" s="140"/>
      <c r="I111" s="252"/>
      <c r="J111" s="908"/>
      <c r="K111" s="73"/>
      <c r="L111" s="73"/>
      <c r="M111" s="73"/>
      <c r="N111" s="1141"/>
      <c r="P111" s="617"/>
      <c r="Q111"/>
    </row>
    <row r="112" spans="1:17" ht="18.75" hidden="1" customHeight="1" x14ac:dyDescent="0.25">
      <c r="A112" s="2"/>
      <c r="B112" s="1139"/>
      <c r="C112" s="61" t="s">
        <v>1037</v>
      </c>
      <c r="D112" s="73">
        <v>1379999960</v>
      </c>
      <c r="E112" s="344">
        <f t="shared" si="3"/>
        <v>0.9985180038770719</v>
      </c>
      <c r="F112" s="1056"/>
      <c r="G112" s="238"/>
      <c r="H112" s="140"/>
      <c r="I112" s="252"/>
      <c r="J112" s="908"/>
      <c r="K112" s="73"/>
      <c r="L112" s="73"/>
      <c r="M112" s="73"/>
      <c r="N112" s="1141"/>
      <c r="P112" s="617"/>
      <c r="Q112"/>
    </row>
    <row r="113" spans="1:17" ht="17.25" hidden="1" customHeight="1" x14ac:dyDescent="0.25">
      <c r="A113" s="2"/>
      <c r="B113" s="1139"/>
      <c r="C113" s="61" t="s">
        <v>4954</v>
      </c>
      <c r="D113" s="73">
        <v>93550000</v>
      </c>
      <c r="E113" s="344">
        <f t="shared" si="3"/>
        <v>6.7689392732083895E-2</v>
      </c>
      <c r="F113" s="1056"/>
      <c r="G113" s="238"/>
      <c r="H113" s="140"/>
      <c r="I113" s="252"/>
      <c r="J113" s="908"/>
      <c r="K113" s="73"/>
      <c r="L113" s="73"/>
      <c r="M113" s="73"/>
      <c r="N113" s="1141"/>
      <c r="P113" s="617"/>
      <c r="Q113"/>
    </row>
    <row r="114" spans="1:17" ht="18" hidden="1" customHeight="1" x14ac:dyDescent="0.25">
      <c r="A114" s="2"/>
      <c r="B114" s="1139"/>
      <c r="C114" s="61" t="s">
        <v>4955</v>
      </c>
      <c r="D114" s="73">
        <v>59500000</v>
      </c>
      <c r="E114" s="344">
        <f t="shared" si="3"/>
        <v>4.3052045617947537E-2</v>
      </c>
      <c r="F114" s="1056"/>
      <c r="G114" s="238"/>
      <c r="H114" s="140"/>
      <c r="I114" s="252"/>
      <c r="J114" s="908"/>
      <c r="K114" s="73"/>
      <c r="L114" s="73"/>
      <c r="M114" s="73"/>
      <c r="N114" s="1141"/>
      <c r="P114" s="617"/>
      <c r="Q114"/>
    </row>
    <row r="115" spans="1:17" ht="15" hidden="1" customHeight="1" x14ac:dyDescent="0.25">
      <c r="A115" s="2"/>
      <c r="B115" s="1139"/>
      <c r="C115" s="61"/>
      <c r="D115" s="73"/>
      <c r="E115" s="344"/>
      <c r="F115" s="1056"/>
      <c r="G115" s="238"/>
      <c r="H115" s="140"/>
      <c r="I115" s="252"/>
      <c r="J115" s="908"/>
      <c r="K115" s="73"/>
      <c r="L115" s="73"/>
      <c r="M115" s="73"/>
      <c r="N115" s="1141"/>
      <c r="P115" s="617"/>
      <c r="Q115"/>
    </row>
    <row r="116" spans="1:17" ht="21.75" hidden="1" customHeight="1" x14ac:dyDescent="0.25">
      <c r="A116" s="2"/>
      <c r="B116" s="1024"/>
      <c r="C116" s="63" t="s">
        <v>1039</v>
      </c>
      <c r="D116" s="157">
        <f>SUM(D117:D133)</f>
        <v>2324008000</v>
      </c>
      <c r="E116" s="257">
        <f t="shared" si="3"/>
        <v>1.6815680408819331</v>
      </c>
      <c r="F116" s="1125"/>
      <c r="G116" s="1125"/>
      <c r="H116" s="202"/>
      <c r="I116" s="267"/>
      <c r="J116" s="909"/>
      <c r="K116" s="909"/>
      <c r="L116" s="240"/>
      <c r="M116" s="267"/>
      <c r="N116" s="1483"/>
      <c r="P116" s="617"/>
      <c r="Q116"/>
    </row>
    <row r="117" spans="1:17" ht="22.5" hidden="1" customHeight="1" x14ac:dyDescent="0.25">
      <c r="A117" s="2"/>
      <c r="B117" s="1139"/>
      <c r="C117" s="61" t="s">
        <v>4956</v>
      </c>
      <c r="D117" s="73">
        <v>53400000</v>
      </c>
      <c r="E117" s="344">
        <f t="shared" si="3"/>
        <v>3.8638306487368039E-2</v>
      </c>
      <c r="F117" s="1056"/>
      <c r="G117" s="1056"/>
      <c r="H117" s="201"/>
      <c r="I117" s="252"/>
      <c r="J117" s="908"/>
      <c r="K117" s="908"/>
      <c r="L117" s="201"/>
      <c r="M117" s="252"/>
      <c r="N117" s="1141"/>
      <c r="P117" s="617"/>
      <c r="Q117"/>
    </row>
    <row r="118" spans="1:17" ht="19.5" hidden="1" customHeight="1" x14ac:dyDescent="0.25">
      <c r="A118" s="2"/>
      <c r="B118" s="1139"/>
      <c r="C118" s="61" t="s">
        <v>4957</v>
      </c>
      <c r="D118" s="73">
        <v>100000000</v>
      </c>
      <c r="E118" s="344">
        <f t="shared" si="3"/>
        <v>7.2356379189827791E-2</v>
      </c>
      <c r="F118" s="1056"/>
      <c r="G118" s="1056"/>
      <c r="H118" s="201"/>
      <c r="I118" s="252"/>
      <c r="J118" s="908"/>
      <c r="K118" s="908"/>
      <c r="L118" s="201"/>
      <c r="M118" s="252"/>
      <c r="N118" s="1141"/>
      <c r="P118" s="617"/>
      <c r="Q118"/>
    </row>
    <row r="119" spans="1:17" ht="19.5" hidden="1" customHeight="1" x14ac:dyDescent="0.25">
      <c r="A119" s="2"/>
      <c r="B119" s="1139"/>
      <c r="C119" s="61" t="s">
        <v>3924</v>
      </c>
      <c r="D119" s="73">
        <v>840630000</v>
      </c>
      <c r="E119" s="344">
        <f t="shared" si="3"/>
        <v>0.60824943038344936</v>
      </c>
      <c r="F119" s="1056"/>
      <c r="G119" s="1056"/>
      <c r="H119" s="201"/>
      <c r="I119" s="252"/>
      <c r="J119" s="908"/>
      <c r="K119" s="908"/>
      <c r="L119" s="201"/>
      <c r="M119" s="252"/>
      <c r="N119" s="1141"/>
      <c r="P119" s="617"/>
      <c r="Q119"/>
    </row>
    <row r="120" spans="1:17" ht="16.5" hidden="1" customHeight="1" x14ac:dyDescent="0.25">
      <c r="A120" s="2"/>
      <c r="B120" s="1139"/>
      <c r="C120" s="61" t="s">
        <v>3925</v>
      </c>
      <c r="D120" s="73">
        <v>158622000</v>
      </c>
      <c r="E120" s="344">
        <f t="shared" si="3"/>
        <v>0.11477313579848865</v>
      </c>
      <c r="F120" s="1056"/>
      <c r="G120" s="1056"/>
      <c r="H120" s="201"/>
      <c r="I120" s="252"/>
      <c r="J120" s="908"/>
      <c r="K120" s="908"/>
      <c r="L120" s="201"/>
      <c r="M120" s="252"/>
      <c r="N120" s="1141"/>
      <c r="P120" s="617"/>
      <c r="Q120"/>
    </row>
    <row r="121" spans="1:17" ht="18.75" hidden="1" customHeight="1" x14ac:dyDescent="0.25">
      <c r="A121" s="2"/>
      <c r="B121" s="1139"/>
      <c r="C121" s="61" t="s">
        <v>3926</v>
      </c>
      <c r="D121" s="73">
        <v>40270000</v>
      </c>
      <c r="E121" s="344">
        <f t="shared" si="3"/>
        <v>2.9137913899743653E-2</v>
      </c>
      <c r="F121" s="1056"/>
      <c r="G121" s="1056"/>
      <c r="H121" s="201"/>
      <c r="I121" s="252"/>
      <c r="J121" s="908"/>
      <c r="K121" s="908"/>
      <c r="L121" s="201"/>
      <c r="M121" s="252"/>
      <c r="N121" s="1141"/>
      <c r="P121" s="617"/>
      <c r="Q121"/>
    </row>
    <row r="122" spans="1:17" ht="18.75" hidden="1" customHeight="1" x14ac:dyDescent="0.25">
      <c r="A122" s="2"/>
      <c r="B122" s="1139"/>
      <c r="C122" s="61" t="s">
        <v>3927</v>
      </c>
      <c r="D122" s="73">
        <v>53000000</v>
      </c>
      <c r="E122" s="344">
        <f t="shared" si="3"/>
        <v>3.8348880970608734E-2</v>
      </c>
      <c r="F122" s="1056"/>
      <c r="G122" s="1056"/>
      <c r="H122" s="201"/>
      <c r="I122" s="252"/>
      <c r="J122" s="908"/>
      <c r="K122" s="908"/>
      <c r="L122" s="201"/>
      <c r="M122" s="252"/>
      <c r="N122" s="1141"/>
      <c r="P122" s="617"/>
      <c r="Q122"/>
    </row>
    <row r="123" spans="1:17" ht="18.75" hidden="1" customHeight="1" x14ac:dyDescent="0.25">
      <c r="A123" s="2"/>
      <c r="B123" s="1139"/>
      <c r="C123" s="61" t="s">
        <v>3928</v>
      </c>
      <c r="D123" s="73">
        <v>52380000</v>
      </c>
      <c r="E123" s="344">
        <f t="shared" si="3"/>
        <v>3.7900271419631801E-2</v>
      </c>
      <c r="F123" s="1056"/>
      <c r="G123" s="1056"/>
      <c r="H123" s="201"/>
      <c r="I123" s="252"/>
      <c r="J123" s="908"/>
      <c r="K123" s="908"/>
      <c r="L123" s="201"/>
      <c r="M123" s="252"/>
      <c r="N123" s="1141"/>
      <c r="P123" s="617"/>
      <c r="Q123"/>
    </row>
    <row r="124" spans="1:17" ht="18.75" hidden="1" customHeight="1" x14ac:dyDescent="0.25">
      <c r="A124" s="2"/>
      <c r="B124" s="1139"/>
      <c r="C124" s="61" t="s">
        <v>3929</v>
      </c>
      <c r="D124" s="73">
        <v>67250000</v>
      </c>
      <c r="E124" s="344">
        <f t="shared" si="3"/>
        <v>4.865966500515919E-2</v>
      </c>
      <c r="F124" s="1056"/>
      <c r="G124" s="1056"/>
      <c r="H124" s="201"/>
      <c r="I124" s="252"/>
      <c r="J124" s="908"/>
      <c r="K124" s="908"/>
      <c r="L124" s="201"/>
      <c r="M124" s="252"/>
      <c r="N124" s="1141"/>
      <c r="P124" s="617"/>
      <c r="Q124"/>
    </row>
    <row r="125" spans="1:17" ht="22.5" hidden="1" customHeight="1" x14ac:dyDescent="0.25">
      <c r="A125" s="2"/>
      <c r="B125" s="1139"/>
      <c r="C125" s="61" t="s">
        <v>3930</v>
      </c>
      <c r="D125" s="73">
        <v>108486000</v>
      </c>
      <c r="E125" s="344">
        <f t="shared" si="3"/>
        <v>7.8496541527876579E-2</v>
      </c>
      <c r="F125" s="1056"/>
      <c r="G125" s="1056"/>
      <c r="H125" s="201"/>
      <c r="I125" s="252"/>
      <c r="J125" s="908"/>
      <c r="K125" s="908"/>
      <c r="L125" s="201"/>
      <c r="M125" s="252"/>
      <c r="N125" s="1141"/>
      <c r="P125" s="617"/>
      <c r="Q125"/>
    </row>
    <row r="126" spans="1:17" ht="20.25" hidden="1" customHeight="1" x14ac:dyDescent="0.25">
      <c r="A126" s="2"/>
      <c r="B126" s="1139"/>
      <c r="C126" s="61" t="s">
        <v>3931</v>
      </c>
      <c r="D126" s="73">
        <v>139296000</v>
      </c>
      <c r="E126" s="344">
        <f t="shared" si="3"/>
        <v>0.10078954195626252</v>
      </c>
      <c r="F126" s="1056"/>
      <c r="G126" s="1056"/>
      <c r="H126" s="201"/>
      <c r="I126" s="252"/>
      <c r="J126" s="908"/>
      <c r="K126" s="908"/>
      <c r="L126" s="201"/>
      <c r="M126" s="252"/>
      <c r="N126" s="1141"/>
      <c r="P126" s="617"/>
      <c r="Q126"/>
    </row>
    <row r="127" spans="1:17" ht="29.25" hidden="1" customHeight="1" x14ac:dyDescent="0.25">
      <c r="A127" s="2"/>
      <c r="B127" s="1139"/>
      <c r="C127" s="61" t="s">
        <v>3932</v>
      </c>
      <c r="D127" s="73">
        <v>143071000</v>
      </c>
      <c r="E127" s="344">
        <f t="shared" si="3"/>
        <v>0.10352099527067853</v>
      </c>
      <c r="F127" s="1056"/>
      <c r="G127" s="1056"/>
      <c r="H127" s="201"/>
      <c r="I127" s="252"/>
      <c r="J127" s="908"/>
      <c r="K127" s="908"/>
      <c r="L127" s="201"/>
      <c r="M127" s="252"/>
      <c r="N127" s="1141"/>
      <c r="P127" s="617"/>
      <c r="Q127"/>
    </row>
    <row r="128" spans="1:17" ht="22.5" hidden="1" customHeight="1" x14ac:dyDescent="0.25">
      <c r="A128" s="2"/>
      <c r="B128" s="1139"/>
      <c r="C128" s="61" t="s">
        <v>3933</v>
      </c>
      <c r="D128" s="73">
        <v>139296000</v>
      </c>
      <c r="E128" s="344">
        <f t="shared" si="3"/>
        <v>0.10078954195626252</v>
      </c>
      <c r="F128" s="1056"/>
      <c r="G128" s="1056"/>
      <c r="H128" s="201"/>
      <c r="I128" s="252"/>
      <c r="J128" s="908"/>
      <c r="K128" s="908"/>
      <c r="L128" s="201"/>
      <c r="M128" s="252"/>
      <c r="N128" s="1141"/>
      <c r="P128" s="617"/>
      <c r="Q128"/>
    </row>
    <row r="129" spans="1:17" ht="29.25" hidden="1" customHeight="1" x14ac:dyDescent="0.25">
      <c r="A129" s="2"/>
      <c r="B129" s="1139"/>
      <c r="C129" s="61" t="s">
        <v>3934</v>
      </c>
      <c r="D129" s="73">
        <v>73121000</v>
      </c>
      <c r="E129" s="344">
        <f t="shared" si="3"/>
        <v>5.2907708027393981E-2</v>
      </c>
      <c r="F129" s="1056"/>
      <c r="G129" s="1056"/>
      <c r="H129" s="201"/>
      <c r="I129" s="252"/>
      <c r="J129" s="908"/>
      <c r="K129" s="908"/>
      <c r="L129" s="201"/>
      <c r="M129" s="252"/>
      <c r="N129" s="1141"/>
      <c r="P129" s="617"/>
      <c r="Q129"/>
    </row>
    <row r="130" spans="1:17" ht="30.75" hidden="1" customHeight="1" x14ac:dyDescent="0.25">
      <c r="A130" s="2"/>
      <c r="B130" s="1139"/>
      <c r="C130" s="61" t="s">
        <v>3935</v>
      </c>
      <c r="D130" s="73">
        <v>67072000</v>
      </c>
      <c r="E130" s="344">
        <f t="shared" si="3"/>
        <v>4.8530870650201299E-2</v>
      </c>
      <c r="F130" s="1056"/>
      <c r="G130" s="1056"/>
      <c r="H130" s="201"/>
      <c r="I130" s="252"/>
      <c r="J130" s="908"/>
      <c r="K130" s="908"/>
      <c r="L130" s="201"/>
      <c r="M130" s="252"/>
      <c r="N130" s="1141"/>
      <c r="P130" s="617"/>
      <c r="Q130"/>
    </row>
    <row r="131" spans="1:17" ht="19.5" hidden="1" customHeight="1" x14ac:dyDescent="0.25">
      <c r="A131" s="2"/>
      <c r="B131" s="1139"/>
      <c r="C131" s="61" t="s">
        <v>3937</v>
      </c>
      <c r="D131" s="73">
        <v>83664000</v>
      </c>
      <c r="E131" s="344">
        <f t="shared" si="3"/>
        <v>6.0536241085377529E-2</v>
      </c>
      <c r="F131" s="1056"/>
      <c r="G131" s="1056"/>
      <c r="H131" s="201"/>
      <c r="I131" s="252"/>
      <c r="J131" s="908"/>
      <c r="K131" s="908"/>
      <c r="L131" s="201"/>
      <c r="M131" s="252"/>
      <c r="N131" s="1141"/>
      <c r="P131" s="617"/>
      <c r="Q131"/>
    </row>
    <row r="132" spans="1:17" ht="20.25" hidden="1" customHeight="1" x14ac:dyDescent="0.25">
      <c r="A132" s="2"/>
      <c r="B132" s="1139"/>
      <c r="C132" s="61" t="s">
        <v>3936</v>
      </c>
      <c r="D132" s="73">
        <v>138118000</v>
      </c>
      <c r="E132" s="344">
        <f t="shared" si="3"/>
        <v>9.993718380940636E-2</v>
      </c>
      <c r="F132" s="1056"/>
      <c r="G132" s="1056"/>
      <c r="H132" s="201"/>
      <c r="I132" s="252"/>
      <c r="J132" s="908"/>
      <c r="K132" s="908"/>
      <c r="L132" s="201"/>
      <c r="M132" s="252"/>
      <c r="N132" s="1141"/>
      <c r="P132" s="617"/>
      <c r="Q132"/>
    </row>
    <row r="133" spans="1:17" ht="23.25" hidden="1" customHeight="1" x14ac:dyDescent="0.25">
      <c r="A133" s="2"/>
      <c r="B133" s="1139"/>
      <c r="C133" s="61" t="s">
        <v>3938</v>
      </c>
      <c r="D133" s="73">
        <v>66332000</v>
      </c>
      <c r="E133" s="344">
        <f t="shared" si="3"/>
        <v>4.7995433444196572E-2</v>
      </c>
      <c r="F133" s="1056"/>
      <c r="G133" s="1056"/>
      <c r="H133" s="201"/>
      <c r="I133" s="252"/>
      <c r="J133" s="908"/>
      <c r="K133" s="908"/>
      <c r="L133" s="201"/>
      <c r="M133" s="252"/>
      <c r="N133" s="1141"/>
      <c r="P133" s="617"/>
      <c r="Q133"/>
    </row>
    <row r="134" spans="1:17" ht="9.75" hidden="1" customHeight="1" x14ac:dyDescent="0.25">
      <c r="A134" s="2"/>
      <c r="B134" s="1139"/>
      <c r="C134" s="61"/>
      <c r="D134" s="73"/>
      <c r="E134" s="344"/>
      <c r="F134" s="1056"/>
      <c r="G134" s="238"/>
      <c r="H134" s="117"/>
      <c r="I134" s="252"/>
      <c r="J134" s="908"/>
      <c r="K134" s="73"/>
      <c r="L134" s="73"/>
      <c r="M134" s="73"/>
      <c r="N134" s="1141"/>
      <c r="P134" s="617"/>
      <c r="Q134"/>
    </row>
    <row r="135" spans="1:17" ht="18.75" hidden="1" customHeight="1" x14ac:dyDescent="0.25">
      <c r="A135" s="2"/>
      <c r="B135" s="1024"/>
      <c r="C135" s="63" t="s">
        <v>1041</v>
      </c>
      <c r="D135" s="157">
        <f>SUM(D136:D139)</f>
        <v>669166000</v>
      </c>
      <c r="E135" s="257">
        <f t="shared" si="3"/>
        <v>0.48418428836940303</v>
      </c>
      <c r="F135" s="1125"/>
      <c r="G135" s="1125"/>
      <c r="H135" s="202"/>
      <c r="I135" s="267"/>
      <c r="J135" s="909"/>
      <c r="K135" s="909"/>
      <c r="L135" s="240"/>
      <c r="M135" s="267"/>
      <c r="N135" s="1483"/>
      <c r="P135" s="617"/>
      <c r="Q135"/>
    </row>
    <row r="136" spans="1:17" ht="17.25" hidden="1" customHeight="1" x14ac:dyDescent="0.25">
      <c r="A136" s="2"/>
      <c r="B136" s="1139"/>
      <c r="C136" s="61" t="s">
        <v>1042</v>
      </c>
      <c r="D136" s="73">
        <v>300000000</v>
      </c>
      <c r="E136" s="344">
        <f t="shared" si="3"/>
        <v>0.2170691375694834</v>
      </c>
      <c r="F136" s="1056"/>
      <c r="G136" s="1056"/>
      <c r="H136" s="201"/>
      <c r="I136" s="252"/>
      <c r="J136" s="908"/>
      <c r="K136" s="908"/>
      <c r="L136" s="201"/>
      <c r="M136" s="252"/>
      <c r="N136" s="1141"/>
      <c r="P136" s="617"/>
      <c r="Q136"/>
    </row>
    <row r="137" spans="1:17" ht="16.5" hidden="1" customHeight="1" x14ac:dyDescent="0.25">
      <c r="A137" s="2"/>
      <c r="B137" s="1139"/>
      <c r="C137" s="61" t="s">
        <v>1043</v>
      </c>
      <c r="D137" s="73">
        <v>60000000</v>
      </c>
      <c r="E137" s="344">
        <f t="shared" si="3"/>
        <v>4.3413827513896677E-2</v>
      </c>
      <c r="F137" s="1056"/>
      <c r="G137" s="238"/>
      <c r="H137" s="238"/>
      <c r="I137" s="238"/>
      <c r="J137" s="908"/>
      <c r="K137" s="238"/>
      <c r="L137" s="238"/>
      <c r="M137" s="238"/>
      <c r="N137" s="1141"/>
      <c r="P137" s="617"/>
      <c r="Q137"/>
    </row>
    <row r="138" spans="1:17" ht="30.75" hidden="1" customHeight="1" x14ac:dyDescent="0.25">
      <c r="A138" s="2"/>
      <c r="B138" s="1139"/>
      <c r="C138" s="61" t="s">
        <v>3939</v>
      </c>
      <c r="D138" s="73">
        <v>161616000</v>
      </c>
      <c r="E138" s="344">
        <f t="shared" si="3"/>
        <v>0.11693948579143208</v>
      </c>
      <c r="F138" s="1056"/>
      <c r="G138" s="238"/>
      <c r="H138" s="238"/>
      <c r="I138" s="238"/>
      <c r="J138" s="908"/>
      <c r="K138" s="238"/>
      <c r="L138" s="238"/>
      <c r="M138" s="238"/>
      <c r="N138" s="1141"/>
      <c r="P138" s="617"/>
      <c r="Q138"/>
    </row>
    <row r="139" spans="1:17" ht="21.75" hidden="1" customHeight="1" x14ac:dyDescent="0.25">
      <c r="A139" s="2"/>
      <c r="B139" s="1139"/>
      <c r="C139" s="61" t="s">
        <v>3940</v>
      </c>
      <c r="D139" s="73">
        <v>147550000</v>
      </c>
      <c r="E139" s="344">
        <f t="shared" si="3"/>
        <v>0.10676183749459092</v>
      </c>
      <c r="F139" s="1056"/>
      <c r="G139" s="238"/>
      <c r="H139" s="238"/>
      <c r="I139" s="238"/>
      <c r="J139" s="908"/>
      <c r="K139" s="238"/>
      <c r="L139" s="238"/>
      <c r="M139" s="238"/>
      <c r="N139" s="1141"/>
      <c r="P139" s="617"/>
      <c r="Q139"/>
    </row>
    <row r="140" spans="1:17" ht="12" hidden="1" customHeight="1" x14ac:dyDescent="0.25">
      <c r="A140" s="2"/>
      <c r="B140" s="1139"/>
      <c r="C140" s="61"/>
      <c r="D140" s="73"/>
      <c r="E140" s="344"/>
      <c r="F140" s="1056"/>
      <c r="G140" s="238"/>
      <c r="H140" s="201"/>
      <c r="I140" s="252"/>
      <c r="J140" s="908"/>
      <c r="K140" s="73"/>
      <c r="L140" s="73"/>
      <c r="M140" s="73"/>
      <c r="N140" s="1141"/>
      <c r="P140" s="617"/>
      <c r="Q140"/>
    </row>
    <row r="141" spans="1:17" ht="18" hidden="1" customHeight="1" x14ac:dyDescent="0.25">
      <c r="A141" s="2"/>
      <c r="B141" s="1024"/>
      <c r="C141" s="63" t="s">
        <v>4959</v>
      </c>
      <c r="D141" s="157">
        <f>SUM(D142:D144)</f>
        <v>21369683040</v>
      </c>
      <c r="E141" s="257">
        <f t="shared" si="3"/>
        <v>15.462328892086719</v>
      </c>
      <c r="F141" s="1125"/>
      <c r="G141" s="1125"/>
      <c r="H141" s="202"/>
      <c r="I141" s="267"/>
      <c r="J141" s="909"/>
      <c r="K141" s="909"/>
      <c r="L141" s="240"/>
      <c r="M141" s="267"/>
      <c r="N141" s="1483"/>
      <c r="P141" s="617"/>
      <c r="Q141"/>
    </row>
    <row r="142" spans="1:17" ht="18.75" hidden="1" customHeight="1" x14ac:dyDescent="0.25">
      <c r="A142" s="2"/>
      <c r="B142" s="1139"/>
      <c r="C142" s="61" t="s">
        <v>1045</v>
      </c>
      <c r="D142" s="73">
        <v>999950000</v>
      </c>
      <c r="E142" s="344">
        <f t="shared" si="3"/>
        <v>0.72352761370868302</v>
      </c>
      <c r="F142" s="1056"/>
      <c r="G142" s="238"/>
      <c r="H142" s="238"/>
      <c r="I142" s="238"/>
      <c r="J142" s="908"/>
      <c r="K142" s="238"/>
      <c r="L142" s="238"/>
      <c r="M142" s="238"/>
      <c r="N142" s="1141"/>
      <c r="P142" s="617"/>
      <c r="Q142"/>
    </row>
    <row r="143" spans="1:17" ht="27" hidden="1" customHeight="1" x14ac:dyDescent="0.25">
      <c r="A143" s="2"/>
      <c r="B143" s="1139"/>
      <c r="C143" s="61" t="s">
        <v>1046</v>
      </c>
      <c r="D143" s="73">
        <v>20217203040</v>
      </c>
      <c r="E143" s="344">
        <f t="shared" si="3"/>
        <v>14.628436093199792</v>
      </c>
      <c r="F143" s="1056"/>
      <c r="G143" s="1056"/>
      <c r="H143" s="201"/>
      <c r="I143" s="252"/>
      <c r="J143" s="908"/>
      <c r="K143" s="908"/>
      <c r="L143" s="201"/>
      <c r="M143" s="252"/>
      <c r="N143" s="1141"/>
      <c r="P143" s="617"/>
      <c r="Q143"/>
    </row>
    <row r="144" spans="1:17" ht="24" hidden="1" customHeight="1" x14ac:dyDescent="0.25">
      <c r="A144" s="2"/>
      <c r="B144" s="1139"/>
      <c r="C144" s="61" t="s">
        <v>3941</v>
      </c>
      <c r="D144" s="73">
        <v>152530000</v>
      </c>
      <c r="E144" s="344">
        <f t="shared" si="3"/>
        <v>0.11036518517824434</v>
      </c>
      <c r="F144" s="1056"/>
      <c r="G144" s="1056"/>
      <c r="H144" s="201"/>
      <c r="I144" s="252"/>
      <c r="J144" s="908"/>
      <c r="K144" s="908"/>
      <c r="L144" s="201"/>
      <c r="M144" s="252"/>
      <c r="N144" s="1141"/>
      <c r="P144" s="617"/>
      <c r="Q144"/>
    </row>
    <row r="145" spans="1:17" ht="11.25" hidden="1" customHeight="1" x14ac:dyDescent="0.25">
      <c r="A145" s="2"/>
      <c r="B145" s="1139"/>
      <c r="C145" s="61"/>
      <c r="D145" s="73"/>
      <c r="E145" s="344"/>
      <c r="F145" s="1056"/>
      <c r="G145" s="1056"/>
      <c r="H145" s="201"/>
      <c r="I145" s="252"/>
      <c r="J145" s="908"/>
      <c r="K145" s="908"/>
      <c r="L145" s="201"/>
      <c r="M145" s="252"/>
      <c r="N145" s="1141"/>
      <c r="P145" s="617"/>
      <c r="Q145"/>
    </row>
    <row r="146" spans="1:17" ht="18" hidden="1" customHeight="1" x14ac:dyDescent="0.25">
      <c r="A146" s="2"/>
      <c r="B146" s="1139"/>
      <c r="C146" s="63" t="s">
        <v>1047</v>
      </c>
      <c r="D146" s="157">
        <f>SUM(D147:D148)</f>
        <v>350000000</v>
      </c>
      <c r="E146" s="257">
        <f t="shared" si="3"/>
        <v>0.2532473271643973</v>
      </c>
      <c r="F146" s="1056"/>
      <c r="G146" s="238"/>
      <c r="H146" s="238"/>
      <c r="I146" s="238"/>
      <c r="J146" s="908"/>
      <c r="K146" s="238"/>
      <c r="L146" s="238"/>
      <c r="M146" s="238"/>
      <c r="N146" s="1141"/>
      <c r="P146" s="617"/>
      <c r="Q146"/>
    </row>
    <row r="147" spans="1:17" ht="19.5" hidden="1" customHeight="1" x14ac:dyDescent="0.25">
      <c r="A147" s="2"/>
      <c r="B147" s="1139"/>
      <c r="C147" s="61" t="s">
        <v>4739</v>
      </c>
      <c r="D147" s="73">
        <v>100000000</v>
      </c>
      <c r="E147" s="344">
        <f t="shared" si="3"/>
        <v>7.2356379189827791E-2</v>
      </c>
      <c r="F147" s="1056"/>
      <c r="G147" s="238"/>
      <c r="H147" s="238"/>
      <c r="I147" s="238"/>
      <c r="J147" s="908"/>
      <c r="K147" s="908"/>
      <c r="L147" s="201"/>
      <c r="M147" s="252"/>
      <c r="N147" s="1141"/>
      <c r="P147" s="617"/>
      <c r="Q147"/>
    </row>
    <row r="148" spans="1:17" ht="18.75" hidden="1" customHeight="1" x14ac:dyDescent="0.25">
      <c r="A148" s="2"/>
      <c r="B148" s="1139"/>
      <c r="C148" s="61" t="s">
        <v>1048</v>
      </c>
      <c r="D148" s="73">
        <v>250000000</v>
      </c>
      <c r="E148" s="344">
        <f t="shared" si="3"/>
        <v>0.18089094797456948</v>
      </c>
      <c r="F148" s="1056"/>
      <c r="G148" s="238"/>
      <c r="H148" s="238"/>
      <c r="I148" s="238"/>
      <c r="J148" s="908"/>
      <c r="K148" s="908"/>
      <c r="L148" s="201"/>
      <c r="M148" s="252"/>
      <c r="N148" s="1141"/>
      <c r="P148" s="617"/>
      <c r="Q148"/>
    </row>
    <row r="149" spans="1:17" ht="14.25" hidden="1" customHeight="1" x14ac:dyDescent="0.25">
      <c r="A149" s="2"/>
      <c r="B149" s="1139"/>
      <c r="C149" s="61"/>
      <c r="D149" s="73"/>
      <c r="E149" s="344"/>
      <c r="F149" s="1056"/>
      <c r="G149" s="238"/>
      <c r="H149" s="238"/>
      <c r="I149" s="238"/>
      <c r="J149" s="908"/>
      <c r="K149" s="908"/>
      <c r="L149" s="201"/>
      <c r="M149" s="252"/>
      <c r="N149" s="1141"/>
      <c r="P149" s="617"/>
      <c r="Q149"/>
    </row>
    <row r="150" spans="1:17" ht="20.25" hidden="1" customHeight="1" x14ac:dyDescent="0.25">
      <c r="A150" s="2"/>
      <c r="B150" s="1139"/>
      <c r="C150" s="63" t="s">
        <v>1049</v>
      </c>
      <c r="D150" s="157">
        <f>D151</f>
        <v>100000000</v>
      </c>
      <c r="E150" s="257">
        <f t="shared" si="3"/>
        <v>7.2356379189827791E-2</v>
      </c>
      <c r="F150" s="1056"/>
      <c r="G150" s="238"/>
      <c r="H150" s="238"/>
      <c r="I150" s="238"/>
      <c r="J150" s="908"/>
      <c r="K150" s="908"/>
      <c r="L150" s="201"/>
      <c r="M150" s="252"/>
      <c r="N150" s="1141"/>
      <c r="P150" s="617"/>
      <c r="Q150"/>
    </row>
    <row r="151" spans="1:17" ht="20.25" hidden="1" customHeight="1" x14ac:dyDescent="0.25">
      <c r="A151" s="2"/>
      <c r="B151" s="1139"/>
      <c r="C151" s="61" t="s">
        <v>1050</v>
      </c>
      <c r="D151" s="73">
        <v>100000000</v>
      </c>
      <c r="E151" s="344">
        <f t="shared" si="3"/>
        <v>7.2356379189827791E-2</v>
      </c>
      <c r="F151" s="1056"/>
      <c r="G151" s="238"/>
      <c r="H151" s="238"/>
      <c r="I151" s="238"/>
      <c r="J151" s="908"/>
      <c r="K151" s="908"/>
      <c r="L151" s="201"/>
      <c r="M151" s="252"/>
      <c r="N151" s="1141"/>
      <c r="P151" s="617"/>
      <c r="Q151"/>
    </row>
    <row r="152" spans="1:17" ht="13.5" hidden="1" customHeight="1" x14ac:dyDescent="0.25">
      <c r="A152" s="2"/>
      <c r="B152" s="1139"/>
      <c r="C152" s="61"/>
      <c r="D152" s="73"/>
      <c r="E152" s="344"/>
      <c r="F152" s="1056"/>
      <c r="G152" s="238"/>
      <c r="H152" s="238"/>
      <c r="I152" s="238"/>
      <c r="J152" s="908"/>
      <c r="K152" s="908"/>
      <c r="L152" s="201"/>
      <c r="M152" s="252"/>
      <c r="N152" s="1141"/>
      <c r="P152" s="617"/>
      <c r="Q152"/>
    </row>
    <row r="153" spans="1:17" ht="18" hidden="1" customHeight="1" x14ac:dyDescent="0.25">
      <c r="A153" s="2"/>
      <c r="B153" s="1139"/>
      <c r="C153" s="63" t="s">
        <v>1051</v>
      </c>
      <c r="D153" s="157">
        <v>250000000</v>
      </c>
      <c r="E153" s="257">
        <f t="shared" si="3"/>
        <v>0.18089094797456948</v>
      </c>
      <c r="F153" s="1056"/>
      <c r="G153" s="238"/>
      <c r="H153" s="238"/>
      <c r="I153" s="238"/>
      <c r="J153" s="908"/>
      <c r="K153" s="238"/>
      <c r="L153" s="201"/>
      <c r="M153" s="252"/>
      <c r="N153" s="1141"/>
      <c r="P153" s="617"/>
      <c r="Q153"/>
    </row>
    <row r="154" spans="1:17" ht="21.75" hidden="1" customHeight="1" x14ac:dyDescent="0.25">
      <c r="A154" s="2"/>
      <c r="B154" s="1024"/>
      <c r="C154" s="66" t="s">
        <v>1052</v>
      </c>
      <c r="D154" s="158">
        <v>250000000</v>
      </c>
      <c r="E154" s="344">
        <f t="shared" si="3"/>
        <v>0.18089094797456948</v>
      </c>
      <c r="F154" s="1055"/>
      <c r="G154" s="238"/>
      <c r="H154" s="238"/>
      <c r="I154" s="238"/>
      <c r="J154" s="906"/>
      <c r="K154" s="238"/>
      <c r="L154" s="238"/>
      <c r="M154" s="238"/>
      <c r="N154" s="1106"/>
      <c r="P154" s="617"/>
      <c r="Q154"/>
    </row>
    <row r="155" spans="1:17" ht="12.75" hidden="1" customHeight="1" x14ac:dyDescent="0.25">
      <c r="A155" s="2"/>
      <c r="B155" s="1024"/>
      <c r="C155" s="66"/>
      <c r="D155" s="158"/>
      <c r="E155" s="344"/>
      <c r="F155" s="1055"/>
      <c r="G155" s="241"/>
      <c r="H155" s="241"/>
      <c r="I155" s="241"/>
      <c r="J155" s="905"/>
      <c r="K155" s="241"/>
      <c r="L155" s="241"/>
      <c r="M155" s="241"/>
      <c r="N155" s="1106"/>
      <c r="P155" s="617"/>
      <c r="Q155"/>
    </row>
    <row r="156" spans="1:17" ht="20.25" hidden="1" customHeight="1" x14ac:dyDescent="0.25">
      <c r="A156" s="2"/>
      <c r="B156" s="1024"/>
      <c r="C156" s="75" t="s">
        <v>4960</v>
      </c>
      <c r="D156" s="336">
        <f>D157</f>
        <v>11662800000</v>
      </c>
      <c r="E156" s="257">
        <f t="shared" si="3"/>
        <v>8.4387797921512355</v>
      </c>
      <c r="F156" s="1056"/>
      <c r="G156" s="238"/>
      <c r="H156" s="238"/>
      <c r="I156" s="238"/>
      <c r="J156" s="908"/>
      <c r="K156" s="238"/>
      <c r="L156" s="238"/>
      <c r="M156" s="238"/>
      <c r="N156" s="1106"/>
      <c r="P156" s="617"/>
      <c r="Q156"/>
    </row>
    <row r="157" spans="1:17" ht="30.75" hidden="1" customHeight="1" x14ac:dyDescent="0.25">
      <c r="A157" s="2"/>
      <c r="B157" s="1024"/>
      <c r="C157" s="66" t="s">
        <v>4958</v>
      </c>
      <c r="D157" s="158">
        <v>11662800000</v>
      </c>
      <c r="E157" s="344">
        <f t="shared" si="3"/>
        <v>8.4387797921512355</v>
      </c>
      <c r="F157" s="1056"/>
      <c r="G157" s="238"/>
      <c r="H157" s="238"/>
      <c r="I157" s="238"/>
      <c r="J157" s="908"/>
      <c r="K157" s="238"/>
      <c r="L157" s="238"/>
      <c r="M157" s="238"/>
      <c r="N157" s="1106"/>
      <c r="P157" s="617"/>
      <c r="Q157"/>
    </row>
    <row r="158" spans="1:17" ht="12" hidden="1" customHeight="1" x14ac:dyDescent="0.25">
      <c r="B158" s="1024"/>
      <c r="C158" s="99"/>
      <c r="D158" s="67"/>
      <c r="E158" s="2038"/>
      <c r="F158" s="2033"/>
      <c r="G158" s="118"/>
      <c r="H158" s="191"/>
      <c r="I158" s="994"/>
      <c r="J158" s="215"/>
      <c r="K158" s="215"/>
      <c r="L158" s="209"/>
      <c r="M158" s="215"/>
      <c r="N158" s="1132"/>
    </row>
    <row r="159" spans="1:17" ht="18" hidden="1" customHeight="1" x14ac:dyDescent="0.25">
      <c r="B159" s="1029"/>
      <c r="C159" s="56" t="s">
        <v>5010</v>
      </c>
      <c r="D159" s="2315">
        <f>D160</f>
        <v>400000000</v>
      </c>
      <c r="E159" s="346">
        <f>D159/138204815000*100</f>
        <v>0.28942551675931116</v>
      </c>
      <c r="F159" s="2037"/>
      <c r="G159" s="2030"/>
      <c r="H159" s="1044"/>
      <c r="I159" s="993"/>
      <c r="J159" s="987"/>
      <c r="K159" s="987"/>
      <c r="L159" s="179"/>
      <c r="M159" s="987"/>
      <c r="N159" s="1132"/>
    </row>
    <row r="160" spans="1:17" ht="34.5" hidden="1" customHeight="1" x14ac:dyDescent="0.25">
      <c r="B160" s="1024"/>
      <c r="C160" s="63" t="s">
        <v>5013</v>
      </c>
      <c r="D160" s="157">
        <f>D161</f>
        <v>400000000</v>
      </c>
      <c r="E160" s="1906">
        <f>D160/138204815000*100</f>
        <v>0.28942551675931116</v>
      </c>
      <c r="F160" s="2033"/>
      <c r="G160" s="118"/>
      <c r="H160" s="191"/>
      <c r="I160" s="994"/>
      <c r="J160" s="215"/>
      <c r="K160" s="215"/>
      <c r="L160" s="209"/>
      <c r="M160" s="215"/>
      <c r="N160" s="1132"/>
    </row>
    <row r="161" spans="1:17" ht="27.75" hidden="1" customHeight="1" x14ac:dyDescent="0.25">
      <c r="B161" s="1024"/>
      <c r="C161" s="61" t="s">
        <v>5014</v>
      </c>
      <c r="D161" s="73">
        <v>400000000</v>
      </c>
      <c r="E161" s="344">
        <f>D161/138204815000*100</f>
        <v>0.28942551675931116</v>
      </c>
      <c r="F161" s="675"/>
      <c r="G161" s="117"/>
      <c r="H161" s="73"/>
      <c r="I161" s="252"/>
      <c r="J161" s="197"/>
      <c r="K161" s="197"/>
      <c r="L161" s="157"/>
      <c r="M161" s="197"/>
      <c r="N161" s="1132"/>
    </row>
    <row r="162" spans="1:17" ht="12" hidden="1" customHeight="1" x14ac:dyDescent="0.25">
      <c r="B162" s="1024"/>
      <c r="C162" s="100"/>
      <c r="D162" s="2314"/>
      <c r="E162" s="2038"/>
      <c r="F162" s="2033"/>
      <c r="G162" s="118"/>
      <c r="H162" s="191"/>
      <c r="I162" s="994"/>
      <c r="J162" s="215"/>
      <c r="K162" s="215"/>
      <c r="L162" s="209"/>
      <c r="M162" s="215"/>
      <c r="N162" s="1132"/>
    </row>
    <row r="163" spans="1:17" ht="20.25" hidden="1" customHeight="1" x14ac:dyDescent="0.25">
      <c r="B163" s="1029"/>
      <c r="C163" s="56" t="s">
        <v>5015</v>
      </c>
      <c r="D163" s="2315">
        <f>D165</f>
        <v>200000000</v>
      </c>
      <c r="E163" s="346">
        <f>D163/138204815000*100</f>
        <v>0.14471275837965558</v>
      </c>
      <c r="F163" s="2037"/>
      <c r="G163" s="2030"/>
      <c r="H163" s="1044"/>
      <c r="I163" s="993"/>
      <c r="J163" s="987"/>
      <c r="K163" s="987"/>
      <c r="L163" s="179"/>
      <c r="M163" s="987"/>
      <c r="N163" s="1132"/>
    </row>
    <row r="164" spans="1:17" ht="20.25" hidden="1" customHeight="1" x14ac:dyDescent="0.25">
      <c r="B164" s="1024"/>
      <c r="C164" s="360" t="s">
        <v>5016</v>
      </c>
      <c r="D164" s="4225">
        <f>D165</f>
        <v>200000000</v>
      </c>
      <c r="E164" s="1906">
        <f>D164/138204815000*100</f>
        <v>0.14471275837965558</v>
      </c>
      <c r="F164" s="2040"/>
      <c r="G164" s="2041"/>
      <c r="H164" s="1117"/>
      <c r="I164" s="2042"/>
      <c r="J164" s="1116"/>
      <c r="K164" s="1116"/>
      <c r="L164" s="193"/>
      <c r="M164" s="1116"/>
      <c r="N164" s="1132"/>
    </row>
    <row r="165" spans="1:17" ht="20.25" hidden="1" customHeight="1" x14ac:dyDescent="0.25">
      <c r="B165" s="1024"/>
      <c r="C165" s="61" t="s">
        <v>5019</v>
      </c>
      <c r="D165" s="73">
        <v>200000000</v>
      </c>
      <c r="E165" s="344">
        <f>D165/138204815000*100</f>
        <v>0.14471275837965558</v>
      </c>
      <c r="F165" s="675"/>
      <c r="G165" s="117"/>
      <c r="H165" s="73"/>
      <c r="I165" s="252"/>
      <c r="J165" s="197"/>
      <c r="K165" s="197"/>
      <c r="L165" s="157"/>
      <c r="M165" s="197"/>
      <c r="N165" s="1132"/>
    </row>
    <row r="166" spans="1:17" ht="12" hidden="1" customHeight="1" x14ac:dyDescent="0.25">
      <c r="B166" s="1024"/>
      <c r="C166" s="100"/>
      <c r="D166" s="2314"/>
      <c r="E166" s="2038"/>
      <c r="F166" s="2033"/>
      <c r="G166" s="118"/>
      <c r="H166" s="191"/>
      <c r="I166" s="994"/>
      <c r="J166" s="215"/>
      <c r="K166" s="215"/>
      <c r="L166" s="209"/>
      <c r="M166" s="215"/>
      <c r="N166" s="1132"/>
    </row>
    <row r="167" spans="1:17" ht="18" hidden="1" customHeight="1" x14ac:dyDescent="0.25">
      <c r="B167" s="1029"/>
      <c r="C167" s="56" t="s">
        <v>5031</v>
      </c>
      <c r="D167" s="2315">
        <f>D168</f>
        <v>700000000</v>
      </c>
      <c r="E167" s="346">
        <f>D167/138204815000*100</f>
        <v>0.50649465432879459</v>
      </c>
      <c r="F167" s="2037"/>
      <c r="G167" s="2030"/>
      <c r="H167" s="1044"/>
      <c r="I167" s="993"/>
      <c r="J167" s="987"/>
      <c r="K167" s="987"/>
      <c r="L167" s="179"/>
      <c r="M167" s="987"/>
      <c r="N167" s="1132"/>
    </row>
    <row r="168" spans="1:17" ht="18.75" hidden="1" customHeight="1" x14ac:dyDescent="0.25">
      <c r="B168" s="1024"/>
      <c r="C168" s="69" t="s">
        <v>5032</v>
      </c>
      <c r="D168" s="2312">
        <f>SUM(D169:D170)</f>
        <v>700000000</v>
      </c>
      <c r="E168" s="1906">
        <f>D168/138204815000*100</f>
        <v>0.50649465432879459</v>
      </c>
      <c r="F168" s="2033"/>
      <c r="G168" s="118"/>
      <c r="H168" s="191"/>
      <c r="I168" s="994"/>
      <c r="J168" s="215"/>
      <c r="K168" s="215"/>
      <c r="L168" s="209"/>
      <c r="M168" s="215"/>
      <c r="N168" s="1132"/>
    </row>
    <row r="169" spans="1:17" ht="19.5" hidden="1" customHeight="1" x14ac:dyDescent="0.25">
      <c r="B169" s="1024"/>
      <c r="C169" s="61" t="s">
        <v>5034</v>
      </c>
      <c r="D169" s="73">
        <v>350000000</v>
      </c>
      <c r="E169" s="344">
        <f>D169/138204815000*100</f>
        <v>0.2532473271643973</v>
      </c>
      <c r="F169" s="675"/>
      <c r="G169" s="117"/>
      <c r="H169" s="73"/>
      <c r="I169" s="252"/>
      <c r="J169" s="197"/>
      <c r="K169" s="197"/>
      <c r="L169" s="157"/>
      <c r="M169" s="197"/>
      <c r="N169" s="1132"/>
    </row>
    <row r="170" spans="1:17" ht="16.5" hidden="1" customHeight="1" x14ac:dyDescent="0.25">
      <c r="B170" s="1024"/>
      <c r="C170" s="61" t="s">
        <v>5035</v>
      </c>
      <c r="D170" s="73">
        <v>350000000</v>
      </c>
      <c r="E170" s="344">
        <f>D170/138204815000*100</f>
        <v>0.2532473271643973</v>
      </c>
      <c r="F170" s="675"/>
      <c r="G170" s="117"/>
      <c r="H170" s="73"/>
      <c r="I170" s="252"/>
      <c r="J170" s="197"/>
      <c r="K170" s="197"/>
      <c r="L170" s="157"/>
      <c r="M170" s="197"/>
      <c r="N170" s="1132"/>
    </row>
    <row r="171" spans="1:17" ht="16.5" hidden="1" customHeight="1" x14ac:dyDescent="0.25">
      <c r="B171" s="1024"/>
      <c r="C171" s="64"/>
      <c r="D171" s="191"/>
      <c r="E171" s="2038"/>
      <c r="F171" s="2033"/>
      <c r="G171" s="118"/>
      <c r="H171" s="191"/>
      <c r="I171" s="994"/>
      <c r="J171" s="215"/>
      <c r="K171" s="215"/>
      <c r="L171" s="209"/>
      <c r="M171" s="215"/>
      <c r="N171" s="1132"/>
    </row>
    <row r="172" spans="1:17" ht="18" hidden="1" customHeight="1" x14ac:dyDescent="0.25">
      <c r="B172" s="1029"/>
      <c r="C172" s="56" t="s">
        <v>5057</v>
      </c>
      <c r="D172" s="179">
        <f>D173</f>
        <v>250250000</v>
      </c>
      <c r="E172" s="346">
        <f>D172/138204815170*100</f>
        <v>0.18107183869981511</v>
      </c>
      <c r="F172" s="2037"/>
      <c r="G172" s="2030"/>
      <c r="H172" s="1044"/>
      <c r="I172" s="993"/>
      <c r="J172" s="987"/>
      <c r="K172" s="987"/>
      <c r="L172" s="179"/>
      <c r="M172" s="987"/>
      <c r="N172" s="1132"/>
    </row>
    <row r="173" spans="1:17" ht="32.25" hidden="1" customHeight="1" x14ac:dyDescent="0.25">
      <c r="B173" s="1024"/>
      <c r="C173" s="59" t="s">
        <v>5058</v>
      </c>
      <c r="D173" s="209">
        <f>D174</f>
        <v>250250000</v>
      </c>
      <c r="E173" s="257">
        <f t="shared" ref="E173:E174" si="4">D173/138204815170*100</f>
        <v>0.18107183869981511</v>
      </c>
      <c r="F173" s="2033"/>
      <c r="G173" s="118"/>
      <c r="H173" s="191"/>
      <c r="I173" s="994"/>
      <c r="J173" s="215"/>
      <c r="K173" s="215"/>
      <c r="L173" s="209"/>
      <c r="M173" s="215"/>
      <c r="N173" s="1132"/>
    </row>
    <row r="174" spans="1:17" ht="33.75" hidden="1" customHeight="1" x14ac:dyDescent="0.25">
      <c r="B174" s="1024"/>
      <c r="C174" s="61" t="s">
        <v>5059</v>
      </c>
      <c r="D174" s="73">
        <v>250250000</v>
      </c>
      <c r="E174" s="344">
        <f t="shared" si="4"/>
        <v>0.18107183869981511</v>
      </c>
      <c r="F174" s="675"/>
      <c r="G174" s="117"/>
      <c r="H174" s="73"/>
      <c r="I174" s="252"/>
      <c r="J174" s="197"/>
      <c r="K174" s="197"/>
      <c r="L174" s="157"/>
      <c r="M174" s="197"/>
      <c r="N174" s="1132"/>
    </row>
    <row r="175" spans="1:17" ht="15" hidden="1" customHeight="1" x14ac:dyDescent="0.25">
      <c r="B175" s="1024"/>
      <c r="C175" s="64"/>
      <c r="D175" s="191"/>
      <c r="E175" s="2038"/>
      <c r="F175" s="2033"/>
      <c r="G175" s="118"/>
      <c r="H175" s="191"/>
      <c r="I175" s="994"/>
      <c r="J175" s="215"/>
      <c r="K175" s="215"/>
      <c r="L175" s="209"/>
      <c r="M175" s="215"/>
      <c r="N175" s="1132"/>
    </row>
    <row r="176" spans="1:17" s="1" customFormat="1" ht="21" hidden="1" customHeight="1" x14ac:dyDescent="0.25">
      <c r="A176" s="22"/>
      <c r="B176" s="1029"/>
      <c r="C176" s="56" t="s">
        <v>7851</v>
      </c>
      <c r="D176" s="2315">
        <f>SUM(D177:D177)</f>
        <v>2784800000</v>
      </c>
      <c r="E176" s="346">
        <f>D176/138204815000*100</f>
        <v>2.0149804476783246</v>
      </c>
      <c r="F176" s="127"/>
      <c r="G176" s="127"/>
      <c r="H176" s="179"/>
      <c r="I176" s="254"/>
      <c r="J176" s="1021"/>
      <c r="K176" s="1021"/>
      <c r="L176" s="179"/>
      <c r="M176" s="179"/>
      <c r="N176" s="1903"/>
      <c r="P176" s="51"/>
      <c r="Q176" s="51"/>
    </row>
    <row r="177" spans="1:18" s="12" customFormat="1" ht="18.75" hidden="1" customHeight="1" x14ac:dyDescent="0.25">
      <c r="A177" s="29"/>
      <c r="B177" s="1139"/>
      <c r="C177" s="61" t="s">
        <v>5077</v>
      </c>
      <c r="D177" s="70">
        <v>2784800000</v>
      </c>
      <c r="E177" s="344">
        <f>D177/138204815000*100</f>
        <v>2.0149804476783246</v>
      </c>
      <c r="F177" s="675"/>
      <c r="G177" s="117"/>
      <c r="H177" s="201"/>
      <c r="I177" s="252"/>
      <c r="J177" s="1983"/>
      <c r="K177" s="1983"/>
      <c r="L177" s="201"/>
      <c r="M177" s="252"/>
      <c r="N177" s="1140"/>
      <c r="P177" s="667"/>
      <c r="Q177" s="667"/>
    </row>
    <row r="178" spans="1:18" ht="10.5" hidden="1" customHeight="1" x14ac:dyDescent="0.25">
      <c r="B178" s="1024"/>
      <c r="C178" s="59"/>
      <c r="D178" s="2314"/>
      <c r="E178" s="215"/>
      <c r="F178" s="1956"/>
      <c r="G178" s="1956"/>
      <c r="H178" s="215"/>
      <c r="I178" s="215"/>
      <c r="J178" s="215"/>
      <c r="K178" s="1956"/>
      <c r="L178" s="209"/>
      <c r="M178" s="215"/>
      <c r="N178" s="1132"/>
      <c r="R178" s="666"/>
    </row>
    <row r="179" spans="1:18" ht="18.75" hidden="1" customHeight="1" x14ac:dyDescent="0.25">
      <c r="B179" s="1936"/>
      <c r="C179" s="1937" t="s">
        <v>6997</v>
      </c>
      <c r="D179" s="4216">
        <f>SUM(D180+D257+D245)</f>
        <v>87515231150</v>
      </c>
      <c r="E179" s="1939">
        <f>D179/2512247400000*100</f>
        <v>3.4835435057072801</v>
      </c>
      <c r="F179" s="3953"/>
      <c r="G179" s="1940"/>
      <c r="H179" s="1939"/>
      <c r="I179" s="1939"/>
      <c r="J179" s="1938"/>
      <c r="K179" s="1940"/>
      <c r="L179" s="1939"/>
      <c r="M179" s="1939"/>
      <c r="N179" s="1132"/>
      <c r="R179" s="227">
        <f>SUM(R33-R34)</f>
        <v>1926421190520</v>
      </c>
    </row>
    <row r="180" spans="1:18" s="27" customFormat="1" ht="21" hidden="1" customHeight="1" x14ac:dyDescent="0.25">
      <c r="A180" s="6"/>
      <c r="B180" s="1029"/>
      <c r="C180" s="1941" t="s">
        <v>242</v>
      </c>
      <c r="D180" s="2669">
        <f>SUM(D181+D196+D224+D229)</f>
        <v>67282760000</v>
      </c>
      <c r="E180" s="78">
        <f>D180/137153760000*100</f>
        <v>49.056445845888582</v>
      </c>
      <c r="F180" s="1043"/>
      <c r="G180" s="1043"/>
      <c r="H180" s="200"/>
      <c r="I180" s="57"/>
      <c r="J180" s="895"/>
      <c r="K180" s="895"/>
      <c r="L180" s="200"/>
      <c r="M180" s="57"/>
      <c r="N180" s="1045"/>
    </row>
    <row r="181" spans="1:18" s="27" customFormat="1" ht="19.5" hidden="1" customHeight="1" x14ac:dyDescent="0.25">
      <c r="A181" s="6"/>
      <c r="B181" s="1024"/>
      <c r="C181" s="2484" t="s">
        <v>243</v>
      </c>
      <c r="D181" s="2721">
        <f>SUM(D182:D194)</f>
        <v>10526000000</v>
      </c>
      <c r="E181" s="2102">
        <f>D181/137153760000*100</f>
        <v>7.6745982027762132</v>
      </c>
      <c r="F181" s="1025"/>
      <c r="G181" s="233"/>
      <c r="H181" s="233"/>
      <c r="I181" s="233"/>
      <c r="J181" s="894"/>
      <c r="K181" s="903"/>
      <c r="L181" s="209"/>
      <c r="M181" s="209"/>
      <c r="N181" s="1045"/>
    </row>
    <row r="182" spans="1:18" s="27" customFormat="1" ht="16.5" hidden="1" customHeight="1" x14ac:dyDescent="0.25">
      <c r="A182" s="6"/>
      <c r="B182" s="1024"/>
      <c r="C182" s="2485" t="s">
        <v>6439</v>
      </c>
      <c r="D182" s="896">
        <v>825000000</v>
      </c>
      <c r="E182" s="65">
        <f>D182/137153760000*100</f>
        <v>0.60151467958297322</v>
      </c>
      <c r="F182" s="1942"/>
      <c r="G182" s="140"/>
      <c r="H182" s="140"/>
      <c r="I182" s="140"/>
      <c r="J182" s="368"/>
      <c r="K182" s="974"/>
      <c r="L182" s="73"/>
      <c r="M182" s="73"/>
      <c r="N182" s="1045"/>
    </row>
    <row r="183" spans="1:18" s="27" customFormat="1" ht="16.5" hidden="1" customHeight="1" x14ac:dyDescent="0.25">
      <c r="A183" s="6"/>
      <c r="B183" s="1024"/>
      <c r="C183" s="2485" t="s">
        <v>6440</v>
      </c>
      <c r="D183" s="896">
        <v>1621000000</v>
      </c>
      <c r="E183" s="65">
        <f t="shared" ref="E183:E194" si="5">D183/137153760000*100</f>
        <v>1.1818852067927266</v>
      </c>
      <c r="F183" s="1942"/>
      <c r="G183" s="140"/>
      <c r="H183" s="140"/>
      <c r="I183" s="140"/>
      <c r="J183" s="368"/>
      <c r="K183" s="368"/>
      <c r="L183" s="140"/>
      <c r="M183" s="140"/>
      <c r="N183" s="1045"/>
    </row>
    <row r="184" spans="1:18" s="27" customFormat="1" ht="15" hidden="1" customHeight="1" x14ac:dyDescent="0.25">
      <c r="A184" s="6"/>
      <c r="B184" s="1024"/>
      <c r="C184" s="2486" t="s">
        <v>6441</v>
      </c>
      <c r="D184" s="896">
        <v>1855000000</v>
      </c>
      <c r="E184" s="65">
        <f t="shared" si="5"/>
        <v>1.3524966431835337</v>
      </c>
      <c r="F184" s="672"/>
      <c r="G184" s="140"/>
      <c r="H184" s="140"/>
      <c r="I184" s="140"/>
      <c r="J184" s="368"/>
      <c r="K184" s="368"/>
      <c r="L184" s="140"/>
      <c r="M184" s="140"/>
      <c r="N184" s="1045"/>
    </row>
    <row r="185" spans="1:18" s="221" customFormat="1" ht="18" hidden="1" customHeight="1" x14ac:dyDescent="0.25">
      <c r="A185" s="9"/>
      <c r="B185" s="1139"/>
      <c r="C185" s="2487" t="s">
        <v>6442</v>
      </c>
      <c r="D185" s="2724">
        <v>800000000</v>
      </c>
      <c r="E185" s="65">
        <f t="shared" si="5"/>
        <v>0.58328696201985275</v>
      </c>
      <c r="F185" s="1944"/>
      <c r="G185" s="1945"/>
      <c r="H185" s="1946"/>
      <c r="I185" s="1947"/>
      <c r="J185" s="1948"/>
      <c r="K185" s="1949"/>
      <c r="L185" s="351"/>
      <c r="M185" s="1947"/>
      <c r="N185" s="1950"/>
    </row>
    <row r="186" spans="1:18" s="25" customFormat="1" ht="16.5" hidden="1" customHeight="1" x14ac:dyDescent="0.25">
      <c r="A186" s="4"/>
      <c r="B186" s="1024"/>
      <c r="C186" s="2488" t="s">
        <v>6443</v>
      </c>
      <c r="D186" s="2698">
        <v>800000000</v>
      </c>
      <c r="E186" s="65">
        <f t="shared" si="5"/>
        <v>0.58328696201985275</v>
      </c>
      <c r="F186" s="1026"/>
      <c r="G186" s="1951"/>
      <c r="H186" s="202"/>
      <c r="I186" s="92"/>
      <c r="J186" s="894"/>
      <c r="K186" s="1952"/>
      <c r="L186" s="209"/>
      <c r="M186" s="92"/>
      <c r="N186" s="1485"/>
    </row>
    <row r="187" spans="1:18" s="25" customFormat="1" ht="17.25" hidden="1" customHeight="1" x14ac:dyDescent="0.25">
      <c r="A187" s="4"/>
      <c r="B187" s="1024"/>
      <c r="C187" s="2489" t="s">
        <v>6444</v>
      </c>
      <c r="D187" s="2698">
        <v>800000000</v>
      </c>
      <c r="E187" s="65">
        <f t="shared" si="5"/>
        <v>0.58328696201985275</v>
      </c>
      <c r="F187" s="1026"/>
      <c r="G187" s="1951"/>
      <c r="H187" s="202"/>
      <c r="I187" s="92"/>
      <c r="J187" s="680"/>
      <c r="K187" s="975"/>
      <c r="L187" s="157"/>
      <c r="M187" s="92"/>
      <c r="N187" s="1485"/>
    </row>
    <row r="188" spans="1:18" s="25" customFormat="1" ht="17.25" hidden="1" customHeight="1" x14ac:dyDescent="0.25">
      <c r="A188" s="4"/>
      <c r="B188" s="1024"/>
      <c r="C188" s="2489" t="s">
        <v>6445</v>
      </c>
      <c r="D188" s="2698">
        <v>800000000</v>
      </c>
      <c r="E188" s="65">
        <f t="shared" si="5"/>
        <v>0.58328696201985275</v>
      </c>
      <c r="F188" s="1026"/>
      <c r="G188" s="1951"/>
      <c r="H188" s="202"/>
      <c r="I188" s="92"/>
      <c r="J188" s="680"/>
      <c r="K188" s="975"/>
      <c r="L188" s="157"/>
      <c r="M188" s="92"/>
      <c r="N188" s="1485"/>
    </row>
    <row r="189" spans="1:18" s="25" customFormat="1" ht="17.25" hidden="1" customHeight="1" x14ac:dyDescent="0.25">
      <c r="A189" s="4"/>
      <c r="B189" s="1024"/>
      <c r="C189" s="2489" t="s">
        <v>6446</v>
      </c>
      <c r="D189" s="2698">
        <v>525000000</v>
      </c>
      <c r="E189" s="65">
        <f t="shared" si="5"/>
        <v>0.38278206882552834</v>
      </c>
      <c r="F189" s="1026"/>
      <c r="G189" s="1951"/>
      <c r="H189" s="202"/>
      <c r="I189" s="92"/>
      <c r="J189" s="680"/>
      <c r="K189" s="975"/>
      <c r="L189" s="157"/>
      <c r="M189" s="92"/>
      <c r="N189" s="1485"/>
    </row>
    <row r="190" spans="1:18" s="25" customFormat="1" ht="17.25" hidden="1" customHeight="1" x14ac:dyDescent="0.25">
      <c r="A190" s="4"/>
      <c r="B190" s="1024"/>
      <c r="C190" s="2489" t="s">
        <v>6447</v>
      </c>
      <c r="D190" s="2698">
        <v>400000000</v>
      </c>
      <c r="E190" s="65">
        <f t="shared" si="5"/>
        <v>0.29164348100992638</v>
      </c>
      <c r="F190" s="1026"/>
      <c r="G190" s="1951"/>
      <c r="H190" s="202"/>
      <c r="I190" s="92"/>
      <c r="J190" s="680"/>
      <c r="K190" s="975"/>
      <c r="L190" s="157"/>
      <c r="M190" s="92"/>
      <c r="N190" s="1485"/>
    </row>
    <row r="191" spans="1:18" s="25" customFormat="1" ht="21" hidden="1" customHeight="1" x14ac:dyDescent="0.25">
      <c r="A191" s="4"/>
      <c r="B191" s="1024"/>
      <c r="C191" s="2489" t="s">
        <v>6448</v>
      </c>
      <c r="D191" s="2698">
        <v>1680000000</v>
      </c>
      <c r="E191" s="65">
        <f t="shared" si="5"/>
        <v>1.2249026202416908</v>
      </c>
      <c r="F191" s="1026"/>
      <c r="G191" s="1951"/>
      <c r="H191" s="202"/>
      <c r="I191" s="92"/>
      <c r="J191" s="680"/>
      <c r="K191" s="975"/>
      <c r="L191" s="157"/>
      <c r="M191" s="92"/>
      <c r="N191" s="1485"/>
    </row>
    <row r="192" spans="1:18" s="25" customFormat="1" ht="18" hidden="1" customHeight="1" x14ac:dyDescent="0.25">
      <c r="A192" s="4"/>
      <c r="B192" s="1024"/>
      <c r="C192" s="2489" t="s">
        <v>6449</v>
      </c>
      <c r="D192" s="2698">
        <v>140000000</v>
      </c>
      <c r="E192" s="65">
        <f t="shared" si="5"/>
        <v>0.10207521835347423</v>
      </c>
      <c r="F192" s="1026"/>
      <c r="G192" s="1951"/>
      <c r="H192" s="202"/>
      <c r="I192" s="92"/>
      <c r="J192" s="680"/>
      <c r="K192" s="975"/>
      <c r="L192" s="157"/>
      <c r="M192" s="92"/>
      <c r="N192" s="1485"/>
    </row>
    <row r="193" spans="1:14" s="25" customFormat="1" ht="19.5" hidden="1" customHeight="1" x14ac:dyDescent="0.25">
      <c r="A193" s="4"/>
      <c r="B193" s="1024"/>
      <c r="C193" s="2489" t="s">
        <v>6450</v>
      </c>
      <c r="D193" s="2698">
        <v>140000000</v>
      </c>
      <c r="E193" s="65">
        <f t="shared" si="5"/>
        <v>0.10207521835347423</v>
      </c>
      <c r="F193" s="1026"/>
      <c r="G193" s="1951"/>
      <c r="H193" s="202"/>
      <c r="I193" s="92"/>
      <c r="J193" s="680"/>
      <c r="K193" s="975"/>
      <c r="L193" s="157"/>
      <c r="M193" s="92"/>
      <c r="N193" s="1485"/>
    </row>
    <row r="194" spans="1:14" s="25" customFormat="1" ht="20.25" hidden="1" customHeight="1" x14ac:dyDescent="0.25">
      <c r="A194" s="4"/>
      <c r="B194" s="1024"/>
      <c r="C194" s="2489" t="s">
        <v>6451</v>
      </c>
      <c r="D194" s="2698">
        <v>140000000</v>
      </c>
      <c r="E194" s="65">
        <f t="shared" si="5"/>
        <v>0.10207521835347423</v>
      </c>
      <c r="F194" s="1026"/>
      <c r="G194" s="1951"/>
      <c r="H194" s="202"/>
      <c r="I194" s="92"/>
      <c r="J194" s="680"/>
      <c r="K194" s="975"/>
      <c r="L194" s="157"/>
      <c r="M194" s="92"/>
      <c r="N194" s="1485"/>
    </row>
    <row r="195" spans="1:14" s="27" customFormat="1" ht="9.75" hidden="1" customHeight="1" x14ac:dyDescent="0.25">
      <c r="A195" s="6"/>
      <c r="B195" s="1024"/>
      <c r="C195" s="2484"/>
      <c r="D195" s="2721"/>
      <c r="E195" s="65"/>
      <c r="F195" s="1025"/>
      <c r="G195" s="1953"/>
      <c r="H195" s="326"/>
      <c r="I195" s="92"/>
      <c r="J195" s="680"/>
      <c r="K195" s="975"/>
      <c r="L195" s="157"/>
      <c r="M195" s="92"/>
      <c r="N195" s="1045"/>
    </row>
    <row r="196" spans="1:14" s="27" customFormat="1" ht="18.75" hidden="1" customHeight="1" x14ac:dyDescent="0.25">
      <c r="A196" s="6"/>
      <c r="B196" s="1024"/>
      <c r="C196" s="2491" t="s">
        <v>1247</v>
      </c>
      <c r="D196" s="2692">
        <f>SUM(D197:D222)</f>
        <v>41441750000</v>
      </c>
      <c r="E196" s="84">
        <f>D196/137153760000*100</f>
        <v>30.21554057285779</v>
      </c>
      <c r="F196" s="142"/>
      <c r="G196" s="142"/>
      <c r="H196" s="202"/>
      <c r="I196" s="92"/>
      <c r="J196" s="894"/>
      <c r="K196" s="894"/>
      <c r="L196" s="209"/>
      <c r="M196" s="92"/>
      <c r="N196" s="1045"/>
    </row>
    <row r="197" spans="1:14" s="27" customFormat="1" ht="17.25" hidden="1" customHeight="1" x14ac:dyDescent="0.25">
      <c r="A197" s="6"/>
      <c r="B197" s="1024"/>
      <c r="C197" s="2492" t="s">
        <v>6452</v>
      </c>
      <c r="D197" s="896">
        <v>8597500000</v>
      </c>
      <c r="E197" s="65">
        <f>D197/137153760000*100</f>
        <v>6.2685120699571053</v>
      </c>
      <c r="F197" s="672"/>
      <c r="G197" s="140"/>
      <c r="H197" s="140"/>
      <c r="I197" s="140"/>
      <c r="J197" s="368"/>
      <c r="K197" s="368"/>
      <c r="L197" s="73"/>
      <c r="M197" s="73"/>
      <c r="N197" s="1045"/>
    </row>
    <row r="198" spans="1:14" s="27" customFormat="1" ht="19.5" hidden="1" customHeight="1" x14ac:dyDescent="0.25">
      <c r="A198" s="6"/>
      <c r="B198" s="1024"/>
      <c r="C198" s="2492" t="s">
        <v>6453</v>
      </c>
      <c r="D198" s="896">
        <v>7405000000</v>
      </c>
      <c r="E198" s="65">
        <f t="shared" ref="E198:E222" si="6">D198/137153760000*100</f>
        <v>5.3990499421962621</v>
      </c>
      <c r="F198" s="672"/>
      <c r="G198" s="140"/>
      <c r="H198" s="201"/>
      <c r="I198" s="73"/>
      <c r="J198" s="368"/>
      <c r="K198" s="368"/>
      <c r="L198" s="73"/>
      <c r="M198" s="73"/>
      <c r="N198" s="1045"/>
    </row>
    <row r="199" spans="1:14" s="27" customFormat="1" ht="14.25" hidden="1" customHeight="1" x14ac:dyDescent="0.25">
      <c r="A199" s="6"/>
      <c r="B199" s="1024"/>
      <c r="C199" s="2486" t="s">
        <v>6454</v>
      </c>
      <c r="D199" s="896">
        <v>5658750000</v>
      </c>
      <c r="E199" s="65">
        <f t="shared" si="6"/>
        <v>4.1258438704123028</v>
      </c>
      <c r="F199" s="672"/>
      <c r="G199" s="140"/>
      <c r="H199" s="140"/>
      <c r="I199" s="140"/>
      <c r="J199" s="368"/>
      <c r="K199" s="368"/>
      <c r="L199" s="73"/>
      <c r="M199" s="73"/>
      <c r="N199" s="1045"/>
    </row>
    <row r="200" spans="1:14" s="27" customFormat="1" ht="20.25" hidden="1" customHeight="1" x14ac:dyDescent="0.25">
      <c r="A200" s="6"/>
      <c r="B200" s="1024"/>
      <c r="C200" s="2486" t="s">
        <v>6455</v>
      </c>
      <c r="D200" s="896">
        <v>2582500000</v>
      </c>
      <c r="E200" s="65">
        <f t="shared" si="6"/>
        <v>1.8829232242703373</v>
      </c>
      <c r="F200" s="672"/>
      <c r="G200" s="140"/>
      <c r="H200" s="140"/>
      <c r="I200" s="140"/>
      <c r="J200" s="368"/>
      <c r="K200" s="368"/>
      <c r="L200" s="73"/>
      <c r="M200" s="73"/>
      <c r="N200" s="1045"/>
    </row>
    <row r="201" spans="1:14" s="27" customFormat="1" ht="17.25" hidden="1" customHeight="1" x14ac:dyDescent="0.25">
      <c r="A201" s="6"/>
      <c r="B201" s="1024"/>
      <c r="C201" s="2486" t="s">
        <v>6456</v>
      </c>
      <c r="D201" s="896">
        <v>1200000000</v>
      </c>
      <c r="E201" s="65">
        <f t="shared" si="6"/>
        <v>0.87493044302977918</v>
      </c>
      <c r="F201" s="672"/>
      <c r="G201" s="140"/>
      <c r="H201" s="140"/>
      <c r="I201" s="140"/>
      <c r="J201" s="368"/>
      <c r="K201" s="368"/>
      <c r="L201" s="140"/>
      <c r="M201" s="140"/>
      <c r="N201" s="1045"/>
    </row>
    <row r="202" spans="1:14" s="27" customFormat="1" ht="15" hidden="1" customHeight="1" x14ac:dyDescent="0.25">
      <c r="A202" s="6"/>
      <c r="B202" s="1024"/>
      <c r="C202" s="2493" t="s">
        <v>6457</v>
      </c>
      <c r="D202" s="940">
        <v>400000000</v>
      </c>
      <c r="E202" s="65">
        <f t="shared" si="6"/>
        <v>0.29164348100992638</v>
      </c>
      <c r="F202" s="402"/>
      <c r="G202" s="140"/>
      <c r="H202" s="140"/>
      <c r="I202" s="140"/>
      <c r="J202" s="368"/>
      <c r="K202" s="368"/>
      <c r="L202" s="140"/>
      <c r="M202" s="140"/>
      <c r="N202" s="1045"/>
    </row>
    <row r="203" spans="1:14" s="27" customFormat="1" ht="15.75" hidden="1" customHeight="1" x14ac:dyDescent="0.25">
      <c r="A203" s="6"/>
      <c r="B203" s="1024"/>
      <c r="C203" s="2493" t="s">
        <v>6458</v>
      </c>
      <c r="D203" s="940">
        <v>400000000</v>
      </c>
      <c r="E203" s="65">
        <f t="shared" si="6"/>
        <v>0.29164348100992638</v>
      </c>
      <c r="F203" s="402"/>
      <c r="G203" s="140"/>
      <c r="H203" s="140"/>
      <c r="I203" s="140"/>
      <c r="J203" s="368"/>
      <c r="K203" s="368"/>
      <c r="L203" s="140"/>
      <c r="M203" s="140"/>
      <c r="N203" s="1045"/>
    </row>
    <row r="204" spans="1:14" s="27" customFormat="1" ht="17.25" hidden="1" customHeight="1" x14ac:dyDescent="0.25">
      <c r="A204" s="6"/>
      <c r="B204" s="1024"/>
      <c r="C204" s="2493" t="s">
        <v>6459</v>
      </c>
      <c r="D204" s="940">
        <v>1350000000</v>
      </c>
      <c r="E204" s="65">
        <f t="shared" si="6"/>
        <v>0.98429674840850145</v>
      </c>
      <c r="F204" s="402"/>
      <c r="G204" s="140"/>
      <c r="H204" s="140"/>
      <c r="I204" s="140"/>
      <c r="J204" s="368"/>
      <c r="K204" s="368"/>
      <c r="L204" s="140"/>
      <c r="M204" s="140"/>
      <c r="N204" s="1045"/>
    </row>
    <row r="205" spans="1:14" s="27" customFormat="1" ht="17.25" hidden="1" customHeight="1" x14ac:dyDescent="0.25">
      <c r="A205" s="6"/>
      <c r="B205" s="1024"/>
      <c r="C205" s="2493" t="s">
        <v>6460</v>
      </c>
      <c r="D205" s="940">
        <v>1860000000</v>
      </c>
      <c r="E205" s="65">
        <f t="shared" si="6"/>
        <v>1.3561421866961576</v>
      </c>
      <c r="F205" s="402"/>
      <c r="G205" s="140"/>
      <c r="H205" s="140"/>
      <c r="I205" s="140"/>
      <c r="J205" s="368"/>
      <c r="K205" s="368"/>
      <c r="L205" s="140"/>
      <c r="M205" s="140"/>
      <c r="N205" s="1045"/>
    </row>
    <row r="206" spans="1:14" s="27" customFormat="1" ht="17.25" hidden="1" customHeight="1" x14ac:dyDescent="0.25">
      <c r="A206" s="6"/>
      <c r="B206" s="1024"/>
      <c r="C206" s="2493" t="s">
        <v>6461</v>
      </c>
      <c r="D206" s="940">
        <v>1728000000</v>
      </c>
      <c r="E206" s="65">
        <f t="shared" si="6"/>
        <v>1.2598998379628821</v>
      </c>
      <c r="F206" s="402"/>
      <c r="G206" s="140"/>
      <c r="H206" s="140"/>
      <c r="I206" s="140"/>
      <c r="J206" s="368"/>
      <c r="K206" s="368"/>
      <c r="L206" s="140"/>
      <c r="M206" s="140"/>
      <c r="N206" s="1045"/>
    </row>
    <row r="207" spans="1:14" s="27" customFormat="1" ht="17.25" hidden="1" customHeight="1" x14ac:dyDescent="0.25">
      <c r="A207" s="6"/>
      <c r="B207" s="1024"/>
      <c r="C207" s="2493" t="s">
        <v>6462</v>
      </c>
      <c r="D207" s="940">
        <v>950000000</v>
      </c>
      <c r="E207" s="65">
        <f t="shared" si="6"/>
        <v>0.69265326739857513</v>
      </c>
      <c r="F207" s="402"/>
      <c r="G207" s="140"/>
      <c r="H207" s="140"/>
      <c r="I207" s="140"/>
      <c r="J207" s="368"/>
      <c r="K207" s="368"/>
      <c r="L207" s="140"/>
      <c r="M207" s="140"/>
      <c r="N207" s="1045"/>
    </row>
    <row r="208" spans="1:14" s="27" customFormat="1" ht="17.25" hidden="1" customHeight="1" x14ac:dyDescent="0.25">
      <c r="A208" s="6"/>
      <c r="B208" s="1024"/>
      <c r="C208" s="2493" t="s">
        <v>6463</v>
      </c>
      <c r="D208" s="940">
        <v>1500000000</v>
      </c>
      <c r="E208" s="65">
        <f t="shared" si="6"/>
        <v>1.0936630537872238</v>
      </c>
      <c r="F208" s="402"/>
      <c r="G208" s="140"/>
      <c r="H208" s="140"/>
      <c r="I208" s="140"/>
      <c r="J208" s="368"/>
      <c r="K208" s="368"/>
      <c r="L208" s="140"/>
      <c r="M208" s="140"/>
      <c r="N208" s="1045"/>
    </row>
    <row r="209" spans="1:17" s="27" customFormat="1" ht="17.25" hidden="1" customHeight="1" x14ac:dyDescent="0.25">
      <c r="A209" s="6"/>
      <c r="B209" s="1024"/>
      <c r="C209" s="2493" t="s">
        <v>6464</v>
      </c>
      <c r="D209" s="940">
        <v>1425000000</v>
      </c>
      <c r="E209" s="65">
        <f t="shared" si="6"/>
        <v>1.0389799010978629</v>
      </c>
      <c r="F209" s="402"/>
      <c r="G209" s="140"/>
      <c r="H209" s="140"/>
      <c r="I209" s="140"/>
      <c r="J209" s="368"/>
      <c r="K209" s="368"/>
      <c r="L209" s="140"/>
      <c r="M209" s="140"/>
      <c r="N209" s="1045"/>
    </row>
    <row r="210" spans="1:17" s="27" customFormat="1" ht="17.25" hidden="1" customHeight="1" x14ac:dyDescent="0.25">
      <c r="A210" s="6"/>
      <c r="B210" s="1024"/>
      <c r="C210" s="2493" t="s">
        <v>6465</v>
      </c>
      <c r="D210" s="940">
        <v>750000000</v>
      </c>
      <c r="E210" s="65">
        <f t="shared" si="6"/>
        <v>0.54683152689361192</v>
      </c>
      <c r="F210" s="402"/>
      <c r="G210" s="140"/>
      <c r="H210" s="140"/>
      <c r="I210" s="140"/>
      <c r="J210" s="368"/>
      <c r="K210" s="368"/>
      <c r="L210" s="140"/>
      <c r="M210" s="140"/>
      <c r="N210" s="1045"/>
    </row>
    <row r="211" spans="1:17" s="27" customFormat="1" ht="18" hidden="1" customHeight="1" x14ac:dyDescent="0.25">
      <c r="A211" s="6"/>
      <c r="B211" s="1024"/>
      <c r="C211" s="2493" t="s">
        <v>6466</v>
      </c>
      <c r="D211" s="940">
        <v>750000000</v>
      </c>
      <c r="E211" s="65">
        <f t="shared" si="6"/>
        <v>0.54683152689361192</v>
      </c>
      <c r="F211" s="154"/>
      <c r="G211" s="140"/>
      <c r="H211" s="201"/>
      <c r="I211" s="110"/>
      <c r="J211" s="368"/>
      <c r="K211" s="368"/>
      <c r="L211" s="73"/>
      <c r="M211" s="110"/>
      <c r="N211" s="1045"/>
    </row>
    <row r="212" spans="1:17" s="27" customFormat="1" ht="18" hidden="1" customHeight="1" x14ac:dyDescent="0.25">
      <c r="A212" s="6"/>
      <c r="B212" s="1024"/>
      <c r="C212" s="2493" t="s">
        <v>6467</v>
      </c>
      <c r="D212" s="940">
        <v>1250000000</v>
      </c>
      <c r="E212" s="65">
        <f t="shared" si="6"/>
        <v>0.9113858781560199</v>
      </c>
      <c r="F212" s="154"/>
      <c r="G212" s="140"/>
      <c r="H212" s="201"/>
      <c r="I212" s="110"/>
      <c r="J212" s="368"/>
      <c r="K212" s="368"/>
      <c r="L212" s="191"/>
      <c r="M212" s="1048"/>
      <c r="N212" s="1045"/>
    </row>
    <row r="213" spans="1:17" s="27" customFormat="1" ht="18" hidden="1" customHeight="1" x14ac:dyDescent="0.25">
      <c r="A213" s="6"/>
      <c r="B213" s="1024"/>
      <c r="C213" s="2493" t="s">
        <v>6468</v>
      </c>
      <c r="D213" s="940">
        <v>1250000000</v>
      </c>
      <c r="E213" s="65">
        <f t="shared" si="6"/>
        <v>0.9113858781560199</v>
      </c>
      <c r="F213" s="154"/>
      <c r="G213" s="140"/>
      <c r="H213" s="201"/>
      <c r="I213" s="110"/>
      <c r="J213" s="368"/>
      <c r="K213" s="368"/>
      <c r="L213" s="191"/>
      <c r="M213" s="1048"/>
      <c r="N213" s="1045"/>
    </row>
    <row r="214" spans="1:17" s="27" customFormat="1" ht="18" hidden="1" customHeight="1" x14ac:dyDescent="0.25">
      <c r="A214" s="6"/>
      <c r="B214" s="1024"/>
      <c r="C214" s="2493" t="s">
        <v>6469</v>
      </c>
      <c r="D214" s="940">
        <v>210000000</v>
      </c>
      <c r="E214" s="65">
        <f t="shared" si="6"/>
        <v>0.15311282753021135</v>
      </c>
      <c r="F214" s="154"/>
      <c r="G214" s="140"/>
      <c r="H214" s="201"/>
      <c r="I214" s="110"/>
      <c r="J214" s="368"/>
      <c r="K214" s="368"/>
      <c r="L214" s="191"/>
      <c r="M214" s="1048"/>
      <c r="N214" s="1045"/>
    </row>
    <row r="215" spans="1:17" s="27" customFormat="1" ht="18" hidden="1" customHeight="1" x14ac:dyDescent="0.25">
      <c r="A215" s="6"/>
      <c r="B215" s="1024"/>
      <c r="C215" s="2493" t="s">
        <v>6470</v>
      </c>
      <c r="D215" s="940">
        <v>675000000</v>
      </c>
      <c r="E215" s="65">
        <f t="shared" si="6"/>
        <v>0.49214837420425073</v>
      </c>
      <c r="F215" s="154"/>
      <c r="G215" s="140"/>
      <c r="H215" s="201"/>
      <c r="I215" s="110"/>
      <c r="J215" s="368"/>
      <c r="K215" s="368"/>
      <c r="L215" s="191"/>
      <c r="M215" s="1048"/>
      <c r="N215" s="1045"/>
    </row>
    <row r="216" spans="1:17" s="27" customFormat="1" ht="33.75" hidden="1" customHeight="1" x14ac:dyDescent="0.25">
      <c r="A216" s="6"/>
      <c r="B216" s="1024"/>
      <c r="C216" s="2493" t="s">
        <v>6471</v>
      </c>
      <c r="D216" s="940">
        <v>225000000</v>
      </c>
      <c r="E216" s="65">
        <f t="shared" si="6"/>
        <v>0.16404945806808358</v>
      </c>
      <c r="F216" s="154"/>
      <c r="G216" s="140"/>
      <c r="H216" s="201"/>
      <c r="I216" s="110"/>
      <c r="J216" s="368"/>
      <c r="K216" s="368"/>
      <c r="L216" s="191"/>
      <c r="M216" s="1048"/>
      <c r="N216" s="1045"/>
    </row>
    <row r="217" spans="1:17" s="27" customFormat="1" ht="18" hidden="1" customHeight="1" x14ac:dyDescent="0.25">
      <c r="A217" s="6"/>
      <c r="B217" s="1024"/>
      <c r="C217" s="2493" t="s">
        <v>6472</v>
      </c>
      <c r="D217" s="940">
        <v>270000000</v>
      </c>
      <c r="E217" s="65">
        <f t="shared" si="6"/>
        <v>0.19685934968170032</v>
      </c>
      <c r="F217" s="154"/>
      <c r="G217" s="140"/>
      <c r="H217" s="201"/>
      <c r="I217" s="110"/>
      <c r="J217" s="368"/>
      <c r="K217" s="368"/>
      <c r="L217" s="191"/>
      <c r="M217" s="1048"/>
      <c r="N217" s="1045"/>
    </row>
    <row r="218" spans="1:17" s="27" customFormat="1" ht="18" hidden="1" customHeight="1" x14ac:dyDescent="0.25">
      <c r="A218" s="6"/>
      <c r="B218" s="1024"/>
      <c r="C218" s="2493" t="s">
        <v>6473</v>
      </c>
      <c r="D218" s="940">
        <v>225000000</v>
      </c>
      <c r="E218" s="65">
        <f t="shared" si="6"/>
        <v>0.16404945806808358</v>
      </c>
      <c r="F218" s="154"/>
      <c r="G218" s="140"/>
      <c r="H218" s="201"/>
      <c r="I218" s="110"/>
      <c r="J218" s="368"/>
      <c r="K218" s="368"/>
      <c r="L218" s="191"/>
      <c r="M218" s="1048"/>
      <c r="N218" s="1045"/>
    </row>
    <row r="219" spans="1:17" s="27" customFormat="1" ht="20.25" hidden="1" customHeight="1" x14ac:dyDescent="0.25">
      <c r="A219" s="6"/>
      <c r="B219" s="1024"/>
      <c r="C219" s="2493" t="s">
        <v>6474</v>
      </c>
      <c r="D219" s="940">
        <v>240000000</v>
      </c>
      <c r="E219" s="65">
        <f t="shared" si="6"/>
        <v>0.17498608860595583</v>
      </c>
      <c r="F219" s="142"/>
      <c r="G219" s="142"/>
      <c r="H219" s="202"/>
      <c r="I219" s="157"/>
      <c r="J219" s="680"/>
      <c r="K219" s="680"/>
      <c r="L219" s="209"/>
      <c r="M219" s="209"/>
      <c r="N219" s="1045"/>
    </row>
    <row r="220" spans="1:17" s="27" customFormat="1" ht="21.75" hidden="1" customHeight="1" x14ac:dyDescent="0.25">
      <c r="A220" s="6"/>
      <c r="B220" s="1024"/>
      <c r="C220" s="2493" t="s">
        <v>6475</v>
      </c>
      <c r="D220" s="940">
        <v>240000000</v>
      </c>
      <c r="E220" s="65">
        <f t="shared" si="6"/>
        <v>0.17498608860595583</v>
      </c>
      <c r="F220" s="1942"/>
      <c r="G220" s="140"/>
      <c r="H220" s="201"/>
      <c r="I220" s="73"/>
      <c r="J220" s="368"/>
      <c r="K220" s="368"/>
      <c r="L220" s="73"/>
      <c r="M220" s="73"/>
      <c r="N220" s="1045"/>
    </row>
    <row r="221" spans="1:17" s="27" customFormat="1" ht="19.5" hidden="1" customHeight="1" x14ac:dyDescent="0.25">
      <c r="A221" s="6"/>
      <c r="B221" s="1024"/>
      <c r="C221" s="2493" t="s">
        <v>6476</v>
      </c>
      <c r="D221" s="940">
        <v>225000000</v>
      </c>
      <c r="E221" s="65">
        <f t="shared" si="6"/>
        <v>0.16404945806808358</v>
      </c>
      <c r="F221" s="1954"/>
      <c r="G221" s="133"/>
      <c r="H221" s="204"/>
      <c r="I221" s="158"/>
      <c r="J221" s="368"/>
      <c r="K221" s="368"/>
      <c r="L221" s="73"/>
      <c r="M221" s="73"/>
      <c r="N221" s="1045"/>
    </row>
    <row r="222" spans="1:17" s="27" customFormat="1" ht="22.5" hidden="1" customHeight="1" x14ac:dyDescent="0.25">
      <c r="A222" s="6"/>
      <c r="B222" s="1024"/>
      <c r="C222" s="2493" t="s">
        <v>6477</v>
      </c>
      <c r="D222" s="940">
        <v>75000000</v>
      </c>
      <c r="E222" s="65">
        <f t="shared" si="6"/>
        <v>5.4683152689361199E-2</v>
      </c>
      <c r="F222" s="1942"/>
      <c r="G222" s="140"/>
      <c r="H222" s="201"/>
      <c r="I222" s="73"/>
      <c r="J222" s="368"/>
      <c r="K222" s="368"/>
      <c r="L222" s="73"/>
      <c r="M222" s="73"/>
      <c r="N222" s="1045"/>
    </row>
    <row r="223" spans="1:17" s="27" customFormat="1" ht="12" hidden="1" customHeight="1" x14ac:dyDescent="0.25">
      <c r="B223" s="1024"/>
      <c r="C223" s="2493"/>
      <c r="D223" s="940"/>
      <c r="E223" s="65"/>
      <c r="F223" s="1955"/>
      <c r="G223" s="1955"/>
      <c r="H223" s="1048"/>
      <c r="I223" s="1048"/>
      <c r="J223" s="1048"/>
      <c r="K223" s="1956"/>
      <c r="L223" s="209"/>
      <c r="M223" s="215"/>
      <c r="N223" s="1132"/>
      <c r="P223" s="79"/>
      <c r="Q223" s="79"/>
    </row>
    <row r="224" spans="1:17" s="27" customFormat="1" ht="23.25" hidden="1" customHeight="1" x14ac:dyDescent="0.25">
      <c r="B224" s="1024"/>
      <c r="C224" s="2491" t="s">
        <v>6438</v>
      </c>
      <c r="D224" s="2692">
        <f>SUM(D225:D227)</f>
        <v>2497500000</v>
      </c>
      <c r="E224" s="84">
        <f>D224/137153760000*100</f>
        <v>1.8209489845557278</v>
      </c>
      <c r="F224" s="1971"/>
      <c r="G224" s="1971"/>
      <c r="H224" s="110"/>
      <c r="I224" s="110"/>
      <c r="J224" s="110"/>
      <c r="K224" s="348"/>
      <c r="L224" s="157"/>
      <c r="M224" s="197"/>
      <c r="N224" s="1132"/>
      <c r="P224" s="79"/>
      <c r="Q224" s="79"/>
    </row>
    <row r="225" spans="2:17" s="27" customFormat="1" ht="20.25" hidden="1" customHeight="1" x14ac:dyDescent="0.25">
      <c r="B225" s="1024"/>
      <c r="C225" s="2494" t="s">
        <v>6478</v>
      </c>
      <c r="D225" s="896">
        <v>840000000</v>
      </c>
      <c r="E225" s="65">
        <f>D225/137153760000*100</f>
        <v>0.61245131012084542</v>
      </c>
      <c r="F225" s="1971"/>
      <c r="G225" s="1971"/>
      <c r="H225" s="110"/>
      <c r="I225" s="110"/>
      <c r="J225" s="110"/>
      <c r="K225" s="348"/>
      <c r="L225" s="157"/>
      <c r="M225" s="197"/>
      <c r="N225" s="1132"/>
      <c r="P225" s="79"/>
      <c r="Q225" s="79"/>
    </row>
    <row r="226" spans="2:17" s="27" customFormat="1" ht="20.25" hidden="1" customHeight="1" x14ac:dyDescent="0.25">
      <c r="B226" s="1024"/>
      <c r="C226" s="2495" t="s">
        <v>6479</v>
      </c>
      <c r="D226" s="2709">
        <v>157500000</v>
      </c>
      <c r="E226" s="65">
        <f t="shared" ref="E226:E227" si="7">D226/137153760000*100</f>
        <v>0.11483462064765851</v>
      </c>
      <c r="F226" s="1971"/>
      <c r="G226" s="1971"/>
      <c r="H226" s="110"/>
      <c r="I226" s="110"/>
      <c r="J226" s="110"/>
      <c r="K226" s="348"/>
      <c r="L226" s="157"/>
      <c r="M226" s="197"/>
      <c r="N226" s="1132"/>
      <c r="P226" s="79"/>
      <c r="Q226" s="79"/>
    </row>
    <row r="227" spans="2:17" s="27" customFormat="1" ht="21.75" hidden="1" customHeight="1" x14ac:dyDescent="0.25">
      <c r="B227" s="1024"/>
      <c r="C227" s="2495" t="s">
        <v>6480</v>
      </c>
      <c r="D227" s="2709">
        <v>1500000000</v>
      </c>
      <c r="E227" s="65">
        <f t="shared" si="7"/>
        <v>1.0936630537872238</v>
      </c>
      <c r="F227" s="1971"/>
      <c r="G227" s="1971"/>
      <c r="H227" s="110"/>
      <c r="I227" s="110"/>
      <c r="J227" s="110"/>
      <c r="K227" s="348"/>
      <c r="L227" s="157"/>
      <c r="M227" s="197"/>
      <c r="N227" s="1132"/>
      <c r="P227" s="79"/>
      <c r="Q227" s="79"/>
    </row>
    <row r="228" spans="2:17" s="27" customFormat="1" ht="12" hidden="1" customHeight="1" x14ac:dyDescent="0.25">
      <c r="B228" s="1024"/>
      <c r="C228" s="2495"/>
      <c r="D228" s="2709"/>
      <c r="E228" s="65"/>
      <c r="F228" s="1971"/>
      <c r="G228" s="1971"/>
      <c r="H228" s="110"/>
      <c r="I228" s="110"/>
      <c r="J228" s="110"/>
      <c r="K228" s="348"/>
      <c r="L228" s="157"/>
      <c r="M228" s="197"/>
      <c r="N228" s="1132"/>
      <c r="P228" s="79"/>
      <c r="Q228" s="79"/>
    </row>
    <row r="229" spans="2:17" s="27" customFormat="1" ht="19.5" hidden="1" customHeight="1" x14ac:dyDescent="0.25">
      <c r="B229" s="1024"/>
      <c r="C229" s="2496" t="s">
        <v>2116</v>
      </c>
      <c r="D229" s="2767">
        <f>SUM(D230:D243)</f>
        <v>12817510000</v>
      </c>
      <c r="E229" s="84">
        <f>D229/137153760000*100</f>
        <v>9.3453580856988534</v>
      </c>
      <c r="F229" s="1971"/>
      <c r="G229" s="1971"/>
      <c r="H229" s="110"/>
      <c r="I229" s="110"/>
      <c r="J229" s="110"/>
      <c r="K229" s="348"/>
      <c r="L229" s="157"/>
      <c r="M229" s="197"/>
      <c r="N229" s="1132"/>
      <c r="P229" s="79"/>
      <c r="Q229" s="79"/>
    </row>
    <row r="230" spans="2:17" s="27" customFormat="1" ht="19.5" hidden="1" customHeight="1" x14ac:dyDescent="0.25">
      <c r="B230" s="1024"/>
      <c r="C230" s="2495" t="s">
        <v>6481</v>
      </c>
      <c r="D230" s="2709">
        <v>200000000</v>
      </c>
      <c r="E230" s="65">
        <f>D230/137153760000*100</f>
        <v>0.14582174050496319</v>
      </c>
      <c r="F230" s="1971"/>
      <c r="G230" s="1971"/>
      <c r="H230" s="110"/>
      <c r="I230" s="110"/>
      <c r="J230" s="110"/>
      <c r="K230" s="348"/>
      <c r="L230" s="157"/>
      <c r="M230" s="197"/>
      <c r="N230" s="1132"/>
      <c r="P230" s="79"/>
      <c r="Q230" s="79"/>
    </row>
    <row r="231" spans="2:17" s="27" customFormat="1" ht="20.25" hidden="1" customHeight="1" x14ac:dyDescent="0.25">
      <c r="B231" s="1024"/>
      <c r="C231" s="2495" t="s">
        <v>6482</v>
      </c>
      <c r="D231" s="2709">
        <v>240000000</v>
      </c>
      <c r="E231" s="65">
        <f t="shared" ref="E231:E243" si="8">D231/137153760000*100</f>
        <v>0.17498608860595583</v>
      </c>
      <c r="F231" s="1971"/>
      <c r="G231" s="1971"/>
      <c r="H231" s="110"/>
      <c r="I231" s="110"/>
      <c r="J231" s="110"/>
      <c r="K231" s="348"/>
      <c r="L231" s="157"/>
      <c r="M231" s="197"/>
      <c r="N231" s="1132"/>
      <c r="P231" s="79"/>
      <c r="Q231" s="79"/>
    </row>
    <row r="232" spans="2:17" s="27" customFormat="1" ht="21" hidden="1" customHeight="1" x14ac:dyDescent="0.25">
      <c r="B232" s="1024"/>
      <c r="C232" s="2495" t="s">
        <v>6483</v>
      </c>
      <c r="D232" s="2709">
        <v>160000000</v>
      </c>
      <c r="E232" s="65">
        <f t="shared" si="8"/>
        <v>0.11665739240397056</v>
      </c>
      <c r="F232" s="1971"/>
      <c r="G232" s="1971"/>
      <c r="H232" s="110"/>
      <c r="I232" s="110"/>
      <c r="J232" s="110"/>
      <c r="K232" s="348"/>
      <c r="L232" s="157"/>
      <c r="M232" s="197"/>
      <c r="N232" s="1132"/>
      <c r="P232" s="79"/>
      <c r="Q232" s="79"/>
    </row>
    <row r="233" spans="2:17" s="27" customFormat="1" ht="30" hidden="1" customHeight="1" x14ac:dyDescent="0.25">
      <c r="B233" s="1024"/>
      <c r="C233" s="2495" t="s">
        <v>6484</v>
      </c>
      <c r="D233" s="2709">
        <v>360000000</v>
      </c>
      <c r="E233" s="65">
        <f t="shared" si="8"/>
        <v>0.26247913290893377</v>
      </c>
      <c r="F233" s="1971"/>
      <c r="G233" s="1971"/>
      <c r="H233" s="110"/>
      <c r="I233" s="110"/>
      <c r="J233" s="110"/>
      <c r="K233" s="348"/>
      <c r="L233" s="157"/>
      <c r="M233" s="197"/>
      <c r="N233" s="1132"/>
      <c r="P233" s="79"/>
      <c r="Q233" s="79"/>
    </row>
    <row r="234" spans="2:17" s="27" customFormat="1" ht="17.25" hidden="1" customHeight="1" x14ac:dyDescent="0.25">
      <c r="B234" s="1024"/>
      <c r="C234" s="2495" t="s">
        <v>6485</v>
      </c>
      <c r="D234" s="2709">
        <v>150000000</v>
      </c>
      <c r="E234" s="65">
        <f t="shared" si="8"/>
        <v>0.1093663053787224</v>
      </c>
      <c r="F234" s="1971"/>
      <c r="G234" s="1971"/>
      <c r="H234" s="110"/>
      <c r="I234" s="110"/>
      <c r="J234" s="110"/>
      <c r="K234" s="348"/>
      <c r="L234" s="157"/>
      <c r="M234" s="197"/>
      <c r="N234" s="1132"/>
      <c r="P234" s="79"/>
      <c r="Q234" s="79"/>
    </row>
    <row r="235" spans="2:17" s="27" customFormat="1" ht="21.75" hidden="1" customHeight="1" x14ac:dyDescent="0.25">
      <c r="B235" s="1024"/>
      <c r="C235" s="2495" t="s">
        <v>6486</v>
      </c>
      <c r="D235" s="2709">
        <v>150000000</v>
      </c>
      <c r="E235" s="65">
        <f t="shared" si="8"/>
        <v>0.1093663053787224</v>
      </c>
      <c r="F235" s="1971"/>
      <c r="G235" s="1971"/>
      <c r="H235" s="110"/>
      <c r="I235" s="110"/>
      <c r="J235" s="110"/>
      <c r="K235" s="348"/>
      <c r="L235" s="157"/>
      <c r="M235" s="197"/>
      <c r="N235" s="1132"/>
      <c r="P235" s="79"/>
      <c r="Q235" s="79"/>
    </row>
    <row r="236" spans="2:17" s="27" customFormat="1" ht="18" hidden="1" customHeight="1" x14ac:dyDescent="0.25">
      <c r="B236" s="1024"/>
      <c r="C236" s="2495" t="s">
        <v>6487</v>
      </c>
      <c r="D236" s="2709">
        <v>1200000000</v>
      </c>
      <c r="E236" s="65">
        <f t="shared" si="8"/>
        <v>0.87493044302977918</v>
      </c>
      <c r="F236" s="1971"/>
      <c r="G236" s="1971"/>
      <c r="H236" s="110"/>
      <c r="I236" s="110"/>
      <c r="J236" s="110"/>
      <c r="K236" s="348"/>
      <c r="L236" s="157"/>
      <c r="M236" s="197"/>
      <c r="N236" s="1132"/>
      <c r="P236" s="79"/>
      <c r="Q236" s="79"/>
    </row>
    <row r="237" spans="2:17" s="27" customFormat="1" ht="22.5" hidden="1" customHeight="1" x14ac:dyDescent="0.25">
      <c r="B237" s="1024"/>
      <c r="C237" s="2495" t="s">
        <v>6488</v>
      </c>
      <c r="D237" s="2709">
        <v>700000000</v>
      </c>
      <c r="E237" s="65">
        <f t="shared" si="8"/>
        <v>0.5103760917673712</v>
      </c>
      <c r="F237" s="1971"/>
      <c r="G237" s="1971"/>
      <c r="H237" s="110"/>
      <c r="I237" s="110"/>
      <c r="J237" s="110"/>
      <c r="K237" s="348"/>
      <c r="L237" s="157"/>
      <c r="M237" s="197"/>
      <c r="N237" s="1132"/>
      <c r="P237" s="79"/>
      <c r="Q237" s="79"/>
    </row>
    <row r="238" spans="2:17" s="27" customFormat="1" ht="19.5" hidden="1" customHeight="1" x14ac:dyDescent="0.25">
      <c r="B238" s="1024"/>
      <c r="C238" s="2495" t="s">
        <v>6489</v>
      </c>
      <c r="D238" s="2709">
        <v>1575000000</v>
      </c>
      <c r="E238" s="65">
        <f t="shared" si="8"/>
        <v>1.148346206476585</v>
      </c>
      <c r="F238" s="1971"/>
      <c r="G238" s="1971"/>
      <c r="H238" s="110"/>
      <c r="I238" s="110"/>
      <c r="J238" s="110"/>
      <c r="K238" s="348"/>
      <c r="L238" s="157"/>
      <c r="M238" s="197"/>
      <c r="N238" s="1132"/>
      <c r="P238" s="79"/>
      <c r="Q238" s="79"/>
    </row>
    <row r="239" spans="2:17" s="27" customFormat="1" ht="19.5" hidden="1" customHeight="1" x14ac:dyDescent="0.25">
      <c r="B239" s="1024"/>
      <c r="C239" s="2495" t="s">
        <v>6490</v>
      </c>
      <c r="D239" s="2709">
        <v>840000000</v>
      </c>
      <c r="E239" s="65">
        <f>D239/137153760000*100</f>
        <v>0.61245131012084542</v>
      </c>
      <c r="F239" s="1971"/>
      <c r="G239" s="1971"/>
      <c r="H239" s="110"/>
      <c r="I239" s="110"/>
      <c r="J239" s="110"/>
      <c r="K239" s="348"/>
      <c r="L239" s="157"/>
      <c r="M239" s="197"/>
      <c r="N239" s="1132"/>
      <c r="P239" s="79"/>
      <c r="Q239" s="79"/>
    </row>
    <row r="240" spans="2:17" s="27" customFormat="1" ht="18" hidden="1" customHeight="1" x14ac:dyDescent="0.25">
      <c r="B240" s="1024"/>
      <c r="C240" s="2495" t="s">
        <v>6491</v>
      </c>
      <c r="D240" s="2709">
        <v>700000000</v>
      </c>
      <c r="E240" s="65">
        <f t="shared" si="8"/>
        <v>0.5103760917673712</v>
      </c>
      <c r="F240" s="1971"/>
      <c r="G240" s="1971"/>
      <c r="H240" s="110"/>
      <c r="I240" s="110"/>
      <c r="J240" s="110"/>
      <c r="K240" s="348"/>
      <c r="L240" s="157"/>
      <c r="M240" s="197"/>
      <c r="N240" s="1132"/>
      <c r="P240" s="79"/>
      <c r="Q240" s="79"/>
    </row>
    <row r="241" spans="2:17" s="27" customFormat="1" ht="25.5" hidden="1" customHeight="1" x14ac:dyDescent="0.25">
      <c r="B241" s="1024"/>
      <c r="C241" s="2495" t="s">
        <v>6492</v>
      </c>
      <c r="D241" s="2709">
        <v>750000000</v>
      </c>
      <c r="E241" s="65">
        <f t="shared" si="8"/>
        <v>0.54683152689361192</v>
      </c>
      <c r="F241" s="1971"/>
      <c r="G241" s="1971"/>
      <c r="H241" s="110"/>
      <c r="I241" s="110"/>
      <c r="J241" s="110"/>
      <c r="K241" s="348"/>
      <c r="L241" s="157"/>
      <c r="M241" s="197"/>
      <c r="N241" s="1132"/>
      <c r="P241" s="79"/>
      <c r="Q241" s="79"/>
    </row>
    <row r="242" spans="2:17" s="27" customFormat="1" ht="19.5" hidden="1" customHeight="1" x14ac:dyDescent="0.25">
      <c r="B242" s="1024"/>
      <c r="C242" s="2495" t="s">
        <v>6493</v>
      </c>
      <c r="D242" s="2709">
        <v>550000000</v>
      </c>
      <c r="E242" s="65">
        <f t="shared" si="8"/>
        <v>0.4010097863886487</v>
      </c>
      <c r="F242" s="1971"/>
      <c r="G242" s="1971"/>
      <c r="H242" s="110"/>
      <c r="I242" s="110"/>
      <c r="J242" s="110"/>
      <c r="K242" s="348"/>
      <c r="L242" s="157"/>
      <c r="M242" s="197"/>
      <c r="N242" s="1132"/>
      <c r="P242" s="79"/>
      <c r="Q242" s="79"/>
    </row>
    <row r="243" spans="2:17" s="27" customFormat="1" ht="27" hidden="1" customHeight="1" x14ac:dyDescent="0.25">
      <c r="B243" s="1024"/>
      <c r="C243" s="2494" t="s">
        <v>6494</v>
      </c>
      <c r="D243" s="896">
        <v>5242510000</v>
      </c>
      <c r="E243" s="65">
        <f t="shared" si="8"/>
        <v>3.8223596640733728</v>
      </c>
      <c r="F243" s="1971"/>
      <c r="G243" s="1971"/>
      <c r="H243" s="110"/>
      <c r="I243" s="110"/>
      <c r="J243" s="110"/>
      <c r="K243" s="348"/>
      <c r="L243" s="157"/>
      <c r="M243" s="197"/>
      <c r="N243" s="1132"/>
      <c r="P243" s="79"/>
      <c r="Q243" s="79"/>
    </row>
    <row r="244" spans="2:17" s="27" customFormat="1" ht="12" hidden="1" customHeight="1" x14ac:dyDescent="0.25">
      <c r="B244" s="1024"/>
      <c r="C244" s="53"/>
      <c r="D244" s="4217"/>
      <c r="E244" s="1048"/>
      <c r="F244" s="1955"/>
      <c r="G244" s="1955"/>
      <c r="H244" s="1048"/>
      <c r="I244" s="1048"/>
      <c r="J244" s="1048"/>
      <c r="K244" s="1956"/>
      <c r="L244" s="209"/>
      <c r="M244" s="215"/>
      <c r="N244" s="1132"/>
      <c r="P244" s="79"/>
      <c r="Q244" s="79"/>
    </row>
    <row r="245" spans="2:17" s="27" customFormat="1" ht="21" hidden="1" customHeight="1" x14ac:dyDescent="0.25">
      <c r="B245" s="1029"/>
      <c r="C245" s="89" t="s">
        <v>4139</v>
      </c>
      <c r="D245" s="90">
        <f>SUM(D246+D251+D254)</f>
        <v>2014240000</v>
      </c>
      <c r="E245" s="78">
        <f>D245/137153760000*100</f>
        <v>1.4685999129735852</v>
      </c>
      <c r="F245" s="3956"/>
      <c r="G245" s="3956"/>
      <c r="H245" s="3955"/>
      <c r="I245" s="3955"/>
      <c r="J245" s="3955"/>
      <c r="K245" s="2395"/>
      <c r="L245" s="179"/>
      <c r="M245" s="215"/>
      <c r="N245" s="1132"/>
      <c r="P245" s="79"/>
      <c r="Q245" s="79"/>
    </row>
    <row r="246" spans="2:17" s="27" customFormat="1" ht="21" hidden="1" customHeight="1" x14ac:dyDescent="0.25">
      <c r="B246" s="1024"/>
      <c r="C246" s="3957" t="s">
        <v>314</v>
      </c>
      <c r="D246" s="2721">
        <f>SUM(D247:D249)</f>
        <v>1307700000</v>
      </c>
      <c r="E246" s="2102">
        <f>D246/1371537603000*100</f>
        <v>9.5345544820618383E-2</v>
      </c>
      <c r="F246" s="1955"/>
      <c r="G246" s="1955"/>
      <c r="H246" s="1048"/>
      <c r="I246" s="1048"/>
      <c r="J246" s="1048"/>
      <c r="K246" s="1956"/>
      <c r="L246" s="209"/>
      <c r="M246" s="215"/>
      <c r="N246" s="1132"/>
      <c r="P246" s="79"/>
      <c r="Q246" s="79"/>
    </row>
    <row r="247" spans="2:17" s="27" customFormat="1" ht="30.75" hidden="1" customHeight="1" x14ac:dyDescent="0.25">
      <c r="B247" s="1024"/>
      <c r="C247" s="2492" t="s">
        <v>6549</v>
      </c>
      <c r="D247" s="896">
        <v>459200000</v>
      </c>
      <c r="E247" s="65">
        <f>D247/137153760000*100</f>
        <v>0.3348067161993955</v>
      </c>
      <c r="F247" s="1971"/>
      <c r="G247" s="1971"/>
      <c r="H247" s="110"/>
      <c r="I247" s="110"/>
      <c r="J247" s="110"/>
      <c r="K247" s="348"/>
      <c r="L247" s="157"/>
      <c r="M247" s="197"/>
      <c r="N247" s="1132"/>
      <c r="P247" s="79"/>
      <c r="Q247" s="79"/>
    </row>
    <row r="248" spans="2:17" s="27" customFormat="1" ht="25.5" hidden="1" customHeight="1" x14ac:dyDescent="0.25">
      <c r="B248" s="1024"/>
      <c r="C248" s="2492" t="s">
        <v>6550</v>
      </c>
      <c r="D248" s="896">
        <v>450000000</v>
      </c>
      <c r="E248" s="65">
        <f t="shared" ref="E248:E249" si="9">D248/137153760000*100</f>
        <v>0.32809891613616715</v>
      </c>
      <c r="F248" s="1971"/>
      <c r="G248" s="1971"/>
      <c r="H248" s="110"/>
      <c r="I248" s="110"/>
      <c r="J248" s="110"/>
      <c r="K248" s="348"/>
      <c r="L248" s="157"/>
      <c r="M248" s="197"/>
      <c r="N248" s="1132"/>
      <c r="P248" s="79"/>
      <c r="Q248" s="79"/>
    </row>
    <row r="249" spans="2:17" s="27" customFormat="1" ht="29.25" hidden="1" customHeight="1" x14ac:dyDescent="0.25">
      <c r="B249" s="1024"/>
      <c r="C249" s="2485" t="s">
        <v>6551</v>
      </c>
      <c r="D249" s="896">
        <v>398500000</v>
      </c>
      <c r="E249" s="65">
        <f t="shared" si="9"/>
        <v>0.29054981795613916</v>
      </c>
      <c r="F249" s="1971"/>
      <c r="G249" s="1971"/>
      <c r="H249" s="110"/>
      <c r="I249" s="110"/>
      <c r="J249" s="110"/>
      <c r="K249" s="348"/>
      <c r="L249" s="157"/>
      <c r="M249" s="197"/>
      <c r="N249" s="1132"/>
      <c r="P249" s="79"/>
      <c r="Q249" s="79"/>
    </row>
    <row r="250" spans="2:17" s="27" customFormat="1" ht="12" hidden="1" customHeight="1" x14ac:dyDescent="0.25">
      <c r="B250" s="1024"/>
      <c r="C250" s="134"/>
      <c r="D250" s="130"/>
      <c r="E250" s="65"/>
      <c r="F250" s="1971"/>
      <c r="G250" s="1971"/>
      <c r="H250" s="110"/>
      <c r="I250" s="110"/>
      <c r="J250" s="110"/>
      <c r="K250" s="348"/>
      <c r="L250" s="157"/>
      <c r="M250" s="197"/>
      <c r="N250" s="1132"/>
      <c r="P250" s="79"/>
      <c r="Q250" s="79"/>
    </row>
    <row r="251" spans="2:17" s="27" customFormat="1" ht="23.25" hidden="1" customHeight="1" x14ac:dyDescent="0.25">
      <c r="B251" s="1024"/>
      <c r="C251" s="134" t="s">
        <v>6544</v>
      </c>
      <c r="D251" s="401">
        <f>D252</f>
        <v>356950000</v>
      </c>
      <c r="E251" s="84">
        <f>D251/137153760000*100</f>
        <v>0.26025535136623307</v>
      </c>
      <c r="F251" s="1971"/>
      <c r="G251" s="1971"/>
      <c r="H251" s="110"/>
      <c r="I251" s="110"/>
      <c r="J251" s="110"/>
      <c r="K251" s="348"/>
      <c r="L251" s="157"/>
      <c r="M251" s="197"/>
      <c r="N251" s="1132"/>
      <c r="P251" s="79"/>
      <c r="Q251" s="79"/>
    </row>
    <row r="252" spans="2:17" s="27" customFormat="1" ht="22.5" hidden="1" customHeight="1" x14ac:dyDescent="0.25">
      <c r="B252" s="1024"/>
      <c r="C252" s="2494" t="s">
        <v>6654</v>
      </c>
      <c r="D252" s="2698">
        <v>356950000</v>
      </c>
      <c r="E252" s="65">
        <f>D252/137153760000*100</f>
        <v>0.26025535136623307</v>
      </c>
      <c r="F252" s="1971"/>
      <c r="G252" s="1971"/>
      <c r="H252" s="110"/>
      <c r="I252" s="110"/>
      <c r="J252" s="110"/>
      <c r="K252" s="348"/>
      <c r="L252" s="157"/>
      <c r="M252" s="197"/>
      <c r="N252" s="1132"/>
      <c r="P252" s="79"/>
      <c r="Q252" s="79"/>
    </row>
    <row r="253" spans="2:17" s="27" customFormat="1" ht="12" hidden="1" customHeight="1" x14ac:dyDescent="0.25">
      <c r="B253" s="1024"/>
      <c r="C253" s="134"/>
      <c r="D253" s="130"/>
      <c r="E253" s="65"/>
      <c r="F253" s="1971"/>
      <c r="G253" s="1971"/>
      <c r="H253" s="110"/>
      <c r="I253" s="110"/>
      <c r="J253" s="110"/>
      <c r="K253" s="348"/>
      <c r="L253" s="157"/>
      <c r="M253" s="197"/>
      <c r="N253" s="1132"/>
      <c r="P253" s="79"/>
      <c r="Q253" s="79"/>
    </row>
    <row r="254" spans="2:17" s="27" customFormat="1" ht="33" hidden="1" customHeight="1" x14ac:dyDescent="0.25">
      <c r="B254" s="1024"/>
      <c r="C254" s="134" t="s">
        <v>6545</v>
      </c>
      <c r="D254" s="401">
        <f>D255</f>
        <v>349590000</v>
      </c>
      <c r="E254" s="84">
        <f>D254/137153760000*100</f>
        <v>0.2548891113156504</v>
      </c>
      <c r="F254" s="1971"/>
      <c r="G254" s="1971"/>
      <c r="H254" s="110"/>
      <c r="I254" s="110"/>
      <c r="J254" s="110"/>
      <c r="K254" s="348"/>
      <c r="L254" s="157"/>
      <c r="M254" s="197"/>
      <c r="N254" s="1132"/>
      <c r="P254" s="79"/>
      <c r="Q254" s="79"/>
    </row>
    <row r="255" spans="2:17" s="27" customFormat="1" ht="30" hidden="1" customHeight="1" x14ac:dyDescent="0.25">
      <c r="B255" s="1024"/>
      <c r="C255" s="2494" t="s">
        <v>6557</v>
      </c>
      <c r="D255" s="2698">
        <v>349590000</v>
      </c>
      <c r="E255" s="65">
        <f>D255/137153760000*100</f>
        <v>0.2548891113156504</v>
      </c>
      <c r="F255" s="1971"/>
      <c r="G255" s="1971"/>
      <c r="H255" s="110"/>
      <c r="I255" s="110"/>
      <c r="J255" s="110"/>
      <c r="K255" s="348"/>
      <c r="L255" s="157"/>
      <c r="M255" s="197"/>
      <c r="N255" s="1132"/>
      <c r="P255" s="79"/>
      <c r="Q255" s="79"/>
    </row>
    <row r="256" spans="2:17" s="27" customFormat="1" ht="12" hidden="1" customHeight="1" x14ac:dyDescent="0.25">
      <c r="B256" s="1024"/>
      <c r="C256" s="53"/>
      <c r="D256" s="4217"/>
      <c r="E256" s="1048"/>
      <c r="F256" s="1955"/>
      <c r="G256" s="1955"/>
      <c r="H256" s="1048"/>
      <c r="I256" s="1048"/>
      <c r="J256" s="1048"/>
      <c r="K256" s="1956"/>
      <c r="L256" s="209"/>
      <c r="M256" s="215"/>
      <c r="N256" s="1132"/>
      <c r="P256" s="79"/>
      <c r="Q256" s="79"/>
    </row>
    <row r="257" spans="1:17" ht="20.25" hidden="1" customHeight="1" x14ac:dyDescent="0.25">
      <c r="B257" s="1029"/>
      <c r="C257" s="89" t="s">
        <v>332</v>
      </c>
      <c r="D257" s="2744">
        <f>D258</f>
        <v>18218231150</v>
      </c>
      <c r="E257" s="78">
        <f>D257/137153760000*100</f>
        <v>13.283070876073685</v>
      </c>
      <c r="F257" s="131"/>
      <c r="G257" s="78"/>
      <c r="H257" s="57"/>
      <c r="I257" s="57"/>
      <c r="J257" s="131"/>
      <c r="K257" s="131"/>
      <c r="L257" s="200"/>
      <c r="M257" s="179"/>
      <c r="N257" s="1132"/>
    </row>
    <row r="258" spans="1:17" ht="18.75" hidden="1" customHeight="1" x14ac:dyDescent="0.25">
      <c r="B258" s="1024"/>
      <c r="C258" s="1957" t="s">
        <v>6657</v>
      </c>
      <c r="D258" s="1958">
        <f>SUM(D259:D261)</f>
        <v>18218231150</v>
      </c>
      <c r="E258" s="2102">
        <f>D258/1371537603000*100</f>
        <v>1.3283070847019278</v>
      </c>
      <c r="F258" s="1958"/>
      <c r="G258" s="156"/>
      <c r="H258" s="120"/>
      <c r="I258" s="120"/>
      <c r="J258" s="1958"/>
      <c r="K258" s="1958"/>
      <c r="L258" s="209"/>
      <c r="M258" s="72"/>
      <c r="N258" s="1132"/>
    </row>
    <row r="259" spans="1:17" s="27" customFormat="1" ht="19.5" hidden="1" customHeight="1" x14ac:dyDescent="0.25">
      <c r="A259" s="6"/>
      <c r="B259" s="1024"/>
      <c r="C259" s="1943" t="s">
        <v>6583</v>
      </c>
      <c r="D259" s="73">
        <v>7574296690</v>
      </c>
      <c r="E259" s="65">
        <f>D259/137153760000*100</f>
        <v>5.5224856321839075</v>
      </c>
      <c r="F259" s="1942"/>
      <c r="G259" s="140"/>
      <c r="H259" s="201"/>
      <c r="I259" s="71"/>
      <c r="J259" s="1041"/>
      <c r="K259" s="73"/>
      <c r="L259" s="73"/>
      <c r="M259" s="73"/>
      <c r="N259" s="1045"/>
    </row>
    <row r="260" spans="1:17" s="27" customFormat="1" ht="19.5" hidden="1" customHeight="1" x14ac:dyDescent="0.25">
      <c r="A260" s="6"/>
      <c r="B260" s="1024"/>
      <c r="C260" s="1959" t="s">
        <v>6584</v>
      </c>
      <c r="D260" s="191">
        <v>1937002000</v>
      </c>
      <c r="E260" s="65">
        <f t="shared" ref="E260:E261" si="10">D260/137153760000*100</f>
        <v>1.4122850150079735</v>
      </c>
      <c r="F260" s="1960"/>
      <c r="G260" s="239"/>
      <c r="H260" s="207"/>
      <c r="I260" s="85"/>
      <c r="J260" s="1961"/>
      <c r="K260" s="191"/>
      <c r="L260" s="191"/>
      <c r="M260" s="191"/>
      <c r="N260" s="1045"/>
    </row>
    <row r="261" spans="1:17" s="27" customFormat="1" ht="19.5" hidden="1" customHeight="1" x14ac:dyDescent="0.25">
      <c r="A261" s="6"/>
      <c r="B261" s="1024"/>
      <c r="C261" s="1943" t="s">
        <v>6585</v>
      </c>
      <c r="D261" s="73">
        <v>8706932460</v>
      </c>
      <c r="E261" s="65">
        <f t="shared" si="10"/>
        <v>6.3483002288818033</v>
      </c>
      <c r="F261" s="1942"/>
      <c r="G261" s="140"/>
      <c r="H261" s="201"/>
      <c r="I261" s="71"/>
      <c r="J261" s="1041"/>
      <c r="K261" s="73"/>
      <c r="L261" s="73"/>
      <c r="M261" s="73"/>
      <c r="N261" s="1045"/>
    </row>
    <row r="262" spans="1:17" ht="12" hidden="1" customHeight="1" x14ac:dyDescent="0.25">
      <c r="B262" s="1024"/>
      <c r="C262" s="53"/>
      <c r="D262" s="4217"/>
      <c r="E262" s="1048"/>
      <c r="F262" s="1955"/>
      <c r="G262" s="1955"/>
      <c r="H262" s="1048"/>
      <c r="I262" s="1048"/>
      <c r="J262" s="215"/>
      <c r="K262" s="1956"/>
      <c r="L262" s="209"/>
      <c r="M262" s="215"/>
      <c r="N262" s="1132"/>
    </row>
    <row r="263" spans="1:17" s="12" customFormat="1" ht="17.25" hidden="1" customHeight="1" x14ac:dyDescent="0.25">
      <c r="A263" s="29"/>
      <c r="B263" s="1997"/>
      <c r="C263" s="1998" t="s">
        <v>6998</v>
      </c>
      <c r="D263" s="4220">
        <f>SUM(D265+D299+D307+D311+D318+D327)</f>
        <v>45627494919</v>
      </c>
      <c r="E263" s="679">
        <f>D263/2512247400000*100</f>
        <v>1.816202294367983</v>
      </c>
      <c r="F263" s="1999"/>
      <c r="G263" s="2000"/>
      <c r="H263" s="679"/>
      <c r="I263" s="1500"/>
      <c r="J263" s="1034"/>
      <c r="K263" s="2000"/>
      <c r="L263" s="679"/>
      <c r="M263" s="1500"/>
      <c r="N263" s="1140"/>
      <c r="P263" s="667"/>
      <c r="Q263" s="667"/>
    </row>
    <row r="264" spans="1:17" s="13" customFormat="1" ht="6.75" hidden="1" customHeight="1" x14ac:dyDescent="0.25">
      <c r="A264" s="30"/>
      <c r="B264" s="2001"/>
      <c r="C264" s="333"/>
      <c r="D264" s="4221"/>
      <c r="E264" s="340"/>
      <c r="F264" s="2003"/>
      <c r="G264" s="2004"/>
      <c r="H264" s="340"/>
      <c r="I264" s="2005"/>
      <c r="J264" s="2002"/>
      <c r="K264" s="2004"/>
      <c r="L264" s="340"/>
      <c r="M264" s="2005"/>
      <c r="N264" s="2006"/>
      <c r="P264" s="104"/>
      <c r="Q264" s="104"/>
    </row>
    <row r="265" spans="1:17" s="5" customFormat="1" ht="21" hidden="1" customHeight="1" x14ac:dyDescent="0.25">
      <c r="A265" s="31"/>
      <c r="B265" s="2007"/>
      <c r="C265" s="342" t="s">
        <v>630</v>
      </c>
      <c r="D265" s="2959">
        <f>SUM(D266+D269+D276+D288+D292+D296)</f>
        <v>36874339497</v>
      </c>
      <c r="E265" s="2008">
        <f>D265/128986258000*100</f>
        <v>28.587804676836193</v>
      </c>
      <c r="F265" s="2009"/>
      <c r="G265" s="2009"/>
      <c r="H265" s="343"/>
      <c r="I265" s="2010"/>
      <c r="J265" s="2011"/>
      <c r="K265" s="2009"/>
      <c r="L265" s="343"/>
      <c r="M265" s="2010"/>
      <c r="N265" s="1140"/>
      <c r="P265" s="668">
        <v>31340248366</v>
      </c>
      <c r="Q265" s="668">
        <v>19359718510</v>
      </c>
    </row>
    <row r="266" spans="1:17" s="5" customFormat="1" ht="22.5" hidden="1" customHeight="1" x14ac:dyDescent="0.25">
      <c r="A266" s="31"/>
      <c r="B266" s="2012"/>
      <c r="C266" s="2521" t="s">
        <v>36</v>
      </c>
      <c r="D266" s="2759">
        <f>D267</f>
        <v>1891970000</v>
      </c>
      <c r="E266" s="2014">
        <f>D266/128986258000*100</f>
        <v>1.4667996648139061</v>
      </c>
      <c r="F266" s="128"/>
      <c r="G266" s="116"/>
      <c r="H266" s="240"/>
      <c r="I266" s="240"/>
      <c r="J266" s="1127"/>
      <c r="K266" s="116"/>
      <c r="L266" s="240"/>
      <c r="M266" s="240"/>
      <c r="N266" s="1140"/>
      <c r="P266" s="668"/>
      <c r="Q266" s="668"/>
    </row>
    <row r="267" spans="1:17" s="5" customFormat="1" ht="18" hidden="1" customHeight="1" x14ac:dyDescent="0.25">
      <c r="A267" s="31"/>
      <c r="B267" s="2015"/>
      <c r="C267" s="2524" t="s">
        <v>6692</v>
      </c>
      <c r="D267" s="2698">
        <v>1891970000</v>
      </c>
      <c r="E267" s="2017">
        <f>D267/128986258000*100</f>
        <v>1.4667996648139061</v>
      </c>
      <c r="F267" s="65"/>
      <c r="G267" s="117"/>
      <c r="H267" s="238"/>
      <c r="I267" s="238"/>
      <c r="J267" s="71"/>
      <c r="K267" s="117"/>
      <c r="L267" s="238"/>
      <c r="M267" s="238"/>
      <c r="N267" s="1140"/>
      <c r="P267" s="668"/>
      <c r="Q267" s="668"/>
    </row>
    <row r="268" spans="1:17" s="5" customFormat="1" ht="11.25" hidden="1" customHeight="1" x14ac:dyDescent="0.25">
      <c r="A268" s="31"/>
      <c r="B268" s="2015"/>
      <c r="C268" s="2473"/>
      <c r="D268" s="896"/>
      <c r="E268" s="2017"/>
      <c r="F268" s="675"/>
      <c r="G268" s="117"/>
      <c r="H268" s="73"/>
      <c r="I268" s="252"/>
      <c r="J268" s="1056"/>
      <c r="K268" s="117"/>
      <c r="L268" s="73"/>
      <c r="M268" s="252"/>
      <c r="N268" s="1140"/>
      <c r="P268" s="668"/>
      <c r="Q268" s="668"/>
    </row>
    <row r="269" spans="1:17" s="5" customFormat="1" ht="17.25" hidden="1" customHeight="1" x14ac:dyDescent="0.25">
      <c r="A269" s="31"/>
      <c r="B269" s="2015"/>
      <c r="C269" s="2525" t="s">
        <v>632</v>
      </c>
      <c r="D269" s="899">
        <f>SUM(D270:D274)</f>
        <v>929044000</v>
      </c>
      <c r="E269" s="2014">
        <f t="shared" ref="E269:E297" si="11">D269/128986258000*100</f>
        <v>0.72026587514462204</v>
      </c>
      <c r="F269" s="2019"/>
      <c r="G269" s="2019"/>
      <c r="H269" s="157"/>
      <c r="I269" s="267"/>
      <c r="J269" s="1125"/>
      <c r="K269" s="2019"/>
      <c r="L269" s="202"/>
      <c r="M269" s="267"/>
      <c r="N269" s="1140"/>
      <c r="P269" s="668"/>
      <c r="Q269" s="668"/>
    </row>
    <row r="270" spans="1:17" s="5" customFormat="1" ht="16.5" hidden="1" customHeight="1" x14ac:dyDescent="0.25">
      <c r="A270" s="31"/>
      <c r="B270" s="2015"/>
      <c r="C270" s="2524" t="s">
        <v>6693</v>
      </c>
      <c r="D270" s="2698">
        <v>161750000</v>
      </c>
      <c r="E270" s="2017">
        <f t="shared" si="11"/>
        <v>0.12540095550333744</v>
      </c>
      <c r="F270" s="1971"/>
      <c r="G270" s="117"/>
      <c r="H270" s="238"/>
      <c r="I270" s="238"/>
      <c r="J270" s="110"/>
      <c r="K270" s="117"/>
      <c r="L270" s="201"/>
      <c r="M270" s="252"/>
      <c r="N270" s="1140"/>
      <c r="P270" s="668"/>
      <c r="Q270" s="668"/>
    </row>
    <row r="271" spans="1:17" s="5" customFormat="1" ht="16.5" hidden="1" customHeight="1" x14ac:dyDescent="0.25">
      <c r="A271" s="31"/>
      <c r="B271" s="2015"/>
      <c r="C271" s="2524" t="s">
        <v>6694</v>
      </c>
      <c r="D271" s="2698">
        <v>131400000</v>
      </c>
      <c r="E271" s="2017">
        <f t="shared" si="11"/>
        <v>0.10187131717550872</v>
      </c>
      <c r="F271" s="1971"/>
      <c r="G271" s="117"/>
      <c r="H271" s="238"/>
      <c r="I271" s="238"/>
      <c r="J271" s="110"/>
      <c r="K271" s="117"/>
      <c r="L271" s="238"/>
      <c r="M271" s="238"/>
      <c r="N271" s="1140"/>
      <c r="P271" s="668"/>
      <c r="Q271" s="668"/>
    </row>
    <row r="272" spans="1:17" s="5" customFormat="1" ht="15" hidden="1" customHeight="1" x14ac:dyDescent="0.25">
      <c r="A272" s="31"/>
      <c r="B272" s="2015"/>
      <c r="C272" s="2524" t="s">
        <v>6695</v>
      </c>
      <c r="D272" s="2698">
        <v>106520000</v>
      </c>
      <c r="E272" s="2017">
        <f t="shared" si="11"/>
        <v>8.2582440681394129E-2</v>
      </c>
      <c r="F272" s="1971"/>
      <c r="G272" s="117"/>
      <c r="H272" s="73"/>
      <c r="I272" s="252"/>
      <c r="J272" s="110"/>
      <c r="K272" s="117"/>
      <c r="L272" s="201"/>
      <c r="M272" s="252"/>
      <c r="N272" s="1140"/>
      <c r="P272" s="668"/>
      <c r="Q272" s="668"/>
    </row>
    <row r="273" spans="1:17" s="5" customFormat="1" ht="15.75" hidden="1" customHeight="1" x14ac:dyDescent="0.25">
      <c r="A273" s="31"/>
      <c r="B273" s="2015"/>
      <c r="C273" s="2524" t="s">
        <v>6696</v>
      </c>
      <c r="D273" s="2698">
        <v>232564000</v>
      </c>
      <c r="E273" s="2017">
        <f t="shared" si="11"/>
        <v>0.18030137753124059</v>
      </c>
      <c r="F273" s="1971"/>
      <c r="G273" s="117"/>
      <c r="H273" s="238"/>
      <c r="I273" s="238"/>
      <c r="J273" s="110"/>
      <c r="K273" s="117"/>
      <c r="L273" s="201"/>
      <c r="M273" s="252"/>
      <c r="N273" s="1140"/>
      <c r="P273" s="668"/>
      <c r="Q273" s="668"/>
    </row>
    <row r="274" spans="1:17" s="5" customFormat="1" ht="18" hidden="1" customHeight="1" x14ac:dyDescent="0.25">
      <c r="A274" s="31"/>
      <c r="B274" s="2015"/>
      <c r="C274" s="2524" t="s">
        <v>6697</v>
      </c>
      <c r="D274" s="2698">
        <v>296810000</v>
      </c>
      <c r="E274" s="2017">
        <f t="shared" si="11"/>
        <v>0.2301097842531411</v>
      </c>
      <c r="F274" s="675"/>
      <c r="G274" s="117"/>
      <c r="H274" s="238"/>
      <c r="I274" s="252"/>
      <c r="J274" s="1056"/>
      <c r="K274" s="117"/>
      <c r="L274" s="73"/>
      <c r="M274" s="252"/>
      <c r="N274" s="1140"/>
      <c r="P274" s="668"/>
      <c r="Q274" s="668"/>
    </row>
    <row r="275" spans="1:17" s="5" customFormat="1" ht="11.25" hidden="1" customHeight="1" x14ac:dyDescent="0.25">
      <c r="A275" s="31"/>
      <c r="B275" s="2015"/>
      <c r="C275" s="2473"/>
      <c r="D275" s="896"/>
      <c r="E275" s="2017"/>
      <c r="F275" s="2019"/>
      <c r="G275" s="2019"/>
      <c r="H275" s="157"/>
      <c r="I275" s="267"/>
      <c r="J275" s="1125"/>
      <c r="K275" s="2019"/>
      <c r="L275" s="202"/>
      <c r="M275" s="267"/>
      <c r="N275" s="1140"/>
      <c r="P275" s="668"/>
      <c r="Q275" s="668"/>
    </row>
    <row r="276" spans="1:17" s="5" customFormat="1" ht="20.25" hidden="1" customHeight="1" x14ac:dyDescent="0.25">
      <c r="A276" s="31"/>
      <c r="B276" s="2015"/>
      <c r="C276" s="2521" t="s">
        <v>248</v>
      </c>
      <c r="D276" s="899">
        <f>SUM(D277:D286)</f>
        <v>27377922997</v>
      </c>
      <c r="E276" s="2014">
        <f t="shared" si="11"/>
        <v>21.225457208782661</v>
      </c>
      <c r="F276" s="135"/>
      <c r="G276" s="117"/>
      <c r="H276" s="238"/>
      <c r="I276" s="238"/>
      <c r="J276" s="135"/>
      <c r="K276" s="117"/>
      <c r="L276" s="201"/>
      <c r="M276" s="252"/>
      <c r="N276" s="1140"/>
      <c r="P276" s="668"/>
      <c r="Q276" s="668"/>
    </row>
    <row r="277" spans="1:17" s="5" customFormat="1" ht="18" hidden="1" customHeight="1" x14ac:dyDescent="0.25">
      <c r="A277" s="31"/>
      <c r="B277" s="2015"/>
      <c r="C277" s="2473" t="s">
        <v>6698</v>
      </c>
      <c r="D277" s="896">
        <v>6794625000</v>
      </c>
      <c r="E277" s="2017">
        <f t="shared" si="11"/>
        <v>5.2677123170748938</v>
      </c>
      <c r="F277" s="201"/>
      <c r="G277" s="117"/>
      <c r="H277" s="238"/>
      <c r="I277" s="238"/>
      <c r="J277" s="201"/>
      <c r="K277" s="117"/>
      <c r="L277" s="201"/>
      <c r="M277" s="252"/>
      <c r="N277" s="1140"/>
      <c r="P277" s="668"/>
      <c r="Q277" s="668"/>
    </row>
    <row r="278" spans="1:17" s="5" customFormat="1" ht="17.25" hidden="1" customHeight="1" x14ac:dyDescent="0.25">
      <c r="A278" s="31"/>
      <c r="B278" s="2015"/>
      <c r="C278" s="2526" t="s">
        <v>6699</v>
      </c>
      <c r="D278" s="896">
        <v>3332990000</v>
      </c>
      <c r="E278" s="2017">
        <f t="shared" si="11"/>
        <v>2.5839884431719851</v>
      </c>
      <c r="F278" s="201"/>
      <c r="G278" s="117"/>
      <c r="H278" s="238"/>
      <c r="I278" s="238"/>
      <c r="J278" s="201"/>
      <c r="K278" s="117"/>
      <c r="L278" s="201"/>
      <c r="M278" s="252"/>
      <c r="N278" s="1140"/>
      <c r="P278" s="668"/>
      <c r="Q278" s="668"/>
    </row>
    <row r="279" spans="1:17" s="5" customFormat="1" ht="22.5" hidden="1" customHeight="1" x14ac:dyDescent="0.25">
      <c r="A279" s="31"/>
      <c r="B279" s="2015"/>
      <c r="C279" s="2473" t="s">
        <v>6700</v>
      </c>
      <c r="D279" s="896">
        <v>2524280000</v>
      </c>
      <c r="E279" s="2017">
        <f t="shared" si="11"/>
        <v>1.9570146767107548</v>
      </c>
      <c r="F279" s="201"/>
      <c r="G279" s="117"/>
      <c r="H279" s="238"/>
      <c r="I279" s="238"/>
      <c r="J279" s="201"/>
      <c r="K279" s="117"/>
      <c r="L279" s="238"/>
      <c r="M279" s="238"/>
      <c r="N279" s="1140"/>
      <c r="P279" s="668"/>
      <c r="Q279" s="668"/>
    </row>
    <row r="280" spans="1:17" s="5" customFormat="1" ht="16.5" hidden="1" customHeight="1" x14ac:dyDescent="0.25">
      <c r="A280" s="31"/>
      <c r="B280" s="2015"/>
      <c r="C280" s="2526" t="s">
        <v>6701</v>
      </c>
      <c r="D280" s="896">
        <v>2084400000</v>
      </c>
      <c r="E280" s="2017">
        <f t="shared" si="11"/>
        <v>1.6159860998525906</v>
      </c>
      <c r="F280" s="135"/>
      <c r="G280" s="117"/>
      <c r="H280" s="238"/>
      <c r="I280" s="238"/>
      <c r="J280" s="135"/>
      <c r="K280" s="117"/>
      <c r="L280" s="238"/>
      <c r="M280" s="238"/>
      <c r="N280" s="1140"/>
      <c r="P280" s="668"/>
      <c r="Q280" s="668"/>
    </row>
    <row r="281" spans="1:17" s="5" customFormat="1" ht="19.5" hidden="1" customHeight="1" x14ac:dyDescent="0.25">
      <c r="A281" s="31"/>
      <c r="B281" s="2015"/>
      <c r="C281" s="2473" t="s">
        <v>6702</v>
      </c>
      <c r="D281" s="896">
        <v>1645362000</v>
      </c>
      <c r="E281" s="2017">
        <f t="shared" si="11"/>
        <v>1.2756103057117913</v>
      </c>
      <c r="F281" s="135"/>
      <c r="G281" s="117"/>
      <c r="H281" s="238"/>
      <c r="I281" s="238"/>
      <c r="J281" s="135"/>
      <c r="K281" s="117"/>
      <c r="L281" s="201"/>
      <c r="M281" s="252"/>
      <c r="N281" s="1140"/>
      <c r="P281" s="668"/>
      <c r="Q281" s="668"/>
    </row>
    <row r="282" spans="1:17" s="5" customFormat="1" ht="18" hidden="1" customHeight="1" x14ac:dyDescent="0.25">
      <c r="A282" s="31"/>
      <c r="B282" s="2015"/>
      <c r="C282" s="2473" t="s">
        <v>6703</v>
      </c>
      <c r="D282" s="896">
        <v>3336299997</v>
      </c>
      <c r="E282" s="2017">
        <f t="shared" si="11"/>
        <v>2.5865546056852038</v>
      </c>
      <c r="F282" s="135"/>
      <c r="G282" s="117"/>
      <c r="H282" s="73"/>
      <c r="I282" s="252"/>
      <c r="J282" s="135"/>
      <c r="K282" s="117"/>
      <c r="L282" s="201"/>
      <c r="M282" s="252"/>
      <c r="N282" s="1140"/>
      <c r="P282" s="668"/>
      <c r="Q282" s="668"/>
    </row>
    <row r="283" spans="1:17" s="5" customFormat="1" ht="19.5" hidden="1" customHeight="1" x14ac:dyDescent="0.25">
      <c r="A283" s="31"/>
      <c r="B283" s="2015"/>
      <c r="C283" s="2473" t="s">
        <v>6704</v>
      </c>
      <c r="D283" s="896">
        <v>250545000</v>
      </c>
      <c r="E283" s="2017">
        <f t="shared" si="11"/>
        <v>0.19424162223544775</v>
      </c>
      <c r="F283" s="135"/>
      <c r="G283" s="117"/>
      <c r="H283" s="73"/>
      <c r="I283" s="252"/>
      <c r="J283" s="135"/>
      <c r="K283" s="117"/>
      <c r="L283" s="201"/>
      <c r="M283" s="252"/>
      <c r="N283" s="1140"/>
      <c r="P283" s="668"/>
      <c r="Q283" s="668"/>
    </row>
    <row r="284" spans="1:17" s="5" customFormat="1" ht="29.25" hidden="1" customHeight="1" x14ac:dyDescent="0.25">
      <c r="A284" s="31"/>
      <c r="B284" s="2015"/>
      <c r="C284" s="2473" t="s">
        <v>6705</v>
      </c>
      <c r="D284" s="896">
        <v>370910000</v>
      </c>
      <c r="E284" s="2017">
        <f t="shared" si="11"/>
        <v>0.28755776448681841</v>
      </c>
      <c r="F284" s="135"/>
      <c r="G284" s="117"/>
      <c r="H284" s="238"/>
      <c r="I284" s="238"/>
      <c r="J284" s="135"/>
      <c r="K284" s="117"/>
      <c r="L284" s="201"/>
      <c r="M284" s="252"/>
      <c r="N284" s="1140"/>
      <c r="P284" s="668"/>
      <c r="Q284" s="668"/>
    </row>
    <row r="285" spans="1:17" s="5" customFormat="1" ht="22.5" hidden="1" customHeight="1" x14ac:dyDescent="0.25">
      <c r="A285" s="31"/>
      <c r="B285" s="2015"/>
      <c r="C285" s="2473" t="s">
        <v>6706</v>
      </c>
      <c r="D285" s="896">
        <v>6162211000</v>
      </c>
      <c r="E285" s="2017">
        <f t="shared" si="11"/>
        <v>4.777416676433857</v>
      </c>
      <c r="F285" s="135"/>
      <c r="G285" s="117"/>
      <c r="H285" s="238"/>
      <c r="I285" s="238"/>
      <c r="J285" s="135"/>
      <c r="K285" s="135"/>
      <c r="L285" s="201"/>
      <c r="M285" s="252"/>
      <c r="N285" s="1140"/>
      <c r="P285" s="668"/>
      <c r="Q285" s="668"/>
    </row>
    <row r="286" spans="1:17" s="5" customFormat="1" ht="18.75" hidden="1" customHeight="1" x14ac:dyDescent="0.25">
      <c r="A286" s="31"/>
      <c r="B286" s="2015"/>
      <c r="C286" s="2473" t="s">
        <v>6707</v>
      </c>
      <c r="D286" s="896">
        <v>876300000</v>
      </c>
      <c r="E286" s="2017">
        <f t="shared" si="11"/>
        <v>0.67937469741931733</v>
      </c>
      <c r="F286" s="135"/>
      <c r="G286" s="117"/>
      <c r="H286" s="73"/>
      <c r="I286" s="252"/>
      <c r="J286" s="135"/>
      <c r="K286" s="117"/>
      <c r="L286" s="201"/>
      <c r="M286" s="252"/>
      <c r="N286" s="1140"/>
      <c r="P286" s="668"/>
      <c r="Q286" s="668"/>
    </row>
    <row r="287" spans="1:17" s="5" customFormat="1" ht="12" hidden="1" customHeight="1" x14ac:dyDescent="0.25">
      <c r="A287" s="31"/>
      <c r="B287" s="2015"/>
      <c r="C287" s="2473"/>
      <c r="D287" s="2709"/>
      <c r="E287" s="2017"/>
      <c r="F287" s="135"/>
      <c r="G287" s="117"/>
      <c r="H287" s="73"/>
      <c r="I287" s="252"/>
      <c r="J287" s="135"/>
      <c r="K287" s="117"/>
      <c r="L287" s="201"/>
      <c r="M287" s="252"/>
      <c r="N287" s="1140"/>
      <c r="P287" s="668"/>
      <c r="Q287" s="668"/>
    </row>
    <row r="288" spans="1:17" s="5" customFormat="1" ht="22.5" hidden="1" customHeight="1" x14ac:dyDescent="0.25">
      <c r="A288" s="31"/>
      <c r="B288" s="2015"/>
      <c r="C288" s="2521" t="s">
        <v>658</v>
      </c>
      <c r="D288" s="2767">
        <f>SUM(D289:D290)</f>
        <v>1613920000</v>
      </c>
      <c r="E288" s="2014">
        <f t="shared" si="11"/>
        <v>1.2512340655699927</v>
      </c>
      <c r="F288" s="135"/>
      <c r="G288" s="117"/>
      <c r="H288" s="73"/>
      <c r="I288" s="252"/>
      <c r="J288" s="135"/>
      <c r="K288" s="117"/>
      <c r="L288" s="201"/>
      <c r="M288" s="252"/>
      <c r="N288" s="1140"/>
      <c r="P288" s="668"/>
      <c r="Q288" s="668"/>
    </row>
    <row r="289" spans="1:17" s="5" customFormat="1" ht="18" hidden="1" customHeight="1" x14ac:dyDescent="0.25">
      <c r="A289" s="31"/>
      <c r="B289" s="2015"/>
      <c r="C289" s="2524" t="s">
        <v>6708</v>
      </c>
      <c r="D289" s="896">
        <v>587450000</v>
      </c>
      <c r="E289" s="2017">
        <f t="shared" si="11"/>
        <v>0.45543611320207456</v>
      </c>
      <c r="F289" s="201"/>
      <c r="G289" s="117"/>
      <c r="H289" s="238"/>
      <c r="I289" s="238"/>
      <c r="J289" s="201"/>
      <c r="K289" s="117"/>
      <c r="L289" s="201"/>
      <c r="M289" s="252"/>
      <c r="N289" s="1140"/>
      <c r="P289" s="668"/>
      <c r="Q289" s="668"/>
    </row>
    <row r="290" spans="1:17" s="5" customFormat="1" ht="21" hidden="1" customHeight="1" x14ac:dyDescent="0.25">
      <c r="A290" s="31"/>
      <c r="B290" s="2015"/>
      <c r="C290" s="2524" t="s">
        <v>6709</v>
      </c>
      <c r="D290" s="896">
        <v>1026470000</v>
      </c>
      <c r="E290" s="2017">
        <f t="shared" si="11"/>
        <v>0.79579795236791817</v>
      </c>
      <c r="F290" s="201"/>
      <c r="G290" s="117"/>
      <c r="H290" s="238"/>
      <c r="I290" s="238"/>
      <c r="J290" s="201"/>
      <c r="K290" s="117"/>
      <c r="L290" s="201"/>
      <c r="M290" s="252"/>
      <c r="N290" s="1140"/>
      <c r="P290" s="668"/>
      <c r="Q290" s="668"/>
    </row>
    <row r="291" spans="1:17" s="5" customFormat="1" ht="10.5" hidden="1" customHeight="1" x14ac:dyDescent="0.25">
      <c r="A291" s="31"/>
      <c r="B291" s="2015"/>
      <c r="C291" s="2473"/>
      <c r="D291" s="896"/>
      <c r="E291" s="2017"/>
      <c r="F291" s="201"/>
      <c r="G291" s="117"/>
      <c r="H291" s="238"/>
      <c r="I291" s="238"/>
      <c r="J291" s="201"/>
      <c r="K291" s="117"/>
      <c r="L291" s="238"/>
      <c r="M291" s="238"/>
      <c r="N291" s="1140"/>
      <c r="P291" s="668"/>
      <c r="Q291" s="668"/>
    </row>
    <row r="292" spans="1:17" s="5" customFormat="1" ht="22.5" hidden="1" customHeight="1" x14ac:dyDescent="0.25">
      <c r="A292" s="31"/>
      <c r="B292" s="2015"/>
      <c r="C292" s="2521" t="s">
        <v>1267</v>
      </c>
      <c r="D292" s="2751">
        <f>SUM(D293:D294)</f>
        <v>3268750000</v>
      </c>
      <c r="E292" s="2014">
        <f t="shared" si="11"/>
        <v>2.5341846881084029</v>
      </c>
      <c r="F292" s="675"/>
      <c r="G292" s="117"/>
      <c r="H292" s="73"/>
      <c r="I292" s="252"/>
      <c r="J292" s="1056"/>
      <c r="K292" s="117"/>
      <c r="L292" s="73"/>
      <c r="M292" s="252"/>
      <c r="N292" s="1140"/>
      <c r="P292" s="668"/>
      <c r="Q292" s="668"/>
    </row>
    <row r="293" spans="1:17" s="5" customFormat="1" ht="22.5" hidden="1" customHeight="1" x14ac:dyDescent="0.25">
      <c r="A293" s="31"/>
      <c r="B293" s="2015"/>
      <c r="C293" s="2524" t="s">
        <v>6712</v>
      </c>
      <c r="D293" s="896">
        <v>2112850000</v>
      </c>
      <c r="E293" s="2017">
        <f t="shared" si="11"/>
        <v>1.6380427130462223</v>
      </c>
      <c r="F293" s="202"/>
      <c r="G293" s="2021"/>
      <c r="H293" s="157"/>
      <c r="I293" s="267"/>
      <c r="J293" s="2022"/>
      <c r="K293" s="2021"/>
      <c r="L293" s="202"/>
      <c r="M293" s="267"/>
      <c r="N293" s="1140"/>
      <c r="P293" s="668"/>
      <c r="Q293" s="668"/>
    </row>
    <row r="294" spans="1:17" s="5" customFormat="1" ht="18" hidden="1" customHeight="1" x14ac:dyDescent="0.25">
      <c r="A294" s="31"/>
      <c r="B294" s="2015"/>
      <c r="C294" s="2524" t="s">
        <v>6710</v>
      </c>
      <c r="D294" s="896">
        <v>1155900000</v>
      </c>
      <c r="E294" s="2017">
        <f t="shared" si="11"/>
        <v>0.89614197506218063</v>
      </c>
      <c r="F294" s="201"/>
      <c r="G294" s="117"/>
      <c r="H294" s="238"/>
      <c r="I294" s="238"/>
      <c r="J294" s="2023"/>
      <c r="K294" s="117"/>
      <c r="L294" s="201"/>
      <c r="M294" s="252"/>
      <c r="N294" s="1140"/>
      <c r="P294" s="668"/>
      <c r="Q294" s="668"/>
    </row>
    <row r="295" spans="1:17" s="5" customFormat="1" ht="12.75" hidden="1" customHeight="1" x14ac:dyDescent="0.25">
      <c r="A295" s="31"/>
      <c r="B295" s="2015"/>
      <c r="C295" s="2527"/>
      <c r="D295" s="898"/>
      <c r="E295" s="2017"/>
      <c r="F295" s="201"/>
      <c r="G295" s="117"/>
      <c r="H295" s="73"/>
      <c r="I295" s="252"/>
      <c r="J295" s="2023"/>
      <c r="K295" s="117"/>
      <c r="L295" s="201"/>
      <c r="M295" s="252"/>
      <c r="N295" s="1140"/>
      <c r="P295" s="668"/>
      <c r="Q295" s="668"/>
    </row>
    <row r="296" spans="1:17" s="5" customFormat="1" ht="20.25" hidden="1" customHeight="1" x14ac:dyDescent="0.25">
      <c r="A296" s="31"/>
      <c r="B296" s="2015"/>
      <c r="C296" s="2525" t="s">
        <v>2520</v>
      </c>
      <c r="D296" s="899">
        <f>SUM(D297:D297)</f>
        <v>1792732500</v>
      </c>
      <c r="E296" s="2014">
        <f t="shared" si="11"/>
        <v>1.389863174416611</v>
      </c>
      <c r="F296" s="201"/>
      <c r="G296" s="117"/>
      <c r="H296" s="73"/>
      <c r="I296" s="252"/>
      <c r="J296" s="2023"/>
      <c r="K296" s="117"/>
      <c r="L296" s="201"/>
      <c r="M296" s="252"/>
      <c r="N296" s="1140"/>
      <c r="P296" s="668"/>
      <c r="Q296" s="668"/>
    </row>
    <row r="297" spans="1:17" s="5" customFormat="1" ht="20.25" hidden="1" customHeight="1" x14ac:dyDescent="0.25">
      <c r="A297" s="31"/>
      <c r="B297" s="2015"/>
      <c r="C297" s="2524" t="s">
        <v>6711</v>
      </c>
      <c r="D297" s="896">
        <v>1792732500</v>
      </c>
      <c r="E297" s="2017">
        <f t="shared" si="11"/>
        <v>1.389863174416611</v>
      </c>
      <c r="F297" s="201"/>
      <c r="G297" s="117"/>
      <c r="H297" s="73"/>
      <c r="I297" s="252"/>
      <c r="J297" s="2023"/>
      <c r="K297" s="117"/>
      <c r="L297" s="201"/>
      <c r="M297" s="252"/>
      <c r="N297" s="1140"/>
      <c r="P297" s="668"/>
      <c r="Q297" s="668"/>
    </row>
    <row r="298" spans="1:17" s="5" customFormat="1" ht="16.5" hidden="1" customHeight="1" x14ac:dyDescent="0.25">
      <c r="A298" s="31"/>
      <c r="B298" s="1139"/>
      <c r="C298" s="211"/>
      <c r="D298" s="191"/>
      <c r="E298" s="2027"/>
      <c r="F298" s="207"/>
      <c r="G298" s="118"/>
      <c r="H298" s="191"/>
      <c r="I298" s="241"/>
      <c r="J298" s="207"/>
      <c r="K298" s="118"/>
      <c r="L298" s="207"/>
      <c r="M298" s="241"/>
      <c r="N298" s="1140"/>
      <c r="P298" s="668"/>
      <c r="Q298" s="668"/>
    </row>
    <row r="299" spans="1:17" s="5" customFormat="1" ht="18" hidden="1" customHeight="1" x14ac:dyDescent="0.25">
      <c r="A299" s="31"/>
      <c r="B299" s="2007"/>
      <c r="C299" s="2532" t="s">
        <v>425</v>
      </c>
      <c r="D299" s="179">
        <f>SUM(D300+D303)</f>
        <v>973380000</v>
      </c>
      <c r="E299" s="2029">
        <f>D299/128986258000*100</f>
        <v>0.7546385290129124</v>
      </c>
      <c r="F299" s="681"/>
      <c r="G299" s="2030"/>
      <c r="H299" s="1044"/>
      <c r="I299" s="992"/>
      <c r="J299" s="681"/>
      <c r="K299" s="2030"/>
      <c r="L299" s="681"/>
      <c r="M299" s="992"/>
      <c r="N299" s="1140"/>
      <c r="P299" s="668"/>
      <c r="Q299" s="668"/>
    </row>
    <row r="300" spans="1:17" s="5" customFormat="1" ht="20.25" hidden="1" customHeight="1" x14ac:dyDescent="0.25">
      <c r="A300" s="31"/>
      <c r="B300" s="1139"/>
      <c r="C300" s="2521" t="s">
        <v>6760</v>
      </c>
      <c r="D300" s="2767">
        <f>D301</f>
        <v>570285000</v>
      </c>
      <c r="E300" s="2014">
        <f>D300/128986258000*100</f>
        <v>0.44212849402918569</v>
      </c>
      <c r="F300" s="207"/>
      <c r="G300" s="118"/>
      <c r="H300" s="191"/>
      <c r="I300" s="241"/>
      <c r="J300" s="207"/>
      <c r="K300" s="118"/>
      <c r="L300" s="207"/>
      <c r="M300" s="241"/>
      <c r="N300" s="1140"/>
      <c r="P300" s="668"/>
      <c r="Q300" s="668"/>
    </row>
    <row r="301" spans="1:17" s="5" customFormat="1" ht="20.25" hidden="1" customHeight="1" x14ac:dyDescent="0.25">
      <c r="A301" s="31"/>
      <c r="B301" s="1139"/>
      <c r="C301" s="2524" t="s">
        <v>6764</v>
      </c>
      <c r="D301" s="896">
        <v>570285000</v>
      </c>
      <c r="E301" s="2017">
        <f>D301/128986258000*100</f>
        <v>0.44212849402918569</v>
      </c>
      <c r="F301" s="201"/>
      <c r="G301" s="117"/>
      <c r="H301" s="73"/>
      <c r="I301" s="238"/>
      <c r="J301" s="201"/>
      <c r="K301" s="117"/>
      <c r="L301" s="201"/>
      <c r="M301" s="238"/>
      <c r="N301" s="1140"/>
      <c r="P301" s="668"/>
      <c r="Q301" s="668"/>
    </row>
    <row r="302" spans="1:17" s="5" customFormat="1" ht="11.25" hidden="1" customHeight="1" x14ac:dyDescent="0.25">
      <c r="A302" s="31"/>
      <c r="B302" s="1139"/>
      <c r="C302" s="132"/>
      <c r="D302" s="73"/>
      <c r="E302" s="2017"/>
      <c r="F302" s="201"/>
      <c r="G302" s="117"/>
      <c r="H302" s="73"/>
      <c r="I302" s="238"/>
      <c r="J302" s="201"/>
      <c r="K302" s="117"/>
      <c r="L302" s="201"/>
      <c r="M302" s="238"/>
      <c r="N302" s="1140"/>
      <c r="P302" s="668"/>
      <c r="Q302" s="668"/>
    </row>
    <row r="303" spans="1:17" s="5" customFormat="1" ht="20.25" hidden="1" customHeight="1" x14ac:dyDescent="0.25">
      <c r="A303" s="31"/>
      <c r="B303" s="1139"/>
      <c r="C303" s="138" t="s">
        <v>6762</v>
      </c>
      <c r="D303" s="157">
        <f>SUM(D304:D305)</f>
        <v>403095000</v>
      </c>
      <c r="E303" s="2014">
        <f>D303/128986258000*100</f>
        <v>0.3125100349837267</v>
      </c>
      <c r="F303" s="201"/>
      <c r="G303" s="117"/>
      <c r="H303" s="73"/>
      <c r="I303" s="238"/>
      <c r="J303" s="201"/>
      <c r="K303" s="117"/>
      <c r="L303" s="201"/>
      <c r="M303" s="238"/>
      <c r="N303" s="1140"/>
      <c r="P303" s="668"/>
      <c r="Q303" s="668"/>
    </row>
    <row r="304" spans="1:17" s="5" customFormat="1" ht="20.25" hidden="1" customHeight="1" x14ac:dyDescent="0.25">
      <c r="A304" s="31"/>
      <c r="B304" s="1139"/>
      <c r="C304" s="132" t="s">
        <v>6767</v>
      </c>
      <c r="D304" s="73">
        <v>153190000</v>
      </c>
      <c r="E304" s="2017">
        <f>D304/128986258000*100</f>
        <v>0.11876458963558738</v>
      </c>
      <c r="F304" s="201"/>
      <c r="G304" s="117"/>
      <c r="H304" s="73"/>
      <c r="I304" s="238"/>
      <c r="J304" s="201"/>
      <c r="K304" s="117"/>
      <c r="L304" s="201"/>
      <c r="M304" s="238"/>
      <c r="N304" s="1140"/>
      <c r="P304" s="668"/>
      <c r="Q304" s="668"/>
    </row>
    <row r="305" spans="1:17" s="5" customFormat="1" ht="20.25" hidden="1" customHeight="1" x14ac:dyDescent="0.25">
      <c r="A305" s="31"/>
      <c r="B305" s="1139"/>
      <c r="C305" s="132" t="s">
        <v>6768</v>
      </c>
      <c r="D305" s="73">
        <v>249905000</v>
      </c>
      <c r="E305" s="2017">
        <f>D305/128986258000*100</f>
        <v>0.19374544534813934</v>
      </c>
      <c r="F305" s="201"/>
      <c r="G305" s="117"/>
      <c r="H305" s="73"/>
      <c r="I305" s="238"/>
      <c r="J305" s="201"/>
      <c r="K305" s="117"/>
      <c r="L305" s="201"/>
      <c r="M305" s="238"/>
      <c r="N305" s="1140"/>
      <c r="P305" s="668"/>
      <c r="Q305" s="668"/>
    </row>
    <row r="306" spans="1:17" s="5" customFormat="1" ht="19.5" hidden="1" customHeight="1" x14ac:dyDescent="0.25">
      <c r="A306" s="31"/>
      <c r="B306" s="1139"/>
      <c r="C306" s="213"/>
      <c r="D306" s="158"/>
      <c r="E306" s="4209"/>
      <c r="F306" s="204"/>
      <c r="G306" s="1996"/>
      <c r="H306" s="158"/>
      <c r="I306" s="236"/>
      <c r="J306" s="204"/>
      <c r="K306" s="1996"/>
      <c r="L306" s="204"/>
      <c r="M306" s="236"/>
      <c r="N306" s="1140"/>
      <c r="P306" s="668"/>
      <c r="Q306" s="668"/>
    </row>
    <row r="307" spans="1:17" s="5" customFormat="1" ht="20.25" hidden="1" customHeight="1" x14ac:dyDescent="0.25">
      <c r="A307" s="31"/>
      <c r="B307" s="2007"/>
      <c r="C307" s="208" t="s">
        <v>329</v>
      </c>
      <c r="D307" s="179">
        <f>D308</f>
        <v>105000000</v>
      </c>
      <c r="E307" s="2029">
        <f>D307/128986258000*100</f>
        <v>8.1404020574036645E-2</v>
      </c>
      <c r="F307" s="681"/>
      <c r="G307" s="2030"/>
      <c r="H307" s="1044"/>
      <c r="I307" s="992"/>
      <c r="J307" s="681"/>
      <c r="K307" s="2030"/>
      <c r="L307" s="681"/>
      <c r="M307" s="992"/>
      <c r="N307" s="1140"/>
      <c r="P307" s="668"/>
      <c r="Q307" s="668"/>
    </row>
    <row r="308" spans="1:17" s="4" customFormat="1" ht="20.25" hidden="1" customHeight="1" x14ac:dyDescent="0.25">
      <c r="A308" s="25"/>
      <c r="B308" s="1024"/>
      <c r="C308" s="216" t="s">
        <v>768</v>
      </c>
      <c r="D308" s="209">
        <v>105000000</v>
      </c>
      <c r="E308" s="2014">
        <f>D308/128986258000*100</f>
        <v>8.1404020574036645E-2</v>
      </c>
      <c r="F308" s="101"/>
      <c r="G308" s="4210"/>
      <c r="H308" s="209"/>
      <c r="I308" s="4211"/>
      <c r="J308" s="101"/>
      <c r="K308" s="4210"/>
      <c r="L308" s="101"/>
      <c r="M308" s="4211"/>
      <c r="N308" s="1903"/>
      <c r="P308" s="58"/>
      <c r="Q308" s="58"/>
    </row>
    <row r="309" spans="1:17" s="5" customFormat="1" ht="19.5" hidden="1" customHeight="1" x14ac:dyDescent="0.25">
      <c r="A309" s="31"/>
      <c r="B309" s="1139"/>
      <c r="C309" s="213" t="s">
        <v>769</v>
      </c>
      <c r="D309" s="158">
        <v>105000000</v>
      </c>
      <c r="E309" s="2017">
        <f>D309/128986258000*100</f>
        <v>8.1404020574036645E-2</v>
      </c>
      <c r="F309" s="204"/>
      <c r="G309" s="1996"/>
      <c r="H309" s="158"/>
      <c r="I309" s="236"/>
      <c r="J309" s="204"/>
      <c r="K309" s="1996"/>
      <c r="L309" s="204"/>
      <c r="M309" s="236"/>
      <c r="N309" s="1140"/>
      <c r="P309" s="668"/>
      <c r="Q309" s="668"/>
    </row>
    <row r="310" spans="1:17" s="5" customFormat="1" ht="17.25" hidden="1" customHeight="1" x14ac:dyDescent="0.25">
      <c r="A310" s="31"/>
      <c r="B310" s="1139"/>
      <c r="C310" s="213"/>
      <c r="D310" s="158"/>
      <c r="E310" s="4209"/>
      <c r="F310" s="204"/>
      <c r="G310" s="1996"/>
      <c r="H310" s="158"/>
      <c r="I310" s="236"/>
      <c r="J310" s="204"/>
      <c r="K310" s="1996"/>
      <c r="L310" s="204"/>
      <c r="M310" s="236"/>
      <c r="N310" s="1140"/>
      <c r="P310" s="668"/>
      <c r="Q310" s="668"/>
    </row>
    <row r="311" spans="1:17" s="5" customFormat="1" ht="20.25" hidden="1" customHeight="1" x14ac:dyDescent="0.25">
      <c r="A311" s="31"/>
      <c r="B311" s="2007"/>
      <c r="C311" s="208" t="s">
        <v>831</v>
      </c>
      <c r="D311" s="179">
        <f>SUM(D312+D315)</f>
        <v>650494892</v>
      </c>
      <c r="E311" s="2029">
        <f>D311/128986258000*100</f>
        <v>0.50431332925403571</v>
      </c>
      <c r="F311" s="681"/>
      <c r="G311" s="2030"/>
      <c r="H311" s="1044"/>
      <c r="I311" s="992"/>
      <c r="J311" s="681"/>
      <c r="K311" s="2030"/>
      <c r="L311" s="681"/>
      <c r="M311" s="992"/>
      <c r="N311" s="1140"/>
      <c r="P311" s="668"/>
      <c r="Q311" s="668"/>
    </row>
    <row r="312" spans="1:17" s="5" customFormat="1" ht="20.25" hidden="1" customHeight="1" x14ac:dyDescent="0.25">
      <c r="A312" s="31"/>
      <c r="B312" s="1139"/>
      <c r="C312" s="216" t="s">
        <v>6821</v>
      </c>
      <c r="D312" s="209">
        <f>D313</f>
        <v>429150000</v>
      </c>
      <c r="E312" s="2014">
        <f>D312/128986258000*100</f>
        <v>0.33270986123188412</v>
      </c>
      <c r="F312" s="207"/>
      <c r="G312" s="118"/>
      <c r="H312" s="191"/>
      <c r="I312" s="241"/>
      <c r="J312" s="207"/>
      <c r="K312" s="118"/>
      <c r="L312" s="207"/>
      <c r="M312" s="241"/>
      <c r="N312" s="1140"/>
      <c r="P312" s="668"/>
      <c r="Q312" s="668"/>
    </row>
    <row r="313" spans="1:17" s="5" customFormat="1" ht="20.25" hidden="1" customHeight="1" x14ac:dyDescent="0.25">
      <c r="A313" s="31"/>
      <c r="B313" s="1139"/>
      <c r="C313" s="213" t="s">
        <v>6822</v>
      </c>
      <c r="D313" s="158">
        <v>429150000</v>
      </c>
      <c r="E313" s="2017">
        <f>D313/128986258000*100</f>
        <v>0.33270986123188412</v>
      </c>
      <c r="F313" s="204"/>
      <c r="G313" s="1996"/>
      <c r="H313" s="158"/>
      <c r="I313" s="236"/>
      <c r="J313" s="204"/>
      <c r="K313" s="1996"/>
      <c r="L313" s="204"/>
      <c r="M313" s="236"/>
      <c r="N313" s="1140"/>
      <c r="P313" s="668"/>
      <c r="Q313" s="668"/>
    </row>
    <row r="314" spans="1:17" s="5" customFormat="1" ht="10.5" hidden="1" customHeight="1" x14ac:dyDescent="0.25">
      <c r="A314" s="31"/>
      <c r="B314" s="1139"/>
      <c r="C314" s="213"/>
      <c r="D314" s="158"/>
      <c r="E314" s="2027"/>
      <c r="F314" s="204"/>
      <c r="G314" s="1996"/>
      <c r="H314" s="158"/>
      <c r="I314" s="236"/>
      <c r="J314" s="204"/>
      <c r="K314" s="1996"/>
      <c r="L314" s="204"/>
      <c r="M314" s="236"/>
      <c r="N314" s="1140"/>
      <c r="P314" s="668"/>
      <c r="Q314" s="668"/>
    </row>
    <row r="315" spans="1:17" s="5" customFormat="1" ht="27" hidden="1" customHeight="1" x14ac:dyDescent="0.25">
      <c r="A315" s="31"/>
      <c r="B315" s="1139"/>
      <c r="C315" s="359" t="s">
        <v>6827</v>
      </c>
      <c r="D315" s="336">
        <f>D316</f>
        <v>221344892</v>
      </c>
      <c r="E315" s="4721">
        <f>D315/128986258000*100</f>
        <v>0.17160346802215162</v>
      </c>
      <c r="F315" s="204"/>
      <c r="G315" s="1996"/>
      <c r="H315" s="158"/>
      <c r="I315" s="236"/>
      <c r="J315" s="204"/>
      <c r="K315" s="1996"/>
      <c r="L315" s="204"/>
      <c r="M315" s="236"/>
      <c r="N315" s="1140"/>
      <c r="P315" s="668"/>
      <c r="Q315" s="668"/>
    </row>
    <row r="316" spans="1:17" s="5" customFormat="1" ht="32.25" hidden="1" customHeight="1" x14ac:dyDescent="0.25">
      <c r="A316" s="31"/>
      <c r="B316" s="1139"/>
      <c r="C316" s="213" t="s">
        <v>6828</v>
      </c>
      <c r="D316" s="158">
        <v>221344892</v>
      </c>
      <c r="E316" s="2014">
        <f>D316/128986258000*100</f>
        <v>0.17160346802215162</v>
      </c>
      <c r="F316" s="204"/>
      <c r="G316" s="1996"/>
      <c r="H316" s="158"/>
      <c r="I316" s="236"/>
      <c r="J316" s="204"/>
      <c r="K316" s="1996"/>
      <c r="L316" s="204"/>
      <c r="M316" s="236"/>
      <c r="N316" s="1140"/>
      <c r="P316" s="668"/>
      <c r="Q316" s="668"/>
    </row>
    <row r="317" spans="1:17" s="5" customFormat="1" ht="20.25" hidden="1" customHeight="1" x14ac:dyDescent="0.25">
      <c r="A317" s="31"/>
      <c r="B317" s="1139"/>
      <c r="C317" s="213"/>
      <c r="D317" s="158"/>
      <c r="E317" s="2017"/>
      <c r="F317" s="204"/>
      <c r="G317" s="1996"/>
      <c r="H317" s="158"/>
      <c r="I317" s="236"/>
      <c r="J317" s="204"/>
      <c r="K317" s="1996"/>
      <c r="L317" s="204"/>
      <c r="M317" s="236"/>
      <c r="N317" s="1140"/>
      <c r="P317" s="668"/>
      <c r="Q317" s="668"/>
    </row>
    <row r="318" spans="1:17" s="5" customFormat="1" ht="19.5" hidden="1" customHeight="1" x14ac:dyDescent="0.25">
      <c r="A318" s="31"/>
      <c r="B318" s="2007"/>
      <c r="C318" s="2471" t="s">
        <v>865</v>
      </c>
      <c r="D318" s="2744">
        <f>SUM(D319)</f>
        <v>936780530</v>
      </c>
      <c r="E318" s="2029">
        <f>D318/128986258000*100</f>
        <v>0.72626382416644719</v>
      </c>
      <c r="F318" s="681"/>
      <c r="G318" s="2030"/>
      <c r="H318" s="1044"/>
      <c r="I318" s="992"/>
      <c r="J318" s="681"/>
      <c r="K318" s="2030"/>
      <c r="L318" s="681"/>
      <c r="M318" s="992"/>
      <c r="N318" s="1140"/>
      <c r="P318" s="668"/>
      <c r="Q318" s="668"/>
    </row>
    <row r="319" spans="1:17" s="5" customFormat="1" ht="23.25" hidden="1" customHeight="1" x14ac:dyDescent="0.25">
      <c r="A319" s="31"/>
      <c r="B319" s="1139"/>
      <c r="C319" s="2538" t="s">
        <v>866</v>
      </c>
      <c r="D319" s="2751">
        <f>SUM(D320:D325)</f>
        <v>936780530</v>
      </c>
      <c r="E319" s="2014">
        <f>D319/128986258000*100</f>
        <v>0.72626382416644719</v>
      </c>
      <c r="F319" s="207"/>
      <c r="G319" s="118"/>
      <c r="H319" s="191"/>
      <c r="I319" s="241"/>
      <c r="J319" s="207"/>
      <c r="K319" s="118"/>
      <c r="L319" s="207"/>
      <c r="M319" s="241"/>
      <c r="N319" s="1140"/>
      <c r="P319" s="668"/>
      <c r="Q319" s="668"/>
    </row>
    <row r="320" spans="1:17" s="5" customFormat="1" ht="32.25" hidden="1" customHeight="1" x14ac:dyDescent="0.25">
      <c r="A320" s="31"/>
      <c r="B320" s="1139"/>
      <c r="C320" s="2473" t="s">
        <v>6846</v>
      </c>
      <c r="D320" s="896">
        <v>79920000</v>
      </c>
      <c r="E320" s="2017">
        <f>D320/128986258000*100</f>
        <v>6.1960088802638182E-2</v>
      </c>
      <c r="F320" s="204"/>
      <c r="G320" s="1996"/>
      <c r="H320" s="158"/>
      <c r="I320" s="236"/>
      <c r="J320" s="204"/>
      <c r="K320" s="1996"/>
      <c r="L320" s="204"/>
      <c r="M320" s="236"/>
      <c r="N320" s="1140"/>
      <c r="P320" s="668"/>
      <c r="Q320" s="668"/>
    </row>
    <row r="321" spans="1:19" s="5" customFormat="1" ht="32.25" hidden="1" customHeight="1" x14ac:dyDescent="0.25">
      <c r="A321" s="31"/>
      <c r="B321" s="1139"/>
      <c r="C321" s="2526" t="s">
        <v>6847</v>
      </c>
      <c r="D321" s="2709">
        <v>174900000</v>
      </c>
      <c r="E321" s="2017">
        <f t="shared" ref="E321:E325" si="12">D321/128986258000*100</f>
        <v>0.1355958399847525</v>
      </c>
      <c r="F321" s="204"/>
      <c r="G321" s="1996"/>
      <c r="H321" s="158"/>
      <c r="I321" s="236"/>
      <c r="J321" s="204"/>
      <c r="K321" s="1996"/>
      <c r="L321" s="204"/>
      <c r="M321" s="236"/>
      <c r="N321" s="1140"/>
      <c r="P321" s="668"/>
      <c r="Q321" s="668"/>
    </row>
    <row r="322" spans="1:19" s="5" customFormat="1" ht="32.25" hidden="1" customHeight="1" x14ac:dyDescent="0.25">
      <c r="A322" s="31"/>
      <c r="B322" s="1139"/>
      <c r="C322" s="2524" t="s">
        <v>6848</v>
      </c>
      <c r="D322" s="896">
        <v>396831030</v>
      </c>
      <c r="E322" s="2017">
        <f t="shared" si="12"/>
        <v>0.30765372695748722</v>
      </c>
      <c r="F322" s="204"/>
      <c r="G322" s="1996"/>
      <c r="H322" s="158"/>
      <c r="I322" s="236"/>
      <c r="J322" s="204"/>
      <c r="K322" s="1996"/>
      <c r="L322" s="204"/>
      <c r="M322" s="236"/>
      <c r="N322" s="1140"/>
      <c r="P322" s="668"/>
      <c r="Q322" s="668"/>
    </row>
    <row r="323" spans="1:19" s="5" customFormat="1" ht="16.5" hidden="1" customHeight="1" x14ac:dyDescent="0.25">
      <c r="A323" s="31"/>
      <c r="B323" s="1139"/>
      <c r="C323" s="2524" t="s">
        <v>6849</v>
      </c>
      <c r="D323" s="896">
        <v>123560000</v>
      </c>
      <c r="E323" s="2017">
        <f t="shared" si="12"/>
        <v>9.5793150305980651E-2</v>
      </c>
      <c r="F323" s="204"/>
      <c r="G323" s="1996"/>
      <c r="H323" s="158"/>
      <c r="I323" s="236"/>
      <c r="J323" s="204"/>
      <c r="K323" s="1996"/>
      <c r="L323" s="204"/>
      <c r="M323" s="236"/>
      <c r="N323" s="1140"/>
      <c r="P323" s="668"/>
      <c r="Q323" s="668"/>
    </row>
    <row r="324" spans="1:19" s="5" customFormat="1" ht="18.75" hidden="1" customHeight="1" x14ac:dyDescent="0.25">
      <c r="A324" s="31"/>
      <c r="B324" s="1139"/>
      <c r="C324" s="2524" t="s">
        <v>6850</v>
      </c>
      <c r="D324" s="896">
        <v>73649500</v>
      </c>
      <c r="E324" s="2017">
        <f t="shared" si="12"/>
        <v>5.709871822159536E-2</v>
      </c>
      <c r="F324" s="204"/>
      <c r="G324" s="1996"/>
      <c r="H324" s="158"/>
      <c r="I324" s="236"/>
      <c r="J324" s="204"/>
      <c r="K324" s="1996"/>
      <c r="L324" s="204"/>
      <c r="M324" s="236"/>
      <c r="N324" s="1140"/>
      <c r="P324" s="668"/>
      <c r="Q324" s="668"/>
    </row>
    <row r="325" spans="1:19" s="5" customFormat="1" ht="20.25" hidden="1" customHeight="1" x14ac:dyDescent="0.25">
      <c r="A325" s="31"/>
      <c r="B325" s="1139"/>
      <c r="C325" s="2524" t="s">
        <v>6851</v>
      </c>
      <c r="D325" s="896">
        <v>87920000</v>
      </c>
      <c r="E325" s="2017">
        <f t="shared" si="12"/>
        <v>6.8162299893993361E-2</v>
      </c>
      <c r="F325" s="204"/>
      <c r="G325" s="1996"/>
      <c r="H325" s="158"/>
      <c r="I325" s="236"/>
      <c r="J325" s="204"/>
      <c r="K325" s="1996"/>
      <c r="L325" s="204"/>
      <c r="M325" s="236"/>
      <c r="N325" s="1140"/>
      <c r="P325" s="668"/>
      <c r="Q325" s="668"/>
    </row>
    <row r="326" spans="1:19" ht="13.5" hidden="1" customHeight="1" x14ac:dyDescent="0.25">
      <c r="B326" s="1024"/>
      <c r="C326" s="335"/>
      <c r="D326" s="4222"/>
      <c r="E326" s="4207"/>
      <c r="F326" s="2240"/>
      <c r="G326" s="4208"/>
      <c r="H326" s="338"/>
      <c r="I326" s="338"/>
      <c r="J326" s="2239"/>
      <c r="K326" s="4208"/>
      <c r="L326" s="338"/>
      <c r="M326" s="338"/>
      <c r="N326" s="1132"/>
    </row>
    <row r="327" spans="1:19" ht="17.25" hidden="1" customHeight="1" x14ac:dyDescent="0.25">
      <c r="B327" s="1029"/>
      <c r="C327" s="56" t="s">
        <v>6991</v>
      </c>
      <c r="D327" s="2315">
        <f>SUM(D328+D331)</f>
        <v>6087500000</v>
      </c>
      <c r="E327" s="2029">
        <f>D327/128986258000*100</f>
        <v>4.7194950023280775</v>
      </c>
      <c r="F327" s="127"/>
      <c r="G327" s="127"/>
      <c r="H327" s="179"/>
      <c r="I327" s="179"/>
      <c r="J327" s="1021"/>
      <c r="K327" s="127"/>
      <c r="L327" s="179"/>
      <c r="M327" s="179"/>
      <c r="N327" s="1132"/>
    </row>
    <row r="328" spans="1:19" s="27" customFormat="1" ht="18.75" hidden="1" customHeight="1" x14ac:dyDescent="0.25">
      <c r="B328" s="1993"/>
      <c r="C328" s="69" t="s">
        <v>6992</v>
      </c>
      <c r="D328" s="4223">
        <f>SUM(D329:D329)</f>
        <v>1087500000</v>
      </c>
      <c r="E328" s="2014">
        <f>D328/128986258000*100</f>
        <v>0.84311307023109383</v>
      </c>
      <c r="F328" s="128"/>
      <c r="G328" s="128"/>
      <c r="H328" s="72"/>
      <c r="I328" s="72"/>
      <c r="J328" s="1127"/>
      <c r="K328" s="128"/>
      <c r="L328" s="72"/>
      <c r="M328" s="72"/>
      <c r="N328" s="1132"/>
      <c r="P328" s="79"/>
      <c r="Q328" s="79"/>
    </row>
    <row r="329" spans="1:19" s="27" customFormat="1" ht="16.5" hidden="1" customHeight="1" x14ac:dyDescent="0.25">
      <c r="B329" s="1904"/>
      <c r="C329" s="132" t="s">
        <v>6963</v>
      </c>
      <c r="D329" s="73">
        <v>1087500000</v>
      </c>
      <c r="E329" s="2017">
        <f>D329/128986258000*100</f>
        <v>0.84311307023109383</v>
      </c>
      <c r="F329" s="201"/>
      <c r="G329" s="117"/>
      <c r="H329" s="73"/>
      <c r="I329" s="73"/>
      <c r="J329" s="73"/>
      <c r="K329" s="201"/>
      <c r="L329" s="201"/>
      <c r="M329" s="73"/>
      <c r="N329" s="1132"/>
      <c r="P329" s="79">
        <v>1792500000</v>
      </c>
      <c r="Q329" s="79">
        <v>1197500000</v>
      </c>
    </row>
    <row r="330" spans="1:19" s="27" customFormat="1" ht="11.25" hidden="1" customHeight="1" x14ac:dyDescent="0.25">
      <c r="B330" s="1904"/>
      <c r="C330" s="132"/>
      <c r="D330" s="73"/>
      <c r="E330" s="2017"/>
      <c r="F330" s="201"/>
      <c r="G330" s="117"/>
      <c r="H330" s="73"/>
      <c r="I330" s="73"/>
      <c r="J330" s="73"/>
      <c r="K330" s="201"/>
      <c r="L330" s="201"/>
      <c r="M330" s="73"/>
      <c r="N330" s="1132"/>
      <c r="P330" s="79"/>
      <c r="Q330" s="79"/>
    </row>
    <row r="331" spans="1:19" s="32" customFormat="1" ht="21" hidden="1" customHeight="1" x14ac:dyDescent="0.25">
      <c r="B331" s="1904"/>
      <c r="C331" s="138" t="s">
        <v>6964</v>
      </c>
      <c r="D331" s="4224">
        <f>D332</f>
        <v>5000000000</v>
      </c>
      <c r="E331" s="2014">
        <f t="shared" ref="E331:E333" si="13">D331/128986258000*100</f>
        <v>3.876381932096983</v>
      </c>
      <c r="F331" s="2019"/>
      <c r="G331" s="116"/>
      <c r="H331" s="157"/>
      <c r="I331" s="157"/>
      <c r="J331" s="1125"/>
      <c r="K331" s="116"/>
      <c r="L331" s="157"/>
      <c r="M331" s="157"/>
      <c r="N331" s="1903"/>
      <c r="P331" s="203"/>
      <c r="Q331" s="203"/>
    </row>
    <row r="332" spans="1:19" s="25" customFormat="1" ht="16.5" hidden="1" customHeight="1" x14ac:dyDescent="0.25">
      <c r="B332" s="1904"/>
      <c r="C332" s="138" t="s">
        <v>6971</v>
      </c>
      <c r="D332" s="157">
        <v>5000000000</v>
      </c>
      <c r="E332" s="2017">
        <f t="shared" si="13"/>
        <v>3.876381932096983</v>
      </c>
      <c r="F332" s="202"/>
      <c r="G332" s="116"/>
      <c r="H332" s="157"/>
      <c r="I332" s="157"/>
      <c r="J332" s="157"/>
      <c r="K332" s="202"/>
      <c r="L332" s="202"/>
      <c r="M332" s="157"/>
      <c r="N332" s="1903"/>
      <c r="P332" s="4212">
        <v>17283398134</v>
      </c>
      <c r="Q332" s="4212">
        <v>7614201200</v>
      </c>
    </row>
    <row r="333" spans="1:19" s="196" customFormat="1" ht="18" hidden="1" customHeight="1" x14ac:dyDescent="0.25">
      <c r="B333" s="1097"/>
      <c r="C333" s="61" t="s">
        <v>6972</v>
      </c>
      <c r="D333" s="70">
        <v>5000000000</v>
      </c>
      <c r="E333" s="2017">
        <f t="shared" si="13"/>
        <v>3.876381932096983</v>
      </c>
      <c r="F333" s="65"/>
      <c r="G333" s="117"/>
      <c r="H333" s="73"/>
      <c r="I333" s="252"/>
      <c r="J333" s="73"/>
      <c r="K333" s="201"/>
      <c r="L333" s="73"/>
      <c r="M333" s="73"/>
      <c r="N333" s="1140"/>
      <c r="P333" s="4213"/>
      <c r="Q333" s="4213"/>
    </row>
    <row r="334" spans="1:19" ht="14.25" hidden="1" customHeight="1" x14ac:dyDescent="0.25">
      <c r="B334" s="1024"/>
      <c r="C334" s="59"/>
      <c r="D334" s="2314"/>
      <c r="E334" s="2032"/>
      <c r="F334" s="81"/>
      <c r="G334" s="118"/>
      <c r="H334" s="215"/>
      <c r="I334" s="994"/>
      <c r="J334" s="215"/>
      <c r="K334" s="1956"/>
      <c r="L334" s="209"/>
      <c r="M334" s="215"/>
      <c r="N334" s="1132"/>
    </row>
    <row r="335" spans="1:19" s="35" customFormat="1" ht="18.75" hidden="1" customHeight="1" x14ac:dyDescent="0.25">
      <c r="A335" s="20"/>
      <c r="B335" s="2073"/>
      <c r="C335" s="2074" t="s">
        <v>6999</v>
      </c>
      <c r="D335" s="4226">
        <f>SUM(D336+D433)</f>
        <v>35194382000</v>
      </c>
      <c r="E335" s="679">
        <f>D335/2512247400000*100</f>
        <v>1.4009122668412355</v>
      </c>
      <c r="F335" s="2075"/>
      <c r="G335" s="2076"/>
      <c r="H335" s="1513"/>
      <c r="I335" s="1513"/>
      <c r="J335" s="1077"/>
      <c r="K335" s="2076"/>
      <c r="L335" s="1513"/>
      <c r="M335" s="1513"/>
      <c r="N335" s="1132"/>
      <c r="O335"/>
      <c r="R335"/>
      <c r="S335"/>
    </row>
    <row r="336" spans="1:19" s="35" customFormat="1" ht="18.75" hidden="1" customHeight="1" x14ac:dyDescent="0.25">
      <c r="A336" s="20"/>
      <c r="B336" s="1029"/>
      <c r="C336" s="342" t="s">
        <v>1453</v>
      </c>
      <c r="D336" s="2959">
        <f>SUM(D337+D344+D375+D379+D391+D397+D407+D414+D417+D424+D428)</f>
        <v>32694382000</v>
      </c>
      <c r="E336" s="343">
        <f>D336/122746977000*100</f>
        <v>26.635590381993683</v>
      </c>
      <c r="F336" s="2077"/>
      <c r="G336" s="2009"/>
      <c r="H336" s="343"/>
      <c r="I336" s="343"/>
      <c r="J336" s="2011"/>
      <c r="K336" s="2009"/>
      <c r="L336" s="343"/>
      <c r="M336" s="343"/>
      <c r="N336" s="1132"/>
      <c r="O336"/>
      <c r="P336" s="669">
        <v>151090858000</v>
      </c>
      <c r="R336"/>
      <c r="S336"/>
    </row>
    <row r="337" spans="1:19" s="35" customFormat="1" ht="23.25" hidden="1" customHeight="1" x14ac:dyDescent="0.25">
      <c r="A337" s="20"/>
      <c r="B337" s="1024"/>
      <c r="C337" s="2525" t="s">
        <v>1454</v>
      </c>
      <c r="D337" s="2822">
        <f>SUM(D338:D342)</f>
        <v>13649000000</v>
      </c>
      <c r="E337" s="72">
        <f>D337/122746977000*100</f>
        <v>11.119622115011435</v>
      </c>
      <c r="F337" s="2078"/>
      <c r="G337" s="2078"/>
      <c r="H337" s="1127"/>
      <c r="I337" s="72"/>
      <c r="J337" s="2079"/>
      <c r="K337" s="2078"/>
      <c r="L337" s="128"/>
      <c r="M337" s="72"/>
      <c r="N337" s="1132"/>
      <c r="O337"/>
      <c r="P337" s="35" t="e">
        <f>SUM(P336-#REF!)</f>
        <v>#REF!</v>
      </c>
      <c r="R337"/>
      <c r="S337"/>
    </row>
    <row r="338" spans="1:19" s="35" customFormat="1" ht="21" hidden="1" customHeight="1" x14ac:dyDescent="0.25">
      <c r="A338" s="20"/>
      <c r="B338" s="1024"/>
      <c r="C338" s="2475" t="s">
        <v>1455</v>
      </c>
      <c r="D338" s="896">
        <v>12649000000</v>
      </c>
      <c r="E338" s="194">
        <f>D338/122746977000*100</f>
        <v>10.304938100430775</v>
      </c>
      <c r="F338" s="246"/>
      <c r="G338" s="246"/>
      <c r="H338" s="154"/>
      <c r="I338" s="154"/>
      <c r="J338" s="73"/>
      <c r="K338" s="154"/>
      <c r="L338" s="154"/>
      <c r="M338" s="154"/>
      <c r="N338" s="1132"/>
      <c r="O338"/>
      <c r="R338"/>
      <c r="S338"/>
    </row>
    <row r="339" spans="1:19" s="35" customFormat="1" ht="30" hidden="1" customHeight="1" x14ac:dyDescent="0.25">
      <c r="A339" s="20"/>
      <c r="B339" s="1024"/>
      <c r="C339" s="2473" t="s">
        <v>7010</v>
      </c>
      <c r="D339" s="896">
        <v>400000000</v>
      </c>
      <c r="E339" s="194">
        <f>D339/122746977000*100</f>
        <v>0.32587360583226421</v>
      </c>
      <c r="F339" s="675"/>
      <c r="G339" s="154"/>
      <c r="H339" s="154"/>
      <c r="I339" s="154"/>
      <c r="J339" s="73"/>
      <c r="K339" s="201"/>
      <c r="L339" s="73"/>
      <c r="M339" s="154"/>
      <c r="N339" s="1132"/>
      <c r="O339"/>
      <c r="R339"/>
      <c r="S339"/>
    </row>
    <row r="340" spans="1:19" s="35" customFormat="1" ht="18" hidden="1" customHeight="1" x14ac:dyDescent="0.25">
      <c r="A340" s="20"/>
      <c r="B340" s="1024"/>
      <c r="C340" s="2473" t="s">
        <v>7011</v>
      </c>
      <c r="D340" s="896">
        <v>150000000</v>
      </c>
      <c r="E340" s="194">
        <f t="shared" ref="E340:E342" si="14">D340/122746977000*100</f>
        <v>0.12220260218709907</v>
      </c>
      <c r="F340" s="2080"/>
      <c r="G340" s="2080"/>
      <c r="H340" s="1127"/>
      <c r="I340" s="234"/>
      <c r="J340" s="1118"/>
      <c r="K340" s="2080"/>
      <c r="L340" s="128"/>
      <c r="M340" s="234"/>
      <c r="N340" s="1132"/>
      <c r="O340"/>
      <c r="R340"/>
      <c r="S340"/>
    </row>
    <row r="341" spans="1:19" s="35" customFormat="1" ht="18.75" hidden="1" customHeight="1" x14ac:dyDescent="0.25">
      <c r="A341" s="20"/>
      <c r="B341" s="1024"/>
      <c r="C341" s="2473" t="s">
        <v>7012</v>
      </c>
      <c r="D341" s="896">
        <v>350000000</v>
      </c>
      <c r="E341" s="194">
        <f t="shared" si="14"/>
        <v>0.28513940510323116</v>
      </c>
      <c r="F341" s="246"/>
      <c r="G341" s="246"/>
      <c r="H341" s="154"/>
      <c r="I341" s="154"/>
      <c r="J341" s="1104"/>
      <c r="K341" s="246"/>
      <c r="L341" s="154"/>
      <c r="M341" s="154"/>
      <c r="N341" s="1132"/>
      <c r="O341"/>
      <c r="R341"/>
      <c r="S341"/>
    </row>
    <row r="342" spans="1:19" s="35" customFormat="1" ht="19.5" hidden="1" customHeight="1" x14ac:dyDescent="0.25">
      <c r="A342" s="20"/>
      <c r="B342" s="1024"/>
      <c r="C342" s="2475" t="s">
        <v>7013</v>
      </c>
      <c r="D342" s="896">
        <v>100000000</v>
      </c>
      <c r="E342" s="194">
        <f t="shared" si="14"/>
        <v>8.1468401458066053E-2</v>
      </c>
      <c r="F342" s="675"/>
      <c r="G342" s="154"/>
      <c r="H342" s="154"/>
      <c r="I342" s="154"/>
      <c r="J342" s="73"/>
      <c r="K342" s="154"/>
      <c r="L342" s="154"/>
      <c r="M342" s="154"/>
      <c r="N342" s="1132"/>
      <c r="O342"/>
      <c r="R342"/>
      <c r="S342"/>
    </row>
    <row r="343" spans="1:19" s="35" customFormat="1" ht="12.75" hidden="1" customHeight="1" x14ac:dyDescent="0.25">
      <c r="A343" s="2"/>
      <c r="B343" s="1024"/>
      <c r="C343" s="2473"/>
      <c r="D343" s="896"/>
      <c r="E343" s="194"/>
      <c r="F343" s="116"/>
      <c r="G343" s="116"/>
      <c r="H343" s="240"/>
      <c r="I343" s="240"/>
      <c r="J343" s="157"/>
      <c r="K343" s="202"/>
      <c r="L343" s="234"/>
      <c r="M343" s="234"/>
      <c r="N343" s="1132"/>
      <c r="O343"/>
      <c r="R343"/>
      <c r="S343"/>
    </row>
    <row r="344" spans="1:19" s="35" customFormat="1" ht="21.75" hidden="1" customHeight="1" x14ac:dyDescent="0.25">
      <c r="A344" s="2"/>
      <c r="B344" s="1024"/>
      <c r="C344" s="2525" t="s">
        <v>5809</v>
      </c>
      <c r="D344" s="2812">
        <f>SUM(D345:D373)</f>
        <v>5275000000</v>
      </c>
      <c r="E344" s="72">
        <f>D344/122746977000*100</f>
        <v>4.2974581769129845</v>
      </c>
      <c r="F344" s="117"/>
      <c r="G344" s="117"/>
      <c r="H344" s="238"/>
      <c r="I344" s="238"/>
      <c r="J344" s="73"/>
      <c r="K344" s="154"/>
      <c r="L344" s="154"/>
      <c r="M344" s="154"/>
      <c r="N344" s="1132"/>
      <c r="O344"/>
      <c r="R344"/>
      <c r="S344"/>
    </row>
    <row r="345" spans="1:19" s="35" customFormat="1" ht="21.75" hidden="1" customHeight="1" x14ac:dyDescent="0.25">
      <c r="A345" s="2"/>
      <c r="B345" s="1024"/>
      <c r="C345" s="2473" t="s">
        <v>7014</v>
      </c>
      <c r="D345" s="896">
        <v>300000000</v>
      </c>
      <c r="E345" s="194">
        <f>D345/122746977000*100</f>
        <v>0.24440520437419813</v>
      </c>
      <c r="F345" s="117"/>
      <c r="G345" s="117"/>
      <c r="H345" s="238"/>
      <c r="I345" s="238"/>
      <c r="J345" s="73"/>
      <c r="K345" s="117"/>
      <c r="L345" s="238"/>
      <c r="M345" s="238"/>
      <c r="N345" s="1132"/>
      <c r="O345"/>
      <c r="R345"/>
      <c r="S345"/>
    </row>
    <row r="346" spans="1:19" s="35" customFormat="1" ht="30" hidden="1" customHeight="1" x14ac:dyDescent="0.25">
      <c r="A346" s="2"/>
      <c r="B346" s="1024"/>
      <c r="C346" s="2473" t="s">
        <v>7015</v>
      </c>
      <c r="D346" s="896">
        <v>700000000</v>
      </c>
      <c r="E346" s="194">
        <f t="shared" ref="E346:E409" si="15">D346/122746977000*100</f>
        <v>0.57027881020646232</v>
      </c>
      <c r="F346" s="117"/>
      <c r="G346" s="117"/>
      <c r="H346" s="238"/>
      <c r="I346" s="238"/>
      <c r="J346" s="73"/>
      <c r="K346" s="117"/>
      <c r="L346" s="238"/>
      <c r="M346" s="238"/>
      <c r="N346" s="1132"/>
      <c r="O346"/>
      <c r="R346"/>
      <c r="S346"/>
    </row>
    <row r="347" spans="1:19" s="35" customFormat="1" ht="19.5" hidden="1" customHeight="1" x14ac:dyDescent="0.25">
      <c r="A347" s="2"/>
      <c r="B347" s="1024"/>
      <c r="C347" s="2473" t="s">
        <v>7016</v>
      </c>
      <c r="D347" s="896">
        <v>200000000</v>
      </c>
      <c r="E347" s="194">
        <f t="shared" si="15"/>
        <v>0.16293680291613211</v>
      </c>
      <c r="F347" s="117"/>
      <c r="G347" s="117"/>
      <c r="H347" s="238"/>
      <c r="I347" s="238"/>
      <c r="J347" s="73"/>
      <c r="K347" s="117"/>
      <c r="L347" s="238"/>
      <c r="M347" s="238"/>
      <c r="N347" s="1132"/>
      <c r="O347"/>
      <c r="R347"/>
      <c r="S347"/>
    </row>
    <row r="348" spans="1:19" s="35" customFormat="1" ht="33" hidden="1" customHeight="1" x14ac:dyDescent="0.25">
      <c r="A348" s="2"/>
      <c r="B348" s="1024"/>
      <c r="C348" s="2473" t="s">
        <v>7017</v>
      </c>
      <c r="D348" s="896">
        <v>150000000</v>
      </c>
      <c r="E348" s="194">
        <f t="shared" si="15"/>
        <v>0.12220260218709907</v>
      </c>
      <c r="F348" s="117"/>
      <c r="G348" s="117"/>
      <c r="H348" s="238"/>
      <c r="I348" s="238"/>
      <c r="J348" s="73"/>
      <c r="K348" s="117"/>
      <c r="L348" s="238"/>
      <c r="M348" s="238"/>
      <c r="N348" s="1132"/>
      <c r="O348"/>
      <c r="R348"/>
      <c r="S348"/>
    </row>
    <row r="349" spans="1:19" s="35" customFormat="1" ht="18" hidden="1" customHeight="1" x14ac:dyDescent="0.25">
      <c r="A349" s="20"/>
      <c r="B349" s="1024"/>
      <c r="C349" s="2473" t="s">
        <v>7019</v>
      </c>
      <c r="D349" s="896">
        <v>125000000</v>
      </c>
      <c r="E349" s="194">
        <f t="shared" si="15"/>
        <v>0.10183550182258257</v>
      </c>
      <c r="F349" s="675"/>
      <c r="G349" s="154"/>
      <c r="H349" s="154"/>
      <c r="I349" s="154"/>
      <c r="J349" s="73"/>
      <c r="K349" s="154"/>
      <c r="L349" s="154"/>
      <c r="M349" s="154"/>
      <c r="N349" s="1132"/>
      <c r="O349"/>
      <c r="R349"/>
      <c r="S349"/>
    </row>
    <row r="350" spans="1:19" ht="18" hidden="1" customHeight="1" x14ac:dyDescent="0.25">
      <c r="A350" s="2"/>
      <c r="B350" s="1024"/>
      <c r="C350" s="2473" t="s">
        <v>7018</v>
      </c>
      <c r="D350" s="896">
        <v>125000000</v>
      </c>
      <c r="E350" s="194">
        <f t="shared" si="15"/>
        <v>0.10183550182258257</v>
      </c>
      <c r="F350" s="2080"/>
      <c r="G350" s="234"/>
      <c r="H350" s="234"/>
      <c r="I350" s="234"/>
      <c r="J350" s="1118"/>
      <c r="K350" s="2080"/>
      <c r="L350" s="234"/>
      <c r="M350" s="240"/>
      <c r="N350" s="1132"/>
    </row>
    <row r="351" spans="1:19" ht="19.5" hidden="1" customHeight="1" x14ac:dyDescent="0.25">
      <c r="A351" s="2"/>
      <c r="B351" s="1024"/>
      <c r="C351" s="2473" t="s">
        <v>7020</v>
      </c>
      <c r="D351" s="896">
        <v>125000000</v>
      </c>
      <c r="E351" s="194">
        <f t="shared" si="15"/>
        <v>0.10183550182258257</v>
      </c>
      <c r="F351" s="246"/>
      <c r="G351" s="154"/>
      <c r="H351" s="154"/>
      <c r="I351" s="154"/>
      <c r="J351" s="1104"/>
      <c r="K351" s="154"/>
      <c r="L351" s="154"/>
      <c r="M351" s="154"/>
      <c r="N351" s="1132"/>
      <c r="P351" s="35">
        <v>151090858000</v>
      </c>
    </row>
    <row r="352" spans="1:19" ht="18.75" hidden="1" customHeight="1" x14ac:dyDescent="0.25">
      <c r="A352" s="2"/>
      <c r="B352" s="1024"/>
      <c r="C352" s="2473" t="s">
        <v>7021</v>
      </c>
      <c r="D352" s="896">
        <v>125000000</v>
      </c>
      <c r="E352" s="194">
        <f t="shared" si="15"/>
        <v>0.10183550182258257</v>
      </c>
      <c r="F352" s="117"/>
      <c r="G352" s="117"/>
      <c r="H352" s="238"/>
      <c r="I352" s="238"/>
      <c r="J352" s="1104"/>
      <c r="K352" s="154"/>
      <c r="L352" s="154"/>
      <c r="M352" s="154"/>
      <c r="N352" s="1132"/>
    </row>
    <row r="353" spans="1:17" ht="17.25" hidden="1" customHeight="1" x14ac:dyDescent="0.25">
      <c r="A353" s="2"/>
      <c r="B353" s="1024"/>
      <c r="C353" s="2473" t="s">
        <v>7022</v>
      </c>
      <c r="D353" s="896">
        <v>125000000</v>
      </c>
      <c r="E353" s="194">
        <f t="shared" si="15"/>
        <v>0.10183550182258257</v>
      </c>
      <c r="F353" s="117"/>
      <c r="G353" s="117"/>
      <c r="H353" s="238"/>
      <c r="I353" s="238"/>
      <c r="J353" s="1104"/>
      <c r="K353" s="154"/>
      <c r="L353" s="154"/>
      <c r="M353" s="154"/>
      <c r="N353" s="1132"/>
    </row>
    <row r="354" spans="1:17" ht="21.75" hidden="1" customHeight="1" x14ac:dyDescent="0.25">
      <c r="A354" s="2"/>
      <c r="B354" s="1024"/>
      <c r="C354" s="2473" t="s">
        <v>7023</v>
      </c>
      <c r="D354" s="896">
        <v>125000000</v>
      </c>
      <c r="E354" s="194">
        <f t="shared" si="15"/>
        <v>0.10183550182258257</v>
      </c>
      <c r="F354" s="117"/>
      <c r="G354" s="117"/>
      <c r="H354" s="238"/>
      <c r="I354" s="238"/>
      <c r="J354" s="1104"/>
      <c r="K354" s="154"/>
      <c r="L354" s="154"/>
      <c r="M354" s="154"/>
      <c r="N354" s="1132"/>
    </row>
    <row r="355" spans="1:17" ht="17.25" hidden="1" customHeight="1" x14ac:dyDescent="0.25">
      <c r="A355" s="2"/>
      <c r="B355" s="1024"/>
      <c r="C355" s="2473" t="s">
        <v>7024</v>
      </c>
      <c r="D355" s="896">
        <v>125000000</v>
      </c>
      <c r="E355" s="194">
        <f t="shared" si="15"/>
        <v>0.10183550182258257</v>
      </c>
      <c r="F355" s="117"/>
      <c r="G355" s="117"/>
      <c r="H355" s="238"/>
      <c r="I355" s="238"/>
      <c r="J355" s="1104"/>
      <c r="K355" s="154"/>
      <c r="L355" s="154"/>
      <c r="M355" s="154"/>
      <c r="N355" s="1132"/>
    </row>
    <row r="356" spans="1:17" ht="23.25" hidden="1" customHeight="1" x14ac:dyDescent="0.25">
      <c r="A356" s="2"/>
      <c r="B356" s="1024"/>
      <c r="C356" s="2473" t="s">
        <v>7025</v>
      </c>
      <c r="D356" s="896">
        <v>125000000</v>
      </c>
      <c r="E356" s="194">
        <f t="shared" si="15"/>
        <v>0.10183550182258257</v>
      </c>
      <c r="F356" s="117"/>
      <c r="G356" s="117"/>
      <c r="H356" s="238"/>
      <c r="I356" s="238"/>
      <c r="J356" s="1104"/>
      <c r="K356" s="154"/>
      <c r="L356" s="154"/>
      <c r="M356" s="154"/>
      <c r="N356" s="1132"/>
    </row>
    <row r="357" spans="1:17" ht="18.75" hidden="1" customHeight="1" x14ac:dyDescent="0.25">
      <c r="A357" s="2"/>
      <c r="B357" s="1024"/>
      <c r="C357" s="2473" t="s">
        <v>7026</v>
      </c>
      <c r="D357" s="896">
        <v>125000000</v>
      </c>
      <c r="E357" s="194">
        <f t="shared" si="15"/>
        <v>0.10183550182258257</v>
      </c>
      <c r="F357" s="117"/>
      <c r="G357" s="117"/>
      <c r="H357" s="238"/>
      <c r="I357" s="238"/>
      <c r="J357" s="1104"/>
      <c r="K357" s="154"/>
      <c r="L357" s="154"/>
      <c r="M357" s="154"/>
      <c r="N357" s="1132"/>
    </row>
    <row r="358" spans="1:17" ht="20.25" hidden="1" customHeight="1" x14ac:dyDescent="0.25">
      <c r="B358" s="1024"/>
      <c r="C358" s="2473" t="s">
        <v>7027</v>
      </c>
      <c r="D358" s="896">
        <v>125000000</v>
      </c>
      <c r="E358" s="194">
        <f t="shared" si="15"/>
        <v>0.10183550182258257</v>
      </c>
      <c r="F358" s="675"/>
      <c r="G358" s="154"/>
      <c r="H358" s="154"/>
      <c r="I358" s="154"/>
      <c r="J358" s="73"/>
      <c r="K358" s="201"/>
      <c r="L358" s="73"/>
      <c r="M358" s="73"/>
      <c r="N358" s="1132"/>
    </row>
    <row r="359" spans="1:17" ht="21" hidden="1" customHeight="1" x14ac:dyDescent="0.25">
      <c r="A359" s="2"/>
      <c r="B359" s="1024"/>
      <c r="C359" s="2473" t="s">
        <v>7028</v>
      </c>
      <c r="D359" s="896">
        <v>125000000</v>
      </c>
      <c r="E359" s="194">
        <f t="shared" si="15"/>
        <v>0.10183550182258257</v>
      </c>
      <c r="F359" s="2080"/>
      <c r="G359" s="234"/>
      <c r="H359" s="234"/>
      <c r="I359" s="234"/>
      <c r="J359" s="2080"/>
      <c r="K359" s="234"/>
      <c r="L359" s="234"/>
      <c r="M359" s="234"/>
      <c r="N359" s="1132"/>
    </row>
    <row r="360" spans="1:17" ht="16.5" hidden="1" customHeight="1" x14ac:dyDescent="0.25">
      <c r="A360" s="2"/>
      <c r="B360" s="1024"/>
      <c r="C360" s="2473" t="s">
        <v>7029</v>
      </c>
      <c r="D360" s="896">
        <v>125000000</v>
      </c>
      <c r="E360" s="194">
        <f t="shared" si="15"/>
        <v>0.10183550182258257</v>
      </c>
      <c r="F360" s="246"/>
      <c r="G360" s="154"/>
      <c r="H360" s="154"/>
      <c r="I360" s="154"/>
      <c r="J360" s="246"/>
      <c r="K360" s="154"/>
      <c r="L360" s="154"/>
      <c r="M360" s="154"/>
      <c r="N360" s="1132"/>
    </row>
    <row r="361" spans="1:17" ht="23.25" hidden="1" customHeight="1" x14ac:dyDescent="0.25">
      <c r="A361" s="2"/>
      <c r="B361" s="1024"/>
      <c r="C361" s="2473" t="s">
        <v>7030</v>
      </c>
      <c r="D361" s="896">
        <v>125000000</v>
      </c>
      <c r="E361" s="194">
        <f t="shared" si="15"/>
        <v>0.10183550182258257</v>
      </c>
      <c r="F361" s="675"/>
      <c r="G361" s="154"/>
      <c r="H361" s="154"/>
      <c r="I361" s="154"/>
      <c r="J361" s="1056"/>
      <c r="K361" s="154"/>
      <c r="L361" s="154"/>
      <c r="M361" s="154"/>
      <c r="N361" s="1132"/>
    </row>
    <row r="362" spans="1:17" ht="17.25" hidden="1" customHeight="1" x14ac:dyDescent="0.25">
      <c r="A362" s="2"/>
      <c r="B362" s="1024"/>
      <c r="C362" s="2473" t="s">
        <v>7031</v>
      </c>
      <c r="D362" s="896">
        <v>125000000</v>
      </c>
      <c r="E362" s="194">
        <f t="shared" si="15"/>
        <v>0.10183550182258257</v>
      </c>
      <c r="F362" s="2080"/>
      <c r="G362" s="2080"/>
      <c r="H362" s="234"/>
      <c r="I362" s="234"/>
      <c r="J362" s="2080"/>
      <c r="K362" s="2080"/>
      <c r="L362" s="234"/>
      <c r="M362" s="157"/>
      <c r="N362" s="1132"/>
    </row>
    <row r="363" spans="1:17" s="20" customFormat="1" ht="18.75" hidden="1" customHeight="1" x14ac:dyDescent="0.25">
      <c r="A363" s="963"/>
      <c r="B363" s="1024"/>
      <c r="C363" s="2473" t="s">
        <v>7032</v>
      </c>
      <c r="D363" s="896">
        <v>125000000</v>
      </c>
      <c r="E363" s="194">
        <f t="shared" si="15"/>
        <v>0.10183550182258257</v>
      </c>
      <c r="F363" s="149"/>
      <c r="G363" s="154"/>
      <c r="H363" s="154"/>
      <c r="I363" s="154"/>
      <c r="J363" s="149"/>
      <c r="K363" s="154"/>
      <c r="L363" s="154"/>
      <c r="M363" s="154"/>
      <c r="N363" s="1132"/>
      <c r="P363" s="35"/>
      <c r="Q363" s="35"/>
    </row>
    <row r="364" spans="1:17" ht="36" hidden="1" customHeight="1" x14ac:dyDescent="0.25">
      <c r="A364" s="2"/>
      <c r="B364" s="1024"/>
      <c r="C364" s="2473" t="s">
        <v>7033</v>
      </c>
      <c r="D364" s="896">
        <v>100000000</v>
      </c>
      <c r="E364" s="194">
        <f t="shared" si="15"/>
        <v>8.1468401458066053E-2</v>
      </c>
      <c r="F364" s="246"/>
      <c r="G364" s="154"/>
      <c r="H364" s="154"/>
      <c r="I364" s="154"/>
      <c r="J364" s="246"/>
      <c r="K364" s="246"/>
      <c r="L364" s="154"/>
      <c r="M364" s="154"/>
      <c r="N364" s="1132"/>
    </row>
    <row r="365" spans="1:17" ht="31.5" hidden="1" customHeight="1" x14ac:dyDescent="0.25">
      <c r="A365" s="2"/>
      <c r="B365" s="1024"/>
      <c r="C365" s="2473" t="s">
        <v>7034</v>
      </c>
      <c r="D365" s="896">
        <v>100000000</v>
      </c>
      <c r="E365" s="194">
        <f t="shared" si="15"/>
        <v>8.1468401458066053E-2</v>
      </c>
      <c r="F365" s="246"/>
      <c r="G365" s="154"/>
      <c r="H365" s="154"/>
      <c r="I365" s="154"/>
      <c r="J365" s="246"/>
      <c r="K365" s="246"/>
      <c r="L365" s="154"/>
      <c r="M365" s="154"/>
      <c r="N365" s="1132"/>
    </row>
    <row r="366" spans="1:17" ht="25.5" hidden="1" customHeight="1" x14ac:dyDescent="0.25">
      <c r="A366" s="2"/>
      <c r="B366" s="1024"/>
      <c r="C366" s="2473" t="s">
        <v>7035</v>
      </c>
      <c r="D366" s="896">
        <v>100000000</v>
      </c>
      <c r="E366" s="194">
        <f t="shared" si="15"/>
        <v>8.1468401458066053E-2</v>
      </c>
      <c r="F366" s="117"/>
      <c r="G366" s="117"/>
      <c r="H366" s="238"/>
      <c r="I366" s="238"/>
      <c r="J366" s="246"/>
      <c r="K366" s="2081"/>
      <c r="L366" s="154"/>
      <c r="M366" s="154"/>
      <c r="N366" s="1132"/>
    </row>
    <row r="367" spans="1:17" ht="33" hidden="1" customHeight="1" x14ac:dyDescent="0.25">
      <c r="A367" s="2"/>
      <c r="B367" s="1024"/>
      <c r="C367" s="2473" t="s">
        <v>7036</v>
      </c>
      <c r="D367" s="896">
        <v>100000000</v>
      </c>
      <c r="E367" s="194">
        <f t="shared" si="15"/>
        <v>8.1468401458066053E-2</v>
      </c>
      <c r="F367" s="675"/>
      <c r="G367" s="154"/>
      <c r="H367" s="154"/>
      <c r="I367" s="154"/>
      <c r="J367" s="1056"/>
      <c r="K367" s="154"/>
      <c r="L367" s="154"/>
      <c r="M367" s="154"/>
      <c r="N367" s="1132"/>
    </row>
    <row r="368" spans="1:17" ht="29.25" hidden="1" customHeight="1" x14ac:dyDescent="0.25">
      <c r="A368" s="2"/>
      <c r="B368" s="1024"/>
      <c r="C368" s="2473" t="s">
        <v>7037</v>
      </c>
      <c r="D368" s="896">
        <v>300000000</v>
      </c>
      <c r="E368" s="194">
        <f t="shared" si="15"/>
        <v>0.24440520437419813</v>
      </c>
      <c r="F368" s="2082"/>
      <c r="G368" s="2082"/>
      <c r="H368" s="234"/>
      <c r="I368" s="234"/>
      <c r="J368" s="2083"/>
      <c r="K368" s="2082"/>
      <c r="L368" s="234"/>
      <c r="M368" s="234"/>
      <c r="N368" s="1132"/>
    </row>
    <row r="369" spans="1:14" ht="30.75" hidden="1" customHeight="1" x14ac:dyDescent="0.25">
      <c r="A369" s="2"/>
      <c r="B369" s="1024"/>
      <c r="C369" s="2473" t="s">
        <v>7038</v>
      </c>
      <c r="D369" s="896">
        <v>300000000</v>
      </c>
      <c r="E369" s="194">
        <f t="shared" si="15"/>
        <v>0.24440520437419813</v>
      </c>
      <c r="F369" s="246"/>
      <c r="G369" s="154"/>
      <c r="H369" s="154"/>
      <c r="I369" s="154"/>
      <c r="J369" s="246"/>
      <c r="K369" s="154"/>
      <c r="L369" s="154"/>
      <c r="M369" s="154"/>
      <c r="N369" s="1132"/>
    </row>
    <row r="370" spans="1:14" ht="20.25" hidden="1" customHeight="1" x14ac:dyDescent="0.25">
      <c r="A370" s="2"/>
      <c r="B370" s="1024"/>
      <c r="C370" s="2473" t="s">
        <v>7039</v>
      </c>
      <c r="D370" s="896">
        <v>250000000</v>
      </c>
      <c r="E370" s="194">
        <f t="shared" si="15"/>
        <v>0.20367100364516513</v>
      </c>
      <c r="F370" s="675"/>
      <c r="G370" s="154"/>
      <c r="H370" s="154"/>
      <c r="I370" s="154"/>
      <c r="J370" s="1056"/>
      <c r="K370" s="154"/>
      <c r="L370" s="154"/>
      <c r="M370" s="154"/>
      <c r="N370" s="1132"/>
    </row>
    <row r="371" spans="1:14" ht="20.25" hidden="1" customHeight="1" x14ac:dyDescent="0.25">
      <c r="A371" s="2"/>
      <c r="B371" s="1024"/>
      <c r="C371" s="2473" t="s">
        <v>7040</v>
      </c>
      <c r="D371" s="896">
        <v>200000000</v>
      </c>
      <c r="E371" s="194">
        <f t="shared" si="15"/>
        <v>0.16293680291613211</v>
      </c>
      <c r="F371" s="2080"/>
      <c r="G371" s="234"/>
      <c r="H371" s="234"/>
      <c r="I371" s="234"/>
      <c r="J371" s="1118"/>
      <c r="K371" s="2080"/>
      <c r="L371" s="1118"/>
      <c r="M371" s="1118"/>
      <c r="N371" s="1132"/>
    </row>
    <row r="372" spans="1:14" ht="21.75" hidden="1" customHeight="1" x14ac:dyDescent="0.25">
      <c r="A372" s="2"/>
      <c r="B372" s="1024"/>
      <c r="C372" s="2473" t="s">
        <v>7041</v>
      </c>
      <c r="D372" s="896">
        <v>300000000</v>
      </c>
      <c r="E372" s="194">
        <f t="shared" si="15"/>
        <v>0.24440520437419813</v>
      </c>
      <c r="F372" s="246"/>
      <c r="G372" s="154"/>
      <c r="H372" s="154"/>
      <c r="I372" s="154"/>
      <c r="J372" s="246"/>
      <c r="K372" s="154"/>
      <c r="L372" s="154"/>
      <c r="M372" s="154"/>
      <c r="N372" s="1132"/>
    </row>
    <row r="373" spans="1:14" ht="35.25" hidden="1" customHeight="1" x14ac:dyDescent="0.25">
      <c r="A373" s="2"/>
      <c r="B373" s="1024"/>
      <c r="C373" s="2473" t="s">
        <v>7042</v>
      </c>
      <c r="D373" s="896">
        <v>300000000</v>
      </c>
      <c r="E373" s="194">
        <f t="shared" si="15"/>
        <v>0.24440520437419813</v>
      </c>
      <c r="F373" s="246"/>
      <c r="G373" s="154"/>
      <c r="H373" s="154"/>
      <c r="I373" s="154"/>
      <c r="J373" s="1056"/>
      <c r="K373" s="154"/>
      <c r="L373" s="154"/>
      <c r="M373" s="154"/>
      <c r="N373" s="1132"/>
    </row>
    <row r="374" spans="1:14" ht="12" hidden="1" customHeight="1" x14ac:dyDescent="0.25">
      <c r="A374" s="2"/>
      <c r="B374" s="1024"/>
      <c r="C374" s="2473"/>
      <c r="D374" s="896"/>
      <c r="E374" s="194"/>
      <c r="F374" s="117"/>
      <c r="G374" s="117"/>
      <c r="H374" s="238"/>
      <c r="I374" s="238"/>
      <c r="J374" s="1056"/>
      <c r="K374" s="154"/>
      <c r="L374" s="154"/>
      <c r="M374" s="154"/>
      <c r="N374" s="1132"/>
    </row>
    <row r="375" spans="1:14" ht="19.5" hidden="1" customHeight="1" x14ac:dyDescent="0.25">
      <c r="A375" s="2"/>
      <c r="B375" s="1024"/>
      <c r="C375" s="2474" t="s">
        <v>7043</v>
      </c>
      <c r="D375" s="899">
        <f>SUM(D376:D377)</f>
        <v>250000000</v>
      </c>
      <c r="E375" s="72">
        <f t="shared" si="15"/>
        <v>0.20367100364516513</v>
      </c>
      <c r="F375" s="117"/>
      <c r="G375" s="117"/>
      <c r="H375" s="238"/>
      <c r="I375" s="238"/>
      <c r="J375" s="1056"/>
      <c r="K375" s="154"/>
      <c r="L375" s="154"/>
      <c r="M375" s="154"/>
      <c r="N375" s="1132"/>
    </row>
    <row r="376" spans="1:14" ht="15.75" hidden="1" customHeight="1" x14ac:dyDescent="0.25">
      <c r="A376" s="2"/>
      <c r="B376" s="1024"/>
      <c r="C376" s="2473" t="s">
        <v>7044</v>
      </c>
      <c r="D376" s="896">
        <v>150000000</v>
      </c>
      <c r="E376" s="194">
        <f t="shared" si="15"/>
        <v>0.12220260218709907</v>
      </c>
      <c r="F376" s="117"/>
      <c r="G376" s="117"/>
      <c r="H376" s="238"/>
      <c r="I376" s="238"/>
      <c r="J376" s="1056"/>
      <c r="K376" s="154"/>
      <c r="L376" s="154"/>
      <c r="M376" s="154"/>
      <c r="N376" s="1132"/>
    </row>
    <row r="377" spans="1:14" ht="19.5" hidden="1" customHeight="1" x14ac:dyDescent="0.25">
      <c r="A377" s="2"/>
      <c r="B377" s="1024"/>
      <c r="C377" s="2473" t="s">
        <v>7045</v>
      </c>
      <c r="D377" s="896">
        <v>100000000</v>
      </c>
      <c r="E377" s="194">
        <f t="shared" si="15"/>
        <v>8.1468401458066053E-2</v>
      </c>
      <c r="F377" s="117"/>
      <c r="G377" s="117"/>
      <c r="H377" s="238"/>
      <c r="I377" s="238"/>
      <c r="J377" s="1056"/>
      <c r="K377" s="154"/>
      <c r="L377" s="154"/>
      <c r="M377" s="154"/>
      <c r="N377" s="1132"/>
    </row>
    <row r="378" spans="1:14" ht="12" hidden="1" customHeight="1" x14ac:dyDescent="0.25">
      <c r="A378" s="2"/>
      <c r="B378" s="1024"/>
      <c r="C378" s="2473"/>
      <c r="D378" s="896"/>
      <c r="E378" s="194"/>
      <c r="F378" s="675"/>
      <c r="G378" s="201"/>
      <c r="H378" s="154"/>
      <c r="I378" s="154"/>
      <c r="J378" s="1056"/>
      <c r="K378" s="201"/>
      <c r="L378" s="73"/>
      <c r="M378" s="73"/>
      <c r="N378" s="1132"/>
    </row>
    <row r="379" spans="1:14" ht="20.25" hidden="1" customHeight="1" x14ac:dyDescent="0.25">
      <c r="A379" s="2"/>
      <c r="B379" s="1024"/>
      <c r="C379" s="2474" t="s">
        <v>7046</v>
      </c>
      <c r="D379" s="899">
        <f>SUM(D380:D389)</f>
        <v>3550021000</v>
      </c>
      <c r="E379" s="72">
        <f t="shared" si="15"/>
        <v>2.8921453601256508</v>
      </c>
      <c r="F379" s="2080"/>
      <c r="G379" s="234"/>
      <c r="H379" s="234"/>
      <c r="I379" s="234"/>
      <c r="J379" s="1118"/>
      <c r="K379" s="2080"/>
      <c r="L379" s="234"/>
      <c r="M379" s="157"/>
      <c r="N379" s="1132"/>
    </row>
    <row r="380" spans="1:14" ht="21.75" hidden="1" customHeight="1" x14ac:dyDescent="0.25">
      <c r="A380" s="2"/>
      <c r="B380" s="1024"/>
      <c r="C380" s="2473" t="s">
        <v>7047</v>
      </c>
      <c r="D380" s="896">
        <v>1000000000</v>
      </c>
      <c r="E380" s="194">
        <f t="shared" si="15"/>
        <v>0.81468401458066053</v>
      </c>
      <c r="F380" s="246"/>
      <c r="G380" s="154"/>
      <c r="H380" s="154"/>
      <c r="I380" s="154"/>
      <c r="J380" s="246"/>
      <c r="K380" s="201"/>
      <c r="L380" s="154"/>
      <c r="M380" s="154"/>
      <c r="N380" s="1132"/>
    </row>
    <row r="381" spans="1:14" ht="27.75" hidden="1" customHeight="1" x14ac:dyDescent="0.25">
      <c r="A381" s="2"/>
      <c r="B381" s="1024"/>
      <c r="C381" s="2473" t="s">
        <v>7048</v>
      </c>
      <c r="D381" s="896">
        <v>314500000</v>
      </c>
      <c r="E381" s="194">
        <f t="shared" si="15"/>
        <v>0.25621812258561771</v>
      </c>
      <c r="F381" s="2033"/>
      <c r="G381" s="1956"/>
      <c r="H381" s="207"/>
      <c r="I381" s="215"/>
      <c r="J381" s="199"/>
      <c r="K381" s="1935"/>
      <c r="L381" s="199"/>
      <c r="M381" s="199"/>
      <c r="N381" s="1132"/>
    </row>
    <row r="382" spans="1:14" ht="18.75" hidden="1" customHeight="1" x14ac:dyDescent="0.25">
      <c r="A382" s="2"/>
      <c r="B382" s="1024"/>
      <c r="C382" s="4267" t="s">
        <v>7049</v>
      </c>
      <c r="D382" s="896">
        <v>175000000</v>
      </c>
      <c r="E382" s="194">
        <f t="shared" si="15"/>
        <v>0.14256970255161558</v>
      </c>
      <c r="F382" s="116"/>
      <c r="G382" s="116"/>
      <c r="H382" s="240"/>
      <c r="I382" s="240"/>
      <c r="J382" s="157"/>
      <c r="K382" s="234"/>
      <c r="L382" s="234"/>
      <c r="M382" s="234"/>
      <c r="N382" s="1132"/>
    </row>
    <row r="383" spans="1:14" ht="16.5" hidden="1" customHeight="1" x14ac:dyDescent="0.25">
      <c r="A383" s="2"/>
      <c r="B383" s="1024"/>
      <c r="C383" s="2473" t="s">
        <v>7050</v>
      </c>
      <c r="D383" s="896">
        <v>150000000</v>
      </c>
      <c r="E383" s="194">
        <f t="shared" si="15"/>
        <v>0.12220260218709907</v>
      </c>
      <c r="F383" s="117"/>
      <c r="G383" s="117"/>
      <c r="H383" s="238"/>
      <c r="I383" s="238"/>
      <c r="J383" s="73"/>
      <c r="K383" s="154"/>
      <c r="L383" s="154"/>
      <c r="M383" s="154"/>
      <c r="N383" s="1132"/>
    </row>
    <row r="384" spans="1:14" ht="18.75" hidden="1" customHeight="1" x14ac:dyDescent="0.25">
      <c r="A384" s="2"/>
      <c r="B384" s="1024"/>
      <c r="C384" s="2473" t="s">
        <v>7051</v>
      </c>
      <c r="D384" s="896">
        <v>720575000</v>
      </c>
      <c r="E384" s="194">
        <f t="shared" si="15"/>
        <v>0.5870409338064595</v>
      </c>
      <c r="F384" s="117"/>
      <c r="G384" s="117"/>
      <c r="H384" s="238"/>
      <c r="I384" s="238"/>
      <c r="J384" s="73"/>
      <c r="K384" s="154"/>
      <c r="L384" s="154"/>
      <c r="M384" s="154"/>
      <c r="N384" s="1132"/>
    </row>
    <row r="385" spans="1:14" ht="18" hidden="1" customHeight="1" x14ac:dyDescent="0.25">
      <c r="A385" s="2"/>
      <c r="B385" s="1024"/>
      <c r="C385" s="2473" t="s">
        <v>7052</v>
      </c>
      <c r="D385" s="896">
        <v>264925000</v>
      </c>
      <c r="E385" s="194">
        <f t="shared" si="15"/>
        <v>0.21583016256278148</v>
      </c>
      <c r="F385" s="2033"/>
      <c r="G385" s="1956"/>
      <c r="H385" s="207"/>
      <c r="I385" s="215"/>
      <c r="J385" s="215"/>
      <c r="K385" s="1956"/>
      <c r="L385" s="215"/>
      <c r="M385" s="215"/>
      <c r="N385" s="1132"/>
    </row>
    <row r="386" spans="1:14" ht="17.25" hidden="1" customHeight="1" x14ac:dyDescent="0.25">
      <c r="B386" s="1024"/>
      <c r="C386" s="2473" t="s">
        <v>7053</v>
      </c>
      <c r="D386" s="896">
        <v>375000000</v>
      </c>
      <c r="E386" s="194">
        <f t="shared" si="15"/>
        <v>0.30550650546774771</v>
      </c>
      <c r="F386" s="246"/>
      <c r="G386" s="140"/>
      <c r="H386" s="140"/>
      <c r="I386" s="140"/>
      <c r="J386" s="197"/>
      <c r="K386" s="348"/>
      <c r="L386" s="73"/>
      <c r="M386" s="215"/>
      <c r="N386" s="1132"/>
    </row>
    <row r="387" spans="1:14" ht="17.25" hidden="1" customHeight="1" x14ac:dyDescent="0.25">
      <c r="B387" s="1024"/>
      <c r="C387" s="2473" t="s">
        <v>7054</v>
      </c>
      <c r="D387" s="896">
        <v>200000000</v>
      </c>
      <c r="E387" s="194">
        <f t="shared" si="15"/>
        <v>0.16293680291613211</v>
      </c>
      <c r="F387" s="246"/>
      <c r="G387" s="140"/>
      <c r="H387" s="140"/>
      <c r="I387" s="140"/>
      <c r="J387" s="197"/>
      <c r="K387" s="348"/>
      <c r="L387" s="73"/>
      <c r="M387" s="215"/>
      <c r="N387" s="1132"/>
    </row>
    <row r="388" spans="1:14" ht="17.25" hidden="1" customHeight="1" x14ac:dyDescent="0.25">
      <c r="B388" s="1024"/>
      <c r="C388" s="2473" t="s">
        <v>7055</v>
      </c>
      <c r="D388" s="896">
        <v>100000000</v>
      </c>
      <c r="E388" s="194">
        <f t="shared" si="15"/>
        <v>8.1468401458066053E-2</v>
      </c>
      <c r="F388" s="246"/>
      <c r="G388" s="140"/>
      <c r="H388" s="140"/>
      <c r="I388" s="140"/>
      <c r="J388" s="197"/>
      <c r="K388" s="348"/>
      <c r="L388" s="73"/>
      <c r="M388" s="215"/>
      <c r="N388" s="1132"/>
    </row>
    <row r="389" spans="1:14" ht="21" hidden="1" customHeight="1" x14ac:dyDescent="0.25">
      <c r="B389" s="1024"/>
      <c r="C389" s="2473" t="s">
        <v>7056</v>
      </c>
      <c r="D389" s="896">
        <v>250021000</v>
      </c>
      <c r="E389" s="194">
        <f t="shared" si="15"/>
        <v>0.20368811200947132</v>
      </c>
      <c r="F389" s="246"/>
      <c r="G389" s="140"/>
      <c r="H389" s="140"/>
      <c r="I389" s="140"/>
      <c r="J389" s="197"/>
      <c r="K389" s="348"/>
      <c r="L389" s="73"/>
      <c r="M389" s="215"/>
      <c r="N389" s="1132"/>
    </row>
    <row r="390" spans="1:14" ht="10.5" hidden="1" customHeight="1" x14ac:dyDescent="0.25">
      <c r="B390" s="1024"/>
      <c r="C390" s="2473"/>
      <c r="D390" s="896"/>
      <c r="E390" s="194"/>
      <c r="F390" s="2080"/>
      <c r="G390" s="2080"/>
      <c r="H390" s="142"/>
      <c r="I390" s="142"/>
      <c r="J390" s="2080"/>
      <c r="K390" s="2080"/>
      <c r="L390" s="142"/>
      <c r="M390" s="157"/>
      <c r="N390" s="1132"/>
    </row>
    <row r="391" spans="1:14" ht="19.5" hidden="1" customHeight="1" x14ac:dyDescent="0.25">
      <c r="A391" s="2"/>
      <c r="B391" s="1024"/>
      <c r="C391" s="2525" t="s">
        <v>663</v>
      </c>
      <c r="D391" s="2692">
        <f>SUM(D392:D395)</f>
        <v>600000000</v>
      </c>
      <c r="E391" s="72">
        <f t="shared" si="15"/>
        <v>0.48881040874839626</v>
      </c>
      <c r="F391" s="2084"/>
      <c r="G391" s="2084"/>
      <c r="H391" s="326"/>
      <c r="I391" s="233"/>
      <c r="J391" s="1114"/>
      <c r="K391" s="2084"/>
      <c r="L391" s="326"/>
      <c r="M391" s="233"/>
      <c r="N391" s="1132"/>
    </row>
    <row r="392" spans="1:14" ht="15.75" hidden="1" customHeight="1" x14ac:dyDescent="0.25">
      <c r="A392" s="2"/>
      <c r="B392" s="1024"/>
      <c r="C392" s="2473" t="s">
        <v>7057</v>
      </c>
      <c r="D392" s="2698">
        <v>300000000</v>
      </c>
      <c r="E392" s="194">
        <f t="shared" si="15"/>
        <v>0.24440520437419813</v>
      </c>
      <c r="F392" s="246"/>
      <c r="G392" s="133"/>
      <c r="H392" s="201"/>
      <c r="I392" s="133"/>
      <c r="J392" s="246"/>
      <c r="K392" s="246"/>
      <c r="L392" s="201"/>
      <c r="M392" s="133"/>
      <c r="N392" s="1132"/>
    </row>
    <row r="393" spans="1:14" ht="16.5" hidden="1" customHeight="1" x14ac:dyDescent="0.25">
      <c r="A393" s="2"/>
      <c r="B393" s="1024"/>
      <c r="C393" s="2473" t="s">
        <v>7058</v>
      </c>
      <c r="D393" s="2698">
        <v>100000000</v>
      </c>
      <c r="E393" s="194">
        <f t="shared" si="15"/>
        <v>8.1468401458066053E-2</v>
      </c>
      <c r="F393" s="246"/>
      <c r="G393" s="133"/>
      <c r="H393" s="201"/>
      <c r="I393" s="133"/>
      <c r="J393" s="246"/>
      <c r="K393" s="133"/>
      <c r="L393" s="201"/>
      <c r="M393" s="133"/>
      <c r="N393" s="1132"/>
    </row>
    <row r="394" spans="1:14" ht="19.5" hidden="1" customHeight="1" x14ac:dyDescent="0.25">
      <c r="A394" s="2"/>
      <c r="B394" s="1024"/>
      <c r="C394" s="2473" t="s">
        <v>7059</v>
      </c>
      <c r="D394" s="2698">
        <v>100000000</v>
      </c>
      <c r="E394" s="194">
        <f t="shared" si="15"/>
        <v>8.1468401458066053E-2</v>
      </c>
      <c r="F394" s="246"/>
      <c r="G394" s="133"/>
      <c r="H394" s="201"/>
      <c r="I394" s="133"/>
      <c r="J394" s="246"/>
      <c r="K394" s="133"/>
      <c r="L394" s="201"/>
      <c r="M394" s="133"/>
      <c r="N394" s="1132"/>
    </row>
    <row r="395" spans="1:14" ht="29.25" hidden="1" customHeight="1" x14ac:dyDescent="0.25">
      <c r="A395" s="2"/>
      <c r="B395" s="1024"/>
      <c r="C395" s="2473" t="s">
        <v>7060</v>
      </c>
      <c r="D395" s="2698">
        <v>100000000</v>
      </c>
      <c r="E395" s="194">
        <f t="shared" si="15"/>
        <v>8.1468401458066053E-2</v>
      </c>
      <c r="F395" s="2085"/>
      <c r="G395" s="133"/>
      <c r="H395" s="133"/>
      <c r="I395" s="133"/>
      <c r="J395" s="1104"/>
      <c r="K395" s="133"/>
      <c r="L395" s="133"/>
      <c r="M395" s="133"/>
      <c r="N395" s="1132"/>
    </row>
    <row r="396" spans="1:14" ht="12" hidden="1" customHeight="1" x14ac:dyDescent="0.25">
      <c r="A396" s="2"/>
      <c r="B396" s="1024"/>
      <c r="C396" s="2473"/>
      <c r="D396" s="896"/>
      <c r="E396" s="194"/>
      <c r="F396" s="2080"/>
      <c r="G396" s="2080"/>
      <c r="H396" s="202"/>
      <c r="I396" s="242"/>
      <c r="J396" s="1118"/>
      <c r="K396" s="2080"/>
      <c r="L396" s="202"/>
      <c r="M396" s="242"/>
      <c r="N396" s="1132"/>
    </row>
    <row r="397" spans="1:14" ht="20.25" hidden="1" customHeight="1" x14ac:dyDescent="0.25">
      <c r="A397" s="2"/>
      <c r="B397" s="1024"/>
      <c r="C397" s="2525" t="s">
        <v>2121</v>
      </c>
      <c r="D397" s="899">
        <f>SUM(D398:D405)</f>
        <v>4700000000</v>
      </c>
      <c r="E397" s="72">
        <f t="shared" si="15"/>
        <v>3.8290148685291041</v>
      </c>
      <c r="F397" s="246"/>
      <c r="G397" s="133"/>
      <c r="H397" s="201"/>
      <c r="I397" s="133"/>
      <c r="J397" s="246"/>
      <c r="K397" s="133"/>
      <c r="L397" s="201"/>
      <c r="M397" s="133"/>
      <c r="N397" s="1132"/>
    </row>
    <row r="398" spans="1:14" ht="18" hidden="1" customHeight="1" x14ac:dyDescent="0.25">
      <c r="A398" s="2"/>
      <c r="B398" s="1024"/>
      <c r="C398" s="2473" t="s">
        <v>7061</v>
      </c>
      <c r="D398" s="896">
        <v>200000000</v>
      </c>
      <c r="E398" s="194">
        <f t="shared" si="15"/>
        <v>0.16293680291613211</v>
      </c>
      <c r="F398" s="149"/>
      <c r="G398" s="140"/>
      <c r="H398" s="140"/>
      <c r="I398" s="140"/>
      <c r="J398" s="149"/>
      <c r="K398" s="140"/>
      <c r="L398" s="201"/>
      <c r="M398" s="133"/>
      <c r="N398" s="1132"/>
    </row>
    <row r="399" spans="1:14" ht="21" hidden="1" customHeight="1" x14ac:dyDescent="0.25">
      <c r="B399" s="1024"/>
      <c r="C399" s="2473" t="s">
        <v>7062</v>
      </c>
      <c r="D399" s="2698">
        <v>200000000</v>
      </c>
      <c r="E399" s="194">
        <f t="shared" si="15"/>
        <v>0.16293680291613211</v>
      </c>
      <c r="F399" s="2086"/>
      <c r="G399" s="207"/>
      <c r="H399" s="207"/>
      <c r="I399" s="215"/>
      <c r="J399" s="215"/>
      <c r="K399" s="1956"/>
      <c r="L399" s="215"/>
      <c r="M399" s="215"/>
      <c r="N399" s="1132"/>
    </row>
    <row r="400" spans="1:14" ht="33" hidden="1" customHeight="1" x14ac:dyDescent="0.25">
      <c r="B400" s="1024"/>
      <c r="C400" s="2473" t="s">
        <v>7063</v>
      </c>
      <c r="D400" s="2698">
        <v>1000000000</v>
      </c>
      <c r="E400" s="194">
        <f t="shared" si="15"/>
        <v>0.81468401458066053</v>
      </c>
      <c r="F400" s="246"/>
      <c r="G400" s="201"/>
      <c r="H400" s="201"/>
      <c r="I400" s="197"/>
      <c r="J400" s="197"/>
      <c r="K400" s="348"/>
      <c r="L400" s="197"/>
      <c r="M400" s="197"/>
      <c r="N400" s="1132"/>
    </row>
    <row r="401" spans="2:14" ht="23.25" hidden="1" customHeight="1" x14ac:dyDescent="0.25">
      <c r="B401" s="1024"/>
      <c r="C401" s="2473" t="s">
        <v>7064</v>
      </c>
      <c r="D401" s="2698">
        <v>300000000</v>
      </c>
      <c r="E401" s="194">
        <f t="shared" si="15"/>
        <v>0.24440520437419813</v>
      </c>
      <c r="F401" s="246"/>
      <c r="G401" s="201"/>
      <c r="H401" s="201"/>
      <c r="I401" s="197"/>
      <c r="J401" s="197"/>
      <c r="K401" s="348"/>
      <c r="L401" s="197"/>
      <c r="M401" s="197"/>
      <c r="N401" s="1132"/>
    </row>
    <row r="402" spans="2:14" ht="18" hidden="1" customHeight="1" x14ac:dyDescent="0.25">
      <c r="B402" s="1024"/>
      <c r="C402" s="2473" t="s">
        <v>7065</v>
      </c>
      <c r="D402" s="2698">
        <v>1300000000</v>
      </c>
      <c r="E402" s="194">
        <f t="shared" si="15"/>
        <v>1.0590892189548586</v>
      </c>
      <c r="F402" s="246"/>
      <c r="G402" s="201"/>
      <c r="H402" s="201"/>
      <c r="I402" s="197"/>
      <c r="J402" s="197"/>
      <c r="K402" s="348"/>
      <c r="L402" s="197"/>
      <c r="M402" s="197"/>
      <c r="N402" s="1132"/>
    </row>
    <row r="403" spans="2:14" ht="21" hidden="1" customHeight="1" x14ac:dyDescent="0.25">
      <c r="B403" s="1024"/>
      <c r="C403" s="2473" t="s">
        <v>7066</v>
      </c>
      <c r="D403" s="2698">
        <v>1000000000</v>
      </c>
      <c r="E403" s="194">
        <f t="shared" si="15"/>
        <v>0.81468401458066053</v>
      </c>
      <c r="F403" s="246"/>
      <c r="G403" s="201"/>
      <c r="H403" s="201"/>
      <c r="I403" s="197"/>
      <c r="J403" s="197"/>
      <c r="K403" s="348"/>
      <c r="L403" s="197"/>
      <c r="M403" s="197"/>
      <c r="N403" s="1132"/>
    </row>
    <row r="404" spans="2:14" ht="20.25" hidden="1" customHeight="1" x14ac:dyDescent="0.25">
      <c r="B404" s="1024"/>
      <c r="C404" s="2473" t="s">
        <v>7067</v>
      </c>
      <c r="D404" s="2698">
        <v>500000000</v>
      </c>
      <c r="E404" s="194">
        <f t="shared" si="15"/>
        <v>0.40734200729033027</v>
      </c>
      <c r="F404" s="246"/>
      <c r="G404" s="201"/>
      <c r="H404" s="201"/>
      <c r="I404" s="197"/>
      <c r="J404" s="197"/>
      <c r="K404" s="348"/>
      <c r="L404" s="197"/>
      <c r="M404" s="197"/>
      <c r="N404" s="1132"/>
    </row>
    <row r="405" spans="2:14" ht="20.25" hidden="1" customHeight="1" x14ac:dyDescent="0.25">
      <c r="B405" s="1024"/>
      <c r="C405" s="2473" t="s">
        <v>7068</v>
      </c>
      <c r="D405" s="2698">
        <v>200000000</v>
      </c>
      <c r="E405" s="194">
        <f t="shared" si="15"/>
        <v>0.16293680291613211</v>
      </c>
      <c r="F405" s="246"/>
      <c r="G405" s="201"/>
      <c r="H405" s="201"/>
      <c r="I405" s="197"/>
      <c r="J405" s="197"/>
      <c r="K405" s="348"/>
      <c r="L405" s="197"/>
      <c r="M405" s="197"/>
      <c r="N405" s="1132"/>
    </row>
    <row r="406" spans="2:14" ht="12" hidden="1" customHeight="1" x14ac:dyDescent="0.25">
      <c r="B406" s="1024"/>
      <c r="C406" s="2473"/>
      <c r="D406" s="896"/>
      <c r="E406" s="194"/>
      <c r="F406" s="246"/>
      <c r="G406" s="201"/>
      <c r="H406" s="201"/>
      <c r="I406" s="197"/>
      <c r="J406" s="197"/>
      <c r="K406" s="348"/>
      <c r="L406" s="197"/>
      <c r="M406" s="197"/>
      <c r="N406" s="1132"/>
    </row>
    <row r="407" spans="2:14" ht="27" hidden="1" customHeight="1" x14ac:dyDescent="0.25">
      <c r="B407" s="1024"/>
      <c r="C407" s="2525" t="s">
        <v>1882</v>
      </c>
      <c r="D407" s="899">
        <f>SUM(D408:D412)</f>
        <v>750000000</v>
      </c>
      <c r="E407" s="72">
        <f t="shared" si="15"/>
        <v>0.61101301093549543</v>
      </c>
      <c r="F407" s="246"/>
      <c r="G407" s="201"/>
      <c r="H407" s="201"/>
      <c r="I407" s="197"/>
      <c r="J407" s="197"/>
      <c r="K407" s="348"/>
      <c r="L407" s="197"/>
      <c r="M407" s="197"/>
      <c r="N407" s="1132"/>
    </row>
    <row r="408" spans="2:14" ht="34.5" hidden="1" customHeight="1" x14ac:dyDescent="0.25">
      <c r="B408" s="1024"/>
      <c r="C408" s="2473" t="s">
        <v>7069</v>
      </c>
      <c r="D408" s="896">
        <v>200000000</v>
      </c>
      <c r="E408" s="194">
        <f t="shared" si="15"/>
        <v>0.16293680291613211</v>
      </c>
      <c r="F408" s="246"/>
      <c r="G408" s="201"/>
      <c r="H408" s="201"/>
      <c r="I408" s="197"/>
      <c r="J408" s="197"/>
      <c r="K408" s="348"/>
      <c r="L408" s="197"/>
      <c r="M408" s="197"/>
      <c r="N408" s="1132"/>
    </row>
    <row r="409" spans="2:14" ht="19.5" hidden="1" customHeight="1" x14ac:dyDescent="0.25">
      <c r="B409" s="1024"/>
      <c r="C409" s="2473" t="s">
        <v>7070</v>
      </c>
      <c r="D409" s="896">
        <v>100000000</v>
      </c>
      <c r="E409" s="194">
        <f t="shared" si="15"/>
        <v>8.1468401458066053E-2</v>
      </c>
      <c r="F409" s="246"/>
      <c r="G409" s="201"/>
      <c r="H409" s="201"/>
      <c r="I409" s="197"/>
      <c r="J409" s="197"/>
      <c r="K409" s="348"/>
      <c r="L409" s="197"/>
      <c r="M409" s="197"/>
      <c r="N409" s="1132"/>
    </row>
    <row r="410" spans="2:14" ht="19.5" hidden="1" customHeight="1" x14ac:dyDescent="0.25">
      <c r="B410" s="1024"/>
      <c r="C410" s="2473" t="s">
        <v>7071</v>
      </c>
      <c r="D410" s="896">
        <v>200000000</v>
      </c>
      <c r="E410" s="194">
        <f t="shared" ref="E410:E431" si="16">D410/122746977000*100</f>
        <v>0.16293680291613211</v>
      </c>
      <c r="F410" s="246"/>
      <c r="G410" s="201"/>
      <c r="H410" s="201"/>
      <c r="I410" s="197"/>
      <c r="J410" s="197"/>
      <c r="K410" s="348"/>
      <c r="L410" s="197"/>
      <c r="M410" s="197"/>
      <c r="N410" s="1132"/>
    </row>
    <row r="411" spans="2:14" ht="34.5" hidden="1" customHeight="1" x14ac:dyDescent="0.25">
      <c r="B411" s="1024"/>
      <c r="C411" s="2473" t="s">
        <v>7072</v>
      </c>
      <c r="D411" s="2698">
        <v>100000000</v>
      </c>
      <c r="E411" s="194">
        <f t="shared" si="16"/>
        <v>8.1468401458066053E-2</v>
      </c>
      <c r="F411" s="246"/>
      <c r="G411" s="201"/>
      <c r="H411" s="201"/>
      <c r="I411" s="197"/>
      <c r="J411" s="197"/>
      <c r="K411" s="348"/>
      <c r="L411" s="197"/>
      <c r="M411" s="197"/>
      <c r="N411" s="1132"/>
    </row>
    <row r="412" spans="2:14" ht="16.5" hidden="1" customHeight="1" x14ac:dyDescent="0.25">
      <c r="B412" s="1024"/>
      <c r="C412" s="2473" t="s">
        <v>7073</v>
      </c>
      <c r="D412" s="2698">
        <v>150000000</v>
      </c>
      <c r="E412" s="194">
        <f t="shared" si="16"/>
        <v>0.12220260218709907</v>
      </c>
      <c r="F412" s="246"/>
      <c r="G412" s="201"/>
      <c r="H412" s="201"/>
      <c r="I412" s="197"/>
      <c r="J412" s="197"/>
      <c r="K412" s="348"/>
      <c r="L412" s="197"/>
      <c r="M412" s="197"/>
      <c r="N412" s="1132"/>
    </row>
    <row r="413" spans="2:14" ht="12" hidden="1" customHeight="1" x14ac:dyDescent="0.25">
      <c r="B413" s="1024"/>
      <c r="C413" s="2473"/>
      <c r="D413" s="896"/>
      <c r="E413" s="194"/>
      <c r="F413" s="246"/>
      <c r="G413" s="201"/>
      <c r="H413" s="201"/>
      <c r="I413" s="197"/>
      <c r="J413" s="197"/>
      <c r="K413" s="348"/>
      <c r="L413" s="197"/>
      <c r="M413" s="197"/>
      <c r="N413" s="1132"/>
    </row>
    <row r="414" spans="2:14" ht="19.5" hidden="1" customHeight="1" x14ac:dyDescent="0.25">
      <c r="B414" s="1024"/>
      <c r="C414" s="2525" t="s">
        <v>1508</v>
      </c>
      <c r="D414" s="899">
        <f>D415</f>
        <v>200000000</v>
      </c>
      <c r="E414" s="72">
        <f t="shared" si="16"/>
        <v>0.16293680291613211</v>
      </c>
      <c r="F414" s="246"/>
      <c r="G414" s="201"/>
      <c r="H414" s="201"/>
      <c r="I414" s="197"/>
      <c r="J414" s="197"/>
      <c r="K414" s="348"/>
      <c r="L414" s="197"/>
      <c r="M414" s="197"/>
      <c r="N414" s="1132"/>
    </row>
    <row r="415" spans="2:14" ht="20.25" hidden="1" customHeight="1" x14ac:dyDescent="0.25">
      <c r="B415" s="1024"/>
      <c r="C415" s="2473" t="s">
        <v>7074</v>
      </c>
      <c r="D415" s="896">
        <v>200000000</v>
      </c>
      <c r="E415" s="194">
        <f t="shared" si="16"/>
        <v>0.16293680291613211</v>
      </c>
      <c r="F415" s="246"/>
      <c r="G415" s="201"/>
      <c r="H415" s="201"/>
      <c r="I415" s="197"/>
      <c r="J415" s="197"/>
      <c r="K415" s="348"/>
      <c r="L415" s="197"/>
      <c r="M415" s="197"/>
      <c r="N415" s="1132"/>
    </row>
    <row r="416" spans="2:14" ht="12" hidden="1" customHeight="1" x14ac:dyDescent="0.25">
      <c r="B416" s="1024"/>
      <c r="C416" s="2474"/>
      <c r="D416" s="896"/>
      <c r="E416" s="194"/>
      <c r="F416" s="246"/>
      <c r="G416" s="201"/>
      <c r="H416" s="201"/>
      <c r="I416" s="197"/>
      <c r="J416" s="197"/>
      <c r="K416" s="348"/>
      <c r="L416" s="197"/>
      <c r="M416" s="197"/>
      <c r="N416" s="1132"/>
    </row>
    <row r="417" spans="2:14" ht="21" hidden="1" customHeight="1" x14ac:dyDescent="0.25">
      <c r="B417" s="1024"/>
      <c r="C417" s="2474" t="s">
        <v>7075</v>
      </c>
      <c r="D417" s="899">
        <f>SUM(D418:D422)</f>
        <v>1650000000</v>
      </c>
      <c r="E417" s="72">
        <f t="shared" si="16"/>
        <v>1.3442286240580898</v>
      </c>
      <c r="F417" s="246"/>
      <c r="G417" s="201"/>
      <c r="H417" s="201"/>
      <c r="I417" s="197"/>
      <c r="J417" s="197"/>
      <c r="K417" s="348"/>
      <c r="L417" s="197"/>
      <c r="M417" s="197"/>
      <c r="N417" s="1132"/>
    </row>
    <row r="418" spans="2:14" ht="18.75" hidden="1" customHeight="1" x14ac:dyDescent="0.25">
      <c r="B418" s="1024"/>
      <c r="C418" s="2473" t="s">
        <v>7076</v>
      </c>
      <c r="D418" s="896">
        <v>1250000000</v>
      </c>
      <c r="E418" s="194">
        <f t="shared" si="16"/>
        <v>1.0183550182258256</v>
      </c>
      <c r="F418" s="246"/>
      <c r="G418" s="201"/>
      <c r="H418" s="201"/>
      <c r="I418" s="197"/>
      <c r="J418" s="197"/>
      <c r="K418" s="348"/>
      <c r="L418" s="197"/>
      <c r="M418" s="197"/>
      <c r="N418" s="1132"/>
    </row>
    <row r="419" spans="2:14" ht="19.5" hidden="1" customHeight="1" x14ac:dyDescent="0.25">
      <c r="B419" s="1024"/>
      <c r="C419" s="2473" t="s">
        <v>7077</v>
      </c>
      <c r="D419" s="896">
        <v>50000000</v>
      </c>
      <c r="E419" s="194">
        <f t="shared" si="16"/>
        <v>4.0734200729033027E-2</v>
      </c>
      <c r="F419" s="246"/>
      <c r="G419" s="201"/>
      <c r="H419" s="201"/>
      <c r="I419" s="197"/>
      <c r="J419" s="197"/>
      <c r="K419" s="348"/>
      <c r="L419" s="197"/>
      <c r="M419" s="197"/>
      <c r="N419" s="1132"/>
    </row>
    <row r="420" spans="2:14" ht="21" hidden="1" customHeight="1" x14ac:dyDescent="0.25">
      <c r="B420" s="1024"/>
      <c r="C420" s="2473" t="s">
        <v>7078</v>
      </c>
      <c r="D420" s="896">
        <v>200000000</v>
      </c>
      <c r="E420" s="194">
        <f t="shared" si="16"/>
        <v>0.16293680291613211</v>
      </c>
      <c r="F420" s="246"/>
      <c r="G420" s="201"/>
      <c r="H420" s="201"/>
      <c r="I420" s="197"/>
      <c r="J420" s="197"/>
      <c r="K420" s="348"/>
      <c r="L420" s="197"/>
      <c r="M420" s="197"/>
      <c r="N420" s="1132"/>
    </row>
    <row r="421" spans="2:14" ht="20.25" hidden="1" customHeight="1" x14ac:dyDescent="0.25">
      <c r="B421" s="1024"/>
      <c r="C421" s="2473" t="s">
        <v>7079</v>
      </c>
      <c r="D421" s="896">
        <v>50000000</v>
      </c>
      <c r="E421" s="194">
        <f t="shared" si="16"/>
        <v>4.0734200729033027E-2</v>
      </c>
      <c r="F421" s="246"/>
      <c r="G421" s="201"/>
      <c r="H421" s="201"/>
      <c r="I421" s="197"/>
      <c r="J421" s="197"/>
      <c r="K421" s="348"/>
      <c r="L421" s="197"/>
      <c r="M421" s="197"/>
      <c r="N421" s="1132"/>
    </row>
    <row r="422" spans="2:14" ht="17.25" hidden="1" customHeight="1" x14ac:dyDescent="0.25">
      <c r="B422" s="1024"/>
      <c r="C422" s="2473" t="s">
        <v>7080</v>
      </c>
      <c r="D422" s="896">
        <v>100000000</v>
      </c>
      <c r="E422" s="194">
        <f t="shared" si="16"/>
        <v>8.1468401458066053E-2</v>
      </c>
      <c r="F422" s="246"/>
      <c r="G422" s="201"/>
      <c r="H422" s="201"/>
      <c r="I422" s="197"/>
      <c r="J422" s="197"/>
      <c r="K422" s="348"/>
      <c r="L422" s="197"/>
      <c r="M422" s="197"/>
      <c r="N422" s="1132"/>
    </row>
    <row r="423" spans="2:14" ht="12.75" hidden="1" customHeight="1" x14ac:dyDescent="0.25">
      <c r="B423" s="1024"/>
      <c r="C423" s="2474"/>
      <c r="D423" s="896"/>
      <c r="E423" s="194"/>
      <c r="F423" s="246"/>
      <c r="G423" s="201"/>
      <c r="H423" s="201"/>
      <c r="I423" s="197"/>
      <c r="J423" s="197"/>
      <c r="K423" s="348"/>
      <c r="L423" s="197"/>
      <c r="M423" s="197"/>
      <c r="N423" s="1132"/>
    </row>
    <row r="424" spans="2:14" ht="22.5" hidden="1" customHeight="1" x14ac:dyDescent="0.25">
      <c r="B424" s="1024"/>
      <c r="C424" s="2474" t="s">
        <v>7081</v>
      </c>
      <c r="D424" s="899">
        <f>SUM(D425:D426)</f>
        <v>1500000000</v>
      </c>
      <c r="E424" s="72">
        <f t="shared" si="16"/>
        <v>1.2220260218709909</v>
      </c>
      <c r="F424" s="246"/>
      <c r="G424" s="201"/>
      <c r="H424" s="201"/>
      <c r="I424" s="197"/>
      <c r="J424" s="197"/>
      <c r="K424" s="348"/>
      <c r="L424" s="197"/>
      <c r="M424" s="197"/>
      <c r="N424" s="1132"/>
    </row>
    <row r="425" spans="2:14" ht="16.5" hidden="1" customHeight="1" x14ac:dyDescent="0.25">
      <c r="B425" s="1024"/>
      <c r="C425" s="2473" t="s">
        <v>7082</v>
      </c>
      <c r="D425" s="896">
        <v>1000000000</v>
      </c>
      <c r="E425" s="194">
        <f t="shared" si="16"/>
        <v>0.81468401458066053</v>
      </c>
      <c r="F425" s="246"/>
      <c r="G425" s="201"/>
      <c r="H425" s="201"/>
      <c r="I425" s="197"/>
      <c r="J425" s="197"/>
      <c r="K425" s="348"/>
      <c r="L425" s="197"/>
      <c r="M425" s="197"/>
      <c r="N425" s="1132"/>
    </row>
    <row r="426" spans="2:14" ht="21" hidden="1" customHeight="1" x14ac:dyDescent="0.25">
      <c r="B426" s="1024"/>
      <c r="C426" s="2473" t="s">
        <v>7083</v>
      </c>
      <c r="D426" s="896">
        <v>500000000</v>
      </c>
      <c r="E426" s="194">
        <f t="shared" si="16"/>
        <v>0.40734200729033027</v>
      </c>
      <c r="F426" s="246"/>
      <c r="G426" s="201"/>
      <c r="H426" s="201"/>
      <c r="I426" s="197"/>
      <c r="J426" s="197"/>
      <c r="K426" s="348"/>
      <c r="L426" s="197"/>
      <c r="M426" s="197"/>
      <c r="N426" s="1132"/>
    </row>
    <row r="427" spans="2:14" ht="12" hidden="1" customHeight="1" x14ac:dyDescent="0.25">
      <c r="B427" s="1024"/>
      <c r="C427" s="2473"/>
      <c r="D427" s="896"/>
      <c r="E427" s="194"/>
      <c r="F427" s="246"/>
      <c r="G427" s="201"/>
      <c r="H427" s="201"/>
      <c r="I427" s="197"/>
      <c r="J427" s="197"/>
      <c r="K427" s="348"/>
      <c r="L427" s="197"/>
      <c r="M427" s="197"/>
      <c r="N427" s="1132"/>
    </row>
    <row r="428" spans="2:14" ht="23.25" hidden="1" customHeight="1" x14ac:dyDescent="0.25">
      <c r="B428" s="1024"/>
      <c r="C428" s="2474" t="s">
        <v>7085</v>
      </c>
      <c r="D428" s="899">
        <f>SUM(D429:D431)</f>
        <v>570361000</v>
      </c>
      <c r="E428" s="72">
        <f t="shared" si="16"/>
        <v>0.46466398924024011</v>
      </c>
      <c r="F428" s="246"/>
      <c r="G428" s="201"/>
      <c r="H428" s="201"/>
      <c r="I428" s="197"/>
      <c r="J428" s="197"/>
      <c r="K428" s="348"/>
      <c r="L428" s="197"/>
      <c r="M428" s="197"/>
      <c r="N428" s="1132"/>
    </row>
    <row r="429" spans="2:14" ht="20.25" hidden="1" customHeight="1" x14ac:dyDescent="0.25">
      <c r="B429" s="1024"/>
      <c r="C429" s="2473" t="s">
        <v>7084</v>
      </c>
      <c r="D429" s="896">
        <v>170361000</v>
      </c>
      <c r="E429" s="194">
        <f t="shared" si="16"/>
        <v>0.13879038340797589</v>
      </c>
      <c r="F429" s="246"/>
      <c r="G429" s="201"/>
      <c r="H429" s="201"/>
      <c r="I429" s="197"/>
      <c r="J429" s="197"/>
      <c r="K429" s="348"/>
      <c r="L429" s="197"/>
      <c r="M429" s="197"/>
      <c r="N429" s="1132"/>
    </row>
    <row r="430" spans="2:14" ht="17.25" hidden="1" customHeight="1" x14ac:dyDescent="0.25">
      <c r="B430" s="1024"/>
      <c r="C430" s="2473" t="s">
        <v>7086</v>
      </c>
      <c r="D430" s="896">
        <v>150000000</v>
      </c>
      <c r="E430" s="194">
        <f t="shared" si="16"/>
        <v>0.12220260218709907</v>
      </c>
      <c r="F430" s="2086"/>
      <c r="G430" s="207"/>
      <c r="H430" s="207"/>
      <c r="I430" s="215"/>
      <c r="J430" s="215"/>
      <c r="K430" s="1956"/>
      <c r="L430" s="215"/>
      <c r="M430" s="215"/>
      <c r="N430" s="1132"/>
    </row>
    <row r="431" spans="2:14" ht="21.75" hidden="1" customHeight="1" x14ac:dyDescent="0.25">
      <c r="B431" s="1024"/>
      <c r="C431" s="2473" t="s">
        <v>7087</v>
      </c>
      <c r="D431" s="896">
        <v>250000000</v>
      </c>
      <c r="E431" s="194">
        <f t="shared" si="16"/>
        <v>0.20367100364516513</v>
      </c>
      <c r="F431" s="246"/>
      <c r="G431" s="201"/>
      <c r="H431" s="201"/>
      <c r="I431" s="197"/>
      <c r="J431" s="197"/>
      <c r="K431" s="348"/>
      <c r="L431" s="197"/>
      <c r="M431" s="197"/>
      <c r="N431" s="1132"/>
    </row>
    <row r="432" spans="2:14" ht="21" hidden="1" customHeight="1" x14ac:dyDescent="0.25">
      <c r="B432" s="1024"/>
      <c r="C432" s="64"/>
      <c r="D432" s="901"/>
      <c r="E432" s="191"/>
      <c r="F432" s="2086"/>
      <c r="G432" s="207"/>
      <c r="H432" s="207"/>
      <c r="I432" s="215"/>
      <c r="J432" s="215"/>
      <c r="K432" s="1956"/>
      <c r="L432" s="215"/>
      <c r="M432" s="215"/>
      <c r="N432" s="1132"/>
    </row>
    <row r="433" spans="1:18" ht="19.5" hidden="1" customHeight="1" x14ac:dyDescent="0.25">
      <c r="B433" s="1029"/>
      <c r="C433" s="56" t="s">
        <v>7290</v>
      </c>
      <c r="D433" s="4227">
        <f>SUM(D434)</f>
        <v>2500000000</v>
      </c>
      <c r="E433" s="179">
        <f>D433/122746977000*100</f>
        <v>2.0367100364516513</v>
      </c>
      <c r="F433" s="2088"/>
      <c r="G433" s="2088"/>
      <c r="H433" s="179"/>
      <c r="I433" s="179"/>
      <c r="J433" s="1111"/>
      <c r="K433" s="2088"/>
      <c r="L433" s="179"/>
      <c r="M433" s="179"/>
      <c r="N433" s="1132"/>
    </row>
    <row r="434" spans="1:18" ht="19.5" hidden="1" customHeight="1" x14ac:dyDescent="0.25">
      <c r="A434" s="2"/>
      <c r="B434" s="1024"/>
      <c r="C434" s="69" t="s">
        <v>7291</v>
      </c>
      <c r="D434" s="4223">
        <f>SUM(D435:D437)</f>
        <v>2500000000</v>
      </c>
      <c r="E434" s="72">
        <f>D434/122746977000*100</f>
        <v>2.0367100364516513</v>
      </c>
      <c r="F434" s="128"/>
      <c r="G434" s="128"/>
      <c r="H434" s="326"/>
      <c r="I434" s="72"/>
      <c r="J434" s="1127"/>
      <c r="K434" s="128"/>
      <c r="L434" s="202"/>
      <c r="M434" s="72"/>
      <c r="N434" s="1132"/>
      <c r="R434" s="35"/>
    </row>
    <row r="435" spans="1:18" ht="18" hidden="1" customHeight="1" x14ac:dyDescent="0.25">
      <c r="A435" s="2"/>
      <c r="B435" s="1024"/>
      <c r="C435" s="145" t="s">
        <v>7294</v>
      </c>
      <c r="D435" s="2089">
        <v>1000000000</v>
      </c>
      <c r="E435" s="194">
        <f>D435/122746977000*100</f>
        <v>0.81468401458066053</v>
      </c>
      <c r="F435" s="2089"/>
      <c r="G435" s="133"/>
      <c r="H435" s="133"/>
      <c r="I435" s="133"/>
      <c r="J435" s="2089"/>
      <c r="K435" s="133"/>
      <c r="L435" s="133"/>
      <c r="M435" s="133"/>
      <c r="N435" s="1132"/>
    </row>
    <row r="436" spans="1:18" ht="18.75" hidden="1" customHeight="1" x14ac:dyDescent="0.25">
      <c r="A436" s="2"/>
      <c r="B436" s="1024"/>
      <c r="C436" s="4228" t="s">
        <v>7295</v>
      </c>
      <c r="D436" s="2090">
        <v>1000000000</v>
      </c>
      <c r="E436" s="194">
        <f t="shared" ref="E436:E437" si="17">D436/122746977000*100</f>
        <v>0.81468401458066053</v>
      </c>
      <c r="F436" s="2091"/>
      <c r="G436" s="133"/>
      <c r="H436" s="133"/>
      <c r="I436" s="133"/>
      <c r="J436" s="2092"/>
      <c r="K436" s="133"/>
      <c r="L436" s="133"/>
      <c r="M436" s="133"/>
      <c r="N436" s="1132"/>
    </row>
    <row r="437" spans="1:18" ht="29.25" hidden="1" customHeight="1" x14ac:dyDescent="0.25">
      <c r="A437" s="2"/>
      <c r="B437" s="1024"/>
      <c r="C437" s="145" t="s">
        <v>7296</v>
      </c>
      <c r="D437" s="2090">
        <v>500000000</v>
      </c>
      <c r="E437" s="194">
        <f t="shared" si="17"/>
        <v>0.40734200729033027</v>
      </c>
      <c r="F437" s="2091"/>
      <c r="G437" s="140"/>
      <c r="H437" s="140"/>
      <c r="I437" s="140"/>
      <c r="J437" s="4697"/>
      <c r="K437" s="140"/>
      <c r="L437" s="201"/>
      <c r="M437" s="140"/>
      <c r="N437" s="1132"/>
    </row>
    <row r="438" spans="1:18" ht="13.5" hidden="1" customHeight="1" x14ac:dyDescent="0.25">
      <c r="B438" s="1024"/>
      <c r="C438" s="59"/>
      <c r="D438" s="2314"/>
      <c r="E438" s="2032"/>
      <c r="F438" s="81"/>
      <c r="G438" s="118"/>
      <c r="H438" s="215"/>
      <c r="I438" s="994"/>
      <c r="J438" s="215"/>
      <c r="K438" s="1956"/>
      <c r="L438" s="209"/>
      <c r="M438" s="215"/>
      <c r="N438" s="1132"/>
    </row>
    <row r="439" spans="1:18" ht="20.25" hidden="1" customHeight="1" x14ac:dyDescent="0.25">
      <c r="B439" s="2034"/>
      <c r="C439" s="1998" t="s">
        <v>7007</v>
      </c>
      <c r="D439" s="676">
        <f>SUM(D440+D497)</f>
        <v>45427990639</v>
      </c>
      <c r="E439" s="679">
        <f>D439/2512247400000*100</f>
        <v>1.808261027118587</v>
      </c>
      <c r="F439" s="2043"/>
      <c r="G439" s="1084"/>
      <c r="H439" s="2044"/>
      <c r="I439" s="679"/>
      <c r="J439" s="676"/>
      <c r="K439" s="1084"/>
      <c r="L439" s="2044"/>
      <c r="M439" s="679"/>
      <c r="N439" s="1132"/>
      <c r="R439" s="35"/>
    </row>
    <row r="440" spans="1:18" s="27" customFormat="1" ht="21.75" hidden="1" customHeight="1" x14ac:dyDescent="0.25">
      <c r="B440" s="1029"/>
      <c r="C440" s="354" t="s">
        <v>7843</v>
      </c>
      <c r="D440" s="370">
        <f>SUM(D441+D447+D469+D472+D475+D489+D492)</f>
        <v>30852566075</v>
      </c>
      <c r="E440" s="106">
        <f>D440/121629554000*100</f>
        <v>25.366011023110385</v>
      </c>
      <c r="F440" s="2045"/>
      <c r="G440" s="370"/>
      <c r="H440" s="2046"/>
      <c r="I440" s="343"/>
      <c r="J440" s="370"/>
      <c r="K440" s="2047"/>
      <c r="L440" s="370"/>
      <c r="M440" s="343"/>
      <c r="N440" s="1132"/>
      <c r="P440" s="79">
        <v>41609695473</v>
      </c>
      <c r="Q440" s="79">
        <v>12620366992</v>
      </c>
    </row>
    <row r="441" spans="1:18" s="27" customFormat="1" ht="21" hidden="1" customHeight="1" x14ac:dyDescent="0.25">
      <c r="A441" s="6"/>
      <c r="B441" s="1024"/>
      <c r="C441" s="134" t="s">
        <v>243</v>
      </c>
      <c r="D441" s="92">
        <f>SUM(D442:D445)</f>
        <v>3182221750</v>
      </c>
      <c r="E441" s="4698">
        <f>D441/121629554000*100</f>
        <v>2.6163227976647847</v>
      </c>
      <c r="F441" s="142"/>
      <c r="G441" s="142"/>
      <c r="H441" s="2048"/>
      <c r="I441" s="2049"/>
      <c r="J441" s="680"/>
      <c r="K441" s="680"/>
      <c r="L441" s="240"/>
      <c r="M441" s="240"/>
      <c r="N441" s="1045"/>
      <c r="P441" s="641"/>
    </row>
    <row r="442" spans="1:18" s="27" customFormat="1" ht="15.75" hidden="1" customHeight="1" x14ac:dyDescent="0.25">
      <c r="A442" s="6"/>
      <c r="B442" s="1024"/>
      <c r="C442" s="61" t="s">
        <v>356</v>
      </c>
      <c r="D442" s="2050">
        <v>2106000000</v>
      </c>
      <c r="E442" s="117">
        <f>D442/121629554000*100</f>
        <v>1.7314870693351385</v>
      </c>
      <c r="F442" s="146"/>
      <c r="G442" s="2051"/>
      <c r="H442" s="2052"/>
      <c r="I442" s="2051"/>
      <c r="J442" s="2053"/>
      <c r="K442" s="2053"/>
      <c r="L442" s="201"/>
      <c r="M442" s="2051"/>
      <c r="N442" s="1045"/>
      <c r="P442" s="644"/>
    </row>
    <row r="443" spans="1:18" s="27" customFormat="1" ht="17.25" hidden="1" customHeight="1" x14ac:dyDescent="0.25">
      <c r="A443" s="6"/>
      <c r="B443" s="1024"/>
      <c r="C443" s="355" t="s">
        <v>4274</v>
      </c>
      <c r="D443" s="2050">
        <v>152000000</v>
      </c>
      <c r="E443" s="117">
        <f t="shared" ref="E443:E445" si="18">D443/121629554000*100</f>
        <v>0.12496962703653423</v>
      </c>
      <c r="F443" s="146"/>
      <c r="G443" s="2051"/>
      <c r="H443" s="2052"/>
      <c r="I443" s="2051"/>
      <c r="J443" s="919"/>
      <c r="K443" s="919"/>
      <c r="L443" s="201"/>
      <c r="M443" s="237"/>
      <c r="N443" s="1045"/>
      <c r="P443" s="644"/>
    </row>
    <row r="444" spans="1:18" s="27" customFormat="1" ht="18.75" hidden="1" customHeight="1" x14ac:dyDescent="0.25">
      <c r="A444" s="6"/>
      <c r="B444" s="1024"/>
      <c r="C444" s="355" t="s">
        <v>4275</v>
      </c>
      <c r="D444" s="2050">
        <v>903290000</v>
      </c>
      <c r="E444" s="117">
        <f t="shared" si="18"/>
        <v>0.74265667372257238</v>
      </c>
      <c r="F444" s="146"/>
      <c r="G444" s="2051"/>
      <c r="H444" s="2052"/>
      <c r="I444" s="2051"/>
      <c r="J444" s="919"/>
      <c r="K444" s="919"/>
      <c r="L444" s="201"/>
      <c r="M444" s="2054"/>
      <c r="N444" s="1045"/>
      <c r="P444" s="644"/>
    </row>
    <row r="445" spans="1:18" s="27" customFormat="1" ht="18" hidden="1" customHeight="1" x14ac:dyDescent="0.25">
      <c r="A445" s="6"/>
      <c r="B445" s="1024"/>
      <c r="C445" s="355" t="s">
        <v>4276</v>
      </c>
      <c r="D445" s="2050">
        <v>20931750</v>
      </c>
      <c r="E445" s="117">
        <f t="shared" si="18"/>
        <v>1.720942757053931E-2</v>
      </c>
      <c r="F445" s="146"/>
      <c r="G445" s="2051"/>
      <c r="H445" s="2052"/>
      <c r="I445" s="2051"/>
      <c r="J445" s="919"/>
      <c r="K445" s="2055"/>
      <c r="L445" s="2052"/>
      <c r="M445" s="2051"/>
      <c r="N445" s="1045"/>
      <c r="P445" s="645"/>
    </row>
    <row r="446" spans="1:18" s="27" customFormat="1" ht="14.25" hidden="1" customHeight="1" x14ac:dyDescent="0.25">
      <c r="A446" s="6"/>
      <c r="B446" s="1024"/>
      <c r="C446" s="355"/>
      <c r="D446" s="2050"/>
      <c r="E446" s="1996"/>
      <c r="F446" s="146"/>
      <c r="G446" s="2051"/>
      <c r="H446" s="2052"/>
      <c r="I446" s="2051"/>
      <c r="J446" s="919"/>
      <c r="K446" s="2055"/>
      <c r="L446" s="2052"/>
      <c r="M446" s="2054"/>
      <c r="N446" s="1045"/>
      <c r="P446" s="645"/>
    </row>
    <row r="447" spans="1:18" s="27" customFormat="1" ht="18.75" hidden="1" customHeight="1" x14ac:dyDescent="0.25">
      <c r="A447" s="6"/>
      <c r="B447" s="1024"/>
      <c r="C447" s="356" t="s">
        <v>1247</v>
      </c>
      <c r="D447" s="357">
        <f>SUM(D448:D467)</f>
        <v>19380922025</v>
      </c>
      <c r="E447" s="116">
        <f>D447/121629554000*100</f>
        <v>15.934385507160536</v>
      </c>
      <c r="F447" s="146"/>
      <c r="G447" s="2051"/>
      <c r="H447" s="2052"/>
      <c r="I447" s="2051"/>
      <c r="J447" s="919"/>
      <c r="K447" s="919"/>
      <c r="L447" s="201"/>
      <c r="M447" s="2054"/>
      <c r="N447" s="1045"/>
      <c r="P447" s="646"/>
    </row>
    <row r="448" spans="1:18" s="27" customFormat="1" ht="17.25" hidden="1" customHeight="1" x14ac:dyDescent="0.25">
      <c r="A448" s="6"/>
      <c r="B448" s="1024"/>
      <c r="C448" s="355" t="s">
        <v>363</v>
      </c>
      <c r="D448" s="2050">
        <v>4877244875</v>
      </c>
      <c r="E448" s="117">
        <f>D448/121629554000*100</f>
        <v>4.0099175854907765</v>
      </c>
      <c r="F448" s="146"/>
      <c r="G448" s="2051"/>
      <c r="H448" s="2052"/>
      <c r="I448" s="2051"/>
      <c r="J448" s="919"/>
      <c r="K448" s="919"/>
      <c r="L448" s="201"/>
      <c r="M448" s="2054"/>
      <c r="N448" s="1045"/>
      <c r="P448" s="644"/>
    </row>
    <row r="449" spans="1:16" s="27" customFormat="1" ht="18" hidden="1" customHeight="1" x14ac:dyDescent="0.25">
      <c r="A449" s="6"/>
      <c r="B449" s="1024"/>
      <c r="C449" s="358" t="s">
        <v>4277</v>
      </c>
      <c r="D449" s="2050">
        <v>1144000000</v>
      </c>
      <c r="E449" s="117">
        <f t="shared" ref="E449:E467" si="19">D449/121629554000*100</f>
        <v>0.94056087716970493</v>
      </c>
      <c r="F449" s="146"/>
      <c r="G449" s="2051"/>
      <c r="H449" s="2052"/>
      <c r="I449" s="2051"/>
      <c r="J449" s="919"/>
      <c r="K449" s="919"/>
      <c r="L449" s="201"/>
      <c r="M449" s="238"/>
      <c r="N449" s="1045"/>
      <c r="P449" s="644"/>
    </row>
    <row r="450" spans="1:16" s="27" customFormat="1" ht="18" hidden="1" customHeight="1" x14ac:dyDescent="0.25">
      <c r="A450" s="6"/>
      <c r="B450" s="1024"/>
      <c r="C450" s="132" t="s">
        <v>4278</v>
      </c>
      <c r="D450" s="2050">
        <v>1430000000</v>
      </c>
      <c r="E450" s="117">
        <f t="shared" si="19"/>
        <v>1.1757010964621313</v>
      </c>
      <c r="F450" s="146"/>
      <c r="G450" s="2051"/>
      <c r="H450" s="2052"/>
      <c r="I450" s="2051"/>
      <c r="J450" s="919"/>
      <c r="K450" s="2055"/>
      <c r="L450" s="2052"/>
      <c r="M450" s="2051"/>
      <c r="N450" s="1045"/>
      <c r="P450" s="645"/>
    </row>
    <row r="451" spans="1:16" s="27" customFormat="1" ht="19.5" hidden="1" customHeight="1" x14ac:dyDescent="0.25">
      <c r="A451" s="6"/>
      <c r="B451" s="1024"/>
      <c r="C451" s="132" t="s">
        <v>4444</v>
      </c>
      <c r="D451" s="2050">
        <v>372267000</v>
      </c>
      <c r="E451" s="117">
        <f t="shared" si="19"/>
        <v>0.3060662378158519</v>
      </c>
      <c r="F451" s="146"/>
      <c r="G451" s="2051"/>
      <c r="H451" s="2052"/>
      <c r="I451" s="2051"/>
      <c r="J451" s="919"/>
      <c r="K451" s="919"/>
      <c r="L451" s="201"/>
      <c r="M451" s="2051"/>
      <c r="N451" s="1045"/>
      <c r="P451" s="644"/>
    </row>
    <row r="452" spans="1:16" s="20" customFormat="1" ht="17.25" hidden="1" customHeight="1" x14ac:dyDescent="0.25">
      <c r="A452" s="963"/>
      <c r="B452" s="1024"/>
      <c r="C452" s="132" t="s">
        <v>4279</v>
      </c>
      <c r="D452" s="2050">
        <v>575662300</v>
      </c>
      <c r="E452" s="117">
        <f t="shared" si="19"/>
        <v>0.47329146664469396</v>
      </c>
      <c r="F452" s="146"/>
      <c r="G452" s="2051"/>
      <c r="H452" s="2052"/>
      <c r="I452" s="2051"/>
      <c r="J452" s="919"/>
      <c r="K452" s="919"/>
      <c r="L452" s="201"/>
      <c r="M452" s="2051"/>
      <c r="N452" s="1132"/>
      <c r="P452" s="647"/>
    </row>
    <row r="453" spans="1:16" s="20" customFormat="1" ht="30" hidden="1" customHeight="1" x14ac:dyDescent="0.25">
      <c r="A453" s="963"/>
      <c r="B453" s="1024"/>
      <c r="C453" s="132" t="s">
        <v>4280</v>
      </c>
      <c r="D453" s="2050">
        <v>373851000</v>
      </c>
      <c r="E453" s="117">
        <f t="shared" si="19"/>
        <v>0.30736855287654841</v>
      </c>
      <c r="F453" s="146"/>
      <c r="G453" s="2051"/>
      <c r="H453" s="2052"/>
      <c r="I453" s="2051"/>
      <c r="J453" s="919"/>
      <c r="K453" s="919"/>
      <c r="L453" s="201"/>
      <c r="M453" s="2051"/>
      <c r="N453" s="1132"/>
      <c r="P453" s="647"/>
    </row>
    <row r="454" spans="1:16" s="20" customFormat="1" ht="18.75" hidden="1" customHeight="1" x14ac:dyDescent="0.25">
      <c r="A454" s="963"/>
      <c r="B454" s="1024"/>
      <c r="C454" s="132" t="s">
        <v>4281</v>
      </c>
      <c r="D454" s="2050">
        <v>156830000</v>
      </c>
      <c r="E454" s="117">
        <f t="shared" si="19"/>
        <v>0.12894070136933988</v>
      </c>
      <c r="F454" s="146"/>
      <c r="G454" s="2051"/>
      <c r="H454" s="2052"/>
      <c r="I454" s="2051"/>
      <c r="J454" s="919"/>
      <c r="K454" s="2055"/>
      <c r="L454" s="2052"/>
      <c r="M454" s="2051"/>
      <c r="N454" s="1132"/>
      <c r="P454" s="648"/>
    </row>
    <row r="455" spans="1:16" s="20" customFormat="1" ht="19.5" hidden="1" customHeight="1" x14ac:dyDescent="0.25">
      <c r="A455" s="963"/>
      <c r="B455" s="1024"/>
      <c r="C455" s="132" t="s">
        <v>4282</v>
      </c>
      <c r="D455" s="2050">
        <v>347740000</v>
      </c>
      <c r="E455" s="117">
        <f t="shared" si="19"/>
        <v>0.28590090859002903</v>
      </c>
      <c r="F455" s="146"/>
      <c r="G455" s="2051"/>
      <c r="H455" s="2052"/>
      <c r="I455" s="2051"/>
      <c r="J455" s="919"/>
      <c r="K455" s="2055"/>
      <c r="L455" s="2052"/>
      <c r="M455" s="2051"/>
      <c r="N455" s="1132"/>
      <c r="P455" s="648"/>
    </row>
    <row r="456" spans="1:16" s="20" customFormat="1" ht="18" hidden="1" customHeight="1" x14ac:dyDescent="0.25">
      <c r="A456" s="963"/>
      <c r="B456" s="1024"/>
      <c r="C456" s="213" t="s">
        <v>4283</v>
      </c>
      <c r="D456" s="2056">
        <v>134279700</v>
      </c>
      <c r="E456" s="117">
        <f t="shared" si="19"/>
        <v>0.11040055281301123</v>
      </c>
      <c r="F456" s="2057"/>
      <c r="G456" s="2058"/>
      <c r="H456" s="2059"/>
      <c r="I456" s="2060"/>
      <c r="J456" s="189"/>
      <c r="K456" s="2055"/>
      <c r="L456" s="2058"/>
      <c r="M456" s="2058"/>
      <c r="N456" s="1132"/>
      <c r="P456" s="617"/>
    </row>
    <row r="457" spans="1:16" s="20" customFormat="1" ht="18" hidden="1" customHeight="1" x14ac:dyDescent="0.25">
      <c r="A457" s="963"/>
      <c r="B457" s="1024"/>
      <c r="C457" s="213" t="s">
        <v>4284</v>
      </c>
      <c r="D457" s="2056">
        <v>753765000</v>
      </c>
      <c r="E457" s="117">
        <f t="shared" si="19"/>
        <v>0.6197219139683765</v>
      </c>
      <c r="F457" s="2057"/>
      <c r="G457" s="2058"/>
      <c r="H457" s="2059"/>
      <c r="I457" s="2060"/>
      <c r="J457" s="189"/>
      <c r="K457" s="2055"/>
      <c r="L457" s="2058"/>
      <c r="M457" s="2058"/>
      <c r="N457" s="1132"/>
      <c r="P457" s="617"/>
    </row>
    <row r="458" spans="1:16" s="20" customFormat="1" ht="16.5" hidden="1" customHeight="1" x14ac:dyDescent="0.25">
      <c r="A458" s="963"/>
      <c r="B458" s="1024"/>
      <c r="C458" s="213" t="s">
        <v>4285</v>
      </c>
      <c r="D458" s="2056">
        <v>5117600000</v>
      </c>
      <c r="E458" s="117">
        <f t="shared" si="19"/>
        <v>4.2075300218563658</v>
      </c>
      <c r="F458" s="2057"/>
      <c r="G458" s="2058"/>
      <c r="H458" s="2059"/>
      <c r="I458" s="2060"/>
      <c r="J458" s="189"/>
      <c r="K458" s="2055"/>
      <c r="L458" s="2058"/>
      <c r="M458" s="2058"/>
      <c r="N458" s="1132"/>
      <c r="P458" s="617"/>
    </row>
    <row r="459" spans="1:16" s="20" customFormat="1" ht="16.5" hidden="1" customHeight="1" x14ac:dyDescent="0.25">
      <c r="A459" s="963"/>
      <c r="B459" s="1024"/>
      <c r="C459" s="213" t="s">
        <v>4286</v>
      </c>
      <c r="D459" s="2056">
        <v>210225000</v>
      </c>
      <c r="E459" s="117">
        <f t="shared" si="19"/>
        <v>0.17284039370891716</v>
      </c>
      <c r="F459" s="2057"/>
      <c r="G459" s="2058"/>
      <c r="H459" s="2059"/>
      <c r="I459" s="2060"/>
      <c r="J459" s="189"/>
      <c r="K459" s="2055"/>
      <c r="L459" s="2058"/>
      <c r="M459" s="2058"/>
      <c r="N459" s="1132"/>
      <c r="P459" s="617"/>
    </row>
    <row r="460" spans="1:16" s="20" customFormat="1" ht="15.75" hidden="1" customHeight="1" x14ac:dyDescent="0.25">
      <c r="A460" s="963"/>
      <c r="B460" s="1024"/>
      <c r="C460" s="213" t="s">
        <v>4287</v>
      </c>
      <c r="D460" s="2056">
        <v>251676000</v>
      </c>
      <c r="E460" s="117">
        <f t="shared" si="19"/>
        <v>0.20692010430293939</v>
      </c>
      <c r="F460" s="2057"/>
      <c r="G460" s="2058"/>
      <c r="H460" s="2059"/>
      <c r="I460" s="2060"/>
      <c r="J460" s="189"/>
      <c r="K460" s="2055"/>
      <c r="L460" s="2058"/>
      <c r="M460" s="2058"/>
      <c r="N460" s="1132"/>
      <c r="P460" s="617"/>
    </row>
    <row r="461" spans="1:16" s="20" customFormat="1" ht="15.75" hidden="1" customHeight="1" x14ac:dyDescent="0.25">
      <c r="A461" s="963"/>
      <c r="B461" s="1024"/>
      <c r="C461" s="213" t="s">
        <v>4288</v>
      </c>
      <c r="D461" s="2056">
        <v>170299800</v>
      </c>
      <c r="E461" s="117">
        <f t="shared" si="19"/>
        <v>0.14001514796313402</v>
      </c>
      <c r="F461" s="2057"/>
      <c r="G461" s="2058"/>
      <c r="H461" s="2059"/>
      <c r="I461" s="2060"/>
      <c r="J461" s="189"/>
      <c r="K461" s="2055"/>
      <c r="L461" s="2058"/>
      <c r="M461" s="2058"/>
      <c r="N461" s="1132"/>
      <c r="P461" s="617"/>
    </row>
    <row r="462" spans="1:16" s="20" customFormat="1" ht="15.75" hidden="1" customHeight="1" x14ac:dyDescent="0.25">
      <c r="A462" s="963"/>
      <c r="B462" s="1024"/>
      <c r="C462" s="213" t="s">
        <v>4289</v>
      </c>
      <c r="D462" s="2056">
        <v>385830000</v>
      </c>
      <c r="E462" s="117">
        <f t="shared" si="19"/>
        <v>0.31721731052306579</v>
      </c>
      <c r="F462" s="2057"/>
      <c r="G462" s="2058"/>
      <c r="H462" s="2059"/>
      <c r="I462" s="2060"/>
      <c r="J462" s="189"/>
      <c r="K462" s="2055"/>
      <c r="L462" s="2058"/>
      <c r="M462" s="2058"/>
      <c r="N462" s="1132"/>
      <c r="P462" s="617"/>
    </row>
    <row r="463" spans="1:16" s="20" customFormat="1" ht="15.75" hidden="1" customHeight="1" x14ac:dyDescent="0.25">
      <c r="A463" s="963"/>
      <c r="B463" s="1024"/>
      <c r="C463" s="213" t="s">
        <v>4290</v>
      </c>
      <c r="D463" s="2056">
        <v>199221800</v>
      </c>
      <c r="E463" s="117">
        <f t="shared" si="19"/>
        <v>0.16379390818123035</v>
      </c>
      <c r="F463" s="2057"/>
      <c r="G463" s="2058"/>
      <c r="H463" s="2059"/>
      <c r="I463" s="2060"/>
      <c r="J463" s="189"/>
      <c r="K463" s="2055"/>
      <c r="L463" s="2058"/>
      <c r="M463" s="2058"/>
      <c r="N463" s="1132"/>
      <c r="P463" s="617"/>
    </row>
    <row r="464" spans="1:16" s="20" customFormat="1" ht="15.75" hidden="1" customHeight="1" x14ac:dyDescent="0.25">
      <c r="A464" s="963"/>
      <c r="B464" s="1024"/>
      <c r="C464" s="213" t="s">
        <v>4291</v>
      </c>
      <c r="D464" s="2056">
        <v>800000000</v>
      </c>
      <c r="E464" s="117">
        <f t="shared" si="19"/>
        <v>0.65773487913965389</v>
      </c>
      <c r="F464" s="2057"/>
      <c r="G464" s="2058"/>
      <c r="H464" s="2059"/>
      <c r="I464" s="2060"/>
      <c r="J464" s="189"/>
      <c r="K464" s="2055"/>
      <c r="L464" s="2058"/>
      <c r="M464" s="2058"/>
      <c r="N464" s="1132"/>
      <c r="P464" s="617"/>
    </row>
    <row r="465" spans="1:16" s="20" customFormat="1" ht="15.75" hidden="1" customHeight="1" x14ac:dyDescent="0.25">
      <c r="A465" s="963"/>
      <c r="B465" s="1024"/>
      <c r="C465" s="213" t="s">
        <v>4292</v>
      </c>
      <c r="D465" s="2056">
        <v>900000000</v>
      </c>
      <c r="E465" s="117">
        <f t="shared" si="19"/>
        <v>0.73995173903211053</v>
      </c>
      <c r="F465" s="2057"/>
      <c r="G465" s="2058"/>
      <c r="H465" s="2059"/>
      <c r="I465" s="2060"/>
      <c r="J465" s="189"/>
      <c r="K465" s="2055"/>
      <c r="L465" s="2058"/>
      <c r="M465" s="2058"/>
      <c r="N465" s="1132"/>
      <c r="P465" s="617"/>
    </row>
    <row r="466" spans="1:16" s="20" customFormat="1" ht="15.75" hidden="1" customHeight="1" x14ac:dyDescent="0.25">
      <c r="A466" s="963"/>
      <c r="B466" s="1024"/>
      <c r="C466" s="213" t="s">
        <v>4293</v>
      </c>
      <c r="D466" s="2056">
        <v>273495000</v>
      </c>
      <c r="E466" s="117">
        <f t="shared" si="19"/>
        <v>0.22485900096287453</v>
      </c>
      <c r="F466" s="2057"/>
      <c r="G466" s="2058"/>
      <c r="H466" s="2059"/>
      <c r="I466" s="2060"/>
      <c r="J466" s="189"/>
      <c r="K466" s="2055"/>
      <c r="L466" s="2058"/>
      <c r="M466" s="2058"/>
      <c r="N466" s="1132"/>
      <c r="P466" s="617"/>
    </row>
    <row r="467" spans="1:16" s="20" customFormat="1" ht="15.75" hidden="1" customHeight="1" x14ac:dyDescent="0.25">
      <c r="A467" s="963"/>
      <c r="B467" s="1024"/>
      <c r="C467" s="213" t="s">
        <v>4294</v>
      </c>
      <c r="D467" s="2056">
        <v>906934550</v>
      </c>
      <c r="E467" s="117">
        <f t="shared" si="19"/>
        <v>0.74565310828978293</v>
      </c>
      <c r="F467" s="2057"/>
      <c r="G467" s="2058"/>
      <c r="H467" s="2059"/>
      <c r="I467" s="2060"/>
      <c r="J467" s="189"/>
      <c r="K467" s="2055"/>
      <c r="L467" s="2058"/>
      <c r="M467" s="2058"/>
      <c r="N467" s="1132"/>
      <c r="P467" s="617"/>
    </row>
    <row r="468" spans="1:16" s="20" customFormat="1" ht="12" hidden="1" customHeight="1" x14ac:dyDescent="0.25">
      <c r="A468" s="963"/>
      <c r="B468" s="1024"/>
      <c r="C468" s="213"/>
      <c r="D468" s="2056"/>
      <c r="E468" s="117"/>
      <c r="F468" s="2057"/>
      <c r="G468" s="2058"/>
      <c r="H468" s="2059"/>
      <c r="I468" s="2060"/>
      <c r="J468" s="189"/>
      <c r="K468" s="2055"/>
      <c r="L468" s="2058"/>
      <c r="M468" s="2058"/>
      <c r="N468" s="1132"/>
      <c r="P468" s="617"/>
    </row>
    <row r="469" spans="1:16" s="20" customFormat="1" ht="27" hidden="1" customHeight="1" x14ac:dyDescent="0.25">
      <c r="A469" s="963"/>
      <c r="B469" s="1024"/>
      <c r="C469" s="138" t="s">
        <v>1260</v>
      </c>
      <c r="D469" s="378">
        <f>SUM(D470:D470)</f>
        <v>180432400</v>
      </c>
      <c r="E469" s="116">
        <f>D469/121629554000*100</f>
        <v>0.14834585350859711</v>
      </c>
      <c r="F469" s="2061"/>
      <c r="G469" s="2062"/>
      <c r="H469" s="2048"/>
      <c r="I469" s="2049"/>
      <c r="J469" s="2063"/>
      <c r="K469" s="2063"/>
      <c r="L469" s="202"/>
      <c r="M469" s="400"/>
      <c r="N469" s="1132"/>
      <c r="P469" s="617"/>
    </row>
    <row r="470" spans="1:16" s="20" customFormat="1" ht="18" hidden="1" customHeight="1" x14ac:dyDescent="0.25">
      <c r="A470" s="963"/>
      <c r="B470" s="1024"/>
      <c r="C470" s="132" t="s">
        <v>4295</v>
      </c>
      <c r="D470" s="2050">
        <v>180432400</v>
      </c>
      <c r="E470" s="117">
        <f>D470/121629554000*100</f>
        <v>0.14834585350859711</v>
      </c>
      <c r="F470" s="146"/>
      <c r="G470" s="2058"/>
      <c r="H470" s="2052"/>
      <c r="I470" s="2051"/>
      <c r="J470" s="919"/>
      <c r="K470" s="919"/>
      <c r="L470" s="201"/>
      <c r="M470" s="2058"/>
      <c r="N470" s="1132"/>
      <c r="P470" s="617"/>
    </row>
    <row r="471" spans="1:16" s="20" customFormat="1" ht="10.5" hidden="1" customHeight="1" x14ac:dyDescent="0.25">
      <c r="A471" s="963"/>
      <c r="B471" s="1024"/>
      <c r="C471" s="213"/>
      <c r="D471" s="2056"/>
      <c r="E471" s="117"/>
      <c r="F471" s="2057"/>
      <c r="G471" s="2058"/>
      <c r="H471" s="2052"/>
      <c r="I471" s="2058"/>
      <c r="J471" s="189"/>
      <c r="K471" s="2064"/>
      <c r="L471" s="2058"/>
      <c r="M471" s="2058"/>
      <c r="N471" s="1132"/>
      <c r="P471" s="617"/>
    </row>
    <row r="472" spans="1:16" s="20" customFormat="1" ht="18" hidden="1" customHeight="1" x14ac:dyDescent="0.25">
      <c r="A472" s="963"/>
      <c r="B472" s="1024"/>
      <c r="C472" s="359" t="s">
        <v>1264</v>
      </c>
      <c r="D472" s="378">
        <f>SUM(D473:D473)</f>
        <v>239000000</v>
      </c>
      <c r="E472" s="116">
        <f>D472/121629554000*100</f>
        <v>0.1964982951429716</v>
      </c>
      <c r="F472" s="2061"/>
      <c r="G472" s="1085"/>
      <c r="H472" s="2048"/>
      <c r="I472" s="1085"/>
      <c r="J472" s="2063"/>
      <c r="K472" s="2065"/>
      <c r="L472" s="202"/>
      <c r="M472" s="400"/>
      <c r="N472" s="1132"/>
      <c r="P472" s="617"/>
    </row>
    <row r="473" spans="1:16" s="20" customFormat="1" ht="18" hidden="1" customHeight="1" x14ac:dyDescent="0.25">
      <c r="A473" s="963"/>
      <c r="B473" s="1024"/>
      <c r="C473" s="2066" t="s">
        <v>4296</v>
      </c>
      <c r="D473" s="2067">
        <v>239000000</v>
      </c>
      <c r="E473" s="117">
        <f>D473/121629554000*100</f>
        <v>0.1964982951429716</v>
      </c>
      <c r="F473" s="146"/>
      <c r="G473" s="2058"/>
      <c r="H473" s="2052"/>
      <c r="I473" s="2058"/>
      <c r="J473" s="919"/>
      <c r="K473" s="919"/>
      <c r="L473" s="201"/>
      <c r="M473" s="236"/>
      <c r="N473" s="1132"/>
      <c r="P473" s="617"/>
    </row>
    <row r="474" spans="1:16" s="20" customFormat="1" ht="15" hidden="1" customHeight="1" x14ac:dyDescent="0.25">
      <c r="A474" s="963"/>
      <c r="B474" s="1024"/>
      <c r="C474" s="132"/>
      <c r="D474" s="2050"/>
      <c r="E474" s="117"/>
      <c r="F474" s="146"/>
      <c r="G474" s="2058"/>
      <c r="H474" s="2052"/>
      <c r="I474" s="2058"/>
      <c r="J474" s="919"/>
      <c r="K474" s="919"/>
      <c r="L474" s="201"/>
      <c r="M474" s="236"/>
      <c r="N474" s="1132"/>
      <c r="P474" s="617"/>
    </row>
    <row r="475" spans="1:16" s="20" customFormat="1" ht="19.5" hidden="1" customHeight="1" x14ac:dyDescent="0.25">
      <c r="A475" s="963"/>
      <c r="B475" s="1024"/>
      <c r="C475" s="138" t="s">
        <v>1267</v>
      </c>
      <c r="D475" s="357">
        <f>SUM(D476:D487)</f>
        <v>7101974900</v>
      </c>
      <c r="E475" s="116">
        <f>D475/121629554000*100</f>
        <v>5.8390207531304439</v>
      </c>
      <c r="F475" s="146"/>
      <c r="G475" s="2058"/>
      <c r="H475" s="2052"/>
      <c r="I475" s="2058"/>
      <c r="J475" s="2064"/>
      <c r="K475" s="2055"/>
      <c r="L475" s="2058"/>
      <c r="M475" s="2058"/>
      <c r="N475" s="1132"/>
      <c r="P475" s="617"/>
    </row>
    <row r="476" spans="1:16" s="20" customFormat="1" ht="18.75" hidden="1" customHeight="1" x14ac:dyDescent="0.25">
      <c r="A476" s="963"/>
      <c r="B476" s="1024"/>
      <c r="C476" s="132" t="s">
        <v>4297</v>
      </c>
      <c r="D476" s="2050">
        <v>162255000</v>
      </c>
      <c r="E476" s="117">
        <f>D476/121629554000*100</f>
        <v>0.13340096601850568</v>
      </c>
      <c r="F476" s="146"/>
      <c r="G476" s="2058"/>
      <c r="H476" s="2052"/>
      <c r="I476" s="2058"/>
      <c r="J476" s="2064"/>
      <c r="K476" s="2055"/>
      <c r="L476" s="2058"/>
      <c r="M476" s="2058"/>
      <c r="N476" s="1132"/>
      <c r="P476" s="617"/>
    </row>
    <row r="477" spans="1:16" s="20" customFormat="1" ht="18.75" hidden="1" customHeight="1" x14ac:dyDescent="0.25">
      <c r="A477" s="963"/>
      <c r="B477" s="1024"/>
      <c r="C477" s="132" t="s">
        <v>4298</v>
      </c>
      <c r="D477" s="2050">
        <v>282110000</v>
      </c>
      <c r="E477" s="117">
        <f t="shared" ref="E477:E487" si="20">D477/121629554000*100</f>
        <v>0.23194198344260969</v>
      </c>
      <c r="F477" s="146"/>
      <c r="G477" s="2058"/>
      <c r="H477" s="2052"/>
      <c r="I477" s="2058"/>
      <c r="J477" s="919"/>
      <c r="K477" s="2055"/>
      <c r="L477" s="2058"/>
      <c r="M477" s="2058"/>
      <c r="N477" s="1132"/>
      <c r="P477" s="617"/>
    </row>
    <row r="478" spans="1:16" s="20" customFormat="1" ht="30.75" hidden="1" customHeight="1" x14ac:dyDescent="0.25">
      <c r="A478" s="963"/>
      <c r="B478" s="1024"/>
      <c r="C478" s="132" t="s">
        <v>4299</v>
      </c>
      <c r="D478" s="2050">
        <v>2210506000</v>
      </c>
      <c r="E478" s="117">
        <f t="shared" si="20"/>
        <v>1.8174086209343496</v>
      </c>
      <c r="F478" s="146"/>
      <c r="G478" s="2058"/>
      <c r="H478" s="2052"/>
      <c r="I478" s="2058"/>
      <c r="J478" s="919"/>
      <c r="K478" s="2055"/>
      <c r="L478" s="2058"/>
      <c r="M478" s="2058"/>
      <c r="N478" s="1132"/>
      <c r="P478" s="617"/>
    </row>
    <row r="479" spans="1:16" s="20" customFormat="1" ht="19.5" hidden="1" customHeight="1" x14ac:dyDescent="0.25">
      <c r="A479" s="963"/>
      <c r="B479" s="1024"/>
      <c r="C479" s="132" t="s">
        <v>4300</v>
      </c>
      <c r="D479" s="2050">
        <v>143880000</v>
      </c>
      <c r="E479" s="117">
        <f t="shared" si="20"/>
        <v>0.11829361801326674</v>
      </c>
      <c r="F479" s="146"/>
      <c r="G479" s="2058"/>
      <c r="H479" s="2052"/>
      <c r="I479" s="2058"/>
      <c r="J479" s="919"/>
      <c r="K479" s="2055"/>
      <c r="L479" s="2058"/>
      <c r="M479" s="2058"/>
      <c r="N479" s="1132"/>
      <c r="P479" s="617"/>
    </row>
    <row r="480" spans="1:16" s="20" customFormat="1" ht="20.25" hidden="1" customHeight="1" x14ac:dyDescent="0.25">
      <c r="A480" s="963"/>
      <c r="B480" s="1024"/>
      <c r="C480" s="132" t="s">
        <v>4301</v>
      </c>
      <c r="D480" s="2050">
        <v>105480000</v>
      </c>
      <c r="E480" s="117">
        <f t="shared" si="20"/>
        <v>8.6722343814563355E-2</v>
      </c>
      <c r="F480" s="146"/>
      <c r="G480" s="2058"/>
      <c r="H480" s="2052"/>
      <c r="I480" s="2051"/>
      <c r="J480" s="919"/>
      <c r="K480" s="2055"/>
      <c r="L480" s="2058"/>
      <c r="M480" s="2058"/>
      <c r="N480" s="1132"/>
      <c r="P480" s="617"/>
    </row>
    <row r="481" spans="1:16" s="20" customFormat="1" ht="17.25" hidden="1" customHeight="1" x14ac:dyDescent="0.25">
      <c r="A481" s="963"/>
      <c r="B481" s="1024"/>
      <c r="C481" s="213" t="s">
        <v>4302</v>
      </c>
      <c r="D481" s="235">
        <v>63080000</v>
      </c>
      <c r="E481" s="117">
        <f t="shared" si="20"/>
        <v>5.1862395220161707E-2</v>
      </c>
      <c r="F481" s="2058"/>
      <c r="G481" s="2058"/>
      <c r="H481" s="2052"/>
      <c r="I481" s="2051"/>
      <c r="J481" s="919"/>
      <c r="K481" s="2055"/>
      <c r="L481" s="2058"/>
      <c r="M481" s="2058"/>
      <c r="N481" s="1132"/>
      <c r="P481" s="617"/>
    </row>
    <row r="482" spans="1:16" s="20" customFormat="1" ht="15.75" hidden="1" customHeight="1" x14ac:dyDescent="0.25">
      <c r="A482" s="963"/>
      <c r="B482" s="1024"/>
      <c r="C482" s="213" t="s">
        <v>4303</v>
      </c>
      <c r="D482" s="2056">
        <v>102680000</v>
      </c>
      <c r="E482" s="117">
        <f t="shared" si="20"/>
        <v>8.4420271737574562E-2</v>
      </c>
      <c r="F482" s="2057"/>
      <c r="G482" s="2058"/>
      <c r="H482" s="2052"/>
      <c r="I482" s="2058"/>
      <c r="J482" s="1882"/>
      <c r="K482" s="2055"/>
      <c r="L482" s="2058"/>
      <c r="M482" s="2058"/>
      <c r="N482" s="1132"/>
      <c r="P482" s="617"/>
    </row>
    <row r="483" spans="1:16" s="20" customFormat="1" ht="18" hidden="1" customHeight="1" x14ac:dyDescent="0.25">
      <c r="A483" s="963"/>
      <c r="B483" s="1024"/>
      <c r="C483" s="213" t="s">
        <v>4304</v>
      </c>
      <c r="D483" s="2056">
        <v>71080000</v>
      </c>
      <c r="E483" s="117">
        <f t="shared" si="20"/>
        <v>5.8439744011558242E-2</v>
      </c>
      <c r="F483" s="2057"/>
      <c r="G483" s="2058"/>
      <c r="H483" s="2052"/>
      <c r="I483" s="2058"/>
      <c r="J483" s="1882"/>
      <c r="K483" s="2055"/>
      <c r="L483" s="2058"/>
      <c r="M483" s="2058"/>
      <c r="N483" s="1132"/>
      <c r="P483" s="617"/>
    </row>
    <row r="484" spans="1:16" s="20" customFormat="1" ht="17.25" hidden="1" customHeight="1" x14ac:dyDescent="0.25">
      <c r="A484" s="963"/>
      <c r="B484" s="1024"/>
      <c r="C484" s="213" t="s">
        <v>4305</v>
      </c>
      <c r="D484" s="2056">
        <v>105480000</v>
      </c>
      <c r="E484" s="117">
        <f t="shared" si="20"/>
        <v>8.6722343814563355E-2</v>
      </c>
      <c r="F484" s="2057"/>
      <c r="G484" s="2058"/>
      <c r="H484" s="2052"/>
      <c r="I484" s="2058"/>
      <c r="J484" s="1882"/>
      <c r="K484" s="2055"/>
      <c r="L484" s="2058"/>
      <c r="M484" s="2058"/>
      <c r="N484" s="1132"/>
      <c r="P484" s="617"/>
    </row>
    <row r="485" spans="1:16" s="20" customFormat="1" ht="18" hidden="1" customHeight="1" x14ac:dyDescent="0.25">
      <c r="A485" s="963"/>
      <c r="B485" s="1024"/>
      <c r="C485" s="213" t="s">
        <v>4306</v>
      </c>
      <c r="D485" s="2056">
        <v>3499923900</v>
      </c>
      <c r="E485" s="117">
        <f t="shared" si="20"/>
        <v>2.8775275292056075</v>
      </c>
      <c r="F485" s="2057"/>
      <c r="G485" s="2058"/>
      <c r="H485" s="2052"/>
      <c r="I485" s="2058"/>
      <c r="J485" s="1882"/>
      <c r="K485" s="2055"/>
      <c r="L485" s="2058"/>
      <c r="M485" s="2058"/>
      <c r="N485" s="1132"/>
      <c r="P485" s="617"/>
    </row>
    <row r="486" spans="1:16" s="20" customFormat="1" ht="27" hidden="1" customHeight="1" x14ac:dyDescent="0.25">
      <c r="A486" s="963"/>
      <c r="B486" s="1024"/>
      <c r="C486" s="213" t="s">
        <v>4307</v>
      </c>
      <c r="D486" s="2056">
        <v>97600000</v>
      </c>
      <c r="E486" s="117">
        <f t="shared" si="20"/>
        <v>8.0243655255037766E-2</v>
      </c>
      <c r="F486" s="2057"/>
      <c r="G486" s="2058"/>
      <c r="H486" s="2052"/>
      <c r="I486" s="2058"/>
      <c r="J486" s="1882"/>
      <c r="K486" s="2055"/>
      <c r="L486" s="2058"/>
      <c r="M486" s="2058"/>
      <c r="N486" s="1132"/>
      <c r="P486" s="617"/>
    </row>
    <row r="487" spans="1:16" s="20" customFormat="1" ht="19.5" hidden="1" customHeight="1" x14ac:dyDescent="0.25">
      <c r="A487" s="963"/>
      <c r="B487" s="1024"/>
      <c r="C487" s="213" t="s">
        <v>4308</v>
      </c>
      <c r="D487" s="2056">
        <v>257900000</v>
      </c>
      <c r="E487" s="117">
        <f t="shared" si="20"/>
        <v>0.21203728166264588</v>
      </c>
      <c r="F487" s="2057"/>
      <c r="G487" s="2058"/>
      <c r="H487" s="2052"/>
      <c r="I487" s="2058"/>
      <c r="J487" s="1882"/>
      <c r="K487" s="2055"/>
      <c r="L487" s="2058"/>
      <c r="M487" s="2058"/>
      <c r="N487" s="1132"/>
      <c r="P487" s="617"/>
    </row>
    <row r="488" spans="1:16" s="20" customFormat="1" ht="11.25" hidden="1" customHeight="1" x14ac:dyDescent="0.25">
      <c r="A488" s="963"/>
      <c r="B488" s="1024"/>
      <c r="C488" s="213"/>
      <c r="D488" s="2056"/>
      <c r="E488" s="117"/>
      <c r="F488" s="2057"/>
      <c r="G488" s="2058"/>
      <c r="H488" s="2052"/>
      <c r="I488" s="2058"/>
      <c r="J488" s="1882"/>
      <c r="K488" s="2055"/>
      <c r="L488" s="2058"/>
      <c r="M488" s="2058"/>
      <c r="N488" s="1132"/>
      <c r="P488" s="617"/>
    </row>
    <row r="489" spans="1:16" s="32" customFormat="1" ht="27.75" hidden="1" customHeight="1" x14ac:dyDescent="0.25">
      <c r="A489" s="470"/>
      <c r="B489" s="1024"/>
      <c r="C489" s="359" t="s">
        <v>4309</v>
      </c>
      <c r="D489" s="378">
        <f>D490</f>
        <v>52015000</v>
      </c>
      <c r="E489" s="116">
        <f>D489/121629554000*100</f>
        <v>4.2765099673061371E-2</v>
      </c>
      <c r="F489" s="2061"/>
      <c r="G489" s="1085"/>
      <c r="H489" s="2048"/>
      <c r="I489" s="1085"/>
      <c r="J489" s="1883"/>
      <c r="K489" s="2068"/>
      <c r="L489" s="1085"/>
      <c r="M489" s="1085"/>
      <c r="N489" s="1903"/>
      <c r="P489" s="630"/>
    </row>
    <row r="490" spans="1:16" s="20" customFormat="1" ht="22.5" hidden="1" customHeight="1" x14ac:dyDescent="0.25">
      <c r="A490" s="963"/>
      <c r="B490" s="1024"/>
      <c r="C490" s="213" t="s">
        <v>4310</v>
      </c>
      <c r="D490" s="2056">
        <v>52015000</v>
      </c>
      <c r="E490" s="117">
        <f>D490/121629554000*100</f>
        <v>4.2765099673061371E-2</v>
      </c>
      <c r="F490" s="2057"/>
      <c r="G490" s="2058"/>
      <c r="H490" s="2052"/>
      <c r="I490" s="2058"/>
      <c r="J490" s="1882"/>
      <c r="K490" s="2055"/>
      <c r="L490" s="2058"/>
      <c r="M490" s="2058"/>
      <c r="N490" s="1132"/>
      <c r="P490" s="617"/>
    </row>
    <row r="491" spans="1:16" s="20" customFormat="1" ht="11.25" hidden="1" customHeight="1" x14ac:dyDescent="0.25">
      <c r="A491" s="963"/>
      <c r="B491" s="1024"/>
      <c r="C491" s="213"/>
      <c r="D491" s="2056"/>
      <c r="E491" s="117"/>
      <c r="F491" s="2057"/>
      <c r="G491" s="2058"/>
      <c r="H491" s="2052"/>
      <c r="I491" s="2058"/>
      <c r="J491" s="1882"/>
      <c r="K491" s="2055"/>
      <c r="L491" s="2058"/>
      <c r="M491" s="2058"/>
      <c r="N491" s="1132"/>
      <c r="P491" s="617"/>
    </row>
    <row r="492" spans="1:16" s="20" customFormat="1" ht="21" hidden="1" customHeight="1" x14ac:dyDescent="0.25">
      <c r="A492" s="963"/>
      <c r="B492" s="1024"/>
      <c r="C492" s="138" t="s">
        <v>4312</v>
      </c>
      <c r="D492" s="157">
        <f>SUM(D493:D495)</f>
        <v>716000000</v>
      </c>
      <c r="E492" s="116">
        <f>D492/121629554000*100</f>
        <v>0.58867271682999023</v>
      </c>
      <c r="F492" s="139"/>
      <c r="G492" s="1085"/>
      <c r="H492" s="2048"/>
      <c r="I492" s="1085"/>
      <c r="J492" s="349"/>
      <c r="K492" s="349"/>
      <c r="L492" s="202"/>
      <c r="M492" s="400"/>
      <c r="N492" s="1132"/>
      <c r="P492" s="617"/>
    </row>
    <row r="493" spans="1:16" s="20" customFormat="1" ht="19.5" hidden="1" customHeight="1" x14ac:dyDescent="0.25">
      <c r="A493" s="963"/>
      <c r="B493" s="1024"/>
      <c r="C493" s="132" t="s">
        <v>4311</v>
      </c>
      <c r="D493" s="73">
        <v>195000000</v>
      </c>
      <c r="E493" s="117">
        <f>D493/121629554000*100</f>
        <v>0.16032287679029061</v>
      </c>
      <c r="F493" s="135"/>
      <c r="G493" s="2058"/>
      <c r="H493" s="2052"/>
      <c r="I493" s="2058"/>
      <c r="J493" s="919"/>
      <c r="K493" s="919"/>
      <c r="L493" s="201"/>
      <c r="M493" s="236"/>
      <c r="N493" s="1132"/>
      <c r="P493" s="617"/>
    </row>
    <row r="494" spans="1:16" s="20" customFormat="1" ht="25.5" hidden="1" customHeight="1" x14ac:dyDescent="0.25">
      <c r="A494" s="963"/>
      <c r="B494" s="1024"/>
      <c r="C494" s="213" t="s">
        <v>4313</v>
      </c>
      <c r="D494" s="73">
        <v>246000000</v>
      </c>
      <c r="E494" s="117">
        <f t="shared" ref="E494:E495" si="21">D494/121629554000*100</f>
        <v>0.20225347533544355</v>
      </c>
      <c r="F494" s="135"/>
      <c r="G494" s="2051"/>
      <c r="H494" s="2052"/>
      <c r="I494" s="2051"/>
      <c r="J494" s="919"/>
      <c r="K494" s="919"/>
      <c r="L494" s="201"/>
      <c r="M494" s="238"/>
      <c r="N494" s="1132"/>
      <c r="P494" s="617"/>
    </row>
    <row r="495" spans="1:16" s="20" customFormat="1" ht="23.25" hidden="1" customHeight="1" x14ac:dyDescent="0.25">
      <c r="A495" s="963"/>
      <c r="B495" s="1024"/>
      <c r="C495" s="132" t="s">
        <v>4314</v>
      </c>
      <c r="D495" s="73">
        <v>275000000</v>
      </c>
      <c r="E495" s="117">
        <f t="shared" si="21"/>
        <v>0.22609636470425601</v>
      </c>
      <c r="F495" s="135"/>
      <c r="G495" s="2051"/>
      <c r="H495" s="2052"/>
      <c r="I495" s="2051"/>
      <c r="J495" s="919"/>
      <c r="K495" s="919"/>
      <c r="L495" s="201"/>
      <c r="M495" s="238"/>
      <c r="N495" s="1132"/>
      <c r="P495" s="617"/>
    </row>
    <row r="496" spans="1:16" ht="11.25" hidden="1" customHeight="1" x14ac:dyDescent="0.25">
      <c r="B496" s="1024"/>
      <c r="C496" s="119"/>
      <c r="D496" s="239"/>
      <c r="E496" s="118"/>
      <c r="F496" s="239"/>
      <c r="G496" s="959"/>
      <c r="H496" s="979"/>
      <c r="I496" s="979"/>
      <c r="J496" s="959"/>
      <c r="K496" s="2069"/>
      <c r="L496" s="191"/>
      <c r="M496" s="191"/>
      <c r="N496" s="1132"/>
    </row>
    <row r="497" spans="1:19" ht="24.75" hidden="1" customHeight="1" x14ac:dyDescent="0.25">
      <c r="B497" s="1029"/>
      <c r="C497" s="89" t="s">
        <v>3090</v>
      </c>
      <c r="D497" s="131">
        <f>SUM(D498:D499)</f>
        <v>14575424564</v>
      </c>
      <c r="E497" s="106">
        <f>D497/121629554000*100</f>
        <v>11.983456392514602</v>
      </c>
      <c r="F497" s="131"/>
      <c r="G497" s="131"/>
      <c r="H497" s="131"/>
      <c r="I497" s="131"/>
      <c r="J497" s="131"/>
      <c r="K497" s="200"/>
      <c r="L497" s="179"/>
      <c r="M497" s="179"/>
      <c r="N497" s="1132"/>
    </row>
    <row r="498" spans="1:19" ht="22.5" hidden="1" customHeight="1" x14ac:dyDescent="0.25">
      <c r="B498" s="1024"/>
      <c r="C498" s="82" t="s">
        <v>4439</v>
      </c>
      <c r="D498" s="158">
        <v>2420680000</v>
      </c>
      <c r="E498" s="109">
        <f>D498/121629554000*100</f>
        <v>1.9902070840447217</v>
      </c>
      <c r="F498" s="2070"/>
      <c r="G498" s="678"/>
      <c r="H498" s="1117"/>
      <c r="I498" s="1117"/>
      <c r="J498" s="2071"/>
      <c r="K498" s="2071"/>
      <c r="L498" s="2072"/>
      <c r="M498" s="73"/>
      <c r="N498" s="1132"/>
      <c r="Q498" s="35">
        <v>15419061167</v>
      </c>
      <c r="R498" s="35">
        <v>15359051167</v>
      </c>
    </row>
    <row r="499" spans="1:19" ht="17.25" hidden="1" customHeight="1" x14ac:dyDescent="0.25">
      <c r="B499" s="1024"/>
      <c r="C499" s="61" t="s">
        <v>4440</v>
      </c>
      <c r="D499" s="73">
        <v>12154744564</v>
      </c>
      <c r="E499" s="117">
        <f t="shared" ref="E499" si="22">D499/121629554000*100</f>
        <v>9.9932493084698795</v>
      </c>
      <c r="F499" s="65"/>
      <c r="G499" s="117"/>
      <c r="H499" s="197"/>
      <c r="I499" s="252"/>
      <c r="J499" s="197"/>
      <c r="K499" s="348"/>
      <c r="L499" s="197"/>
      <c r="M499" s="197"/>
      <c r="N499" s="1132"/>
    </row>
    <row r="500" spans="1:19" s="35" customFormat="1" ht="12" hidden="1" customHeight="1" x14ac:dyDescent="0.25">
      <c r="A500" s="20"/>
      <c r="B500" s="1024"/>
      <c r="C500" s="59"/>
      <c r="D500" s="2314"/>
      <c r="E500" s="2032"/>
      <c r="F500" s="81"/>
      <c r="G500" s="118"/>
      <c r="H500" s="215"/>
      <c r="I500" s="994"/>
      <c r="J500" s="215"/>
      <c r="K500" s="1956"/>
      <c r="L500" s="215"/>
      <c r="M500" s="215"/>
      <c r="N500" s="1132"/>
      <c r="O500"/>
      <c r="R500"/>
      <c r="S500"/>
    </row>
    <row r="501" spans="1:19" ht="17.25" hidden="1" customHeight="1" x14ac:dyDescent="0.25">
      <c r="B501" s="2034"/>
      <c r="C501" s="1998" t="s">
        <v>1696</v>
      </c>
      <c r="D501" s="4230">
        <f>SUM(D503+D518)</f>
        <v>26100000000</v>
      </c>
      <c r="E501" s="2093">
        <f>D501/2512247400000*100</f>
        <v>1.0389104194117187</v>
      </c>
      <c r="F501" s="2094"/>
      <c r="G501" s="2095"/>
      <c r="H501" s="2096"/>
      <c r="I501" s="2093"/>
      <c r="J501" s="2097"/>
      <c r="K501" s="2095"/>
      <c r="L501" s="2096"/>
      <c r="M501" s="2093"/>
      <c r="N501" s="1132"/>
    </row>
    <row r="502" spans="1:19" s="121" customFormat="1" ht="7.5" hidden="1" customHeight="1" x14ac:dyDescent="0.25">
      <c r="A502" s="33"/>
      <c r="B502" s="2098"/>
      <c r="C502" s="333"/>
      <c r="D502" s="4231"/>
      <c r="E502" s="2099"/>
      <c r="F502" s="2100"/>
      <c r="G502" s="2101"/>
      <c r="H502" s="2102"/>
      <c r="I502" s="2099"/>
      <c r="J502" s="2103"/>
      <c r="K502" s="1092"/>
      <c r="L502" s="2102"/>
      <c r="M502" s="2099"/>
      <c r="N502" s="2104"/>
      <c r="P502" s="122"/>
      <c r="Q502" s="122"/>
    </row>
    <row r="503" spans="1:19" ht="17.25" hidden="1" customHeight="1" x14ac:dyDescent="0.25">
      <c r="A503" s="2"/>
      <c r="B503" s="1029"/>
      <c r="C503" s="354" t="s">
        <v>630</v>
      </c>
      <c r="D503" s="340">
        <f>SUM(D504+D507+D515)</f>
        <v>21100000000</v>
      </c>
      <c r="E503" s="78">
        <f>D503/118779366000*100</f>
        <v>17.764028139365553</v>
      </c>
      <c r="F503" s="131"/>
      <c r="G503" s="131"/>
      <c r="H503" s="78"/>
      <c r="I503" s="179"/>
      <c r="J503" s="516"/>
      <c r="K503" s="516"/>
      <c r="L503" s="78"/>
      <c r="M503" s="179"/>
      <c r="N503" s="1106"/>
      <c r="P503" s="617"/>
      <c r="Q503"/>
    </row>
    <row r="504" spans="1:19" ht="24" hidden="1" customHeight="1" x14ac:dyDescent="0.25">
      <c r="A504" s="2"/>
      <c r="B504" s="1024"/>
      <c r="C504" s="129" t="s">
        <v>4179</v>
      </c>
      <c r="D504" s="54">
        <f>D505</f>
        <v>200000000</v>
      </c>
      <c r="E504" s="2102">
        <f>D504/118779366000*100</f>
        <v>0.16837941364327538</v>
      </c>
      <c r="F504" s="233"/>
      <c r="G504" s="233"/>
      <c r="H504" s="233"/>
      <c r="I504" s="233"/>
      <c r="J504" s="894"/>
      <c r="K504" s="894"/>
      <c r="L504" s="233"/>
      <c r="M504" s="233"/>
      <c r="N504" s="1106"/>
      <c r="P504" s="617"/>
      <c r="Q504"/>
    </row>
    <row r="505" spans="1:19" ht="19.5" hidden="1" customHeight="1" x14ac:dyDescent="0.25">
      <c r="A505" s="2"/>
      <c r="B505" s="1024"/>
      <c r="C505" s="91" t="s">
        <v>4180</v>
      </c>
      <c r="D505" s="73">
        <v>200000000</v>
      </c>
      <c r="E505" s="65">
        <f>D505/118779366000*100</f>
        <v>0.16837941364327538</v>
      </c>
      <c r="F505" s="2106"/>
      <c r="G505" s="140"/>
      <c r="H505" s="140"/>
      <c r="I505" s="140"/>
      <c r="J505" s="73"/>
      <c r="K505" s="2107"/>
      <c r="L505" s="201"/>
      <c r="M505" s="140"/>
      <c r="N505" s="1106"/>
      <c r="P505" s="617"/>
      <c r="Q505"/>
    </row>
    <row r="506" spans="1:19" ht="9.75" hidden="1" customHeight="1" x14ac:dyDescent="0.25">
      <c r="A506" s="2"/>
      <c r="B506" s="1024"/>
      <c r="C506" s="82"/>
      <c r="D506" s="71"/>
      <c r="E506" s="65"/>
      <c r="F506" s="232"/>
      <c r="G506" s="239"/>
      <c r="H506" s="153"/>
      <c r="I506" s="197"/>
      <c r="J506" s="923"/>
      <c r="K506" s="923"/>
      <c r="L506" s="153"/>
      <c r="M506" s="197"/>
      <c r="N506" s="1106"/>
      <c r="P506" s="617"/>
      <c r="Q506"/>
    </row>
    <row r="507" spans="1:19" ht="21" hidden="1" customHeight="1" x14ac:dyDescent="0.25">
      <c r="A507" s="2"/>
      <c r="B507" s="1024"/>
      <c r="C507" s="134" t="s">
        <v>4181</v>
      </c>
      <c r="D507" s="92">
        <f>SUM(D508:D513)</f>
        <v>20500000000</v>
      </c>
      <c r="E507" s="84">
        <f t="shared" ref="E507:E516" si="23">D507/118779366000*100</f>
        <v>17.258889898435726</v>
      </c>
      <c r="F507" s="260"/>
      <c r="G507" s="260"/>
      <c r="H507" s="156"/>
      <c r="I507" s="157"/>
      <c r="J507" s="393"/>
      <c r="K507" s="393"/>
      <c r="L507" s="202"/>
      <c r="M507" s="157"/>
      <c r="N507" s="1106"/>
      <c r="P507" s="617"/>
      <c r="Q507"/>
    </row>
    <row r="508" spans="1:19" ht="18.75" hidden="1" customHeight="1" x14ac:dyDescent="0.25">
      <c r="A508" s="2"/>
      <c r="B508" s="1024"/>
      <c r="C508" s="91" t="s">
        <v>4182</v>
      </c>
      <c r="D508" s="73">
        <v>11000000000</v>
      </c>
      <c r="E508" s="65">
        <f t="shared" si="23"/>
        <v>9.2608677503801466</v>
      </c>
      <c r="F508" s="2106"/>
      <c r="G508" s="140"/>
      <c r="H508" s="239"/>
      <c r="I508" s="239"/>
      <c r="J508" s="73"/>
      <c r="K508" s="2107"/>
      <c r="L508" s="201"/>
      <c r="M508" s="239"/>
      <c r="N508" s="1106"/>
      <c r="P508" s="617"/>
      <c r="Q508"/>
    </row>
    <row r="509" spans="1:19" ht="19.5" hidden="1" customHeight="1" x14ac:dyDescent="0.25">
      <c r="A509" s="2"/>
      <c r="B509" s="1024"/>
      <c r="C509" s="91" t="s">
        <v>4183</v>
      </c>
      <c r="D509" s="73">
        <v>1250000000</v>
      </c>
      <c r="E509" s="65">
        <f t="shared" si="23"/>
        <v>1.0523713352704711</v>
      </c>
      <c r="F509" s="2106"/>
      <c r="G509" s="140"/>
      <c r="H509" s="140"/>
      <c r="I509" s="140"/>
      <c r="J509" s="73"/>
      <c r="K509" s="897"/>
      <c r="L509" s="133"/>
      <c r="M509" s="133"/>
      <c r="N509" s="1106"/>
      <c r="P509" s="617"/>
      <c r="Q509"/>
    </row>
    <row r="510" spans="1:19" ht="21.75" hidden="1" customHeight="1" x14ac:dyDescent="0.25">
      <c r="A510" s="2"/>
      <c r="B510" s="1024"/>
      <c r="C510" s="91" t="s">
        <v>4184</v>
      </c>
      <c r="D510" s="73">
        <v>350000000</v>
      </c>
      <c r="E510" s="65">
        <f t="shared" si="23"/>
        <v>0.2946639738757319</v>
      </c>
      <c r="F510" s="2106"/>
      <c r="G510" s="140"/>
      <c r="H510" s="140"/>
      <c r="I510" s="140"/>
      <c r="J510" s="73"/>
      <c r="K510" s="897"/>
      <c r="L510" s="133"/>
      <c r="M510" s="133"/>
      <c r="N510" s="1106"/>
      <c r="P510" s="617"/>
      <c r="Q510"/>
    </row>
    <row r="511" spans="1:19" ht="18" hidden="1" customHeight="1" x14ac:dyDescent="0.25">
      <c r="A511" s="2"/>
      <c r="B511" s="1024"/>
      <c r="C511" s="91" t="s">
        <v>4185</v>
      </c>
      <c r="D511" s="73">
        <v>1400000000</v>
      </c>
      <c r="E511" s="65">
        <f t="shared" si="23"/>
        <v>1.1786558955029276</v>
      </c>
      <c r="F511" s="2106"/>
      <c r="G511" s="140"/>
      <c r="H511" s="140"/>
      <c r="I511" s="140"/>
      <c r="J511" s="73"/>
      <c r="K511" s="897"/>
      <c r="L511" s="133"/>
      <c r="M511" s="133"/>
      <c r="N511" s="1106"/>
      <c r="P511" s="617"/>
      <c r="Q511"/>
    </row>
    <row r="512" spans="1:19" ht="21.75" hidden="1" customHeight="1" x14ac:dyDescent="0.25">
      <c r="A512" s="2"/>
      <c r="B512" s="1024"/>
      <c r="C512" s="91" t="s">
        <v>4186</v>
      </c>
      <c r="D512" s="73">
        <v>1500000000</v>
      </c>
      <c r="E512" s="65">
        <f t="shared" si="23"/>
        <v>1.2628456023245653</v>
      </c>
      <c r="F512" s="2106"/>
      <c r="G512" s="140"/>
      <c r="H512" s="140"/>
      <c r="I512" s="140"/>
      <c r="J512" s="73"/>
      <c r="K512" s="897"/>
      <c r="L512" s="133"/>
      <c r="M512" s="133"/>
      <c r="N512" s="1106"/>
      <c r="P512" s="617"/>
      <c r="Q512"/>
    </row>
    <row r="513" spans="1:17" ht="23.25" hidden="1" customHeight="1" x14ac:dyDescent="0.25">
      <c r="A513" s="2"/>
      <c r="B513" s="1024"/>
      <c r="C513" s="91" t="s">
        <v>4187</v>
      </c>
      <c r="D513" s="73">
        <v>5000000000</v>
      </c>
      <c r="E513" s="65">
        <f t="shared" si="23"/>
        <v>4.2094853410818844</v>
      </c>
      <c r="F513" s="2106"/>
      <c r="G513" s="140"/>
      <c r="H513" s="140"/>
      <c r="I513" s="140"/>
      <c r="J513" s="73"/>
      <c r="K513" s="897"/>
      <c r="L513" s="133"/>
      <c r="M513" s="133"/>
      <c r="N513" s="1106"/>
      <c r="P513" s="617"/>
      <c r="Q513"/>
    </row>
    <row r="514" spans="1:17" ht="10.5" hidden="1" customHeight="1" x14ac:dyDescent="0.25">
      <c r="A514" s="2"/>
      <c r="B514" s="1024"/>
      <c r="C514" s="91"/>
      <c r="D514" s="73"/>
      <c r="E514" s="65"/>
      <c r="F514" s="2106"/>
      <c r="G514" s="140"/>
      <c r="H514" s="140"/>
      <c r="I514" s="140"/>
      <c r="J514" s="73"/>
      <c r="K514" s="897"/>
      <c r="L514" s="133"/>
      <c r="M514" s="133"/>
      <c r="N514" s="1106"/>
      <c r="P514" s="617"/>
      <c r="Q514"/>
    </row>
    <row r="515" spans="1:17" s="32" customFormat="1" ht="17.25" hidden="1" customHeight="1" x14ac:dyDescent="0.25">
      <c r="A515" s="1"/>
      <c r="B515" s="1024"/>
      <c r="C515" s="134" t="s">
        <v>4188</v>
      </c>
      <c r="D515" s="54">
        <f>D516</f>
        <v>400000000</v>
      </c>
      <c r="E515" s="84">
        <f t="shared" si="23"/>
        <v>0.33675882728655077</v>
      </c>
      <c r="F515" s="233"/>
      <c r="G515" s="233"/>
      <c r="H515" s="156"/>
      <c r="I515" s="157"/>
      <c r="J515" s="894"/>
      <c r="K515" s="680"/>
      <c r="L515" s="84"/>
      <c r="M515" s="157"/>
      <c r="N515" s="1483"/>
      <c r="P515" s="630"/>
    </row>
    <row r="516" spans="1:17" s="196" customFormat="1" ht="17.25" hidden="1" customHeight="1" x14ac:dyDescent="0.25">
      <c r="A516" s="12"/>
      <c r="B516" s="1097"/>
      <c r="C516" s="82" t="s">
        <v>4189</v>
      </c>
      <c r="D516" s="71">
        <v>400000000</v>
      </c>
      <c r="E516" s="65">
        <f t="shared" si="23"/>
        <v>0.33675882728655077</v>
      </c>
      <c r="F516" s="140"/>
      <c r="G516" s="140"/>
      <c r="H516" s="153"/>
      <c r="I516" s="73"/>
      <c r="J516" s="368"/>
      <c r="K516" s="368"/>
      <c r="L516" s="201"/>
      <c r="M516" s="73"/>
      <c r="N516" s="1141"/>
      <c r="P516" s="631"/>
    </row>
    <row r="517" spans="1:17" ht="12" hidden="1" customHeight="1" x14ac:dyDescent="0.25">
      <c r="B517" s="1024"/>
      <c r="C517" s="119"/>
      <c r="D517" s="2335"/>
      <c r="E517" s="65"/>
      <c r="F517" s="2108"/>
      <c r="G517" s="959"/>
      <c r="H517" s="184"/>
      <c r="I517" s="215"/>
      <c r="J517" s="2109"/>
      <c r="K517" s="959"/>
      <c r="L517" s="184"/>
      <c r="M517" s="977"/>
      <c r="N517" s="1132"/>
    </row>
    <row r="518" spans="1:17" ht="19.5" hidden="1" customHeight="1" x14ac:dyDescent="0.25">
      <c r="B518" s="1029"/>
      <c r="C518" s="89" t="s">
        <v>4267</v>
      </c>
      <c r="D518" s="131">
        <f>SUM(D519)</f>
        <v>5000000000</v>
      </c>
      <c r="E518" s="78">
        <f>D518/118779366000*100</f>
        <v>4.2094853410818844</v>
      </c>
      <c r="F518" s="131"/>
      <c r="G518" s="131"/>
      <c r="H518" s="78"/>
      <c r="I518" s="179"/>
      <c r="J518" s="131"/>
      <c r="K518" s="131"/>
      <c r="L518" s="78"/>
      <c r="M518" s="179"/>
      <c r="N518" s="1132"/>
    </row>
    <row r="519" spans="1:17" ht="18" hidden="1" customHeight="1" x14ac:dyDescent="0.25">
      <c r="B519" s="1024"/>
      <c r="C519" s="129" t="s">
        <v>7921</v>
      </c>
      <c r="D519" s="234">
        <f>SUM(D520:D521)</f>
        <v>5000000000</v>
      </c>
      <c r="E519" s="2102">
        <f>D519/118779366000*100</f>
        <v>4.2094853410818844</v>
      </c>
      <c r="F519" s="234"/>
      <c r="G519" s="234"/>
      <c r="H519" s="156"/>
      <c r="I519" s="72"/>
      <c r="J519" s="234"/>
      <c r="K519" s="234"/>
      <c r="L519" s="1542"/>
      <c r="M519" s="72"/>
      <c r="N519" s="1132"/>
    </row>
    <row r="520" spans="1:17" ht="21" hidden="1" customHeight="1" x14ac:dyDescent="0.25">
      <c r="A520" s="2"/>
      <c r="B520" s="1024"/>
      <c r="C520" s="1470" t="s">
        <v>4270</v>
      </c>
      <c r="D520" s="158">
        <v>4800000000</v>
      </c>
      <c r="E520" s="65">
        <f>D520/118779366000*100</f>
        <v>4.0411059274386085</v>
      </c>
      <c r="F520" s="1100"/>
      <c r="G520" s="133"/>
      <c r="H520" s="140"/>
      <c r="I520" s="133"/>
      <c r="J520" s="158"/>
      <c r="K520" s="1102"/>
      <c r="L520" s="201"/>
      <c r="M520" s="133"/>
      <c r="N520" s="1106"/>
      <c r="P520" s="617"/>
      <c r="Q520"/>
    </row>
    <row r="521" spans="1:17" ht="21.75" hidden="1" customHeight="1" x14ac:dyDescent="0.25">
      <c r="A521" s="2"/>
      <c r="B521" s="1024"/>
      <c r="C521" s="1470" t="s">
        <v>4271</v>
      </c>
      <c r="D521" s="73">
        <v>200000000</v>
      </c>
      <c r="E521" s="65">
        <f>D521/118779366000*100</f>
        <v>0.16837941364327538</v>
      </c>
      <c r="F521" s="1100"/>
      <c r="G521" s="133"/>
      <c r="H521" s="140"/>
      <c r="I521" s="133"/>
      <c r="J521" s="158"/>
      <c r="K521" s="1102"/>
      <c r="L521" s="201"/>
      <c r="M521" s="133"/>
      <c r="N521" s="1106"/>
      <c r="P521" s="617"/>
      <c r="Q521"/>
    </row>
    <row r="522" spans="1:17" ht="12" hidden="1" customHeight="1" x14ac:dyDescent="0.25">
      <c r="B522" s="1024"/>
      <c r="C522" s="103"/>
      <c r="D522" s="239"/>
      <c r="E522" s="235"/>
      <c r="F522" s="133"/>
      <c r="G522" s="133"/>
      <c r="H522" s="187"/>
      <c r="I522" s="187"/>
      <c r="J522" s="199"/>
      <c r="K522" s="1935"/>
      <c r="L522" s="158"/>
      <c r="M522" s="199"/>
      <c r="N522" s="1132"/>
    </row>
    <row r="523" spans="1:17" ht="21.75" hidden="1" customHeight="1" x14ac:dyDescent="0.25">
      <c r="B523" s="2034"/>
      <c r="C523" s="1998" t="s">
        <v>7001</v>
      </c>
      <c r="D523" s="4232">
        <f>D525+D574</f>
        <v>49162538100</v>
      </c>
      <c r="E523" s="679">
        <f>D523/2512247400000*100</f>
        <v>1.9569146772726285</v>
      </c>
      <c r="F523" s="2144"/>
      <c r="G523" s="2145"/>
      <c r="H523" s="679"/>
      <c r="I523" s="1500"/>
      <c r="J523" s="2145"/>
      <c r="K523" s="2145"/>
      <c r="L523" s="679"/>
      <c r="M523" s="1500"/>
      <c r="N523" s="1132"/>
    </row>
    <row r="524" spans="1:17" s="121" customFormat="1" ht="9" hidden="1" customHeight="1" x14ac:dyDescent="0.25">
      <c r="A524" s="33"/>
      <c r="B524" s="2146"/>
      <c r="C524" s="333"/>
      <c r="D524" s="4233"/>
      <c r="E524" s="340"/>
      <c r="F524" s="2147"/>
      <c r="G524" s="2148"/>
      <c r="H524" s="340"/>
      <c r="I524" s="2005"/>
      <c r="J524" s="2148"/>
      <c r="K524" s="2148"/>
      <c r="L524" s="340"/>
      <c r="M524" s="2005"/>
      <c r="N524" s="2104"/>
      <c r="P524" s="122"/>
      <c r="Q524" s="122"/>
    </row>
    <row r="525" spans="1:17" ht="18.75" hidden="1" customHeight="1" x14ac:dyDescent="0.25">
      <c r="B525" s="2105"/>
      <c r="C525" s="2606" t="s">
        <v>2640</v>
      </c>
      <c r="D525" s="2744">
        <f>SUM(D526+D532+D535+D549+D554+D558+D567)</f>
        <v>42504738100</v>
      </c>
      <c r="E525" s="2149">
        <f>D525/118389902000*100</f>
        <v>35.902334052105225</v>
      </c>
      <c r="F525" s="2150"/>
      <c r="G525" s="2150"/>
      <c r="H525" s="343"/>
      <c r="I525" s="2151"/>
      <c r="J525" s="2151"/>
      <c r="K525" s="2151"/>
      <c r="L525" s="538"/>
      <c r="M525" s="2151"/>
      <c r="N525" s="1132"/>
    </row>
    <row r="526" spans="1:17" ht="18.75" hidden="1" customHeight="1" x14ac:dyDescent="0.25">
      <c r="B526" s="1024"/>
      <c r="C526" s="2599" t="s">
        <v>7613</v>
      </c>
      <c r="D526" s="899">
        <f>SUM(D527:D530)</f>
        <v>3078978215</v>
      </c>
      <c r="E526" s="2152">
        <f>D526/118389902000*100</f>
        <v>2.6007101644530461</v>
      </c>
      <c r="F526" s="2153"/>
      <c r="G526" s="2153"/>
      <c r="H526" s="157"/>
      <c r="I526" s="267"/>
      <c r="J526" s="1051"/>
      <c r="K526" s="1051"/>
      <c r="L526" s="202"/>
      <c r="M526" s="267"/>
      <c r="N526" s="1132"/>
    </row>
    <row r="527" spans="1:17" ht="18.75" hidden="1" customHeight="1" x14ac:dyDescent="0.25">
      <c r="B527" s="1024"/>
      <c r="C527" s="2600" t="s">
        <v>7614</v>
      </c>
      <c r="D527" s="3331">
        <v>485765010</v>
      </c>
      <c r="E527" s="2155">
        <f t="shared" ref="E527:E576" si="24">D527/118389902000*100</f>
        <v>0.41030949582169607</v>
      </c>
      <c r="F527" s="4699"/>
      <c r="G527" s="2157"/>
      <c r="H527" s="73"/>
      <c r="I527" s="252"/>
      <c r="J527" s="928"/>
      <c r="K527" s="1086"/>
      <c r="L527" s="201"/>
      <c r="M527" s="252"/>
      <c r="N527" s="1132"/>
    </row>
    <row r="528" spans="1:17" ht="15.75" hidden="1" customHeight="1" x14ac:dyDescent="0.25">
      <c r="B528" s="1024"/>
      <c r="C528" s="2600" t="s">
        <v>7615</v>
      </c>
      <c r="D528" s="3331">
        <v>351363205</v>
      </c>
      <c r="E528" s="2155">
        <f t="shared" si="24"/>
        <v>0.29678477561371747</v>
      </c>
      <c r="F528" s="2156"/>
      <c r="G528" s="2157"/>
      <c r="H528" s="73"/>
      <c r="I528" s="252"/>
      <c r="J528" s="928"/>
      <c r="K528" s="1086"/>
      <c r="L528" s="201"/>
      <c r="M528" s="252"/>
      <c r="N528" s="1132"/>
    </row>
    <row r="529" spans="2:14" ht="21" hidden="1" customHeight="1" x14ac:dyDescent="0.25">
      <c r="B529" s="1024"/>
      <c r="C529" s="2600" t="s">
        <v>7616</v>
      </c>
      <c r="D529" s="3331">
        <v>1754850000</v>
      </c>
      <c r="E529" s="2155">
        <f t="shared" si="24"/>
        <v>1.4822632423498416</v>
      </c>
      <c r="F529" s="2158"/>
      <c r="G529" s="201"/>
      <c r="H529" s="351"/>
      <c r="I529" s="381"/>
      <c r="J529" s="900"/>
      <c r="K529" s="73"/>
      <c r="L529" s="351"/>
      <c r="M529" s="381"/>
      <c r="N529" s="1132"/>
    </row>
    <row r="530" spans="2:14" ht="19.5" hidden="1" customHeight="1" x14ac:dyDescent="0.25">
      <c r="B530" s="1024"/>
      <c r="C530" s="2600" t="s">
        <v>7617</v>
      </c>
      <c r="D530" s="3331">
        <v>487000000</v>
      </c>
      <c r="E530" s="2155">
        <f t="shared" si="24"/>
        <v>0.41135265066779092</v>
      </c>
      <c r="F530" s="2153"/>
      <c r="G530" s="2153"/>
      <c r="H530" s="157"/>
      <c r="I530" s="267"/>
      <c r="J530" s="1051"/>
      <c r="K530" s="1051"/>
      <c r="L530" s="202"/>
      <c r="M530" s="267"/>
      <c r="N530" s="1132"/>
    </row>
    <row r="531" spans="2:14" ht="9.75" hidden="1" customHeight="1" x14ac:dyDescent="0.25">
      <c r="B531" s="1024"/>
      <c r="C531" s="2600"/>
      <c r="D531" s="3331"/>
      <c r="E531" s="2155"/>
      <c r="F531" s="2160"/>
      <c r="G531" s="2161"/>
      <c r="H531" s="73"/>
      <c r="I531" s="252"/>
      <c r="J531" s="1115"/>
      <c r="K531" s="1115"/>
      <c r="L531" s="201"/>
      <c r="M531" s="252"/>
      <c r="N531" s="1132"/>
    </row>
    <row r="532" spans="2:14" ht="20.25" hidden="1" customHeight="1" x14ac:dyDescent="0.25">
      <c r="B532" s="1024"/>
      <c r="C532" s="2599" t="s">
        <v>2485</v>
      </c>
      <c r="D532" s="899">
        <f>D533</f>
        <v>1276800000</v>
      </c>
      <c r="E532" s="2152">
        <f t="shared" si="24"/>
        <v>1.0784703580546928</v>
      </c>
      <c r="F532" s="1963"/>
      <c r="G532" s="201"/>
      <c r="H532" s="351"/>
      <c r="I532" s="381"/>
      <c r="J532" s="900"/>
      <c r="K532" s="73"/>
      <c r="L532" s="351"/>
      <c r="M532" s="381"/>
      <c r="N532" s="1132"/>
    </row>
    <row r="533" spans="2:14" ht="21" hidden="1" customHeight="1" x14ac:dyDescent="0.25">
      <c r="B533" s="1024"/>
      <c r="C533" s="2600" t="s">
        <v>7618</v>
      </c>
      <c r="D533" s="3331">
        <v>1276800000</v>
      </c>
      <c r="E533" s="2155">
        <f t="shared" si="24"/>
        <v>1.0784703580546928</v>
      </c>
      <c r="F533" s="2153"/>
      <c r="G533" s="2153"/>
      <c r="H533" s="157"/>
      <c r="I533" s="267"/>
      <c r="J533" s="1051"/>
      <c r="K533" s="1051"/>
      <c r="L533" s="202"/>
      <c r="M533" s="267"/>
      <c r="N533" s="1132"/>
    </row>
    <row r="534" spans="2:14" ht="9.75" hidden="1" customHeight="1" x14ac:dyDescent="0.25">
      <c r="B534" s="1024"/>
      <c r="C534" s="2601"/>
      <c r="D534" s="896"/>
      <c r="E534" s="2155"/>
      <c r="F534" s="1963"/>
      <c r="G534" s="2157"/>
      <c r="H534" s="73"/>
      <c r="I534" s="252"/>
      <c r="J534" s="1115"/>
      <c r="K534" s="1115"/>
      <c r="L534" s="201"/>
      <c r="M534" s="252"/>
      <c r="N534" s="1132"/>
    </row>
    <row r="535" spans="2:14" ht="24" hidden="1" customHeight="1" x14ac:dyDescent="0.25">
      <c r="B535" s="1024"/>
      <c r="C535" s="2599" t="s">
        <v>248</v>
      </c>
      <c r="D535" s="899">
        <f>SUM(D536:D547)</f>
        <v>32115423150</v>
      </c>
      <c r="E535" s="2152">
        <f t="shared" si="24"/>
        <v>27.1268263656473</v>
      </c>
      <c r="F535" s="1963"/>
      <c r="G535" s="201"/>
      <c r="H535" s="351"/>
      <c r="I535" s="381"/>
      <c r="J535" s="900"/>
      <c r="K535" s="73"/>
      <c r="L535" s="351"/>
      <c r="M535" s="381"/>
      <c r="N535" s="1132"/>
    </row>
    <row r="536" spans="2:14" ht="17.25" hidden="1" customHeight="1" x14ac:dyDescent="0.25">
      <c r="B536" s="1024"/>
      <c r="C536" s="2600" t="s">
        <v>7619</v>
      </c>
      <c r="D536" s="896">
        <v>3444118000</v>
      </c>
      <c r="E536" s="2155">
        <f t="shared" si="24"/>
        <v>2.9091315575208432</v>
      </c>
      <c r="F536" s="2153"/>
      <c r="G536" s="2080"/>
      <c r="H536" s="1118"/>
      <c r="I536" s="1118"/>
      <c r="J536" s="1051"/>
      <c r="K536" s="1118"/>
      <c r="L536" s="2080"/>
      <c r="M536" s="1118"/>
      <c r="N536" s="1132"/>
    </row>
    <row r="537" spans="2:14" ht="20.25" hidden="1" customHeight="1" x14ac:dyDescent="0.25">
      <c r="B537" s="1024"/>
      <c r="C537" s="2600" t="s">
        <v>7620</v>
      </c>
      <c r="D537" s="896">
        <v>1300000000</v>
      </c>
      <c r="E537" s="2155">
        <f t="shared" si="24"/>
        <v>1.0980666239591954</v>
      </c>
      <c r="F537" s="2156"/>
      <c r="G537" s="246"/>
      <c r="H537" s="1104"/>
      <c r="I537" s="1104"/>
      <c r="J537" s="1115"/>
      <c r="K537" s="206"/>
      <c r="L537" s="149"/>
      <c r="M537" s="206"/>
      <c r="N537" s="1132"/>
    </row>
    <row r="538" spans="2:14" ht="18.75" hidden="1" customHeight="1" x14ac:dyDescent="0.25">
      <c r="B538" s="489"/>
      <c r="C538" s="2600" t="s">
        <v>7621</v>
      </c>
      <c r="D538" s="896">
        <v>3950000000</v>
      </c>
      <c r="E538" s="2155">
        <f t="shared" si="24"/>
        <v>3.3364332035683244</v>
      </c>
      <c r="F538" s="1975"/>
      <c r="G538" s="204"/>
      <c r="H538" s="1526"/>
      <c r="I538" s="517"/>
      <c r="J538" s="935"/>
      <c r="K538" s="204"/>
      <c r="L538" s="1526"/>
      <c r="M538" s="517"/>
      <c r="N538" s="1132"/>
    </row>
    <row r="539" spans="2:14" ht="18.75" hidden="1" customHeight="1" x14ac:dyDescent="0.25">
      <c r="B539" s="1024"/>
      <c r="C539" s="2600" t="s">
        <v>7622</v>
      </c>
      <c r="D539" s="896">
        <v>634000000</v>
      </c>
      <c r="E539" s="2155">
        <f t="shared" si="24"/>
        <v>0.53551864583856146</v>
      </c>
      <c r="F539" s="1963"/>
      <c r="G539" s="201"/>
      <c r="H539" s="351"/>
      <c r="I539" s="381"/>
      <c r="J539" s="900"/>
      <c r="K539" s="201"/>
      <c r="L539" s="351"/>
      <c r="M539" s="381"/>
      <c r="N539" s="1132"/>
    </row>
    <row r="540" spans="2:14" ht="19.5" hidden="1" customHeight="1" x14ac:dyDescent="0.25">
      <c r="B540" s="1024"/>
      <c r="C540" s="2600" t="s">
        <v>7623</v>
      </c>
      <c r="D540" s="896">
        <v>577469000</v>
      </c>
      <c r="E540" s="2155">
        <f t="shared" si="24"/>
        <v>0.48776879636237896</v>
      </c>
      <c r="F540" s="1963"/>
      <c r="G540" s="201"/>
      <c r="H540" s="351"/>
      <c r="I540" s="381"/>
      <c r="J540" s="900"/>
      <c r="K540" s="201"/>
      <c r="L540" s="351"/>
      <c r="M540" s="381"/>
      <c r="N540" s="1132"/>
    </row>
    <row r="541" spans="2:14" ht="17.25" hidden="1" customHeight="1" x14ac:dyDescent="0.25">
      <c r="B541" s="1024"/>
      <c r="C541" s="2600" t="s">
        <v>7624</v>
      </c>
      <c r="D541" s="896">
        <v>320698000</v>
      </c>
      <c r="E541" s="2155">
        <f t="shared" si="24"/>
        <v>0.27088290013112776</v>
      </c>
      <c r="F541" s="1963"/>
      <c r="G541" s="201"/>
      <c r="H541" s="351"/>
      <c r="I541" s="381"/>
      <c r="J541" s="900"/>
      <c r="K541" s="201"/>
      <c r="L541" s="351"/>
      <c r="M541" s="381"/>
      <c r="N541" s="1132"/>
    </row>
    <row r="542" spans="2:14" ht="18.75" hidden="1" customHeight="1" x14ac:dyDescent="0.25">
      <c r="B542" s="1024"/>
      <c r="C542" s="2600" t="s">
        <v>7625</v>
      </c>
      <c r="D542" s="896">
        <v>229431400</v>
      </c>
      <c r="E542" s="2155">
        <f t="shared" si="24"/>
        <v>0.19379304832940902</v>
      </c>
      <c r="F542" s="1963"/>
      <c r="G542" s="201"/>
      <c r="H542" s="351"/>
      <c r="I542" s="381"/>
      <c r="J542" s="900"/>
      <c r="K542" s="201"/>
      <c r="L542" s="351"/>
      <c r="M542" s="381"/>
      <c r="N542" s="1132"/>
    </row>
    <row r="543" spans="2:14" ht="17.25" hidden="1" customHeight="1" x14ac:dyDescent="0.25">
      <c r="B543" s="1024"/>
      <c r="C543" s="2600" t="s">
        <v>7626</v>
      </c>
      <c r="D543" s="896">
        <v>247639860</v>
      </c>
      <c r="E543" s="2155">
        <f t="shared" si="24"/>
        <v>0.20917312694455986</v>
      </c>
      <c r="F543" s="1963"/>
      <c r="G543" s="201"/>
      <c r="H543" s="351"/>
      <c r="I543" s="381"/>
      <c r="J543" s="900"/>
      <c r="K543" s="201"/>
      <c r="L543" s="351"/>
      <c r="M543" s="381"/>
      <c r="N543" s="1132"/>
    </row>
    <row r="544" spans="2:14" ht="30" hidden="1" customHeight="1" x14ac:dyDescent="0.25">
      <c r="B544" s="1024"/>
      <c r="C544" s="2600" t="s">
        <v>7627</v>
      </c>
      <c r="D544" s="896">
        <v>10608000000</v>
      </c>
      <c r="E544" s="2155">
        <f t="shared" si="24"/>
        <v>8.9602236515070341</v>
      </c>
      <c r="F544" s="1963"/>
      <c r="G544" s="201"/>
      <c r="H544" s="351"/>
      <c r="I544" s="381"/>
      <c r="J544" s="900"/>
      <c r="K544" s="201"/>
      <c r="L544" s="351"/>
      <c r="M544" s="381"/>
      <c r="N544" s="1132"/>
    </row>
    <row r="545" spans="2:14" ht="30" hidden="1" customHeight="1" x14ac:dyDescent="0.25">
      <c r="B545" s="1024"/>
      <c r="C545" s="2600" t="s">
        <v>7628</v>
      </c>
      <c r="D545" s="896">
        <v>6594599640</v>
      </c>
      <c r="E545" s="2155">
        <f t="shared" si="24"/>
        <v>5.5702382792748661</v>
      </c>
      <c r="F545" s="1963"/>
      <c r="G545" s="201"/>
      <c r="H545" s="351"/>
      <c r="I545" s="381"/>
      <c r="J545" s="900"/>
      <c r="K545" s="201"/>
      <c r="L545" s="351"/>
      <c r="M545" s="381"/>
      <c r="N545" s="1132"/>
    </row>
    <row r="546" spans="2:14" ht="18.75" hidden="1" customHeight="1" x14ac:dyDescent="0.25">
      <c r="B546" s="1024"/>
      <c r="C546" s="2600" t="s">
        <v>7629</v>
      </c>
      <c r="D546" s="896">
        <v>3050967250</v>
      </c>
      <c r="E546" s="2155">
        <f t="shared" si="24"/>
        <v>2.5770502369365929</v>
      </c>
      <c r="F546" s="1963"/>
      <c r="G546" s="201"/>
      <c r="H546" s="351"/>
      <c r="I546" s="381"/>
      <c r="J546" s="900"/>
      <c r="K546" s="201"/>
      <c r="L546" s="351"/>
      <c r="M546" s="381"/>
      <c r="N546" s="1132"/>
    </row>
    <row r="547" spans="2:14" ht="21" hidden="1" customHeight="1" x14ac:dyDescent="0.25">
      <c r="B547" s="1024"/>
      <c r="C547" s="2600" t="s">
        <v>7630</v>
      </c>
      <c r="D547" s="896">
        <v>1158500000</v>
      </c>
      <c r="E547" s="2155">
        <f t="shared" si="24"/>
        <v>0.97854629527440606</v>
      </c>
      <c r="F547" s="1963"/>
      <c r="G547" s="201"/>
      <c r="H547" s="351"/>
      <c r="I547" s="381"/>
      <c r="J547" s="900"/>
      <c r="K547" s="201"/>
      <c r="L547" s="351"/>
      <c r="M547" s="381"/>
      <c r="N547" s="1132"/>
    </row>
    <row r="548" spans="2:14" ht="13.5" hidden="1" customHeight="1" x14ac:dyDescent="0.25">
      <c r="B548" s="1024"/>
      <c r="C548" s="2601"/>
      <c r="D548" s="896"/>
      <c r="E548" s="2155"/>
      <c r="F548" s="1963"/>
      <c r="G548" s="201"/>
      <c r="H548" s="351"/>
      <c r="I548" s="381"/>
      <c r="J548" s="900"/>
      <c r="K548" s="201"/>
      <c r="L548" s="351"/>
      <c r="M548" s="381"/>
      <c r="N548" s="1132"/>
    </row>
    <row r="549" spans="2:14" ht="24" hidden="1" customHeight="1" x14ac:dyDescent="0.25">
      <c r="B549" s="1024"/>
      <c r="C549" s="2599" t="s">
        <v>658</v>
      </c>
      <c r="D549" s="899">
        <f>SUM(D550:D552)</f>
        <v>373776619</v>
      </c>
      <c r="E549" s="2152">
        <f t="shared" si="24"/>
        <v>0.31571663856939419</v>
      </c>
      <c r="F549" s="1963"/>
      <c r="G549" s="201"/>
      <c r="H549" s="351"/>
      <c r="I549" s="381"/>
      <c r="J549" s="900"/>
      <c r="K549" s="201"/>
      <c r="L549" s="351"/>
      <c r="M549" s="381"/>
      <c r="N549" s="1132"/>
    </row>
    <row r="550" spans="2:14" ht="29.25" hidden="1" customHeight="1" x14ac:dyDescent="0.25">
      <c r="B550" s="1024"/>
      <c r="C550" s="2600" t="s">
        <v>7631</v>
      </c>
      <c r="D550" s="896">
        <v>120575000</v>
      </c>
      <c r="E550" s="2155">
        <f t="shared" si="24"/>
        <v>0.10184567937221538</v>
      </c>
      <c r="F550" s="1963"/>
      <c r="G550" s="201"/>
      <c r="H550" s="351"/>
      <c r="I550" s="381"/>
      <c r="J550" s="900"/>
      <c r="K550" s="201"/>
      <c r="L550" s="351"/>
      <c r="M550" s="381"/>
      <c r="N550" s="1132"/>
    </row>
    <row r="551" spans="2:14" ht="21" hidden="1" customHeight="1" x14ac:dyDescent="0.25">
      <c r="B551" s="1024"/>
      <c r="C551" s="2600" t="s">
        <v>7632</v>
      </c>
      <c r="D551" s="896">
        <v>127201619</v>
      </c>
      <c r="E551" s="2155">
        <f t="shared" si="24"/>
        <v>0.10744296333651834</v>
      </c>
      <c r="F551" s="2164"/>
      <c r="G551" s="207"/>
      <c r="H551" s="248"/>
      <c r="I551" s="518"/>
      <c r="J551" s="933"/>
      <c r="K551" s="207"/>
      <c r="L551" s="248"/>
      <c r="M551" s="518"/>
      <c r="N551" s="1132"/>
    </row>
    <row r="552" spans="2:14" ht="20.25" hidden="1" customHeight="1" x14ac:dyDescent="0.25">
      <c r="B552" s="1024"/>
      <c r="C552" s="2600" t="s">
        <v>7633</v>
      </c>
      <c r="D552" s="896">
        <v>126000000</v>
      </c>
      <c r="E552" s="2155">
        <f t="shared" si="24"/>
        <v>0.10642799586066048</v>
      </c>
      <c r="F552" s="1963"/>
      <c r="G552" s="201"/>
      <c r="H552" s="351"/>
      <c r="I552" s="381"/>
      <c r="J552" s="900"/>
      <c r="K552" s="201"/>
      <c r="L552" s="351"/>
      <c r="M552" s="381"/>
      <c r="N552" s="1132"/>
    </row>
    <row r="553" spans="2:14" ht="12" hidden="1" customHeight="1" x14ac:dyDescent="0.25">
      <c r="B553" s="1024"/>
      <c r="C553" s="2601"/>
      <c r="D553" s="896"/>
      <c r="E553" s="2155"/>
      <c r="F553" s="1963"/>
      <c r="G553" s="201"/>
      <c r="H553" s="351"/>
      <c r="I553" s="381"/>
      <c r="J553" s="900"/>
      <c r="K553" s="201"/>
      <c r="L553" s="351"/>
      <c r="M553" s="381"/>
      <c r="N553" s="1132"/>
    </row>
    <row r="554" spans="2:14" ht="19.5" hidden="1" customHeight="1" x14ac:dyDescent="0.25">
      <c r="B554" s="1024"/>
      <c r="C554" s="2599" t="s">
        <v>663</v>
      </c>
      <c r="D554" s="899">
        <f>SUM(D555:D556)</f>
        <v>733460140</v>
      </c>
      <c r="E554" s="2152">
        <f t="shared" si="24"/>
        <v>0.6195293074911068</v>
      </c>
      <c r="F554" s="1963"/>
      <c r="G554" s="201"/>
      <c r="H554" s="351"/>
      <c r="I554" s="381"/>
      <c r="J554" s="900"/>
      <c r="K554" s="201"/>
      <c r="L554" s="351"/>
      <c r="M554" s="381"/>
      <c r="N554" s="1132"/>
    </row>
    <row r="555" spans="2:14" ht="29.25" hidden="1" customHeight="1" x14ac:dyDescent="0.25">
      <c r="B555" s="1024"/>
      <c r="C555" s="2600" t="s">
        <v>7634</v>
      </c>
      <c r="D555" s="896">
        <v>469180070</v>
      </c>
      <c r="E555" s="2155">
        <f t="shared" si="24"/>
        <v>0.39630075037987617</v>
      </c>
      <c r="F555" s="1963"/>
      <c r="G555" s="201"/>
      <c r="H555" s="351"/>
      <c r="I555" s="381"/>
      <c r="J555" s="900"/>
      <c r="K555" s="201"/>
      <c r="L555" s="351"/>
      <c r="M555" s="381"/>
      <c r="N555" s="1132"/>
    </row>
    <row r="556" spans="2:14" ht="23.25" hidden="1" customHeight="1" x14ac:dyDescent="0.25">
      <c r="B556" s="1024"/>
      <c r="C556" s="2600" t="s">
        <v>7635</v>
      </c>
      <c r="D556" s="896">
        <v>264280070</v>
      </c>
      <c r="E556" s="2155">
        <f t="shared" si="24"/>
        <v>0.22322855711123063</v>
      </c>
      <c r="F556" s="1963"/>
      <c r="G556" s="201"/>
      <c r="H556" s="351"/>
      <c r="I556" s="381"/>
      <c r="J556" s="900"/>
      <c r="K556" s="201"/>
      <c r="L556" s="351"/>
      <c r="M556" s="381"/>
      <c r="N556" s="1132"/>
    </row>
    <row r="557" spans="2:14" ht="12" hidden="1" customHeight="1" x14ac:dyDescent="0.25">
      <c r="B557" s="1024"/>
      <c r="C557" s="2601"/>
      <c r="D557" s="896"/>
      <c r="E557" s="2155"/>
      <c r="F557" s="1963"/>
      <c r="G557" s="201"/>
      <c r="H557" s="351"/>
      <c r="I557" s="381"/>
      <c r="J557" s="900"/>
      <c r="K557" s="201"/>
      <c r="L557" s="351"/>
      <c r="M557" s="381"/>
      <c r="N557" s="1132"/>
    </row>
    <row r="558" spans="2:14" ht="17.25" hidden="1" customHeight="1" x14ac:dyDescent="0.25">
      <c r="B558" s="1024"/>
      <c r="C558" s="2599" t="s">
        <v>667</v>
      </c>
      <c r="D558" s="899">
        <f>SUM(D559:D565)</f>
        <v>2638286236</v>
      </c>
      <c r="E558" s="2152">
        <f t="shared" si="24"/>
        <v>2.2284723540019487</v>
      </c>
      <c r="F558" s="1963"/>
      <c r="G558" s="201"/>
      <c r="H558" s="351"/>
      <c r="I558" s="381"/>
      <c r="J558" s="900"/>
      <c r="K558" s="201"/>
      <c r="L558" s="351"/>
      <c r="M558" s="381"/>
      <c r="N558" s="1132"/>
    </row>
    <row r="559" spans="2:14" ht="19.5" hidden="1" customHeight="1" x14ac:dyDescent="0.25">
      <c r="B559" s="1024"/>
      <c r="C559" s="2600" t="s">
        <v>7636</v>
      </c>
      <c r="D559" s="896">
        <v>408087670</v>
      </c>
      <c r="E559" s="2155">
        <f t="shared" si="24"/>
        <v>0.34469803852021097</v>
      </c>
      <c r="F559" s="1963"/>
      <c r="G559" s="201"/>
      <c r="H559" s="351"/>
      <c r="I559" s="381"/>
      <c r="J559" s="900"/>
      <c r="K559" s="201"/>
      <c r="L559" s="351"/>
      <c r="M559" s="381"/>
      <c r="N559" s="1132"/>
    </row>
    <row r="560" spans="2:14" ht="18.75" hidden="1" customHeight="1" x14ac:dyDescent="0.25">
      <c r="B560" s="1024"/>
      <c r="C560" s="2600" t="s">
        <v>7637</v>
      </c>
      <c r="D560" s="896">
        <v>446496560</v>
      </c>
      <c r="E560" s="2155">
        <f t="shared" si="24"/>
        <v>0.37714074634507255</v>
      </c>
      <c r="F560" s="1963"/>
      <c r="G560" s="201"/>
      <c r="H560" s="351"/>
      <c r="I560" s="381"/>
      <c r="J560" s="900"/>
      <c r="K560" s="201"/>
      <c r="L560" s="351"/>
      <c r="M560" s="381"/>
      <c r="N560" s="1132"/>
    </row>
    <row r="561" spans="2:14" ht="18.75" hidden="1" customHeight="1" x14ac:dyDescent="0.25">
      <c r="B561" s="1024"/>
      <c r="C561" s="2600" t="s">
        <v>7638</v>
      </c>
      <c r="D561" s="896">
        <v>450000000</v>
      </c>
      <c r="E561" s="2155">
        <f t="shared" si="24"/>
        <v>0.38009998521664456</v>
      </c>
      <c r="F561" s="1963"/>
      <c r="G561" s="201"/>
      <c r="H561" s="351"/>
      <c r="I561" s="381"/>
      <c r="J561" s="900"/>
      <c r="K561" s="201"/>
      <c r="L561" s="351"/>
      <c r="M561" s="381"/>
      <c r="N561" s="1132"/>
    </row>
    <row r="562" spans="2:14" ht="18.75" hidden="1" customHeight="1" x14ac:dyDescent="0.25">
      <c r="B562" s="1024"/>
      <c r="C562" s="2600" t="s">
        <v>7640</v>
      </c>
      <c r="D562" s="896">
        <v>480699230</v>
      </c>
      <c r="E562" s="2155">
        <f t="shared" si="24"/>
        <v>0.40603060048144984</v>
      </c>
      <c r="F562" s="1963"/>
      <c r="G562" s="201"/>
      <c r="H562" s="351"/>
      <c r="I562" s="381"/>
      <c r="J562" s="900"/>
      <c r="K562" s="201"/>
      <c r="L562" s="351"/>
      <c r="M562" s="381"/>
      <c r="N562" s="1132"/>
    </row>
    <row r="563" spans="2:14" ht="17.25" hidden="1" customHeight="1" x14ac:dyDescent="0.25">
      <c r="B563" s="1024"/>
      <c r="C563" s="2600" t="s">
        <v>7639</v>
      </c>
      <c r="D563" s="896">
        <v>110127036</v>
      </c>
      <c r="E563" s="2155">
        <f t="shared" si="24"/>
        <v>9.3020632790117519E-2</v>
      </c>
      <c r="F563" s="1963"/>
      <c r="G563" s="201"/>
      <c r="H563" s="351"/>
      <c r="I563" s="381"/>
      <c r="J563" s="900"/>
      <c r="K563" s="201"/>
      <c r="L563" s="351"/>
      <c r="M563" s="381"/>
      <c r="N563" s="1132"/>
    </row>
    <row r="564" spans="2:14" ht="18" hidden="1" customHeight="1" x14ac:dyDescent="0.25">
      <c r="B564" s="1024"/>
      <c r="C564" s="2600" t="s">
        <v>7641</v>
      </c>
      <c r="D564" s="896">
        <v>338246400</v>
      </c>
      <c r="E564" s="2155">
        <f t="shared" si="24"/>
        <v>0.28570544808796278</v>
      </c>
      <c r="F564" s="1963"/>
      <c r="G564" s="201"/>
      <c r="H564" s="351"/>
      <c r="I564" s="381"/>
      <c r="J564" s="900"/>
      <c r="K564" s="201"/>
      <c r="L564" s="351"/>
      <c r="M564" s="381"/>
      <c r="N564" s="1132"/>
    </row>
    <row r="565" spans="2:14" ht="20.25" hidden="1" customHeight="1" x14ac:dyDescent="0.25">
      <c r="B565" s="1024"/>
      <c r="C565" s="2600" t="s">
        <v>7642</v>
      </c>
      <c r="D565" s="896">
        <v>404629340</v>
      </c>
      <c r="E565" s="2155">
        <f t="shared" si="24"/>
        <v>0.34177690256049031</v>
      </c>
      <c r="F565" s="1963"/>
      <c r="G565" s="201"/>
      <c r="H565" s="351"/>
      <c r="I565" s="381"/>
      <c r="J565" s="900"/>
      <c r="K565" s="201"/>
      <c r="L565" s="351"/>
      <c r="M565" s="381"/>
      <c r="N565" s="1132"/>
    </row>
    <row r="566" spans="2:14" ht="12" hidden="1" customHeight="1" x14ac:dyDescent="0.25">
      <c r="B566" s="1024"/>
      <c r="C566" s="2600"/>
      <c r="D566" s="896"/>
      <c r="E566" s="2155"/>
      <c r="F566" s="1963"/>
      <c r="G566" s="201"/>
      <c r="H566" s="351"/>
      <c r="I566" s="381"/>
      <c r="J566" s="900"/>
      <c r="K566" s="201"/>
      <c r="L566" s="351"/>
      <c r="M566" s="381"/>
      <c r="N566" s="1132"/>
    </row>
    <row r="567" spans="2:14" ht="19.5" hidden="1" customHeight="1" x14ac:dyDescent="0.25">
      <c r="B567" s="1024"/>
      <c r="C567" s="2599" t="s">
        <v>670</v>
      </c>
      <c r="D567" s="899">
        <f>SUM(D568:D572)</f>
        <v>2288013740</v>
      </c>
      <c r="E567" s="2152">
        <f t="shared" si="24"/>
        <v>1.9326088638877323</v>
      </c>
      <c r="F567" s="1963"/>
      <c r="G567" s="201"/>
      <c r="H567" s="351"/>
      <c r="I567" s="381"/>
      <c r="J567" s="900"/>
      <c r="K567" s="201"/>
      <c r="L567" s="351"/>
      <c r="M567" s="381"/>
      <c r="N567" s="1132"/>
    </row>
    <row r="568" spans="2:14" ht="18.75" hidden="1" customHeight="1" x14ac:dyDescent="0.25">
      <c r="B568" s="1024"/>
      <c r="C568" s="2600" t="s">
        <v>7643</v>
      </c>
      <c r="D568" s="896">
        <v>500000000</v>
      </c>
      <c r="E568" s="2155">
        <f t="shared" si="24"/>
        <v>0.42233331690738291</v>
      </c>
      <c r="F568" s="1963"/>
      <c r="G568" s="201"/>
      <c r="H568" s="351"/>
      <c r="I568" s="381"/>
      <c r="J568" s="900"/>
      <c r="K568" s="201"/>
      <c r="L568" s="351"/>
      <c r="M568" s="381"/>
      <c r="N568" s="1132"/>
    </row>
    <row r="569" spans="2:14" ht="17.25" hidden="1" customHeight="1" x14ac:dyDescent="0.25">
      <c r="B569" s="1024"/>
      <c r="C569" s="2600" t="s">
        <v>7644</v>
      </c>
      <c r="D569" s="896">
        <v>408013740</v>
      </c>
      <c r="E569" s="2155">
        <f t="shared" si="24"/>
        <v>0.34463559231597302</v>
      </c>
      <c r="F569" s="1963"/>
      <c r="G569" s="201"/>
      <c r="H569" s="351"/>
      <c r="I569" s="381"/>
      <c r="J569" s="900"/>
      <c r="K569" s="201"/>
      <c r="L569" s="351"/>
      <c r="M569" s="381"/>
      <c r="N569" s="1132"/>
    </row>
    <row r="570" spans="2:14" ht="15.75" hidden="1" customHeight="1" x14ac:dyDescent="0.25">
      <c r="B570" s="1024"/>
      <c r="C570" s="2600" t="s">
        <v>7645</v>
      </c>
      <c r="D570" s="896">
        <v>450000000</v>
      </c>
      <c r="E570" s="2155">
        <f t="shared" si="24"/>
        <v>0.38009998521664456</v>
      </c>
      <c r="F570" s="1963"/>
      <c r="G570" s="201"/>
      <c r="H570" s="351"/>
      <c r="I570" s="381"/>
      <c r="J570" s="900"/>
      <c r="K570" s="201"/>
      <c r="L570" s="351"/>
      <c r="M570" s="381"/>
      <c r="N570" s="1132"/>
    </row>
    <row r="571" spans="2:14" ht="17.25" hidden="1" customHeight="1" x14ac:dyDescent="0.25">
      <c r="B571" s="1024"/>
      <c r="C571" s="2600" t="s">
        <v>7646</v>
      </c>
      <c r="D571" s="896">
        <v>450000000</v>
      </c>
      <c r="E571" s="2155">
        <f t="shared" si="24"/>
        <v>0.38009998521664456</v>
      </c>
      <c r="F571" s="1963"/>
      <c r="G571" s="201"/>
      <c r="H571" s="351"/>
      <c r="I571" s="381"/>
      <c r="J571" s="900"/>
      <c r="K571" s="201"/>
      <c r="L571" s="351"/>
      <c r="M571" s="381"/>
      <c r="N571" s="1132"/>
    </row>
    <row r="572" spans="2:14" ht="16.5" hidden="1" customHeight="1" x14ac:dyDescent="0.25">
      <c r="B572" s="1024"/>
      <c r="C572" s="2600" t="s">
        <v>7647</v>
      </c>
      <c r="D572" s="896">
        <v>480000000</v>
      </c>
      <c r="E572" s="2155">
        <f t="shared" si="24"/>
        <v>0.40543998423108757</v>
      </c>
      <c r="F572" s="1963"/>
      <c r="G572" s="201"/>
      <c r="H572" s="351"/>
      <c r="I572" s="381"/>
      <c r="J572" s="900"/>
      <c r="K572" s="201"/>
      <c r="L572" s="351"/>
      <c r="M572" s="381"/>
      <c r="N572" s="1132"/>
    </row>
    <row r="573" spans="2:14" ht="16.5" hidden="1" customHeight="1" x14ac:dyDescent="0.25">
      <c r="B573" s="1024"/>
      <c r="C573" s="53"/>
      <c r="D573" s="191"/>
      <c r="E573" s="4722"/>
      <c r="F573" s="2164"/>
      <c r="G573" s="2086"/>
      <c r="H573" s="2087"/>
      <c r="I573" s="2087"/>
      <c r="J573" s="2166"/>
      <c r="K573" s="2167"/>
      <c r="L573" s="207"/>
      <c r="M573" s="994"/>
      <c r="N573" s="1132"/>
    </row>
    <row r="574" spans="2:14" ht="16.5" hidden="1" customHeight="1" x14ac:dyDescent="0.25">
      <c r="B574" s="1029"/>
      <c r="C574" s="89" t="s">
        <v>7811</v>
      </c>
      <c r="D574" s="179">
        <f>D575</f>
        <v>6657800000</v>
      </c>
      <c r="E574" s="2165">
        <f t="shared" si="24"/>
        <v>5.6236215146119468</v>
      </c>
      <c r="F574" s="2168"/>
      <c r="G574" s="2169"/>
      <c r="H574" s="2170"/>
      <c r="I574" s="2170"/>
      <c r="J574" s="2171"/>
      <c r="K574" s="2172"/>
      <c r="L574" s="681"/>
      <c r="M574" s="993"/>
      <c r="N574" s="1132"/>
    </row>
    <row r="575" spans="2:14" ht="16.5" hidden="1" customHeight="1" x14ac:dyDescent="0.25">
      <c r="B575" s="1024"/>
      <c r="C575" s="129" t="s">
        <v>7812</v>
      </c>
      <c r="D575" s="2175">
        <f>D576</f>
        <v>6657800000</v>
      </c>
      <c r="E575" s="4723">
        <f t="shared" si="24"/>
        <v>5.6236215146119468</v>
      </c>
      <c r="F575" s="2164"/>
      <c r="G575" s="2086"/>
      <c r="H575" s="2087"/>
      <c r="I575" s="2087"/>
      <c r="J575" s="2166"/>
      <c r="K575" s="2167"/>
      <c r="L575" s="207"/>
      <c r="M575" s="994"/>
      <c r="N575" s="1132"/>
    </row>
    <row r="576" spans="2:14" ht="16.5" hidden="1" customHeight="1" x14ac:dyDescent="0.25">
      <c r="B576" s="1024"/>
      <c r="C576" s="82" t="s">
        <v>7813</v>
      </c>
      <c r="D576" s="186">
        <v>6657800000</v>
      </c>
      <c r="E576" s="2155">
        <f t="shared" si="24"/>
        <v>5.6236215146119468</v>
      </c>
      <c r="F576" s="1963"/>
      <c r="G576" s="246"/>
      <c r="H576" s="1104"/>
      <c r="I576" s="1104"/>
      <c r="J576" s="1119"/>
      <c r="K576" s="1086"/>
      <c r="L576" s="201"/>
      <c r="M576" s="252"/>
      <c r="N576" s="1132"/>
    </row>
    <row r="577" spans="1:17" ht="12" hidden="1" customHeight="1" x14ac:dyDescent="0.25">
      <c r="B577" s="1024"/>
      <c r="C577" s="119"/>
      <c r="D577" s="239"/>
      <c r="E577" s="85"/>
      <c r="F577" s="239"/>
      <c r="G577" s="239"/>
      <c r="H577" s="959"/>
      <c r="I577" s="959"/>
      <c r="J577" s="215"/>
      <c r="K577" s="1956"/>
      <c r="L577" s="191"/>
      <c r="M577" s="215"/>
      <c r="N577" s="1132"/>
    </row>
    <row r="578" spans="1:17" s="1" customFormat="1" ht="18" hidden="1" customHeight="1" x14ac:dyDescent="0.25">
      <c r="A578" s="22"/>
      <c r="B578" s="2034"/>
      <c r="C578" s="1998" t="s">
        <v>7002</v>
      </c>
      <c r="D578" s="4230">
        <f>SUM(D579+D659+D667+D672+D675+D687)</f>
        <v>34653691200</v>
      </c>
      <c r="E578" s="679">
        <f>D578/2512247400000*100</f>
        <v>1.3793900712167122</v>
      </c>
      <c r="F578" s="2110"/>
      <c r="G578" s="2111"/>
      <c r="H578" s="671"/>
      <c r="I578" s="679"/>
      <c r="J578" s="1094"/>
      <c r="K578" s="2111"/>
      <c r="L578" s="671"/>
      <c r="M578" s="679"/>
      <c r="N578" s="1903"/>
      <c r="P578" s="51"/>
      <c r="Q578" s="51"/>
    </row>
    <row r="579" spans="1:17" ht="21" hidden="1" customHeight="1" x14ac:dyDescent="0.25">
      <c r="B579" s="2105"/>
      <c r="C579" s="369" t="s">
        <v>630</v>
      </c>
      <c r="D579" s="370">
        <f>SUM(D580+D587+D608+D615+D633+D638+D651)</f>
        <v>29203691200</v>
      </c>
      <c r="E579" s="370">
        <f>D579/117124750000*100</f>
        <v>24.933834394523789</v>
      </c>
      <c r="F579" s="2045"/>
      <c r="G579" s="370"/>
      <c r="H579" s="515"/>
      <c r="I579" s="131"/>
      <c r="J579" s="370"/>
      <c r="K579" s="370"/>
      <c r="L579" s="515"/>
      <c r="M579" s="343"/>
      <c r="N579" s="1132"/>
    </row>
    <row r="580" spans="1:17" ht="18.75" hidden="1" customHeight="1" x14ac:dyDescent="0.25">
      <c r="B580" s="1024"/>
      <c r="C580" s="175" t="s">
        <v>1802</v>
      </c>
      <c r="D580" s="157">
        <f>SUM(D581:D585)</f>
        <v>1200000000</v>
      </c>
      <c r="E580" s="60">
        <f>D580/117124750000*100</f>
        <v>1.0245486116299074</v>
      </c>
      <c r="F580" s="60"/>
      <c r="G580" s="142"/>
      <c r="H580" s="142"/>
      <c r="I580" s="234"/>
      <c r="J580" s="60"/>
      <c r="K580" s="60"/>
      <c r="L580" s="490"/>
      <c r="M580" s="157"/>
      <c r="N580" s="1132"/>
    </row>
    <row r="581" spans="1:17" ht="16.5" hidden="1" customHeight="1" x14ac:dyDescent="0.25">
      <c r="B581" s="1024"/>
      <c r="C581" s="168" t="s">
        <v>5146</v>
      </c>
      <c r="D581" s="73">
        <v>300000000</v>
      </c>
      <c r="E581" s="62">
        <f t="shared" ref="E581:E644" si="25">D581/117124750000*100</f>
        <v>0.25613715290747685</v>
      </c>
      <c r="F581" s="169"/>
      <c r="G581" s="140"/>
      <c r="H581" s="140"/>
      <c r="I581" s="140"/>
      <c r="J581" s="169"/>
      <c r="K581" s="169"/>
      <c r="L581" s="201"/>
      <c r="M581" s="372"/>
      <c r="N581" s="1132"/>
    </row>
    <row r="582" spans="1:17" ht="15" hidden="1" customHeight="1" x14ac:dyDescent="0.25">
      <c r="B582" s="1024"/>
      <c r="C582" s="168" t="s">
        <v>5147</v>
      </c>
      <c r="D582" s="73">
        <v>400000000</v>
      </c>
      <c r="E582" s="62">
        <f t="shared" si="25"/>
        <v>0.34151620387663578</v>
      </c>
      <c r="F582" s="2112"/>
      <c r="G582" s="2113"/>
      <c r="H582" s="372"/>
      <c r="I582" s="215"/>
      <c r="J582" s="169"/>
      <c r="K582" s="1969"/>
      <c r="L582" s="372"/>
      <c r="M582" s="372"/>
      <c r="N582" s="1132"/>
    </row>
    <row r="583" spans="1:17" ht="18" hidden="1" customHeight="1" x14ac:dyDescent="0.25">
      <c r="B583" s="1024"/>
      <c r="C583" s="168" t="s">
        <v>5148</v>
      </c>
      <c r="D583" s="73">
        <v>150000000</v>
      </c>
      <c r="E583" s="62">
        <f t="shared" si="25"/>
        <v>0.12806857645373843</v>
      </c>
      <c r="F583" s="176"/>
      <c r="G583" s="2114"/>
      <c r="H583" s="60"/>
      <c r="I583" s="490"/>
      <c r="J583" s="176"/>
      <c r="K583" s="176"/>
      <c r="L583" s="490"/>
      <c r="M583" s="490"/>
      <c r="N583" s="1132"/>
    </row>
    <row r="584" spans="1:17" ht="18.75" hidden="1" customHeight="1" x14ac:dyDescent="0.25">
      <c r="B584" s="1024"/>
      <c r="C584" s="168" t="s">
        <v>5150</v>
      </c>
      <c r="D584" s="73">
        <v>100000000</v>
      </c>
      <c r="E584" s="62">
        <f t="shared" si="25"/>
        <v>8.5379050969158946E-2</v>
      </c>
      <c r="F584" s="169"/>
      <c r="G584" s="246"/>
      <c r="H584" s="62"/>
      <c r="I584" s="372"/>
      <c r="J584" s="169"/>
      <c r="K584" s="62"/>
      <c r="L584" s="201"/>
      <c r="M584" s="372"/>
      <c r="N584" s="1132"/>
    </row>
    <row r="585" spans="1:17" ht="17.25" hidden="1" customHeight="1" x14ac:dyDescent="0.25">
      <c r="B585" s="1024"/>
      <c r="C585" s="168" t="s">
        <v>5149</v>
      </c>
      <c r="D585" s="73">
        <v>250000000</v>
      </c>
      <c r="E585" s="62">
        <f t="shared" si="25"/>
        <v>0.21344762742289738</v>
      </c>
      <c r="F585" s="169"/>
      <c r="G585" s="246"/>
      <c r="H585" s="62"/>
      <c r="I585" s="245"/>
      <c r="J585" s="169"/>
      <c r="K585" s="62"/>
      <c r="L585" s="201"/>
      <c r="M585" s="372"/>
      <c r="N585" s="1132"/>
    </row>
    <row r="586" spans="1:17" ht="12" hidden="1" customHeight="1" x14ac:dyDescent="0.25">
      <c r="B586" s="1024"/>
      <c r="C586" s="168"/>
      <c r="D586" s="197"/>
      <c r="E586" s="62"/>
      <c r="F586" s="169"/>
      <c r="G586" s="246"/>
      <c r="H586" s="62"/>
      <c r="I586" s="197"/>
      <c r="J586" s="169"/>
      <c r="K586" s="201"/>
      <c r="L586" s="201"/>
      <c r="M586" s="73"/>
      <c r="N586" s="1132"/>
    </row>
    <row r="587" spans="1:17" ht="18.75" hidden="1" customHeight="1" x14ac:dyDescent="0.25">
      <c r="B587" s="1024"/>
      <c r="C587" s="175" t="s">
        <v>1807</v>
      </c>
      <c r="D587" s="157">
        <f>SUM(D588:D606)</f>
        <v>19204000000</v>
      </c>
      <c r="E587" s="60">
        <f t="shared" si="25"/>
        <v>16.396192948117285</v>
      </c>
      <c r="F587" s="169"/>
      <c r="G587" s="246"/>
      <c r="H587" s="62"/>
      <c r="I587" s="1104"/>
      <c r="J587" s="169"/>
      <c r="K587" s="246"/>
      <c r="L587" s="62"/>
      <c r="M587" s="1104"/>
      <c r="N587" s="1132"/>
    </row>
    <row r="588" spans="1:17" ht="18" hidden="1" customHeight="1" x14ac:dyDescent="0.25">
      <c r="B588" s="1024"/>
      <c r="C588" s="2115" t="s">
        <v>5151</v>
      </c>
      <c r="D588" s="73">
        <v>500000000</v>
      </c>
      <c r="E588" s="62">
        <f t="shared" si="25"/>
        <v>0.42689525484579477</v>
      </c>
      <c r="F588" s="169"/>
      <c r="G588" s="246"/>
      <c r="H588" s="62"/>
      <c r="I588" s="140"/>
      <c r="J588" s="169"/>
      <c r="K588" s="201"/>
      <c r="L588" s="201"/>
      <c r="M588" s="372"/>
      <c r="N588" s="1132"/>
    </row>
    <row r="589" spans="1:17" ht="15.75" hidden="1" customHeight="1" x14ac:dyDescent="0.25">
      <c r="B589" s="1024"/>
      <c r="C589" s="2115" t="s">
        <v>5152</v>
      </c>
      <c r="D589" s="73">
        <v>500000000</v>
      </c>
      <c r="E589" s="62">
        <f t="shared" si="25"/>
        <v>0.42689525484579477</v>
      </c>
      <c r="F589" s="169"/>
      <c r="G589" s="246"/>
      <c r="H589" s="1104"/>
      <c r="I589" s="1104"/>
      <c r="J589" s="169"/>
      <c r="K589" s="201"/>
      <c r="L589" s="201"/>
      <c r="M589" s="372"/>
      <c r="N589" s="1132"/>
    </row>
    <row r="590" spans="1:17" ht="21.75" hidden="1" customHeight="1" x14ac:dyDescent="0.25">
      <c r="B590" s="1024"/>
      <c r="C590" s="2115" t="s">
        <v>5153</v>
      </c>
      <c r="D590" s="73">
        <v>500000000</v>
      </c>
      <c r="E590" s="62">
        <f t="shared" si="25"/>
        <v>0.42689525484579477</v>
      </c>
      <c r="F590" s="169"/>
      <c r="G590" s="246"/>
      <c r="H590" s="1104"/>
      <c r="I590" s="1104"/>
      <c r="J590" s="169"/>
      <c r="K590" s="201"/>
      <c r="L590" s="201"/>
      <c r="M590" s="372"/>
      <c r="N590" s="1132"/>
    </row>
    <row r="591" spans="1:17" ht="17.25" hidden="1" customHeight="1" x14ac:dyDescent="0.25">
      <c r="B591" s="1024"/>
      <c r="C591" s="2115" t="s">
        <v>5154</v>
      </c>
      <c r="D591" s="73">
        <v>200000000</v>
      </c>
      <c r="E591" s="62">
        <f t="shared" si="25"/>
        <v>0.17075810193831789</v>
      </c>
      <c r="F591" s="169"/>
      <c r="G591" s="246"/>
      <c r="H591" s="1104"/>
      <c r="I591" s="1104"/>
      <c r="J591" s="169"/>
      <c r="K591" s="62"/>
      <c r="L591" s="201"/>
      <c r="M591" s="372"/>
      <c r="N591" s="1132"/>
    </row>
    <row r="592" spans="1:17" ht="17.25" hidden="1" customHeight="1" x14ac:dyDescent="0.25">
      <c r="B592" s="1024"/>
      <c r="C592" s="2115" t="s">
        <v>5155</v>
      </c>
      <c r="D592" s="73">
        <v>250000000</v>
      </c>
      <c r="E592" s="62">
        <f t="shared" si="25"/>
        <v>0.21344762742289738</v>
      </c>
      <c r="F592" s="169"/>
      <c r="G592" s="246"/>
      <c r="H592" s="1104"/>
      <c r="I592" s="1104"/>
      <c r="J592" s="169"/>
      <c r="K592" s="62"/>
      <c r="L592" s="201"/>
      <c r="M592" s="372"/>
      <c r="N592" s="1132"/>
    </row>
    <row r="593" spans="2:14" ht="15" hidden="1" customHeight="1" x14ac:dyDescent="0.25">
      <c r="B593" s="1024"/>
      <c r="C593" s="2115" t="s">
        <v>5156</v>
      </c>
      <c r="D593" s="73">
        <v>1000000000</v>
      </c>
      <c r="E593" s="62">
        <f t="shared" si="25"/>
        <v>0.85379050969158954</v>
      </c>
      <c r="F593" s="169"/>
      <c r="G593" s="246"/>
      <c r="H593" s="1104"/>
      <c r="I593" s="1104"/>
      <c r="J593" s="169"/>
      <c r="K593" s="62"/>
      <c r="L593" s="201"/>
      <c r="M593" s="372"/>
      <c r="N593" s="1132"/>
    </row>
    <row r="594" spans="2:14" ht="18" hidden="1" customHeight="1" x14ac:dyDescent="0.25">
      <c r="B594" s="1024"/>
      <c r="C594" s="2115" t="s">
        <v>5157</v>
      </c>
      <c r="D594" s="73">
        <v>150000000</v>
      </c>
      <c r="E594" s="62">
        <f t="shared" si="25"/>
        <v>0.12806857645373843</v>
      </c>
      <c r="F594" s="169"/>
      <c r="G594" s="246"/>
      <c r="H594" s="1104"/>
      <c r="I594" s="1104"/>
      <c r="J594" s="169"/>
      <c r="K594" s="201"/>
      <c r="L594" s="201"/>
      <c r="M594" s="372"/>
      <c r="N594" s="1132"/>
    </row>
    <row r="595" spans="2:14" ht="19.5" hidden="1" customHeight="1" x14ac:dyDescent="0.25">
      <c r="B595" s="1024"/>
      <c r="C595" s="2115" t="s">
        <v>5158</v>
      </c>
      <c r="D595" s="73">
        <v>250000000</v>
      </c>
      <c r="E595" s="62">
        <f t="shared" si="25"/>
        <v>0.21344762742289738</v>
      </c>
      <c r="F595" s="169"/>
      <c r="G595" s="246"/>
      <c r="H595" s="1104"/>
      <c r="I595" s="1104"/>
      <c r="J595" s="169"/>
      <c r="K595" s="201"/>
      <c r="L595" s="201"/>
      <c r="M595" s="372"/>
      <c r="N595" s="1132"/>
    </row>
    <row r="596" spans="2:14" ht="19.5" hidden="1" customHeight="1" x14ac:dyDescent="0.25">
      <c r="B596" s="1024"/>
      <c r="C596" s="2115" t="s">
        <v>5159</v>
      </c>
      <c r="D596" s="73">
        <v>5000000000</v>
      </c>
      <c r="E596" s="62">
        <f t="shared" si="25"/>
        <v>4.2689525484579471</v>
      </c>
      <c r="F596" s="169"/>
      <c r="G596" s="246"/>
      <c r="H596" s="1104"/>
      <c r="I596" s="1104"/>
      <c r="J596" s="169"/>
      <c r="K596" s="201"/>
      <c r="L596" s="201"/>
      <c r="M596" s="372"/>
      <c r="N596" s="1132"/>
    </row>
    <row r="597" spans="2:14" ht="18.75" hidden="1" customHeight="1" x14ac:dyDescent="0.25">
      <c r="B597" s="1024"/>
      <c r="C597" s="2115" t="s">
        <v>5160</v>
      </c>
      <c r="D597" s="73">
        <v>500000000</v>
      </c>
      <c r="E597" s="62">
        <f t="shared" si="25"/>
        <v>0.42689525484579477</v>
      </c>
      <c r="F597" s="169"/>
      <c r="G597" s="246"/>
      <c r="H597" s="1104"/>
      <c r="I597" s="1104"/>
      <c r="J597" s="169"/>
      <c r="K597" s="201"/>
      <c r="L597" s="201"/>
      <c r="M597" s="197"/>
      <c r="N597" s="1132"/>
    </row>
    <row r="598" spans="2:14" ht="19.5" hidden="1" customHeight="1" x14ac:dyDescent="0.25">
      <c r="B598" s="1024"/>
      <c r="C598" s="2115" t="s">
        <v>5161</v>
      </c>
      <c r="D598" s="73">
        <v>500000000</v>
      </c>
      <c r="E598" s="62">
        <f t="shared" si="25"/>
        <v>0.42689525484579477</v>
      </c>
      <c r="F598" s="169"/>
      <c r="G598" s="246"/>
      <c r="H598" s="1104"/>
      <c r="I598" s="1104"/>
      <c r="J598" s="169"/>
      <c r="K598" s="201"/>
      <c r="L598" s="201"/>
      <c r="M598" s="73"/>
      <c r="N598" s="1132"/>
    </row>
    <row r="599" spans="2:14" ht="20.25" hidden="1" customHeight="1" x14ac:dyDescent="0.25">
      <c r="B599" s="1024"/>
      <c r="C599" s="2115" t="s">
        <v>5162</v>
      </c>
      <c r="D599" s="73">
        <v>150000000</v>
      </c>
      <c r="E599" s="62">
        <f t="shared" si="25"/>
        <v>0.12806857645373843</v>
      </c>
      <c r="F599" s="169"/>
      <c r="G599" s="246"/>
      <c r="H599" s="1104"/>
      <c r="I599" s="1104"/>
      <c r="J599" s="169"/>
      <c r="K599" s="201"/>
      <c r="L599" s="201"/>
      <c r="M599" s="372"/>
      <c r="N599" s="1132"/>
    </row>
    <row r="600" spans="2:14" ht="17.25" hidden="1" customHeight="1" x14ac:dyDescent="0.25">
      <c r="B600" s="1024"/>
      <c r="C600" s="2115" t="s">
        <v>5163</v>
      </c>
      <c r="D600" s="73">
        <v>7000000000</v>
      </c>
      <c r="E600" s="62">
        <f t="shared" si="25"/>
        <v>5.9765335678411269</v>
      </c>
      <c r="F600" s="169"/>
      <c r="G600" s="246"/>
      <c r="H600" s="1104"/>
      <c r="I600" s="1104"/>
      <c r="J600" s="169"/>
      <c r="K600" s="140"/>
      <c r="L600" s="201"/>
      <c r="M600" s="140"/>
      <c r="N600" s="1132"/>
    </row>
    <row r="601" spans="2:14" ht="18.75" hidden="1" customHeight="1" x14ac:dyDescent="0.25">
      <c r="B601" s="1024"/>
      <c r="C601" s="2115" t="s">
        <v>5164</v>
      </c>
      <c r="D601" s="73">
        <v>200000000</v>
      </c>
      <c r="E601" s="62">
        <f t="shared" si="25"/>
        <v>0.17075810193831789</v>
      </c>
      <c r="F601" s="169"/>
      <c r="G601" s="246"/>
      <c r="H601" s="1104"/>
      <c r="I601" s="1104"/>
      <c r="J601" s="169"/>
      <c r="K601" s="140"/>
      <c r="L601" s="201"/>
      <c r="M601" s="140"/>
      <c r="N601" s="1132"/>
    </row>
    <row r="602" spans="2:14" ht="18" hidden="1" customHeight="1" x14ac:dyDescent="0.25">
      <c r="B602" s="1024"/>
      <c r="C602" s="2115" t="s">
        <v>5165</v>
      </c>
      <c r="D602" s="73">
        <v>750000000</v>
      </c>
      <c r="E602" s="62">
        <f t="shared" si="25"/>
        <v>0.64034288226869207</v>
      </c>
      <c r="F602" s="169"/>
      <c r="G602" s="246"/>
      <c r="H602" s="1104"/>
      <c r="I602" s="1104"/>
      <c r="J602" s="169"/>
      <c r="K602" s="140"/>
      <c r="L602" s="201"/>
      <c r="M602" s="140"/>
      <c r="N602" s="1132"/>
    </row>
    <row r="603" spans="2:14" ht="18" hidden="1" customHeight="1" x14ac:dyDescent="0.25">
      <c r="B603" s="1024"/>
      <c r="C603" s="2115" t="s">
        <v>5166</v>
      </c>
      <c r="D603" s="73">
        <v>610000000</v>
      </c>
      <c r="E603" s="62">
        <f t="shared" si="25"/>
        <v>0.52081221091186958</v>
      </c>
      <c r="F603" s="169"/>
      <c r="G603" s="246"/>
      <c r="H603" s="1104"/>
      <c r="I603" s="1104"/>
      <c r="J603" s="169"/>
      <c r="K603" s="140"/>
      <c r="L603" s="201"/>
      <c r="M603" s="140"/>
      <c r="N603" s="1132"/>
    </row>
    <row r="604" spans="2:14" ht="18" hidden="1" customHeight="1" x14ac:dyDescent="0.25">
      <c r="B604" s="1024"/>
      <c r="C604" s="2115" t="s">
        <v>5167</v>
      </c>
      <c r="D604" s="73">
        <v>794000000</v>
      </c>
      <c r="E604" s="62">
        <f t="shared" si="25"/>
        <v>0.67790966469512215</v>
      </c>
      <c r="F604" s="169"/>
      <c r="G604" s="246"/>
      <c r="H604" s="1104"/>
      <c r="I604" s="1104"/>
      <c r="J604" s="169"/>
      <c r="K604" s="140"/>
      <c r="L604" s="201"/>
      <c r="M604" s="140"/>
      <c r="N604" s="1132"/>
    </row>
    <row r="605" spans="2:14" ht="18" hidden="1" customHeight="1" x14ac:dyDescent="0.25">
      <c r="B605" s="1024"/>
      <c r="C605" s="2115" t="s">
        <v>5168</v>
      </c>
      <c r="D605" s="73">
        <v>150000000</v>
      </c>
      <c r="E605" s="62">
        <f t="shared" si="25"/>
        <v>0.12806857645373843</v>
      </c>
      <c r="F605" s="169"/>
      <c r="G605" s="246"/>
      <c r="H605" s="1104"/>
      <c r="I605" s="1104"/>
      <c r="J605" s="169"/>
      <c r="K605" s="140"/>
      <c r="L605" s="201"/>
      <c r="M605" s="140"/>
      <c r="N605" s="1132"/>
    </row>
    <row r="606" spans="2:14" ht="17.25" hidden="1" customHeight="1" x14ac:dyDescent="0.25">
      <c r="B606" s="1024"/>
      <c r="C606" s="2115" t="s">
        <v>5169</v>
      </c>
      <c r="D606" s="73">
        <v>200000000</v>
      </c>
      <c r="E606" s="62">
        <f t="shared" si="25"/>
        <v>0.17075810193831789</v>
      </c>
      <c r="F606" s="169"/>
      <c r="G606" s="246"/>
      <c r="H606" s="1104"/>
      <c r="I606" s="1104"/>
      <c r="J606" s="169"/>
      <c r="K606" s="201"/>
      <c r="L606" s="201"/>
      <c r="M606" s="73"/>
      <c r="N606" s="1132"/>
    </row>
    <row r="607" spans="2:14" ht="12.75" hidden="1" customHeight="1" x14ac:dyDescent="0.25">
      <c r="B607" s="1024"/>
      <c r="C607" s="168"/>
      <c r="D607" s="197"/>
      <c r="E607" s="62"/>
      <c r="F607" s="169"/>
      <c r="G607" s="246"/>
      <c r="H607" s="1104"/>
      <c r="I607" s="1104"/>
      <c r="J607" s="169"/>
      <c r="K607" s="201"/>
      <c r="L607" s="201"/>
      <c r="M607" s="73"/>
      <c r="N607" s="1132"/>
    </row>
    <row r="608" spans="2:14" ht="19.5" hidden="1" customHeight="1" x14ac:dyDescent="0.25">
      <c r="B608" s="1024"/>
      <c r="C608" s="175" t="s">
        <v>1846</v>
      </c>
      <c r="D608" s="157">
        <f>SUM(D609:D613)</f>
        <v>900000000</v>
      </c>
      <c r="E608" s="60">
        <f t="shared" si="25"/>
        <v>0.76841145872243055</v>
      </c>
      <c r="F608" s="169"/>
      <c r="G608" s="246"/>
      <c r="H608" s="1104"/>
      <c r="I608" s="1104"/>
      <c r="J608" s="169"/>
      <c r="K608" s="246"/>
      <c r="L608" s="62"/>
      <c r="M608" s="1104"/>
      <c r="N608" s="1132"/>
    </row>
    <row r="609" spans="2:14" ht="18.75" hidden="1" customHeight="1" x14ac:dyDescent="0.25">
      <c r="B609" s="1024"/>
      <c r="C609" s="168" t="s">
        <v>5170</v>
      </c>
      <c r="D609" s="73">
        <v>150000000</v>
      </c>
      <c r="E609" s="62">
        <f t="shared" si="25"/>
        <v>0.12806857645373843</v>
      </c>
      <c r="F609" s="169"/>
      <c r="G609" s="246"/>
      <c r="H609" s="1104"/>
      <c r="I609" s="1104"/>
      <c r="J609" s="169"/>
      <c r="K609" s="140"/>
      <c r="L609" s="201"/>
      <c r="M609" s="140"/>
      <c r="N609" s="1132"/>
    </row>
    <row r="610" spans="2:14" ht="17.25" hidden="1" customHeight="1" x14ac:dyDescent="0.25">
      <c r="B610" s="1024"/>
      <c r="C610" s="168" t="s">
        <v>5171</v>
      </c>
      <c r="D610" s="73">
        <v>150000000</v>
      </c>
      <c r="E610" s="62">
        <f t="shared" si="25"/>
        <v>0.12806857645373843</v>
      </c>
      <c r="F610" s="149"/>
      <c r="G610" s="149"/>
      <c r="H610" s="206"/>
      <c r="I610" s="206"/>
      <c r="J610" s="73"/>
      <c r="K610" s="140"/>
      <c r="L610" s="201"/>
      <c r="M610" s="201"/>
      <c r="N610" s="1132"/>
    </row>
    <row r="611" spans="2:14" ht="16.5" hidden="1" customHeight="1" x14ac:dyDescent="0.25">
      <c r="B611" s="1024"/>
      <c r="C611" s="168" t="s">
        <v>5172</v>
      </c>
      <c r="D611" s="73">
        <v>200000000</v>
      </c>
      <c r="E611" s="62">
        <f t="shared" si="25"/>
        <v>0.17075810193831789</v>
      </c>
      <c r="F611" s="2112"/>
      <c r="G611" s="140"/>
      <c r="H611" s="372"/>
      <c r="I611" s="140"/>
      <c r="J611" s="73"/>
      <c r="K611" s="140"/>
      <c r="L611" s="140"/>
      <c r="M611" s="140"/>
      <c r="N611" s="1132"/>
    </row>
    <row r="612" spans="2:14" ht="27" hidden="1" customHeight="1" x14ac:dyDescent="0.25">
      <c r="B612" s="1024"/>
      <c r="C612" s="168" t="s">
        <v>5173</v>
      </c>
      <c r="D612" s="73">
        <v>200000000</v>
      </c>
      <c r="E612" s="62">
        <f t="shared" si="25"/>
        <v>0.17075810193831789</v>
      </c>
      <c r="F612" s="176"/>
      <c r="G612" s="176"/>
      <c r="H612" s="60"/>
      <c r="I612" s="142"/>
      <c r="J612" s="176"/>
      <c r="K612" s="176"/>
      <c r="L612" s="490"/>
      <c r="M612" s="157"/>
      <c r="N612" s="1132"/>
    </row>
    <row r="613" spans="2:14" ht="24.75" hidden="1" customHeight="1" x14ac:dyDescent="0.25">
      <c r="B613" s="1024"/>
      <c r="C613" s="168" t="s">
        <v>5174</v>
      </c>
      <c r="D613" s="197">
        <v>200000000</v>
      </c>
      <c r="E613" s="62">
        <f t="shared" si="25"/>
        <v>0.17075810193831789</v>
      </c>
      <c r="F613" s="169"/>
      <c r="G613" s="246"/>
      <c r="H613" s="1104"/>
      <c r="I613" s="1104"/>
      <c r="J613" s="169"/>
      <c r="K613" s="201"/>
      <c r="L613" s="201"/>
      <c r="M613" s="73"/>
      <c r="N613" s="1132"/>
    </row>
    <row r="614" spans="2:14" ht="12.75" hidden="1" customHeight="1" x14ac:dyDescent="0.25">
      <c r="B614" s="1024"/>
      <c r="C614" s="168"/>
      <c r="D614" s="197"/>
      <c r="E614" s="62"/>
      <c r="F614" s="169"/>
      <c r="G614" s="246"/>
      <c r="H614" s="62"/>
      <c r="I614" s="140"/>
      <c r="J614" s="73"/>
      <c r="K614" s="140"/>
      <c r="L614" s="201"/>
      <c r="M614" s="140"/>
      <c r="N614" s="1132"/>
    </row>
    <row r="615" spans="2:14" ht="21.75" hidden="1" customHeight="1" x14ac:dyDescent="0.25">
      <c r="B615" s="1024"/>
      <c r="C615" s="175" t="s">
        <v>1851</v>
      </c>
      <c r="D615" s="157">
        <f>SUM(D616:D631)</f>
        <v>2900000000</v>
      </c>
      <c r="E615" s="60">
        <f t="shared" si="25"/>
        <v>2.47599247810561</v>
      </c>
      <c r="F615" s="2112"/>
      <c r="G615" s="2116"/>
      <c r="H615" s="62"/>
      <c r="I615" s="215"/>
      <c r="J615" s="73"/>
      <c r="K615" s="201"/>
      <c r="L615" s="372"/>
      <c r="M615" s="73"/>
      <c r="N615" s="1132"/>
    </row>
    <row r="616" spans="2:14" ht="18" hidden="1" customHeight="1" x14ac:dyDescent="0.25">
      <c r="B616" s="1024"/>
      <c r="C616" s="168" t="s">
        <v>5175</v>
      </c>
      <c r="D616" s="73">
        <v>250000000</v>
      </c>
      <c r="E616" s="62">
        <f t="shared" si="25"/>
        <v>0.21344762742289738</v>
      </c>
      <c r="F616" s="176"/>
      <c r="G616" s="176"/>
      <c r="H616" s="60"/>
      <c r="I616" s="142"/>
      <c r="J616" s="176"/>
      <c r="K616" s="176"/>
      <c r="L616" s="490"/>
      <c r="M616" s="157"/>
      <c r="N616" s="1132"/>
    </row>
    <row r="617" spans="2:14" ht="18" hidden="1" customHeight="1" x14ac:dyDescent="0.25">
      <c r="B617" s="1024"/>
      <c r="C617" s="168" t="s">
        <v>5176</v>
      </c>
      <c r="D617" s="73">
        <v>200000000</v>
      </c>
      <c r="E617" s="62">
        <f t="shared" si="25"/>
        <v>0.17075810193831789</v>
      </c>
      <c r="F617" s="169"/>
      <c r="G617" s="246"/>
      <c r="H617" s="1104"/>
      <c r="I617" s="1104"/>
      <c r="J617" s="1104"/>
      <c r="K617" s="246"/>
      <c r="L617" s="1104"/>
      <c r="M617" s="1104"/>
      <c r="N617" s="1132"/>
    </row>
    <row r="618" spans="2:14" ht="20.25" hidden="1" customHeight="1" x14ac:dyDescent="0.25">
      <c r="B618" s="1024"/>
      <c r="C618" s="168" t="s">
        <v>5177</v>
      </c>
      <c r="D618" s="73">
        <v>250000000</v>
      </c>
      <c r="E618" s="62">
        <f t="shared" si="25"/>
        <v>0.21344762742289738</v>
      </c>
      <c r="F618" s="169"/>
      <c r="G618" s="246"/>
      <c r="H618" s="1104"/>
      <c r="I618" s="1104"/>
      <c r="J618" s="1104"/>
      <c r="K618" s="246"/>
      <c r="L618" s="1104"/>
      <c r="M618" s="1104"/>
      <c r="N618" s="1132"/>
    </row>
    <row r="619" spans="2:14" ht="18.75" hidden="1" customHeight="1" x14ac:dyDescent="0.25">
      <c r="B619" s="1024"/>
      <c r="C619" s="168" t="s">
        <v>5178</v>
      </c>
      <c r="D619" s="73">
        <v>150000000</v>
      </c>
      <c r="E619" s="62">
        <f t="shared" si="25"/>
        <v>0.12806857645373843</v>
      </c>
      <c r="F619" s="169"/>
      <c r="G619" s="246"/>
      <c r="H619" s="1104"/>
      <c r="I619" s="1104"/>
      <c r="J619" s="149"/>
      <c r="K619" s="149"/>
      <c r="L619" s="149"/>
      <c r="M619" s="149"/>
      <c r="N619" s="1132"/>
    </row>
    <row r="620" spans="2:14" ht="18" hidden="1" customHeight="1" x14ac:dyDescent="0.25">
      <c r="B620" s="1024"/>
      <c r="C620" s="168" t="s">
        <v>5179</v>
      </c>
      <c r="D620" s="73">
        <v>200000000</v>
      </c>
      <c r="E620" s="62">
        <f t="shared" si="25"/>
        <v>0.17075810193831789</v>
      </c>
      <c r="F620" s="169"/>
      <c r="G620" s="246"/>
      <c r="H620" s="1104"/>
      <c r="I620" s="1104"/>
      <c r="J620" s="1104"/>
      <c r="K620" s="246"/>
      <c r="L620" s="1104"/>
      <c r="M620" s="1104"/>
      <c r="N620" s="1132"/>
    </row>
    <row r="621" spans="2:14" ht="21.75" hidden="1" customHeight="1" x14ac:dyDescent="0.25">
      <c r="B621" s="1024"/>
      <c r="C621" s="168" t="s">
        <v>5180</v>
      </c>
      <c r="D621" s="73">
        <v>200000000</v>
      </c>
      <c r="E621" s="62">
        <f t="shared" si="25"/>
        <v>0.17075810193831789</v>
      </c>
      <c r="F621" s="169"/>
      <c r="G621" s="246"/>
      <c r="H621" s="62"/>
      <c r="I621" s="140"/>
      <c r="J621" s="73"/>
      <c r="K621" s="140"/>
      <c r="L621" s="201"/>
      <c r="M621" s="140"/>
      <c r="N621" s="1132"/>
    </row>
    <row r="622" spans="2:14" ht="30" hidden="1" customHeight="1" x14ac:dyDescent="0.25">
      <c r="B622" s="1024"/>
      <c r="C622" s="168" t="s">
        <v>5181</v>
      </c>
      <c r="D622" s="73">
        <v>200000000</v>
      </c>
      <c r="E622" s="62">
        <f t="shared" si="25"/>
        <v>0.17075810193831789</v>
      </c>
      <c r="F622" s="169"/>
      <c r="G622" s="246"/>
      <c r="H622" s="62"/>
      <c r="I622" s="215"/>
      <c r="J622" s="169"/>
      <c r="K622" s="201"/>
      <c r="L622" s="201"/>
      <c r="M622" s="73"/>
      <c r="N622" s="1132"/>
    </row>
    <row r="623" spans="2:14" ht="20.25" hidden="1" customHeight="1" x14ac:dyDescent="0.25">
      <c r="B623" s="1024"/>
      <c r="C623" s="168" t="s">
        <v>5182</v>
      </c>
      <c r="D623" s="73">
        <v>150000000</v>
      </c>
      <c r="E623" s="62">
        <f t="shared" si="25"/>
        <v>0.12806857645373843</v>
      </c>
      <c r="F623" s="169"/>
      <c r="G623" s="246"/>
      <c r="H623" s="62"/>
      <c r="I623" s="197"/>
      <c r="J623" s="169"/>
      <c r="K623" s="348"/>
      <c r="L623" s="201"/>
      <c r="M623" s="73"/>
      <c r="N623" s="1132"/>
    </row>
    <row r="624" spans="2:14" ht="21" hidden="1" customHeight="1" x14ac:dyDescent="0.25">
      <c r="B624" s="1024"/>
      <c r="C624" s="168" t="s">
        <v>5183</v>
      </c>
      <c r="D624" s="73">
        <v>150000000</v>
      </c>
      <c r="E624" s="62">
        <f t="shared" si="25"/>
        <v>0.12806857645373843</v>
      </c>
      <c r="F624" s="169"/>
      <c r="G624" s="246"/>
      <c r="H624" s="1104"/>
      <c r="I624" s="1104"/>
      <c r="J624" s="1104"/>
      <c r="K624" s="246"/>
      <c r="L624" s="1104"/>
      <c r="M624" s="1104"/>
      <c r="N624" s="1132"/>
    </row>
    <row r="625" spans="2:14" ht="13.5" hidden="1" customHeight="1" x14ac:dyDescent="0.25">
      <c r="B625" s="1024"/>
      <c r="C625" s="168" t="s">
        <v>5184</v>
      </c>
      <c r="D625" s="73">
        <v>150000000</v>
      </c>
      <c r="E625" s="62">
        <f t="shared" si="25"/>
        <v>0.12806857645373843</v>
      </c>
      <c r="F625" s="169"/>
      <c r="G625" s="246"/>
      <c r="H625" s="1104"/>
      <c r="I625" s="1104"/>
      <c r="J625" s="1104"/>
      <c r="K625" s="246"/>
      <c r="L625" s="1104"/>
      <c r="M625" s="1104"/>
      <c r="N625" s="1132"/>
    </row>
    <row r="626" spans="2:14" ht="24.75" hidden="1" customHeight="1" x14ac:dyDescent="0.25">
      <c r="B626" s="1024"/>
      <c r="C626" s="168" t="s">
        <v>5185</v>
      </c>
      <c r="D626" s="73">
        <v>150000000</v>
      </c>
      <c r="E626" s="62">
        <f t="shared" si="25"/>
        <v>0.12806857645373843</v>
      </c>
      <c r="F626" s="169"/>
      <c r="G626" s="246"/>
      <c r="H626" s="1104"/>
      <c r="I626" s="1104"/>
      <c r="J626" s="1104"/>
      <c r="K626" s="246"/>
      <c r="L626" s="1104"/>
      <c r="M626" s="1104"/>
      <c r="N626" s="1132"/>
    </row>
    <row r="627" spans="2:14" ht="21.75" hidden="1" customHeight="1" x14ac:dyDescent="0.25">
      <c r="B627" s="1024"/>
      <c r="C627" s="168" t="s">
        <v>5186</v>
      </c>
      <c r="D627" s="73">
        <v>150000000</v>
      </c>
      <c r="E627" s="62">
        <f t="shared" si="25"/>
        <v>0.12806857645373843</v>
      </c>
      <c r="F627" s="169"/>
      <c r="G627" s="246"/>
      <c r="H627" s="1104"/>
      <c r="I627" s="1104"/>
      <c r="J627" s="1104"/>
      <c r="K627" s="246"/>
      <c r="L627" s="1104"/>
      <c r="M627" s="1104"/>
      <c r="N627" s="1132"/>
    </row>
    <row r="628" spans="2:14" ht="18.75" hidden="1" customHeight="1" x14ac:dyDescent="0.25">
      <c r="B628" s="1024"/>
      <c r="C628" s="168" t="s">
        <v>5187</v>
      </c>
      <c r="D628" s="73">
        <v>150000000</v>
      </c>
      <c r="E628" s="62">
        <f t="shared" si="25"/>
        <v>0.12806857645373843</v>
      </c>
      <c r="F628" s="169"/>
      <c r="G628" s="246"/>
      <c r="H628" s="62"/>
      <c r="I628" s="73"/>
      <c r="J628" s="169"/>
      <c r="K628" s="201"/>
      <c r="L628" s="201"/>
      <c r="M628" s="73"/>
      <c r="N628" s="1132"/>
    </row>
    <row r="629" spans="2:14" ht="21" hidden="1" customHeight="1" x14ac:dyDescent="0.25">
      <c r="B629" s="1024"/>
      <c r="C629" s="168" t="s">
        <v>5188</v>
      </c>
      <c r="D629" s="73">
        <v>200000000</v>
      </c>
      <c r="E629" s="62">
        <f t="shared" si="25"/>
        <v>0.17075810193831789</v>
      </c>
      <c r="F629" s="169"/>
      <c r="G629" s="246"/>
      <c r="H629" s="62"/>
      <c r="I629" s="191"/>
      <c r="J629" s="169"/>
      <c r="K629" s="201"/>
      <c r="L629" s="201"/>
      <c r="M629" s="73"/>
      <c r="N629" s="1132"/>
    </row>
    <row r="630" spans="2:14" ht="22.5" hidden="1" customHeight="1" x14ac:dyDescent="0.25">
      <c r="B630" s="1024"/>
      <c r="C630" s="168" t="s">
        <v>5189</v>
      </c>
      <c r="D630" s="73">
        <v>150000000</v>
      </c>
      <c r="E630" s="62">
        <f t="shared" si="25"/>
        <v>0.12806857645373843</v>
      </c>
      <c r="F630" s="169"/>
      <c r="G630" s="154"/>
      <c r="H630" s="62"/>
      <c r="I630" s="140"/>
      <c r="J630" s="73"/>
      <c r="K630" s="201"/>
      <c r="L630" s="372"/>
      <c r="M630" s="73"/>
      <c r="N630" s="1132"/>
    </row>
    <row r="631" spans="2:14" ht="16.5" hidden="1" customHeight="1" x14ac:dyDescent="0.25">
      <c r="B631" s="1024"/>
      <c r="C631" s="168" t="s">
        <v>5190</v>
      </c>
      <c r="D631" s="73">
        <v>200000000</v>
      </c>
      <c r="E631" s="62">
        <f t="shared" si="25"/>
        <v>0.17075810193831789</v>
      </c>
      <c r="F631" s="176"/>
      <c r="G631" s="2080"/>
      <c r="H631" s="1118"/>
      <c r="I631" s="1118"/>
      <c r="J631" s="176"/>
      <c r="K631" s="150"/>
      <c r="L631" s="150"/>
      <c r="M631" s="150"/>
      <c r="N631" s="1132"/>
    </row>
    <row r="632" spans="2:14" ht="9.75" hidden="1" customHeight="1" x14ac:dyDescent="0.25">
      <c r="B632" s="1024"/>
      <c r="C632" s="168"/>
      <c r="D632" s="73"/>
      <c r="E632" s="62"/>
      <c r="F632" s="169"/>
      <c r="G632" s="246"/>
      <c r="H632" s="1104"/>
      <c r="I632" s="1104"/>
      <c r="J632" s="169"/>
      <c r="K632" s="246"/>
      <c r="L632" s="1104"/>
      <c r="M632" s="1104"/>
      <c r="N632" s="1132"/>
    </row>
    <row r="633" spans="2:14" ht="21.75" hidden="1" customHeight="1" x14ac:dyDescent="0.25">
      <c r="B633" s="1024"/>
      <c r="C633" s="175" t="s">
        <v>1267</v>
      </c>
      <c r="D633" s="157">
        <f>SUM(D634:D636)</f>
        <v>500000000</v>
      </c>
      <c r="E633" s="60">
        <f t="shared" si="25"/>
        <v>0.42689525484579477</v>
      </c>
      <c r="F633" s="169"/>
      <c r="G633" s="2113"/>
      <c r="H633" s="62"/>
      <c r="I633" s="191"/>
      <c r="J633" s="73"/>
      <c r="K633" s="201"/>
      <c r="L633" s="372"/>
      <c r="M633" s="73"/>
      <c r="N633" s="1132"/>
    </row>
    <row r="634" spans="2:14" ht="17.25" hidden="1" customHeight="1" x14ac:dyDescent="0.25">
      <c r="B634" s="1024"/>
      <c r="C634" s="168" t="s">
        <v>5191</v>
      </c>
      <c r="D634" s="73">
        <v>150000000</v>
      </c>
      <c r="E634" s="62">
        <f t="shared" si="25"/>
        <v>0.12806857645373843</v>
      </c>
      <c r="F634" s="176"/>
      <c r="G634" s="176"/>
      <c r="H634" s="60"/>
      <c r="I634" s="209"/>
      <c r="J634" s="176"/>
      <c r="K634" s="176"/>
      <c r="L634" s="490"/>
      <c r="M634" s="157"/>
      <c r="N634" s="1132"/>
    </row>
    <row r="635" spans="2:14" ht="17.25" hidden="1" customHeight="1" x14ac:dyDescent="0.25">
      <c r="B635" s="1024"/>
      <c r="C635" s="168" t="s">
        <v>5192</v>
      </c>
      <c r="D635" s="73">
        <v>150000000</v>
      </c>
      <c r="E635" s="62">
        <f t="shared" si="25"/>
        <v>0.12806857645373843</v>
      </c>
      <c r="F635" s="169"/>
      <c r="G635" s="246"/>
      <c r="H635" s="62"/>
      <c r="I635" s="140"/>
      <c r="J635" s="73"/>
      <c r="K635" s="140"/>
      <c r="L635" s="201"/>
      <c r="M635" s="140"/>
      <c r="N635" s="1132"/>
    </row>
    <row r="636" spans="2:14" ht="16.5" hidden="1" customHeight="1" x14ac:dyDescent="0.25">
      <c r="B636" s="1024"/>
      <c r="C636" s="168" t="s">
        <v>5193</v>
      </c>
      <c r="D636" s="73">
        <v>200000000</v>
      </c>
      <c r="E636" s="62">
        <f t="shared" si="25"/>
        <v>0.17075810193831789</v>
      </c>
      <c r="F636" s="169"/>
      <c r="G636" s="246"/>
      <c r="H636" s="1104"/>
      <c r="I636" s="1104"/>
      <c r="J636" s="197"/>
      <c r="K636" s="246"/>
      <c r="L636" s="1104"/>
      <c r="M636" s="1104"/>
      <c r="N636" s="1132"/>
    </row>
    <row r="637" spans="2:14" ht="13.5" hidden="1" customHeight="1" x14ac:dyDescent="0.25">
      <c r="B637" s="1024"/>
      <c r="C637" s="168"/>
      <c r="D637" s="73"/>
      <c r="E637" s="62"/>
      <c r="F637" s="169"/>
      <c r="G637" s="246"/>
      <c r="H637" s="1104"/>
      <c r="I637" s="1104"/>
      <c r="J637" s="169"/>
      <c r="K637" s="169"/>
      <c r="L637" s="201"/>
      <c r="M637" s="73"/>
      <c r="N637" s="1132"/>
    </row>
    <row r="638" spans="2:14" ht="16.5" hidden="1" customHeight="1" x14ac:dyDescent="0.25">
      <c r="B638" s="1024"/>
      <c r="C638" s="175" t="s">
        <v>1871</v>
      </c>
      <c r="D638" s="157">
        <f>SUM(D639:D649)</f>
        <v>3449691200</v>
      </c>
      <c r="E638" s="60">
        <f t="shared" si="25"/>
        <v>2.9453136079265909</v>
      </c>
      <c r="F638" s="169"/>
      <c r="G638" s="246"/>
      <c r="H638" s="62"/>
      <c r="I638" s="140"/>
      <c r="J638" s="169"/>
      <c r="K638" s="201"/>
      <c r="L638" s="201"/>
      <c r="M638" s="73"/>
      <c r="N638" s="1132"/>
    </row>
    <row r="639" spans="2:14" ht="18.75" hidden="1" customHeight="1" x14ac:dyDescent="0.25">
      <c r="B639" s="1024"/>
      <c r="C639" s="168" t="s">
        <v>5194</v>
      </c>
      <c r="D639" s="73">
        <v>300000000</v>
      </c>
      <c r="E639" s="62">
        <f t="shared" si="25"/>
        <v>0.25613715290747685</v>
      </c>
      <c r="F639" s="169"/>
      <c r="G639" s="246"/>
      <c r="H639" s="62"/>
      <c r="I639" s="140"/>
      <c r="J639" s="169"/>
      <c r="K639" s="201"/>
      <c r="L639" s="201"/>
      <c r="M639" s="73"/>
      <c r="N639" s="1132"/>
    </row>
    <row r="640" spans="2:14" ht="21" hidden="1" customHeight="1" x14ac:dyDescent="0.25">
      <c r="B640" s="1024"/>
      <c r="C640" s="168" t="s">
        <v>5195</v>
      </c>
      <c r="D640" s="73">
        <v>1049691200</v>
      </c>
      <c r="E640" s="62">
        <f t="shared" si="25"/>
        <v>0.89621638466677622</v>
      </c>
      <c r="F640" s="169"/>
      <c r="G640" s="246"/>
      <c r="H640" s="62"/>
      <c r="I640" s="191"/>
      <c r="J640" s="169"/>
      <c r="K640" s="201"/>
      <c r="L640" s="201"/>
      <c r="M640" s="73"/>
      <c r="N640" s="1132"/>
    </row>
    <row r="641" spans="1:17" ht="18" hidden="1" customHeight="1" x14ac:dyDescent="0.25">
      <c r="B641" s="1024"/>
      <c r="C641" s="168" t="s">
        <v>5197</v>
      </c>
      <c r="D641" s="73">
        <v>150000000</v>
      </c>
      <c r="E641" s="62">
        <f t="shared" si="25"/>
        <v>0.12806857645373843</v>
      </c>
      <c r="F641" s="169"/>
      <c r="G641" s="246"/>
      <c r="H641" s="62"/>
      <c r="I641" s="140"/>
      <c r="J641" s="169"/>
      <c r="K641" s="140"/>
      <c r="L641" s="201"/>
      <c r="M641" s="140"/>
      <c r="N641" s="1132"/>
    </row>
    <row r="642" spans="1:17" ht="18.75" hidden="1" customHeight="1" x14ac:dyDescent="0.25">
      <c r="B642" s="1024"/>
      <c r="C642" s="168" t="s">
        <v>5196</v>
      </c>
      <c r="D642" s="73">
        <v>300000000</v>
      </c>
      <c r="E642" s="62">
        <f t="shared" si="25"/>
        <v>0.25613715290747685</v>
      </c>
      <c r="F642" s="169"/>
      <c r="G642" s="246"/>
      <c r="H642" s="1104"/>
      <c r="I642" s="1104"/>
      <c r="J642" s="169"/>
      <c r="K642" s="140"/>
      <c r="L642" s="201"/>
      <c r="M642" s="140"/>
      <c r="N642" s="1132"/>
    </row>
    <row r="643" spans="1:17" ht="18.75" hidden="1" customHeight="1" x14ac:dyDescent="0.25">
      <c r="B643" s="1024"/>
      <c r="C643" s="168" t="s">
        <v>5198</v>
      </c>
      <c r="D643" s="73">
        <v>150000000</v>
      </c>
      <c r="E643" s="62">
        <f t="shared" si="25"/>
        <v>0.12806857645373843</v>
      </c>
      <c r="F643" s="169"/>
      <c r="G643" s="246"/>
      <c r="H643" s="62"/>
      <c r="I643" s="191"/>
      <c r="J643" s="169"/>
      <c r="K643" s="201"/>
      <c r="L643" s="201"/>
      <c r="M643" s="73"/>
      <c r="N643" s="1132"/>
    </row>
    <row r="644" spans="1:17" ht="27.75" hidden="1" customHeight="1" x14ac:dyDescent="0.25">
      <c r="B644" s="1024"/>
      <c r="C644" s="168" t="s">
        <v>5199</v>
      </c>
      <c r="D644" s="73">
        <v>300000000</v>
      </c>
      <c r="E644" s="62">
        <f t="shared" si="25"/>
        <v>0.25613715290747685</v>
      </c>
      <c r="F644" s="169"/>
      <c r="G644" s="246"/>
      <c r="H644" s="62"/>
      <c r="I644" s="191"/>
      <c r="J644" s="169"/>
      <c r="K644" s="201"/>
      <c r="L644" s="201"/>
      <c r="M644" s="73"/>
      <c r="N644" s="1132"/>
    </row>
    <row r="645" spans="1:17" ht="22.5" hidden="1" customHeight="1" x14ac:dyDescent="0.25">
      <c r="B645" s="1024"/>
      <c r="C645" s="168" t="s">
        <v>5200</v>
      </c>
      <c r="D645" s="73">
        <v>300000000</v>
      </c>
      <c r="E645" s="62">
        <f t="shared" ref="E645:E670" si="26">D645/117124750000*100</f>
        <v>0.25613715290747685</v>
      </c>
      <c r="F645" s="169"/>
      <c r="G645" s="2117"/>
      <c r="H645" s="62"/>
      <c r="I645" s="191"/>
      <c r="J645" s="169"/>
      <c r="K645" s="201"/>
      <c r="L645" s="372"/>
      <c r="M645" s="73"/>
      <c r="N645" s="1132"/>
    </row>
    <row r="646" spans="1:17" ht="32.25" hidden="1" customHeight="1" x14ac:dyDescent="0.25">
      <c r="B646" s="1024"/>
      <c r="C646" s="168" t="s">
        <v>5201</v>
      </c>
      <c r="D646" s="73">
        <v>300000000</v>
      </c>
      <c r="E646" s="62">
        <f t="shared" si="26"/>
        <v>0.25613715290747685</v>
      </c>
      <c r="F646" s="176"/>
      <c r="G646" s="176"/>
      <c r="H646" s="60"/>
      <c r="I646" s="209"/>
      <c r="J646" s="176"/>
      <c r="K646" s="176"/>
      <c r="L646" s="490"/>
      <c r="M646" s="336"/>
      <c r="N646" s="1132"/>
    </row>
    <row r="647" spans="1:17" ht="23.25" hidden="1" customHeight="1" x14ac:dyDescent="0.25">
      <c r="B647" s="1024"/>
      <c r="C647" s="168" t="s">
        <v>5202</v>
      </c>
      <c r="D647" s="73">
        <v>200000000</v>
      </c>
      <c r="E647" s="62">
        <f t="shared" si="26"/>
        <v>0.17075810193831789</v>
      </c>
      <c r="F647" s="169"/>
      <c r="G647" s="246"/>
      <c r="H647" s="1104"/>
      <c r="I647" s="1104"/>
      <c r="J647" s="1104"/>
      <c r="K647" s="246"/>
      <c r="L647" s="1104"/>
      <c r="M647" s="1104"/>
      <c r="N647" s="1132"/>
    </row>
    <row r="648" spans="1:17" ht="19.5" hidden="1" customHeight="1" x14ac:dyDescent="0.25">
      <c r="B648" s="1024"/>
      <c r="C648" s="168" t="s">
        <v>5203</v>
      </c>
      <c r="D648" s="73">
        <v>200000000</v>
      </c>
      <c r="E648" s="62">
        <f t="shared" si="26"/>
        <v>0.17075810193831789</v>
      </c>
      <c r="F648" s="169"/>
      <c r="G648" s="246"/>
      <c r="H648" s="1104"/>
      <c r="I648" s="1104"/>
      <c r="J648" s="1104"/>
      <c r="K648" s="246"/>
      <c r="L648" s="1104"/>
      <c r="M648" s="1104"/>
      <c r="N648" s="1132"/>
    </row>
    <row r="649" spans="1:17" ht="23.25" hidden="1" customHeight="1" x14ac:dyDescent="0.25">
      <c r="B649" s="1024"/>
      <c r="C649" s="168" t="s">
        <v>5204</v>
      </c>
      <c r="D649" s="73">
        <v>200000000</v>
      </c>
      <c r="E649" s="62">
        <f t="shared" si="26"/>
        <v>0.17075810193831789</v>
      </c>
      <c r="F649" s="169"/>
      <c r="G649" s="246"/>
      <c r="H649" s="62"/>
      <c r="I649" s="73"/>
      <c r="J649" s="169"/>
      <c r="K649" s="246"/>
      <c r="L649" s="201"/>
      <c r="M649" s="73"/>
      <c r="N649" s="1132"/>
    </row>
    <row r="650" spans="1:17" ht="13.5" hidden="1" customHeight="1" x14ac:dyDescent="0.25">
      <c r="B650" s="1024"/>
      <c r="C650" s="168"/>
      <c r="D650" s="73"/>
      <c r="E650" s="62"/>
      <c r="F650" s="169"/>
      <c r="G650" s="246"/>
      <c r="H650" s="62"/>
      <c r="I650" s="73"/>
      <c r="J650" s="169"/>
      <c r="K650" s="246"/>
      <c r="L650" s="201"/>
      <c r="M650" s="73"/>
      <c r="N650" s="1132"/>
    </row>
    <row r="651" spans="1:17" ht="23.25" hidden="1" customHeight="1" x14ac:dyDescent="0.25">
      <c r="B651" s="1024"/>
      <c r="C651" s="175" t="s">
        <v>5208</v>
      </c>
      <c r="D651" s="157">
        <f>SUM(D652:D657)</f>
        <v>1050000000</v>
      </c>
      <c r="E651" s="60">
        <f t="shared" si="26"/>
        <v>0.89648003517616892</v>
      </c>
      <c r="F651" s="169"/>
      <c r="G651" s="246"/>
      <c r="H651" s="62"/>
      <c r="I651" s="215"/>
      <c r="J651" s="169"/>
      <c r="K651" s="246"/>
      <c r="L651" s="201"/>
      <c r="M651" s="158"/>
      <c r="N651" s="1132"/>
    </row>
    <row r="652" spans="1:17" ht="27" hidden="1" customHeight="1" x14ac:dyDescent="0.25">
      <c r="B652" s="1024"/>
      <c r="C652" s="168" t="s">
        <v>5205</v>
      </c>
      <c r="D652" s="73">
        <v>200000000</v>
      </c>
      <c r="E652" s="62">
        <f t="shared" si="26"/>
        <v>0.17075810193831789</v>
      </c>
      <c r="F652" s="169"/>
      <c r="G652" s="149"/>
      <c r="H652" s="149"/>
      <c r="I652" s="149"/>
      <c r="J652" s="169"/>
      <c r="K652" s="201"/>
      <c r="L652" s="201"/>
      <c r="M652" s="73"/>
      <c r="N652" s="1132"/>
    </row>
    <row r="653" spans="1:17" ht="20.25" hidden="1" customHeight="1" x14ac:dyDescent="0.25">
      <c r="B653" s="1024"/>
      <c r="C653" s="168" t="s">
        <v>5206</v>
      </c>
      <c r="D653" s="73">
        <v>200000000</v>
      </c>
      <c r="E653" s="62">
        <f t="shared" si="26"/>
        <v>0.17075810193831789</v>
      </c>
      <c r="F653" s="2118"/>
      <c r="G653" s="2119"/>
      <c r="H653" s="2120"/>
      <c r="I653" s="2121"/>
      <c r="J653" s="215"/>
      <c r="K653" s="207"/>
      <c r="L653" s="245"/>
      <c r="M653" s="191"/>
      <c r="N653" s="1132"/>
    </row>
    <row r="654" spans="1:17" ht="21" hidden="1" customHeight="1" x14ac:dyDescent="0.25">
      <c r="A654" s="2"/>
      <c r="B654" s="1024"/>
      <c r="C654" s="168" t="s">
        <v>5207</v>
      </c>
      <c r="D654" s="73">
        <v>150000000</v>
      </c>
      <c r="E654" s="62">
        <f t="shared" si="26"/>
        <v>0.12806857645373843</v>
      </c>
      <c r="F654" s="176"/>
      <c r="G654" s="176"/>
      <c r="H654" s="176"/>
      <c r="I654" s="157"/>
      <c r="J654" s="176"/>
      <c r="K654" s="176"/>
      <c r="L654" s="371"/>
      <c r="M654" s="157"/>
      <c r="N654" s="1132"/>
    </row>
    <row r="655" spans="1:17" s="32" customFormat="1" ht="20.25" hidden="1" customHeight="1" x14ac:dyDescent="0.25">
      <c r="A655" s="1"/>
      <c r="B655" s="1024"/>
      <c r="C655" s="168" t="s">
        <v>5209</v>
      </c>
      <c r="D655" s="73">
        <v>200000000</v>
      </c>
      <c r="E655" s="62">
        <f t="shared" si="26"/>
        <v>0.17075810193831789</v>
      </c>
      <c r="F655" s="176"/>
      <c r="G655" s="150"/>
      <c r="H655" s="150"/>
      <c r="I655" s="150"/>
      <c r="J655" s="176"/>
      <c r="K655" s="202"/>
      <c r="L655" s="202"/>
      <c r="M655" s="157"/>
      <c r="N655" s="1903"/>
      <c r="P655" s="203"/>
      <c r="Q655" s="203"/>
    </row>
    <row r="656" spans="1:17" ht="29.25" hidden="1" customHeight="1" x14ac:dyDescent="0.25">
      <c r="A656" s="2"/>
      <c r="B656" s="1024"/>
      <c r="C656" s="168" t="s">
        <v>5210</v>
      </c>
      <c r="D656" s="73">
        <v>150000000</v>
      </c>
      <c r="E656" s="62">
        <f t="shared" si="26"/>
        <v>0.12806857645373843</v>
      </c>
      <c r="F656" s="169"/>
      <c r="G656" s="149"/>
      <c r="H656" s="149"/>
      <c r="I656" s="149"/>
      <c r="J656" s="169"/>
      <c r="K656" s="201"/>
      <c r="L656" s="201"/>
      <c r="M656" s="73"/>
      <c r="N656" s="1132"/>
    </row>
    <row r="657" spans="1:17" ht="18.75" hidden="1" customHeight="1" x14ac:dyDescent="0.25">
      <c r="A657" s="2"/>
      <c r="B657" s="1024"/>
      <c r="C657" s="168" t="s">
        <v>5211</v>
      </c>
      <c r="D657" s="73">
        <v>150000000</v>
      </c>
      <c r="E657" s="62">
        <f t="shared" si="26"/>
        <v>0.12806857645373843</v>
      </c>
      <c r="F657" s="169"/>
      <c r="G657" s="246"/>
      <c r="H657" s="62"/>
      <c r="I657" s="140"/>
      <c r="J657" s="169"/>
      <c r="K657" s="201"/>
      <c r="L657" s="201"/>
      <c r="M657" s="73"/>
      <c r="N657" s="1132"/>
    </row>
    <row r="658" spans="1:17" ht="19.5" hidden="1" customHeight="1" x14ac:dyDescent="0.25">
      <c r="B658" s="1024"/>
      <c r="C658" s="64"/>
      <c r="D658" s="2122"/>
      <c r="E658" s="162"/>
      <c r="F658" s="2118"/>
      <c r="G658" s="2119"/>
      <c r="H658" s="2120"/>
      <c r="I658" s="2121"/>
      <c r="J658" s="215"/>
      <c r="K658" s="207"/>
      <c r="L658" s="245"/>
      <c r="M658" s="191"/>
      <c r="N658" s="1132"/>
    </row>
    <row r="659" spans="1:17" ht="21" hidden="1" customHeight="1" x14ac:dyDescent="0.25">
      <c r="A659" s="2"/>
      <c r="B659" s="1029"/>
      <c r="C659" s="178" t="s">
        <v>1984</v>
      </c>
      <c r="D659" s="179">
        <f>SUM(D660+D664)</f>
        <v>400000000</v>
      </c>
      <c r="E659" s="165">
        <f t="shared" si="26"/>
        <v>0.34151620387663578</v>
      </c>
      <c r="F659" s="165"/>
      <c r="G659" s="165"/>
      <c r="H659" s="200"/>
      <c r="I659" s="179"/>
      <c r="J659" s="68"/>
      <c r="K659" s="68"/>
      <c r="L659" s="68"/>
      <c r="M659" s="179"/>
      <c r="N659" s="1106"/>
      <c r="P659" s="617"/>
      <c r="Q659"/>
    </row>
    <row r="660" spans="1:17" ht="34.5" hidden="1" customHeight="1" x14ac:dyDescent="0.25">
      <c r="B660" s="1024"/>
      <c r="C660" s="175" t="s">
        <v>5322</v>
      </c>
      <c r="D660" s="157">
        <f>SUM(D661:D662)</f>
        <v>200000000</v>
      </c>
      <c r="E660" s="60">
        <f t="shared" si="26"/>
        <v>0.17075810193831789</v>
      </c>
      <c r="F660" s="1129"/>
      <c r="G660" s="2123"/>
      <c r="H660" s="2124"/>
      <c r="I660" s="2125"/>
      <c r="J660" s="197"/>
      <c r="K660" s="201"/>
      <c r="L660" s="189"/>
      <c r="M660" s="73"/>
      <c r="N660" s="1132"/>
    </row>
    <row r="661" spans="1:17" ht="17.25" hidden="1" customHeight="1" x14ac:dyDescent="0.25">
      <c r="B661" s="1024"/>
      <c r="C661" s="168" t="s">
        <v>1985</v>
      </c>
      <c r="D661" s="73">
        <v>100000000</v>
      </c>
      <c r="E661" s="62">
        <f t="shared" si="26"/>
        <v>8.5379050969158946E-2</v>
      </c>
      <c r="F661" s="1129"/>
      <c r="G661" s="2123"/>
      <c r="H661" s="2124"/>
      <c r="I661" s="2125"/>
      <c r="J661" s="197"/>
      <c r="K661" s="201"/>
      <c r="L661" s="189"/>
      <c r="M661" s="73"/>
      <c r="N661" s="1132"/>
    </row>
    <row r="662" spans="1:17" ht="21" hidden="1" customHeight="1" x14ac:dyDescent="0.25">
      <c r="B662" s="1024"/>
      <c r="C662" s="168" t="s">
        <v>5324</v>
      </c>
      <c r="D662" s="73">
        <v>100000000</v>
      </c>
      <c r="E662" s="62">
        <f t="shared" si="26"/>
        <v>8.5379050969158946E-2</v>
      </c>
      <c r="F662" s="1129"/>
      <c r="G662" s="2123"/>
      <c r="H662" s="2124"/>
      <c r="I662" s="2125"/>
      <c r="J662" s="197"/>
      <c r="K662" s="201"/>
      <c r="L662" s="189"/>
      <c r="M662" s="73"/>
      <c r="N662" s="1132"/>
    </row>
    <row r="663" spans="1:17" ht="18" hidden="1" customHeight="1" x14ac:dyDescent="0.25">
      <c r="B663" s="1024"/>
      <c r="C663" s="61"/>
      <c r="D663" s="2126"/>
      <c r="E663" s="62"/>
      <c r="F663" s="1129"/>
      <c r="G663" s="2123"/>
      <c r="H663" s="2124"/>
      <c r="I663" s="2125"/>
      <c r="J663" s="197"/>
      <c r="K663" s="201"/>
      <c r="L663" s="189"/>
      <c r="M663" s="73"/>
      <c r="N663" s="1132"/>
    </row>
    <row r="664" spans="1:17" ht="18.75" hidden="1" customHeight="1" x14ac:dyDescent="0.25">
      <c r="B664" s="1024"/>
      <c r="C664" s="175" t="s">
        <v>5339</v>
      </c>
      <c r="D664" s="157">
        <f>SUM(D665)</f>
        <v>200000000</v>
      </c>
      <c r="E664" s="60">
        <f t="shared" si="26"/>
        <v>0.17075810193831789</v>
      </c>
      <c r="F664" s="1129"/>
      <c r="G664" s="2123"/>
      <c r="H664" s="2124"/>
      <c r="I664" s="2125"/>
      <c r="J664" s="197"/>
      <c r="K664" s="201"/>
      <c r="L664" s="189"/>
      <c r="M664" s="73"/>
      <c r="N664" s="1132"/>
    </row>
    <row r="665" spans="1:17" ht="21.75" hidden="1" customHeight="1" x14ac:dyDescent="0.25">
      <c r="B665" s="1024"/>
      <c r="C665" s="168" t="s">
        <v>5341</v>
      </c>
      <c r="D665" s="73">
        <v>200000000</v>
      </c>
      <c r="E665" s="62">
        <f t="shared" si="26"/>
        <v>0.17075810193831789</v>
      </c>
      <c r="F665" s="1129"/>
      <c r="G665" s="2123"/>
      <c r="H665" s="2124"/>
      <c r="I665" s="2125"/>
      <c r="J665" s="197"/>
      <c r="K665" s="201"/>
      <c r="L665" s="189"/>
      <c r="M665" s="73"/>
      <c r="N665" s="1132"/>
    </row>
    <row r="666" spans="1:17" ht="16.5" hidden="1" customHeight="1" x14ac:dyDescent="0.25">
      <c r="B666" s="1024"/>
      <c r="C666" s="61"/>
      <c r="D666" s="2126"/>
      <c r="E666" s="62"/>
      <c r="F666" s="1129"/>
      <c r="G666" s="2123"/>
      <c r="H666" s="2124"/>
      <c r="I666" s="2125"/>
      <c r="J666" s="197"/>
      <c r="K666" s="201"/>
      <c r="L666" s="189"/>
      <c r="M666" s="73"/>
      <c r="N666" s="1132"/>
    </row>
    <row r="667" spans="1:17" ht="18.75" hidden="1" customHeight="1" x14ac:dyDescent="0.25">
      <c r="A667" s="2"/>
      <c r="B667" s="1029"/>
      <c r="C667" s="163" t="s">
        <v>5366</v>
      </c>
      <c r="D667" s="373">
        <f>D668</f>
        <v>400000000</v>
      </c>
      <c r="E667" s="165">
        <f t="shared" si="26"/>
        <v>0.34151620387663578</v>
      </c>
      <c r="F667" s="164"/>
      <c r="G667" s="131"/>
      <c r="H667" s="131"/>
      <c r="I667" s="131"/>
      <c r="J667" s="926"/>
      <c r="K667" s="926"/>
      <c r="L667" s="68"/>
      <c r="M667" s="179"/>
      <c r="N667" s="1106"/>
      <c r="P667" s="617"/>
      <c r="Q667"/>
    </row>
    <row r="668" spans="1:17" s="32" customFormat="1" ht="19.5" hidden="1" customHeight="1" x14ac:dyDescent="0.25">
      <c r="B668" s="1024"/>
      <c r="C668" s="166" t="s">
        <v>5384</v>
      </c>
      <c r="D668" s="176">
        <f>SUM(D669:D670)</f>
        <v>400000000</v>
      </c>
      <c r="E668" s="60">
        <f t="shared" si="26"/>
        <v>0.34151620387663578</v>
      </c>
      <c r="F668" s="1129"/>
      <c r="G668" s="2123"/>
      <c r="H668" s="249"/>
      <c r="I668" s="2127"/>
      <c r="J668" s="157"/>
      <c r="K668" s="202"/>
      <c r="L668" s="371"/>
      <c r="M668" s="157"/>
      <c r="N668" s="1903"/>
      <c r="P668" s="203"/>
      <c r="Q668" s="203"/>
    </row>
    <row r="669" spans="1:17" ht="19.5" hidden="1" customHeight="1" x14ac:dyDescent="0.25">
      <c r="B669" s="1024"/>
      <c r="C669" s="182" t="s">
        <v>5386</v>
      </c>
      <c r="D669" s="2050">
        <v>200000000</v>
      </c>
      <c r="E669" s="62">
        <f t="shared" si="26"/>
        <v>0.17075810193831789</v>
      </c>
      <c r="F669" s="1129"/>
      <c r="G669" s="2123"/>
      <c r="H669" s="2124"/>
      <c r="I669" s="2125"/>
      <c r="J669" s="197"/>
      <c r="K669" s="201"/>
      <c r="L669" s="189"/>
      <c r="M669" s="73"/>
      <c r="N669" s="1132"/>
    </row>
    <row r="670" spans="1:17" ht="19.5" hidden="1" customHeight="1" x14ac:dyDescent="0.25">
      <c r="B670" s="1024"/>
      <c r="C670" s="182" t="s">
        <v>5390</v>
      </c>
      <c r="D670" s="2050">
        <v>200000000</v>
      </c>
      <c r="E670" s="62">
        <f t="shared" si="26"/>
        <v>0.17075810193831789</v>
      </c>
      <c r="F670" s="1129"/>
      <c r="G670" s="2123"/>
      <c r="H670" s="2124"/>
      <c r="I670" s="2125"/>
      <c r="J670" s="197"/>
      <c r="K670" s="201"/>
      <c r="L670" s="189"/>
      <c r="M670" s="73"/>
      <c r="N670" s="1132"/>
    </row>
    <row r="671" spans="1:17" ht="20.25" hidden="1" customHeight="1" x14ac:dyDescent="0.25">
      <c r="B671" s="1024"/>
      <c r="C671" s="61"/>
      <c r="D671" s="2126"/>
      <c r="E671" s="62"/>
      <c r="F671" s="1129"/>
      <c r="G671" s="2123"/>
      <c r="H671" s="2124"/>
      <c r="I671" s="2125"/>
      <c r="J671" s="197"/>
      <c r="K671" s="201"/>
      <c r="L671" s="189"/>
      <c r="M671" s="73"/>
      <c r="N671" s="1132"/>
    </row>
    <row r="672" spans="1:17" s="32" customFormat="1" ht="20.25" hidden="1" customHeight="1" x14ac:dyDescent="0.25">
      <c r="A672" s="1"/>
      <c r="B672" s="1029"/>
      <c r="C672" s="56" t="s">
        <v>831</v>
      </c>
      <c r="D672" s="373">
        <f>SUM(D673+D678+D681)</f>
        <v>400000000</v>
      </c>
      <c r="E672" s="165">
        <f t="shared" ref="E672:E689" si="27">D672/117124750000*100</f>
        <v>0.34151620387663578</v>
      </c>
      <c r="F672" s="2128"/>
      <c r="G672" s="1137"/>
      <c r="H672" s="164"/>
      <c r="I672" s="2129"/>
      <c r="J672" s="2130"/>
      <c r="K672" s="179"/>
      <c r="L672" s="179"/>
      <c r="M672" s="179"/>
      <c r="N672" s="1483"/>
      <c r="P672" s="630"/>
    </row>
    <row r="673" spans="1:19" s="35" customFormat="1" ht="31.5" hidden="1" customHeight="1" x14ac:dyDescent="0.25">
      <c r="A673" s="20"/>
      <c r="B673" s="1024"/>
      <c r="C673" s="61" t="s">
        <v>5411</v>
      </c>
      <c r="D673" s="2050">
        <v>400000000</v>
      </c>
      <c r="E673" s="60">
        <f t="shared" si="27"/>
        <v>0.34151620387663578</v>
      </c>
      <c r="F673" s="1129"/>
      <c r="G673" s="2123"/>
      <c r="H673" s="2124"/>
      <c r="I673" s="2125"/>
      <c r="J673" s="197"/>
      <c r="K673" s="201"/>
      <c r="L673" s="189"/>
      <c r="M673" s="73"/>
      <c r="N673" s="1132"/>
      <c r="O673"/>
      <c r="R673"/>
      <c r="S673"/>
    </row>
    <row r="674" spans="1:19" s="35" customFormat="1" ht="18" hidden="1" customHeight="1" x14ac:dyDescent="0.25">
      <c r="A674" s="20"/>
      <c r="B674" s="1024"/>
      <c r="C674" s="61"/>
      <c r="D674" s="2126"/>
      <c r="E674" s="62"/>
      <c r="F674" s="1129"/>
      <c r="G674" s="2123"/>
      <c r="H674" s="2124"/>
      <c r="I674" s="2125"/>
      <c r="J674" s="197"/>
      <c r="K674" s="201"/>
      <c r="L674" s="189"/>
      <c r="M674" s="73"/>
      <c r="N674" s="1132"/>
      <c r="O674"/>
      <c r="R674"/>
      <c r="S674"/>
    </row>
    <row r="675" spans="1:19" s="32" customFormat="1" ht="18.75" hidden="1" customHeight="1" x14ac:dyDescent="0.25">
      <c r="A675" s="1"/>
      <c r="B675" s="1029"/>
      <c r="C675" s="56" t="s">
        <v>5508</v>
      </c>
      <c r="D675" s="373">
        <f>SUM(D676+D679+D682)</f>
        <v>1250000000</v>
      </c>
      <c r="E675" s="165">
        <f t="shared" si="27"/>
        <v>1.0672381371144868</v>
      </c>
      <c r="F675" s="2128"/>
      <c r="G675" s="1137"/>
      <c r="H675" s="164"/>
      <c r="I675" s="2129"/>
      <c r="J675" s="2130"/>
      <c r="K675" s="179"/>
      <c r="L675" s="179"/>
      <c r="M675" s="179"/>
      <c r="N675" s="1483"/>
      <c r="P675" s="630"/>
    </row>
    <row r="676" spans="1:19" s="35" customFormat="1" ht="16.5" hidden="1" customHeight="1" x14ac:dyDescent="0.25">
      <c r="A676" s="20"/>
      <c r="B676" s="1024"/>
      <c r="C676" s="63" t="s">
        <v>5511</v>
      </c>
      <c r="D676" s="378">
        <f>D677</f>
        <v>250000000</v>
      </c>
      <c r="E676" s="60">
        <f t="shared" si="27"/>
        <v>0.21344762742289738</v>
      </c>
      <c r="F676" s="2118"/>
      <c r="G676" s="2119"/>
      <c r="H676" s="2120"/>
      <c r="I676" s="2121"/>
      <c r="J676" s="215"/>
      <c r="K676" s="207"/>
      <c r="L676" s="245"/>
      <c r="M676" s="191"/>
      <c r="N676" s="1132"/>
      <c r="O676"/>
      <c r="R676"/>
      <c r="S676"/>
    </row>
    <row r="677" spans="1:19" s="35" customFormat="1" ht="16.5" hidden="1" customHeight="1" x14ac:dyDescent="0.25">
      <c r="A677" s="20"/>
      <c r="B677" s="1024"/>
      <c r="C677" s="61" t="s">
        <v>5512</v>
      </c>
      <c r="D677" s="2050">
        <v>250000000</v>
      </c>
      <c r="E677" s="62">
        <f t="shared" si="27"/>
        <v>0.21344762742289738</v>
      </c>
      <c r="F677" s="1129"/>
      <c r="G677" s="2123"/>
      <c r="H677" s="2124"/>
      <c r="I677" s="2125"/>
      <c r="J677" s="197"/>
      <c r="K677" s="201"/>
      <c r="L677" s="189"/>
      <c r="M677" s="73"/>
      <c r="N677" s="1132"/>
      <c r="O677"/>
      <c r="R677"/>
      <c r="S677"/>
    </row>
    <row r="678" spans="1:19" s="35" customFormat="1" ht="16.5" hidden="1" customHeight="1" x14ac:dyDescent="0.25">
      <c r="A678" s="20"/>
      <c r="B678" s="1024"/>
      <c r="C678" s="64"/>
      <c r="D678" s="2126"/>
      <c r="E678" s="60"/>
      <c r="F678" s="1129"/>
      <c r="G678" s="2123"/>
      <c r="H678" s="2124"/>
      <c r="I678" s="2125"/>
      <c r="J678" s="197"/>
      <c r="K678" s="201"/>
      <c r="L678" s="189"/>
      <c r="M678" s="73"/>
      <c r="N678" s="1132"/>
      <c r="O678"/>
      <c r="R678"/>
      <c r="S678"/>
    </row>
    <row r="679" spans="1:19" s="35" customFormat="1" ht="16.5" hidden="1" customHeight="1" x14ac:dyDescent="0.25">
      <c r="A679" s="20"/>
      <c r="B679" s="1024"/>
      <c r="C679" s="63" t="s">
        <v>5515</v>
      </c>
      <c r="D679" s="2131">
        <f>D680</f>
        <v>300000000</v>
      </c>
      <c r="E679" s="60">
        <f t="shared" si="27"/>
        <v>0.25613715290747685</v>
      </c>
      <c r="F679" s="1129"/>
      <c r="G679" s="2123"/>
      <c r="H679" s="2124"/>
      <c r="I679" s="2125"/>
      <c r="J679" s="197"/>
      <c r="K679" s="201"/>
      <c r="L679" s="189"/>
      <c r="M679" s="73"/>
      <c r="N679" s="1132"/>
      <c r="O679"/>
      <c r="R679"/>
      <c r="S679"/>
    </row>
    <row r="680" spans="1:19" s="35" customFormat="1" ht="16.5" hidden="1" customHeight="1" x14ac:dyDescent="0.25">
      <c r="A680" s="20"/>
      <c r="B680" s="1024"/>
      <c r="C680" s="61" t="s">
        <v>5519</v>
      </c>
      <c r="D680" s="2050">
        <v>300000000</v>
      </c>
      <c r="E680" s="62">
        <f t="shared" si="27"/>
        <v>0.25613715290747685</v>
      </c>
      <c r="F680" s="1129"/>
      <c r="G680" s="2123"/>
      <c r="H680" s="2124"/>
      <c r="I680" s="2125"/>
      <c r="J680" s="197"/>
      <c r="K680" s="201"/>
      <c r="L680" s="189"/>
      <c r="M680" s="73"/>
      <c r="N680" s="1132"/>
      <c r="O680"/>
      <c r="R680"/>
      <c r="S680"/>
    </row>
    <row r="681" spans="1:19" s="35" customFormat="1" ht="16.5" hidden="1" customHeight="1" x14ac:dyDescent="0.25">
      <c r="A681" s="20"/>
      <c r="B681" s="1024"/>
      <c r="C681" s="64"/>
      <c r="D681" s="2126"/>
      <c r="E681" s="60"/>
      <c r="F681" s="1129"/>
      <c r="G681" s="2123"/>
      <c r="H681" s="2124"/>
      <c r="I681" s="2125"/>
      <c r="J681" s="197"/>
      <c r="K681" s="201"/>
      <c r="L681" s="189"/>
      <c r="M681" s="73"/>
      <c r="N681" s="1132"/>
      <c r="O681"/>
      <c r="R681"/>
      <c r="S681"/>
    </row>
    <row r="682" spans="1:19" s="35" customFormat="1" ht="28.5" hidden="1" customHeight="1" x14ac:dyDescent="0.25">
      <c r="A682" s="20"/>
      <c r="B682" s="1024"/>
      <c r="C682" s="63" t="s">
        <v>5520</v>
      </c>
      <c r="D682" s="2131">
        <f>SUM(D683:D685)</f>
        <v>700000000</v>
      </c>
      <c r="E682" s="60">
        <f t="shared" si="27"/>
        <v>0.59765335678411269</v>
      </c>
      <c r="F682" s="1129"/>
      <c r="G682" s="2123"/>
      <c r="H682" s="2124"/>
      <c r="I682" s="2125"/>
      <c r="J682" s="197"/>
      <c r="K682" s="201"/>
      <c r="L682" s="189"/>
      <c r="M682" s="73"/>
      <c r="N682" s="1132"/>
      <c r="O682"/>
      <c r="R682"/>
      <c r="S682"/>
    </row>
    <row r="683" spans="1:19" s="35" customFormat="1" ht="29.25" hidden="1" customHeight="1" x14ac:dyDescent="0.25">
      <c r="A683" s="20"/>
      <c r="B683" s="1024"/>
      <c r="C683" s="61" t="s">
        <v>5521</v>
      </c>
      <c r="D683" s="2050">
        <v>350000000</v>
      </c>
      <c r="E683" s="62">
        <f t="shared" si="27"/>
        <v>0.29882667839205634</v>
      </c>
      <c r="F683" s="1129"/>
      <c r="G683" s="2123"/>
      <c r="H683" s="2124"/>
      <c r="I683" s="2125"/>
      <c r="J683" s="197"/>
      <c r="K683" s="201"/>
      <c r="L683" s="189"/>
      <c r="M683" s="73"/>
      <c r="N683" s="1132"/>
      <c r="O683"/>
      <c r="R683"/>
      <c r="S683"/>
    </row>
    <row r="684" spans="1:19" s="35" customFormat="1" ht="48.75" hidden="1" customHeight="1" x14ac:dyDescent="0.25">
      <c r="A684" s="20"/>
      <c r="B684" s="1024"/>
      <c r="C684" s="61" t="s">
        <v>5522</v>
      </c>
      <c r="D684" s="2050">
        <v>200000000</v>
      </c>
      <c r="E684" s="62">
        <f t="shared" si="27"/>
        <v>0.17075810193831789</v>
      </c>
      <c r="F684" s="1129"/>
      <c r="G684" s="2123"/>
      <c r="H684" s="2124"/>
      <c r="I684" s="2125"/>
      <c r="J684" s="197"/>
      <c r="K684" s="201"/>
      <c r="L684" s="189"/>
      <c r="M684" s="73"/>
      <c r="N684" s="1132"/>
      <c r="O684"/>
      <c r="R684"/>
      <c r="S684"/>
    </row>
    <row r="685" spans="1:19" s="35" customFormat="1" ht="21" hidden="1" customHeight="1" x14ac:dyDescent="0.25">
      <c r="A685" s="20"/>
      <c r="B685" s="1024"/>
      <c r="C685" s="61" t="s">
        <v>5543</v>
      </c>
      <c r="D685" s="2132">
        <v>150000000</v>
      </c>
      <c r="E685" s="62">
        <f t="shared" si="27"/>
        <v>0.12806857645373843</v>
      </c>
      <c r="F685" s="2118"/>
      <c r="G685" s="2119"/>
      <c r="H685" s="2120"/>
      <c r="I685" s="2121"/>
      <c r="J685" s="215"/>
      <c r="K685" s="207"/>
      <c r="L685" s="245"/>
      <c r="M685" s="191"/>
      <c r="N685" s="1132"/>
      <c r="O685"/>
      <c r="R685"/>
      <c r="S685"/>
    </row>
    <row r="686" spans="1:19" s="35" customFormat="1" ht="16.5" hidden="1" customHeight="1" x14ac:dyDescent="0.25">
      <c r="A686" s="20"/>
      <c r="B686" s="1024"/>
      <c r="C686" s="64"/>
      <c r="D686" s="2122"/>
      <c r="E686" s="1917"/>
      <c r="F686" s="2133"/>
      <c r="G686" s="2134"/>
      <c r="H686" s="2135"/>
      <c r="I686" s="2136"/>
      <c r="J686" s="364"/>
      <c r="K686" s="1920"/>
      <c r="L686" s="1222"/>
      <c r="M686" s="338"/>
      <c r="N686" s="1132"/>
      <c r="O686"/>
      <c r="R686"/>
      <c r="S686"/>
    </row>
    <row r="687" spans="1:19" s="35" customFormat="1" ht="21" hidden="1" customHeight="1" x14ac:dyDescent="0.25">
      <c r="A687" s="20"/>
      <c r="B687" s="1029"/>
      <c r="C687" s="56" t="s">
        <v>5538</v>
      </c>
      <c r="D687" s="2128">
        <f>D688</f>
        <v>3000000000</v>
      </c>
      <c r="E687" s="165">
        <f t="shared" si="27"/>
        <v>2.5613715290747683</v>
      </c>
      <c r="F687" s="2137"/>
      <c r="G687" s="2138"/>
      <c r="H687" s="926"/>
      <c r="I687" s="2129"/>
      <c r="J687" s="179"/>
      <c r="K687" s="200"/>
      <c r="L687" s="68"/>
      <c r="M687" s="179"/>
      <c r="N687" s="1132"/>
      <c r="O687"/>
      <c r="R687"/>
      <c r="S687"/>
    </row>
    <row r="688" spans="1:19" ht="19.5" hidden="1" customHeight="1" x14ac:dyDescent="0.25">
      <c r="B688" s="1024"/>
      <c r="C688" s="69" t="s">
        <v>5545</v>
      </c>
      <c r="D688" s="2139">
        <f>SUM(D689:D689)</f>
        <v>3000000000</v>
      </c>
      <c r="E688" s="60">
        <f t="shared" si="27"/>
        <v>2.5613715290747683</v>
      </c>
      <c r="F688" s="2140"/>
      <c r="G688" s="2141"/>
      <c r="H688" s="2142"/>
      <c r="I688" s="2143"/>
      <c r="J688" s="365"/>
      <c r="K688" s="347"/>
      <c r="L688" s="372"/>
      <c r="M688" s="194"/>
      <c r="N688" s="1132"/>
    </row>
    <row r="689" spans="2:14" ht="16.5" hidden="1" customHeight="1" x14ac:dyDescent="0.25">
      <c r="B689" s="1024"/>
      <c r="C689" s="61" t="s">
        <v>2104</v>
      </c>
      <c r="D689" s="2126">
        <v>3000000000</v>
      </c>
      <c r="E689" s="62">
        <f t="shared" si="27"/>
        <v>2.5613715290747683</v>
      </c>
      <c r="F689" s="1129"/>
      <c r="G689" s="2123"/>
      <c r="H689" s="2124"/>
      <c r="I689" s="2125"/>
      <c r="J689" s="197"/>
      <c r="K689" s="201"/>
      <c r="L689" s="189"/>
      <c r="M689" s="73"/>
      <c r="N689" s="1132"/>
    </row>
    <row r="690" spans="2:14" ht="12" hidden="1" customHeight="1" thickBot="1" x14ac:dyDescent="0.3">
      <c r="B690" s="1024"/>
      <c r="C690" s="119"/>
      <c r="D690" s="959"/>
      <c r="E690" s="976"/>
      <c r="F690" s="959"/>
      <c r="G690" s="959"/>
      <c r="H690" s="959"/>
      <c r="I690" s="959"/>
      <c r="J690" s="977"/>
      <c r="K690" s="2176"/>
      <c r="L690" s="191"/>
      <c r="M690" s="215"/>
      <c r="N690" s="1132"/>
    </row>
    <row r="691" spans="2:14" ht="18" hidden="1" customHeight="1" thickBot="1" x14ac:dyDescent="0.3">
      <c r="B691" s="2034"/>
      <c r="C691" s="4234" t="s">
        <v>2231</v>
      </c>
      <c r="D691" s="679">
        <f>(D693+D778+D746+D753+D757+D766+D770)</f>
        <v>40775305000</v>
      </c>
      <c r="E691" s="679">
        <f>D691/2512247400000*100</f>
        <v>1.6230608896241667</v>
      </c>
      <c r="F691" s="2177"/>
      <c r="G691" s="671"/>
      <c r="H691" s="676"/>
      <c r="I691" s="679"/>
      <c r="J691" s="679"/>
      <c r="K691" s="2178"/>
      <c r="L691" s="2179"/>
      <c r="M691" s="2180"/>
      <c r="N691" s="1132"/>
    </row>
    <row r="692" spans="2:14" ht="9" hidden="1" customHeight="1" x14ac:dyDescent="0.25">
      <c r="B692" s="1024"/>
      <c r="C692" s="216"/>
      <c r="D692" s="4235"/>
      <c r="E692" s="2181"/>
      <c r="F692" s="2182"/>
      <c r="G692" s="2183"/>
      <c r="H692" s="248"/>
      <c r="I692" s="209"/>
      <c r="J692" s="980"/>
      <c r="K692" s="2183"/>
      <c r="L692" s="248"/>
      <c r="M692" s="209"/>
      <c r="N692" s="1132"/>
    </row>
    <row r="693" spans="2:14" ht="18.75" hidden="1" customHeight="1" x14ac:dyDescent="0.25">
      <c r="B693" s="1029"/>
      <c r="C693" s="208" t="s">
        <v>3314</v>
      </c>
      <c r="D693" s="2744">
        <f>D694+D698+D720+D730+D736</f>
        <v>28210305000</v>
      </c>
      <c r="E693" s="2165">
        <f>D693/114128848000*100</f>
        <v>24.717944230892439</v>
      </c>
      <c r="F693" s="1988"/>
      <c r="G693" s="1988"/>
      <c r="H693" s="926"/>
      <c r="I693" s="254"/>
      <c r="J693" s="1112"/>
      <c r="K693" s="1988"/>
      <c r="L693" s="164"/>
      <c r="M693" s="254"/>
      <c r="N693" s="1132"/>
    </row>
    <row r="694" spans="2:14" ht="16.5" hidden="1" customHeight="1" x14ac:dyDescent="0.25">
      <c r="B694" s="1993"/>
      <c r="C694" s="2608" t="s">
        <v>243</v>
      </c>
      <c r="D694" s="3393">
        <f>SUM(D695:D696)</f>
        <v>500000000</v>
      </c>
      <c r="E694" s="2174">
        <f>D694/114128848000*100</f>
        <v>0.43810132912232674</v>
      </c>
      <c r="F694" s="2153"/>
      <c r="G694" s="2153"/>
      <c r="H694" s="249"/>
      <c r="I694" s="1118"/>
      <c r="J694" s="1051"/>
      <c r="K694" s="2184"/>
      <c r="L694" s="249"/>
      <c r="M694" s="249"/>
      <c r="N694" s="1132"/>
    </row>
    <row r="695" spans="2:14" ht="18" hidden="1" customHeight="1" x14ac:dyDescent="0.25">
      <c r="B695" s="1904"/>
      <c r="C695" s="2473" t="s">
        <v>5558</v>
      </c>
      <c r="D695" s="3397">
        <v>300000000</v>
      </c>
      <c r="E695" s="2185">
        <f t="shared" ref="E695:E760" si="28">D695/114128848000*100</f>
        <v>0.26286079747339602</v>
      </c>
      <c r="F695" s="1963"/>
      <c r="G695" s="246"/>
      <c r="H695" s="250"/>
      <c r="I695" s="1104"/>
      <c r="J695" s="1119"/>
      <c r="K695" s="2186"/>
      <c r="L695" s="250"/>
      <c r="M695" s="250"/>
      <c r="N695" s="1132"/>
    </row>
    <row r="696" spans="2:14" ht="17.25" hidden="1" customHeight="1" x14ac:dyDescent="0.25">
      <c r="B696" s="1904"/>
      <c r="C696" s="2473" t="s">
        <v>5559</v>
      </c>
      <c r="D696" s="3397">
        <v>200000000</v>
      </c>
      <c r="E696" s="2185">
        <f t="shared" si="28"/>
        <v>0.17524053164893069</v>
      </c>
      <c r="F696" s="1963"/>
      <c r="G696" s="246"/>
      <c r="H696" s="250"/>
      <c r="I696" s="1104"/>
      <c r="J696" s="1119"/>
      <c r="K696" s="2186"/>
      <c r="L696" s="250"/>
      <c r="M696" s="250"/>
      <c r="N696" s="1132"/>
    </row>
    <row r="697" spans="2:14" ht="10.5" hidden="1" customHeight="1" x14ac:dyDescent="0.25">
      <c r="B697" s="1904"/>
      <c r="C697" s="2473"/>
      <c r="D697" s="896"/>
      <c r="E697" s="2185"/>
      <c r="F697" s="1963"/>
      <c r="G697" s="142"/>
      <c r="H697" s="142"/>
      <c r="I697" s="140"/>
      <c r="J697" s="1119"/>
      <c r="K697" s="2187"/>
      <c r="L697" s="2188"/>
      <c r="M697" s="2188"/>
      <c r="N697" s="1132"/>
    </row>
    <row r="698" spans="2:14" ht="20.25" hidden="1" customHeight="1" x14ac:dyDescent="0.25">
      <c r="B698" s="1904"/>
      <c r="C698" s="2609" t="s">
        <v>1247</v>
      </c>
      <c r="D698" s="2692">
        <f>SUM(D699:D718)</f>
        <v>20484826000</v>
      </c>
      <c r="E698" s="2174">
        <f t="shared" si="28"/>
        <v>17.948858994879192</v>
      </c>
      <c r="F698" s="2153"/>
      <c r="G698" s="2153"/>
      <c r="H698" s="249"/>
      <c r="I698" s="267"/>
      <c r="J698" s="1051"/>
      <c r="K698" s="2153"/>
      <c r="L698" s="249"/>
      <c r="M698" s="267"/>
      <c r="N698" s="1132"/>
    </row>
    <row r="699" spans="2:14" ht="14.25" hidden="1" customHeight="1" x14ac:dyDescent="0.25">
      <c r="B699" s="1904"/>
      <c r="C699" s="2473" t="s">
        <v>5560</v>
      </c>
      <c r="D699" s="3397">
        <v>612605000</v>
      </c>
      <c r="E699" s="2185">
        <f t="shared" si="28"/>
        <v>0.53676612945396596</v>
      </c>
      <c r="F699" s="1963"/>
      <c r="G699" s="201"/>
      <c r="H699" s="250"/>
      <c r="I699" s="252"/>
      <c r="J699" s="1119"/>
      <c r="K699" s="2189"/>
      <c r="L699" s="250"/>
      <c r="M699" s="252"/>
      <c r="N699" s="1132"/>
    </row>
    <row r="700" spans="2:14" ht="16.5" hidden="1" customHeight="1" x14ac:dyDescent="0.25">
      <c r="B700" s="1904"/>
      <c r="C700" s="2473" t="s">
        <v>5561</v>
      </c>
      <c r="D700" s="3397">
        <v>1800000000</v>
      </c>
      <c r="E700" s="2185">
        <f t="shared" si="28"/>
        <v>1.5771647848403765</v>
      </c>
      <c r="F700" s="1963"/>
      <c r="G700" s="201"/>
      <c r="H700" s="250"/>
      <c r="I700" s="252"/>
      <c r="J700" s="1119"/>
      <c r="K700" s="2189"/>
      <c r="L700" s="250"/>
      <c r="M700" s="252"/>
      <c r="N700" s="1132"/>
    </row>
    <row r="701" spans="2:14" ht="18.75" hidden="1" customHeight="1" x14ac:dyDescent="0.25">
      <c r="B701" s="1904"/>
      <c r="C701" s="2473" t="s">
        <v>5562</v>
      </c>
      <c r="D701" s="3406">
        <v>700000000</v>
      </c>
      <c r="E701" s="2185">
        <f t="shared" si="28"/>
        <v>0.61334186077125741</v>
      </c>
      <c r="F701" s="1963"/>
      <c r="G701" s="201"/>
      <c r="H701" s="250"/>
      <c r="I701" s="252"/>
      <c r="J701" s="1119"/>
      <c r="K701" s="2189"/>
      <c r="L701" s="250"/>
      <c r="M701" s="252"/>
      <c r="N701" s="1132"/>
    </row>
    <row r="702" spans="2:14" ht="17.25" hidden="1" customHeight="1" x14ac:dyDescent="0.25">
      <c r="B702" s="1904"/>
      <c r="C702" s="2473" t="s">
        <v>5563</v>
      </c>
      <c r="D702" s="896">
        <v>200000000</v>
      </c>
      <c r="E702" s="2185">
        <f t="shared" si="28"/>
        <v>0.17524053164893069</v>
      </c>
      <c r="F702" s="1963"/>
      <c r="G702" s="246"/>
      <c r="H702" s="250"/>
      <c r="I702" s="252"/>
      <c r="J702" s="1119"/>
      <c r="K702" s="2189"/>
      <c r="L702" s="250"/>
      <c r="M702" s="252"/>
      <c r="N702" s="1132"/>
    </row>
    <row r="703" spans="2:14" ht="17.25" hidden="1" customHeight="1" x14ac:dyDescent="0.25">
      <c r="B703" s="1904"/>
      <c r="C703" s="2473" t="s">
        <v>5564</v>
      </c>
      <c r="D703" s="896">
        <v>300000000</v>
      </c>
      <c r="E703" s="2185">
        <f t="shared" si="28"/>
        <v>0.26286079747339602</v>
      </c>
      <c r="F703" s="1963"/>
      <c r="G703" s="246"/>
      <c r="H703" s="250"/>
      <c r="I703" s="252"/>
      <c r="J703" s="1119"/>
      <c r="K703" s="2189"/>
      <c r="L703" s="250"/>
      <c r="M703" s="1104"/>
      <c r="N703" s="1132"/>
    </row>
    <row r="704" spans="2:14" ht="18" hidden="1" customHeight="1" x14ac:dyDescent="0.25">
      <c r="B704" s="1904"/>
      <c r="C704" s="2473" t="s">
        <v>5565</v>
      </c>
      <c r="D704" s="896">
        <v>200000000</v>
      </c>
      <c r="E704" s="2185">
        <f t="shared" si="28"/>
        <v>0.17524053164893069</v>
      </c>
      <c r="F704" s="1963"/>
      <c r="G704" s="246"/>
      <c r="H704" s="250"/>
      <c r="I704" s="252"/>
      <c r="J704" s="1119"/>
      <c r="K704" s="2189"/>
      <c r="L704" s="250"/>
      <c r="M704" s="252"/>
      <c r="N704" s="1132"/>
    </row>
    <row r="705" spans="2:14" ht="17.25" hidden="1" customHeight="1" x14ac:dyDescent="0.25">
      <c r="B705" s="1904"/>
      <c r="C705" s="2473" t="s">
        <v>5566</v>
      </c>
      <c r="D705" s="896">
        <v>100000000</v>
      </c>
      <c r="E705" s="2185">
        <f t="shared" si="28"/>
        <v>8.7620265824465346E-2</v>
      </c>
      <c r="F705" s="1963"/>
      <c r="G705" s="246"/>
      <c r="H705" s="250"/>
      <c r="I705" s="252"/>
      <c r="J705" s="1119"/>
      <c r="K705" s="2189"/>
      <c r="L705" s="250"/>
      <c r="M705" s="1104"/>
      <c r="N705" s="1132"/>
    </row>
    <row r="706" spans="2:14" ht="18" hidden="1" customHeight="1" x14ac:dyDescent="0.25">
      <c r="B706" s="1904"/>
      <c r="C706" s="2473" t="s">
        <v>5567</v>
      </c>
      <c r="D706" s="896">
        <v>100000000</v>
      </c>
      <c r="E706" s="2185">
        <f t="shared" si="28"/>
        <v>8.7620265824465346E-2</v>
      </c>
      <c r="F706" s="1963"/>
      <c r="G706" s="246"/>
      <c r="H706" s="250"/>
      <c r="I706" s="252"/>
      <c r="J706" s="1119"/>
      <c r="K706" s="2189"/>
      <c r="L706" s="250"/>
      <c r="M706" s="252"/>
      <c r="N706" s="1132"/>
    </row>
    <row r="707" spans="2:14" ht="18.75" hidden="1" customHeight="1" x14ac:dyDescent="0.25">
      <c r="B707" s="1904"/>
      <c r="C707" s="2473" t="s">
        <v>5568</v>
      </c>
      <c r="D707" s="896">
        <v>150000000</v>
      </c>
      <c r="E707" s="2185">
        <f t="shared" si="28"/>
        <v>0.13143039873669801</v>
      </c>
      <c r="F707" s="1963"/>
      <c r="G707" s="201"/>
      <c r="H707" s="250"/>
      <c r="I707" s="252"/>
      <c r="J707" s="1119"/>
      <c r="K707" s="2189"/>
      <c r="L707" s="250"/>
      <c r="M707" s="252"/>
      <c r="N707" s="1132"/>
    </row>
    <row r="708" spans="2:14" ht="18" hidden="1" customHeight="1" x14ac:dyDescent="0.25">
      <c r="B708" s="1904"/>
      <c r="C708" s="2473" t="s">
        <v>5570</v>
      </c>
      <c r="D708" s="896">
        <v>2500000000</v>
      </c>
      <c r="E708" s="2185">
        <f t="shared" si="28"/>
        <v>2.1905066456116336</v>
      </c>
      <c r="F708" s="1963"/>
      <c r="G708" s="246"/>
      <c r="H708" s="250"/>
      <c r="I708" s="252"/>
      <c r="J708" s="1119"/>
      <c r="K708" s="2189"/>
      <c r="L708" s="250"/>
      <c r="M708" s="1104"/>
      <c r="N708" s="1132"/>
    </row>
    <row r="709" spans="2:14" ht="18" hidden="1" customHeight="1" x14ac:dyDescent="0.25">
      <c r="B709" s="1904"/>
      <c r="C709" s="2473" t="s">
        <v>5571</v>
      </c>
      <c r="D709" s="896">
        <v>1900000000</v>
      </c>
      <c r="E709" s="2185">
        <f t="shared" si="28"/>
        <v>1.6647850506648416</v>
      </c>
      <c r="F709" s="1963"/>
      <c r="G709" s="201"/>
      <c r="H709" s="250"/>
      <c r="I709" s="252"/>
      <c r="J709" s="1119"/>
      <c r="K709" s="2189"/>
      <c r="L709" s="250"/>
      <c r="M709" s="252"/>
      <c r="N709" s="1132"/>
    </row>
    <row r="710" spans="2:14" ht="16.5" hidden="1" customHeight="1" x14ac:dyDescent="0.25">
      <c r="B710" s="1904"/>
      <c r="C710" s="2473" t="s">
        <v>5569</v>
      </c>
      <c r="D710" s="896">
        <v>2200000000</v>
      </c>
      <c r="E710" s="2185">
        <f t="shared" si="28"/>
        <v>1.9276458481382375</v>
      </c>
      <c r="F710" s="1963"/>
      <c r="G710" s="246"/>
      <c r="H710" s="250"/>
      <c r="I710" s="252"/>
      <c r="J710" s="1119"/>
      <c r="K710" s="2189"/>
      <c r="L710" s="250"/>
      <c r="M710" s="252"/>
      <c r="N710" s="1132"/>
    </row>
    <row r="711" spans="2:14" ht="16.5" hidden="1" customHeight="1" x14ac:dyDescent="0.25">
      <c r="B711" s="1904"/>
      <c r="C711" s="2473" t="s">
        <v>5572</v>
      </c>
      <c r="D711" s="896">
        <v>200000000</v>
      </c>
      <c r="E711" s="2185">
        <f t="shared" si="28"/>
        <v>0.17524053164893069</v>
      </c>
      <c r="F711" s="1963"/>
      <c r="G711" s="201"/>
      <c r="H711" s="250"/>
      <c r="I711" s="252"/>
      <c r="J711" s="1119"/>
      <c r="K711" s="2189"/>
      <c r="L711" s="250"/>
      <c r="M711" s="252"/>
      <c r="N711" s="1132"/>
    </row>
    <row r="712" spans="2:14" ht="18.75" hidden="1" customHeight="1" x14ac:dyDescent="0.25">
      <c r="B712" s="1904"/>
      <c r="C712" s="2473" t="s">
        <v>5573</v>
      </c>
      <c r="D712" s="896">
        <v>150000000</v>
      </c>
      <c r="E712" s="2185">
        <f t="shared" si="28"/>
        <v>0.13143039873669801</v>
      </c>
      <c r="F712" s="1963"/>
      <c r="G712" s="246"/>
      <c r="H712" s="250"/>
      <c r="I712" s="252"/>
      <c r="J712" s="1119"/>
      <c r="K712" s="2189"/>
      <c r="L712" s="250"/>
      <c r="M712" s="1104"/>
      <c r="N712" s="1132"/>
    </row>
    <row r="713" spans="2:14" ht="18.75" hidden="1" customHeight="1" x14ac:dyDescent="0.25">
      <c r="B713" s="1904"/>
      <c r="C713" s="2473" t="s">
        <v>5574</v>
      </c>
      <c r="D713" s="896">
        <v>500000000</v>
      </c>
      <c r="E713" s="2185">
        <f t="shared" si="28"/>
        <v>0.43810132912232674</v>
      </c>
      <c r="F713" s="1963"/>
      <c r="G713" s="246"/>
      <c r="H713" s="250"/>
      <c r="I713" s="252"/>
      <c r="J713" s="1119"/>
      <c r="K713" s="2189"/>
      <c r="L713" s="250"/>
      <c r="M713" s="252"/>
      <c r="N713" s="1132"/>
    </row>
    <row r="714" spans="2:14" ht="16.5" hidden="1" customHeight="1" x14ac:dyDescent="0.25">
      <c r="B714" s="1904"/>
      <c r="C714" s="2473" t="s">
        <v>5575</v>
      </c>
      <c r="D714" s="896">
        <v>600000000</v>
      </c>
      <c r="E714" s="2185">
        <f t="shared" si="28"/>
        <v>0.52572159494679205</v>
      </c>
      <c r="F714" s="1963"/>
      <c r="G714" s="246"/>
      <c r="H714" s="250"/>
      <c r="I714" s="252"/>
      <c r="J714" s="1119"/>
      <c r="K714" s="2189"/>
      <c r="L714" s="250"/>
      <c r="M714" s="252"/>
      <c r="N714" s="1132"/>
    </row>
    <row r="715" spans="2:14" ht="18" hidden="1" customHeight="1" x14ac:dyDescent="0.25">
      <c r="B715" s="1904"/>
      <c r="C715" s="2473" t="s">
        <v>5576</v>
      </c>
      <c r="D715" s="896">
        <v>500000000</v>
      </c>
      <c r="E715" s="2185">
        <f t="shared" si="28"/>
        <v>0.43810132912232674</v>
      </c>
      <c r="F715" s="1963"/>
      <c r="G715" s="246"/>
      <c r="H715" s="250"/>
      <c r="I715" s="252"/>
      <c r="J715" s="1119"/>
      <c r="K715" s="2189"/>
      <c r="L715" s="250"/>
      <c r="M715" s="252"/>
      <c r="N715" s="1132"/>
    </row>
    <row r="716" spans="2:14" ht="18" hidden="1" customHeight="1" x14ac:dyDescent="0.25">
      <c r="B716" s="1904"/>
      <c r="C716" s="2473" t="s">
        <v>5577</v>
      </c>
      <c r="D716" s="896">
        <v>6920000000</v>
      </c>
      <c r="E716" s="2185">
        <f t="shared" si="28"/>
        <v>6.0633223950530013</v>
      </c>
      <c r="F716" s="1963"/>
      <c r="G716" s="246"/>
      <c r="H716" s="250"/>
      <c r="I716" s="252"/>
      <c r="J716" s="1119"/>
      <c r="K716" s="2189"/>
      <c r="L716" s="250"/>
      <c r="M716" s="252"/>
      <c r="N716" s="1132"/>
    </row>
    <row r="717" spans="2:14" ht="20.25" hidden="1" customHeight="1" x14ac:dyDescent="0.25">
      <c r="B717" s="1904"/>
      <c r="C717" s="2473" t="s">
        <v>5578</v>
      </c>
      <c r="D717" s="896">
        <v>200000000</v>
      </c>
      <c r="E717" s="2185">
        <f t="shared" si="28"/>
        <v>0.17524053164893069</v>
      </c>
      <c r="F717" s="1963"/>
      <c r="G717" s="246"/>
      <c r="H717" s="250"/>
      <c r="I717" s="252"/>
      <c r="J717" s="1119"/>
      <c r="K717" s="2189"/>
      <c r="L717" s="250"/>
      <c r="M717" s="252"/>
      <c r="N717" s="1132"/>
    </row>
    <row r="718" spans="2:14" ht="17.25" hidden="1" customHeight="1" x14ac:dyDescent="0.25">
      <c r="B718" s="1904"/>
      <c r="C718" s="2473" t="s">
        <v>5579</v>
      </c>
      <c r="D718" s="896">
        <v>652221000</v>
      </c>
      <c r="E718" s="2185">
        <f t="shared" si="28"/>
        <v>0.57147777396298616</v>
      </c>
      <c r="F718" s="1963"/>
      <c r="G718" s="246"/>
      <c r="H718" s="250"/>
      <c r="I718" s="252"/>
      <c r="J718" s="1119"/>
      <c r="K718" s="2189"/>
      <c r="L718" s="250"/>
      <c r="M718" s="252"/>
      <c r="N718" s="1132"/>
    </row>
    <row r="719" spans="2:14" ht="10.5" hidden="1" customHeight="1" x14ac:dyDescent="0.25">
      <c r="B719" s="1904"/>
      <c r="C719" s="2473"/>
      <c r="D719" s="898"/>
      <c r="E719" s="2185"/>
      <c r="F719" s="1963"/>
      <c r="G719" s="201"/>
      <c r="H719" s="250"/>
      <c r="I719" s="252"/>
      <c r="J719" s="1119"/>
      <c r="K719" s="2189"/>
      <c r="L719" s="250"/>
      <c r="M719" s="252"/>
      <c r="N719" s="1132"/>
    </row>
    <row r="720" spans="2:14" ht="21.75" hidden="1" customHeight="1" x14ac:dyDescent="0.25">
      <c r="B720" s="1904"/>
      <c r="C720" s="2491" t="s">
        <v>5580</v>
      </c>
      <c r="D720" s="2692">
        <f>SUM(D721:D728)</f>
        <v>700000000</v>
      </c>
      <c r="E720" s="2174">
        <f t="shared" si="28"/>
        <v>0.61334186077125741</v>
      </c>
      <c r="F720" s="1963"/>
      <c r="G720" s="246"/>
      <c r="H720" s="250"/>
      <c r="I720" s="252"/>
      <c r="J720" s="1119"/>
      <c r="K720" s="2189"/>
      <c r="L720" s="250"/>
      <c r="M720" s="250"/>
      <c r="N720" s="1132"/>
    </row>
    <row r="721" spans="2:14" ht="19.5" hidden="1" customHeight="1" x14ac:dyDescent="0.25">
      <c r="B721" s="1904"/>
      <c r="C721" s="2473" t="s">
        <v>5581</v>
      </c>
      <c r="D721" s="896">
        <v>50000000</v>
      </c>
      <c r="E721" s="2185">
        <f t="shared" si="28"/>
        <v>4.3810132912232673E-2</v>
      </c>
      <c r="F721" s="1963"/>
      <c r="G721" s="201"/>
      <c r="H721" s="250"/>
      <c r="I721" s="252"/>
      <c r="J721" s="1119"/>
      <c r="K721" s="2189"/>
      <c r="L721" s="250"/>
      <c r="M721" s="250"/>
      <c r="N721" s="1132"/>
    </row>
    <row r="722" spans="2:14" ht="16.5" hidden="1" customHeight="1" x14ac:dyDescent="0.25">
      <c r="B722" s="1904"/>
      <c r="C722" s="2473" t="s">
        <v>5582</v>
      </c>
      <c r="D722" s="896">
        <v>63682500</v>
      </c>
      <c r="E722" s="2185">
        <f t="shared" si="28"/>
        <v>5.5798775783665142E-2</v>
      </c>
      <c r="F722" s="1963"/>
      <c r="G722" s="246"/>
      <c r="H722" s="250"/>
      <c r="I722" s="252"/>
      <c r="J722" s="1119"/>
      <c r="K722" s="2189"/>
      <c r="L722" s="250"/>
      <c r="M722" s="250"/>
      <c r="N722" s="1132"/>
    </row>
    <row r="723" spans="2:14" ht="18.75" hidden="1" customHeight="1" x14ac:dyDescent="0.25">
      <c r="B723" s="1904"/>
      <c r="C723" s="2473" t="s">
        <v>5583</v>
      </c>
      <c r="D723" s="896">
        <v>63597500</v>
      </c>
      <c r="E723" s="2185">
        <f t="shared" si="28"/>
        <v>5.5724298557714345E-2</v>
      </c>
      <c r="F723" s="1963"/>
      <c r="G723" s="246"/>
      <c r="H723" s="250"/>
      <c r="I723" s="252"/>
      <c r="J723" s="1119"/>
      <c r="K723" s="2189"/>
      <c r="L723" s="250"/>
      <c r="M723" s="250"/>
      <c r="N723" s="1132"/>
    </row>
    <row r="724" spans="2:14" ht="15.75" hidden="1" customHeight="1" x14ac:dyDescent="0.25">
      <c r="B724" s="1904"/>
      <c r="C724" s="2473" t="s">
        <v>5584</v>
      </c>
      <c r="D724" s="896">
        <v>72720000</v>
      </c>
      <c r="E724" s="2185">
        <f t="shared" si="28"/>
        <v>6.3717457307551198E-2</v>
      </c>
      <c r="F724" s="1963"/>
      <c r="G724" s="246"/>
      <c r="H724" s="250"/>
      <c r="I724" s="252"/>
      <c r="J724" s="1119"/>
      <c r="K724" s="2189"/>
      <c r="L724" s="250"/>
      <c r="M724" s="250"/>
      <c r="N724" s="1132"/>
    </row>
    <row r="725" spans="2:14" ht="17.25" hidden="1" customHeight="1" x14ac:dyDescent="0.25">
      <c r="B725" s="1904"/>
      <c r="C725" s="2473" t="s">
        <v>5585</v>
      </c>
      <c r="D725" s="896">
        <v>150000000</v>
      </c>
      <c r="E725" s="2185">
        <f t="shared" si="28"/>
        <v>0.13143039873669801</v>
      </c>
      <c r="F725" s="1963"/>
      <c r="G725" s="201"/>
      <c r="H725" s="250"/>
      <c r="I725" s="252"/>
      <c r="J725" s="1119"/>
      <c r="K725" s="2189"/>
      <c r="L725" s="250"/>
      <c r="M725" s="250"/>
      <c r="N725" s="1132"/>
    </row>
    <row r="726" spans="2:14" ht="19.5" hidden="1" customHeight="1" x14ac:dyDescent="0.25">
      <c r="B726" s="1904"/>
      <c r="C726" s="2473" t="s">
        <v>5586</v>
      </c>
      <c r="D726" s="896">
        <v>60000000</v>
      </c>
      <c r="E726" s="2185">
        <f t="shared" si="28"/>
        <v>5.2572159494679208E-2</v>
      </c>
      <c r="F726" s="1963"/>
      <c r="G726" s="246"/>
      <c r="H726" s="250"/>
      <c r="I726" s="252"/>
      <c r="J726" s="1119"/>
      <c r="K726" s="2190"/>
      <c r="L726" s="250"/>
      <c r="M726" s="250"/>
      <c r="N726" s="1132"/>
    </row>
    <row r="727" spans="2:14" ht="18" hidden="1" customHeight="1" x14ac:dyDescent="0.25">
      <c r="B727" s="1904"/>
      <c r="C727" s="2473" t="s">
        <v>5587</v>
      </c>
      <c r="D727" s="896">
        <v>120000000</v>
      </c>
      <c r="E727" s="2185">
        <f t="shared" si="28"/>
        <v>0.10514431898935842</v>
      </c>
      <c r="F727" s="1963"/>
      <c r="G727" s="246"/>
      <c r="H727" s="250"/>
      <c r="I727" s="252"/>
      <c r="J727" s="1119"/>
      <c r="K727" s="2189"/>
      <c r="L727" s="250"/>
      <c r="M727" s="250"/>
      <c r="N727" s="1132"/>
    </row>
    <row r="728" spans="2:14" ht="18" hidden="1" customHeight="1" x14ac:dyDescent="0.25">
      <c r="B728" s="1904"/>
      <c r="C728" s="2473" t="s">
        <v>5588</v>
      </c>
      <c r="D728" s="896">
        <v>120000000</v>
      </c>
      <c r="E728" s="2185">
        <f t="shared" si="28"/>
        <v>0.10514431898935842</v>
      </c>
      <c r="F728" s="1963"/>
      <c r="G728" s="246"/>
      <c r="H728" s="250"/>
      <c r="I728" s="252"/>
      <c r="J728" s="1119"/>
      <c r="K728" s="2189"/>
      <c r="L728" s="250"/>
      <c r="M728" s="250"/>
      <c r="N728" s="1132"/>
    </row>
    <row r="729" spans="2:14" ht="12.75" hidden="1" customHeight="1" x14ac:dyDescent="0.25">
      <c r="B729" s="1904"/>
      <c r="C729" s="2473"/>
      <c r="D729" s="896"/>
      <c r="E729" s="2185"/>
      <c r="F729" s="1963"/>
      <c r="G729" s="246"/>
      <c r="H729" s="250"/>
      <c r="I729" s="252"/>
      <c r="J729" s="1119"/>
      <c r="K729" s="2189"/>
      <c r="L729" s="250"/>
      <c r="M729" s="250"/>
      <c r="N729" s="1132"/>
    </row>
    <row r="730" spans="2:14" ht="20.25" hidden="1" customHeight="1" x14ac:dyDescent="0.25">
      <c r="B730" s="1904"/>
      <c r="C730" s="2609" t="s">
        <v>5589</v>
      </c>
      <c r="D730" s="2692">
        <f>SUM(D731:D734)</f>
        <v>982000000</v>
      </c>
      <c r="E730" s="2174">
        <f t="shared" si="28"/>
        <v>0.8604310103962497</v>
      </c>
      <c r="F730" s="1963"/>
      <c r="G730" s="201"/>
      <c r="H730" s="250"/>
      <c r="I730" s="252"/>
      <c r="J730" s="1119"/>
      <c r="K730" s="2189"/>
      <c r="L730" s="250"/>
      <c r="M730" s="252"/>
      <c r="N730" s="1132"/>
    </row>
    <row r="731" spans="2:14" ht="21" hidden="1" customHeight="1" x14ac:dyDescent="0.25">
      <c r="B731" s="1904"/>
      <c r="C731" s="2473" t="s">
        <v>5590</v>
      </c>
      <c r="D731" s="896">
        <v>78000000</v>
      </c>
      <c r="E731" s="2185">
        <f t="shared" si="28"/>
        <v>6.8343807343082957E-2</v>
      </c>
      <c r="F731" s="1963"/>
      <c r="G731" s="201"/>
      <c r="H731" s="250"/>
      <c r="I731" s="252"/>
      <c r="J731" s="1119"/>
      <c r="K731" s="2189"/>
      <c r="L731" s="250"/>
      <c r="M731" s="252"/>
      <c r="N731" s="1132"/>
    </row>
    <row r="732" spans="2:14" ht="16.5" hidden="1" customHeight="1" x14ac:dyDescent="0.25">
      <c r="B732" s="1904"/>
      <c r="C732" s="2473" t="s">
        <v>5591</v>
      </c>
      <c r="D732" s="896">
        <v>500000000</v>
      </c>
      <c r="E732" s="2185">
        <f t="shared" si="28"/>
        <v>0.43810132912232674</v>
      </c>
      <c r="F732" s="1963"/>
      <c r="G732" s="344"/>
      <c r="H732" s="252"/>
      <c r="I732" s="252"/>
      <c r="J732" s="1119"/>
      <c r="K732" s="2189"/>
      <c r="L732" s="250"/>
      <c r="M732" s="252"/>
      <c r="N732" s="1132"/>
    </row>
    <row r="733" spans="2:14" ht="18" hidden="1" customHeight="1" x14ac:dyDescent="0.25">
      <c r="B733" s="1904"/>
      <c r="C733" s="2473" t="s">
        <v>5592</v>
      </c>
      <c r="D733" s="896">
        <v>100000000</v>
      </c>
      <c r="E733" s="2185">
        <f t="shared" si="28"/>
        <v>8.7620265824465346E-2</v>
      </c>
      <c r="F733" s="2153"/>
      <c r="G733" s="2153"/>
      <c r="H733" s="249"/>
      <c r="I733" s="267"/>
      <c r="J733" s="1051"/>
      <c r="K733" s="2153"/>
      <c r="L733" s="249"/>
      <c r="M733" s="267"/>
      <c r="N733" s="1132"/>
    </row>
    <row r="734" spans="2:14" ht="17.25" hidden="1" customHeight="1" x14ac:dyDescent="0.25">
      <c r="B734" s="1904"/>
      <c r="C734" s="2473" t="s">
        <v>5593</v>
      </c>
      <c r="D734" s="896">
        <v>304000000</v>
      </c>
      <c r="E734" s="2185">
        <f t="shared" si="28"/>
        <v>0.26636560810637466</v>
      </c>
      <c r="F734" s="1963"/>
      <c r="G734" s="201"/>
      <c r="H734" s="250"/>
      <c r="I734" s="252"/>
      <c r="J734" s="1119"/>
      <c r="K734" s="1963"/>
      <c r="L734" s="250"/>
      <c r="M734" s="252"/>
      <c r="N734" s="1132"/>
    </row>
    <row r="735" spans="2:14" ht="12.75" hidden="1" customHeight="1" x14ac:dyDescent="0.25">
      <c r="B735" s="1904"/>
      <c r="C735" s="2473"/>
      <c r="D735" s="896"/>
      <c r="E735" s="2185"/>
      <c r="F735" s="1963"/>
      <c r="G735" s="201"/>
      <c r="H735" s="250"/>
      <c r="I735" s="252"/>
      <c r="J735" s="1119"/>
      <c r="K735" s="1963"/>
      <c r="L735" s="250"/>
      <c r="M735" s="252"/>
      <c r="N735" s="1132"/>
    </row>
    <row r="736" spans="2:14" ht="20.25" hidden="1" customHeight="1" x14ac:dyDescent="0.25">
      <c r="B736" s="1904"/>
      <c r="C736" s="2491" t="s">
        <v>5594</v>
      </c>
      <c r="D736" s="2692">
        <f>SUM(D737:D744)</f>
        <v>5543479000</v>
      </c>
      <c r="E736" s="2174">
        <f t="shared" si="28"/>
        <v>4.8572110357234131</v>
      </c>
      <c r="F736" s="1963"/>
      <c r="G736" s="201"/>
      <c r="H736" s="250"/>
      <c r="I736" s="252"/>
      <c r="J736" s="1119"/>
      <c r="K736" s="1963"/>
      <c r="L736" s="250"/>
      <c r="M736" s="252"/>
      <c r="N736" s="1132"/>
    </row>
    <row r="737" spans="2:14" ht="19.5" hidden="1" customHeight="1" x14ac:dyDescent="0.25">
      <c r="B737" s="1904"/>
      <c r="C737" s="2473" t="s">
        <v>5595</v>
      </c>
      <c r="D737" s="896">
        <v>3600000000</v>
      </c>
      <c r="E737" s="2185">
        <f t="shared" si="28"/>
        <v>3.154329569680753</v>
      </c>
      <c r="F737" s="1963"/>
      <c r="G737" s="246"/>
      <c r="H737" s="250"/>
      <c r="I737" s="252"/>
      <c r="J737" s="1119"/>
      <c r="K737" s="1963"/>
      <c r="L737" s="250"/>
      <c r="M737" s="252"/>
      <c r="N737" s="1132"/>
    </row>
    <row r="738" spans="2:14" ht="32.25" hidden="1" customHeight="1" x14ac:dyDescent="0.25">
      <c r="B738" s="1904"/>
      <c r="C738" s="2473" t="s">
        <v>5596</v>
      </c>
      <c r="D738" s="896">
        <v>170000000</v>
      </c>
      <c r="E738" s="2185">
        <f t="shared" si="28"/>
        <v>0.1489544519015911</v>
      </c>
      <c r="F738" s="1963"/>
      <c r="G738" s="201"/>
      <c r="H738" s="250"/>
      <c r="I738" s="252"/>
      <c r="J738" s="1119"/>
      <c r="K738" s="1963"/>
      <c r="L738" s="250"/>
      <c r="M738" s="252"/>
      <c r="N738" s="1132"/>
    </row>
    <row r="739" spans="2:14" ht="18.75" hidden="1" customHeight="1" x14ac:dyDescent="0.25">
      <c r="B739" s="1904"/>
      <c r="C739" s="2473" t="s">
        <v>5597</v>
      </c>
      <c r="D739" s="896">
        <v>588380250</v>
      </c>
      <c r="E739" s="2185">
        <f t="shared" si="28"/>
        <v>0.51554033910865371</v>
      </c>
      <c r="F739" s="1987"/>
      <c r="G739" s="344"/>
      <c r="H739" s="252"/>
      <c r="I739" s="252"/>
      <c r="J739" s="1986"/>
      <c r="K739" s="1963"/>
      <c r="L739" s="250"/>
      <c r="M739" s="252"/>
      <c r="N739" s="1132"/>
    </row>
    <row r="740" spans="2:14" ht="16.5" hidden="1" customHeight="1" x14ac:dyDescent="0.25">
      <c r="B740" s="1904"/>
      <c r="C740" s="2473" t="s">
        <v>5598</v>
      </c>
      <c r="D740" s="896">
        <v>200000000</v>
      </c>
      <c r="E740" s="2185">
        <f t="shared" si="28"/>
        <v>0.17524053164893069</v>
      </c>
      <c r="F740" s="2153"/>
      <c r="G740" s="2153"/>
      <c r="H740" s="249"/>
      <c r="I740" s="267"/>
      <c r="J740" s="1051"/>
      <c r="K740" s="2153"/>
      <c r="L740" s="249"/>
      <c r="M740" s="267"/>
      <c r="N740" s="1132"/>
    </row>
    <row r="741" spans="2:14" ht="18" hidden="1" customHeight="1" x14ac:dyDescent="0.25">
      <c r="B741" s="1904"/>
      <c r="C741" s="2473" t="s">
        <v>5599</v>
      </c>
      <c r="D741" s="896">
        <v>285098750</v>
      </c>
      <c r="E741" s="2185">
        <f t="shared" si="28"/>
        <v>0.2498042826122279</v>
      </c>
      <c r="F741" s="1963"/>
      <c r="G741" s="246"/>
      <c r="H741" s="250"/>
      <c r="I741" s="252"/>
      <c r="J741" s="1119"/>
      <c r="K741" s="1963"/>
      <c r="L741" s="250"/>
      <c r="M741" s="252"/>
      <c r="N741" s="1132"/>
    </row>
    <row r="742" spans="2:14" ht="18.75" hidden="1" customHeight="1" x14ac:dyDescent="0.25">
      <c r="B742" s="1904"/>
      <c r="C742" s="2473" t="s">
        <v>5600</v>
      </c>
      <c r="D742" s="896">
        <v>200000000</v>
      </c>
      <c r="E742" s="2185">
        <f t="shared" si="28"/>
        <v>0.17524053164893069</v>
      </c>
      <c r="F742" s="1963"/>
      <c r="G742" s="246"/>
      <c r="H742" s="250"/>
      <c r="I742" s="252"/>
      <c r="J742" s="1119"/>
      <c r="K742" s="1963"/>
      <c r="L742" s="250"/>
      <c r="M742" s="252"/>
      <c r="N742" s="1132"/>
    </row>
    <row r="743" spans="2:14" ht="19.5" hidden="1" customHeight="1" x14ac:dyDescent="0.25">
      <c r="B743" s="1904"/>
      <c r="C743" s="2473" t="s">
        <v>5601</v>
      </c>
      <c r="D743" s="896">
        <v>200000000</v>
      </c>
      <c r="E743" s="2185">
        <f t="shared" si="28"/>
        <v>0.17524053164893069</v>
      </c>
      <c r="F743" s="1963"/>
      <c r="G743" s="246"/>
      <c r="H743" s="250"/>
      <c r="I743" s="252"/>
      <c r="J743" s="1119"/>
      <c r="K743" s="1963"/>
      <c r="L743" s="250"/>
      <c r="M743" s="252"/>
      <c r="N743" s="1132"/>
    </row>
    <row r="744" spans="2:14" ht="19.5" hidden="1" customHeight="1" x14ac:dyDescent="0.25">
      <c r="B744" s="1904"/>
      <c r="C744" s="2473" t="s">
        <v>5602</v>
      </c>
      <c r="D744" s="896">
        <v>300000000</v>
      </c>
      <c r="E744" s="2185">
        <f t="shared" si="28"/>
        <v>0.26286079747339602</v>
      </c>
      <c r="F744" s="1963"/>
      <c r="G744" s="201"/>
      <c r="H744" s="250"/>
      <c r="I744" s="73"/>
      <c r="J744" s="1119"/>
      <c r="K744" s="1963"/>
      <c r="L744" s="250"/>
      <c r="M744" s="252"/>
      <c r="N744" s="1132"/>
    </row>
    <row r="745" spans="2:14" ht="13.5" hidden="1" customHeight="1" x14ac:dyDescent="0.25">
      <c r="B745" s="1024"/>
      <c r="C745" s="64"/>
      <c r="D745" s="2192"/>
      <c r="E745" s="2163"/>
      <c r="F745" s="2164"/>
      <c r="G745" s="2086"/>
      <c r="H745" s="1464"/>
      <c r="I745" s="994"/>
      <c r="J745" s="2166"/>
      <c r="K745" s="2199"/>
      <c r="L745" s="1464"/>
      <c r="M745" s="994"/>
      <c r="N745" s="1132"/>
    </row>
    <row r="746" spans="2:14" ht="21" hidden="1" customHeight="1" x14ac:dyDescent="0.25">
      <c r="B746" s="1029"/>
      <c r="C746" s="124" t="s">
        <v>2340</v>
      </c>
      <c r="D746" s="2196">
        <f>D750+D747</f>
        <v>7365000000</v>
      </c>
      <c r="E746" s="2165">
        <f t="shared" si="28"/>
        <v>6.453232577971872</v>
      </c>
      <c r="F746" s="2168"/>
      <c r="G746" s="2169"/>
      <c r="H746" s="2197"/>
      <c r="I746" s="993"/>
      <c r="J746" s="2171"/>
      <c r="K746" s="2198"/>
      <c r="L746" s="2197"/>
      <c r="M746" s="993"/>
      <c r="N746" s="1132"/>
    </row>
    <row r="747" spans="2:14" ht="21" hidden="1" customHeight="1" x14ac:dyDescent="0.25">
      <c r="B747" s="1024"/>
      <c r="C747" s="2474" t="s">
        <v>5672</v>
      </c>
      <c r="D747" s="899">
        <f>D748</f>
        <v>2365000000</v>
      </c>
      <c r="E747" s="2174">
        <f t="shared" si="28"/>
        <v>2.0722192867486058</v>
      </c>
      <c r="F747" s="2164"/>
      <c r="G747" s="2086"/>
      <c r="H747" s="1464"/>
      <c r="I747" s="994"/>
      <c r="J747" s="2166"/>
      <c r="K747" s="2199"/>
      <c r="L747" s="1464"/>
      <c r="M747" s="994"/>
      <c r="N747" s="1132"/>
    </row>
    <row r="748" spans="2:14" ht="21" hidden="1" customHeight="1" x14ac:dyDescent="0.25">
      <c r="B748" s="1024"/>
      <c r="C748" s="2473" t="s">
        <v>5673</v>
      </c>
      <c r="D748" s="896">
        <v>2365000000</v>
      </c>
      <c r="E748" s="2185">
        <f t="shared" si="28"/>
        <v>2.0722192867486058</v>
      </c>
      <c r="F748" s="1963"/>
      <c r="G748" s="246"/>
      <c r="H748" s="250"/>
      <c r="I748" s="252"/>
      <c r="J748" s="1119"/>
      <c r="K748" s="2191"/>
      <c r="L748" s="250"/>
      <c r="M748" s="252"/>
      <c r="N748" s="1132"/>
    </row>
    <row r="749" spans="2:14" ht="12" hidden="1" customHeight="1" x14ac:dyDescent="0.25">
      <c r="B749" s="1024"/>
      <c r="C749" s="1473"/>
      <c r="D749" s="4764"/>
      <c r="E749" s="4765"/>
      <c r="F749" s="1963"/>
      <c r="G749" s="246"/>
      <c r="H749" s="250"/>
      <c r="I749" s="252"/>
      <c r="J749" s="1119"/>
      <c r="K749" s="2191"/>
      <c r="L749" s="250"/>
      <c r="M749" s="252"/>
      <c r="N749" s="1132"/>
    </row>
    <row r="750" spans="2:14" ht="21" hidden="1" customHeight="1" x14ac:dyDescent="0.25">
      <c r="B750" s="1024"/>
      <c r="C750" s="115" t="s">
        <v>5676</v>
      </c>
      <c r="D750" s="92">
        <v>5000000000</v>
      </c>
      <c r="E750" s="2174">
        <f t="shared" si="28"/>
        <v>4.3810132912232671</v>
      </c>
      <c r="F750" s="1963"/>
      <c r="G750" s="246"/>
      <c r="H750" s="250"/>
      <c r="I750" s="252"/>
      <c r="J750" s="1119"/>
      <c r="K750" s="2191"/>
      <c r="L750" s="250"/>
      <c r="M750" s="252"/>
      <c r="N750" s="1132"/>
    </row>
    <row r="751" spans="2:14" ht="21" hidden="1" customHeight="1" x14ac:dyDescent="0.25">
      <c r="B751" s="489"/>
      <c r="C751" s="385" t="s">
        <v>5677</v>
      </c>
      <c r="D751" s="71">
        <v>5000000000</v>
      </c>
      <c r="E751" s="2185">
        <f t="shared" si="28"/>
        <v>4.3810132912232671</v>
      </c>
      <c r="F751" s="1975"/>
      <c r="G751" s="2193"/>
      <c r="H751" s="2194"/>
      <c r="I751" s="251"/>
      <c r="J751" s="1495"/>
      <c r="K751" s="2195"/>
      <c r="L751" s="2194"/>
      <c r="M751" s="251"/>
      <c r="N751" s="1132"/>
    </row>
    <row r="752" spans="2:14" ht="12" hidden="1" customHeight="1" x14ac:dyDescent="0.25">
      <c r="B752" s="489"/>
      <c r="C752" s="66"/>
      <c r="D752" s="4236"/>
      <c r="E752" s="2173"/>
      <c r="F752" s="1975"/>
      <c r="G752" s="133"/>
      <c r="H752" s="199"/>
      <c r="I752" s="133"/>
      <c r="J752" s="935"/>
      <c r="K752" s="2195"/>
      <c r="L752" s="2194"/>
      <c r="M752" s="251"/>
      <c r="N752" s="1132"/>
    </row>
    <row r="753" spans="2:17" ht="33.75" hidden="1" customHeight="1" x14ac:dyDescent="0.25">
      <c r="B753" s="1029"/>
      <c r="C753" s="208" t="s">
        <v>5724</v>
      </c>
      <c r="D753" s="94">
        <f>D754</f>
        <v>250000000</v>
      </c>
      <c r="E753" s="2165">
        <f t="shared" si="28"/>
        <v>0.21905066456116337</v>
      </c>
      <c r="F753" s="2168"/>
      <c r="G753" s="677"/>
      <c r="H753" s="987"/>
      <c r="I753" s="677"/>
      <c r="J753" s="2201"/>
      <c r="K753" s="2198"/>
      <c r="L753" s="2197"/>
      <c r="M753" s="993"/>
      <c r="N753" s="1132"/>
    </row>
    <row r="754" spans="2:17" ht="20.25" hidden="1" customHeight="1" x14ac:dyDescent="0.25">
      <c r="B754" s="1024"/>
      <c r="C754" s="2474" t="s">
        <v>5729</v>
      </c>
      <c r="D754" s="899">
        <f>D755</f>
        <v>250000000</v>
      </c>
      <c r="E754" s="4724">
        <f t="shared" si="28"/>
        <v>0.21905066456116337</v>
      </c>
      <c r="F754" s="2164"/>
      <c r="G754" s="239"/>
      <c r="H754" s="215"/>
      <c r="I754" s="239"/>
      <c r="J754" s="933"/>
      <c r="K754" s="2199"/>
      <c r="L754" s="1464"/>
      <c r="M754" s="994"/>
      <c r="N754" s="1132"/>
    </row>
    <row r="755" spans="2:17" ht="19.5" hidden="1" customHeight="1" x14ac:dyDescent="0.25">
      <c r="B755" s="1024"/>
      <c r="C755" s="2473" t="s">
        <v>5730</v>
      </c>
      <c r="D755" s="896">
        <v>250000000</v>
      </c>
      <c r="E755" s="2185">
        <f t="shared" si="28"/>
        <v>0.21905066456116337</v>
      </c>
      <c r="F755" s="1963"/>
      <c r="G755" s="140"/>
      <c r="H755" s="197"/>
      <c r="I755" s="140"/>
      <c r="J755" s="900"/>
      <c r="K755" s="2191"/>
      <c r="L755" s="250"/>
      <c r="M755" s="252"/>
      <c r="N755" s="1132"/>
    </row>
    <row r="756" spans="2:17" ht="12" hidden="1" customHeight="1" x14ac:dyDescent="0.25">
      <c r="B756" s="1024"/>
      <c r="C756" s="64"/>
      <c r="D756" s="4237"/>
      <c r="E756" s="2163"/>
      <c r="F756" s="2164"/>
      <c r="G756" s="239"/>
      <c r="H756" s="215"/>
      <c r="I756" s="239"/>
      <c r="J756" s="933"/>
      <c r="K756" s="2199"/>
      <c r="L756" s="1464"/>
      <c r="M756" s="994"/>
      <c r="N756" s="1132"/>
    </row>
    <row r="757" spans="2:17" ht="20.25" hidden="1" customHeight="1" x14ac:dyDescent="0.25">
      <c r="B757" s="1029"/>
      <c r="C757" s="208" t="s">
        <v>5735</v>
      </c>
      <c r="D757" s="179">
        <f>SUM(D758+D762)</f>
        <v>650000000</v>
      </c>
      <c r="E757" s="2165">
        <f t="shared" si="28"/>
        <v>0.56953172785902473</v>
      </c>
      <c r="F757" s="2168"/>
      <c r="G757" s="677"/>
      <c r="H757" s="987"/>
      <c r="I757" s="677"/>
      <c r="J757" s="2201"/>
      <c r="K757" s="2198"/>
      <c r="L757" s="2197"/>
      <c r="M757" s="993"/>
      <c r="N757" s="1132"/>
    </row>
    <row r="758" spans="2:17" ht="18.75" hidden="1" customHeight="1" x14ac:dyDescent="0.25">
      <c r="B758" s="1024"/>
      <c r="C758" s="2525" t="s">
        <v>5736</v>
      </c>
      <c r="D758" s="899">
        <f>D759+D760</f>
        <v>150000000</v>
      </c>
      <c r="E758" s="4724">
        <f t="shared" si="28"/>
        <v>0.13143039873669801</v>
      </c>
      <c r="F758" s="2164"/>
      <c r="G758" s="239"/>
      <c r="H758" s="215"/>
      <c r="I758" s="239"/>
      <c r="J758" s="933"/>
      <c r="K758" s="2199"/>
      <c r="L758" s="1464"/>
      <c r="M758" s="994"/>
      <c r="N758" s="1132"/>
    </row>
    <row r="759" spans="2:17" ht="20.25" hidden="1" customHeight="1" x14ac:dyDescent="0.25">
      <c r="B759" s="1024"/>
      <c r="C759" s="2473" t="s">
        <v>5737</v>
      </c>
      <c r="D759" s="896">
        <v>150000000</v>
      </c>
      <c r="E759" s="2185">
        <f t="shared" si="28"/>
        <v>0.13143039873669801</v>
      </c>
      <c r="F759" s="1963"/>
      <c r="G759" s="140"/>
      <c r="H759" s="197"/>
      <c r="I759" s="140"/>
      <c r="J759" s="900"/>
      <c r="K759" s="2191"/>
      <c r="L759" s="250"/>
      <c r="M759" s="252"/>
      <c r="N759" s="1132"/>
    </row>
    <row r="760" spans="2:17" ht="20.25" hidden="1" customHeight="1" x14ac:dyDescent="0.25">
      <c r="B760" s="1024"/>
      <c r="C760" s="2473" t="s">
        <v>5738</v>
      </c>
      <c r="D760" s="896">
        <v>0</v>
      </c>
      <c r="E760" s="2185">
        <f t="shared" si="28"/>
        <v>0</v>
      </c>
      <c r="F760" s="1963"/>
      <c r="G760" s="140"/>
      <c r="H760" s="197"/>
      <c r="I760" s="140"/>
      <c r="J760" s="900"/>
      <c r="K760" s="2191"/>
      <c r="L760" s="250"/>
      <c r="M760" s="252"/>
      <c r="N760" s="1132"/>
    </row>
    <row r="761" spans="2:17" ht="13.5" hidden="1" customHeight="1" x14ac:dyDescent="0.25">
      <c r="B761" s="1024"/>
      <c r="C761" s="2473"/>
      <c r="D761" s="896"/>
      <c r="E761" s="2185"/>
      <c r="F761" s="1963"/>
      <c r="G761" s="140"/>
      <c r="H761" s="197"/>
      <c r="I761" s="140"/>
      <c r="J761" s="900"/>
      <c r="K761" s="2191"/>
      <c r="L761" s="250"/>
      <c r="M761" s="252"/>
      <c r="N761" s="1132"/>
    </row>
    <row r="762" spans="2:17" ht="20.25" hidden="1" customHeight="1" x14ac:dyDescent="0.25">
      <c r="B762" s="1024"/>
      <c r="C762" s="2474" t="s">
        <v>5739</v>
      </c>
      <c r="D762" s="899">
        <f>D763+D764</f>
        <v>500000000</v>
      </c>
      <c r="E762" s="2174">
        <f t="shared" ref="E762:E764" si="29">D762/114128848000*100</f>
        <v>0.43810132912232674</v>
      </c>
      <c r="F762" s="1963"/>
      <c r="G762" s="140"/>
      <c r="H762" s="197"/>
      <c r="I762" s="140"/>
      <c r="J762" s="900"/>
      <c r="K762" s="2191"/>
      <c r="L762" s="250"/>
      <c r="M762" s="252"/>
      <c r="N762" s="1132"/>
    </row>
    <row r="763" spans="2:17" ht="20.25" hidden="1" customHeight="1" x14ac:dyDescent="0.25">
      <c r="B763" s="1024"/>
      <c r="C763" s="2473" t="s">
        <v>5740</v>
      </c>
      <c r="D763" s="896">
        <v>225000000</v>
      </c>
      <c r="E763" s="2185">
        <f t="shared" si="29"/>
        <v>0.19714559810504706</v>
      </c>
      <c r="F763" s="1963"/>
      <c r="G763" s="140"/>
      <c r="H763" s="197"/>
      <c r="I763" s="140"/>
      <c r="J763" s="900"/>
      <c r="K763" s="2191"/>
      <c r="L763" s="250"/>
      <c r="M763" s="252"/>
      <c r="N763" s="1132"/>
    </row>
    <row r="764" spans="2:17" ht="20.25" hidden="1" customHeight="1" x14ac:dyDescent="0.25">
      <c r="B764" s="1024"/>
      <c r="C764" s="2473" t="s">
        <v>5741</v>
      </c>
      <c r="D764" s="896">
        <v>275000000</v>
      </c>
      <c r="E764" s="2185">
        <f t="shared" si="29"/>
        <v>0.24095573101727968</v>
      </c>
      <c r="F764" s="1963"/>
      <c r="G764" s="140"/>
      <c r="H764" s="197"/>
      <c r="I764" s="140"/>
      <c r="J764" s="900"/>
      <c r="K764" s="2191"/>
      <c r="L764" s="250"/>
      <c r="M764" s="252"/>
      <c r="N764" s="1132"/>
    </row>
    <row r="765" spans="2:17" ht="17.25" hidden="1" customHeight="1" x14ac:dyDescent="0.25">
      <c r="B765" s="1024"/>
      <c r="C765" s="2475"/>
      <c r="D765" s="2769"/>
      <c r="E765" s="2163"/>
      <c r="F765" s="2164"/>
      <c r="G765" s="239"/>
      <c r="H765" s="215"/>
      <c r="I765" s="239"/>
      <c r="J765" s="933"/>
      <c r="K765" s="2199"/>
      <c r="L765" s="1464"/>
      <c r="M765" s="994"/>
      <c r="N765" s="1132"/>
    </row>
    <row r="766" spans="2:17" s="32" customFormat="1" ht="20.25" hidden="1" customHeight="1" x14ac:dyDescent="0.25">
      <c r="B766" s="1029"/>
      <c r="C766" s="56" t="s">
        <v>5743</v>
      </c>
      <c r="D766" s="179">
        <f>D767</f>
        <v>250000000</v>
      </c>
      <c r="E766" s="2165">
        <f t="shared" ref="E766:E768" si="30">D766/114128848000*100</f>
        <v>0.21905066456116337</v>
      </c>
      <c r="F766" s="1988"/>
      <c r="G766" s="131"/>
      <c r="H766" s="179"/>
      <c r="I766" s="131"/>
      <c r="J766" s="932"/>
      <c r="K766" s="3760"/>
      <c r="L766" s="926"/>
      <c r="M766" s="254"/>
      <c r="N766" s="1903"/>
      <c r="P766" s="203"/>
      <c r="Q766" s="203"/>
    </row>
    <row r="767" spans="2:17" ht="20.25" hidden="1" customHeight="1" x14ac:dyDescent="0.25">
      <c r="B767" s="1024"/>
      <c r="C767" s="2474" t="s">
        <v>5748</v>
      </c>
      <c r="D767" s="899">
        <f>D768</f>
        <v>250000000</v>
      </c>
      <c r="E767" s="4724">
        <f t="shared" si="30"/>
        <v>0.21905066456116337</v>
      </c>
      <c r="F767" s="2164"/>
      <c r="G767" s="239"/>
      <c r="H767" s="215"/>
      <c r="I767" s="239"/>
      <c r="J767" s="933"/>
      <c r="K767" s="2199"/>
      <c r="L767" s="1464"/>
      <c r="M767" s="994"/>
      <c r="N767" s="1132"/>
    </row>
    <row r="768" spans="2:17" ht="20.25" hidden="1" customHeight="1" x14ac:dyDescent="0.25">
      <c r="B768" s="1024"/>
      <c r="C768" s="2473" t="s">
        <v>5749</v>
      </c>
      <c r="D768" s="896">
        <v>250000000</v>
      </c>
      <c r="E768" s="2185">
        <f t="shared" si="30"/>
        <v>0.21905066456116337</v>
      </c>
      <c r="F768" s="1963"/>
      <c r="G768" s="140"/>
      <c r="H768" s="197"/>
      <c r="I768" s="140"/>
      <c r="J768" s="900"/>
      <c r="K768" s="2191"/>
      <c r="L768" s="250"/>
      <c r="M768" s="252"/>
      <c r="N768" s="1132"/>
    </row>
    <row r="769" spans="2:17" ht="12" hidden="1" customHeight="1" x14ac:dyDescent="0.25">
      <c r="B769" s="1024"/>
      <c r="C769" s="64"/>
      <c r="D769" s="4237"/>
      <c r="E769" s="2163"/>
      <c r="F769" s="2164"/>
      <c r="G769" s="239"/>
      <c r="H769" s="215"/>
      <c r="I769" s="239"/>
      <c r="J769" s="933"/>
      <c r="K769" s="2199"/>
      <c r="L769" s="1464"/>
      <c r="M769" s="994"/>
      <c r="N769" s="1132"/>
    </row>
    <row r="770" spans="2:17" ht="19.5" hidden="1" customHeight="1" x14ac:dyDescent="0.25">
      <c r="B770" s="1029"/>
      <c r="C770" s="208" t="s">
        <v>5535</v>
      </c>
      <c r="D770" s="188">
        <f>D771+D774</f>
        <v>1200000000</v>
      </c>
      <c r="E770" s="2165">
        <f t="shared" ref="E770:E786" si="31">D770/114128848000*100</f>
        <v>1.0514431898935841</v>
      </c>
      <c r="F770" s="2168"/>
      <c r="G770" s="677"/>
      <c r="H770" s="987"/>
      <c r="I770" s="677"/>
      <c r="J770" s="2201"/>
      <c r="K770" s="2198"/>
      <c r="L770" s="2197"/>
      <c r="M770" s="993"/>
      <c r="N770" s="1132"/>
    </row>
    <row r="771" spans="2:17" s="32" customFormat="1" ht="24" hidden="1" customHeight="1" x14ac:dyDescent="0.25">
      <c r="B771" s="1024"/>
      <c r="C771" s="75" t="s">
        <v>5779</v>
      </c>
      <c r="D771" s="336">
        <f>D772</f>
        <v>650000000</v>
      </c>
      <c r="E771" s="4724">
        <f t="shared" si="31"/>
        <v>0.56953172785902473</v>
      </c>
      <c r="F771" s="1994"/>
      <c r="G771" s="233"/>
      <c r="H771" s="209"/>
      <c r="I771" s="233"/>
      <c r="J771" s="934"/>
      <c r="K771" s="3758"/>
      <c r="L771" s="3759"/>
      <c r="M771" s="384"/>
      <c r="N771" s="1903"/>
      <c r="P771" s="203"/>
      <c r="Q771" s="203"/>
    </row>
    <row r="772" spans="2:17" ht="28.5" hidden="1" customHeight="1" x14ac:dyDescent="0.25">
      <c r="B772" s="1024"/>
      <c r="C772" s="61" t="s">
        <v>5780</v>
      </c>
      <c r="D772" s="73">
        <v>650000000</v>
      </c>
      <c r="E772" s="2185">
        <f t="shared" si="31"/>
        <v>0.56953172785902473</v>
      </c>
      <c r="F772" s="1963"/>
      <c r="G772" s="140"/>
      <c r="H772" s="197"/>
      <c r="I772" s="140"/>
      <c r="J772" s="900"/>
      <c r="K772" s="2191"/>
      <c r="L772" s="250"/>
      <c r="M772" s="252"/>
      <c r="N772" s="1132"/>
    </row>
    <row r="773" spans="2:17" ht="12" hidden="1" customHeight="1" x14ac:dyDescent="0.25">
      <c r="B773" s="1024"/>
      <c r="C773" s="64"/>
      <c r="D773" s="4237"/>
      <c r="E773" s="2185"/>
      <c r="F773" s="2164"/>
      <c r="G773" s="239"/>
      <c r="H773" s="215"/>
      <c r="I773" s="239"/>
      <c r="J773" s="933"/>
      <c r="K773" s="2199"/>
      <c r="L773" s="1464"/>
      <c r="M773" s="994"/>
      <c r="N773" s="1132"/>
    </row>
    <row r="774" spans="2:17" ht="19.5" hidden="1" customHeight="1" x14ac:dyDescent="0.25">
      <c r="B774" s="1024"/>
      <c r="C774" s="63" t="s">
        <v>5781</v>
      </c>
      <c r="D774" s="405">
        <f>SUM(D775:D776)</f>
        <v>550000000</v>
      </c>
      <c r="E774" s="2174">
        <f t="shared" si="31"/>
        <v>0.48191146203455937</v>
      </c>
      <c r="F774" s="1963"/>
      <c r="G774" s="140"/>
      <c r="H774" s="197"/>
      <c r="I774" s="140"/>
      <c r="J774" s="900"/>
      <c r="K774" s="2191"/>
      <c r="L774" s="250"/>
      <c r="M774" s="252"/>
      <c r="N774" s="1132"/>
    </row>
    <row r="775" spans="2:17" ht="21" hidden="1" customHeight="1" x14ac:dyDescent="0.25">
      <c r="B775" s="1024"/>
      <c r="C775" s="2473" t="s">
        <v>5784</v>
      </c>
      <c r="D775" s="896">
        <v>150000000</v>
      </c>
      <c r="E775" s="2185">
        <f t="shared" si="31"/>
        <v>0.13143039873669801</v>
      </c>
      <c r="F775" s="1963"/>
      <c r="G775" s="140"/>
      <c r="H775" s="197"/>
      <c r="I775" s="140"/>
      <c r="J775" s="900"/>
      <c r="K775" s="2191"/>
      <c r="L775" s="250"/>
      <c r="M775" s="252"/>
      <c r="N775" s="1132"/>
    </row>
    <row r="776" spans="2:17" ht="18.75" hidden="1" customHeight="1" x14ac:dyDescent="0.25">
      <c r="B776" s="1024"/>
      <c r="C776" s="2479" t="s">
        <v>5805</v>
      </c>
      <c r="D776" s="940">
        <v>400000000</v>
      </c>
      <c r="E776" s="2185">
        <f t="shared" si="31"/>
        <v>0.35048106329786138</v>
      </c>
      <c r="F776" s="1963"/>
      <c r="G776" s="140"/>
      <c r="H776" s="197"/>
      <c r="I776" s="140"/>
      <c r="J776" s="900"/>
      <c r="K776" s="2191"/>
      <c r="L776" s="250"/>
      <c r="M776" s="252"/>
      <c r="N776" s="1132"/>
    </row>
    <row r="777" spans="2:17" ht="12" hidden="1" customHeight="1" x14ac:dyDescent="0.25">
      <c r="B777" s="1024"/>
      <c r="C777" s="64"/>
      <c r="D777" s="4237"/>
      <c r="E777" s="2163"/>
      <c r="F777" s="3761"/>
      <c r="G777" s="959"/>
      <c r="H777" s="977"/>
      <c r="I777" s="959"/>
      <c r="J777" s="3762"/>
      <c r="K777" s="3763"/>
      <c r="L777" s="3764"/>
      <c r="M777" s="3765"/>
      <c r="N777" s="1132"/>
    </row>
    <row r="778" spans="2:17" ht="19.5" hidden="1" customHeight="1" x14ac:dyDescent="0.25">
      <c r="B778" s="1029"/>
      <c r="C778" s="56" t="s">
        <v>5538</v>
      </c>
      <c r="D778" s="188">
        <f>D779+D782+D785</f>
        <v>2850000000</v>
      </c>
      <c r="E778" s="2165">
        <f t="shared" si="31"/>
        <v>2.4971775759972625</v>
      </c>
      <c r="F778" s="2168"/>
      <c r="G778" s="677"/>
      <c r="H778" s="987"/>
      <c r="I778" s="677"/>
      <c r="J778" s="2201"/>
      <c r="K778" s="2198"/>
      <c r="L778" s="2197"/>
      <c r="M778" s="993"/>
      <c r="N778" s="1132"/>
    </row>
    <row r="779" spans="2:17" ht="21" hidden="1" customHeight="1" x14ac:dyDescent="0.25">
      <c r="B779" s="1024"/>
      <c r="C779" s="59" t="s">
        <v>5790</v>
      </c>
      <c r="D779" s="190">
        <f>D780</f>
        <v>1000000000</v>
      </c>
      <c r="E779" s="4724">
        <f t="shared" si="31"/>
        <v>0.87620265824465349</v>
      </c>
      <c r="F779" s="2164"/>
      <c r="G779" s="239"/>
      <c r="H779" s="215"/>
      <c r="I779" s="239"/>
      <c r="J779" s="933"/>
      <c r="K779" s="2199"/>
      <c r="L779" s="1464"/>
      <c r="M779" s="994"/>
      <c r="N779" s="1132"/>
    </row>
    <row r="780" spans="2:17" ht="16.5" hidden="1" customHeight="1" x14ac:dyDescent="0.25">
      <c r="B780" s="1024"/>
      <c r="C780" s="61" t="s">
        <v>5792</v>
      </c>
      <c r="D780" s="896">
        <v>1000000000</v>
      </c>
      <c r="E780" s="2185">
        <f t="shared" si="31"/>
        <v>0.87620265824465349</v>
      </c>
      <c r="F780" s="1963"/>
      <c r="G780" s="140"/>
      <c r="H780" s="197"/>
      <c r="I780" s="140"/>
      <c r="J780" s="900"/>
      <c r="K780" s="2191"/>
      <c r="L780" s="250"/>
      <c r="M780" s="252"/>
      <c r="N780" s="1132"/>
    </row>
    <row r="781" spans="2:17" ht="12" hidden="1" customHeight="1" x14ac:dyDescent="0.25">
      <c r="B781" s="1024"/>
      <c r="C781" s="119"/>
      <c r="D781" s="239"/>
      <c r="E781" s="2185"/>
      <c r="F781" s="239"/>
      <c r="G781" s="239"/>
      <c r="H781" s="239"/>
      <c r="I781" s="239"/>
      <c r="J781" s="215"/>
      <c r="K781" s="1935"/>
      <c r="L781" s="191"/>
      <c r="M781" s="215"/>
      <c r="N781" s="1132"/>
    </row>
    <row r="782" spans="2:17" s="32" customFormat="1" ht="17.25" hidden="1" customHeight="1" x14ac:dyDescent="0.25">
      <c r="B782" s="1024"/>
      <c r="C782" s="134" t="s">
        <v>5793</v>
      </c>
      <c r="D782" s="142">
        <f>D783</f>
        <v>1500000000</v>
      </c>
      <c r="E782" s="2174">
        <f t="shared" si="31"/>
        <v>1.3143039873669802</v>
      </c>
      <c r="F782" s="142"/>
      <c r="G782" s="142"/>
      <c r="H782" s="142"/>
      <c r="I782" s="142"/>
      <c r="J782" s="157"/>
      <c r="K782" s="202"/>
      <c r="L782" s="157"/>
      <c r="M782" s="157"/>
      <c r="N782" s="1903"/>
      <c r="P782" s="203"/>
      <c r="Q782" s="203"/>
    </row>
    <row r="783" spans="2:17" ht="17.25" hidden="1" customHeight="1" x14ac:dyDescent="0.25">
      <c r="B783" s="1024"/>
      <c r="C783" s="82" t="s">
        <v>5794</v>
      </c>
      <c r="D783" s="140">
        <v>1500000000</v>
      </c>
      <c r="E783" s="2185">
        <f t="shared" si="31"/>
        <v>1.3143039873669802</v>
      </c>
      <c r="F783" s="140"/>
      <c r="G783" s="140"/>
      <c r="H783" s="140"/>
      <c r="I783" s="140"/>
      <c r="J783" s="197"/>
      <c r="K783" s="348"/>
      <c r="L783" s="73"/>
      <c r="M783" s="197"/>
      <c r="N783" s="1132"/>
    </row>
    <row r="784" spans="2:17" ht="10.5" hidden="1" customHeight="1" x14ac:dyDescent="0.25">
      <c r="B784" s="1024"/>
      <c r="C784" s="82"/>
      <c r="D784" s="140"/>
      <c r="E784" s="2185"/>
      <c r="F784" s="140"/>
      <c r="G784" s="140"/>
      <c r="H784" s="140"/>
      <c r="I784" s="140"/>
      <c r="J784" s="197"/>
      <c r="K784" s="348"/>
      <c r="L784" s="73"/>
      <c r="M784" s="197"/>
      <c r="N784" s="1132"/>
    </row>
    <row r="785" spans="1:17" ht="21" hidden="1" customHeight="1" x14ac:dyDescent="0.25">
      <c r="B785" s="1024"/>
      <c r="C785" s="134" t="s">
        <v>5796</v>
      </c>
      <c r="D785" s="142">
        <f>D786</f>
        <v>350000000</v>
      </c>
      <c r="E785" s="2174">
        <f t="shared" si="31"/>
        <v>0.3066709303856287</v>
      </c>
      <c r="F785" s="140"/>
      <c r="G785" s="140"/>
      <c r="H785" s="140"/>
      <c r="I785" s="140"/>
      <c r="J785" s="197"/>
      <c r="K785" s="348"/>
      <c r="L785" s="73"/>
      <c r="M785" s="197"/>
      <c r="N785" s="1132"/>
    </row>
    <row r="786" spans="1:17" ht="21" hidden="1" customHeight="1" x14ac:dyDescent="0.25">
      <c r="B786" s="1024"/>
      <c r="C786" s="82" t="s">
        <v>5797</v>
      </c>
      <c r="D786" s="140">
        <v>350000000</v>
      </c>
      <c r="E786" s="2185">
        <f t="shared" si="31"/>
        <v>0.3066709303856287</v>
      </c>
      <c r="F786" s="140"/>
      <c r="G786" s="140"/>
      <c r="H786" s="140"/>
      <c r="I786" s="140"/>
      <c r="J786" s="197"/>
      <c r="K786" s="348"/>
      <c r="L786" s="73"/>
      <c r="M786" s="197"/>
      <c r="N786" s="1132"/>
    </row>
    <row r="787" spans="1:17" ht="12" hidden="1" customHeight="1" x14ac:dyDescent="0.25">
      <c r="B787" s="1024"/>
      <c r="C787" s="119"/>
      <c r="D787" s="239"/>
      <c r="E787" s="85"/>
      <c r="F787" s="239"/>
      <c r="G787" s="239"/>
      <c r="H787" s="239"/>
      <c r="I787" s="239"/>
      <c r="J787" s="215"/>
      <c r="K787" s="2176"/>
      <c r="L787" s="191"/>
      <c r="M787" s="215"/>
      <c r="N787" s="1132"/>
    </row>
    <row r="788" spans="1:17" s="1" customFormat="1" ht="21" hidden="1" customHeight="1" x14ac:dyDescent="0.25">
      <c r="A788" s="22"/>
      <c r="B788" s="2073"/>
      <c r="C788" s="2074" t="s">
        <v>7003</v>
      </c>
      <c r="D788" s="2245">
        <f>SUM(D790+D850+D865+D876+D882)</f>
        <v>41761989829.540001</v>
      </c>
      <c r="E788" s="679">
        <f>D788/2512247400000*100</f>
        <v>1.6623358762174456</v>
      </c>
      <c r="F788" s="2246"/>
      <c r="G788" s="2247"/>
      <c r="H788" s="2247"/>
      <c r="I788" s="1513"/>
      <c r="J788" s="2246"/>
      <c r="K788" s="2247"/>
      <c r="L788" s="1513"/>
      <c r="M788" s="1513"/>
      <c r="N788" s="1903"/>
      <c r="P788" s="51"/>
      <c r="Q788" s="51"/>
    </row>
    <row r="789" spans="1:17" ht="9.75" hidden="1" customHeight="1" x14ac:dyDescent="0.25">
      <c r="B789" s="1024"/>
      <c r="C789" s="53"/>
      <c r="D789" s="2335"/>
      <c r="E789" s="85"/>
      <c r="F789" s="1091"/>
      <c r="G789" s="2248"/>
      <c r="H789" s="1541"/>
      <c r="I789" s="1048"/>
      <c r="J789" s="365"/>
      <c r="K789" s="1929"/>
      <c r="L789" s="199"/>
      <c r="M789" s="215"/>
      <c r="N789" s="1132"/>
    </row>
    <row r="790" spans="1:17" ht="21" hidden="1" customHeight="1" x14ac:dyDescent="0.25">
      <c r="B790" s="1029"/>
      <c r="C790" s="124" t="s">
        <v>2805</v>
      </c>
      <c r="D790" s="2744">
        <f>SUM(D791+D814+D817+D820+D825+D830+D845)</f>
        <v>35004177429.540001</v>
      </c>
      <c r="E790" s="179">
        <f>D790/108005114000*100</f>
        <v>32.409740736480316</v>
      </c>
      <c r="F790" s="2249"/>
      <c r="G790" s="2088"/>
      <c r="H790" s="2137"/>
      <c r="I790" s="179"/>
      <c r="J790" s="2088"/>
      <c r="K790" s="2088"/>
      <c r="L790" s="179"/>
      <c r="M790" s="179"/>
      <c r="N790" s="1132"/>
    </row>
    <row r="791" spans="1:17" ht="16.5" hidden="1" customHeight="1" x14ac:dyDescent="0.25">
      <c r="B791" s="1993"/>
      <c r="C791" s="494" t="s">
        <v>7303</v>
      </c>
      <c r="D791" s="2692">
        <f>SUM(D792:D812)</f>
        <v>19449207355</v>
      </c>
      <c r="E791" s="266">
        <f>D791/108005114000*100</f>
        <v>18.007672632057034</v>
      </c>
      <c r="F791" s="142"/>
      <c r="G791" s="142"/>
      <c r="H791" s="2140"/>
      <c r="I791" s="72"/>
      <c r="J791" s="142"/>
      <c r="K791" s="142"/>
      <c r="L791" s="157"/>
      <c r="M791" s="157"/>
      <c r="N791" s="1132"/>
    </row>
    <row r="792" spans="1:17" ht="16.5" hidden="1" customHeight="1" x14ac:dyDescent="0.25">
      <c r="B792" s="1904"/>
      <c r="C792" s="2494" t="s">
        <v>7304</v>
      </c>
      <c r="D792" s="2698">
        <v>3000000000</v>
      </c>
      <c r="E792" s="73">
        <f t="shared" ref="E792:E848" si="32">D792/108005114000*100</f>
        <v>2.7776462510839997</v>
      </c>
      <c r="F792" s="140"/>
      <c r="G792" s="232"/>
      <c r="H792" s="232"/>
      <c r="I792" s="232"/>
      <c r="J792" s="1130"/>
      <c r="K792" s="960"/>
      <c r="L792" s="197"/>
      <c r="M792" s="197"/>
      <c r="N792" s="1132"/>
    </row>
    <row r="793" spans="1:17" ht="16.5" hidden="1" customHeight="1" x14ac:dyDescent="0.25">
      <c r="B793" s="1904"/>
      <c r="C793" s="2494" t="s">
        <v>7320</v>
      </c>
      <c r="D793" s="2698">
        <v>2457088000</v>
      </c>
      <c r="E793" s="158">
        <f t="shared" si="32"/>
        <v>2.2749737572611606</v>
      </c>
      <c r="F793" s="140"/>
      <c r="G793" s="232"/>
      <c r="H793" s="232"/>
      <c r="I793" s="232"/>
      <c r="J793" s="1130"/>
      <c r="K793" s="960"/>
      <c r="L793" s="140"/>
      <c r="M793" s="140"/>
      <c r="N793" s="1132"/>
    </row>
    <row r="794" spans="1:17" ht="16.5" hidden="1" customHeight="1" x14ac:dyDescent="0.25">
      <c r="B794" s="1904"/>
      <c r="C794" s="2494" t="s">
        <v>7305</v>
      </c>
      <c r="D794" s="2698">
        <v>52200000</v>
      </c>
      <c r="E794" s="194">
        <f t="shared" si="32"/>
        <v>4.8331044768861589E-2</v>
      </c>
      <c r="F794" s="140"/>
      <c r="G794" s="232"/>
      <c r="H794" s="232"/>
      <c r="I794" s="232"/>
      <c r="J794" s="232"/>
      <c r="K794" s="232"/>
      <c r="L794" s="232"/>
      <c r="M794" s="197"/>
      <c r="N794" s="1132"/>
    </row>
    <row r="795" spans="1:17" ht="16.5" hidden="1" customHeight="1" x14ac:dyDescent="0.25">
      <c r="B795" s="1904"/>
      <c r="C795" s="2494" t="s">
        <v>7306</v>
      </c>
      <c r="D795" s="2698">
        <v>420000000</v>
      </c>
      <c r="E795" s="194">
        <f t="shared" si="32"/>
        <v>0.38887047515175993</v>
      </c>
      <c r="F795" s="140"/>
      <c r="G795" s="232"/>
      <c r="H795" s="232"/>
      <c r="I795" s="232"/>
      <c r="J795" s="1130"/>
      <c r="K795" s="960"/>
      <c r="L795" s="197"/>
      <c r="M795" s="197"/>
      <c r="N795" s="1132"/>
    </row>
    <row r="796" spans="1:17" ht="16.5" hidden="1" customHeight="1" x14ac:dyDescent="0.25">
      <c r="B796" s="1904"/>
      <c r="C796" s="2494" t="s">
        <v>7307</v>
      </c>
      <c r="D796" s="2698">
        <v>160000000</v>
      </c>
      <c r="E796" s="194">
        <f t="shared" si="32"/>
        <v>0.14814113339114665</v>
      </c>
      <c r="F796" s="140"/>
      <c r="G796" s="232"/>
      <c r="H796" s="232"/>
      <c r="I796" s="232"/>
      <c r="J796" s="1130"/>
      <c r="K796" s="960"/>
      <c r="L796" s="197"/>
      <c r="M796" s="197"/>
      <c r="N796" s="1132"/>
    </row>
    <row r="797" spans="1:17" ht="30" hidden="1" customHeight="1" x14ac:dyDescent="0.25">
      <c r="B797" s="1904"/>
      <c r="C797" s="2494" t="s">
        <v>7308</v>
      </c>
      <c r="D797" s="2698">
        <v>590800000</v>
      </c>
      <c r="E797" s="194">
        <f t="shared" si="32"/>
        <v>0.54701113504680898</v>
      </c>
      <c r="F797" s="140"/>
      <c r="G797" s="232"/>
      <c r="H797" s="2250"/>
      <c r="I797" s="194"/>
      <c r="J797" s="1130"/>
      <c r="K797" s="2251"/>
      <c r="L797" s="197"/>
      <c r="M797" s="197"/>
      <c r="N797" s="1132"/>
    </row>
    <row r="798" spans="1:17" ht="22.5" hidden="1" customHeight="1" x14ac:dyDescent="0.25">
      <c r="B798" s="1904"/>
      <c r="C798" s="2494" t="s">
        <v>7309</v>
      </c>
      <c r="D798" s="2698">
        <v>391850000</v>
      </c>
      <c r="E798" s="194">
        <f t="shared" si="32"/>
        <v>0.36280689449575509</v>
      </c>
      <c r="F798" s="140"/>
      <c r="G798" s="232"/>
      <c r="H798" s="2250"/>
      <c r="I798" s="194"/>
      <c r="J798" s="1130"/>
      <c r="K798" s="960"/>
      <c r="L798" s="197"/>
      <c r="M798" s="197"/>
      <c r="N798" s="1132"/>
    </row>
    <row r="799" spans="1:17" ht="20.25" hidden="1" customHeight="1" x14ac:dyDescent="0.25">
      <c r="B799" s="1904"/>
      <c r="C799" s="2506" t="s">
        <v>7310</v>
      </c>
      <c r="D799" s="2724">
        <v>391850000</v>
      </c>
      <c r="E799" s="194">
        <f t="shared" si="32"/>
        <v>0.36280689449575509</v>
      </c>
      <c r="F799" s="140"/>
      <c r="G799" s="2252"/>
      <c r="H799" s="2250"/>
      <c r="I799" s="194"/>
      <c r="J799" s="1130"/>
      <c r="K799" s="960"/>
      <c r="L799" s="197"/>
      <c r="M799" s="197"/>
      <c r="N799" s="1132"/>
    </row>
    <row r="800" spans="1:17" ht="19.5" hidden="1" customHeight="1" x14ac:dyDescent="0.25">
      <c r="B800" s="1904"/>
      <c r="C800" s="2494" t="s">
        <v>7311</v>
      </c>
      <c r="D800" s="2698">
        <v>527000000</v>
      </c>
      <c r="E800" s="194">
        <f t="shared" si="32"/>
        <v>0.48793985810708929</v>
      </c>
      <c r="F800" s="140"/>
      <c r="G800" s="394"/>
      <c r="H800" s="2250"/>
      <c r="I800" s="194"/>
      <c r="J800" s="1130"/>
      <c r="K800" s="2251"/>
      <c r="L800" s="197"/>
      <c r="M800" s="197"/>
      <c r="N800" s="1132"/>
    </row>
    <row r="801" spans="2:14" ht="18" hidden="1" customHeight="1" x14ac:dyDescent="0.25">
      <c r="B801" s="1904"/>
      <c r="C801" s="2494" t="s">
        <v>7312</v>
      </c>
      <c r="D801" s="2698">
        <v>3654000000</v>
      </c>
      <c r="E801" s="194">
        <f t="shared" si="32"/>
        <v>3.3831731338203115</v>
      </c>
      <c r="F801" s="140"/>
      <c r="G801" s="394"/>
      <c r="H801" s="2250"/>
      <c r="I801" s="194"/>
      <c r="J801" s="1130"/>
      <c r="K801" s="960"/>
      <c r="L801" s="197"/>
      <c r="M801" s="197"/>
      <c r="N801" s="1132"/>
    </row>
    <row r="802" spans="2:14" ht="18" hidden="1" customHeight="1" x14ac:dyDescent="0.25">
      <c r="B802" s="1904"/>
      <c r="C802" s="2494" t="s">
        <v>7313</v>
      </c>
      <c r="D802" s="2698">
        <v>147200000</v>
      </c>
      <c r="E802" s="194">
        <f t="shared" si="32"/>
        <v>0.13628984271985492</v>
      </c>
      <c r="F802" s="140"/>
      <c r="G802" s="232"/>
      <c r="H802" s="232"/>
      <c r="I802" s="232"/>
      <c r="J802" s="1130"/>
      <c r="K802" s="1130"/>
      <c r="L802" s="197"/>
      <c r="M802" s="197"/>
      <c r="N802" s="1132"/>
    </row>
    <row r="803" spans="2:14" ht="20.25" hidden="1" customHeight="1" x14ac:dyDescent="0.25">
      <c r="B803" s="1904"/>
      <c r="C803" s="2494" t="s">
        <v>7314</v>
      </c>
      <c r="D803" s="2698">
        <v>1020200000</v>
      </c>
      <c r="E803" s="194">
        <f t="shared" si="32"/>
        <v>0.94458490178529875</v>
      </c>
      <c r="F803" s="239"/>
      <c r="G803" s="1916"/>
      <c r="H803" s="1541"/>
      <c r="I803" s="215"/>
      <c r="J803" s="140"/>
      <c r="K803" s="201"/>
      <c r="L803" s="73"/>
      <c r="M803" s="73"/>
      <c r="N803" s="1132"/>
    </row>
    <row r="804" spans="2:14" ht="27" hidden="1" customHeight="1" x14ac:dyDescent="0.25">
      <c r="B804" s="1904"/>
      <c r="C804" s="2494" t="s">
        <v>7315</v>
      </c>
      <c r="D804" s="2698">
        <v>1063200000</v>
      </c>
      <c r="E804" s="194">
        <f t="shared" si="32"/>
        <v>0.98439783138416936</v>
      </c>
      <c r="F804" s="142"/>
      <c r="G804" s="2253"/>
      <c r="H804" s="1129"/>
      <c r="I804" s="157"/>
      <c r="J804" s="233"/>
      <c r="K804" s="233"/>
      <c r="L804" s="157"/>
      <c r="M804" s="157"/>
      <c r="N804" s="1132"/>
    </row>
    <row r="805" spans="2:14" ht="33.75" hidden="1" customHeight="1" x14ac:dyDescent="0.25">
      <c r="B805" s="1904"/>
      <c r="C805" s="2494" t="s">
        <v>7316</v>
      </c>
      <c r="D805" s="2698">
        <v>2917700005</v>
      </c>
      <c r="E805" s="194">
        <f t="shared" si="32"/>
        <v>2.701446160225339</v>
      </c>
      <c r="F805" s="140"/>
      <c r="G805" s="232"/>
      <c r="H805" s="232"/>
      <c r="I805" s="232"/>
      <c r="J805" s="1130"/>
      <c r="K805" s="960"/>
      <c r="L805" s="73"/>
      <c r="M805" s="73"/>
      <c r="N805" s="1132"/>
    </row>
    <row r="806" spans="2:14" ht="27.75" hidden="1" customHeight="1" x14ac:dyDescent="0.25">
      <c r="B806" s="1904"/>
      <c r="C806" s="2494" t="s">
        <v>7317</v>
      </c>
      <c r="D806" s="2698">
        <v>741590000</v>
      </c>
      <c r="E806" s="194">
        <f t="shared" si="32"/>
        <v>0.68662489444712771</v>
      </c>
      <c r="F806" s="140"/>
      <c r="G806" s="394"/>
      <c r="H806" s="2250"/>
      <c r="I806" s="194"/>
      <c r="J806" s="1130"/>
      <c r="K806" s="960"/>
      <c r="L806" s="73"/>
      <c r="M806" s="73"/>
      <c r="N806" s="1132"/>
    </row>
    <row r="807" spans="2:14" ht="31.5" hidden="1" customHeight="1" x14ac:dyDescent="0.25">
      <c r="B807" s="1904"/>
      <c r="C807" s="2494" t="s">
        <v>7318</v>
      </c>
      <c r="D807" s="2698">
        <v>817500000</v>
      </c>
      <c r="E807" s="194">
        <f t="shared" si="32"/>
        <v>0.7569086034203899</v>
      </c>
      <c r="F807" s="140"/>
      <c r="G807" s="232"/>
      <c r="H807" s="232"/>
      <c r="I807" s="232"/>
      <c r="J807" s="1130"/>
      <c r="K807" s="960"/>
      <c r="L807" s="73"/>
      <c r="M807" s="73"/>
      <c r="N807" s="1132"/>
    </row>
    <row r="808" spans="2:14" ht="18" hidden="1" customHeight="1" x14ac:dyDescent="0.25">
      <c r="B808" s="1904"/>
      <c r="C808" s="2494" t="s">
        <v>7319</v>
      </c>
      <c r="D808" s="2698">
        <v>416900000</v>
      </c>
      <c r="E808" s="194">
        <f t="shared" si="32"/>
        <v>0.38600024069230648</v>
      </c>
      <c r="F808" s="140"/>
      <c r="G808" s="394"/>
      <c r="H808" s="2250"/>
      <c r="I808" s="173"/>
      <c r="J808" s="1130"/>
      <c r="K808" s="960"/>
      <c r="L808" s="73"/>
      <c r="M808" s="73"/>
      <c r="N808" s="1132"/>
    </row>
    <row r="809" spans="2:14" ht="16.5" hidden="1" customHeight="1" x14ac:dyDescent="0.25">
      <c r="B809" s="1904"/>
      <c r="C809" s="2494" t="s">
        <v>7321</v>
      </c>
      <c r="D809" s="2698">
        <v>387240750</v>
      </c>
      <c r="E809" s="194">
        <f t="shared" si="32"/>
        <v>0.35853927250148543</v>
      </c>
      <c r="F809" s="140"/>
      <c r="G809" s="394"/>
      <c r="H809" s="2250"/>
      <c r="I809" s="173"/>
      <c r="J809" s="1130"/>
      <c r="K809" s="960"/>
      <c r="L809" s="73"/>
      <c r="M809" s="73"/>
      <c r="N809" s="1132"/>
    </row>
    <row r="810" spans="2:14" ht="21" hidden="1" customHeight="1" x14ac:dyDescent="0.25">
      <c r="B810" s="1904"/>
      <c r="C810" s="2494" t="s">
        <v>7322</v>
      </c>
      <c r="D810" s="2698">
        <v>173036450</v>
      </c>
      <c r="E810" s="194">
        <f t="shared" si="32"/>
        <v>0.16021134888112798</v>
      </c>
      <c r="F810" s="140"/>
      <c r="G810" s="232"/>
      <c r="H810" s="232"/>
      <c r="I810" s="232"/>
      <c r="J810" s="1130"/>
      <c r="K810" s="1130"/>
      <c r="L810" s="73"/>
      <c r="M810" s="73"/>
      <c r="N810" s="1132"/>
    </row>
    <row r="811" spans="2:14" ht="15" hidden="1" customHeight="1" x14ac:dyDescent="0.25">
      <c r="B811" s="1904"/>
      <c r="C811" s="2494" t="s">
        <v>7323</v>
      </c>
      <c r="D811" s="2698">
        <v>95898700</v>
      </c>
      <c r="E811" s="194">
        <f t="shared" si="32"/>
        <v>8.8790888179609714E-2</v>
      </c>
      <c r="F811" s="140"/>
      <c r="G811" s="394"/>
      <c r="H811" s="2250"/>
      <c r="I811" s="173"/>
      <c r="J811" s="1130"/>
      <c r="K811" s="960"/>
      <c r="L811" s="140"/>
      <c r="M811" s="140"/>
      <c r="N811" s="1132"/>
    </row>
    <row r="812" spans="2:14" ht="21.75" hidden="1" customHeight="1" x14ac:dyDescent="0.25">
      <c r="B812" s="1904"/>
      <c r="C812" s="2494" t="s">
        <v>7324</v>
      </c>
      <c r="D812" s="2698">
        <v>23953450</v>
      </c>
      <c r="E812" s="194">
        <f t="shared" si="32"/>
        <v>2.2178070197676009E-2</v>
      </c>
      <c r="F812" s="140"/>
      <c r="G812" s="394"/>
      <c r="H812" s="2250"/>
      <c r="I812" s="194"/>
      <c r="J812" s="1130"/>
      <c r="K812" s="960"/>
      <c r="L812" s="73"/>
      <c r="M812" s="73"/>
      <c r="N812" s="1132"/>
    </row>
    <row r="813" spans="2:14" ht="9.75" hidden="1" customHeight="1" x14ac:dyDescent="0.25">
      <c r="B813" s="1904"/>
      <c r="C813" s="2506"/>
      <c r="D813" s="2724"/>
      <c r="E813" s="194"/>
      <c r="F813" s="140"/>
      <c r="G813" s="394"/>
      <c r="H813" s="2250"/>
      <c r="I813" s="173"/>
      <c r="J813" s="1130"/>
      <c r="K813" s="960"/>
      <c r="L813" s="73"/>
      <c r="M813" s="73"/>
      <c r="N813" s="1132"/>
    </row>
    <row r="814" spans="2:14" ht="18.75" hidden="1" customHeight="1" x14ac:dyDescent="0.25">
      <c r="B814" s="1904"/>
      <c r="C814" s="2491" t="s">
        <v>7329</v>
      </c>
      <c r="D814" s="2692">
        <f>D815</f>
        <v>400000000</v>
      </c>
      <c r="E814" s="72">
        <f t="shared" si="32"/>
        <v>0.37035283347786657</v>
      </c>
      <c r="F814" s="140"/>
      <c r="G814" s="232"/>
      <c r="H814" s="232"/>
      <c r="I814" s="232"/>
      <c r="J814" s="1130"/>
      <c r="K814" s="960"/>
      <c r="L814" s="73"/>
      <c r="M814" s="73"/>
      <c r="N814" s="1132"/>
    </row>
    <row r="815" spans="2:14" ht="18.75" hidden="1" customHeight="1" x14ac:dyDescent="0.25">
      <c r="B815" s="1904"/>
      <c r="C815" s="2494" t="s">
        <v>7330</v>
      </c>
      <c r="D815" s="2698">
        <v>400000000</v>
      </c>
      <c r="E815" s="194">
        <f t="shared" si="32"/>
        <v>0.37035283347786657</v>
      </c>
      <c r="F815" s="140"/>
      <c r="G815" s="232"/>
      <c r="H815" s="232"/>
      <c r="I815" s="232"/>
      <c r="J815" s="1130"/>
      <c r="K815" s="960"/>
      <c r="L815" s="73"/>
      <c r="M815" s="73"/>
      <c r="N815" s="1132"/>
    </row>
    <row r="816" spans="2:14" ht="12" hidden="1" customHeight="1" x14ac:dyDescent="0.25">
      <c r="B816" s="1904"/>
      <c r="C816" s="2506"/>
      <c r="D816" s="2724"/>
      <c r="E816" s="194"/>
      <c r="F816" s="140"/>
      <c r="G816" s="232"/>
      <c r="H816" s="232"/>
      <c r="I816" s="232"/>
      <c r="J816" s="1130"/>
      <c r="K816" s="960"/>
      <c r="L816" s="73"/>
      <c r="M816" s="73"/>
      <c r="N816" s="1132"/>
    </row>
    <row r="817" spans="2:14" ht="20.25" hidden="1" customHeight="1" x14ac:dyDescent="0.25">
      <c r="B817" s="1024"/>
      <c r="C817" s="2491" t="s">
        <v>7331</v>
      </c>
      <c r="D817" s="2692">
        <f>D818</f>
        <v>232492799.34</v>
      </c>
      <c r="E817" s="72">
        <f t="shared" si="32"/>
        <v>0.21526091749692519</v>
      </c>
      <c r="F817" s="232"/>
      <c r="G817" s="232"/>
      <c r="H817" s="232"/>
      <c r="I817" s="232"/>
      <c r="J817" s="1130"/>
      <c r="K817" s="960"/>
      <c r="L817" s="73"/>
      <c r="M817" s="73"/>
      <c r="N817" s="1132"/>
    </row>
    <row r="818" spans="2:14" ht="20.25" hidden="1" customHeight="1" x14ac:dyDescent="0.25">
      <c r="B818" s="1904"/>
      <c r="C818" s="2494" t="s">
        <v>7332</v>
      </c>
      <c r="D818" s="2698">
        <v>232492799.34</v>
      </c>
      <c r="E818" s="194">
        <f t="shared" si="32"/>
        <v>0.21526091749692519</v>
      </c>
      <c r="F818" s="1091"/>
      <c r="G818" s="1916"/>
      <c r="H818" s="153"/>
      <c r="I818" s="365"/>
      <c r="J818" s="140"/>
      <c r="K818" s="140"/>
      <c r="L818" s="140"/>
      <c r="M818" s="140"/>
      <c r="N818" s="1132"/>
    </row>
    <row r="819" spans="2:14" ht="12.75" hidden="1" customHeight="1" x14ac:dyDescent="0.25">
      <c r="B819" s="1904"/>
      <c r="C819" s="2494"/>
      <c r="D819" s="2755"/>
      <c r="E819" s="194"/>
      <c r="F819" s="142"/>
      <c r="G819" s="2253"/>
      <c r="H819" s="1129"/>
      <c r="I819" s="72"/>
      <c r="J819" s="142"/>
      <c r="K819" s="142"/>
      <c r="L819" s="157"/>
      <c r="M819" s="157"/>
      <c r="N819" s="1132"/>
    </row>
    <row r="820" spans="2:14" ht="16.5" hidden="1" customHeight="1" x14ac:dyDescent="0.25">
      <c r="B820" s="1904"/>
      <c r="C820" s="2491" t="s">
        <v>7325</v>
      </c>
      <c r="D820" s="2692">
        <f>SUM(D821:D824)</f>
        <v>688778275.20000005</v>
      </c>
      <c r="E820" s="72">
        <f t="shared" si="32"/>
        <v>0.63772746464579444</v>
      </c>
      <c r="F820" s="140"/>
      <c r="G820" s="232"/>
      <c r="H820" s="232"/>
      <c r="I820" s="232"/>
      <c r="J820" s="1130"/>
      <c r="K820" s="960"/>
      <c r="L820" s="73"/>
      <c r="M820" s="73"/>
      <c r="N820" s="1132"/>
    </row>
    <row r="821" spans="2:14" ht="30.75" hidden="1" customHeight="1" x14ac:dyDescent="0.25">
      <c r="B821" s="1904"/>
      <c r="C821" s="2494" t="s">
        <v>7326</v>
      </c>
      <c r="D821" s="2698">
        <v>382000000</v>
      </c>
      <c r="E821" s="194">
        <f t="shared" si="32"/>
        <v>0.35368695597136263</v>
      </c>
      <c r="F821" s="140"/>
      <c r="G821" s="232"/>
      <c r="H821" s="232"/>
      <c r="I821" s="232"/>
      <c r="J821" s="1130"/>
      <c r="K821" s="232"/>
      <c r="L821" s="140"/>
      <c r="M821" s="140"/>
      <c r="N821" s="1132"/>
    </row>
    <row r="822" spans="2:14" ht="19.5" hidden="1" customHeight="1" x14ac:dyDescent="0.25">
      <c r="B822" s="1904"/>
      <c r="C822" s="2494" t="s">
        <v>7327</v>
      </c>
      <c r="D822" s="2698">
        <v>56778275.200000003</v>
      </c>
      <c r="E822" s="194">
        <f t="shared" si="32"/>
        <v>5.2569987750765206E-2</v>
      </c>
      <c r="F822" s="140"/>
      <c r="G822" s="394"/>
      <c r="H822" s="1129"/>
      <c r="I822" s="194"/>
      <c r="J822" s="1130"/>
      <c r="K822" s="960"/>
      <c r="L822" s="73"/>
      <c r="M822" s="73"/>
      <c r="N822" s="1132"/>
    </row>
    <row r="823" spans="2:14" ht="20.25" hidden="1" customHeight="1" x14ac:dyDescent="0.25">
      <c r="B823" s="1904"/>
      <c r="C823" s="2494" t="s">
        <v>7328</v>
      </c>
      <c r="D823" s="2698">
        <v>250000000</v>
      </c>
      <c r="E823" s="194">
        <f t="shared" si="32"/>
        <v>0.23147052092366666</v>
      </c>
      <c r="F823" s="1090"/>
      <c r="G823" s="1916"/>
      <c r="H823" s="153"/>
      <c r="I823" s="194"/>
      <c r="J823" s="140"/>
      <c r="K823" s="201"/>
      <c r="L823" s="73"/>
      <c r="M823" s="73"/>
      <c r="N823" s="1132"/>
    </row>
    <row r="824" spans="2:14" ht="12.75" hidden="1" customHeight="1" x14ac:dyDescent="0.25">
      <c r="B824" s="1904"/>
      <c r="C824" s="2494"/>
      <c r="D824" s="2698"/>
      <c r="E824" s="194"/>
      <c r="F824" s="142"/>
      <c r="G824" s="2253"/>
      <c r="H824" s="1129"/>
      <c r="I824" s="142"/>
      <c r="J824" s="142"/>
      <c r="K824" s="142"/>
      <c r="L824" s="157"/>
      <c r="M824" s="157"/>
      <c r="N824" s="1132"/>
    </row>
    <row r="825" spans="2:14" ht="20.25" hidden="1" customHeight="1" x14ac:dyDescent="0.25">
      <c r="B825" s="1904"/>
      <c r="C825" s="2491" t="s">
        <v>7333</v>
      </c>
      <c r="D825" s="2692">
        <f>SUM(D826:D828)</f>
        <v>8757324000</v>
      </c>
      <c r="E825" s="72">
        <f t="shared" si="32"/>
        <v>8.1082493927093111</v>
      </c>
      <c r="F825" s="140"/>
      <c r="G825" s="394"/>
      <c r="H825" s="259"/>
      <c r="I825" s="140"/>
      <c r="J825" s="1130"/>
      <c r="K825" s="960"/>
      <c r="L825" s="73"/>
      <c r="M825" s="73"/>
      <c r="N825" s="1132"/>
    </row>
    <row r="826" spans="2:14" ht="32.25" hidden="1" customHeight="1" x14ac:dyDescent="0.25">
      <c r="B826" s="1904"/>
      <c r="C826" s="2494" t="s">
        <v>7334</v>
      </c>
      <c r="D826" s="2698">
        <v>3076524000</v>
      </c>
      <c r="E826" s="194">
        <f t="shared" si="32"/>
        <v>2.8484984516566501</v>
      </c>
      <c r="F826" s="140"/>
      <c r="G826" s="232"/>
      <c r="H826" s="232"/>
      <c r="I826" s="194"/>
      <c r="J826" s="140"/>
      <c r="K826" s="140"/>
      <c r="L826" s="140"/>
      <c r="M826" s="140"/>
      <c r="N826" s="1132"/>
    </row>
    <row r="827" spans="2:14" ht="18.75" hidden="1" customHeight="1" x14ac:dyDescent="0.25">
      <c r="B827" s="1904"/>
      <c r="C827" s="2494" t="s">
        <v>7335</v>
      </c>
      <c r="D827" s="2698">
        <v>1340800000</v>
      </c>
      <c r="E827" s="194">
        <f t="shared" si="32"/>
        <v>1.2414226978178089</v>
      </c>
      <c r="F827" s="142"/>
      <c r="G827" s="2253"/>
      <c r="H827" s="1129"/>
      <c r="I827" s="142"/>
      <c r="J827" s="142"/>
      <c r="K827" s="142"/>
      <c r="L827" s="157"/>
      <c r="M827" s="157"/>
      <c r="N827" s="1132"/>
    </row>
    <row r="828" spans="2:14" ht="29.25" hidden="1" customHeight="1" x14ac:dyDescent="0.25">
      <c r="B828" s="1904"/>
      <c r="C828" s="2506" t="s">
        <v>7336</v>
      </c>
      <c r="D828" s="2706">
        <v>4340000000</v>
      </c>
      <c r="E828" s="72">
        <f t="shared" si="32"/>
        <v>4.0183282432348522</v>
      </c>
      <c r="F828" s="140"/>
      <c r="G828" s="394"/>
      <c r="H828" s="259"/>
      <c r="I828" s="140"/>
      <c r="J828" s="1130"/>
      <c r="K828" s="960"/>
      <c r="L828" s="73"/>
      <c r="M828" s="73"/>
      <c r="N828" s="1132"/>
    </row>
    <row r="829" spans="2:14" ht="9" hidden="1" customHeight="1" x14ac:dyDescent="0.25">
      <c r="B829" s="1904"/>
      <c r="C829" s="2527"/>
      <c r="D829" s="911"/>
      <c r="E829" s="72"/>
      <c r="F829" s="140"/>
      <c r="G829" s="394"/>
      <c r="H829" s="259"/>
      <c r="I829" s="140"/>
      <c r="J829" s="1130"/>
      <c r="K829" s="960"/>
      <c r="L829" s="140"/>
      <c r="M829" s="140"/>
      <c r="N829" s="1132"/>
    </row>
    <row r="830" spans="2:14" ht="19.5" hidden="1" customHeight="1" x14ac:dyDescent="0.25">
      <c r="B830" s="1904"/>
      <c r="C830" s="2491" t="s">
        <v>5836</v>
      </c>
      <c r="D830" s="2692">
        <f>SUM(D831:D843)</f>
        <v>4961885000</v>
      </c>
      <c r="E830" s="72">
        <f t="shared" si="32"/>
        <v>4.5941204228533099</v>
      </c>
      <c r="F830" s="140"/>
      <c r="G830" s="232"/>
      <c r="H830" s="232"/>
      <c r="I830" s="232"/>
      <c r="J830" s="1130"/>
      <c r="K830" s="1130"/>
      <c r="L830" s="140"/>
      <c r="M830" s="140"/>
      <c r="N830" s="1132"/>
    </row>
    <row r="831" spans="2:14" ht="18" hidden="1" customHeight="1" x14ac:dyDescent="0.25">
      <c r="B831" s="1904"/>
      <c r="C831" s="2494" t="s">
        <v>7337</v>
      </c>
      <c r="D831" s="2698">
        <v>244090000</v>
      </c>
      <c r="E831" s="194">
        <f t="shared" si="32"/>
        <v>0.22599855780903116</v>
      </c>
      <c r="F831" s="140"/>
      <c r="G831" s="232"/>
      <c r="H831" s="232"/>
      <c r="I831" s="232"/>
      <c r="J831" s="1130"/>
      <c r="K831" s="1130"/>
      <c r="L831" s="140"/>
      <c r="M831" s="140"/>
      <c r="N831" s="1132"/>
    </row>
    <row r="832" spans="2:14" ht="19.5" hidden="1" customHeight="1" x14ac:dyDescent="0.25">
      <c r="B832" s="1904"/>
      <c r="C832" s="2494" t="s">
        <v>7338</v>
      </c>
      <c r="D832" s="2698">
        <v>212950000</v>
      </c>
      <c r="E832" s="194">
        <f t="shared" si="32"/>
        <v>0.19716658972277926</v>
      </c>
      <c r="F832" s="140"/>
      <c r="G832" s="232"/>
      <c r="H832" s="232"/>
      <c r="I832" s="232"/>
      <c r="J832" s="1130"/>
      <c r="K832" s="1130"/>
      <c r="L832" s="140"/>
      <c r="M832" s="140"/>
      <c r="N832" s="1132"/>
    </row>
    <row r="833" spans="2:14" ht="18.75" hidden="1" customHeight="1" x14ac:dyDescent="0.25">
      <c r="B833" s="1904"/>
      <c r="C833" s="2506" t="s">
        <v>7339</v>
      </c>
      <c r="D833" s="2706">
        <v>314490000</v>
      </c>
      <c r="E833" s="194">
        <f t="shared" si="32"/>
        <v>0.29118065650113567</v>
      </c>
      <c r="F833" s="232"/>
      <c r="G833" s="232"/>
      <c r="H833" s="232"/>
      <c r="I833" s="232"/>
      <c r="J833" s="1130"/>
      <c r="K833" s="960"/>
      <c r="L833" s="140"/>
      <c r="M833" s="140"/>
      <c r="N833" s="1132"/>
    </row>
    <row r="834" spans="2:14" ht="21" hidden="1" customHeight="1" x14ac:dyDescent="0.25">
      <c r="B834" s="1904"/>
      <c r="C834" s="2494" t="s">
        <v>7340</v>
      </c>
      <c r="D834" s="2698">
        <v>150000000</v>
      </c>
      <c r="E834" s="194">
        <f t="shared" si="32"/>
        <v>0.13888231255419997</v>
      </c>
      <c r="F834" s="1090"/>
      <c r="G834" s="2254"/>
      <c r="H834" s="153"/>
      <c r="I834" s="194"/>
      <c r="J834" s="142"/>
      <c r="K834" s="142"/>
      <c r="L834" s="157"/>
      <c r="M834" s="157"/>
      <c r="N834" s="1132"/>
    </row>
    <row r="835" spans="2:14" ht="20.25" hidden="1" customHeight="1" x14ac:dyDescent="0.25">
      <c r="B835" s="1904"/>
      <c r="C835" s="2494" t="s">
        <v>7341</v>
      </c>
      <c r="D835" s="2698">
        <v>165335000</v>
      </c>
      <c r="E835" s="194">
        <f t="shared" si="32"/>
        <v>0.15308071430765768</v>
      </c>
      <c r="F835" s="142"/>
      <c r="G835" s="2253"/>
      <c r="H835" s="1129"/>
      <c r="I835" s="72"/>
      <c r="J835" s="142"/>
      <c r="K835" s="142"/>
      <c r="L835" s="157"/>
      <c r="M835" s="157"/>
      <c r="N835" s="1132"/>
    </row>
    <row r="836" spans="2:14" ht="18" hidden="1" customHeight="1" x14ac:dyDescent="0.25">
      <c r="B836" s="1904"/>
      <c r="C836" s="2494" t="s">
        <v>7342</v>
      </c>
      <c r="D836" s="2698">
        <v>170000000</v>
      </c>
      <c r="E836" s="194">
        <f t="shared" si="32"/>
        <v>0.1573999542280933</v>
      </c>
      <c r="F836" s="140"/>
      <c r="G836" s="394"/>
      <c r="H836" s="259"/>
      <c r="I836" s="194"/>
      <c r="J836" s="1130"/>
      <c r="K836" s="960"/>
      <c r="L836" s="73"/>
      <c r="M836" s="73"/>
      <c r="N836" s="1132"/>
    </row>
    <row r="837" spans="2:14" ht="17.25" hidden="1" customHeight="1" x14ac:dyDescent="0.25">
      <c r="B837" s="1904"/>
      <c r="C837" s="2494" t="s">
        <v>7343</v>
      </c>
      <c r="D837" s="2698">
        <v>169970000</v>
      </c>
      <c r="E837" s="194">
        <f t="shared" si="32"/>
        <v>0.15737217776558246</v>
      </c>
      <c r="F837" s="140"/>
      <c r="G837" s="394"/>
      <c r="H837" s="259"/>
      <c r="I837" s="194"/>
      <c r="J837" s="1130"/>
      <c r="K837" s="960"/>
      <c r="L837" s="73"/>
      <c r="M837" s="73"/>
      <c r="N837" s="1132"/>
    </row>
    <row r="838" spans="2:14" ht="19.5" hidden="1" customHeight="1" x14ac:dyDescent="0.25">
      <c r="B838" s="1904"/>
      <c r="C838" s="2494" t="s">
        <v>7344</v>
      </c>
      <c r="D838" s="2698">
        <v>278000000</v>
      </c>
      <c r="E838" s="194">
        <f t="shared" si="32"/>
        <v>0.25739521926711728</v>
      </c>
      <c r="F838" s="239"/>
      <c r="G838" s="2255"/>
      <c r="H838" s="81"/>
      <c r="I838" s="215"/>
      <c r="J838" s="215"/>
      <c r="K838" s="1956"/>
      <c r="L838" s="215"/>
      <c r="M838" s="215"/>
      <c r="N838" s="1132"/>
    </row>
    <row r="839" spans="2:14" ht="17.25" hidden="1" customHeight="1" x14ac:dyDescent="0.25">
      <c r="B839" s="1904"/>
      <c r="C839" s="2494" t="s">
        <v>7345</v>
      </c>
      <c r="D839" s="2698">
        <v>249550000</v>
      </c>
      <c r="E839" s="194">
        <f t="shared" si="32"/>
        <v>0.23105387398600405</v>
      </c>
      <c r="F839" s="142"/>
      <c r="G839" s="2253"/>
      <c r="H839" s="1129"/>
      <c r="I839" s="157"/>
      <c r="J839" s="142"/>
      <c r="K839" s="142"/>
      <c r="L839" s="351"/>
      <c r="M839" s="197"/>
      <c r="N839" s="1132"/>
    </row>
    <row r="840" spans="2:14" ht="18.75" hidden="1" customHeight="1" x14ac:dyDescent="0.25">
      <c r="B840" s="1904"/>
      <c r="C840" s="2494" t="s">
        <v>7346</v>
      </c>
      <c r="D840" s="2698">
        <v>2135000000</v>
      </c>
      <c r="E840" s="194">
        <f t="shared" si="32"/>
        <v>1.9767582486881132</v>
      </c>
      <c r="F840" s="140"/>
      <c r="G840" s="394"/>
      <c r="H840" s="259"/>
      <c r="I840" s="73"/>
      <c r="J840" s="1130"/>
      <c r="K840" s="960"/>
      <c r="L840" s="73"/>
      <c r="M840" s="197"/>
      <c r="N840" s="1132"/>
    </row>
    <row r="841" spans="2:14" ht="20.25" hidden="1" customHeight="1" x14ac:dyDescent="0.25">
      <c r="B841" s="1904"/>
      <c r="C841" s="2494" t="s">
        <v>7347</v>
      </c>
      <c r="D841" s="2698">
        <v>80000000</v>
      </c>
      <c r="E841" s="194">
        <f t="shared" si="32"/>
        <v>7.4070566695573326E-2</v>
      </c>
      <c r="F841" s="140"/>
      <c r="G841" s="232"/>
      <c r="H841" s="232"/>
      <c r="I841" s="232"/>
      <c r="J841" s="1130"/>
      <c r="K841" s="960"/>
      <c r="L841" s="73"/>
      <c r="M841" s="197"/>
      <c r="N841" s="1132"/>
    </row>
    <row r="842" spans="2:14" ht="18" hidden="1" customHeight="1" x14ac:dyDescent="0.25">
      <c r="B842" s="1904"/>
      <c r="C842" s="2494" t="s">
        <v>7348</v>
      </c>
      <c r="D842" s="2698">
        <v>250000000</v>
      </c>
      <c r="E842" s="194">
        <f t="shared" si="32"/>
        <v>0.23147052092366666</v>
      </c>
      <c r="F842" s="140"/>
      <c r="G842" s="232"/>
      <c r="H842" s="232"/>
      <c r="I842" s="232"/>
      <c r="J842" s="232"/>
      <c r="K842" s="232"/>
      <c r="L842" s="232"/>
      <c r="M842" s="197"/>
      <c r="N842" s="1132"/>
    </row>
    <row r="843" spans="2:14" ht="23.25" hidden="1" customHeight="1" x14ac:dyDescent="0.25">
      <c r="B843" s="1904"/>
      <c r="C843" s="2494" t="s">
        <v>7349</v>
      </c>
      <c r="D843" s="2698">
        <v>542500000</v>
      </c>
      <c r="E843" s="194">
        <f t="shared" si="32"/>
        <v>0.50229103040435652</v>
      </c>
      <c r="F843" s="140"/>
      <c r="G843" s="232"/>
      <c r="H843" s="232"/>
      <c r="I843" s="232"/>
      <c r="J843" s="1130"/>
      <c r="K843" s="960"/>
      <c r="L843" s="73"/>
      <c r="M843" s="197"/>
      <c r="N843" s="1132"/>
    </row>
    <row r="844" spans="2:14" ht="10.5" hidden="1" customHeight="1" x14ac:dyDescent="0.25">
      <c r="B844" s="1904"/>
      <c r="C844" s="2527"/>
      <c r="D844" s="898"/>
      <c r="E844" s="194"/>
      <c r="F844" s="140"/>
      <c r="G844" s="394"/>
      <c r="H844" s="259"/>
      <c r="I844" s="73"/>
      <c r="J844" s="1130"/>
      <c r="K844" s="960"/>
      <c r="L844" s="73"/>
      <c r="M844" s="197"/>
      <c r="N844" s="1132"/>
    </row>
    <row r="845" spans="2:14" ht="21.75" hidden="1" customHeight="1" x14ac:dyDescent="0.25">
      <c r="B845" s="1904"/>
      <c r="C845" s="2474" t="s">
        <v>7350</v>
      </c>
      <c r="D845" s="2692">
        <f>SUM(D846:D848)</f>
        <v>514490000</v>
      </c>
      <c r="E845" s="72">
        <f t="shared" si="32"/>
        <v>0.47635707324006893</v>
      </c>
      <c r="F845" s="140"/>
      <c r="G845" s="232"/>
      <c r="H845" s="232"/>
      <c r="I845" s="232"/>
      <c r="J845" s="1130"/>
      <c r="K845" s="960"/>
      <c r="L845" s="73"/>
      <c r="M845" s="197"/>
      <c r="N845" s="1132"/>
    </row>
    <row r="846" spans="2:14" ht="18" hidden="1" customHeight="1" x14ac:dyDescent="0.25">
      <c r="B846" s="1904"/>
      <c r="C846" s="2494" t="s">
        <v>7351</v>
      </c>
      <c r="D846" s="2698">
        <v>100000000</v>
      </c>
      <c r="E846" s="194">
        <f t="shared" si="32"/>
        <v>9.2588208369466643E-2</v>
      </c>
      <c r="F846" s="140"/>
      <c r="G846" s="232"/>
      <c r="H846" s="232"/>
      <c r="I846" s="232"/>
      <c r="J846" s="1130"/>
      <c r="K846" s="232"/>
      <c r="L846" s="232"/>
      <c r="M846" s="232"/>
      <c r="N846" s="1132"/>
    </row>
    <row r="847" spans="2:14" ht="17.25" hidden="1" customHeight="1" x14ac:dyDescent="0.25">
      <c r="B847" s="1904"/>
      <c r="C847" s="2494" t="s">
        <v>7352</v>
      </c>
      <c r="D847" s="2698">
        <v>100000000</v>
      </c>
      <c r="E847" s="194">
        <f t="shared" si="32"/>
        <v>9.2588208369466643E-2</v>
      </c>
      <c r="F847" s="140"/>
      <c r="G847" s="232"/>
      <c r="H847" s="232"/>
      <c r="I847" s="232"/>
      <c r="J847" s="1130"/>
      <c r="K847" s="960"/>
      <c r="L847" s="73"/>
      <c r="M847" s="197"/>
      <c r="N847" s="1132"/>
    </row>
    <row r="848" spans="2:14" ht="18" hidden="1" customHeight="1" x14ac:dyDescent="0.25">
      <c r="B848" s="1904"/>
      <c r="C848" s="2494" t="s">
        <v>7353</v>
      </c>
      <c r="D848" s="2698">
        <v>314490000</v>
      </c>
      <c r="E848" s="194">
        <f t="shared" si="32"/>
        <v>0.29118065650113567</v>
      </c>
      <c r="F848" s="140"/>
      <c r="G848" s="394"/>
      <c r="H848" s="259"/>
      <c r="I848" s="73"/>
      <c r="J848" s="1130"/>
      <c r="K848" s="960"/>
      <c r="L848" s="73"/>
      <c r="M848" s="197"/>
      <c r="N848" s="1132"/>
    </row>
    <row r="849" spans="1:17" ht="12.75" hidden="1" customHeight="1" x14ac:dyDescent="0.25">
      <c r="B849" s="489"/>
      <c r="C849" s="2162"/>
      <c r="D849" s="239"/>
      <c r="E849" s="85"/>
      <c r="F849" s="239"/>
      <c r="G849" s="239"/>
      <c r="H849" s="81"/>
      <c r="I849" s="215"/>
      <c r="J849" s="215"/>
      <c r="K849" s="1956"/>
      <c r="L849" s="215"/>
      <c r="M849" s="215"/>
      <c r="N849" s="1132"/>
    </row>
    <row r="850" spans="1:17" s="32" customFormat="1" ht="32.25" hidden="1" customHeight="1" x14ac:dyDescent="0.25">
      <c r="A850" s="4386"/>
      <c r="B850" s="1029"/>
      <c r="C850" s="124" t="s">
        <v>2939</v>
      </c>
      <c r="D850" s="131">
        <f>SUM(D851+D854+D859+D862)</f>
        <v>805112400</v>
      </c>
      <c r="E850" s="179">
        <f>D850/108005114000*100</f>
        <v>0.74543914652041388</v>
      </c>
      <c r="F850" s="131"/>
      <c r="G850" s="131"/>
      <c r="H850" s="78"/>
      <c r="I850" s="179"/>
      <c r="J850" s="179"/>
      <c r="K850" s="200"/>
      <c r="L850" s="179"/>
      <c r="M850" s="209"/>
      <c r="N850" s="1903"/>
      <c r="P850" s="203"/>
      <c r="Q850" s="203"/>
    </row>
    <row r="851" spans="1:17" ht="22.5" hidden="1" customHeight="1" x14ac:dyDescent="0.25">
      <c r="B851" s="1024"/>
      <c r="C851" s="2534" t="s">
        <v>2940</v>
      </c>
      <c r="D851" s="2712">
        <f>D852</f>
        <v>110000000</v>
      </c>
      <c r="E851" s="266">
        <f>D851/108005114000*100</f>
        <v>0.10184702920641331</v>
      </c>
      <c r="F851" s="239"/>
      <c r="G851" s="239"/>
      <c r="H851" s="81"/>
      <c r="I851" s="215"/>
      <c r="J851" s="215"/>
      <c r="K851" s="1956"/>
      <c r="L851" s="215"/>
      <c r="M851" s="215"/>
      <c r="N851" s="1132"/>
    </row>
    <row r="852" spans="1:17" ht="30" hidden="1" customHeight="1" x14ac:dyDescent="0.25">
      <c r="B852" s="1024"/>
      <c r="C852" s="2524" t="s">
        <v>2941</v>
      </c>
      <c r="D852" s="2698">
        <v>110000000</v>
      </c>
      <c r="E852" s="73">
        <f t="shared" ref="E852:E863" si="33">D852/108005114000*100</f>
        <v>0.10184702920641331</v>
      </c>
      <c r="F852" s="140"/>
      <c r="G852" s="140"/>
      <c r="H852" s="65"/>
      <c r="I852" s="197"/>
      <c r="J852" s="197"/>
      <c r="K852" s="348"/>
      <c r="L852" s="197"/>
      <c r="M852" s="197"/>
      <c r="N852" s="1132"/>
    </row>
    <row r="853" spans="1:17" ht="12.75" hidden="1" customHeight="1" x14ac:dyDescent="0.25">
      <c r="B853" s="1024"/>
      <c r="C853" s="2154"/>
      <c r="D853" s="140"/>
      <c r="E853" s="73"/>
      <c r="F853" s="140"/>
      <c r="G853" s="140"/>
      <c r="H853" s="65"/>
      <c r="I853" s="197"/>
      <c r="J853" s="197"/>
      <c r="K853" s="348"/>
      <c r="L853" s="197"/>
      <c r="M853" s="197"/>
      <c r="N853" s="1132"/>
    </row>
    <row r="854" spans="1:17" s="32" customFormat="1" ht="32.25" hidden="1" customHeight="1" x14ac:dyDescent="0.25">
      <c r="B854" s="1024"/>
      <c r="C854" s="115" t="s">
        <v>2942</v>
      </c>
      <c r="D854" s="142">
        <f>SUM(D855:D857)</f>
        <v>276200000</v>
      </c>
      <c r="E854" s="157">
        <f t="shared" si="33"/>
        <v>0.25572863151646691</v>
      </c>
      <c r="F854" s="142"/>
      <c r="G854" s="142"/>
      <c r="H854" s="84"/>
      <c r="I854" s="157"/>
      <c r="J854" s="157"/>
      <c r="K854" s="202"/>
      <c r="L854" s="157"/>
      <c r="M854" s="157"/>
      <c r="N854" s="1903"/>
      <c r="P854" s="203"/>
      <c r="Q854" s="203"/>
    </row>
    <row r="855" spans="1:17" ht="33" hidden="1" customHeight="1" x14ac:dyDescent="0.25">
      <c r="B855" s="1024"/>
      <c r="C855" s="2154" t="s">
        <v>2943</v>
      </c>
      <c r="D855" s="140">
        <v>90000000</v>
      </c>
      <c r="E855" s="73">
        <f t="shared" si="33"/>
        <v>8.3329387532519977E-2</v>
      </c>
      <c r="F855" s="140"/>
      <c r="G855" s="140"/>
      <c r="H855" s="65"/>
      <c r="I855" s="197"/>
      <c r="J855" s="197"/>
      <c r="K855" s="348"/>
      <c r="L855" s="197"/>
      <c r="M855" s="197"/>
      <c r="N855" s="1132"/>
    </row>
    <row r="856" spans="1:17" ht="31.5" hidden="1" customHeight="1" x14ac:dyDescent="0.25">
      <c r="B856" s="1024"/>
      <c r="C856" s="2154" t="s">
        <v>7392</v>
      </c>
      <c r="D856" s="140">
        <v>96200000</v>
      </c>
      <c r="E856" s="73">
        <f t="shared" si="33"/>
        <v>8.9069856451426926E-2</v>
      </c>
      <c r="F856" s="140"/>
      <c r="G856" s="140"/>
      <c r="H856" s="65"/>
      <c r="I856" s="197"/>
      <c r="J856" s="197"/>
      <c r="K856" s="348"/>
      <c r="L856" s="197"/>
      <c r="M856" s="197"/>
      <c r="N856" s="1132"/>
    </row>
    <row r="857" spans="1:17" ht="20.25" hidden="1" customHeight="1" x14ac:dyDescent="0.25">
      <c r="B857" s="1024"/>
      <c r="C857" s="2154" t="s">
        <v>7393</v>
      </c>
      <c r="D857" s="140">
        <v>90000000</v>
      </c>
      <c r="E857" s="73">
        <f t="shared" si="33"/>
        <v>8.3329387532519977E-2</v>
      </c>
      <c r="F857" s="140"/>
      <c r="G857" s="140"/>
      <c r="H857" s="65"/>
      <c r="I857" s="197"/>
      <c r="J857" s="197"/>
      <c r="K857" s="348"/>
      <c r="L857" s="197"/>
      <c r="M857" s="197"/>
      <c r="N857" s="1132"/>
    </row>
    <row r="858" spans="1:17" ht="12.75" hidden="1" customHeight="1" x14ac:dyDescent="0.25">
      <c r="B858" s="1024"/>
      <c r="C858" s="2154"/>
      <c r="D858" s="140"/>
      <c r="E858" s="73"/>
      <c r="F858" s="140"/>
      <c r="G858" s="140"/>
      <c r="H858" s="65"/>
      <c r="I858" s="197"/>
      <c r="J858" s="197"/>
      <c r="K858" s="348"/>
      <c r="L858" s="197"/>
      <c r="M858" s="197"/>
      <c r="N858" s="1132"/>
    </row>
    <row r="859" spans="1:17" ht="20.25" hidden="1" customHeight="1" x14ac:dyDescent="0.25">
      <c r="B859" s="1024"/>
      <c r="C859" s="115" t="s">
        <v>2947</v>
      </c>
      <c r="D859" s="142">
        <f>D860</f>
        <v>338912400</v>
      </c>
      <c r="E859" s="157">
        <f t="shared" si="33"/>
        <v>0.31379291910196033</v>
      </c>
      <c r="F859" s="140"/>
      <c r="G859" s="140"/>
      <c r="H859" s="65"/>
      <c r="I859" s="197"/>
      <c r="J859" s="197"/>
      <c r="K859" s="348"/>
      <c r="L859" s="197"/>
      <c r="M859" s="197"/>
      <c r="N859" s="1132"/>
    </row>
    <row r="860" spans="1:17" ht="22.5" hidden="1" customHeight="1" x14ac:dyDescent="0.25">
      <c r="B860" s="1024"/>
      <c r="C860" s="2154" t="s">
        <v>7398</v>
      </c>
      <c r="D860" s="140">
        <v>338912400</v>
      </c>
      <c r="E860" s="73">
        <f t="shared" si="33"/>
        <v>0.31379291910196033</v>
      </c>
      <c r="F860" s="140"/>
      <c r="G860" s="140"/>
      <c r="H860" s="65"/>
      <c r="I860" s="197"/>
      <c r="J860" s="197"/>
      <c r="K860" s="348"/>
      <c r="L860" s="197"/>
      <c r="M860" s="197"/>
      <c r="N860" s="1132"/>
    </row>
    <row r="861" spans="1:17" ht="12.75" hidden="1" customHeight="1" x14ac:dyDescent="0.25">
      <c r="B861" s="1024"/>
      <c r="C861" s="2154"/>
      <c r="D861" s="140"/>
      <c r="E861" s="73"/>
      <c r="F861" s="140"/>
      <c r="G861" s="140"/>
      <c r="H861" s="65"/>
      <c r="I861" s="197"/>
      <c r="J861" s="197"/>
      <c r="K861" s="348"/>
      <c r="L861" s="197"/>
      <c r="M861" s="197"/>
      <c r="N861" s="1132"/>
    </row>
    <row r="862" spans="1:17" ht="21.75" hidden="1" customHeight="1" x14ac:dyDescent="0.25">
      <c r="B862" s="1024"/>
      <c r="C862" s="2525" t="s">
        <v>7407</v>
      </c>
      <c r="D862" s="2692">
        <f>D863</f>
        <v>80000000</v>
      </c>
      <c r="E862" s="351">
        <f t="shared" si="33"/>
        <v>7.4070566695573326E-2</v>
      </c>
      <c r="F862" s="140"/>
      <c r="G862" s="140"/>
      <c r="H862" s="65"/>
      <c r="I862" s="197"/>
      <c r="J862" s="197"/>
      <c r="K862" s="348"/>
      <c r="L862" s="197"/>
      <c r="M862" s="197"/>
      <c r="N862" s="1132"/>
    </row>
    <row r="863" spans="1:17" ht="21.75" hidden="1" customHeight="1" x14ac:dyDescent="0.25">
      <c r="B863" s="1024"/>
      <c r="C863" s="2524" t="s">
        <v>7408</v>
      </c>
      <c r="D863" s="2698">
        <v>80000000</v>
      </c>
      <c r="E863" s="73">
        <f t="shared" si="33"/>
        <v>7.4070566695573326E-2</v>
      </c>
      <c r="F863" s="140"/>
      <c r="G863" s="140"/>
      <c r="H863" s="65"/>
      <c r="I863" s="197"/>
      <c r="J863" s="197"/>
      <c r="K863" s="348"/>
      <c r="L863" s="197"/>
      <c r="M863" s="197"/>
      <c r="N863" s="1132"/>
    </row>
    <row r="864" spans="1:17" ht="12.75" hidden="1" customHeight="1" x14ac:dyDescent="0.25">
      <c r="B864" s="1024"/>
      <c r="C864" s="2162"/>
      <c r="D864" s="239"/>
      <c r="E864" s="85"/>
      <c r="F864" s="239"/>
      <c r="G864" s="239"/>
      <c r="H864" s="81"/>
      <c r="I864" s="215"/>
      <c r="J864" s="215"/>
      <c r="K864" s="1956"/>
      <c r="L864" s="215"/>
      <c r="M864" s="215"/>
      <c r="N864" s="1132"/>
    </row>
    <row r="865" spans="1:17" ht="19.5" hidden="1" customHeight="1" x14ac:dyDescent="0.25">
      <c r="A865" s="2"/>
      <c r="B865" s="440"/>
      <c r="C865" s="2497" t="s">
        <v>7409</v>
      </c>
      <c r="D865" s="2669">
        <f>SUM(D866+D869+D872)</f>
        <v>230400000</v>
      </c>
      <c r="E865" s="179">
        <f>D865/108005114000*100</f>
        <v>0.21332323208325116</v>
      </c>
      <c r="F865" s="3835"/>
      <c r="G865" s="2719"/>
      <c r="H865" s="2786"/>
      <c r="I865" s="2744"/>
      <c r="J865" s="2719"/>
      <c r="K865" s="2719"/>
      <c r="L865" s="2744"/>
      <c r="M865" s="2987"/>
      <c r="N865" s="2768"/>
      <c r="P865" s="617"/>
      <c r="Q865"/>
    </row>
    <row r="866" spans="1:17" ht="17.25" hidden="1" customHeight="1" x14ac:dyDescent="0.25">
      <c r="B866" s="1024"/>
      <c r="C866" s="2534" t="s">
        <v>7410</v>
      </c>
      <c r="D866" s="2712">
        <f>SUM(D867)</f>
        <v>55000000</v>
      </c>
      <c r="E866" s="266">
        <f>D866/108005114000*100</f>
        <v>5.0923514603206654E-2</v>
      </c>
      <c r="F866" s="239"/>
      <c r="G866" s="239"/>
      <c r="H866" s="81"/>
      <c r="I866" s="215"/>
      <c r="J866" s="215"/>
      <c r="K866" s="1956"/>
      <c r="L866" s="215"/>
      <c r="M866" s="215"/>
      <c r="N866" s="1132"/>
    </row>
    <row r="867" spans="1:17" ht="19.5" hidden="1" customHeight="1" x14ac:dyDescent="0.25">
      <c r="B867" s="1024"/>
      <c r="C867" s="2524" t="s">
        <v>7411</v>
      </c>
      <c r="D867" s="896">
        <v>55000000</v>
      </c>
      <c r="E867" s="73">
        <f t="shared" ref="E867:E874" si="34">D867/108005114000*100</f>
        <v>5.0923514603206654E-2</v>
      </c>
      <c r="F867" s="140"/>
      <c r="G867" s="140"/>
      <c r="H867" s="65"/>
      <c r="I867" s="197"/>
      <c r="J867" s="197"/>
      <c r="K867" s="348"/>
      <c r="L867" s="197"/>
      <c r="M867" s="197"/>
      <c r="N867" s="1132"/>
    </row>
    <row r="868" spans="1:17" ht="12.75" hidden="1" customHeight="1" x14ac:dyDescent="0.25">
      <c r="B868" s="1024"/>
      <c r="C868" s="2154"/>
      <c r="D868" s="140"/>
      <c r="E868" s="73"/>
      <c r="F868" s="140"/>
      <c r="G868" s="140"/>
      <c r="H868" s="65"/>
      <c r="I868" s="197"/>
      <c r="J868" s="197"/>
      <c r="K868" s="348"/>
      <c r="L868" s="197"/>
      <c r="M868" s="197"/>
      <c r="N868" s="1132"/>
    </row>
    <row r="869" spans="1:17" ht="19.5" hidden="1" customHeight="1" x14ac:dyDescent="0.25">
      <c r="B869" s="1024"/>
      <c r="C869" s="2525" t="s">
        <v>7414</v>
      </c>
      <c r="D869" s="899">
        <f>D870</f>
        <v>49330000</v>
      </c>
      <c r="E869" s="157">
        <f t="shared" si="34"/>
        <v>4.5673763188657901E-2</v>
      </c>
      <c r="F869" s="140"/>
      <c r="G869" s="140"/>
      <c r="H869" s="65"/>
      <c r="I869" s="197"/>
      <c r="J869" s="197"/>
      <c r="K869" s="348"/>
      <c r="L869" s="197"/>
      <c r="M869" s="197"/>
      <c r="N869" s="1132"/>
    </row>
    <row r="870" spans="1:17" ht="18" hidden="1" customHeight="1" x14ac:dyDescent="0.25">
      <c r="B870" s="1024"/>
      <c r="C870" s="2524" t="s">
        <v>7415</v>
      </c>
      <c r="D870" s="896">
        <v>49330000</v>
      </c>
      <c r="E870" s="73">
        <f t="shared" si="34"/>
        <v>4.5673763188657901E-2</v>
      </c>
      <c r="F870" s="140"/>
      <c r="G870" s="140"/>
      <c r="H870" s="65"/>
      <c r="I870" s="197"/>
      <c r="J870" s="197"/>
      <c r="K870" s="348"/>
      <c r="L870" s="197"/>
      <c r="M870" s="197"/>
      <c r="N870" s="1132"/>
    </row>
    <row r="871" spans="1:17" ht="12.75" hidden="1" customHeight="1" x14ac:dyDescent="0.25">
      <c r="B871" s="1024"/>
      <c r="C871" s="2154"/>
      <c r="D871" s="140"/>
      <c r="E871" s="73"/>
      <c r="F871" s="140"/>
      <c r="G871" s="140"/>
      <c r="H871" s="65"/>
      <c r="I871" s="197"/>
      <c r="J871" s="197"/>
      <c r="K871" s="348"/>
      <c r="L871" s="197"/>
      <c r="M871" s="197"/>
      <c r="N871" s="1132"/>
    </row>
    <row r="872" spans="1:17" ht="28.5" hidden="1" customHeight="1" x14ac:dyDescent="0.25">
      <c r="B872" s="1024"/>
      <c r="C872" s="2525" t="s">
        <v>7416</v>
      </c>
      <c r="D872" s="899">
        <f>SUM(D873:D874)</f>
        <v>126070000</v>
      </c>
      <c r="E872" s="157">
        <f t="shared" si="34"/>
        <v>0.11672595429138662</v>
      </c>
      <c r="F872" s="140"/>
      <c r="G872" s="140"/>
      <c r="H872" s="65"/>
      <c r="I872" s="197"/>
      <c r="J872" s="197"/>
      <c r="K872" s="348"/>
      <c r="L872" s="197"/>
      <c r="M872" s="197"/>
      <c r="N872" s="1132"/>
    </row>
    <row r="873" spans="1:17" ht="20.25" hidden="1" customHeight="1" x14ac:dyDescent="0.25">
      <c r="B873" s="1024"/>
      <c r="C873" s="2524" t="s">
        <v>7418</v>
      </c>
      <c r="D873" s="896">
        <v>50950000</v>
      </c>
      <c r="E873" s="73">
        <f t="shared" si="34"/>
        <v>4.7173692164243261E-2</v>
      </c>
      <c r="F873" s="140"/>
      <c r="G873" s="140"/>
      <c r="H873" s="65"/>
      <c r="I873" s="197"/>
      <c r="J873" s="197"/>
      <c r="K873" s="348"/>
      <c r="L873" s="197"/>
      <c r="M873" s="197"/>
      <c r="N873" s="1132"/>
    </row>
    <row r="874" spans="1:17" ht="21.75" hidden="1" customHeight="1" x14ac:dyDescent="0.25">
      <c r="B874" s="1024"/>
      <c r="C874" s="2524" t="s">
        <v>7421</v>
      </c>
      <c r="D874" s="896">
        <v>75120000</v>
      </c>
      <c r="E874" s="73">
        <f t="shared" si="34"/>
        <v>6.9552262127143341E-2</v>
      </c>
      <c r="F874" s="140"/>
      <c r="G874" s="140"/>
      <c r="H874" s="65"/>
      <c r="I874" s="197"/>
      <c r="J874" s="197"/>
      <c r="K874" s="348"/>
      <c r="L874" s="197"/>
      <c r="M874" s="197"/>
      <c r="N874" s="1132"/>
    </row>
    <row r="875" spans="1:17" ht="12.75" hidden="1" customHeight="1" x14ac:dyDescent="0.25">
      <c r="B875" s="1024"/>
      <c r="C875" s="2162"/>
      <c r="D875" s="239"/>
      <c r="E875" s="85"/>
      <c r="F875" s="239"/>
      <c r="G875" s="239"/>
      <c r="H875" s="81"/>
      <c r="I875" s="215"/>
      <c r="J875" s="215"/>
      <c r="K875" s="1956"/>
      <c r="L875" s="215"/>
      <c r="M875" s="215"/>
      <c r="N875" s="1132"/>
    </row>
    <row r="876" spans="1:17" ht="19.5" hidden="1" customHeight="1" x14ac:dyDescent="0.25">
      <c r="B876" s="1029"/>
      <c r="C876" s="2497" t="s">
        <v>7473</v>
      </c>
      <c r="D876" s="2669">
        <f>SUM(D877)</f>
        <v>722300000</v>
      </c>
      <c r="E876" s="179">
        <f>D876/108005114000*100</f>
        <v>0.66876462905265766</v>
      </c>
      <c r="F876" s="677"/>
      <c r="G876" s="677"/>
      <c r="H876" s="4387"/>
      <c r="I876" s="987"/>
      <c r="J876" s="987"/>
      <c r="K876" s="2395"/>
      <c r="L876" s="987"/>
      <c r="M876" s="987"/>
      <c r="N876" s="1132"/>
    </row>
    <row r="877" spans="1:17" ht="19.5" hidden="1" customHeight="1" x14ac:dyDescent="0.25">
      <c r="B877" s="1024"/>
      <c r="C877" s="2525" t="s">
        <v>7469</v>
      </c>
      <c r="D877" s="2692">
        <f>SUM(D878:D880)</f>
        <v>722300000</v>
      </c>
      <c r="E877" s="266">
        <f>D877/108005114000*100</f>
        <v>0.66876462905265766</v>
      </c>
      <c r="F877" s="239"/>
      <c r="G877" s="239"/>
      <c r="H877" s="81"/>
      <c r="I877" s="215"/>
      <c r="J877" s="215"/>
      <c r="K877" s="1956"/>
      <c r="L877" s="215"/>
      <c r="M877" s="215"/>
      <c r="N877" s="1132"/>
    </row>
    <row r="878" spans="1:17" ht="16.5" hidden="1" customHeight="1" x14ac:dyDescent="0.25">
      <c r="B878" s="1024"/>
      <c r="C878" s="2524" t="s">
        <v>7470</v>
      </c>
      <c r="D878" s="896">
        <v>151300000</v>
      </c>
      <c r="E878" s="73">
        <f t="shared" ref="E878:E880" si="35">D878/108005114000*100</f>
        <v>0.14008595926300305</v>
      </c>
      <c r="F878" s="140"/>
      <c r="G878" s="140"/>
      <c r="H878" s="65"/>
      <c r="I878" s="197"/>
      <c r="J878" s="197"/>
      <c r="K878" s="348"/>
      <c r="L878" s="197"/>
      <c r="M878" s="215"/>
      <c r="N878" s="1132"/>
    </row>
    <row r="879" spans="1:17" ht="17.25" hidden="1" customHeight="1" x14ac:dyDescent="0.25">
      <c r="B879" s="1024"/>
      <c r="C879" s="2524" t="s">
        <v>7554</v>
      </c>
      <c r="D879" s="896">
        <v>100000000</v>
      </c>
      <c r="E879" s="73">
        <f t="shared" si="35"/>
        <v>9.2588208369466643E-2</v>
      </c>
      <c r="F879" s="140"/>
      <c r="G879" s="140"/>
      <c r="H879" s="65"/>
      <c r="I879" s="197"/>
      <c r="J879" s="197"/>
      <c r="K879" s="348"/>
      <c r="L879" s="197"/>
      <c r="M879" s="215"/>
      <c r="N879" s="1132"/>
    </row>
    <row r="880" spans="1:17" ht="15.75" hidden="1" customHeight="1" x14ac:dyDescent="0.25">
      <c r="B880" s="1024"/>
      <c r="C880" s="2524" t="s">
        <v>7471</v>
      </c>
      <c r="D880" s="2698">
        <v>471000000</v>
      </c>
      <c r="E880" s="73">
        <f t="shared" si="35"/>
        <v>0.43609046142018792</v>
      </c>
      <c r="F880" s="140"/>
      <c r="G880" s="140"/>
      <c r="H880" s="65"/>
      <c r="I880" s="197"/>
      <c r="J880" s="197"/>
      <c r="K880" s="348"/>
      <c r="L880" s="197"/>
      <c r="M880" s="215"/>
      <c r="N880" s="1132"/>
    </row>
    <row r="881" spans="1:19" ht="12.75" hidden="1" customHeight="1" x14ac:dyDescent="0.25">
      <c r="B881" s="1024"/>
      <c r="C881" s="2162"/>
      <c r="D881" s="239"/>
      <c r="E881" s="85"/>
      <c r="F881" s="239"/>
      <c r="G881" s="239"/>
      <c r="H881" s="81"/>
      <c r="I881" s="215"/>
      <c r="J881" s="215"/>
      <c r="K881" s="1956"/>
      <c r="L881" s="215"/>
      <c r="M881" s="215"/>
      <c r="N881" s="1132"/>
    </row>
    <row r="882" spans="1:19" ht="21" hidden="1" customHeight="1" x14ac:dyDescent="0.25">
      <c r="B882" s="1029"/>
      <c r="C882" s="89" t="s">
        <v>7550</v>
      </c>
      <c r="D882" s="131">
        <f>SUM(D883)</f>
        <v>5000000000</v>
      </c>
      <c r="E882" s="179">
        <f>D882/108005114000*100</f>
        <v>4.6294104184733325</v>
      </c>
      <c r="F882" s="131"/>
      <c r="G882" s="131"/>
      <c r="H882" s="78"/>
      <c r="I882" s="179"/>
      <c r="J882" s="131"/>
      <c r="K882" s="131"/>
      <c r="L882" s="78"/>
      <c r="M882" s="179"/>
      <c r="N882" s="1132"/>
    </row>
    <row r="883" spans="1:19" ht="16.5" hidden="1" customHeight="1" x14ac:dyDescent="0.25">
      <c r="B883" s="1993"/>
      <c r="C883" s="147" t="s">
        <v>7555</v>
      </c>
      <c r="D883" s="260">
        <f>SUM(D884)</f>
        <v>5000000000</v>
      </c>
      <c r="E883" s="266">
        <f>D883/108005114000*100</f>
        <v>4.6294104184733325</v>
      </c>
      <c r="F883" s="260"/>
      <c r="G883" s="260"/>
      <c r="H883" s="84"/>
      <c r="I883" s="84"/>
      <c r="J883" s="260"/>
      <c r="K883" s="260"/>
      <c r="L883" s="156"/>
      <c r="M883" s="157"/>
      <c r="N883" s="1132"/>
    </row>
    <row r="884" spans="1:19" ht="20.25" hidden="1" customHeight="1" x14ac:dyDescent="0.25">
      <c r="B884" s="1904"/>
      <c r="C884" s="82" t="s">
        <v>7556</v>
      </c>
      <c r="D884" s="232">
        <v>5000000000</v>
      </c>
      <c r="E884" s="73">
        <f t="shared" ref="E884" si="36">D884/108005114000*100</f>
        <v>4.6294104184733325</v>
      </c>
      <c r="F884" s="232"/>
      <c r="G884" s="232"/>
      <c r="H884" s="65"/>
      <c r="I884" s="194"/>
      <c r="J884" s="2256"/>
      <c r="K884" s="2257"/>
      <c r="L884" s="73"/>
      <c r="M884" s="73"/>
      <c r="N884" s="1132"/>
    </row>
    <row r="885" spans="1:19" ht="12" hidden="1" customHeight="1" x14ac:dyDescent="0.25">
      <c r="B885" s="1024"/>
      <c r="C885" s="119"/>
      <c r="D885" s="239"/>
      <c r="E885" s="85"/>
      <c r="F885" s="239"/>
      <c r="G885" s="239"/>
      <c r="H885" s="239"/>
      <c r="I885" s="239"/>
      <c r="J885" s="215"/>
      <c r="K885" s="2176"/>
      <c r="L885" s="191"/>
      <c r="M885" s="215"/>
      <c r="N885" s="1132"/>
    </row>
    <row r="886" spans="1:19" ht="17.25" hidden="1" customHeight="1" x14ac:dyDescent="0.25">
      <c r="B886" s="2034"/>
      <c r="C886" s="1998" t="s">
        <v>7004</v>
      </c>
      <c r="D886" s="1084">
        <f>SUM(D887+D947+D951+D958)</f>
        <v>44715640400</v>
      </c>
      <c r="E886" s="679">
        <f>D886/2512247400000*100</f>
        <v>1.7799059280546969</v>
      </c>
      <c r="F886" s="2043"/>
      <c r="G886" s="1084"/>
      <c r="H886" s="1084"/>
      <c r="I886" s="1084"/>
      <c r="J886" s="1084"/>
      <c r="K886" s="1084"/>
      <c r="L886" s="1084"/>
      <c r="M886" s="1084"/>
      <c r="N886" s="1132"/>
    </row>
    <row r="887" spans="1:19" ht="20.25" hidden="1" customHeight="1" x14ac:dyDescent="0.25">
      <c r="B887" s="2105"/>
      <c r="C887" s="4238" t="s">
        <v>4151</v>
      </c>
      <c r="D887" s="340">
        <f>SUM(D888+D892+D899+D911+D918+D928+D934+D944)</f>
        <v>41186007000</v>
      </c>
      <c r="E887" s="340">
        <f>D887/103304292000*100</f>
        <v>39.86863101486626</v>
      </c>
      <c r="F887" s="2207"/>
      <c r="G887" s="2207"/>
      <c r="H887" s="386"/>
      <c r="I887" s="370"/>
      <c r="J887" s="2208"/>
      <c r="K887" s="2207"/>
      <c r="L887" s="386"/>
      <c r="M887" s="233"/>
      <c r="N887" s="1132"/>
    </row>
    <row r="888" spans="1:19" ht="20.25" hidden="1" customHeight="1" x14ac:dyDescent="0.25">
      <c r="A888" s="2"/>
      <c r="B888" s="1024"/>
      <c r="C888" s="138" t="s">
        <v>4741</v>
      </c>
      <c r="D888" s="193">
        <f>SUM(D889:D890)</f>
        <v>800000000</v>
      </c>
      <c r="E888" s="1542">
        <f>D888/103304292000*100</f>
        <v>0.77441119290571203</v>
      </c>
      <c r="F888" s="2209"/>
      <c r="G888" s="2209"/>
      <c r="H888" s="521"/>
      <c r="I888" s="142"/>
      <c r="J888" s="2209"/>
      <c r="K888" s="2209"/>
      <c r="L888" s="521"/>
      <c r="M888" s="142"/>
      <c r="N888" s="1106"/>
      <c r="P888" s="5088" t="s">
        <v>3088</v>
      </c>
      <c r="Q888" s="5089"/>
      <c r="R888" s="5089"/>
      <c r="S888" s="5089"/>
    </row>
    <row r="889" spans="1:19" ht="16.5" hidden="1" customHeight="1" x14ac:dyDescent="0.25">
      <c r="A889" s="2"/>
      <c r="B889" s="1024"/>
      <c r="C889" s="132" t="s">
        <v>4742</v>
      </c>
      <c r="D889" s="73">
        <v>400000000</v>
      </c>
      <c r="E889" s="65">
        <f t="shared" ref="E889:E890" si="37">D889/103304292000*100</f>
        <v>0.38720559645285602</v>
      </c>
      <c r="F889" s="1104"/>
      <c r="G889" s="936"/>
      <c r="H889" s="256"/>
      <c r="I889" s="140"/>
      <c r="J889" s="1104"/>
      <c r="K889" s="368"/>
      <c r="L889" s="256"/>
      <c r="M889" s="140"/>
      <c r="N889" s="1106"/>
      <c r="P889" s="618" t="s">
        <v>3089</v>
      </c>
      <c r="Q889"/>
    </row>
    <row r="890" spans="1:19" ht="18" hidden="1" customHeight="1" x14ac:dyDescent="0.25">
      <c r="A890" s="2"/>
      <c r="B890" s="1024"/>
      <c r="C890" s="132" t="s">
        <v>4743</v>
      </c>
      <c r="D890" s="73">
        <v>400000000</v>
      </c>
      <c r="E890" s="65">
        <f t="shared" si="37"/>
        <v>0.38720559645285602</v>
      </c>
      <c r="F890" s="1104"/>
      <c r="G890" s="936"/>
      <c r="H890" s="256"/>
      <c r="I890" s="140"/>
      <c r="J890" s="1104"/>
      <c r="K890" s="1104"/>
      <c r="L890" s="256"/>
      <c r="M890" s="140"/>
      <c r="N890" s="1106"/>
      <c r="P890" s="617" t="s">
        <v>4153</v>
      </c>
      <c r="Q890"/>
    </row>
    <row r="891" spans="1:19" ht="9.75" hidden="1" customHeight="1" x14ac:dyDescent="0.25">
      <c r="A891" s="2"/>
      <c r="B891" s="1024"/>
      <c r="C891" s="119"/>
      <c r="D891" s="85"/>
      <c r="E891" s="153"/>
      <c r="F891" s="239"/>
      <c r="G891" s="140"/>
      <c r="H891" s="140"/>
      <c r="I891" s="140"/>
      <c r="J891" s="923"/>
      <c r="K891" s="368"/>
      <c r="L891" s="140"/>
      <c r="M891" s="140"/>
      <c r="N891" s="1106"/>
      <c r="P891" s="617" t="s">
        <v>4154</v>
      </c>
      <c r="Q891"/>
    </row>
    <row r="892" spans="1:19" ht="21.75" hidden="1" customHeight="1" x14ac:dyDescent="0.25">
      <c r="A892" s="2"/>
      <c r="B892" s="1024"/>
      <c r="C892" s="138" t="s">
        <v>4744</v>
      </c>
      <c r="D892" s="157">
        <f>SUM(D893:D897)</f>
        <v>1400000000</v>
      </c>
      <c r="E892" s="1542">
        <f>D892/103304292000*100</f>
        <v>1.3552195875849959</v>
      </c>
      <c r="F892" s="1118"/>
      <c r="G892" s="1118"/>
      <c r="H892" s="255"/>
      <c r="I892" s="142"/>
      <c r="J892" s="1118"/>
      <c r="K892" s="1118"/>
      <c r="L892" s="521"/>
      <c r="M892" s="142"/>
      <c r="N892" s="1106"/>
      <c r="P892" s="617" t="s">
        <v>4155</v>
      </c>
      <c r="Q892"/>
    </row>
    <row r="893" spans="1:19" ht="28.5" hidden="1" customHeight="1" x14ac:dyDescent="0.25">
      <c r="A893" s="2"/>
      <c r="B893" s="1024"/>
      <c r="C893" s="132" t="s">
        <v>4745</v>
      </c>
      <c r="D893" s="2023">
        <v>300000000</v>
      </c>
      <c r="E893" s="65">
        <f t="shared" ref="E893:E945" si="38">D893/103304292000*100</f>
        <v>0.29040419733964201</v>
      </c>
      <c r="F893" s="1104"/>
      <c r="G893" s="936"/>
      <c r="H893" s="256"/>
      <c r="I893" s="140"/>
      <c r="J893" s="1104"/>
      <c r="K893" s="368"/>
      <c r="L893" s="256"/>
      <c r="M893" s="140"/>
      <c r="N893" s="1106"/>
      <c r="P893" s="617" t="s">
        <v>2392</v>
      </c>
      <c r="Q893"/>
    </row>
    <row r="894" spans="1:19" ht="18.75" hidden="1" customHeight="1" x14ac:dyDescent="0.25">
      <c r="A894" s="2"/>
      <c r="B894" s="1024"/>
      <c r="C894" s="132" t="s">
        <v>4746</v>
      </c>
      <c r="D894" s="73">
        <v>300000000</v>
      </c>
      <c r="E894" s="65">
        <f t="shared" si="38"/>
        <v>0.29040419733964201</v>
      </c>
      <c r="F894" s="1104"/>
      <c r="G894" s="936"/>
      <c r="H894" s="256"/>
      <c r="I894" s="140"/>
      <c r="J894" s="1104"/>
      <c r="K894" s="368"/>
      <c r="L894" s="256"/>
      <c r="M894" s="140"/>
      <c r="N894" s="1106"/>
      <c r="P894" s="617" t="s">
        <v>4156</v>
      </c>
      <c r="Q894"/>
    </row>
    <row r="895" spans="1:19" ht="17.25" hidden="1" customHeight="1" x14ac:dyDescent="0.25">
      <c r="A895" s="2"/>
      <c r="B895" s="1024"/>
      <c r="C895" s="132" t="s">
        <v>4747</v>
      </c>
      <c r="D895" s="73">
        <v>200000000</v>
      </c>
      <c r="E895" s="65">
        <f t="shared" si="38"/>
        <v>0.19360279822642801</v>
      </c>
      <c r="F895" s="1104"/>
      <c r="G895" s="936"/>
      <c r="H895" s="256"/>
      <c r="I895" s="140"/>
      <c r="J895" s="1104"/>
      <c r="K895" s="368"/>
      <c r="L895" s="256"/>
      <c r="M895" s="140"/>
      <c r="N895" s="1106"/>
      <c r="P895" s="617" t="s">
        <v>4157</v>
      </c>
      <c r="Q895"/>
    </row>
    <row r="896" spans="1:19" ht="21" hidden="1" customHeight="1" x14ac:dyDescent="0.25">
      <c r="A896" s="2"/>
      <c r="B896" s="1024"/>
      <c r="C896" s="132" t="s">
        <v>4748</v>
      </c>
      <c r="D896" s="73">
        <v>300000000</v>
      </c>
      <c r="E896" s="65">
        <f t="shared" si="38"/>
        <v>0.29040419733964201</v>
      </c>
      <c r="F896" s="1104"/>
      <c r="G896" s="936"/>
      <c r="H896" s="256"/>
      <c r="I896" s="140"/>
      <c r="J896" s="1104"/>
      <c r="K896" s="368"/>
      <c r="L896" s="256"/>
      <c r="M896" s="140"/>
      <c r="N896" s="1106"/>
      <c r="P896" s="617" t="s">
        <v>4158</v>
      </c>
      <c r="Q896"/>
    </row>
    <row r="897" spans="1:17" ht="27.75" hidden="1" customHeight="1" x14ac:dyDescent="0.25">
      <c r="A897" s="2"/>
      <c r="B897" s="1024"/>
      <c r="C897" s="132" t="s">
        <v>4749</v>
      </c>
      <c r="D897" s="73">
        <v>300000000</v>
      </c>
      <c r="E897" s="65">
        <f t="shared" si="38"/>
        <v>0.29040419733964201</v>
      </c>
      <c r="F897" s="1104"/>
      <c r="G897" s="936"/>
      <c r="H897" s="256"/>
      <c r="I897" s="140"/>
      <c r="J897" s="1104"/>
      <c r="K897" s="368"/>
      <c r="L897" s="256"/>
      <c r="M897" s="140"/>
      <c r="N897" s="1106"/>
      <c r="P897" s="617" t="s">
        <v>4159</v>
      </c>
      <c r="Q897"/>
    </row>
    <row r="898" spans="1:17" ht="12" hidden="1" customHeight="1" x14ac:dyDescent="0.25">
      <c r="A898" s="2"/>
      <c r="B898" s="1024"/>
      <c r="C898" s="177"/>
      <c r="D898" s="191"/>
      <c r="E898" s="65"/>
      <c r="F898" s="162"/>
      <c r="G898" s="154"/>
      <c r="H898" s="154"/>
      <c r="I898" s="140"/>
      <c r="J898" s="245"/>
      <c r="K898" s="368"/>
      <c r="L898" s="140"/>
      <c r="M898" s="140"/>
      <c r="N898" s="1106"/>
      <c r="P898" s="617" t="s">
        <v>4160</v>
      </c>
      <c r="Q898"/>
    </row>
    <row r="899" spans="1:17" s="32" customFormat="1" ht="27" hidden="1" customHeight="1" x14ac:dyDescent="0.25">
      <c r="A899" s="1"/>
      <c r="B899" s="1024"/>
      <c r="C899" s="175" t="s">
        <v>4750</v>
      </c>
      <c r="D899" s="157">
        <f>SUM(D900:D909)</f>
        <v>5068603000</v>
      </c>
      <c r="E899" s="84">
        <f t="shared" si="38"/>
        <v>4.9064786194943384</v>
      </c>
      <c r="F899" s="176"/>
      <c r="G899" s="234"/>
      <c r="H899" s="234"/>
      <c r="I899" s="142"/>
      <c r="J899" s="2210"/>
      <c r="K899" s="680"/>
      <c r="L899" s="234"/>
      <c r="M899" s="142"/>
      <c r="N899" s="1483"/>
      <c r="P899" s="630"/>
    </row>
    <row r="900" spans="1:17" ht="19.5" hidden="1" customHeight="1" x14ac:dyDescent="0.25">
      <c r="A900" s="2"/>
      <c r="B900" s="1024"/>
      <c r="C900" s="168" t="s">
        <v>4751</v>
      </c>
      <c r="D900" s="73">
        <v>1000000000</v>
      </c>
      <c r="E900" s="65">
        <f t="shared" si="38"/>
        <v>0.96801399113213993</v>
      </c>
      <c r="F900" s="169"/>
      <c r="G900" s="154"/>
      <c r="H900" s="154"/>
      <c r="I900" s="140"/>
      <c r="J900" s="245"/>
      <c r="K900" s="368"/>
      <c r="L900" s="154"/>
      <c r="M900" s="140"/>
      <c r="N900" s="1106"/>
      <c r="P900" s="617"/>
      <c r="Q900"/>
    </row>
    <row r="901" spans="1:17" ht="18.75" hidden="1" customHeight="1" x14ac:dyDescent="0.25">
      <c r="A901" s="2"/>
      <c r="B901" s="1024"/>
      <c r="C901" s="168" t="s">
        <v>4752</v>
      </c>
      <c r="D901" s="73">
        <v>875000000</v>
      </c>
      <c r="E901" s="65">
        <f t="shared" si="38"/>
        <v>0.84701224224062244</v>
      </c>
      <c r="F901" s="169"/>
      <c r="G901" s="154"/>
      <c r="H901" s="154"/>
      <c r="I901" s="140"/>
      <c r="J901" s="245"/>
      <c r="K901" s="368"/>
      <c r="L901" s="154"/>
      <c r="M901" s="140"/>
      <c r="N901" s="1106"/>
      <c r="P901" s="617"/>
      <c r="Q901"/>
    </row>
    <row r="902" spans="1:17" ht="19.5" hidden="1" customHeight="1" x14ac:dyDescent="0.25">
      <c r="A902" s="2"/>
      <c r="B902" s="1024"/>
      <c r="C902" s="168" t="s">
        <v>4753</v>
      </c>
      <c r="D902" s="73">
        <v>400000000</v>
      </c>
      <c r="E902" s="65">
        <f t="shared" si="38"/>
        <v>0.38720559645285602</v>
      </c>
      <c r="F902" s="169"/>
      <c r="G902" s="154"/>
      <c r="H902" s="154"/>
      <c r="I902" s="140"/>
      <c r="J902" s="245"/>
      <c r="K902" s="368"/>
      <c r="L902" s="154"/>
      <c r="M902" s="140"/>
      <c r="N902" s="1106"/>
      <c r="P902" s="617"/>
      <c r="Q902"/>
    </row>
    <row r="903" spans="1:17" ht="18" hidden="1" customHeight="1" x14ac:dyDescent="0.25">
      <c r="A903" s="2"/>
      <c r="B903" s="1024"/>
      <c r="C903" s="168" t="s">
        <v>4754</v>
      </c>
      <c r="D903" s="73">
        <v>100000000</v>
      </c>
      <c r="E903" s="65">
        <f t="shared" si="38"/>
        <v>9.6801399113214004E-2</v>
      </c>
      <c r="F903" s="169"/>
      <c r="G903" s="154"/>
      <c r="H903" s="154"/>
      <c r="I903" s="140"/>
      <c r="J903" s="245"/>
      <c r="K903" s="368"/>
      <c r="L903" s="154"/>
      <c r="M903" s="140"/>
      <c r="N903" s="1106"/>
      <c r="P903" s="617"/>
      <c r="Q903"/>
    </row>
    <row r="904" spans="1:17" ht="16.5" hidden="1" customHeight="1" x14ac:dyDescent="0.25">
      <c r="A904" s="2"/>
      <c r="B904" s="1024"/>
      <c r="C904" s="168" t="s">
        <v>4755</v>
      </c>
      <c r="D904" s="73">
        <v>600000000</v>
      </c>
      <c r="E904" s="65">
        <f t="shared" si="38"/>
        <v>0.58080839467928402</v>
      </c>
      <c r="F904" s="169"/>
      <c r="G904" s="154"/>
      <c r="H904" s="154"/>
      <c r="I904" s="140"/>
      <c r="J904" s="245"/>
      <c r="K904" s="368"/>
      <c r="L904" s="154"/>
      <c r="M904" s="140"/>
      <c r="N904" s="1106"/>
      <c r="P904" s="617"/>
      <c r="Q904"/>
    </row>
    <row r="905" spans="1:17" ht="17.25" hidden="1" customHeight="1" x14ac:dyDescent="0.25">
      <c r="A905" s="2"/>
      <c r="B905" s="1024"/>
      <c r="C905" s="168" t="s">
        <v>4756</v>
      </c>
      <c r="D905" s="73">
        <v>300000000</v>
      </c>
      <c r="E905" s="65">
        <f t="shared" si="38"/>
        <v>0.29040419733964201</v>
      </c>
      <c r="F905" s="169"/>
      <c r="G905" s="154"/>
      <c r="H905" s="154"/>
      <c r="I905" s="140"/>
      <c r="J905" s="245"/>
      <c r="K905" s="368"/>
      <c r="L905" s="154"/>
      <c r="M905" s="140"/>
      <c r="N905" s="1106"/>
      <c r="P905" s="617"/>
      <c r="Q905"/>
    </row>
    <row r="906" spans="1:17" ht="18.75" hidden="1" customHeight="1" x14ac:dyDescent="0.25">
      <c r="A906" s="2"/>
      <c r="B906" s="1024"/>
      <c r="C906" s="168" t="s">
        <v>4757</v>
      </c>
      <c r="D906" s="73">
        <v>500000000</v>
      </c>
      <c r="E906" s="65">
        <f t="shared" si="38"/>
        <v>0.48400699556606996</v>
      </c>
      <c r="F906" s="169"/>
      <c r="G906" s="154"/>
      <c r="H906" s="154"/>
      <c r="I906" s="140"/>
      <c r="J906" s="245"/>
      <c r="K906" s="368"/>
      <c r="L906" s="154"/>
      <c r="M906" s="140"/>
      <c r="N906" s="1106"/>
      <c r="P906" s="617"/>
      <c r="Q906"/>
    </row>
    <row r="907" spans="1:17" ht="18" hidden="1" customHeight="1" x14ac:dyDescent="0.25">
      <c r="A907" s="2"/>
      <c r="B907" s="1024"/>
      <c r="C907" s="168" t="s">
        <v>4758</v>
      </c>
      <c r="D907" s="73">
        <v>300000000</v>
      </c>
      <c r="E907" s="65">
        <f t="shared" si="38"/>
        <v>0.29040419733964201</v>
      </c>
      <c r="F907" s="169"/>
      <c r="G907" s="154"/>
      <c r="H907" s="154"/>
      <c r="I907" s="140"/>
      <c r="J907" s="245"/>
      <c r="K907" s="368"/>
      <c r="L907" s="154"/>
      <c r="M907" s="140"/>
      <c r="N907" s="1106"/>
      <c r="P907" s="617"/>
      <c r="Q907"/>
    </row>
    <row r="908" spans="1:17" ht="17.25" hidden="1" customHeight="1" x14ac:dyDescent="0.25">
      <c r="A908" s="2"/>
      <c r="B908" s="1024"/>
      <c r="C908" s="168" t="s">
        <v>4759</v>
      </c>
      <c r="D908" s="73">
        <v>700000000</v>
      </c>
      <c r="E908" s="65">
        <f t="shared" si="38"/>
        <v>0.67760979379249797</v>
      </c>
      <c r="F908" s="169"/>
      <c r="G908" s="154"/>
      <c r="H908" s="154"/>
      <c r="I908" s="140"/>
      <c r="J908" s="245"/>
      <c r="K908" s="368"/>
      <c r="L908" s="154"/>
      <c r="M908" s="140"/>
      <c r="N908" s="1106"/>
      <c r="P908" s="617"/>
      <c r="Q908"/>
    </row>
    <row r="909" spans="1:17" ht="18.75" hidden="1" customHeight="1" x14ac:dyDescent="0.25">
      <c r="A909" s="2"/>
      <c r="B909" s="1024"/>
      <c r="C909" s="168" t="s">
        <v>4760</v>
      </c>
      <c r="D909" s="73">
        <v>293603000</v>
      </c>
      <c r="E909" s="65">
        <f t="shared" si="38"/>
        <v>0.28421181183836969</v>
      </c>
      <c r="F909" s="169"/>
      <c r="G909" s="154"/>
      <c r="H909" s="154"/>
      <c r="I909" s="140"/>
      <c r="J909" s="245"/>
      <c r="K909" s="368"/>
      <c r="L909" s="154"/>
      <c r="M909" s="140"/>
      <c r="N909" s="1106"/>
      <c r="P909" s="617"/>
      <c r="Q909"/>
    </row>
    <row r="910" spans="1:17" ht="12.75" hidden="1" customHeight="1" x14ac:dyDescent="0.25">
      <c r="A910" s="2"/>
      <c r="B910" s="1024"/>
      <c r="C910" s="177"/>
      <c r="D910" s="191"/>
      <c r="E910" s="65"/>
      <c r="F910" s="162"/>
      <c r="G910" s="154"/>
      <c r="H910" s="154"/>
      <c r="I910" s="140"/>
      <c r="J910" s="245"/>
      <c r="K910" s="368"/>
      <c r="L910" s="154"/>
      <c r="M910" s="140"/>
      <c r="N910" s="1106"/>
      <c r="P910" s="617"/>
      <c r="Q910"/>
    </row>
    <row r="911" spans="1:17" ht="19.5" hidden="1" customHeight="1" x14ac:dyDescent="0.25">
      <c r="A911" s="2"/>
      <c r="B911" s="1024"/>
      <c r="C911" s="138" t="s">
        <v>4761</v>
      </c>
      <c r="D911" s="157">
        <f>SUM(D912:D916)</f>
        <v>11600000000</v>
      </c>
      <c r="E911" s="84">
        <f t="shared" si="38"/>
        <v>11.228962297132822</v>
      </c>
      <c r="F911" s="1118"/>
      <c r="G911" s="1118"/>
      <c r="H911" s="255"/>
      <c r="I911" s="142"/>
      <c r="J911" s="1118"/>
      <c r="K911" s="1118"/>
      <c r="L911" s="521"/>
      <c r="M911" s="142"/>
      <c r="N911" s="1106"/>
      <c r="P911" s="617"/>
      <c r="Q911"/>
    </row>
    <row r="912" spans="1:17" ht="15.75" hidden="1" customHeight="1" x14ac:dyDescent="0.25">
      <c r="A912" s="2"/>
      <c r="B912" s="1024"/>
      <c r="C912" s="132" t="s">
        <v>4762</v>
      </c>
      <c r="D912" s="73">
        <v>600000000</v>
      </c>
      <c r="E912" s="65">
        <f t="shared" si="38"/>
        <v>0.58080839467928402</v>
      </c>
      <c r="F912" s="149"/>
      <c r="G912" s="936"/>
      <c r="H912" s="256"/>
      <c r="I912" s="140"/>
      <c r="J912" s="206"/>
      <c r="K912" s="936"/>
      <c r="L912" s="256"/>
      <c r="M912" s="140"/>
      <c r="N912" s="1106"/>
      <c r="P912" s="617"/>
      <c r="Q912"/>
    </row>
    <row r="913" spans="1:17" ht="18" hidden="1" customHeight="1" x14ac:dyDescent="0.25">
      <c r="A913" s="2"/>
      <c r="B913" s="1024"/>
      <c r="C913" s="132" t="s">
        <v>4763</v>
      </c>
      <c r="D913" s="73">
        <v>10000000000</v>
      </c>
      <c r="E913" s="65">
        <f t="shared" si="38"/>
        <v>9.6801399113214011</v>
      </c>
      <c r="F913" s="1104"/>
      <c r="G913" s="936"/>
      <c r="H913" s="256"/>
      <c r="I913" s="140"/>
      <c r="J913" s="1104"/>
      <c r="K913" s="984"/>
      <c r="L913" s="256"/>
      <c r="M913" s="140"/>
      <c r="N913" s="1106"/>
      <c r="P913" s="617"/>
      <c r="Q913"/>
    </row>
    <row r="914" spans="1:17" ht="18.75" hidden="1" customHeight="1" x14ac:dyDescent="0.25">
      <c r="A914" s="2"/>
      <c r="B914" s="1024"/>
      <c r="C914" s="132" t="s">
        <v>4764</v>
      </c>
      <c r="D914" s="73">
        <v>100000000</v>
      </c>
      <c r="E914" s="65">
        <f t="shared" si="38"/>
        <v>9.6801399113214004E-2</v>
      </c>
      <c r="F914" s="1104"/>
      <c r="G914" s="936"/>
      <c r="H914" s="256"/>
      <c r="I914" s="140"/>
      <c r="J914" s="1104"/>
      <c r="K914" s="1104"/>
      <c r="L914" s="256"/>
      <c r="M914" s="140"/>
      <c r="N914" s="1106"/>
      <c r="P914" s="617"/>
      <c r="Q914"/>
    </row>
    <row r="915" spans="1:17" ht="17.25" hidden="1" customHeight="1" x14ac:dyDescent="0.25">
      <c r="A915" s="2"/>
      <c r="B915" s="1024"/>
      <c r="C915" s="132" t="s">
        <v>4765</v>
      </c>
      <c r="D915" s="2023">
        <v>100000000</v>
      </c>
      <c r="E915" s="65">
        <f t="shared" si="38"/>
        <v>9.6801399113214004E-2</v>
      </c>
      <c r="F915" s="1104"/>
      <c r="G915" s="936"/>
      <c r="H915" s="256"/>
      <c r="I915" s="140"/>
      <c r="J915" s="1104"/>
      <c r="K915" s="936"/>
      <c r="L915" s="256"/>
      <c r="M915" s="140"/>
      <c r="N915" s="1106"/>
      <c r="P915" s="617"/>
      <c r="Q915"/>
    </row>
    <row r="916" spans="1:17" ht="14.25" hidden="1" customHeight="1" x14ac:dyDescent="0.25">
      <c r="A916" s="2"/>
      <c r="B916" s="1024"/>
      <c r="C916" s="132" t="s">
        <v>4766</v>
      </c>
      <c r="D916" s="73">
        <v>800000000</v>
      </c>
      <c r="E916" s="65">
        <f t="shared" si="38"/>
        <v>0.77441119290571203</v>
      </c>
      <c r="F916" s="1104"/>
      <c r="G916" s="936"/>
      <c r="H916" s="256"/>
      <c r="I916" s="140"/>
      <c r="J916" s="1104"/>
      <c r="K916" s="936"/>
      <c r="L916" s="256"/>
      <c r="M916" s="140"/>
      <c r="N916" s="1106"/>
      <c r="P916" s="617"/>
      <c r="Q916"/>
    </row>
    <row r="917" spans="1:17" ht="12" hidden="1" customHeight="1" x14ac:dyDescent="0.25">
      <c r="A917" s="2"/>
      <c r="B917" s="1024"/>
      <c r="C917" s="177"/>
      <c r="D917" s="191"/>
      <c r="E917" s="65"/>
      <c r="F917" s="162"/>
      <c r="G917" s="986"/>
      <c r="H917" s="154"/>
      <c r="I917" s="140"/>
      <c r="J917" s="245"/>
      <c r="K917" s="985"/>
      <c r="L917" s="140"/>
      <c r="M917" s="140"/>
      <c r="N917" s="1106"/>
      <c r="P917" s="617"/>
      <c r="Q917"/>
    </row>
    <row r="918" spans="1:17" ht="17.25" hidden="1" customHeight="1" x14ac:dyDescent="0.25">
      <c r="A918" s="2"/>
      <c r="B918" s="1024"/>
      <c r="C918" s="138" t="s">
        <v>663</v>
      </c>
      <c r="D918" s="157">
        <f>SUM(D919:D926)</f>
        <v>1650000000</v>
      </c>
      <c r="E918" s="84">
        <f t="shared" si="38"/>
        <v>1.5972230853680311</v>
      </c>
      <c r="F918" s="1118"/>
      <c r="G918" s="1118"/>
      <c r="H918" s="255"/>
      <c r="I918" s="142"/>
      <c r="J918" s="1118"/>
      <c r="K918" s="1118"/>
      <c r="L918" s="521"/>
      <c r="M918" s="142"/>
      <c r="N918" s="1106"/>
      <c r="P918" s="617"/>
      <c r="Q918"/>
    </row>
    <row r="919" spans="1:17" ht="18.75" hidden="1" customHeight="1" x14ac:dyDescent="0.25">
      <c r="A919" s="2"/>
      <c r="B919" s="1024"/>
      <c r="C919" s="132" t="s">
        <v>4767</v>
      </c>
      <c r="D919" s="73">
        <v>200000000</v>
      </c>
      <c r="E919" s="65">
        <f t="shared" si="38"/>
        <v>0.19360279822642801</v>
      </c>
      <c r="F919" s="1104"/>
      <c r="G919" s="2211"/>
      <c r="H919" s="256"/>
      <c r="I919" s="140"/>
      <c r="J919" s="1104"/>
      <c r="K919" s="936"/>
      <c r="L919" s="256"/>
      <c r="M919" s="140"/>
      <c r="N919" s="1106"/>
      <c r="P919" s="617"/>
      <c r="Q919"/>
    </row>
    <row r="920" spans="1:17" ht="18.75" hidden="1" customHeight="1" x14ac:dyDescent="0.25">
      <c r="A920" s="2"/>
      <c r="B920" s="1024"/>
      <c r="C920" s="132" t="s">
        <v>4768</v>
      </c>
      <c r="D920" s="73">
        <v>200000000</v>
      </c>
      <c r="E920" s="65">
        <f t="shared" si="38"/>
        <v>0.19360279822642801</v>
      </c>
      <c r="F920" s="1104"/>
      <c r="G920" s="936"/>
      <c r="H920" s="256"/>
      <c r="I920" s="140"/>
      <c r="J920" s="1104"/>
      <c r="K920" s="936"/>
      <c r="L920" s="256"/>
      <c r="M920" s="140"/>
      <c r="N920" s="1106"/>
      <c r="P920" s="617"/>
      <c r="Q920"/>
    </row>
    <row r="921" spans="1:17" ht="16.5" hidden="1" customHeight="1" x14ac:dyDescent="0.25">
      <c r="A921" s="2"/>
      <c r="B921" s="1024"/>
      <c r="C921" s="132" t="s">
        <v>4769</v>
      </c>
      <c r="D921" s="73">
        <v>300000000</v>
      </c>
      <c r="E921" s="65">
        <f t="shared" si="38"/>
        <v>0.29040419733964201</v>
      </c>
      <c r="F921" s="1104"/>
      <c r="G921" s="154"/>
      <c r="H921" s="154"/>
      <c r="I921" s="154"/>
      <c r="J921" s="1104"/>
      <c r="K921" s="893"/>
      <c r="L921" s="154"/>
      <c r="M921" s="154"/>
      <c r="N921" s="1106"/>
      <c r="P921" s="617"/>
      <c r="Q921"/>
    </row>
    <row r="922" spans="1:17" ht="18" hidden="1" customHeight="1" x14ac:dyDescent="0.25">
      <c r="A922" s="2"/>
      <c r="B922" s="1024"/>
      <c r="C922" s="132" t="s">
        <v>4770</v>
      </c>
      <c r="D922" s="73">
        <v>200000000</v>
      </c>
      <c r="E922" s="65">
        <f t="shared" si="38"/>
        <v>0.19360279822642801</v>
      </c>
      <c r="F922" s="1104"/>
      <c r="G922" s="154"/>
      <c r="H922" s="154"/>
      <c r="I922" s="154"/>
      <c r="J922" s="1104"/>
      <c r="K922" s="893"/>
      <c r="L922" s="154"/>
      <c r="M922" s="154"/>
      <c r="N922" s="1106"/>
      <c r="P922" s="617"/>
      <c r="Q922"/>
    </row>
    <row r="923" spans="1:17" ht="16.5" hidden="1" customHeight="1" x14ac:dyDescent="0.25">
      <c r="A923" s="2"/>
      <c r="B923" s="1024"/>
      <c r="C923" s="132" t="s">
        <v>4771</v>
      </c>
      <c r="D923" s="73">
        <v>250000000</v>
      </c>
      <c r="E923" s="65">
        <f t="shared" si="38"/>
        <v>0.24200349778303498</v>
      </c>
      <c r="F923" s="1104"/>
      <c r="G923" s="154"/>
      <c r="H923" s="154"/>
      <c r="I923" s="154"/>
      <c r="J923" s="1104"/>
      <c r="K923" s="893"/>
      <c r="L923" s="154"/>
      <c r="M923" s="154"/>
      <c r="N923" s="1106"/>
      <c r="P923" s="617"/>
      <c r="Q923"/>
    </row>
    <row r="924" spans="1:17" ht="18" hidden="1" customHeight="1" x14ac:dyDescent="0.25">
      <c r="A924" s="2"/>
      <c r="B924" s="1024"/>
      <c r="C924" s="132" t="s">
        <v>4772</v>
      </c>
      <c r="D924" s="73">
        <v>100000000</v>
      </c>
      <c r="E924" s="65">
        <f t="shared" si="38"/>
        <v>9.6801399113214004E-2</v>
      </c>
      <c r="F924" s="1104"/>
      <c r="G924" s="154"/>
      <c r="H924" s="154"/>
      <c r="I924" s="154"/>
      <c r="J924" s="1104"/>
      <c r="K924" s="893"/>
      <c r="L924" s="154"/>
      <c r="M924" s="154"/>
      <c r="N924" s="1106"/>
      <c r="P924" s="617"/>
      <c r="Q924"/>
    </row>
    <row r="925" spans="1:17" ht="18" hidden="1" customHeight="1" x14ac:dyDescent="0.25">
      <c r="A925" s="2"/>
      <c r="B925" s="1024"/>
      <c r="C925" s="132" t="s">
        <v>4773</v>
      </c>
      <c r="D925" s="73">
        <v>100000000</v>
      </c>
      <c r="E925" s="65">
        <f t="shared" si="38"/>
        <v>9.6801399113214004E-2</v>
      </c>
      <c r="F925" s="1104"/>
      <c r="G925" s="154"/>
      <c r="H925" s="154"/>
      <c r="I925" s="154"/>
      <c r="J925" s="1104"/>
      <c r="K925" s="984"/>
      <c r="L925" s="256"/>
      <c r="M925" s="140"/>
      <c r="N925" s="1106"/>
      <c r="P925" s="617"/>
      <c r="Q925"/>
    </row>
    <row r="926" spans="1:17" ht="19.5" hidden="1" customHeight="1" x14ac:dyDescent="0.25">
      <c r="A926" s="2"/>
      <c r="B926" s="1024"/>
      <c r="C926" s="132" t="s">
        <v>4774</v>
      </c>
      <c r="D926" s="73">
        <v>300000000</v>
      </c>
      <c r="E926" s="65">
        <f t="shared" si="38"/>
        <v>0.29040419733964201</v>
      </c>
      <c r="F926" s="1104"/>
      <c r="G926" s="154"/>
      <c r="H926" s="154"/>
      <c r="I926" s="154"/>
      <c r="J926" s="1104"/>
      <c r="K926" s="893"/>
      <c r="L926" s="154"/>
      <c r="M926" s="154"/>
      <c r="N926" s="1106"/>
      <c r="P926" s="617"/>
      <c r="Q926"/>
    </row>
    <row r="927" spans="1:17" ht="13.5" hidden="1" customHeight="1" x14ac:dyDescent="0.25">
      <c r="A927" s="2"/>
      <c r="B927" s="1024"/>
      <c r="C927" s="177"/>
      <c r="D927" s="191"/>
      <c r="E927" s="65"/>
      <c r="F927" s="162"/>
      <c r="G927" s="1477"/>
      <c r="H927" s="154"/>
      <c r="I927" s="154"/>
      <c r="J927" s="245"/>
      <c r="K927" s="2212"/>
      <c r="L927" s="154"/>
      <c r="M927" s="154"/>
      <c r="N927" s="1106"/>
      <c r="P927" s="617"/>
      <c r="Q927"/>
    </row>
    <row r="928" spans="1:17" ht="21.75" hidden="1" customHeight="1" x14ac:dyDescent="0.25">
      <c r="A928" s="2"/>
      <c r="B928" s="2098"/>
      <c r="C928" s="387" t="s">
        <v>4775</v>
      </c>
      <c r="D928" s="92">
        <f>SUM(D929:D932)</f>
        <v>1911124000</v>
      </c>
      <c r="E928" s="84">
        <f t="shared" si="38"/>
        <v>1.8499947707884199</v>
      </c>
      <c r="F928" s="142"/>
      <c r="G928" s="234"/>
      <c r="H928" s="234"/>
      <c r="I928" s="234"/>
      <c r="J928" s="894"/>
      <c r="K928" s="367"/>
      <c r="L928" s="234"/>
      <c r="M928" s="234"/>
      <c r="N928" s="1991"/>
      <c r="P928" s="617"/>
      <c r="Q928"/>
    </row>
    <row r="929" spans="1:17" ht="29.25" hidden="1" customHeight="1" x14ac:dyDescent="0.25">
      <c r="A929" s="2"/>
      <c r="B929" s="2098"/>
      <c r="C929" s="2213" t="s">
        <v>4776</v>
      </c>
      <c r="D929" s="71">
        <v>1000000000</v>
      </c>
      <c r="E929" s="65">
        <f t="shared" si="38"/>
        <v>0.96801399113213993</v>
      </c>
      <c r="F929" s="140"/>
      <c r="G929" s="154"/>
      <c r="H929" s="154"/>
      <c r="I929" s="154"/>
      <c r="J929" s="368"/>
      <c r="K929" s="893"/>
      <c r="L929" s="154"/>
      <c r="M929" s="154"/>
      <c r="N929" s="1991"/>
      <c r="P929" s="617"/>
      <c r="Q929"/>
    </row>
    <row r="930" spans="1:17" ht="19.5" hidden="1" customHeight="1" x14ac:dyDescent="0.25">
      <c r="A930" s="2"/>
      <c r="B930" s="2098"/>
      <c r="C930" s="2213" t="s">
        <v>4778</v>
      </c>
      <c r="D930" s="71">
        <v>500000000</v>
      </c>
      <c r="E930" s="65">
        <f t="shared" si="38"/>
        <v>0.48400699556606996</v>
      </c>
      <c r="F930" s="140"/>
      <c r="G930" s="154"/>
      <c r="H930" s="154"/>
      <c r="I930" s="154"/>
      <c r="J930" s="368"/>
      <c r="K930" s="893"/>
      <c r="L930" s="154"/>
      <c r="M930" s="154"/>
      <c r="N930" s="1991"/>
      <c r="P930" s="617"/>
      <c r="Q930"/>
    </row>
    <row r="931" spans="1:17" ht="21" hidden="1" customHeight="1" x14ac:dyDescent="0.25">
      <c r="A931" s="2"/>
      <c r="B931" s="2098"/>
      <c r="C931" s="2214" t="s">
        <v>4777</v>
      </c>
      <c r="D931" s="235">
        <v>211124000</v>
      </c>
      <c r="E931" s="65">
        <f t="shared" si="38"/>
        <v>0.20437098586378191</v>
      </c>
      <c r="F931" s="133"/>
      <c r="G931" s="239"/>
      <c r="H931" s="239"/>
      <c r="I931" s="239"/>
      <c r="J931" s="923"/>
      <c r="K931" s="923"/>
      <c r="L931" s="239"/>
      <c r="M931" s="239"/>
      <c r="N931" s="1991"/>
      <c r="P931" s="617"/>
      <c r="Q931"/>
    </row>
    <row r="932" spans="1:17" ht="21" hidden="1" customHeight="1" x14ac:dyDescent="0.25">
      <c r="A932" s="2"/>
      <c r="B932" s="2098"/>
      <c r="C932" s="2214" t="s">
        <v>4779</v>
      </c>
      <c r="D932" s="235">
        <v>200000000</v>
      </c>
      <c r="E932" s="65">
        <f t="shared" si="38"/>
        <v>0.19360279822642801</v>
      </c>
      <c r="F932" s="133"/>
      <c r="G932" s="140"/>
      <c r="H932" s="140"/>
      <c r="I932" s="140"/>
      <c r="J932" s="368"/>
      <c r="K932" s="368"/>
      <c r="L932" s="140"/>
      <c r="M932" s="140"/>
      <c r="N932" s="1991"/>
      <c r="P932" s="617"/>
      <c r="Q932"/>
    </row>
    <row r="933" spans="1:17" ht="10.5" hidden="1" customHeight="1" x14ac:dyDescent="0.25">
      <c r="A933" s="2"/>
      <c r="B933" s="2098"/>
      <c r="C933" s="2214"/>
      <c r="D933" s="235"/>
      <c r="E933" s="65"/>
      <c r="F933" s="133"/>
      <c r="G933" s="140"/>
      <c r="H933" s="140"/>
      <c r="I933" s="140"/>
      <c r="J933" s="368"/>
      <c r="K933" s="368"/>
      <c r="L933" s="140"/>
      <c r="M933" s="140"/>
      <c r="N933" s="1991"/>
      <c r="P933" s="617"/>
      <c r="Q933"/>
    </row>
    <row r="934" spans="1:17" ht="22.5" hidden="1" customHeight="1" x14ac:dyDescent="0.25">
      <c r="A934" s="2"/>
      <c r="B934" s="2098"/>
      <c r="C934" s="2215" t="s">
        <v>670</v>
      </c>
      <c r="D934" s="328">
        <f>SUM(D935:D942)</f>
        <v>18566000000</v>
      </c>
      <c r="E934" s="84">
        <f t="shared" si="38"/>
        <v>17.972147759359309</v>
      </c>
      <c r="F934" s="242"/>
      <c r="G934" s="142"/>
      <c r="H934" s="142"/>
      <c r="I934" s="142"/>
      <c r="J934" s="680"/>
      <c r="K934" s="680"/>
      <c r="L934" s="142"/>
      <c r="M934" s="142"/>
      <c r="N934" s="2216"/>
      <c r="P934" s="617"/>
      <c r="Q934"/>
    </row>
    <row r="935" spans="1:17" ht="18" hidden="1" customHeight="1" x14ac:dyDescent="0.25">
      <c r="A935" s="2"/>
      <c r="B935" s="2098"/>
      <c r="C935" s="2214" t="s">
        <v>4780</v>
      </c>
      <c r="D935" s="235">
        <v>9990000000</v>
      </c>
      <c r="E935" s="65">
        <f t="shared" si="38"/>
        <v>9.6704597714100782</v>
      </c>
      <c r="F935" s="133"/>
      <c r="G935" s="140"/>
      <c r="H935" s="140"/>
      <c r="I935" s="140"/>
      <c r="J935" s="368"/>
      <c r="K935" s="368"/>
      <c r="L935" s="140"/>
      <c r="M935" s="140"/>
      <c r="N935" s="1991"/>
      <c r="P935" s="617"/>
      <c r="Q935"/>
    </row>
    <row r="936" spans="1:17" ht="18.75" hidden="1" customHeight="1" x14ac:dyDescent="0.25">
      <c r="A936" s="2"/>
      <c r="B936" s="2098"/>
      <c r="C936" s="2214" t="s">
        <v>4781</v>
      </c>
      <c r="D936" s="235">
        <v>300000000</v>
      </c>
      <c r="E936" s="65">
        <f t="shared" si="38"/>
        <v>0.29040419733964201</v>
      </c>
      <c r="F936" s="133"/>
      <c r="G936" s="140"/>
      <c r="H936" s="140"/>
      <c r="I936" s="140"/>
      <c r="J936" s="368"/>
      <c r="K936" s="368"/>
      <c r="L936" s="140"/>
      <c r="M936" s="140"/>
      <c r="N936" s="1991"/>
      <c r="P936" s="617"/>
      <c r="Q936"/>
    </row>
    <row r="937" spans="1:17" ht="17.25" hidden="1" customHeight="1" x14ac:dyDescent="0.25">
      <c r="A937" s="2"/>
      <c r="B937" s="2098"/>
      <c r="C937" s="2214" t="s">
        <v>4782</v>
      </c>
      <c r="D937" s="235">
        <v>200000000</v>
      </c>
      <c r="E937" s="65">
        <f t="shared" si="38"/>
        <v>0.19360279822642801</v>
      </c>
      <c r="F937" s="133"/>
      <c r="G937" s="140"/>
      <c r="H937" s="140"/>
      <c r="I937" s="140"/>
      <c r="J937" s="368"/>
      <c r="K937" s="368"/>
      <c r="L937" s="140"/>
      <c r="M937" s="140"/>
      <c r="N937" s="1991"/>
      <c r="P937" s="617"/>
      <c r="Q937"/>
    </row>
    <row r="938" spans="1:17" ht="18" hidden="1" customHeight="1" x14ac:dyDescent="0.25">
      <c r="A938" s="2"/>
      <c r="B938" s="2098"/>
      <c r="C938" s="2214" t="s">
        <v>4783</v>
      </c>
      <c r="D938" s="235">
        <v>200000000</v>
      </c>
      <c r="E938" s="65">
        <f t="shared" si="38"/>
        <v>0.19360279822642801</v>
      </c>
      <c r="F938" s="133"/>
      <c r="G938" s="140"/>
      <c r="H938" s="140"/>
      <c r="I938" s="140"/>
      <c r="J938" s="368"/>
      <c r="K938" s="368"/>
      <c r="L938" s="140"/>
      <c r="M938" s="140"/>
      <c r="N938" s="1991"/>
      <c r="P938" s="617"/>
      <c r="Q938"/>
    </row>
    <row r="939" spans="1:17" ht="17.25" hidden="1" customHeight="1" x14ac:dyDescent="0.25">
      <c r="A939" s="2"/>
      <c r="B939" s="2098"/>
      <c r="C939" s="2214" t="s">
        <v>4784</v>
      </c>
      <c r="D939" s="235">
        <v>300000000</v>
      </c>
      <c r="E939" s="65">
        <f t="shared" si="38"/>
        <v>0.29040419733964201</v>
      </c>
      <c r="F939" s="133"/>
      <c r="G939" s="140"/>
      <c r="H939" s="140"/>
      <c r="I939" s="140"/>
      <c r="J939" s="368"/>
      <c r="K939" s="368"/>
      <c r="L939" s="140"/>
      <c r="M939" s="140"/>
      <c r="N939" s="1991"/>
      <c r="P939" s="617"/>
      <c r="Q939"/>
    </row>
    <row r="940" spans="1:17" ht="17.25" hidden="1" customHeight="1" x14ac:dyDescent="0.25">
      <c r="A940" s="2"/>
      <c r="B940" s="2098"/>
      <c r="C940" s="2214" t="s">
        <v>4786</v>
      </c>
      <c r="D940" s="235">
        <v>200000000</v>
      </c>
      <c r="E940" s="65">
        <f t="shared" si="38"/>
        <v>0.19360279822642801</v>
      </c>
      <c r="F940" s="133"/>
      <c r="G940" s="140"/>
      <c r="H940" s="140"/>
      <c r="I940" s="140"/>
      <c r="J940" s="368"/>
      <c r="K940" s="368"/>
      <c r="L940" s="140"/>
      <c r="M940" s="140"/>
      <c r="N940" s="1991"/>
      <c r="P940" s="617"/>
      <c r="Q940"/>
    </row>
    <row r="941" spans="1:17" ht="15.75" hidden="1" customHeight="1" x14ac:dyDescent="0.25">
      <c r="A941" s="2"/>
      <c r="B941" s="2098"/>
      <c r="C941" s="2214" t="s">
        <v>4785</v>
      </c>
      <c r="D941" s="235">
        <v>200000000</v>
      </c>
      <c r="E941" s="65">
        <f t="shared" si="38"/>
        <v>0.19360279822642801</v>
      </c>
      <c r="F941" s="133"/>
      <c r="G941" s="140"/>
      <c r="H941" s="140"/>
      <c r="I941" s="140"/>
      <c r="J941" s="368"/>
      <c r="K941" s="368"/>
      <c r="L941" s="140"/>
      <c r="M941" s="140"/>
      <c r="N941" s="1991"/>
      <c r="P941" s="617"/>
      <c r="Q941"/>
    </row>
    <row r="942" spans="1:17" ht="14.25" hidden="1" customHeight="1" x14ac:dyDescent="0.25">
      <c r="A942" s="2"/>
      <c r="B942" s="2098"/>
      <c r="C942" s="2214" t="s">
        <v>4787</v>
      </c>
      <c r="D942" s="235">
        <v>7176000000</v>
      </c>
      <c r="E942" s="65">
        <f t="shared" si="38"/>
        <v>6.9464684003642363</v>
      </c>
      <c r="F942" s="133"/>
      <c r="G942" s="140"/>
      <c r="H942" s="140"/>
      <c r="I942" s="140"/>
      <c r="J942" s="368"/>
      <c r="K942" s="368"/>
      <c r="L942" s="140"/>
      <c r="M942" s="140"/>
      <c r="N942" s="1991"/>
      <c r="P942" s="617"/>
      <c r="Q942"/>
    </row>
    <row r="943" spans="1:17" ht="12" hidden="1" customHeight="1" x14ac:dyDescent="0.25">
      <c r="A943" s="2"/>
      <c r="B943" s="2098"/>
      <c r="C943" s="2214"/>
      <c r="D943" s="235"/>
      <c r="E943" s="65"/>
      <c r="F943" s="133"/>
      <c r="G943" s="140"/>
      <c r="H943" s="140"/>
      <c r="I943" s="140"/>
      <c r="J943" s="368"/>
      <c r="K943" s="368"/>
      <c r="L943" s="140"/>
      <c r="M943" s="140"/>
      <c r="N943" s="1991"/>
      <c r="P943" s="617"/>
      <c r="Q943"/>
    </row>
    <row r="944" spans="1:17" ht="21" hidden="1" customHeight="1" x14ac:dyDescent="0.25">
      <c r="A944" s="2"/>
      <c r="B944" s="2098"/>
      <c r="C944" s="2215" t="s">
        <v>4788</v>
      </c>
      <c r="D944" s="328">
        <f>D945</f>
        <v>190280000</v>
      </c>
      <c r="E944" s="4725">
        <f t="shared" si="38"/>
        <v>0.1841937022326236</v>
      </c>
      <c r="F944" s="242"/>
      <c r="G944" s="142"/>
      <c r="H944" s="142"/>
      <c r="I944" s="142"/>
      <c r="J944" s="680"/>
      <c r="K944" s="680"/>
      <c r="L944" s="142"/>
      <c r="M944" s="142"/>
      <c r="N944" s="2216"/>
      <c r="P944" s="617"/>
      <c r="Q944"/>
    </row>
    <row r="945" spans="1:17" ht="21.75" hidden="1" customHeight="1" x14ac:dyDescent="0.25">
      <c r="A945" s="2"/>
      <c r="B945" s="2098"/>
      <c r="C945" s="2213" t="s">
        <v>4789</v>
      </c>
      <c r="D945" s="71">
        <v>190280000</v>
      </c>
      <c r="E945" s="65">
        <f t="shared" si="38"/>
        <v>0.1841937022326236</v>
      </c>
      <c r="F945" s="140"/>
      <c r="G945" s="140"/>
      <c r="H945" s="140"/>
      <c r="I945" s="140"/>
      <c r="J945" s="368"/>
      <c r="K945" s="368"/>
      <c r="L945" s="140"/>
      <c r="M945" s="140"/>
      <c r="N945" s="1991"/>
      <c r="P945" s="617"/>
      <c r="Q945"/>
    </row>
    <row r="946" spans="1:17" ht="12.75" hidden="1" customHeight="1" x14ac:dyDescent="0.25">
      <c r="A946" s="2"/>
      <c r="B946" s="1024"/>
      <c r="C946" s="75"/>
      <c r="D946" s="336"/>
      <c r="E946" s="1542"/>
      <c r="F946" s="2225"/>
      <c r="G946" s="2226"/>
      <c r="H946" s="2026"/>
      <c r="I946" s="209"/>
      <c r="J946" s="2225"/>
      <c r="K946" s="209"/>
      <c r="L946" s="233"/>
      <c r="M946" s="209"/>
      <c r="N946" s="2217"/>
      <c r="P946" s="617"/>
      <c r="Q946"/>
    </row>
    <row r="947" spans="1:17" s="32" customFormat="1" ht="20.25" hidden="1" customHeight="1" x14ac:dyDescent="0.25">
      <c r="A947" s="1"/>
      <c r="B947" s="1029"/>
      <c r="C947" s="56" t="s">
        <v>4920</v>
      </c>
      <c r="D947" s="179">
        <f>SUM(D948)</f>
        <v>547300000</v>
      </c>
      <c r="E947" s="57">
        <f>D947/103304292000*100</f>
        <v>0.52979405734662022</v>
      </c>
      <c r="F947" s="1111"/>
      <c r="G947" s="2218"/>
      <c r="H947" s="2219"/>
      <c r="I947" s="179"/>
      <c r="J947" s="1111"/>
      <c r="K947" s="179"/>
      <c r="L947" s="131"/>
      <c r="M947" s="179"/>
      <c r="N947" s="1138"/>
      <c r="P947" s="630"/>
    </row>
    <row r="948" spans="1:17" s="32" customFormat="1" ht="30" hidden="1" customHeight="1" x14ac:dyDescent="0.25">
      <c r="A948" s="1"/>
      <c r="B948" s="1024"/>
      <c r="C948" s="59" t="s">
        <v>4921</v>
      </c>
      <c r="D948" s="209">
        <f>D949</f>
        <v>547300000</v>
      </c>
      <c r="E948" s="1542">
        <f>D948/103304292000*100</f>
        <v>0.52979405734662022</v>
      </c>
      <c r="F948" s="2225"/>
      <c r="G948" s="2226"/>
      <c r="H948" s="2026"/>
      <c r="I948" s="209"/>
      <c r="J948" s="2225"/>
      <c r="K948" s="209"/>
      <c r="L948" s="233"/>
      <c r="M948" s="209"/>
      <c r="N948" s="1138"/>
      <c r="P948" s="630"/>
    </row>
    <row r="949" spans="1:17" s="196" customFormat="1" ht="20.25" hidden="1" customHeight="1" x14ac:dyDescent="0.25">
      <c r="A949" s="12"/>
      <c r="B949" s="1097"/>
      <c r="C949" s="66" t="s">
        <v>4922</v>
      </c>
      <c r="D949" s="158">
        <v>547300000</v>
      </c>
      <c r="E949" s="65">
        <f t="shared" ref="E949" si="39">D949/103304292000*100</f>
        <v>0.52979405734662022</v>
      </c>
      <c r="F949" s="1104"/>
      <c r="G949" s="2051"/>
      <c r="H949" s="1969"/>
      <c r="I949" s="73"/>
      <c r="J949" s="1104"/>
      <c r="K949" s="73"/>
      <c r="L949" s="140"/>
      <c r="M949" s="158"/>
      <c r="N949" s="1543"/>
      <c r="P949" s="631"/>
    </row>
    <row r="950" spans="1:17" ht="13.5" hidden="1" customHeight="1" x14ac:dyDescent="0.25">
      <c r="A950" s="2"/>
      <c r="B950" s="1024"/>
      <c r="C950" s="75"/>
      <c r="D950" s="336"/>
      <c r="E950" s="1542"/>
      <c r="F950" s="2225"/>
      <c r="G950" s="2226"/>
      <c r="H950" s="2026"/>
      <c r="I950" s="209"/>
      <c r="J950" s="2225"/>
      <c r="K950" s="209"/>
      <c r="L950" s="233"/>
      <c r="M950" s="209"/>
      <c r="N950" s="2217"/>
      <c r="P950" s="617"/>
      <c r="Q950"/>
    </row>
    <row r="951" spans="1:17" s="32" customFormat="1" ht="20.25" hidden="1" customHeight="1" x14ac:dyDescent="0.25">
      <c r="A951" s="1"/>
      <c r="B951" s="1029"/>
      <c r="C951" s="56" t="s">
        <v>4927</v>
      </c>
      <c r="D951" s="179">
        <f>SUM(D952+D955)</f>
        <v>236600000</v>
      </c>
      <c r="E951" s="57">
        <f>D951/103304292000*100</f>
        <v>0.22903211030186432</v>
      </c>
      <c r="F951" s="1111"/>
      <c r="G951" s="2218"/>
      <c r="H951" s="2219"/>
      <c r="I951" s="179"/>
      <c r="J951" s="1111"/>
      <c r="K951" s="179"/>
      <c r="L951" s="131"/>
      <c r="M951" s="179"/>
      <c r="N951" s="1138"/>
      <c r="P951" s="630"/>
    </row>
    <row r="952" spans="1:17" s="32" customFormat="1" ht="22.5" hidden="1" customHeight="1" x14ac:dyDescent="0.25">
      <c r="A952" s="1"/>
      <c r="B952" s="1024"/>
      <c r="C952" s="59" t="s">
        <v>4928</v>
      </c>
      <c r="D952" s="209">
        <f>D953</f>
        <v>136600000</v>
      </c>
      <c r="E952" s="1542">
        <f>D952/103304292000*100</f>
        <v>0.13223071118865032</v>
      </c>
      <c r="F952" s="2225"/>
      <c r="G952" s="2226"/>
      <c r="H952" s="2026"/>
      <c r="I952" s="209"/>
      <c r="J952" s="2225"/>
      <c r="K952" s="209"/>
      <c r="L952" s="233"/>
      <c r="M952" s="209"/>
      <c r="N952" s="1138"/>
      <c r="P952" s="630"/>
    </row>
    <row r="953" spans="1:17" ht="17.25" hidden="1" customHeight="1" x14ac:dyDescent="0.25">
      <c r="A953" s="2"/>
      <c r="B953" s="1024"/>
      <c r="C953" s="66" t="s">
        <v>4929</v>
      </c>
      <c r="D953" s="158">
        <v>136600000</v>
      </c>
      <c r="E953" s="65">
        <f t="shared" ref="E953:E956" si="40">D953/103304292000*100</f>
        <v>0.13223071118865032</v>
      </c>
      <c r="F953" s="2222"/>
      <c r="G953" s="2223"/>
      <c r="H953" s="2224"/>
      <c r="I953" s="199"/>
      <c r="J953" s="2222"/>
      <c r="K953" s="158"/>
      <c r="L953" s="133"/>
      <c r="M953" s="199"/>
      <c r="N953" s="1135"/>
      <c r="P953" s="617"/>
      <c r="Q953"/>
    </row>
    <row r="954" spans="1:17" ht="15" hidden="1" customHeight="1" x14ac:dyDescent="0.25">
      <c r="A954" s="2"/>
      <c r="B954" s="1024"/>
      <c r="C954" s="75"/>
      <c r="D954" s="336"/>
      <c r="E954" s="65"/>
      <c r="F954" s="1118"/>
      <c r="G954" s="2049"/>
      <c r="H954" s="2024"/>
      <c r="I954" s="157"/>
      <c r="J954" s="1118"/>
      <c r="K954" s="157"/>
      <c r="L954" s="142"/>
      <c r="M954" s="157"/>
      <c r="N954" s="2217"/>
      <c r="P954" s="617"/>
      <c r="Q954"/>
    </row>
    <row r="955" spans="1:17" s="32" customFormat="1" ht="17.25" hidden="1" customHeight="1" x14ac:dyDescent="0.25">
      <c r="A955" s="1"/>
      <c r="B955" s="1024"/>
      <c r="C955" s="75" t="s">
        <v>4935</v>
      </c>
      <c r="D955" s="336">
        <f>SUM(D956:D957)</f>
        <v>100000000</v>
      </c>
      <c r="E955" s="84">
        <f t="shared" si="40"/>
        <v>9.6801399113214004E-2</v>
      </c>
      <c r="F955" s="2227"/>
      <c r="G955" s="1085"/>
      <c r="H955" s="2021"/>
      <c r="I955" s="336"/>
      <c r="J955" s="2227"/>
      <c r="K955" s="336"/>
      <c r="L955" s="242"/>
      <c r="M955" s="336"/>
      <c r="N955" s="1138"/>
      <c r="P955" s="630"/>
    </row>
    <row r="956" spans="1:17" ht="17.25" hidden="1" customHeight="1" x14ac:dyDescent="0.25">
      <c r="A956" s="2"/>
      <c r="B956" s="1024"/>
      <c r="C956" s="66" t="s">
        <v>4939</v>
      </c>
      <c r="D956" s="158">
        <v>100000000</v>
      </c>
      <c r="E956" s="65">
        <f t="shared" si="40"/>
        <v>9.6801399113214004E-2</v>
      </c>
      <c r="F956" s="1104"/>
      <c r="G956" s="2220"/>
      <c r="H956" s="2221"/>
      <c r="I956" s="197"/>
      <c r="J956" s="1104"/>
      <c r="K956" s="73"/>
      <c r="L956" s="140"/>
      <c r="M956" s="197"/>
      <c r="N956" s="1135"/>
      <c r="P956" s="617"/>
      <c r="Q956"/>
    </row>
    <row r="957" spans="1:17" ht="10.5" hidden="1" customHeight="1" x14ac:dyDescent="0.25">
      <c r="B957" s="1024"/>
      <c r="C957" s="335"/>
      <c r="D957" s="4239"/>
      <c r="E957" s="191"/>
      <c r="F957" s="2086"/>
      <c r="G957" s="207"/>
      <c r="H957" s="207"/>
      <c r="I957" s="215"/>
      <c r="J957" s="215"/>
      <c r="K957" s="1956"/>
      <c r="L957" s="215"/>
      <c r="M957" s="215"/>
      <c r="N957" s="1132"/>
    </row>
    <row r="958" spans="1:17" s="32" customFormat="1" ht="17.25" hidden="1" customHeight="1" x14ac:dyDescent="0.25">
      <c r="B958" s="1029"/>
      <c r="C958" s="56" t="s">
        <v>4953</v>
      </c>
      <c r="D958" s="4227">
        <f>D959</f>
        <v>2745733400</v>
      </c>
      <c r="E958" s="57">
        <f>D958/103304292000*100</f>
        <v>2.6579083471188207</v>
      </c>
      <c r="F958" s="2088"/>
      <c r="G958" s="200"/>
      <c r="H958" s="200"/>
      <c r="I958" s="179"/>
      <c r="J958" s="179"/>
      <c r="K958" s="200"/>
      <c r="L958" s="179"/>
      <c r="M958" s="179"/>
      <c r="N958" s="1903"/>
      <c r="P958" s="203"/>
      <c r="Q958" s="203"/>
    </row>
    <row r="959" spans="1:17" ht="18.75" hidden="1" customHeight="1" x14ac:dyDescent="0.25">
      <c r="A959" s="2"/>
      <c r="B959" s="1024"/>
      <c r="C959" s="375" t="s">
        <v>4950</v>
      </c>
      <c r="D959" s="336">
        <f>D960</f>
        <v>2745733400</v>
      </c>
      <c r="E959" s="1542">
        <f>D959/103304292000*100</f>
        <v>2.6579083471188207</v>
      </c>
      <c r="F959" s="1913"/>
      <c r="G959" s="1913"/>
      <c r="H959" s="255"/>
      <c r="I959" s="242"/>
      <c r="J959" s="941"/>
      <c r="K959" s="941"/>
      <c r="L959" s="4726"/>
      <c r="M959" s="242"/>
      <c r="N959" s="1106"/>
      <c r="P959" s="617"/>
      <c r="Q959"/>
    </row>
    <row r="960" spans="1:17" ht="17.25" hidden="1" customHeight="1" x14ac:dyDescent="0.25">
      <c r="A960" s="2"/>
      <c r="B960" s="1024"/>
      <c r="C960" s="132" t="s">
        <v>4951</v>
      </c>
      <c r="D960" s="73">
        <v>2745733400</v>
      </c>
      <c r="E960" s="65">
        <f t="shared" ref="E960" si="41">D960/103304292000*100</f>
        <v>2.6579083471188207</v>
      </c>
      <c r="F960" s="73"/>
      <c r="G960" s="2228"/>
      <c r="H960" s="256"/>
      <c r="I960" s="140"/>
      <c r="J960" s="73"/>
      <c r="K960" s="368"/>
      <c r="L960" s="256"/>
      <c r="M960" s="140"/>
      <c r="N960" s="1106"/>
      <c r="P960" s="617"/>
      <c r="Q960"/>
    </row>
    <row r="961" spans="2:17" ht="12" hidden="1" customHeight="1" x14ac:dyDescent="0.25">
      <c r="B961" s="1024"/>
      <c r="C961" s="64"/>
      <c r="D961" s="4237"/>
      <c r="E961" s="2163"/>
      <c r="F961" s="2164"/>
      <c r="G961" s="239"/>
      <c r="H961" s="977"/>
      <c r="I961" s="239"/>
      <c r="J961" s="933"/>
      <c r="K961" s="2199"/>
      <c r="L961" s="1464"/>
      <c r="M961" s="994"/>
      <c r="N961" s="1132"/>
    </row>
    <row r="962" spans="2:17" ht="18.75" hidden="1" customHeight="1" x14ac:dyDescent="0.25">
      <c r="B962" s="2034"/>
      <c r="C962" s="1998" t="s">
        <v>7005</v>
      </c>
      <c r="D962" s="4220">
        <f>SUM(D964+D1018+D1022)</f>
        <v>33425547375</v>
      </c>
      <c r="E962" s="679">
        <f>D962/2512247400000*100</f>
        <v>1.3305038100546944</v>
      </c>
      <c r="F962" s="2229"/>
      <c r="G962" s="2000"/>
      <c r="H962" s="679"/>
      <c r="I962" s="679"/>
      <c r="J962" s="1034"/>
      <c r="K962" s="1034"/>
      <c r="L962" s="679"/>
      <c r="M962" s="679"/>
      <c r="N962" s="1132"/>
    </row>
    <row r="963" spans="2:17" ht="9" hidden="1" customHeight="1" x14ac:dyDescent="0.25">
      <c r="B963" s="1024"/>
      <c r="C963" s="59"/>
      <c r="D963" s="4240"/>
      <c r="E963" s="209"/>
      <c r="F963" s="2230"/>
      <c r="G963" s="2231"/>
      <c r="H963" s="209"/>
      <c r="I963" s="209"/>
      <c r="J963" s="1123"/>
      <c r="K963" s="2231"/>
      <c r="L963" s="209"/>
      <c r="M963" s="209"/>
      <c r="N963" s="1132"/>
    </row>
    <row r="964" spans="2:17" ht="20.25" hidden="1" customHeight="1" x14ac:dyDescent="0.25">
      <c r="B964" s="1029"/>
      <c r="C964" s="56" t="s">
        <v>2640</v>
      </c>
      <c r="D964" s="127">
        <f>SUM(D965+D968+D977+D994+D1001+D1005+D1011+D1015)</f>
        <v>23229747375</v>
      </c>
      <c r="E964" s="179">
        <f>SUM(D964/102355632000*100)</f>
        <v>22.695133546730482</v>
      </c>
      <c r="F964" s="127"/>
      <c r="G964" s="127"/>
      <c r="H964" s="179"/>
      <c r="I964" s="179"/>
      <c r="J964" s="127"/>
      <c r="K964" s="127"/>
      <c r="L964" s="179"/>
      <c r="M964" s="179"/>
      <c r="N964" s="1132"/>
    </row>
    <row r="965" spans="2:17" ht="21.75" hidden="1" customHeight="1" x14ac:dyDescent="0.25">
      <c r="B965" s="1024"/>
      <c r="C965" s="2472" t="s">
        <v>1454</v>
      </c>
      <c r="D965" s="2759">
        <f>D966</f>
        <v>15818400000</v>
      </c>
      <c r="E965" s="266">
        <f>SUM(D965/102355632000*100)</f>
        <v>15.454352331095958</v>
      </c>
      <c r="F965" s="128"/>
      <c r="G965" s="257"/>
      <c r="H965" s="267"/>
      <c r="I965" s="267"/>
      <c r="J965" s="2039"/>
      <c r="K965" s="380"/>
      <c r="L965" s="257"/>
      <c r="M965" s="267"/>
      <c r="N965" s="1132"/>
    </row>
    <row r="966" spans="2:17" ht="19.5" hidden="1" customHeight="1" x14ac:dyDescent="0.25">
      <c r="B966" s="1024"/>
      <c r="C966" s="2473" t="s">
        <v>2641</v>
      </c>
      <c r="D966" s="896">
        <v>15818400000</v>
      </c>
      <c r="E966" s="73">
        <f>SUM(D966/102355632000*100)</f>
        <v>15.454352331095958</v>
      </c>
      <c r="F966" s="675"/>
      <c r="G966" s="344"/>
      <c r="H966" s="252"/>
      <c r="I966" s="252"/>
      <c r="J966" s="922"/>
      <c r="K966" s="169"/>
      <c r="L966" s="344"/>
      <c r="M966" s="252"/>
      <c r="N966" s="1132"/>
    </row>
    <row r="967" spans="2:17" ht="12.75" hidden="1" customHeight="1" x14ac:dyDescent="0.25">
      <c r="B967" s="1024"/>
      <c r="C967" s="2474"/>
      <c r="D967" s="896"/>
      <c r="E967" s="73"/>
      <c r="F967" s="675"/>
      <c r="G967" s="348"/>
      <c r="H967" s="197"/>
      <c r="I967" s="197"/>
      <c r="J967" s="1056"/>
      <c r="K967" s="232"/>
      <c r="L967" s="232"/>
      <c r="M967" s="140"/>
      <c r="N967" s="1132"/>
    </row>
    <row r="968" spans="2:17" ht="17.25" hidden="1" customHeight="1" x14ac:dyDescent="0.25">
      <c r="B968" s="1024"/>
      <c r="C968" s="2521" t="s">
        <v>2485</v>
      </c>
      <c r="D968" s="2767">
        <f>SUM(D969:D975)</f>
        <v>2426900000</v>
      </c>
      <c r="E968" s="157">
        <f t="shared" ref="E968:E1016" si="42">SUM(D968/102355632000*100)</f>
        <v>2.371046861397915</v>
      </c>
      <c r="F968" s="2232"/>
      <c r="G968" s="2232"/>
      <c r="H968" s="157"/>
      <c r="I968" s="157"/>
      <c r="J968" s="1126"/>
      <c r="K968" s="1126"/>
      <c r="L968" s="202"/>
      <c r="M968" s="157"/>
      <c r="N968" s="1132"/>
    </row>
    <row r="969" spans="2:17" ht="17.25" hidden="1" customHeight="1" x14ac:dyDescent="0.25">
      <c r="B969" s="1024"/>
      <c r="C969" s="2473" t="s">
        <v>5811</v>
      </c>
      <c r="D969" s="896">
        <v>560000000</v>
      </c>
      <c r="E969" s="73">
        <f t="shared" si="42"/>
        <v>0.54711205339438473</v>
      </c>
      <c r="F969" s="169"/>
      <c r="G969" s="1968"/>
      <c r="H969" s="140"/>
      <c r="I969" s="140"/>
      <c r="J969" s="942"/>
      <c r="K969" s="2233"/>
      <c r="L969" s="140"/>
      <c r="M969" s="140"/>
      <c r="N969" s="1132"/>
    </row>
    <row r="970" spans="2:17" ht="18" hidden="1" customHeight="1" x14ac:dyDescent="0.25">
      <c r="B970" s="1024"/>
      <c r="C970" s="2473" t="s">
        <v>5812</v>
      </c>
      <c r="D970" s="896">
        <v>188000000</v>
      </c>
      <c r="E970" s="73">
        <f t="shared" si="42"/>
        <v>0.18367333221097204</v>
      </c>
      <c r="F970" s="169"/>
      <c r="G970" s="1968"/>
      <c r="H970" s="140"/>
      <c r="I970" s="140"/>
      <c r="J970" s="942"/>
      <c r="K970" s="2233"/>
      <c r="L970" s="140"/>
      <c r="M970" s="140"/>
      <c r="N970" s="1132"/>
    </row>
    <row r="971" spans="2:17" ht="18" hidden="1" customHeight="1" x14ac:dyDescent="0.25">
      <c r="B971" s="1024"/>
      <c r="C971" s="2473" t="s">
        <v>5817</v>
      </c>
      <c r="D971" s="896">
        <v>792000000</v>
      </c>
      <c r="E971" s="73">
        <f t="shared" si="42"/>
        <v>0.77377276122920136</v>
      </c>
      <c r="F971" s="169"/>
      <c r="G971" s="344"/>
      <c r="H971" s="252"/>
      <c r="I971" s="252"/>
      <c r="J971" s="942"/>
      <c r="K971" s="2233"/>
      <c r="L971" s="140"/>
      <c r="M971" s="140"/>
      <c r="N971" s="1132"/>
    </row>
    <row r="972" spans="2:17" ht="21" hidden="1" customHeight="1" x14ac:dyDescent="0.25">
      <c r="B972" s="1024"/>
      <c r="C972" s="2476" t="s">
        <v>5813</v>
      </c>
      <c r="D972" s="2709">
        <v>265000000</v>
      </c>
      <c r="E972" s="73">
        <f t="shared" si="42"/>
        <v>0.25890123955269995</v>
      </c>
      <c r="F972" s="169"/>
      <c r="G972" s="344"/>
      <c r="H972" s="252"/>
      <c r="I972" s="252"/>
      <c r="J972" s="942"/>
      <c r="K972" s="2233"/>
      <c r="L972" s="140"/>
      <c r="M972" s="73"/>
      <c r="N972" s="1132"/>
    </row>
    <row r="973" spans="2:17" s="32" customFormat="1" ht="19.5" hidden="1" customHeight="1" x14ac:dyDescent="0.25">
      <c r="B973" s="1024"/>
      <c r="C973" s="2476" t="s">
        <v>5814</v>
      </c>
      <c r="D973" s="2709">
        <v>44000000</v>
      </c>
      <c r="E973" s="73">
        <f t="shared" si="42"/>
        <v>4.2987375623844519E-2</v>
      </c>
      <c r="F973" s="176"/>
      <c r="G973" s="257"/>
      <c r="H973" s="267"/>
      <c r="I973" s="267"/>
      <c r="J973" s="2234"/>
      <c r="K973" s="2235"/>
      <c r="L973" s="142"/>
      <c r="M973" s="142"/>
      <c r="N973" s="1903"/>
      <c r="P973" s="203"/>
      <c r="Q973" s="203"/>
    </row>
    <row r="974" spans="2:17" ht="21.75" hidden="1" customHeight="1" x14ac:dyDescent="0.25">
      <c r="B974" s="1024"/>
      <c r="C974" s="2476" t="s">
        <v>5815</v>
      </c>
      <c r="D974" s="2709">
        <v>77900000</v>
      </c>
      <c r="E974" s="73">
        <f t="shared" si="42"/>
        <v>7.6107194570397455E-2</v>
      </c>
      <c r="F974" s="169"/>
      <c r="G974" s="344"/>
      <c r="H974" s="252"/>
      <c r="I974" s="252"/>
      <c r="J974" s="942"/>
      <c r="K974" s="252"/>
      <c r="L974" s="140"/>
      <c r="M974" s="140"/>
      <c r="N974" s="1132"/>
    </row>
    <row r="975" spans="2:17" ht="15" hidden="1" customHeight="1" x14ac:dyDescent="0.25">
      <c r="B975" s="1024"/>
      <c r="C975" s="2476" t="s">
        <v>5816</v>
      </c>
      <c r="D975" s="2709">
        <v>500000000</v>
      </c>
      <c r="E975" s="73">
        <f t="shared" si="42"/>
        <v>0.48849290481641505</v>
      </c>
      <c r="F975" s="675"/>
      <c r="G975" s="348"/>
      <c r="H975" s="197"/>
      <c r="I975" s="197"/>
      <c r="J975" s="1124"/>
      <c r="K975" s="365"/>
      <c r="L975" s="197"/>
      <c r="M975" s="197"/>
      <c r="N975" s="1132"/>
    </row>
    <row r="976" spans="2:17" ht="12" hidden="1" customHeight="1" x14ac:dyDescent="0.25">
      <c r="B976" s="1024"/>
      <c r="C976" s="2476"/>
      <c r="D976" s="2709"/>
      <c r="E976" s="73"/>
      <c r="F976" s="2019"/>
      <c r="G976" s="2019"/>
      <c r="H976" s="157"/>
      <c r="I976" s="142"/>
      <c r="J976" s="1126"/>
      <c r="K976" s="1126"/>
      <c r="L976" s="202"/>
      <c r="M976" s="142"/>
      <c r="N976" s="1132"/>
    </row>
    <row r="977" spans="2:14" ht="19.5" hidden="1" customHeight="1" x14ac:dyDescent="0.25">
      <c r="B977" s="1024"/>
      <c r="C977" s="2628" t="s">
        <v>2645</v>
      </c>
      <c r="D977" s="3472">
        <f>SUM(D978:D992)</f>
        <v>3586292600</v>
      </c>
      <c r="E977" s="157">
        <f t="shared" si="42"/>
        <v>3.5037569793912269</v>
      </c>
      <c r="F977" s="169"/>
      <c r="G977" s="169"/>
      <c r="H977" s="140"/>
      <c r="I977" s="140"/>
      <c r="J977" s="944"/>
      <c r="K977" s="2236"/>
      <c r="L977" s="140"/>
      <c r="M977" s="140"/>
      <c r="N977" s="1132"/>
    </row>
    <row r="978" spans="2:14" ht="19.5" hidden="1" customHeight="1" x14ac:dyDescent="0.25">
      <c r="B978" s="1024"/>
      <c r="C978" s="2629" t="s">
        <v>5818</v>
      </c>
      <c r="D978" s="3473">
        <v>300000000</v>
      </c>
      <c r="E978" s="73">
        <f t="shared" si="42"/>
        <v>0.29309574288984896</v>
      </c>
      <c r="F978" s="169"/>
      <c r="G978" s="169"/>
      <c r="H978" s="140"/>
      <c r="I978" s="140"/>
      <c r="J978" s="944"/>
      <c r="K978" s="2236"/>
      <c r="L978" s="140"/>
      <c r="M978" s="140"/>
      <c r="N978" s="1132"/>
    </row>
    <row r="979" spans="2:14" ht="16.5" hidden="1" customHeight="1" x14ac:dyDescent="0.25">
      <c r="B979" s="1024"/>
      <c r="C979" s="2629" t="s">
        <v>5846</v>
      </c>
      <c r="D979" s="3473">
        <v>246000000</v>
      </c>
      <c r="E979" s="73">
        <f t="shared" si="42"/>
        <v>0.24033850916967617</v>
      </c>
      <c r="F979" s="169"/>
      <c r="G979" s="169"/>
      <c r="H979" s="140"/>
      <c r="I979" s="140"/>
      <c r="J979" s="944"/>
      <c r="K979" s="2236"/>
      <c r="L979" s="140"/>
      <c r="M979" s="140"/>
      <c r="N979" s="1132"/>
    </row>
    <row r="980" spans="2:14" ht="16.5" hidden="1" customHeight="1" x14ac:dyDescent="0.25">
      <c r="B980" s="1024"/>
      <c r="C980" s="2630" t="s">
        <v>5819</v>
      </c>
      <c r="D980" s="3475">
        <v>205000000</v>
      </c>
      <c r="E980" s="73">
        <f t="shared" si="42"/>
        <v>0.20028209097473015</v>
      </c>
      <c r="F980" s="169"/>
      <c r="G980" s="2221"/>
      <c r="H980" s="140"/>
      <c r="I980" s="140"/>
      <c r="J980" s="944"/>
      <c r="K980" s="2236"/>
      <c r="L980" s="140"/>
      <c r="M980" s="140"/>
      <c r="N980" s="1132"/>
    </row>
    <row r="981" spans="2:14" ht="16.5" hidden="1" customHeight="1" x14ac:dyDescent="0.25">
      <c r="B981" s="1024"/>
      <c r="C981" s="2629" t="s">
        <v>5847</v>
      </c>
      <c r="D981" s="3473">
        <v>185475000</v>
      </c>
      <c r="E981" s="73">
        <f t="shared" si="42"/>
        <v>0.18120644304164915</v>
      </c>
      <c r="F981" s="169"/>
      <c r="G981" s="344"/>
      <c r="H981" s="252"/>
      <c r="I981" s="252"/>
      <c r="J981" s="944"/>
      <c r="K981" s="344"/>
      <c r="L981" s="344"/>
      <c r="M981" s="344"/>
      <c r="N981" s="1132"/>
    </row>
    <row r="982" spans="2:14" ht="19.5" hidden="1" customHeight="1" x14ac:dyDescent="0.25">
      <c r="B982" s="1024"/>
      <c r="C982" s="2629" t="s">
        <v>5820</v>
      </c>
      <c r="D982" s="3473">
        <v>52400000</v>
      </c>
      <c r="E982" s="73">
        <f t="shared" si="42"/>
        <v>5.1194056424760284E-2</v>
      </c>
      <c r="F982" s="169"/>
      <c r="G982" s="1969"/>
      <c r="H982" s="140"/>
      <c r="I982" s="140"/>
      <c r="J982" s="944"/>
      <c r="K982" s="2236"/>
      <c r="L982" s="140"/>
      <c r="M982" s="140"/>
      <c r="N982" s="1132"/>
    </row>
    <row r="983" spans="2:14" ht="18" hidden="1" customHeight="1" x14ac:dyDescent="0.25">
      <c r="B983" s="1024"/>
      <c r="C983" s="2629" t="s">
        <v>5821</v>
      </c>
      <c r="D983" s="3473">
        <v>115000000</v>
      </c>
      <c r="E983" s="73">
        <f t="shared" si="42"/>
        <v>0.11235336810777544</v>
      </c>
      <c r="F983" s="169"/>
      <c r="G983" s="344"/>
      <c r="H983" s="252"/>
      <c r="I983" s="252"/>
      <c r="J983" s="944"/>
      <c r="K983" s="2236"/>
      <c r="L983" s="140"/>
      <c r="M983" s="140"/>
      <c r="N983" s="1132"/>
    </row>
    <row r="984" spans="2:14" ht="16.5" hidden="1" customHeight="1" x14ac:dyDescent="0.25">
      <c r="B984" s="1024"/>
      <c r="C984" s="2629" t="s">
        <v>5848</v>
      </c>
      <c r="D984" s="3473">
        <v>90200000</v>
      </c>
      <c r="E984" s="73">
        <f t="shared" si="42"/>
        <v>8.8124120028881259E-2</v>
      </c>
      <c r="F984" s="169"/>
      <c r="G984" s="344"/>
      <c r="H984" s="252"/>
      <c r="I984" s="252"/>
      <c r="J984" s="944"/>
      <c r="K984" s="344"/>
      <c r="L984" s="344"/>
      <c r="M984" s="344"/>
      <c r="N984" s="1132"/>
    </row>
    <row r="985" spans="2:14" ht="18" hidden="1" customHeight="1" x14ac:dyDescent="0.25">
      <c r="B985" s="1024"/>
      <c r="C985" s="2629" t="s">
        <v>5850</v>
      </c>
      <c r="D985" s="3473">
        <v>38500000</v>
      </c>
      <c r="E985" s="73">
        <f t="shared" si="42"/>
        <v>3.7613953670863953E-2</v>
      </c>
      <c r="F985" s="169"/>
      <c r="G985" s="344"/>
      <c r="H985" s="252"/>
      <c r="I985" s="252"/>
      <c r="J985" s="944"/>
      <c r="K985" s="344"/>
      <c r="L985" s="344"/>
      <c r="M985" s="344"/>
      <c r="N985" s="1132"/>
    </row>
    <row r="986" spans="2:14" ht="18" hidden="1" customHeight="1" x14ac:dyDescent="0.25">
      <c r="B986" s="1024"/>
      <c r="C986" s="2629" t="s">
        <v>5849</v>
      </c>
      <c r="D986" s="3473">
        <v>166307000</v>
      </c>
      <c r="E986" s="73">
        <f t="shared" si="42"/>
        <v>0.16247957904260707</v>
      </c>
      <c r="F986" s="169"/>
      <c r="G986" s="169"/>
      <c r="H986" s="140"/>
      <c r="I986" s="140"/>
      <c r="J986" s="944"/>
      <c r="K986" s="2236"/>
      <c r="L986" s="140"/>
      <c r="M986" s="140"/>
      <c r="N986" s="1132"/>
    </row>
    <row r="987" spans="2:14" ht="17.25" hidden="1" customHeight="1" x14ac:dyDescent="0.25">
      <c r="B987" s="1024"/>
      <c r="C987" s="2629" t="s">
        <v>5851</v>
      </c>
      <c r="D987" s="3473">
        <v>179460100</v>
      </c>
      <c r="E987" s="73">
        <f t="shared" si="42"/>
        <v>0.17532997109528861</v>
      </c>
      <c r="F987" s="169"/>
      <c r="G987" s="1969"/>
      <c r="H987" s="140"/>
      <c r="I987" s="140"/>
      <c r="J987" s="944"/>
      <c r="K987" s="2236"/>
      <c r="L987" s="140"/>
      <c r="M987" s="140"/>
      <c r="N987" s="1132"/>
    </row>
    <row r="988" spans="2:14" ht="16.5" hidden="1" customHeight="1" x14ac:dyDescent="0.25">
      <c r="B988" s="1024"/>
      <c r="C988" s="2629" t="s">
        <v>5822</v>
      </c>
      <c r="D988" s="3473">
        <v>258000000</v>
      </c>
      <c r="E988" s="73">
        <f t="shared" si="42"/>
        <v>0.25206233888527013</v>
      </c>
      <c r="F988" s="169"/>
      <c r="G988" s="1969"/>
      <c r="H988" s="140"/>
      <c r="I988" s="140"/>
      <c r="J988" s="944"/>
      <c r="K988" s="2236"/>
      <c r="L988" s="140"/>
      <c r="M988" s="140"/>
      <c r="N988" s="1132"/>
    </row>
    <row r="989" spans="2:14" ht="15.75" hidden="1" customHeight="1" x14ac:dyDescent="0.25">
      <c r="B989" s="1024"/>
      <c r="C989" s="2629" t="s">
        <v>5823</v>
      </c>
      <c r="D989" s="3473">
        <v>103200300</v>
      </c>
      <c r="E989" s="73">
        <f t="shared" si="42"/>
        <v>0.10082522864985094</v>
      </c>
      <c r="F989" s="169"/>
      <c r="G989" s="169"/>
      <c r="H989" s="140"/>
      <c r="I989" s="140"/>
      <c r="J989" s="944"/>
      <c r="K989" s="2236"/>
      <c r="L989" s="140"/>
      <c r="M989" s="140"/>
      <c r="N989" s="1132"/>
    </row>
    <row r="990" spans="2:14" ht="17.25" hidden="1" customHeight="1" x14ac:dyDescent="0.25">
      <c r="B990" s="1024"/>
      <c r="C990" s="2629" t="s">
        <v>5824</v>
      </c>
      <c r="D990" s="3473">
        <v>900000000</v>
      </c>
      <c r="E990" s="73">
        <f t="shared" si="42"/>
        <v>0.87928722866954701</v>
      </c>
      <c r="F990" s="169"/>
      <c r="G990" s="169"/>
      <c r="H990" s="140"/>
      <c r="I990" s="140"/>
      <c r="J990" s="944"/>
      <c r="K990" s="2236"/>
      <c r="L990" s="140"/>
      <c r="M990" s="140"/>
      <c r="N990" s="1132"/>
    </row>
    <row r="991" spans="2:14" ht="17.25" hidden="1" customHeight="1" x14ac:dyDescent="0.25">
      <c r="B991" s="1024"/>
      <c r="C991" s="2629" t="s">
        <v>5825</v>
      </c>
      <c r="D991" s="3473">
        <v>675000000</v>
      </c>
      <c r="E991" s="73">
        <f t="shared" si="42"/>
        <v>0.65946542150216025</v>
      </c>
      <c r="F991" s="169"/>
      <c r="G991" s="344"/>
      <c r="H991" s="252"/>
      <c r="I991" s="252"/>
      <c r="J991" s="944"/>
      <c r="K991" s="2236"/>
      <c r="L991" s="140"/>
      <c r="M991" s="140"/>
      <c r="N991" s="1132"/>
    </row>
    <row r="992" spans="2:14" ht="19.5" hidden="1" customHeight="1" x14ac:dyDescent="0.25">
      <c r="B992" s="1024"/>
      <c r="C992" s="2629" t="s">
        <v>5826</v>
      </c>
      <c r="D992" s="3473">
        <v>71750200</v>
      </c>
      <c r="E992" s="73">
        <f t="shared" si="42"/>
        <v>7.0098927238317482E-2</v>
      </c>
      <c r="F992" s="169"/>
      <c r="G992" s="344"/>
      <c r="H992" s="252"/>
      <c r="I992" s="252"/>
      <c r="J992" s="944"/>
      <c r="K992" s="2236"/>
      <c r="L992" s="140"/>
      <c r="M992" s="140"/>
      <c r="N992" s="1132"/>
    </row>
    <row r="993" spans="2:17" s="32" customFormat="1" ht="12.75" hidden="1" customHeight="1" x14ac:dyDescent="0.25">
      <c r="B993" s="1024"/>
      <c r="C993" s="2473"/>
      <c r="D993" s="896"/>
      <c r="E993" s="73"/>
      <c r="F993" s="176"/>
      <c r="G993" s="257"/>
      <c r="H993" s="267"/>
      <c r="I993" s="267"/>
      <c r="J993" s="2237"/>
      <c r="K993" s="2238"/>
      <c r="L993" s="142"/>
      <c r="M993" s="142"/>
      <c r="N993" s="1903"/>
      <c r="P993" s="203"/>
      <c r="Q993" s="203"/>
    </row>
    <row r="994" spans="2:17" ht="20.25" hidden="1" customHeight="1" x14ac:dyDescent="0.25">
      <c r="B994" s="1024"/>
      <c r="C994" s="2474" t="s">
        <v>5827</v>
      </c>
      <c r="D994" s="899">
        <f>SUM(D995:D999)</f>
        <v>300633000</v>
      </c>
      <c r="E994" s="157">
        <f t="shared" si="42"/>
        <v>0.29371417490734658</v>
      </c>
      <c r="F994" s="675"/>
      <c r="G994" s="2221"/>
      <c r="H994" s="2188"/>
      <c r="I994" s="2188"/>
      <c r="J994" s="1124"/>
      <c r="K994" s="261"/>
      <c r="L994" s="362"/>
      <c r="M994" s="140"/>
      <c r="N994" s="1132"/>
    </row>
    <row r="995" spans="2:17" ht="20.25" hidden="1" customHeight="1" x14ac:dyDescent="0.25">
      <c r="B995" s="1024"/>
      <c r="C995" s="2473" t="s">
        <v>5828</v>
      </c>
      <c r="D995" s="896">
        <v>38161000</v>
      </c>
      <c r="E995" s="73">
        <f t="shared" si="42"/>
        <v>3.7282755481398422E-2</v>
      </c>
      <c r="F995" s="918"/>
      <c r="G995" s="2224"/>
      <c r="H995" s="3928"/>
      <c r="I995" s="3928"/>
      <c r="J995" s="1056"/>
      <c r="K995" s="232"/>
      <c r="L995" s="3929"/>
      <c r="M995" s="133"/>
      <c r="N995" s="1136"/>
    </row>
    <row r="996" spans="2:17" ht="20.25" hidden="1" customHeight="1" x14ac:dyDescent="0.25">
      <c r="B996" s="1024"/>
      <c r="C996" s="2473" t="s">
        <v>5829</v>
      </c>
      <c r="D996" s="896">
        <v>49786000</v>
      </c>
      <c r="E996" s="73">
        <f t="shared" si="42"/>
        <v>4.8640215518380076E-2</v>
      </c>
      <c r="F996" s="918"/>
      <c r="G996" s="2224"/>
      <c r="H996" s="3928"/>
      <c r="I996" s="3928"/>
      <c r="J996" s="1056"/>
      <c r="K996" s="232"/>
      <c r="L996" s="3929"/>
      <c r="M996" s="133"/>
      <c r="N996" s="1136"/>
    </row>
    <row r="997" spans="2:17" ht="20.25" hidden="1" customHeight="1" x14ac:dyDescent="0.25">
      <c r="B997" s="1024"/>
      <c r="C997" s="2473" t="s">
        <v>5830</v>
      </c>
      <c r="D997" s="896">
        <v>112119000</v>
      </c>
      <c r="E997" s="73">
        <f t="shared" si="42"/>
        <v>0.10953867199022327</v>
      </c>
      <c r="F997" s="918"/>
      <c r="G997" s="2224"/>
      <c r="H997" s="3928"/>
      <c r="I997" s="3928"/>
      <c r="J997" s="1056"/>
      <c r="K997" s="232"/>
      <c r="L997" s="3929"/>
      <c r="M997" s="133"/>
      <c r="N997" s="1136"/>
    </row>
    <row r="998" spans="2:17" ht="20.25" hidden="1" customHeight="1" x14ac:dyDescent="0.25">
      <c r="B998" s="1024"/>
      <c r="C998" s="2473" t="s">
        <v>5831</v>
      </c>
      <c r="D998" s="896">
        <v>49786000</v>
      </c>
      <c r="E998" s="73">
        <f t="shared" si="42"/>
        <v>4.8640215518380076E-2</v>
      </c>
      <c r="F998" s="918"/>
      <c r="G998" s="2224"/>
      <c r="H998" s="3928"/>
      <c r="I998" s="3928"/>
      <c r="J998" s="1056"/>
      <c r="K998" s="232"/>
      <c r="L998" s="3929"/>
      <c r="M998" s="133"/>
      <c r="N998" s="1136"/>
    </row>
    <row r="999" spans="2:17" ht="20.25" hidden="1" customHeight="1" x14ac:dyDescent="0.25">
      <c r="B999" s="1024"/>
      <c r="C999" s="2473" t="s">
        <v>5832</v>
      </c>
      <c r="D999" s="896">
        <v>50781000</v>
      </c>
      <c r="E999" s="73">
        <f t="shared" si="42"/>
        <v>4.961231639896474E-2</v>
      </c>
      <c r="F999" s="918"/>
      <c r="G999" s="2224"/>
      <c r="H999" s="3928"/>
      <c r="I999" s="3928"/>
      <c r="J999" s="1056"/>
      <c r="K999" s="232"/>
      <c r="L999" s="3929"/>
      <c r="M999" s="133"/>
      <c r="N999" s="1136"/>
    </row>
    <row r="1000" spans="2:17" ht="15.75" hidden="1" customHeight="1" x14ac:dyDescent="0.25">
      <c r="B1000" s="1024"/>
      <c r="C1000" s="2473"/>
      <c r="D1000" s="896"/>
      <c r="E1000" s="73"/>
      <c r="F1000" s="918"/>
      <c r="G1000" s="2224"/>
      <c r="H1000" s="3928"/>
      <c r="I1000" s="3928"/>
      <c r="J1000" s="1056"/>
      <c r="K1000" s="232"/>
      <c r="L1000" s="3929"/>
      <c r="M1000" s="133"/>
      <c r="N1000" s="1136"/>
    </row>
    <row r="1001" spans="2:17" ht="20.25" hidden="1" customHeight="1" x14ac:dyDescent="0.25">
      <c r="B1001" s="1024"/>
      <c r="C1001" s="2474" t="s">
        <v>5833</v>
      </c>
      <c r="D1001" s="899">
        <f>SUM(D1002:D1003)</f>
        <v>126871775</v>
      </c>
      <c r="E1001" s="157">
        <f t="shared" si="42"/>
        <v>0.12395192381792924</v>
      </c>
      <c r="F1001" s="918"/>
      <c r="G1001" s="2224"/>
      <c r="H1001" s="3928"/>
      <c r="I1001" s="3928"/>
      <c r="J1001" s="1056"/>
      <c r="K1001" s="232"/>
      <c r="L1001" s="3929"/>
      <c r="M1001" s="133"/>
      <c r="N1001" s="1136"/>
    </row>
    <row r="1002" spans="2:17" ht="20.25" hidden="1" customHeight="1" x14ac:dyDescent="0.25">
      <c r="B1002" s="1024"/>
      <c r="C1002" s="2473" t="s">
        <v>5834</v>
      </c>
      <c r="D1002" s="896">
        <v>54060775</v>
      </c>
      <c r="E1002" s="73">
        <f t="shared" si="42"/>
        <v>5.2816610032753258E-2</v>
      </c>
      <c r="F1002" s="918"/>
      <c r="G1002" s="2224"/>
      <c r="H1002" s="3928"/>
      <c r="I1002" s="3928"/>
      <c r="J1002" s="1056"/>
      <c r="K1002" s="232"/>
      <c r="L1002" s="3929"/>
      <c r="M1002" s="133"/>
      <c r="N1002" s="1136"/>
    </row>
    <row r="1003" spans="2:17" ht="30.75" hidden="1" customHeight="1" x14ac:dyDescent="0.25">
      <c r="B1003" s="1024"/>
      <c r="C1003" s="2473" t="s">
        <v>5835</v>
      </c>
      <c r="D1003" s="896">
        <v>72811000</v>
      </c>
      <c r="E1003" s="73">
        <f t="shared" si="42"/>
        <v>7.1135313785175985E-2</v>
      </c>
      <c r="F1003" s="918"/>
      <c r="G1003" s="2224"/>
      <c r="H1003" s="3928"/>
      <c r="I1003" s="3928"/>
      <c r="J1003" s="1056"/>
      <c r="K1003" s="232"/>
      <c r="L1003" s="3929"/>
      <c r="M1003" s="133"/>
      <c r="N1003" s="1136"/>
    </row>
    <row r="1004" spans="2:17" ht="12" hidden="1" customHeight="1" x14ac:dyDescent="0.25">
      <c r="B1004" s="1024"/>
      <c r="C1004" s="2473"/>
      <c r="D1004" s="896"/>
      <c r="E1004" s="73"/>
      <c r="F1004" s="918"/>
      <c r="G1004" s="2224"/>
      <c r="H1004" s="3928"/>
      <c r="I1004" s="3928"/>
      <c r="J1004" s="1056"/>
      <c r="K1004" s="232"/>
      <c r="L1004" s="3929"/>
      <c r="M1004" s="133"/>
      <c r="N1004" s="1136"/>
    </row>
    <row r="1005" spans="2:17" ht="22.5" hidden="1" customHeight="1" x14ac:dyDescent="0.25">
      <c r="B1005" s="1024"/>
      <c r="C1005" s="2474" t="s">
        <v>5836</v>
      </c>
      <c r="D1005" s="899">
        <f>SUM(D1006:D1009)</f>
        <v>596100000</v>
      </c>
      <c r="E1005" s="157">
        <f t="shared" si="42"/>
        <v>0.58238124112212997</v>
      </c>
      <c r="F1005" s="918"/>
      <c r="G1005" s="2224"/>
      <c r="H1005" s="3928"/>
      <c r="I1005" s="3928"/>
      <c r="J1005" s="1056"/>
      <c r="K1005" s="232"/>
      <c r="L1005" s="3929"/>
      <c r="M1005" s="133"/>
      <c r="N1005" s="1136"/>
    </row>
    <row r="1006" spans="2:17" ht="20.25" hidden="1" customHeight="1" x14ac:dyDescent="0.25">
      <c r="B1006" s="1024"/>
      <c r="C1006" s="2473" t="s">
        <v>5837</v>
      </c>
      <c r="D1006" s="896">
        <v>124950000</v>
      </c>
      <c r="E1006" s="73">
        <f t="shared" si="42"/>
        <v>0.12207437691362211</v>
      </c>
      <c r="F1006" s="918"/>
      <c r="G1006" s="2224"/>
      <c r="H1006" s="3928"/>
      <c r="I1006" s="3928"/>
      <c r="J1006" s="1056"/>
      <c r="K1006" s="232"/>
      <c r="L1006" s="3929"/>
      <c r="M1006" s="133"/>
      <c r="N1006" s="1136"/>
    </row>
    <row r="1007" spans="2:17" ht="20.25" hidden="1" customHeight="1" x14ac:dyDescent="0.25">
      <c r="B1007" s="1024"/>
      <c r="C1007" s="2473" t="s">
        <v>5838</v>
      </c>
      <c r="D1007" s="896">
        <v>48400000</v>
      </c>
      <c r="E1007" s="73">
        <f t="shared" si="42"/>
        <v>4.7286113186228967E-2</v>
      </c>
      <c r="F1007" s="918"/>
      <c r="G1007" s="2224"/>
      <c r="H1007" s="3928"/>
      <c r="I1007" s="3928"/>
      <c r="J1007" s="1056"/>
      <c r="K1007" s="232"/>
      <c r="L1007" s="3929"/>
      <c r="M1007" s="133"/>
      <c r="N1007" s="1136"/>
    </row>
    <row r="1008" spans="2:17" ht="32.25" hidden="1" customHeight="1" x14ac:dyDescent="0.25">
      <c r="B1008" s="1024"/>
      <c r="C1008" s="2473" t="s">
        <v>5839</v>
      </c>
      <c r="D1008" s="896">
        <v>57400000</v>
      </c>
      <c r="E1008" s="73">
        <f t="shared" si="42"/>
        <v>5.6078985472924441E-2</v>
      </c>
      <c r="F1008" s="918"/>
      <c r="G1008" s="2224"/>
      <c r="H1008" s="3928"/>
      <c r="I1008" s="3928"/>
      <c r="J1008" s="1056"/>
      <c r="K1008" s="232"/>
      <c r="L1008" s="3929"/>
      <c r="M1008" s="133"/>
      <c r="N1008" s="1136"/>
    </row>
    <row r="1009" spans="2:14" ht="20.25" hidden="1" customHeight="1" x14ac:dyDescent="0.25">
      <c r="B1009" s="1024"/>
      <c r="C1009" s="2473" t="s">
        <v>5840</v>
      </c>
      <c r="D1009" s="896">
        <v>365350000</v>
      </c>
      <c r="E1009" s="73">
        <f t="shared" si="42"/>
        <v>0.35694176554935447</v>
      </c>
      <c r="F1009" s="918"/>
      <c r="G1009" s="2224"/>
      <c r="H1009" s="3928"/>
      <c r="I1009" s="3928"/>
      <c r="J1009" s="1056"/>
      <c r="K1009" s="232"/>
      <c r="L1009" s="3929"/>
      <c r="M1009" s="133"/>
      <c r="N1009" s="1136"/>
    </row>
    <row r="1010" spans="2:14" ht="13.5" hidden="1" customHeight="1" x14ac:dyDescent="0.25">
      <c r="B1010" s="1024"/>
      <c r="C1010" s="2473"/>
      <c r="D1010" s="896"/>
      <c r="E1010" s="73"/>
      <c r="F1010" s="918"/>
      <c r="G1010" s="2224"/>
      <c r="H1010" s="3928"/>
      <c r="I1010" s="3928"/>
      <c r="J1010" s="1056"/>
      <c r="K1010" s="232"/>
      <c r="L1010" s="3929"/>
      <c r="M1010" s="133"/>
      <c r="N1010" s="1136"/>
    </row>
    <row r="1011" spans="2:14" ht="20.25" hidden="1" customHeight="1" x14ac:dyDescent="0.25">
      <c r="B1011" s="1024"/>
      <c r="C1011" s="2474" t="s">
        <v>5841</v>
      </c>
      <c r="D1011" s="899">
        <f>SUM(D1012:D1013)</f>
        <v>265800000</v>
      </c>
      <c r="E1011" s="157">
        <f t="shared" si="42"/>
        <v>0.25968282820040622</v>
      </c>
      <c r="F1011" s="918"/>
      <c r="G1011" s="2224"/>
      <c r="H1011" s="3928"/>
      <c r="I1011" s="3928"/>
      <c r="J1011" s="1056"/>
      <c r="K1011" s="232"/>
      <c r="L1011" s="3929"/>
      <c r="M1011" s="133"/>
      <c r="N1011" s="1136"/>
    </row>
    <row r="1012" spans="2:14" ht="18.75" hidden="1" customHeight="1" x14ac:dyDescent="0.25">
      <c r="B1012" s="1024"/>
      <c r="C1012" s="2473" t="s">
        <v>5842</v>
      </c>
      <c r="D1012" s="896">
        <v>250000000</v>
      </c>
      <c r="E1012" s="73">
        <f t="shared" si="42"/>
        <v>0.24424645240820753</v>
      </c>
      <c r="F1012" s="918"/>
      <c r="G1012" s="2224"/>
      <c r="H1012" s="3928"/>
      <c r="I1012" s="3928"/>
      <c r="J1012" s="1056"/>
      <c r="K1012" s="232"/>
      <c r="L1012" s="3929"/>
      <c r="M1012" s="133"/>
      <c r="N1012" s="1136"/>
    </row>
    <row r="1013" spans="2:14" ht="20.25" hidden="1" customHeight="1" x14ac:dyDescent="0.25">
      <c r="B1013" s="1024"/>
      <c r="C1013" s="2473" t="s">
        <v>5843</v>
      </c>
      <c r="D1013" s="896">
        <v>15800000</v>
      </c>
      <c r="E1013" s="73">
        <f t="shared" si="42"/>
        <v>1.5436375792198713E-2</v>
      </c>
      <c r="F1013" s="918"/>
      <c r="G1013" s="2224"/>
      <c r="H1013" s="3928"/>
      <c r="I1013" s="3928"/>
      <c r="J1013" s="1056"/>
      <c r="K1013" s="232"/>
      <c r="L1013" s="3929"/>
      <c r="M1013" s="133"/>
      <c r="N1013" s="1136"/>
    </row>
    <row r="1014" spans="2:14" ht="9" hidden="1" customHeight="1" x14ac:dyDescent="0.25">
      <c r="B1014" s="1024"/>
      <c r="C1014" s="2473"/>
      <c r="D1014" s="896"/>
      <c r="E1014" s="73"/>
      <c r="F1014" s="918"/>
      <c r="G1014" s="2224"/>
      <c r="H1014" s="3928"/>
      <c r="I1014" s="3928"/>
      <c r="J1014" s="1056"/>
      <c r="K1014" s="232"/>
      <c r="L1014" s="3929"/>
      <c r="M1014" s="133"/>
      <c r="N1014" s="1136"/>
    </row>
    <row r="1015" spans="2:14" ht="23.25" hidden="1" customHeight="1" x14ac:dyDescent="0.25">
      <c r="B1015" s="1024"/>
      <c r="C1015" s="2474" t="s">
        <v>5844</v>
      </c>
      <c r="D1015" s="899">
        <f>D1016</f>
        <v>108750000</v>
      </c>
      <c r="E1015" s="157">
        <f t="shared" si="42"/>
        <v>0.10624720679757026</v>
      </c>
      <c r="F1015" s="918"/>
      <c r="G1015" s="2224"/>
      <c r="H1015" s="3928"/>
      <c r="I1015" s="3928"/>
      <c r="J1015" s="1056"/>
      <c r="K1015" s="232"/>
      <c r="L1015" s="3929"/>
      <c r="M1015" s="133"/>
      <c r="N1015" s="1136"/>
    </row>
    <row r="1016" spans="2:14" ht="20.25" hidden="1" customHeight="1" x14ac:dyDescent="0.25">
      <c r="B1016" s="1024"/>
      <c r="C1016" s="2473" t="s">
        <v>5845</v>
      </c>
      <c r="D1016" s="896">
        <v>108750000</v>
      </c>
      <c r="E1016" s="73">
        <f t="shared" si="42"/>
        <v>0.10624720679757026</v>
      </c>
      <c r="F1016" s="918"/>
      <c r="G1016" s="2224"/>
      <c r="H1016" s="3928"/>
      <c r="I1016" s="3928"/>
      <c r="J1016" s="1056"/>
      <c r="K1016" s="232"/>
      <c r="L1016" s="3929"/>
      <c r="M1016" s="133"/>
      <c r="N1016" s="1136"/>
    </row>
    <row r="1017" spans="2:14" ht="16.5" hidden="1" customHeight="1" x14ac:dyDescent="0.25">
      <c r="B1017" s="1024"/>
      <c r="C1017" s="66"/>
      <c r="D1017" s="67"/>
      <c r="E1017" s="158"/>
      <c r="F1017" s="918"/>
      <c r="G1017" s="2224"/>
      <c r="H1017" s="3928"/>
      <c r="I1017" s="3928"/>
      <c r="J1017" s="1055"/>
      <c r="K1017" s="958"/>
      <c r="L1017" s="3929"/>
      <c r="M1017" s="133"/>
      <c r="N1017" s="1136"/>
    </row>
    <row r="1018" spans="2:14" ht="18.75" hidden="1" customHeight="1" x14ac:dyDescent="0.25">
      <c r="B1018" s="1029"/>
      <c r="C1018" s="2471" t="s">
        <v>6018</v>
      </c>
      <c r="D1018" s="2315">
        <f>D1019</f>
        <v>711000000</v>
      </c>
      <c r="E1018" s="179">
        <f>SUM(D1018/102355632000*100)</f>
        <v>0.69463691064894217</v>
      </c>
      <c r="F1018" s="2037"/>
      <c r="G1018" s="3932"/>
      <c r="H1018" s="3933"/>
      <c r="I1018" s="3933"/>
      <c r="J1018" s="4727"/>
      <c r="K1018" s="4728"/>
      <c r="L1018" s="3934"/>
      <c r="M1018" s="133"/>
      <c r="N1018" s="1136"/>
    </row>
    <row r="1019" spans="2:14" ht="20.25" hidden="1" customHeight="1" x14ac:dyDescent="0.25">
      <c r="B1019" s="1024"/>
      <c r="C1019" s="2521" t="s">
        <v>6019</v>
      </c>
      <c r="D1019" s="2312">
        <f>D1020</f>
        <v>711000000</v>
      </c>
      <c r="E1019" s="266">
        <f>SUM(D1019/102355632000*100)</f>
        <v>0.69463691064894217</v>
      </c>
      <c r="F1019" s="2033"/>
      <c r="G1019" s="2187"/>
      <c r="H1019" s="3930"/>
      <c r="I1019" s="3930"/>
      <c r="J1019" s="1124"/>
      <c r="K1019" s="261"/>
      <c r="L1019" s="3931"/>
      <c r="M1019" s="133"/>
      <c r="N1019" s="1136"/>
    </row>
    <row r="1020" spans="2:14" ht="20.25" hidden="1" customHeight="1" x14ac:dyDescent="0.25">
      <c r="B1020" s="1024"/>
      <c r="C1020" s="2494" t="s">
        <v>6020</v>
      </c>
      <c r="D1020" s="67">
        <v>711000000</v>
      </c>
      <c r="E1020" s="73">
        <f>SUM(D1020/102355632000*100)</f>
        <v>0.69463691064894217</v>
      </c>
      <c r="F1020" s="918"/>
      <c r="G1020" s="2224"/>
      <c r="H1020" s="3928"/>
      <c r="I1020" s="3928"/>
      <c r="J1020" s="1056"/>
      <c r="K1020" s="232"/>
      <c r="L1020" s="3929"/>
      <c r="M1020" s="133"/>
      <c r="N1020" s="1136"/>
    </row>
    <row r="1021" spans="2:14" ht="12" hidden="1" customHeight="1" x14ac:dyDescent="0.25">
      <c r="B1021" s="1024"/>
      <c r="C1021" s="335"/>
      <c r="D1021" s="4222"/>
      <c r="E1021" s="364"/>
      <c r="F1021" s="2240"/>
      <c r="G1021" s="2241"/>
      <c r="H1021" s="2241"/>
      <c r="I1021" s="1920"/>
      <c r="J1021" s="2239"/>
      <c r="K1021" s="2241"/>
      <c r="L1021" s="2241"/>
      <c r="M1021" s="1920"/>
      <c r="N1021" s="1136"/>
    </row>
    <row r="1022" spans="2:14" ht="36" hidden="1" customHeight="1" x14ac:dyDescent="0.25">
      <c r="B1022" s="1029"/>
      <c r="C1022" s="56" t="s">
        <v>6031</v>
      </c>
      <c r="D1022" s="2315">
        <f>D1023</f>
        <v>9484800000</v>
      </c>
      <c r="E1022" s="179">
        <f>SUM(D1022/102355632000*100)</f>
        <v>9.2665150072054647</v>
      </c>
      <c r="F1022" s="127"/>
      <c r="G1022" s="127"/>
      <c r="H1022" s="179"/>
      <c r="I1022" s="179"/>
      <c r="J1022" s="127"/>
      <c r="K1022" s="127"/>
      <c r="L1022" s="179"/>
      <c r="M1022" s="179"/>
      <c r="N1022" s="1136"/>
    </row>
    <row r="1023" spans="2:14" ht="19.5" hidden="1" customHeight="1" x14ac:dyDescent="0.25">
      <c r="B1023" s="1024"/>
      <c r="C1023" s="69" t="s">
        <v>3073</v>
      </c>
      <c r="D1023" s="4223">
        <f>D1024+D1025</f>
        <v>9484800000</v>
      </c>
      <c r="E1023" s="266">
        <f>SUM(D1023/102355632000*100)</f>
        <v>9.2665150072054647</v>
      </c>
      <c r="F1023" s="128"/>
      <c r="G1023" s="128"/>
      <c r="H1023" s="72"/>
      <c r="I1023" s="72"/>
      <c r="J1023" s="128"/>
      <c r="K1023" s="128"/>
      <c r="L1023" s="202"/>
      <c r="M1023" s="72"/>
      <c r="N1023" s="1136"/>
    </row>
    <row r="1024" spans="2:14" ht="18.75" hidden="1" customHeight="1" x14ac:dyDescent="0.25">
      <c r="B1024" s="1024"/>
      <c r="C1024" s="61" t="s">
        <v>6036</v>
      </c>
      <c r="D1024" s="169">
        <v>1940000000</v>
      </c>
      <c r="E1024" s="73">
        <f>SUM(D1024/102355632000*100)</f>
        <v>1.8953524706876901</v>
      </c>
      <c r="F1024" s="169"/>
      <c r="G1024" s="201"/>
      <c r="H1024" s="140"/>
      <c r="I1024" s="73"/>
      <c r="J1024" s="2242"/>
      <c r="K1024" s="2243"/>
      <c r="L1024" s="140"/>
      <c r="M1024" s="73"/>
      <c r="N1024" s="1136"/>
    </row>
    <row r="1025" spans="1:17" ht="19.5" hidden="1" customHeight="1" x14ac:dyDescent="0.25">
      <c r="B1025" s="1024"/>
      <c r="C1025" s="82" t="s">
        <v>6032</v>
      </c>
      <c r="D1025" s="140">
        <v>7544800000</v>
      </c>
      <c r="E1025" s="73">
        <f>SUM(D1025/102355632000*100)</f>
        <v>7.3711625365177751</v>
      </c>
      <c r="F1025" s="140"/>
      <c r="G1025" s="201"/>
      <c r="H1025" s="140"/>
      <c r="I1025" s="73"/>
      <c r="J1025" s="955"/>
      <c r="K1025" s="2244"/>
      <c r="L1025" s="140"/>
      <c r="M1025" s="158"/>
      <c r="N1025" s="1136"/>
    </row>
    <row r="1026" spans="1:17" ht="16.5" hidden="1" customHeight="1" thickBot="1" x14ac:dyDescent="0.3">
      <c r="B1026" s="1904"/>
      <c r="C1026" s="61"/>
      <c r="D1026" s="4215"/>
      <c r="E1026" s="215"/>
      <c r="F1026" s="339"/>
      <c r="G1026" s="347"/>
      <c r="H1026" s="191"/>
      <c r="I1026" s="194"/>
      <c r="J1026" s="199"/>
      <c r="K1026" s="1935"/>
      <c r="L1026" s="199"/>
      <c r="M1026" s="199"/>
      <c r="N1026" s="1136"/>
    </row>
    <row r="1027" spans="1:17" s="228" customFormat="1" ht="22.5" customHeight="1" thickTop="1" thickBot="1" x14ac:dyDescent="0.3">
      <c r="A1027" s="34"/>
      <c r="B1027" s="2258"/>
      <c r="C1027" s="2259" t="s">
        <v>3061</v>
      </c>
      <c r="D1027" s="2260">
        <f>D13+D33</f>
        <v>640102501345.54004</v>
      </c>
      <c r="E1027" s="2261">
        <f>D1027/640102501345.54*100</f>
        <v>100</v>
      </c>
      <c r="F1027" s="2262"/>
      <c r="G1027" s="2262"/>
      <c r="H1027" s="2260"/>
      <c r="I1027" s="2260"/>
      <c r="J1027" s="2260"/>
      <c r="K1027" s="2262"/>
      <c r="L1027" s="2263"/>
      <c r="M1027" s="2260"/>
      <c r="N1027" s="2264"/>
      <c r="P1027" s="670"/>
      <c r="Q1027" s="670"/>
    </row>
    <row r="1028" spans="1:17" ht="14.1" customHeight="1" x14ac:dyDescent="0.25">
      <c r="B1028" s="2265"/>
      <c r="C1028" s="395"/>
      <c r="D1028" s="2266"/>
      <c r="E1028" s="2267"/>
      <c r="F1028" s="2268"/>
      <c r="G1028" s="2269"/>
      <c r="H1028" s="1144"/>
      <c r="I1028" s="1147"/>
      <c r="J1028" s="1145"/>
      <c r="K1028" s="2270"/>
      <c r="L1028" s="1145"/>
      <c r="M1028" s="4257"/>
      <c r="N1028" s="1133"/>
    </row>
    <row r="1029" spans="1:17" ht="20.100000000000001" customHeight="1" x14ac:dyDescent="0.25">
      <c r="B1029" s="2271"/>
      <c r="C1029" s="2272"/>
      <c r="D1029" s="2273"/>
      <c r="E1029" s="2267"/>
      <c r="F1029" s="2268"/>
      <c r="G1029" s="2269"/>
      <c r="H1029" s="1144"/>
      <c r="I1029" s="5096" t="s">
        <v>7958</v>
      </c>
      <c r="J1029" s="5096"/>
      <c r="K1029" s="5096"/>
      <c r="L1029" s="5096"/>
      <c r="M1029" s="5096"/>
      <c r="N1029" s="523"/>
    </row>
    <row r="1030" spans="1:17" x14ac:dyDescent="0.25">
      <c r="B1030" s="5016"/>
      <c r="C1030" s="5016"/>
      <c r="D1030" s="5016"/>
      <c r="E1030" s="2274"/>
      <c r="F1030" s="2268"/>
      <c r="G1030" s="2269"/>
      <c r="H1030" s="1144"/>
      <c r="I1030" s="5101" t="s">
        <v>3078</v>
      </c>
      <c r="J1030" s="5101"/>
      <c r="K1030" s="5101"/>
      <c r="L1030" s="5101"/>
      <c r="M1030" s="5101"/>
      <c r="N1030" s="2275"/>
    </row>
    <row r="1031" spans="1:17" x14ac:dyDescent="0.25">
      <c r="B1031" s="4253"/>
      <c r="C1031" s="2272"/>
      <c r="D1031" s="4241"/>
      <c r="E1031" s="2274"/>
      <c r="F1031" s="2268"/>
      <c r="G1031" s="2269"/>
      <c r="H1031" s="1144"/>
      <c r="I1031" s="5100" t="s">
        <v>3063</v>
      </c>
      <c r="J1031" s="5100"/>
      <c r="K1031" s="5100"/>
      <c r="L1031" s="5100"/>
      <c r="M1031" s="5100"/>
      <c r="N1031" s="2276"/>
    </row>
    <row r="1032" spans="1:17" s="229" customFormat="1" x14ac:dyDescent="0.25">
      <c r="A1032" s="20"/>
      <c r="B1032" s="5016"/>
      <c r="C1032" s="5016"/>
      <c r="D1032" s="5016"/>
      <c r="E1032" s="2267"/>
      <c r="F1032" s="2277"/>
      <c r="G1032" s="2269"/>
      <c r="H1032" s="1144"/>
      <c r="I1032" s="1008"/>
      <c r="J1032" s="1007"/>
      <c r="K1032" s="1891"/>
      <c r="L1032" s="4262"/>
      <c r="M1032" s="4255"/>
      <c r="N1032" s="1002"/>
      <c r="O1032"/>
      <c r="P1032" s="35"/>
      <c r="Q1032" s="218"/>
    </row>
    <row r="1033" spans="1:17" s="229" customFormat="1" x14ac:dyDescent="0.25">
      <c r="A1033" s="20"/>
      <c r="B1033" s="5016"/>
      <c r="C1033" s="5016"/>
      <c r="D1033" s="5016"/>
      <c r="E1033" s="1888"/>
      <c r="F1033" s="1889"/>
      <c r="G1033" s="1890"/>
      <c r="H1033" s="1007"/>
      <c r="I1033" s="1008"/>
      <c r="J1033" s="1007"/>
      <c r="K1033" s="1891"/>
      <c r="L1033" s="956"/>
      <c r="M1033" s="523"/>
      <c r="N1033" s="1002"/>
      <c r="O1033"/>
      <c r="P1033" s="35"/>
      <c r="Q1033" s="218"/>
    </row>
    <row r="1034" spans="1:17" s="229" customFormat="1" x14ac:dyDescent="0.25">
      <c r="A1034" s="20"/>
      <c r="B1034" s="1151"/>
      <c r="C1034" s="219"/>
      <c r="D1034" s="4242"/>
      <c r="E1034" s="1888"/>
      <c r="F1034" s="1889"/>
      <c r="G1034" s="1890"/>
      <c r="H1034" s="1007"/>
      <c r="I1034" s="1008"/>
      <c r="J1034" s="1007"/>
      <c r="K1034" s="1891"/>
      <c r="L1034" s="4262"/>
      <c r="M1034" s="4257"/>
      <c r="N1034" s="1002"/>
      <c r="O1034"/>
      <c r="P1034" s="35"/>
      <c r="Q1034" s="218"/>
    </row>
    <row r="1035" spans="1:17" s="229" customFormat="1" x14ac:dyDescent="0.25">
      <c r="A1035" s="20"/>
      <c r="B1035" s="1151"/>
      <c r="C1035" s="219"/>
      <c r="D1035" s="4241"/>
      <c r="E1035" s="1888"/>
      <c r="F1035" s="1889"/>
      <c r="G1035" s="1890"/>
      <c r="H1035" s="1007"/>
      <c r="I1035" s="1008"/>
      <c r="J1035" s="1007"/>
      <c r="K1035" s="1891"/>
      <c r="L1035" s="2278"/>
      <c r="M1035" s="4256"/>
      <c r="N1035" s="1002"/>
      <c r="O1035"/>
      <c r="P1035" s="35"/>
      <c r="Q1035" s="218"/>
    </row>
    <row r="1036" spans="1:17" s="229" customFormat="1" x14ac:dyDescent="0.25">
      <c r="A1036" s="20"/>
      <c r="B1036" s="1151"/>
      <c r="C1036" s="219"/>
      <c r="D1036" s="4241"/>
      <c r="E1036" s="1888"/>
      <c r="F1036" s="1889"/>
      <c r="G1036" s="1890"/>
      <c r="H1036" s="1007"/>
      <c r="I1036" s="5017" t="s">
        <v>3064</v>
      </c>
      <c r="J1036" s="5017"/>
      <c r="K1036" s="5017"/>
      <c r="L1036" s="5017"/>
      <c r="M1036" s="5017"/>
      <c r="N1036" s="337"/>
      <c r="O1036"/>
      <c r="P1036" s="35"/>
      <c r="Q1036" s="218"/>
    </row>
    <row r="1037" spans="1:17" s="229" customFormat="1" ht="15" customHeight="1" x14ac:dyDescent="0.25">
      <c r="A1037" s="20"/>
      <c r="B1037" s="1151"/>
      <c r="C1037" s="219"/>
      <c r="D1037" s="4241"/>
      <c r="E1037" s="1888"/>
      <c r="F1037" s="1889"/>
      <c r="G1037" s="1890"/>
      <c r="H1037" s="1007"/>
      <c r="I1037" s="5097" t="s">
        <v>4165</v>
      </c>
      <c r="J1037" s="5097"/>
      <c r="K1037" s="5097"/>
      <c r="L1037" s="5097"/>
      <c r="M1037" s="5097"/>
      <c r="N1037" s="2279"/>
      <c r="O1037"/>
      <c r="P1037" s="35"/>
      <c r="Q1037" s="218"/>
    </row>
    <row r="1038" spans="1:17" s="229" customFormat="1" x14ac:dyDescent="0.25">
      <c r="A1038" s="20"/>
      <c r="B1038" s="1151"/>
      <c r="C1038" s="219"/>
      <c r="D1038" s="4241"/>
      <c r="E1038" s="1888"/>
      <c r="F1038" s="1889"/>
      <c r="G1038" s="1890"/>
      <c r="H1038" s="1007"/>
      <c r="I1038" s="5100" t="s">
        <v>3065</v>
      </c>
      <c r="J1038" s="5100"/>
      <c r="K1038" s="5100"/>
      <c r="L1038" s="5100"/>
      <c r="M1038" s="5100"/>
      <c r="N1038" s="2276"/>
      <c r="O1038"/>
      <c r="P1038" s="35"/>
      <c r="Q1038" s="218"/>
    </row>
    <row r="1039" spans="1:17" s="229" customFormat="1" x14ac:dyDescent="0.25">
      <c r="A1039" s="20"/>
      <c r="B1039" s="1151"/>
      <c r="C1039" s="219"/>
      <c r="D1039" s="4242"/>
      <c r="E1039" s="1888"/>
      <c r="F1039" s="1889"/>
      <c r="G1039" s="1890"/>
      <c r="H1039" s="1007"/>
      <c r="I1039" s="1008"/>
      <c r="J1039" s="1007"/>
      <c r="K1039" s="1891"/>
      <c r="L1039" s="1007"/>
      <c r="M1039" s="1007"/>
      <c r="N1039" s="1002"/>
      <c r="O1039"/>
      <c r="P1039" s="35"/>
      <c r="Q1039" s="218"/>
    </row>
    <row r="1040" spans="1:17" s="229" customFormat="1" x14ac:dyDescent="0.25">
      <c r="A1040" s="20"/>
      <c r="B1040" s="1151"/>
      <c r="C1040" s="2272"/>
      <c r="D1040" s="2272"/>
      <c r="E1040" s="1888"/>
      <c r="F1040" s="1889"/>
      <c r="G1040" s="1890"/>
      <c r="H1040" s="1007"/>
      <c r="I1040" s="1008"/>
      <c r="J1040" s="1007"/>
      <c r="K1040" s="1891"/>
      <c r="L1040" s="4257"/>
      <c r="M1040" s="4257"/>
      <c r="N1040" s="4257"/>
      <c r="O1040"/>
      <c r="P1040" s="35"/>
      <c r="Q1040" s="218"/>
    </row>
    <row r="1041" spans="1:17" s="229" customFormat="1" x14ac:dyDescent="0.25">
      <c r="A1041" s="20"/>
      <c r="B1041" s="1151"/>
      <c r="C1041" s="2272"/>
      <c r="D1041" s="2272"/>
      <c r="E1041" s="1888"/>
      <c r="F1041" s="1889"/>
      <c r="G1041" s="1890"/>
      <c r="H1041" s="1007"/>
      <c r="I1041" s="1008"/>
      <c r="J1041" s="1007"/>
      <c r="K1041" s="1891"/>
      <c r="L1041" s="4257"/>
      <c r="M1041" s="4257"/>
      <c r="N1041" s="4257"/>
      <c r="O1041"/>
      <c r="P1041" s="35"/>
      <c r="Q1041" s="218"/>
    </row>
    <row r="1042" spans="1:17" s="229" customFormat="1" x14ac:dyDescent="0.25">
      <c r="A1042" s="20"/>
      <c r="B1042" s="1151"/>
      <c r="C1042" s="219"/>
      <c r="D1042" s="4242"/>
      <c r="E1042" s="1888"/>
      <c r="F1042" s="1889"/>
      <c r="G1042" s="1890"/>
      <c r="H1042" s="1007"/>
      <c r="I1042" s="1008"/>
      <c r="J1042" s="1007"/>
      <c r="K1042" s="1891"/>
      <c r="L1042" s="4257"/>
      <c r="M1042" s="4257"/>
      <c r="N1042" s="4257"/>
      <c r="O1042"/>
      <c r="P1042" s="35"/>
      <c r="Q1042" s="218"/>
    </row>
    <row r="1043" spans="1:17" s="229" customFormat="1" x14ac:dyDescent="0.25">
      <c r="A1043" s="20"/>
      <c r="B1043" s="1151"/>
      <c r="C1043" s="219"/>
      <c r="D1043" s="4242"/>
      <c r="E1043" s="1888"/>
      <c r="F1043" s="1889"/>
      <c r="G1043" s="1890"/>
      <c r="H1043" s="1007"/>
      <c r="I1043" s="1008"/>
      <c r="J1043" s="1007"/>
      <c r="K1043" s="1891"/>
      <c r="L1043" s="4257"/>
      <c r="M1043" s="4257"/>
      <c r="N1043" s="4257"/>
      <c r="O1043"/>
      <c r="P1043" s="35"/>
      <c r="Q1043" s="218"/>
    </row>
    <row r="1044" spans="1:17" s="229" customFormat="1" x14ac:dyDescent="0.25">
      <c r="A1044" s="20"/>
      <c r="B1044" s="1151"/>
      <c r="C1044" s="219"/>
      <c r="D1044" s="4242"/>
      <c r="E1044" s="1888"/>
      <c r="F1044" s="1889"/>
      <c r="G1044" s="1890"/>
      <c r="H1044" s="1007"/>
      <c r="I1044" s="1008"/>
      <c r="J1044" s="1007"/>
      <c r="K1044" s="1891"/>
      <c r="L1044" s="523"/>
      <c r="M1044" s="523"/>
      <c r="N1044" s="2279"/>
      <c r="O1044"/>
      <c r="P1044" s="35"/>
      <c r="Q1044" s="218"/>
    </row>
    <row r="1045" spans="1:17" s="229" customFormat="1" x14ac:dyDescent="0.25">
      <c r="A1045" s="20"/>
      <c r="B1045" s="1151"/>
      <c r="C1045" s="2371"/>
      <c r="D1045" s="230"/>
      <c r="E1045" s="1888"/>
      <c r="F1045" s="1889"/>
      <c r="G1045" s="1890"/>
      <c r="H1045" s="1007"/>
      <c r="I1045" s="1008"/>
      <c r="J1045" s="1007"/>
      <c r="K1045" s="1891"/>
      <c r="L1045" s="4255"/>
      <c r="M1045" s="4255"/>
      <c r="N1045" s="2279"/>
      <c r="O1045"/>
      <c r="P1045" s="35"/>
      <c r="Q1045" s="218"/>
    </row>
    <row r="1046" spans="1:17" s="229" customFormat="1" x14ac:dyDescent="0.25">
      <c r="A1046" s="20"/>
      <c r="B1046" s="1151"/>
      <c r="C1046" s="219"/>
      <c r="D1046" s="230"/>
      <c r="E1046" s="1888"/>
      <c r="F1046" s="1889"/>
      <c r="G1046" s="1890"/>
      <c r="H1046" s="1007"/>
      <c r="I1046" s="1008"/>
      <c r="J1046" s="1007"/>
      <c r="K1046" s="1891"/>
      <c r="L1046" s="523"/>
      <c r="M1046" s="523"/>
      <c r="N1046" s="2279"/>
      <c r="O1046"/>
      <c r="P1046" s="35"/>
      <c r="Q1046" s="218"/>
    </row>
    <row r="1047" spans="1:17" s="229" customFormat="1" x14ac:dyDescent="0.25">
      <c r="A1047" s="20"/>
      <c r="B1047" s="1151"/>
      <c r="C1047" s="219"/>
      <c r="D1047" s="4242"/>
      <c r="E1047" s="1888"/>
      <c r="F1047" s="1889"/>
      <c r="G1047" s="1890"/>
      <c r="H1047" s="1007"/>
      <c r="I1047" s="1008"/>
      <c r="J1047" s="1007"/>
      <c r="K1047" s="1891"/>
      <c r="L1047" s="4257"/>
      <c r="M1047" s="4257"/>
      <c r="N1047" s="4257"/>
      <c r="O1047"/>
      <c r="P1047" s="35"/>
      <c r="Q1047" s="218"/>
    </row>
    <row r="1048" spans="1:17" x14ac:dyDescent="0.25">
      <c r="L1048" s="4256"/>
      <c r="M1048" s="4256"/>
      <c r="N1048" s="4256"/>
    </row>
  </sheetData>
  <mergeCells count="22">
    <mergeCell ref="B1033:D1033"/>
    <mergeCell ref="I1036:M1036"/>
    <mergeCell ref="I1037:M1037"/>
    <mergeCell ref="I1038:M1038"/>
    <mergeCell ref="P888:S888"/>
    <mergeCell ref="I1029:M1029"/>
    <mergeCell ref="B1030:D1030"/>
    <mergeCell ref="I1030:M1030"/>
    <mergeCell ref="I1031:M1031"/>
    <mergeCell ref="B1032:D1032"/>
    <mergeCell ref="N10:N11"/>
    <mergeCell ref="B1:N1"/>
    <mergeCell ref="B2:N2"/>
    <mergeCell ref="B3:N3"/>
    <mergeCell ref="A4:N4"/>
    <mergeCell ref="B7:N7"/>
    <mergeCell ref="B8:J8"/>
    <mergeCell ref="B10:B11"/>
    <mergeCell ref="C10:C11"/>
    <mergeCell ref="D10:E10"/>
    <mergeCell ref="F10:I10"/>
    <mergeCell ref="J10:M10"/>
  </mergeCells>
  <printOptions horizontalCentered="1"/>
  <pageMargins left="0.7" right="0.45" top="0.75" bottom="0.75" header="0.3" footer="0.3"/>
  <pageSetup paperSize="258" scale="27" orientation="landscape" r:id="rId1"/>
  <colBreaks count="1" manualBreakCount="1">
    <brk id="11" max="889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999"/>
  <sheetViews>
    <sheetView view="pageBreakPreview" topLeftCell="A7" zoomScale="73" zoomScaleNormal="90" zoomScaleSheetLayoutView="73" workbookViewId="0">
      <selection activeCell="D19" sqref="D19"/>
    </sheetView>
  </sheetViews>
  <sheetFormatPr defaultColWidth="8.85546875" defaultRowHeight="15.75" x14ac:dyDescent="0.25"/>
  <cols>
    <col min="1" max="1" width="3.28515625" customWidth="1"/>
    <col min="2" max="2" width="5.42578125" style="1308" customWidth="1"/>
    <col min="3" max="3" width="78.140625" style="2634" customWidth="1"/>
    <col min="4" max="4" width="23.85546875" style="2637" customWidth="1"/>
    <col min="5" max="5" width="17.5703125" style="2648" customWidth="1"/>
    <col min="6" max="6" width="27.85546875" style="1348" customWidth="1"/>
    <col min="7" max="7" width="26.140625" style="1550" customWidth="1"/>
    <col min="8" max="8" width="16.28515625" style="1343" customWidth="1"/>
    <col min="9" max="9" width="12.140625" style="1551" customWidth="1"/>
    <col min="10" max="10" width="15.5703125" style="1343" customWidth="1"/>
    <col min="11" max="11" width="17.140625" style="1343" customWidth="1"/>
    <col min="12" max="12" width="17.7109375" style="1343" customWidth="1"/>
    <col min="13" max="13" width="11.7109375" style="601" customWidth="1"/>
    <col min="14" max="14" width="11.140625" style="1295" customWidth="1"/>
    <col min="15" max="15" width="1.5703125" style="1002" customWidth="1"/>
    <col min="16" max="17" width="17.42578125" style="1003" bestFit="1" customWidth="1"/>
    <col min="18" max="18" width="8.85546875" style="1002"/>
  </cols>
  <sheetData>
    <row r="1" spans="1:18" ht="20.100000000000001" customHeight="1" x14ac:dyDescent="0.25">
      <c r="B1" s="5102"/>
      <c r="C1" s="5102"/>
      <c r="D1" s="5102"/>
      <c r="E1" s="5102"/>
      <c r="F1" s="5102"/>
      <c r="G1" s="5102"/>
      <c r="H1" s="5102"/>
      <c r="I1" s="5102"/>
      <c r="J1" s="5102"/>
      <c r="K1" s="5102"/>
      <c r="L1" s="5102"/>
      <c r="M1" s="5102"/>
      <c r="N1" s="5102"/>
    </row>
    <row r="2" spans="1:18" s="37" customFormat="1" ht="24" customHeight="1" x14ac:dyDescent="0.3">
      <c r="A2" s="36"/>
      <c r="B2" s="5103" t="s">
        <v>3079</v>
      </c>
      <c r="C2" s="5103"/>
      <c r="D2" s="5103"/>
      <c r="E2" s="5103"/>
      <c r="F2" s="5103"/>
      <c r="G2" s="5103"/>
      <c r="H2" s="5103"/>
      <c r="I2" s="5103"/>
      <c r="J2" s="5103"/>
      <c r="K2" s="5103"/>
      <c r="L2" s="5103"/>
      <c r="M2" s="5103"/>
      <c r="N2" s="5103"/>
      <c r="O2" s="999"/>
      <c r="P2" s="1000"/>
      <c r="Q2" s="1000"/>
      <c r="R2" s="999"/>
    </row>
    <row r="3" spans="1:18" ht="21.75" customHeight="1" x14ac:dyDescent="0.3">
      <c r="A3" s="36"/>
      <c r="B3" s="5022" t="s">
        <v>3080</v>
      </c>
      <c r="C3" s="5022"/>
      <c r="D3" s="5022"/>
      <c r="E3" s="5022"/>
      <c r="F3" s="5022"/>
      <c r="G3" s="5022"/>
      <c r="H3" s="5022"/>
      <c r="I3" s="5022"/>
      <c r="J3" s="5022"/>
      <c r="K3" s="5022"/>
      <c r="L3" s="5022"/>
      <c r="M3" s="5022"/>
      <c r="N3" s="5022"/>
    </row>
    <row r="4" spans="1:18" ht="26.25" customHeight="1" x14ac:dyDescent="0.3">
      <c r="A4" s="4986" t="s">
        <v>4107</v>
      </c>
      <c r="B4" s="4986"/>
      <c r="C4" s="4986"/>
      <c r="D4" s="4986"/>
      <c r="E4" s="4986"/>
      <c r="F4" s="4986"/>
      <c r="G4" s="4986"/>
      <c r="H4" s="4986"/>
      <c r="I4" s="4986"/>
      <c r="J4" s="4986"/>
      <c r="K4" s="4986"/>
      <c r="L4" s="4986"/>
      <c r="M4" s="4986"/>
      <c r="N4" s="4986"/>
    </row>
    <row r="5" spans="1:18" ht="14.1" customHeight="1" x14ac:dyDescent="0.25">
      <c r="B5" s="1544"/>
      <c r="C5" s="2467"/>
      <c r="D5" s="3585"/>
      <c r="E5" s="2638"/>
      <c r="F5" s="1347"/>
      <c r="G5" s="1545"/>
      <c r="H5" s="1544"/>
      <c r="I5" s="1546"/>
      <c r="J5" s="1544"/>
      <c r="K5" s="1544"/>
      <c r="L5" s="1544"/>
      <c r="M5" s="1547"/>
      <c r="N5" s="1547"/>
    </row>
    <row r="6" spans="1:18" ht="24" customHeight="1" x14ac:dyDescent="0.25">
      <c r="B6" s="5104" t="s">
        <v>7839</v>
      </c>
      <c r="C6" s="5104"/>
      <c r="D6" s="5104"/>
      <c r="E6" s="5104"/>
      <c r="F6" s="5104"/>
      <c r="G6" s="5104"/>
      <c r="H6" s="5104"/>
      <c r="I6" s="5104"/>
      <c r="J6" s="5104"/>
      <c r="K6" s="5104"/>
      <c r="L6" s="5104"/>
      <c r="M6" s="5104"/>
      <c r="N6" s="5104"/>
    </row>
    <row r="7" spans="1:18" ht="21.75" customHeight="1" x14ac:dyDescent="0.25">
      <c r="B7" s="5052" t="s">
        <v>4177</v>
      </c>
      <c r="C7" s="5052"/>
      <c r="D7" s="5052"/>
      <c r="E7" s="5052"/>
      <c r="F7" s="5052"/>
      <c r="G7" s="5052"/>
      <c r="H7" s="5052"/>
      <c r="I7" s="5052"/>
      <c r="J7" s="5052"/>
      <c r="K7" s="1548"/>
      <c r="L7" s="1548"/>
      <c r="M7" s="4260"/>
      <c r="N7" s="4260"/>
    </row>
    <row r="8" spans="1:18" ht="14.1" customHeight="1" thickBot="1" x14ac:dyDescent="0.3">
      <c r="B8" s="1549"/>
      <c r="C8" s="705"/>
      <c r="N8" s="1225"/>
    </row>
    <row r="9" spans="1:18" ht="18.75" customHeight="1" x14ac:dyDescent="0.25">
      <c r="B9" s="5108" t="s">
        <v>6</v>
      </c>
      <c r="C9" s="4991" t="s">
        <v>7</v>
      </c>
      <c r="D9" s="4994" t="s">
        <v>8</v>
      </c>
      <c r="E9" s="4994"/>
      <c r="F9" s="5111" t="s">
        <v>9</v>
      </c>
      <c r="G9" s="5111"/>
      <c r="H9" s="5111"/>
      <c r="I9" s="5111"/>
      <c r="J9" s="5112" t="s">
        <v>10</v>
      </c>
      <c r="K9" s="5112"/>
      <c r="L9" s="5112"/>
      <c r="M9" s="5112"/>
      <c r="N9" s="5108" t="s">
        <v>11</v>
      </c>
    </row>
    <row r="10" spans="1:18" ht="7.5" customHeight="1" thickBot="1" x14ac:dyDescent="0.3">
      <c r="B10" s="5109"/>
      <c r="C10" s="4992"/>
      <c r="D10" s="5087"/>
      <c r="E10" s="5087"/>
      <c r="F10" s="5113"/>
      <c r="G10" s="5113"/>
      <c r="H10" s="5113"/>
      <c r="I10" s="5113"/>
      <c r="J10" s="5114"/>
      <c r="K10" s="5114"/>
      <c r="L10" s="5114"/>
      <c r="M10" s="5114"/>
      <c r="N10" s="5109"/>
    </row>
    <row r="11" spans="1:18" s="45" customFormat="1" ht="82.5" customHeight="1" thickBot="1" x14ac:dyDescent="0.3">
      <c r="B11" s="5110"/>
      <c r="C11" s="4993"/>
      <c r="D11" s="2655" t="s">
        <v>12</v>
      </c>
      <c r="E11" s="2656" t="s">
        <v>3068</v>
      </c>
      <c r="F11" s="1349" t="s">
        <v>13</v>
      </c>
      <c r="G11" s="1552" t="s">
        <v>3081</v>
      </c>
      <c r="H11" s="1553" t="s">
        <v>3082</v>
      </c>
      <c r="I11" s="1554" t="s">
        <v>16</v>
      </c>
      <c r="J11" s="1553" t="s">
        <v>12</v>
      </c>
      <c r="K11" s="1553" t="s">
        <v>3083</v>
      </c>
      <c r="L11" s="1553" t="s">
        <v>3082</v>
      </c>
      <c r="M11" s="1555" t="s">
        <v>18</v>
      </c>
      <c r="N11" s="5110"/>
      <c r="O11" s="999"/>
      <c r="P11" s="1000"/>
      <c r="Q11" s="1000"/>
      <c r="R11" s="999"/>
    </row>
    <row r="12" spans="1:18" ht="20.100000000000001" customHeight="1" thickTop="1" thickBot="1" x14ac:dyDescent="0.3">
      <c r="B12" s="1556" t="s">
        <v>19</v>
      </c>
      <c r="C12" s="2469" t="s">
        <v>20</v>
      </c>
      <c r="D12" s="2663" t="s">
        <v>21</v>
      </c>
      <c r="E12" s="2661" t="s">
        <v>22</v>
      </c>
      <c r="F12" s="1350" t="s">
        <v>23</v>
      </c>
      <c r="G12" s="1557" t="s">
        <v>24</v>
      </c>
      <c r="H12" s="1309" t="s">
        <v>25</v>
      </c>
      <c r="I12" s="4735" t="s">
        <v>26</v>
      </c>
      <c r="J12" s="1309" t="s">
        <v>27</v>
      </c>
      <c r="K12" s="1556" t="s">
        <v>28</v>
      </c>
      <c r="L12" s="1309" t="s">
        <v>29</v>
      </c>
      <c r="M12" s="1556" t="s">
        <v>30</v>
      </c>
      <c r="N12" s="1556" t="s">
        <v>31</v>
      </c>
    </row>
    <row r="13" spans="1:18" s="1" customFormat="1" ht="21.75" customHeight="1" thickTop="1" x14ac:dyDescent="0.25">
      <c r="B13" s="1558" t="s">
        <v>32</v>
      </c>
      <c r="C13" s="2480" t="s">
        <v>33</v>
      </c>
      <c r="D13" s="2665">
        <f>D15</f>
        <v>33861534853</v>
      </c>
      <c r="E13" s="3706">
        <f>D13/2512247400000*100</f>
        <v>1.3478582902702974</v>
      </c>
      <c r="F13" s="1310"/>
      <c r="G13" s="1559"/>
      <c r="H13" s="1559"/>
      <c r="I13" s="1559"/>
      <c r="J13" s="1310"/>
      <c r="K13" s="1310"/>
      <c r="L13" s="1310"/>
      <c r="M13" s="1560"/>
      <c r="N13" s="1540"/>
      <c r="O13" s="1015"/>
      <c r="P13" s="1016"/>
      <c r="Q13" s="1016"/>
      <c r="R13" s="1015"/>
    </row>
    <row r="14" spans="1:18" s="52" customFormat="1" ht="8.25" hidden="1" customHeight="1" x14ac:dyDescent="0.25">
      <c r="B14" s="1561"/>
      <c r="C14" s="2482"/>
      <c r="D14" s="2721"/>
      <c r="E14" s="2722"/>
      <c r="F14" s="1311"/>
      <c r="G14" s="1245"/>
      <c r="H14" s="1245"/>
      <c r="I14" s="1245"/>
      <c r="J14" s="1311"/>
      <c r="K14" s="1311"/>
      <c r="L14" s="1311"/>
      <c r="M14" s="1562"/>
      <c r="N14" s="1563"/>
      <c r="O14" s="1019"/>
      <c r="P14" s="1020"/>
      <c r="Q14" s="1020"/>
      <c r="R14" s="1019"/>
    </row>
    <row r="15" spans="1:18" s="4" customFormat="1" ht="20.25" hidden="1" customHeight="1" x14ac:dyDescent="0.25">
      <c r="B15" s="1564" t="s">
        <v>89</v>
      </c>
      <c r="C15" s="2471" t="s">
        <v>90</v>
      </c>
      <c r="D15" s="2669">
        <f>D16</f>
        <v>33861534853</v>
      </c>
      <c r="E15" s="2717">
        <f>D15/185815544334*100</f>
        <v>18.223198158349184</v>
      </c>
      <c r="F15" s="1351"/>
      <c r="G15" s="1244"/>
      <c r="H15" s="1244"/>
      <c r="I15" s="1244"/>
      <c r="J15" s="1565"/>
      <c r="K15" s="1565"/>
      <c r="L15" s="1244"/>
      <c r="M15" s="1405"/>
      <c r="N15" s="1566"/>
      <c r="O15" s="1022"/>
      <c r="P15" s="1023"/>
      <c r="Q15" s="1023"/>
      <c r="R15" s="1022"/>
    </row>
    <row r="16" spans="1:18" s="4" customFormat="1" ht="20.25" hidden="1" customHeight="1" x14ac:dyDescent="0.25">
      <c r="B16" s="1344"/>
      <c r="C16" s="2478" t="s">
        <v>6052</v>
      </c>
      <c r="D16" s="2721">
        <f>D17</f>
        <v>33861534853</v>
      </c>
      <c r="E16" s="2764">
        <f>D16/185815544334*100</f>
        <v>18.223198158349184</v>
      </c>
      <c r="F16" s="1352"/>
      <c r="G16" s="1245"/>
      <c r="H16" s="1245"/>
      <c r="I16" s="1245"/>
      <c r="J16" s="1487"/>
      <c r="K16" s="1487"/>
      <c r="L16" s="1245"/>
      <c r="M16" s="1245"/>
      <c r="N16" s="1567"/>
      <c r="O16" s="1022"/>
      <c r="P16" s="1022"/>
      <c r="Q16" s="1022"/>
      <c r="R16" s="1022"/>
    </row>
    <row r="17" spans="1:18" s="4" customFormat="1" ht="20.25" hidden="1" customHeight="1" x14ac:dyDescent="0.25">
      <c r="B17" s="1344"/>
      <c r="C17" s="2473" t="s">
        <v>6053</v>
      </c>
      <c r="D17" s="2698">
        <v>33861534853</v>
      </c>
      <c r="E17" s="2763">
        <f>D17/185815544334*100</f>
        <v>18.223198158349184</v>
      </c>
      <c r="F17" s="1353"/>
      <c r="G17" s="1235"/>
      <c r="H17" s="1235"/>
      <c r="I17" s="1235"/>
      <c r="J17" s="1292"/>
      <c r="K17" s="1292"/>
      <c r="L17" s="1235"/>
      <c r="M17" s="1235"/>
      <c r="N17" s="1566"/>
      <c r="O17" s="1022"/>
      <c r="P17" s="1022"/>
      <c r="Q17" s="1022"/>
      <c r="R17" s="1022"/>
    </row>
    <row r="18" spans="1:18" ht="12" hidden="1" customHeight="1" x14ac:dyDescent="0.25">
      <c r="B18" s="1570"/>
      <c r="C18" s="2473"/>
      <c r="D18" s="3639"/>
      <c r="E18" s="3037"/>
      <c r="F18" s="1293"/>
      <c r="G18" s="1569"/>
      <c r="H18" s="1339"/>
      <c r="I18" s="1583"/>
      <c r="J18" s="1338"/>
      <c r="K18" s="1338"/>
      <c r="L18" s="1280"/>
      <c r="M18" s="1584"/>
      <c r="N18" s="1539"/>
    </row>
    <row r="19" spans="1:18" s="52" customFormat="1" ht="24.75" customHeight="1" thickBot="1" x14ac:dyDescent="0.3">
      <c r="B19" s="1558" t="s">
        <v>239</v>
      </c>
      <c r="C19" s="2480" t="s">
        <v>240</v>
      </c>
      <c r="D19" s="3597">
        <f>SUM(D122+D21+D180+D299+D76+D255+D368+D498+D866+D759+D922+D617+D442)</f>
        <v>334105948097</v>
      </c>
      <c r="E19" s="3707">
        <f>D19/1582384044000*100</f>
        <v>21.114087276337575</v>
      </c>
      <c r="F19" s="1355"/>
      <c r="G19" s="1355"/>
      <c r="H19" s="1310"/>
      <c r="I19" s="1355"/>
      <c r="J19" s="1355"/>
      <c r="K19" s="1355"/>
      <c r="L19" s="1585"/>
      <c r="M19" s="1586"/>
      <c r="N19" s="1563"/>
      <c r="O19" s="1019"/>
      <c r="P19" s="1020"/>
      <c r="Q19" s="1020"/>
      <c r="R19" s="1019"/>
    </row>
    <row r="20" spans="1:18" ht="6.75" hidden="1" customHeight="1" x14ac:dyDescent="0.25">
      <c r="A20" s="121"/>
      <c r="B20" s="1587"/>
      <c r="C20" s="2477"/>
      <c r="D20" s="3638"/>
      <c r="E20" s="2778"/>
      <c r="F20" s="1339"/>
      <c r="G20" s="1339"/>
      <c r="H20" s="1339"/>
      <c r="I20" s="1339"/>
      <c r="J20" s="1338"/>
      <c r="K20" s="1338"/>
      <c r="L20" s="1332"/>
      <c r="M20" s="1584"/>
      <c r="N20" s="1539"/>
    </row>
    <row r="21" spans="1:18" s="76" customFormat="1" ht="18" hidden="1" customHeight="1" x14ac:dyDescent="0.25">
      <c r="A21" s="121"/>
      <c r="B21" s="1588"/>
      <c r="C21" s="2522" t="s">
        <v>6995</v>
      </c>
      <c r="D21" s="3770">
        <f>SUM(D23+D68+D72)</f>
        <v>29847489420</v>
      </c>
      <c r="E21" s="2948">
        <f>D21/2512247400000*100</f>
        <v>1.1880792242037947</v>
      </c>
      <c r="F21" s="1367"/>
      <c r="G21" s="1589"/>
      <c r="H21" s="1335"/>
      <c r="I21" s="1335"/>
      <c r="J21" s="1589"/>
      <c r="K21" s="1589"/>
      <c r="L21" s="1335"/>
      <c r="M21" s="1612"/>
      <c r="N21" s="1591"/>
      <c r="O21" s="1035"/>
      <c r="P21" s="1036"/>
      <c r="Q21" s="1036"/>
      <c r="R21" s="1035"/>
    </row>
    <row r="22" spans="1:18" ht="8.25" hidden="1" customHeight="1" x14ac:dyDescent="0.25">
      <c r="B22" s="1592"/>
      <c r="C22" s="2482"/>
      <c r="D22" s="3773"/>
      <c r="E22" s="2828"/>
      <c r="F22" s="1368"/>
      <c r="G22" s="1366"/>
      <c r="H22" s="1366"/>
      <c r="I22" s="1366"/>
      <c r="J22" s="1338"/>
      <c r="K22" s="1338"/>
      <c r="L22" s="1332"/>
      <c r="M22" s="1573"/>
      <c r="N22" s="1539"/>
    </row>
    <row r="23" spans="1:18" s="27" customFormat="1" ht="20.25" hidden="1" customHeight="1" x14ac:dyDescent="0.25">
      <c r="B23" s="1593"/>
      <c r="C23" s="2471" t="s">
        <v>398</v>
      </c>
      <c r="D23" s="2669">
        <f>SUM(D24+D27+D37+D41+D44+D47+D51+D56+D61+D65)</f>
        <v>20935081510</v>
      </c>
      <c r="E23" s="2786">
        <f>D23/151574776000*100</f>
        <v>13.811718587002893</v>
      </c>
      <c r="F23" s="1369"/>
      <c r="G23" s="1362"/>
      <c r="H23" s="1244"/>
      <c r="I23" s="1312"/>
      <c r="J23" s="1362"/>
      <c r="K23" s="1613"/>
      <c r="L23" s="1226"/>
      <c r="M23" s="1405"/>
      <c r="N23" s="1568"/>
      <c r="O23" s="1027"/>
      <c r="P23" s="1039"/>
      <c r="Q23" s="1039"/>
      <c r="R23" s="1027"/>
    </row>
    <row r="24" spans="1:18" s="27" customFormat="1" ht="22.5" hidden="1" customHeight="1" x14ac:dyDescent="0.25">
      <c r="B24" s="1598"/>
      <c r="C24" s="2478" t="s">
        <v>91</v>
      </c>
      <c r="D24" s="2721">
        <f>D25</f>
        <v>242778500</v>
      </c>
      <c r="E24" s="2801">
        <f>D24/151574776000*100</f>
        <v>0.16017077933864141</v>
      </c>
      <c r="F24" s="1352"/>
      <c r="G24" s="1245"/>
      <c r="H24" s="1245"/>
      <c r="I24" s="1245"/>
      <c r="J24" s="1352"/>
      <c r="K24" s="1245"/>
      <c r="L24" s="1245"/>
      <c r="M24" s="1614"/>
      <c r="N24" s="1568"/>
      <c r="O24" s="1027"/>
      <c r="P24" s="1039"/>
      <c r="Q24" s="1039"/>
      <c r="R24" s="1027"/>
    </row>
    <row r="25" spans="1:18" s="27" customFormat="1" ht="20.25" hidden="1" customHeight="1" x14ac:dyDescent="0.25">
      <c r="A25" s="96"/>
      <c r="B25" s="1598"/>
      <c r="C25" s="2473" t="s">
        <v>399</v>
      </c>
      <c r="D25" s="896">
        <v>242778500</v>
      </c>
      <c r="E25" s="2810">
        <f>D25/151574776000*100</f>
        <v>0.16017077933864141</v>
      </c>
      <c r="F25" s="1415"/>
      <c r="G25" s="1228"/>
      <c r="H25" s="1228"/>
      <c r="I25" s="1228"/>
      <c r="J25" s="1415"/>
      <c r="K25" s="1246"/>
      <c r="L25" s="1246"/>
      <c r="M25" s="1615"/>
      <c r="N25" s="1568"/>
      <c r="O25" s="1027"/>
      <c r="P25" s="1039"/>
      <c r="Q25" s="1039"/>
      <c r="R25" s="1027"/>
    </row>
    <row r="26" spans="1:18" s="27" customFormat="1" ht="14.25" hidden="1" customHeight="1" x14ac:dyDescent="0.25">
      <c r="A26" s="96"/>
      <c r="B26" s="1598"/>
      <c r="C26" s="2474"/>
      <c r="D26" s="2755"/>
      <c r="E26" s="2810"/>
      <c r="F26" s="1370"/>
      <c r="G26" s="1228"/>
      <c r="H26" s="1228"/>
      <c r="I26" s="1228"/>
      <c r="J26" s="1616"/>
      <c r="K26" s="1228"/>
      <c r="L26" s="1228"/>
      <c r="M26" s="1617"/>
      <c r="N26" s="1568"/>
      <c r="O26" s="1027"/>
      <c r="P26" s="1039"/>
      <c r="Q26" s="1039"/>
      <c r="R26" s="1027"/>
    </row>
    <row r="27" spans="1:18" s="27" customFormat="1" ht="23.25" hidden="1" customHeight="1" x14ac:dyDescent="0.25">
      <c r="A27" s="96"/>
      <c r="B27" s="1598"/>
      <c r="C27" s="2474" t="s">
        <v>93</v>
      </c>
      <c r="D27" s="2712">
        <f>SUM(D28:D35)</f>
        <v>2459688950</v>
      </c>
      <c r="E27" s="2813">
        <f t="shared" ref="E27:E66" si="0">D27/151574776000*100</f>
        <v>1.6227561174162644</v>
      </c>
      <c r="F27" s="1371"/>
      <c r="G27" s="1371"/>
      <c r="H27" s="1235"/>
      <c r="I27" s="1235"/>
      <c r="J27" s="1371"/>
      <c r="K27" s="1371"/>
      <c r="L27" s="1280"/>
      <c r="M27" s="1618"/>
      <c r="N27" s="1568"/>
      <c r="O27" s="1027"/>
      <c r="P27" s="1039"/>
      <c r="Q27" s="1039"/>
      <c r="R27" s="1027"/>
    </row>
    <row r="28" spans="1:18" s="27" customFormat="1" ht="21" hidden="1" customHeight="1" x14ac:dyDescent="0.25">
      <c r="A28" s="96"/>
      <c r="B28" s="1598"/>
      <c r="C28" s="2473" t="s">
        <v>6278</v>
      </c>
      <c r="D28" s="2709">
        <v>75000000</v>
      </c>
      <c r="E28" s="2810">
        <f t="shared" si="0"/>
        <v>4.9480528343317488E-2</v>
      </c>
      <c r="F28" s="1415"/>
      <c r="G28" s="1228"/>
      <c r="H28" s="1228"/>
      <c r="I28" s="1228"/>
      <c r="J28" s="1415"/>
      <c r="K28" s="1246"/>
      <c r="L28" s="1315"/>
      <c r="M28" s="1619"/>
      <c r="N28" s="1568"/>
      <c r="O28" s="1027"/>
      <c r="P28" s="1039"/>
      <c r="Q28" s="1039"/>
      <c r="R28" s="1027"/>
    </row>
    <row r="29" spans="1:18" s="27" customFormat="1" ht="21.75" hidden="1" customHeight="1" x14ac:dyDescent="0.25">
      <c r="A29" s="96"/>
      <c r="B29" s="1598"/>
      <c r="C29" s="2473" t="s">
        <v>6279</v>
      </c>
      <c r="D29" s="2706">
        <v>150000000</v>
      </c>
      <c r="E29" s="2810">
        <f t="shared" si="0"/>
        <v>9.8961056686634977E-2</v>
      </c>
      <c r="F29" s="1372"/>
      <c r="G29" s="1228"/>
      <c r="H29" s="1228"/>
      <c r="I29" s="1228"/>
      <c r="J29" s="1372"/>
      <c r="K29" s="1234"/>
      <c r="L29" s="1228"/>
      <c r="M29" s="1617"/>
      <c r="N29" s="1568"/>
      <c r="O29" s="1027"/>
      <c r="P29" s="1039"/>
      <c r="Q29" s="1039"/>
      <c r="R29" s="1027"/>
    </row>
    <row r="30" spans="1:18" s="27" customFormat="1" ht="19.5" hidden="1" customHeight="1" x14ac:dyDescent="0.25">
      <c r="A30" s="96"/>
      <c r="B30" s="1598"/>
      <c r="C30" s="2473" t="s">
        <v>6280</v>
      </c>
      <c r="D30" s="2706">
        <v>75000000</v>
      </c>
      <c r="E30" s="2810">
        <f t="shared" si="0"/>
        <v>4.9480528343317488E-2</v>
      </c>
      <c r="F30" s="1371"/>
      <c r="G30" s="1371"/>
      <c r="H30" s="1235"/>
      <c r="I30" s="1235"/>
      <c r="J30" s="1371"/>
      <c r="K30" s="1371"/>
      <c r="L30" s="1280"/>
      <c r="M30" s="1620"/>
      <c r="N30" s="1568"/>
      <c r="O30" s="1027"/>
      <c r="P30" s="1039"/>
      <c r="Q30" s="1039"/>
      <c r="R30" s="1027"/>
    </row>
    <row r="31" spans="1:18" s="27" customFormat="1" ht="20.25" hidden="1" customHeight="1" x14ac:dyDescent="0.25">
      <c r="A31" s="96"/>
      <c r="B31" s="1598"/>
      <c r="C31" s="2473" t="s">
        <v>6281</v>
      </c>
      <c r="D31" s="2706">
        <v>409400000</v>
      </c>
      <c r="E31" s="2810">
        <f t="shared" si="0"/>
        <v>0.27009771071672239</v>
      </c>
      <c r="F31" s="1415"/>
      <c r="G31" s="1228"/>
      <c r="H31" s="1228"/>
      <c r="I31" s="1228"/>
      <c r="J31" s="1415"/>
      <c r="K31" s="1246"/>
      <c r="L31" s="1246"/>
      <c r="M31" s="1615"/>
      <c r="N31" s="1568"/>
      <c r="O31" s="1027"/>
      <c r="P31" s="1039"/>
      <c r="Q31" s="1039"/>
      <c r="R31" s="1027"/>
    </row>
    <row r="32" spans="1:18" s="27" customFormat="1" ht="18.75" hidden="1" customHeight="1" x14ac:dyDescent="0.25">
      <c r="A32" s="96"/>
      <c r="B32" s="1598"/>
      <c r="C32" s="2473" t="s">
        <v>6282</v>
      </c>
      <c r="D32" s="2706">
        <v>343060000</v>
      </c>
      <c r="E32" s="2810">
        <f t="shared" si="0"/>
        <v>0.22633053404611331</v>
      </c>
      <c r="F32" s="1415"/>
      <c r="G32" s="1228"/>
      <c r="H32" s="1228"/>
      <c r="I32" s="1228"/>
      <c r="J32" s="1415"/>
      <c r="K32" s="1246"/>
      <c r="L32" s="1315"/>
      <c r="M32" s="1617"/>
      <c r="N32" s="1568"/>
      <c r="O32" s="1027"/>
      <c r="P32" s="1039"/>
      <c r="Q32" s="1039"/>
      <c r="R32" s="1027"/>
    </row>
    <row r="33" spans="1:18" s="27" customFormat="1" ht="15" hidden="1" customHeight="1" x14ac:dyDescent="0.25">
      <c r="A33" s="96"/>
      <c r="B33" s="1598"/>
      <c r="C33" s="2473" t="s">
        <v>6283</v>
      </c>
      <c r="D33" s="2706">
        <v>41199750</v>
      </c>
      <c r="E33" s="2810">
        <f t="shared" si="0"/>
        <v>2.7181138634834602E-2</v>
      </c>
      <c r="F33" s="1415"/>
      <c r="G33" s="1228"/>
      <c r="H33" s="1228"/>
      <c r="I33" s="1228"/>
      <c r="J33" s="1415"/>
      <c r="K33" s="1246"/>
      <c r="L33" s="1315"/>
      <c r="M33" s="1617"/>
      <c r="N33" s="1568"/>
      <c r="O33" s="1027"/>
      <c r="P33" s="1039"/>
      <c r="Q33" s="1039"/>
      <c r="R33" s="1027"/>
    </row>
    <row r="34" spans="1:18" s="27" customFormat="1" ht="21.75" hidden="1" customHeight="1" x14ac:dyDescent="0.25">
      <c r="A34" s="96"/>
      <c r="B34" s="1598"/>
      <c r="C34" s="2473" t="s">
        <v>6284</v>
      </c>
      <c r="D34" s="2706">
        <v>1051809200</v>
      </c>
      <c r="E34" s="2810">
        <f t="shared" si="0"/>
        <v>0.6939209990981613</v>
      </c>
      <c r="F34" s="1415"/>
      <c r="G34" s="1228"/>
      <c r="H34" s="1228"/>
      <c r="I34" s="1228"/>
      <c r="J34" s="1415"/>
      <c r="K34" s="1246"/>
      <c r="L34" s="1315"/>
      <c r="M34" s="1617"/>
      <c r="N34" s="1568"/>
      <c r="O34" s="1027"/>
      <c r="P34" s="1039"/>
      <c r="Q34" s="1039"/>
      <c r="R34" s="1027"/>
    </row>
    <row r="35" spans="1:18" s="27" customFormat="1" ht="19.5" hidden="1" customHeight="1" x14ac:dyDescent="0.25">
      <c r="A35" s="96"/>
      <c r="B35" s="1598"/>
      <c r="C35" s="2473" t="s">
        <v>6285</v>
      </c>
      <c r="D35" s="2706">
        <v>314220000</v>
      </c>
      <c r="E35" s="2810">
        <f t="shared" si="0"/>
        <v>0.20730362154716295</v>
      </c>
      <c r="F35" s="1415"/>
      <c r="G35" s="1228"/>
      <c r="H35" s="1228"/>
      <c r="I35" s="1228"/>
      <c r="J35" s="1415"/>
      <c r="K35" s="1246"/>
      <c r="L35" s="1315"/>
      <c r="M35" s="1617"/>
      <c r="N35" s="1568"/>
      <c r="O35" s="1027"/>
      <c r="P35" s="1039"/>
      <c r="Q35" s="1039"/>
      <c r="R35" s="1027"/>
    </row>
    <row r="36" spans="1:18" s="27" customFormat="1" ht="14.25" hidden="1" customHeight="1" x14ac:dyDescent="0.25">
      <c r="A36" s="96"/>
      <c r="B36" s="1598"/>
      <c r="C36" s="2474"/>
      <c r="D36" s="2706"/>
      <c r="E36" s="2810"/>
      <c r="F36" s="1415"/>
      <c r="G36" s="1228"/>
      <c r="H36" s="1228"/>
      <c r="I36" s="1228"/>
      <c r="J36" s="1415"/>
      <c r="K36" s="1246"/>
      <c r="L36" s="1315"/>
      <c r="M36" s="1617"/>
      <c r="N36" s="1568"/>
      <c r="O36" s="1027"/>
      <c r="P36" s="1039"/>
      <c r="Q36" s="1039"/>
      <c r="R36" s="1027"/>
    </row>
    <row r="37" spans="1:18" s="27" customFormat="1" ht="23.25" hidden="1" customHeight="1" x14ac:dyDescent="0.25">
      <c r="A37" s="96"/>
      <c r="B37" s="1598"/>
      <c r="C37" s="2474" t="s">
        <v>6275</v>
      </c>
      <c r="D37" s="2712">
        <f>SUM(D38:D39)</f>
        <v>289650000</v>
      </c>
      <c r="E37" s="2813">
        <f t="shared" si="0"/>
        <v>0.19109380046189217</v>
      </c>
      <c r="F37" s="1415"/>
      <c r="G37" s="1228"/>
      <c r="H37" s="1228"/>
      <c r="I37" s="1228"/>
      <c r="J37" s="1415"/>
      <c r="K37" s="1246"/>
      <c r="L37" s="1246"/>
      <c r="M37" s="1615"/>
      <c r="N37" s="1568"/>
      <c r="O37" s="1027"/>
      <c r="P37" s="1039"/>
      <c r="Q37" s="1039"/>
      <c r="R37" s="1027"/>
    </row>
    <row r="38" spans="1:18" s="27" customFormat="1" ht="30.75" hidden="1" customHeight="1" x14ac:dyDescent="0.25">
      <c r="A38" s="96"/>
      <c r="B38" s="1598"/>
      <c r="C38" s="2473" t="s">
        <v>6286</v>
      </c>
      <c r="D38" s="2709">
        <v>112210000</v>
      </c>
      <c r="E38" s="2810">
        <f t="shared" si="0"/>
        <v>7.4029467805382068E-2</v>
      </c>
      <c r="F38" s="1415"/>
      <c r="G38" s="1228"/>
      <c r="H38" s="1228"/>
      <c r="I38" s="1228"/>
      <c r="J38" s="1415"/>
      <c r="K38" s="1228"/>
      <c r="L38" s="1228"/>
      <c r="M38" s="1617"/>
      <c r="N38" s="1568"/>
      <c r="O38" s="1027"/>
      <c r="P38" s="1039"/>
      <c r="Q38" s="1039"/>
      <c r="R38" s="1027"/>
    </row>
    <row r="39" spans="1:18" s="27" customFormat="1" ht="23.25" hidden="1" customHeight="1" x14ac:dyDescent="0.25">
      <c r="A39" s="96"/>
      <c r="B39" s="1598"/>
      <c r="C39" s="2473" t="s">
        <v>6287</v>
      </c>
      <c r="D39" s="2709">
        <v>177440000</v>
      </c>
      <c r="E39" s="2810">
        <f t="shared" si="0"/>
        <v>0.11706433265651008</v>
      </c>
      <c r="F39" s="1496"/>
      <c r="G39" s="1235"/>
      <c r="H39" s="1235"/>
      <c r="I39" s="1235"/>
      <c r="J39" s="1496"/>
      <c r="K39" s="1235"/>
      <c r="L39" s="1235"/>
      <c r="M39" s="1620"/>
      <c r="N39" s="1568"/>
      <c r="O39" s="1027"/>
      <c r="P39" s="1039"/>
      <c r="Q39" s="1039"/>
      <c r="R39" s="1027"/>
    </row>
    <row r="40" spans="1:18" s="27" customFormat="1" ht="15" hidden="1" customHeight="1" x14ac:dyDescent="0.25">
      <c r="A40" s="96"/>
      <c r="B40" s="1598"/>
      <c r="C40" s="2473"/>
      <c r="D40" s="2709"/>
      <c r="E40" s="2810"/>
      <c r="F40" s="1372"/>
      <c r="G40" s="1228"/>
      <c r="H40" s="1228"/>
      <c r="I40" s="1228"/>
      <c r="J40" s="1372"/>
      <c r="K40" s="1246"/>
      <c r="L40" s="1246"/>
      <c r="M40" s="1615"/>
      <c r="N40" s="1568"/>
      <c r="O40" s="1027"/>
      <c r="P40" s="1039"/>
      <c r="Q40" s="1039"/>
      <c r="R40" s="1027"/>
    </row>
    <row r="41" spans="1:18" s="27" customFormat="1" ht="24" hidden="1" customHeight="1" x14ac:dyDescent="0.25">
      <c r="A41" s="96"/>
      <c r="B41" s="1598"/>
      <c r="C41" s="2474" t="s">
        <v>6276</v>
      </c>
      <c r="D41" s="2767">
        <f>SUM(D42:D42)</f>
        <v>150000000</v>
      </c>
      <c r="E41" s="2810">
        <f t="shared" si="0"/>
        <v>9.8961056686634977E-2</v>
      </c>
      <c r="F41" s="1373"/>
      <c r="G41" s="1228"/>
      <c r="H41" s="1228"/>
      <c r="I41" s="1228"/>
      <c r="J41" s="1372"/>
      <c r="K41" s="1246"/>
      <c r="L41" s="1246"/>
      <c r="M41" s="1615"/>
      <c r="N41" s="1568"/>
      <c r="O41" s="1027"/>
      <c r="P41" s="1039"/>
      <c r="Q41" s="1039"/>
      <c r="R41" s="1027"/>
    </row>
    <row r="42" spans="1:18" s="27" customFormat="1" ht="19.5" hidden="1" customHeight="1" x14ac:dyDescent="0.25">
      <c r="A42" s="96"/>
      <c r="B42" s="1598"/>
      <c r="C42" s="2473" t="s">
        <v>6288</v>
      </c>
      <c r="D42" s="2706">
        <v>150000000</v>
      </c>
      <c r="E42" s="2810">
        <f t="shared" si="0"/>
        <v>9.8961056686634977E-2</v>
      </c>
      <c r="F42" s="1372"/>
      <c r="G42" s="1228"/>
      <c r="H42" s="1228"/>
      <c r="I42" s="1228"/>
      <c r="J42" s="1372"/>
      <c r="K42" s="1234"/>
      <c r="L42" s="1228"/>
      <c r="M42" s="1617"/>
      <c r="N42" s="1568"/>
      <c r="O42" s="1027"/>
      <c r="P42" s="1039"/>
      <c r="Q42" s="1039"/>
      <c r="R42" s="1027"/>
    </row>
    <row r="43" spans="1:18" s="27" customFormat="1" ht="9.75" hidden="1" customHeight="1" x14ac:dyDescent="0.25">
      <c r="A43" s="96"/>
      <c r="B43" s="1598"/>
      <c r="C43" s="2517"/>
      <c r="D43" s="2706"/>
      <c r="E43" s="2810"/>
      <c r="F43" s="1496"/>
      <c r="G43" s="1235"/>
      <c r="H43" s="1235"/>
      <c r="I43" s="1235"/>
      <c r="J43" s="1496"/>
      <c r="K43" s="1422"/>
      <c r="L43" s="1280"/>
      <c r="M43" s="1621"/>
      <c r="N43" s="1568"/>
      <c r="O43" s="1027"/>
      <c r="P43" s="1039"/>
      <c r="Q43" s="1039"/>
      <c r="R43" s="1027"/>
    </row>
    <row r="44" spans="1:18" s="27" customFormat="1" ht="23.25" hidden="1" customHeight="1" x14ac:dyDescent="0.25">
      <c r="A44" s="96"/>
      <c r="B44" s="1598"/>
      <c r="C44" s="2474" t="s">
        <v>6277</v>
      </c>
      <c r="D44" s="2767">
        <f>D45</f>
        <v>274000000</v>
      </c>
      <c r="E44" s="2813">
        <f t="shared" si="0"/>
        <v>0.18076886354758656</v>
      </c>
      <c r="F44" s="1415"/>
      <c r="G44" s="1228"/>
      <c r="H44" s="1228"/>
      <c r="I44" s="1228"/>
      <c r="J44" s="1415"/>
      <c r="K44" s="1246"/>
      <c r="L44" s="1246"/>
      <c r="M44" s="1615"/>
      <c r="N44" s="1568"/>
      <c r="O44" s="1027"/>
      <c r="P44" s="1039"/>
      <c r="Q44" s="1039"/>
      <c r="R44" s="1027"/>
    </row>
    <row r="45" spans="1:18" s="27" customFormat="1" ht="20.25" hidden="1" customHeight="1" x14ac:dyDescent="0.25">
      <c r="A45" s="96"/>
      <c r="B45" s="1598"/>
      <c r="C45" s="2473" t="s">
        <v>6289</v>
      </c>
      <c r="D45" s="896">
        <v>274000000</v>
      </c>
      <c r="E45" s="2810">
        <f t="shared" si="0"/>
        <v>0.18076886354758656</v>
      </c>
      <c r="F45" s="1373"/>
      <c r="G45" s="1228"/>
      <c r="H45" s="1228"/>
      <c r="I45" s="1228"/>
      <c r="J45" s="1373"/>
      <c r="K45" s="1246"/>
      <c r="L45" s="1315"/>
      <c r="M45" s="1617"/>
      <c r="N45" s="1568"/>
      <c r="O45" s="1027"/>
      <c r="P45" s="1039"/>
      <c r="Q45" s="1039"/>
      <c r="R45" s="1027"/>
    </row>
    <row r="46" spans="1:18" s="27" customFormat="1" ht="12" hidden="1" customHeight="1" x14ac:dyDescent="0.25">
      <c r="A46" s="96"/>
      <c r="B46" s="1598"/>
      <c r="C46" s="2475"/>
      <c r="D46" s="2769"/>
      <c r="E46" s="2810"/>
      <c r="F46" s="1385"/>
      <c r="G46" s="1255"/>
      <c r="H46" s="1255"/>
      <c r="I46" s="1255"/>
      <c r="J46" s="1385"/>
      <c r="K46" s="1299"/>
      <c r="L46" s="1328"/>
      <c r="M46" s="1628"/>
      <c r="N46" s="1603"/>
      <c r="O46" s="1027"/>
      <c r="P46" s="1039"/>
      <c r="Q46" s="1039"/>
      <c r="R46" s="1027"/>
    </row>
    <row r="47" spans="1:18" s="27" customFormat="1" ht="21" hidden="1" customHeight="1" x14ac:dyDescent="0.25">
      <c r="A47" s="96"/>
      <c r="B47" s="1598"/>
      <c r="C47" s="2474" t="s">
        <v>6290</v>
      </c>
      <c r="D47" s="899">
        <f>SUM(D48:D49)</f>
        <v>1433250000</v>
      </c>
      <c r="E47" s="2813">
        <f t="shared" si="0"/>
        <v>0.94557289664079724</v>
      </c>
      <c r="F47" s="1373"/>
      <c r="G47" s="1228"/>
      <c r="H47" s="1228"/>
      <c r="I47" s="1228"/>
      <c r="J47" s="1373"/>
      <c r="K47" s="1246"/>
      <c r="L47" s="1328"/>
      <c r="M47" s="1628"/>
      <c r="N47" s="1603"/>
      <c r="O47" s="1027"/>
      <c r="P47" s="1039"/>
      <c r="Q47" s="1039"/>
      <c r="R47" s="1027"/>
    </row>
    <row r="48" spans="1:18" s="27" customFormat="1" ht="21" hidden="1" customHeight="1" x14ac:dyDescent="0.25">
      <c r="A48" s="96"/>
      <c r="B48" s="1598"/>
      <c r="C48" s="2473" t="s">
        <v>6291</v>
      </c>
      <c r="D48" s="896">
        <v>1082750000</v>
      </c>
      <c r="E48" s="2810">
        <f t="shared" si="0"/>
        <v>0.71433389418302684</v>
      </c>
      <c r="F48" s="1373"/>
      <c r="G48" s="1228"/>
      <c r="H48" s="1228"/>
      <c r="I48" s="1228"/>
      <c r="J48" s="1373"/>
      <c r="K48" s="1246"/>
      <c r="L48" s="1328"/>
      <c r="M48" s="1628"/>
      <c r="N48" s="1603"/>
      <c r="O48" s="1027"/>
      <c r="P48" s="1039"/>
      <c r="Q48" s="1039"/>
      <c r="R48" s="1027"/>
    </row>
    <row r="49" spans="1:18" s="27" customFormat="1" ht="46.5" hidden="1" customHeight="1" x14ac:dyDescent="0.25">
      <c r="A49" s="96"/>
      <c r="B49" s="1598"/>
      <c r="C49" s="2473" t="s">
        <v>6292</v>
      </c>
      <c r="D49" s="896">
        <v>350500000</v>
      </c>
      <c r="E49" s="2810">
        <f t="shared" si="0"/>
        <v>0.2312390024577704</v>
      </c>
      <c r="F49" s="1373"/>
      <c r="G49" s="1228"/>
      <c r="H49" s="1228"/>
      <c r="I49" s="1228"/>
      <c r="J49" s="1373"/>
      <c r="K49" s="1246"/>
      <c r="L49" s="1328"/>
      <c r="M49" s="1628"/>
      <c r="N49" s="1603"/>
      <c r="O49" s="1027"/>
      <c r="P49" s="1039"/>
      <c r="Q49" s="1039"/>
      <c r="R49" s="1027"/>
    </row>
    <row r="50" spans="1:18" s="27" customFormat="1" ht="13.5" hidden="1" customHeight="1" x14ac:dyDescent="0.25">
      <c r="A50" s="96"/>
      <c r="B50" s="1598"/>
      <c r="C50" s="2473"/>
      <c r="D50" s="896"/>
      <c r="E50" s="2810"/>
      <c r="F50" s="1373"/>
      <c r="G50" s="1228"/>
      <c r="H50" s="1228"/>
      <c r="I50" s="1228"/>
      <c r="J50" s="1373"/>
      <c r="K50" s="1246"/>
      <c r="L50" s="1328"/>
      <c r="M50" s="1628"/>
      <c r="N50" s="1603"/>
      <c r="O50" s="1027"/>
      <c r="P50" s="1039"/>
      <c r="Q50" s="1039"/>
      <c r="R50" s="1027"/>
    </row>
    <row r="51" spans="1:18" s="27" customFormat="1" ht="21" hidden="1" customHeight="1" x14ac:dyDescent="0.25">
      <c r="A51" s="96"/>
      <c r="B51" s="1598"/>
      <c r="C51" s="2474" t="s">
        <v>6293</v>
      </c>
      <c r="D51" s="899">
        <f>SUM(D52:D54)</f>
        <v>2333406060</v>
      </c>
      <c r="E51" s="2813">
        <f t="shared" si="0"/>
        <v>1.5394421958439839</v>
      </c>
      <c r="F51" s="1373"/>
      <c r="G51" s="1228"/>
      <c r="H51" s="1228"/>
      <c r="I51" s="1228"/>
      <c r="J51" s="1373"/>
      <c r="K51" s="1246"/>
      <c r="L51" s="1328"/>
      <c r="M51" s="1628"/>
      <c r="N51" s="1603"/>
      <c r="O51" s="1027"/>
      <c r="P51" s="1039"/>
      <c r="Q51" s="1039"/>
      <c r="R51" s="1027"/>
    </row>
    <row r="52" spans="1:18" s="27" customFormat="1" ht="21" hidden="1" customHeight="1" x14ac:dyDescent="0.25">
      <c r="A52" s="96"/>
      <c r="B52" s="1598"/>
      <c r="C52" s="2473" t="s">
        <v>6294</v>
      </c>
      <c r="D52" s="896">
        <v>1386398060</v>
      </c>
      <c r="E52" s="2810">
        <f t="shared" si="0"/>
        <v>0.91466278003933843</v>
      </c>
      <c r="F52" s="1373"/>
      <c r="G52" s="1228"/>
      <c r="H52" s="1228"/>
      <c r="I52" s="1228"/>
      <c r="J52" s="1373"/>
      <c r="K52" s="1246"/>
      <c r="L52" s="1328"/>
      <c r="M52" s="1628"/>
      <c r="N52" s="1603"/>
      <c r="O52" s="1027"/>
      <c r="P52" s="1039"/>
      <c r="Q52" s="1039"/>
      <c r="R52" s="1027"/>
    </row>
    <row r="53" spans="1:18" s="27" customFormat="1" ht="21" hidden="1" customHeight="1" x14ac:dyDescent="0.25">
      <c r="A53" s="96"/>
      <c r="B53" s="1598"/>
      <c r="C53" s="2473" t="s">
        <v>6295</v>
      </c>
      <c r="D53" s="896">
        <v>455408000</v>
      </c>
      <c r="E53" s="2810">
        <f t="shared" si="0"/>
        <v>0.30045104602364708</v>
      </c>
      <c r="F53" s="1373"/>
      <c r="G53" s="1228"/>
      <c r="H53" s="1228"/>
      <c r="I53" s="1228"/>
      <c r="J53" s="1373"/>
      <c r="K53" s="1246"/>
      <c r="L53" s="1328"/>
      <c r="M53" s="1628"/>
      <c r="N53" s="1603"/>
      <c r="O53" s="1027"/>
      <c r="P53" s="1039"/>
      <c r="Q53" s="1039"/>
      <c r="R53" s="1027"/>
    </row>
    <row r="54" spans="1:18" s="27" customFormat="1" ht="21" hidden="1" customHeight="1" x14ac:dyDescent="0.25">
      <c r="A54" s="96"/>
      <c r="B54" s="1598"/>
      <c r="C54" s="2473" t="s">
        <v>6296</v>
      </c>
      <c r="D54" s="896">
        <v>491600000</v>
      </c>
      <c r="E54" s="2810">
        <f t="shared" si="0"/>
        <v>0.32432836978099838</v>
      </c>
      <c r="F54" s="1373"/>
      <c r="G54" s="1228"/>
      <c r="H54" s="1228"/>
      <c r="I54" s="1228"/>
      <c r="J54" s="1373"/>
      <c r="K54" s="1246"/>
      <c r="L54" s="1328"/>
      <c r="M54" s="1628"/>
      <c r="N54" s="1603"/>
      <c r="O54" s="1027"/>
      <c r="P54" s="1039"/>
      <c r="Q54" s="1039"/>
      <c r="R54" s="1027"/>
    </row>
    <row r="55" spans="1:18" s="27" customFormat="1" ht="15" hidden="1" customHeight="1" x14ac:dyDescent="0.25">
      <c r="A55" s="96"/>
      <c r="B55" s="1598"/>
      <c r="C55" s="2473"/>
      <c r="D55" s="896"/>
      <c r="E55" s="2810"/>
      <c r="F55" s="1373"/>
      <c r="G55" s="1228"/>
      <c r="H55" s="1228"/>
      <c r="I55" s="1228"/>
      <c r="J55" s="1373"/>
      <c r="K55" s="1246"/>
      <c r="L55" s="1328"/>
      <c r="M55" s="1628"/>
      <c r="N55" s="1603"/>
      <c r="O55" s="1027"/>
      <c r="P55" s="1039"/>
      <c r="Q55" s="1039"/>
      <c r="R55" s="1027"/>
    </row>
    <row r="56" spans="1:18" s="27" customFormat="1" ht="24" hidden="1" customHeight="1" x14ac:dyDescent="0.25">
      <c r="A56" s="96"/>
      <c r="B56" s="1598"/>
      <c r="C56" s="2474" t="s">
        <v>6297</v>
      </c>
      <c r="D56" s="899">
        <f>SUM(D57:D59)</f>
        <v>275700000</v>
      </c>
      <c r="E56" s="2813">
        <f t="shared" si="0"/>
        <v>0.18189042219003509</v>
      </c>
      <c r="F56" s="1373"/>
      <c r="G56" s="1228"/>
      <c r="H56" s="1228"/>
      <c r="I56" s="1228"/>
      <c r="J56" s="1373"/>
      <c r="K56" s="1246"/>
      <c r="L56" s="1328"/>
      <c r="M56" s="1628"/>
      <c r="N56" s="1603"/>
      <c r="O56" s="1027"/>
      <c r="P56" s="1039"/>
      <c r="Q56" s="1039"/>
      <c r="R56" s="1027"/>
    </row>
    <row r="57" spans="1:18" s="27" customFormat="1" ht="35.25" hidden="1" customHeight="1" x14ac:dyDescent="0.25">
      <c r="A57" s="96"/>
      <c r="B57" s="1598"/>
      <c r="C57" s="2473" t="s">
        <v>6298</v>
      </c>
      <c r="D57" s="896">
        <v>160224000</v>
      </c>
      <c r="E57" s="2810">
        <f t="shared" si="0"/>
        <v>0.10570624231039602</v>
      </c>
      <c r="F57" s="1373"/>
      <c r="G57" s="1228"/>
      <c r="H57" s="1228"/>
      <c r="I57" s="1228"/>
      <c r="J57" s="1373"/>
      <c r="K57" s="1246"/>
      <c r="L57" s="1328"/>
      <c r="M57" s="1628"/>
      <c r="N57" s="1603"/>
      <c r="O57" s="1027"/>
      <c r="P57" s="1039"/>
      <c r="Q57" s="1039"/>
      <c r="R57" s="1027"/>
    </row>
    <row r="58" spans="1:18" s="27" customFormat="1" ht="21" hidden="1" customHeight="1" x14ac:dyDescent="0.25">
      <c r="A58" s="96"/>
      <c r="B58" s="1598"/>
      <c r="C58" s="2473" t="s">
        <v>6299</v>
      </c>
      <c r="D58" s="896">
        <v>96276000</v>
      </c>
      <c r="E58" s="2810">
        <f t="shared" si="0"/>
        <v>6.3517164623749803E-2</v>
      </c>
      <c r="F58" s="1373"/>
      <c r="G58" s="1228"/>
      <c r="H58" s="1228"/>
      <c r="I58" s="1228"/>
      <c r="J58" s="1373"/>
      <c r="K58" s="1246"/>
      <c r="L58" s="1328"/>
      <c r="M58" s="1628"/>
      <c r="N58" s="1603"/>
      <c r="O58" s="1027"/>
      <c r="P58" s="1039"/>
      <c r="Q58" s="1039"/>
      <c r="R58" s="1027"/>
    </row>
    <row r="59" spans="1:18" s="27" customFormat="1" ht="21" hidden="1" customHeight="1" x14ac:dyDescent="0.25">
      <c r="A59" s="96"/>
      <c r="B59" s="1598"/>
      <c r="C59" s="2473" t="s">
        <v>6300</v>
      </c>
      <c r="D59" s="896">
        <v>19200000</v>
      </c>
      <c r="E59" s="2810">
        <f t="shared" si="0"/>
        <v>1.2667015255889277E-2</v>
      </c>
      <c r="F59" s="1373"/>
      <c r="G59" s="1228"/>
      <c r="H59" s="1228"/>
      <c r="I59" s="1228"/>
      <c r="J59" s="1373"/>
      <c r="K59" s="1246"/>
      <c r="L59" s="1328"/>
      <c r="M59" s="1628"/>
      <c r="N59" s="1603"/>
      <c r="O59" s="1027"/>
      <c r="P59" s="1039"/>
      <c r="Q59" s="1039"/>
      <c r="R59" s="1027"/>
    </row>
    <row r="60" spans="1:18" s="27" customFormat="1" ht="12" hidden="1" customHeight="1" x14ac:dyDescent="0.25">
      <c r="A60" s="96"/>
      <c r="B60" s="1598"/>
      <c r="C60" s="2473"/>
      <c r="D60" s="896"/>
      <c r="E60" s="2810"/>
      <c r="F60" s="1373"/>
      <c r="G60" s="1228"/>
      <c r="H60" s="1228"/>
      <c r="I60" s="1228"/>
      <c r="J60" s="1373"/>
      <c r="K60" s="1246"/>
      <c r="L60" s="1328"/>
      <c r="M60" s="1628"/>
      <c r="N60" s="1603"/>
      <c r="O60" s="1027"/>
      <c r="P60" s="1039"/>
      <c r="Q60" s="1039"/>
      <c r="R60" s="1027"/>
    </row>
    <row r="61" spans="1:18" s="27" customFormat="1" ht="32.25" hidden="1" customHeight="1" x14ac:dyDescent="0.25">
      <c r="A61" s="96"/>
      <c r="B61" s="1598"/>
      <c r="C61" s="2474" t="s">
        <v>6301</v>
      </c>
      <c r="D61" s="899">
        <f>SUM(D62:D63)</f>
        <v>13401608000</v>
      </c>
      <c r="E61" s="2813">
        <f t="shared" si="0"/>
        <v>8.8415819265337401</v>
      </c>
      <c r="F61" s="1373"/>
      <c r="G61" s="1228"/>
      <c r="H61" s="1228"/>
      <c r="I61" s="1228"/>
      <c r="J61" s="1373"/>
      <c r="K61" s="1246"/>
      <c r="L61" s="1328"/>
      <c r="M61" s="1628"/>
      <c r="N61" s="1603"/>
      <c r="O61" s="1027"/>
      <c r="P61" s="1039"/>
      <c r="Q61" s="1039"/>
      <c r="R61" s="1027"/>
    </row>
    <row r="62" spans="1:18" s="27" customFormat="1" ht="21" hidden="1" customHeight="1" x14ac:dyDescent="0.25">
      <c r="A62" s="96"/>
      <c r="B62" s="1598"/>
      <c r="C62" s="2473" t="s">
        <v>6302</v>
      </c>
      <c r="D62" s="896">
        <v>750000000</v>
      </c>
      <c r="E62" s="2810">
        <f t="shared" si="0"/>
        <v>0.49480528343317493</v>
      </c>
      <c r="F62" s="1373"/>
      <c r="G62" s="1228"/>
      <c r="H62" s="1228"/>
      <c r="I62" s="1228"/>
      <c r="J62" s="1373"/>
      <c r="K62" s="1246"/>
      <c r="L62" s="1328"/>
      <c r="M62" s="1628"/>
      <c r="N62" s="1603"/>
      <c r="O62" s="1027"/>
      <c r="P62" s="1039"/>
      <c r="Q62" s="1039"/>
      <c r="R62" s="1027"/>
    </row>
    <row r="63" spans="1:18" s="27" customFormat="1" ht="21" hidden="1" customHeight="1" x14ac:dyDescent="0.25">
      <c r="A63" s="96"/>
      <c r="B63" s="1598"/>
      <c r="C63" s="2473" t="s">
        <v>6305</v>
      </c>
      <c r="D63" s="896">
        <v>12651608000</v>
      </c>
      <c r="E63" s="2810">
        <f t="shared" si="0"/>
        <v>8.346776643100565</v>
      </c>
      <c r="F63" s="1373"/>
      <c r="G63" s="1228"/>
      <c r="H63" s="1228"/>
      <c r="I63" s="1228"/>
      <c r="J63" s="1373"/>
      <c r="K63" s="1246"/>
      <c r="L63" s="1328"/>
      <c r="M63" s="1628"/>
      <c r="N63" s="1603"/>
      <c r="O63" s="1027"/>
      <c r="P63" s="1039"/>
      <c r="Q63" s="1039"/>
      <c r="R63" s="1027"/>
    </row>
    <row r="64" spans="1:18" s="27" customFormat="1" ht="12.75" hidden="1" customHeight="1" x14ac:dyDescent="0.25">
      <c r="A64" s="96"/>
      <c r="B64" s="1598"/>
      <c r="C64" s="2473"/>
      <c r="D64" s="896"/>
      <c r="E64" s="2810"/>
      <c r="F64" s="1373"/>
      <c r="G64" s="1228"/>
      <c r="H64" s="1228"/>
      <c r="I64" s="1228"/>
      <c r="J64" s="1373"/>
      <c r="K64" s="1246"/>
      <c r="L64" s="1328"/>
      <c r="M64" s="1628"/>
      <c r="N64" s="1603"/>
      <c r="O64" s="1027"/>
      <c r="P64" s="1039"/>
      <c r="Q64" s="1039"/>
      <c r="R64" s="1027"/>
    </row>
    <row r="65" spans="1:18" s="27" customFormat="1" ht="21" hidden="1" customHeight="1" x14ac:dyDescent="0.25">
      <c r="A65" s="96"/>
      <c r="B65" s="1598"/>
      <c r="C65" s="2474" t="s">
        <v>6303</v>
      </c>
      <c r="D65" s="899">
        <f>D66</f>
        <v>75000000</v>
      </c>
      <c r="E65" s="2813">
        <f t="shared" si="0"/>
        <v>4.9480528343317488E-2</v>
      </c>
      <c r="F65" s="1373"/>
      <c r="G65" s="1228"/>
      <c r="H65" s="1228"/>
      <c r="I65" s="1228"/>
      <c r="J65" s="1373"/>
      <c r="K65" s="1246"/>
      <c r="L65" s="1328"/>
      <c r="M65" s="1628"/>
      <c r="N65" s="1603"/>
      <c r="O65" s="1027"/>
      <c r="P65" s="1039"/>
      <c r="Q65" s="1039"/>
      <c r="R65" s="1027"/>
    </row>
    <row r="66" spans="1:18" s="27" customFormat="1" ht="21" hidden="1" customHeight="1" x14ac:dyDescent="0.25">
      <c r="A66" s="96"/>
      <c r="B66" s="1598"/>
      <c r="C66" s="2473" t="s">
        <v>6304</v>
      </c>
      <c r="D66" s="896">
        <v>75000000</v>
      </c>
      <c r="E66" s="2810">
        <f t="shared" si="0"/>
        <v>4.9480528343317488E-2</v>
      </c>
      <c r="F66" s="1373"/>
      <c r="G66" s="1228"/>
      <c r="H66" s="1228"/>
      <c r="I66" s="1228"/>
      <c r="J66" s="1373"/>
      <c r="K66" s="1246"/>
      <c r="L66" s="1328"/>
      <c r="M66" s="1628"/>
      <c r="N66" s="1603"/>
      <c r="O66" s="1027"/>
      <c r="P66" s="1039"/>
      <c r="Q66" s="1039"/>
      <c r="R66" s="1027"/>
    </row>
    <row r="67" spans="1:18" ht="12" hidden="1" customHeight="1" x14ac:dyDescent="0.25">
      <c r="B67" s="1592"/>
      <c r="C67" s="2478"/>
      <c r="D67" s="3774"/>
      <c r="E67" s="2784"/>
      <c r="F67" s="1340"/>
      <c r="G67" s="1340"/>
      <c r="H67" s="1340"/>
      <c r="I67" s="1340"/>
      <c r="J67" s="1297"/>
      <c r="K67" s="1255"/>
      <c r="L67" s="1242"/>
      <c r="M67" s="1622"/>
      <c r="N67" s="1574"/>
    </row>
    <row r="68" spans="1:18" s="27" customFormat="1" ht="19.5" hidden="1" customHeight="1" x14ac:dyDescent="0.25">
      <c r="B68" s="1593"/>
      <c r="C68" s="2471" t="s">
        <v>415</v>
      </c>
      <c r="D68" s="3769">
        <f>SUM(D69)</f>
        <v>4378720742</v>
      </c>
      <c r="E68" s="2786">
        <f>D68/151574776000*100</f>
        <v>2.8888188770933758</v>
      </c>
      <c r="F68" s="1351"/>
      <c r="G68" s="1351"/>
      <c r="H68" s="1244"/>
      <c r="I68" s="1244"/>
      <c r="J68" s="1351"/>
      <c r="K68" s="1351"/>
      <c r="L68" s="1226"/>
      <c r="M68" s="1405"/>
      <c r="N68" s="1602"/>
      <c r="O68" s="1027"/>
      <c r="P68" s="1039"/>
      <c r="Q68" s="1039"/>
      <c r="R68" s="1027"/>
    </row>
    <row r="69" spans="1:18" s="27" customFormat="1" ht="23.25" hidden="1" customHeight="1" x14ac:dyDescent="0.25">
      <c r="B69" s="1623"/>
      <c r="C69" s="2478" t="s">
        <v>416</v>
      </c>
      <c r="D69" s="3775">
        <f>D70</f>
        <v>4378720742</v>
      </c>
      <c r="E69" s="2801">
        <f>D69/151574776000*100</f>
        <v>2.8888188770933758</v>
      </c>
      <c r="F69" s="1420"/>
      <c r="G69" s="1624"/>
      <c r="H69" s="1245"/>
      <c r="I69" s="1245"/>
      <c r="J69" s="1420"/>
      <c r="K69" s="1428"/>
      <c r="L69" s="1337"/>
      <c r="M69" s="1614"/>
      <c r="N69" s="1625"/>
      <c r="O69" s="1027"/>
      <c r="P69" s="1039"/>
      <c r="Q69" s="1039"/>
      <c r="R69" s="1027"/>
    </row>
    <row r="70" spans="1:18" s="27" customFormat="1" ht="20.25" hidden="1" customHeight="1" x14ac:dyDescent="0.25">
      <c r="B70" s="1626"/>
      <c r="C70" s="2473" t="s">
        <v>417</v>
      </c>
      <c r="D70" s="896">
        <v>4378720742</v>
      </c>
      <c r="E70" s="2810">
        <f>D70/151574776000*100</f>
        <v>2.8888188770933758</v>
      </c>
      <c r="F70" s="1415"/>
      <c r="G70" s="1228"/>
      <c r="H70" s="1228"/>
      <c r="I70" s="1228"/>
      <c r="J70" s="1415"/>
      <c r="K70" s="1253"/>
      <c r="L70" s="1315"/>
      <c r="M70" s="1617"/>
      <c r="N70" s="1568"/>
      <c r="O70" s="1027"/>
      <c r="P70" s="1039"/>
      <c r="Q70" s="1039"/>
      <c r="R70" s="1027"/>
    </row>
    <row r="71" spans="1:18" s="27" customFormat="1" ht="17.25" hidden="1" customHeight="1" x14ac:dyDescent="0.25">
      <c r="B71" s="1627"/>
      <c r="C71" s="2519"/>
      <c r="D71" s="3638"/>
      <c r="E71" s="2821"/>
      <c r="F71" s="1374"/>
      <c r="G71" s="1242"/>
      <c r="H71" s="1242"/>
      <c r="I71" s="1242"/>
      <c r="J71" s="1374"/>
      <c r="K71" s="1255"/>
      <c r="L71" s="1242"/>
      <c r="M71" s="1628"/>
      <c r="N71" s="1603"/>
      <c r="O71" s="1027"/>
      <c r="P71" s="1039"/>
      <c r="Q71" s="1039"/>
      <c r="R71" s="1027"/>
    </row>
    <row r="72" spans="1:18" s="27" customFormat="1" ht="22.5" hidden="1" customHeight="1" x14ac:dyDescent="0.25">
      <c r="B72" s="1593"/>
      <c r="C72" s="2471" t="s">
        <v>418</v>
      </c>
      <c r="D72" s="3769">
        <f>D73</f>
        <v>4533687168</v>
      </c>
      <c r="E72" s="2786">
        <f>D72/151574776000*100</f>
        <v>2.9910564855461175</v>
      </c>
      <c r="F72" s="1375"/>
      <c r="G72" s="1416"/>
      <c r="H72" s="1416"/>
      <c r="I72" s="1416"/>
      <c r="J72" s="1375"/>
      <c r="K72" s="1416"/>
      <c r="L72" s="1416"/>
      <c r="M72" s="1629"/>
      <c r="N72" s="1602"/>
      <c r="O72" s="1027"/>
      <c r="P72" s="1039"/>
      <c r="Q72" s="1039"/>
      <c r="R72" s="1027"/>
    </row>
    <row r="73" spans="1:18" s="27" customFormat="1" ht="24" hidden="1" customHeight="1" x14ac:dyDescent="0.25">
      <c r="B73" s="1598"/>
      <c r="C73" s="2477" t="s">
        <v>6308</v>
      </c>
      <c r="D73" s="2767">
        <f>D74</f>
        <v>4533687168</v>
      </c>
      <c r="E73" s="2801">
        <f>D73/151574776000*100</f>
        <v>2.9910564855461175</v>
      </c>
      <c r="F73" s="1376"/>
      <c r="G73" s="1255"/>
      <c r="H73" s="1255"/>
      <c r="I73" s="1255"/>
      <c r="J73" s="1376"/>
      <c r="K73" s="1255"/>
      <c r="L73" s="1255"/>
      <c r="M73" s="1630"/>
      <c r="N73" s="1607"/>
      <c r="O73" s="1027"/>
      <c r="P73" s="1039"/>
      <c r="Q73" s="1039"/>
      <c r="R73" s="1027"/>
    </row>
    <row r="74" spans="1:18" s="27" customFormat="1" ht="21" hidden="1" customHeight="1" x14ac:dyDescent="0.25">
      <c r="B74" s="1598"/>
      <c r="C74" s="2473" t="s">
        <v>6309</v>
      </c>
      <c r="D74" s="896">
        <v>4533687168</v>
      </c>
      <c r="E74" s="2810">
        <f>D74/151574776000*100</f>
        <v>2.9910564855461175</v>
      </c>
      <c r="F74" s="1431"/>
      <c r="G74" s="1228"/>
      <c r="H74" s="1228"/>
      <c r="I74" s="1228"/>
      <c r="J74" s="1431"/>
      <c r="K74" s="1228"/>
      <c r="L74" s="1228"/>
      <c r="M74" s="1617"/>
      <c r="N74" s="1568"/>
      <c r="O74" s="1027"/>
      <c r="P74" s="1039"/>
      <c r="Q74" s="1039"/>
      <c r="R74" s="1027"/>
    </row>
    <row r="75" spans="1:18" s="27" customFormat="1" ht="18.75" hidden="1" customHeight="1" x14ac:dyDescent="0.25">
      <c r="B75" s="1598"/>
      <c r="C75" s="2475"/>
      <c r="D75" s="2769"/>
      <c r="E75" s="2840"/>
      <c r="F75" s="1376"/>
      <c r="G75" s="1255"/>
      <c r="H75" s="1255"/>
      <c r="I75" s="1255"/>
      <c r="J75" s="1376"/>
      <c r="K75" s="1255"/>
      <c r="L75" s="1255"/>
      <c r="M75" s="1630"/>
      <c r="N75" s="1568"/>
      <c r="O75" s="1027"/>
      <c r="P75" s="1039"/>
      <c r="Q75" s="1039"/>
      <c r="R75" s="1027"/>
    </row>
    <row r="76" spans="1:18" s="674" customFormat="1" ht="21" hidden="1" customHeight="1" x14ac:dyDescent="0.25">
      <c r="B76" s="1675"/>
      <c r="C76" s="3780" t="s">
        <v>7006</v>
      </c>
      <c r="D76" s="3781">
        <f>D78+D113</f>
        <v>24836000000</v>
      </c>
      <c r="E76" s="3782">
        <f>D76/2512247400000*100</f>
        <v>0.9885969033145382</v>
      </c>
      <c r="F76" s="1377"/>
      <c r="G76" s="1676"/>
      <c r="H76" s="1677"/>
      <c r="I76" s="1678"/>
      <c r="J76" s="1676"/>
      <c r="K76" s="1676"/>
      <c r="L76" s="1677"/>
      <c r="M76" s="1679"/>
      <c r="N76" s="1680"/>
      <c r="O76" s="1078"/>
      <c r="P76" s="1079"/>
      <c r="Q76" s="1079"/>
      <c r="R76" s="1078"/>
    </row>
    <row r="77" spans="1:18" s="52" customFormat="1" ht="10.5" hidden="1" customHeight="1" x14ac:dyDescent="0.25">
      <c r="B77" s="1670"/>
      <c r="C77" s="2497"/>
      <c r="D77" s="2733"/>
      <c r="E77" s="2786"/>
      <c r="F77" s="1388"/>
      <c r="G77" s="1362"/>
      <c r="H77" s="1312"/>
      <c r="I77" s="1640"/>
      <c r="J77" s="1362"/>
      <c r="K77" s="1362"/>
      <c r="L77" s="1312"/>
      <c r="M77" s="1562"/>
      <c r="N77" s="1563"/>
      <c r="O77" s="1019"/>
      <c r="P77" s="1020"/>
      <c r="Q77" s="1020"/>
      <c r="R77" s="1019"/>
    </row>
    <row r="78" spans="1:18" s="52" customFormat="1" ht="21" hidden="1" customHeight="1" x14ac:dyDescent="0.25">
      <c r="B78" s="1670"/>
      <c r="C78" s="2497" t="s">
        <v>398</v>
      </c>
      <c r="D78" s="3192">
        <f>D79+D83+D87+D90+D94+D97+D102+D105+D108</f>
        <v>13136000000</v>
      </c>
      <c r="E78" s="2996">
        <f>D78/138204815000*100</f>
        <v>9.5047339703757778</v>
      </c>
      <c r="F78" s="1362"/>
      <c r="G78" s="1362"/>
      <c r="H78" s="1238"/>
      <c r="I78" s="1640"/>
      <c r="J78" s="1362"/>
      <c r="K78" s="1362"/>
      <c r="L78" s="1244"/>
      <c r="M78" s="1681"/>
      <c r="N78" s="1563"/>
      <c r="O78" s="1019"/>
      <c r="P78" s="1020"/>
      <c r="Q78" s="1020"/>
      <c r="R78" s="1019"/>
    </row>
    <row r="79" spans="1:18" s="52" customFormat="1" ht="23.25" hidden="1" customHeight="1" x14ac:dyDescent="0.25">
      <c r="B79" s="1682"/>
      <c r="C79" s="2472" t="s">
        <v>1053</v>
      </c>
      <c r="D79" s="2759">
        <f>D80+D81</f>
        <v>5336000000</v>
      </c>
      <c r="E79" s="2677">
        <f>D79/138204815000*100</f>
        <v>3.8609363935692107</v>
      </c>
      <c r="F79" s="1389"/>
      <c r="G79" s="1644"/>
      <c r="H79" s="1644"/>
      <c r="I79" s="1644"/>
      <c r="J79" s="1390"/>
      <c r="K79" s="1644"/>
      <c r="L79" s="1644"/>
      <c r="M79" s="1683"/>
      <c r="N79" s="1563"/>
      <c r="O79" s="1019"/>
      <c r="P79" s="1020"/>
      <c r="Q79" s="1020"/>
      <c r="R79" s="1019"/>
    </row>
    <row r="80" spans="1:18" s="13" customFormat="1" ht="17.25" hidden="1" customHeight="1" x14ac:dyDescent="0.25">
      <c r="B80" s="1636"/>
      <c r="C80" s="2473" t="s">
        <v>1054</v>
      </c>
      <c r="D80" s="896">
        <v>336000000</v>
      </c>
      <c r="E80" s="2683">
        <f>D80/138204815000*100</f>
        <v>0.24311743407782138</v>
      </c>
      <c r="F80" s="1373"/>
      <c r="G80" s="1569"/>
      <c r="H80" s="1569"/>
      <c r="I80" s="1569"/>
      <c r="J80" s="1373"/>
      <c r="K80" s="1569"/>
      <c r="L80" s="1569"/>
      <c r="M80" s="1684"/>
      <c r="N80" s="1638"/>
      <c r="O80" s="1060"/>
      <c r="P80" s="1061"/>
      <c r="Q80" s="1061"/>
      <c r="R80" s="1060"/>
    </row>
    <row r="81" spans="2:18" s="13" customFormat="1" ht="24.75" hidden="1" customHeight="1" x14ac:dyDescent="0.25">
      <c r="B81" s="1658"/>
      <c r="C81" s="2473" t="s">
        <v>1055</v>
      </c>
      <c r="D81" s="896">
        <v>5000000000</v>
      </c>
      <c r="E81" s="2683">
        <f t="shared" ref="E81:E111" si="1">D81/138204815000*100</f>
        <v>3.6178189594913897</v>
      </c>
      <c r="F81" s="1373"/>
      <c r="G81" s="1569"/>
      <c r="H81" s="1569"/>
      <c r="I81" s="1569"/>
      <c r="J81" s="1373"/>
      <c r="K81" s="1293"/>
      <c r="L81" s="1293"/>
      <c r="M81" s="1673"/>
      <c r="N81" s="1638"/>
      <c r="O81" s="1060"/>
      <c r="P81" s="1061"/>
      <c r="Q81" s="1061"/>
      <c r="R81" s="1060"/>
    </row>
    <row r="82" spans="2:18" s="52" customFormat="1" ht="12.75" hidden="1" customHeight="1" x14ac:dyDescent="0.25">
      <c r="B82" s="1665"/>
      <c r="C82" s="2473"/>
      <c r="D82" s="896"/>
      <c r="E82" s="2683"/>
      <c r="F82" s="1353"/>
      <c r="G82" s="1644"/>
      <c r="H82" s="1644"/>
      <c r="I82" s="1644"/>
      <c r="J82" s="1353"/>
      <c r="K82" s="1353"/>
      <c r="L82" s="1644"/>
      <c r="M82" s="1683"/>
      <c r="N82" s="1563"/>
      <c r="O82" s="1019"/>
      <c r="P82" s="1020"/>
      <c r="Q82" s="1020"/>
      <c r="R82" s="1019"/>
    </row>
    <row r="83" spans="2:18" s="13" customFormat="1" ht="22.5" hidden="1" customHeight="1" x14ac:dyDescent="0.25">
      <c r="B83" s="1658"/>
      <c r="C83" s="2474" t="s">
        <v>1056</v>
      </c>
      <c r="D83" s="899">
        <v>600000000</v>
      </c>
      <c r="E83" s="2677">
        <f t="shared" si="1"/>
        <v>0.4341382751389668</v>
      </c>
      <c r="F83" s="1373"/>
      <c r="G83" s="1569"/>
      <c r="H83" s="1569"/>
      <c r="I83" s="1569"/>
      <c r="J83" s="1373"/>
      <c r="K83" s="1569"/>
      <c r="L83" s="1239"/>
      <c r="M83" s="1684"/>
      <c r="N83" s="1638"/>
      <c r="O83" s="1060"/>
      <c r="P83" s="1061"/>
      <c r="Q83" s="1061"/>
      <c r="R83" s="1060"/>
    </row>
    <row r="84" spans="2:18" s="13" customFormat="1" ht="21" hidden="1" customHeight="1" x14ac:dyDescent="0.25">
      <c r="B84" s="1658"/>
      <c r="C84" s="2473" t="s">
        <v>1057</v>
      </c>
      <c r="D84" s="896">
        <v>350000000</v>
      </c>
      <c r="E84" s="2683">
        <f t="shared" si="1"/>
        <v>0.2532473271643973</v>
      </c>
      <c r="F84" s="1373"/>
      <c r="G84" s="1569"/>
      <c r="H84" s="1569"/>
      <c r="I84" s="1569"/>
      <c r="J84" s="1373"/>
      <c r="K84" s="1293"/>
      <c r="L84" s="1239"/>
      <c r="M84" s="1673"/>
      <c r="N84" s="1638"/>
      <c r="O84" s="1060"/>
      <c r="P84" s="1061"/>
      <c r="Q84" s="1061"/>
      <c r="R84" s="1060"/>
    </row>
    <row r="85" spans="2:18" s="52" customFormat="1" ht="21.75" hidden="1" customHeight="1" x14ac:dyDescent="0.25">
      <c r="B85" s="1665"/>
      <c r="C85" s="2473" t="s">
        <v>1058</v>
      </c>
      <c r="D85" s="896">
        <v>250000000</v>
      </c>
      <c r="E85" s="2683">
        <f t="shared" si="1"/>
        <v>0.18089094797456948</v>
      </c>
      <c r="F85" s="1373"/>
      <c r="G85" s="1569"/>
      <c r="H85" s="1569"/>
      <c r="I85" s="1569"/>
      <c r="J85" s="1373"/>
      <c r="K85" s="1569"/>
      <c r="L85" s="1569"/>
      <c r="M85" s="1684"/>
      <c r="N85" s="1563"/>
      <c r="O85" s="1019"/>
      <c r="P85" s="1020"/>
      <c r="Q85" s="1020"/>
      <c r="R85" s="1019"/>
    </row>
    <row r="86" spans="2:18" s="13" customFormat="1" ht="12" hidden="1" customHeight="1" x14ac:dyDescent="0.25">
      <c r="B86" s="1658"/>
      <c r="C86" s="2473"/>
      <c r="D86" s="896"/>
      <c r="E86" s="2683"/>
      <c r="F86" s="1373"/>
      <c r="G86" s="1353"/>
      <c r="H86" s="1240"/>
      <c r="I86" s="1644"/>
      <c r="J86" s="1353"/>
      <c r="K86" s="1353"/>
      <c r="L86" s="1290"/>
      <c r="M86" s="1683"/>
      <c r="N86" s="1638"/>
      <c r="O86" s="1060"/>
      <c r="P86" s="1061"/>
      <c r="Q86" s="1061"/>
      <c r="R86" s="1060"/>
    </row>
    <row r="87" spans="2:18" s="13" customFormat="1" ht="24" hidden="1" customHeight="1" x14ac:dyDescent="0.25">
      <c r="B87" s="1658"/>
      <c r="C87" s="2474" t="s">
        <v>405</v>
      </c>
      <c r="D87" s="899">
        <v>800000000</v>
      </c>
      <c r="E87" s="2677">
        <f t="shared" si="1"/>
        <v>0.57885103351862233</v>
      </c>
      <c r="F87" s="1353"/>
      <c r="G87" s="1685"/>
      <c r="H87" s="1240"/>
      <c r="I87" s="1686"/>
      <c r="J87" s="1685"/>
      <c r="K87" s="1685"/>
      <c r="L87" s="1644"/>
      <c r="M87" s="1687"/>
      <c r="N87" s="1638"/>
      <c r="O87" s="1060"/>
      <c r="P87" s="1061"/>
      <c r="Q87" s="1061"/>
      <c r="R87" s="1060"/>
    </row>
    <row r="88" spans="2:18" s="13" customFormat="1" ht="24" hidden="1" customHeight="1" x14ac:dyDescent="0.25">
      <c r="B88" s="1658"/>
      <c r="C88" s="2473" t="s">
        <v>1059</v>
      </c>
      <c r="D88" s="896">
        <v>800000000</v>
      </c>
      <c r="E88" s="2683">
        <f t="shared" si="1"/>
        <v>0.57885103351862233</v>
      </c>
      <c r="F88" s="1373"/>
      <c r="G88" s="1373"/>
      <c r="H88" s="1239"/>
      <c r="I88" s="1569"/>
      <c r="J88" s="1373"/>
      <c r="K88" s="1373"/>
      <c r="L88" s="1239"/>
      <c r="M88" s="1684"/>
      <c r="N88" s="1638"/>
      <c r="O88" s="1060"/>
      <c r="P88" s="1061"/>
      <c r="Q88" s="1061"/>
      <c r="R88" s="1060"/>
    </row>
    <row r="89" spans="2:18" s="52" customFormat="1" ht="14.25" hidden="1" customHeight="1" x14ac:dyDescent="0.25">
      <c r="B89" s="1665"/>
      <c r="C89" s="2473"/>
      <c r="D89" s="899"/>
      <c r="E89" s="2683"/>
      <c r="F89" s="1353"/>
      <c r="G89" s="1569"/>
      <c r="H89" s="1239"/>
      <c r="I89" s="1569"/>
      <c r="J89" s="1373"/>
      <c r="K89" s="1569"/>
      <c r="L89" s="1293"/>
      <c r="M89" s="1684"/>
      <c r="N89" s="1563"/>
      <c r="O89" s="1019"/>
      <c r="P89" s="1020"/>
      <c r="Q89" s="1020"/>
      <c r="R89" s="1019"/>
    </row>
    <row r="90" spans="2:18" s="13" customFormat="1" ht="19.5" hidden="1" customHeight="1" x14ac:dyDescent="0.25">
      <c r="B90" s="1658"/>
      <c r="C90" s="2474" t="s">
        <v>409</v>
      </c>
      <c r="D90" s="2796">
        <v>600000000</v>
      </c>
      <c r="E90" s="2677">
        <f t="shared" si="1"/>
        <v>0.4341382751389668</v>
      </c>
      <c r="F90" s="1353"/>
      <c r="G90" s="1644"/>
      <c r="H90" s="1644"/>
      <c r="I90" s="1644"/>
      <c r="J90" s="1353"/>
      <c r="K90" s="1353"/>
      <c r="L90" s="1644"/>
      <c r="M90" s="1683"/>
      <c r="N90" s="1638"/>
      <c r="O90" s="1060"/>
      <c r="P90" s="1061"/>
      <c r="Q90" s="1061"/>
      <c r="R90" s="1060"/>
    </row>
    <row r="91" spans="2:18" s="13" customFormat="1" ht="21" hidden="1" customHeight="1" x14ac:dyDescent="0.25">
      <c r="B91" s="1658"/>
      <c r="C91" s="2473" t="s">
        <v>1060</v>
      </c>
      <c r="D91" s="896">
        <v>200000000</v>
      </c>
      <c r="E91" s="2683">
        <f t="shared" si="1"/>
        <v>0.14471275837965558</v>
      </c>
      <c r="F91" s="1373"/>
      <c r="G91" s="1569"/>
      <c r="H91" s="1569"/>
      <c r="I91" s="1569"/>
      <c r="J91" s="1373"/>
      <c r="K91" s="1373"/>
      <c r="L91" s="1239"/>
      <c r="M91" s="1673"/>
      <c r="N91" s="1638"/>
      <c r="O91" s="1060"/>
      <c r="P91" s="1061"/>
      <c r="Q91" s="1061"/>
      <c r="R91" s="1060"/>
    </row>
    <row r="92" spans="2:18" s="121" customFormat="1" ht="23.25" hidden="1" customHeight="1" x14ac:dyDescent="0.25">
      <c r="B92" s="1665"/>
      <c r="C92" s="2473" t="s">
        <v>1061</v>
      </c>
      <c r="D92" s="896">
        <v>400000000</v>
      </c>
      <c r="E92" s="2683">
        <f t="shared" si="1"/>
        <v>0.28942551675931116</v>
      </c>
      <c r="F92" s="1372"/>
      <c r="G92" s="1569"/>
      <c r="H92" s="1569"/>
      <c r="I92" s="1569"/>
      <c r="J92" s="1373"/>
      <c r="K92" s="1373"/>
      <c r="L92" s="1239"/>
      <c r="M92" s="1684"/>
      <c r="N92" s="1666"/>
      <c r="O92" s="1066"/>
      <c r="P92" s="1070"/>
      <c r="Q92" s="1070"/>
      <c r="R92" s="1066"/>
    </row>
    <row r="93" spans="2:18" s="121" customFormat="1" ht="17.25" hidden="1" customHeight="1" x14ac:dyDescent="0.25">
      <c r="B93" s="1665"/>
      <c r="C93" s="2473"/>
      <c r="D93" s="896"/>
      <c r="E93" s="2683"/>
      <c r="F93" s="1373"/>
      <c r="G93" s="1569"/>
      <c r="H93" s="1569"/>
      <c r="I93" s="1569"/>
      <c r="J93" s="1373"/>
      <c r="K93" s="1373"/>
      <c r="L93" s="1239"/>
      <c r="M93" s="1684"/>
      <c r="N93" s="1666"/>
      <c r="O93" s="1066"/>
      <c r="P93" s="1070"/>
      <c r="Q93" s="1070"/>
      <c r="R93" s="1066"/>
    </row>
    <row r="94" spans="2:18" s="121" customFormat="1" ht="22.5" hidden="1" customHeight="1" x14ac:dyDescent="0.25">
      <c r="B94" s="1665"/>
      <c r="C94" s="2474" t="s">
        <v>1062</v>
      </c>
      <c r="D94" s="899">
        <v>200000000</v>
      </c>
      <c r="E94" s="2677">
        <f t="shared" si="1"/>
        <v>0.14471275837965558</v>
      </c>
      <c r="F94" s="1373"/>
      <c r="G94" s="1569"/>
      <c r="H94" s="1239"/>
      <c r="I94" s="1569"/>
      <c r="J94" s="1373"/>
      <c r="K94" s="1569"/>
      <c r="L94" s="1569"/>
      <c r="M94" s="1684"/>
      <c r="N94" s="1666"/>
      <c r="O94" s="1066"/>
      <c r="P94" s="1070"/>
      <c r="Q94" s="1070"/>
      <c r="R94" s="1066"/>
    </row>
    <row r="95" spans="2:18" s="121" customFormat="1" ht="24" hidden="1" customHeight="1" x14ac:dyDescent="0.25">
      <c r="B95" s="1665"/>
      <c r="C95" s="2473" t="s">
        <v>1063</v>
      </c>
      <c r="D95" s="896">
        <v>200000000</v>
      </c>
      <c r="E95" s="2683">
        <f t="shared" si="1"/>
        <v>0.14471275837965558</v>
      </c>
      <c r="F95" s="1353"/>
      <c r="G95" s="1353"/>
      <c r="H95" s="1240"/>
      <c r="I95" s="1644"/>
      <c r="J95" s="1353"/>
      <c r="K95" s="1353"/>
      <c r="L95" s="1644"/>
      <c r="M95" s="1683"/>
      <c r="N95" s="1666"/>
      <c r="O95" s="1066"/>
      <c r="P95" s="1070"/>
      <c r="Q95" s="1070"/>
      <c r="R95" s="1066"/>
    </row>
    <row r="96" spans="2:18" s="121" customFormat="1" ht="13.5" hidden="1" customHeight="1" x14ac:dyDescent="0.25">
      <c r="B96" s="1665"/>
      <c r="C96" s="2473"/>
      <c r="D96" s="896"/>
      <c r="E96" s="2683"/>
      <c r="F96" s="1373"/>
      <c r="G96" s="1569"/>
      <c r="H96" s="1569"/>
      <c r="I96" s="1569"/>
      <c r="J96" s="1373"/>
      <c r="K96" s="1322"/>
      <c r="L96" s="1239"/>
      <c r="M96" s="1673"/>
      <c r="N96" s="1666"/>
      <c r="O96" s="1066"/>
      <c r="P96" s="1070"/>
      <c r="Q96" s="1070"/>
      <c r="R96" s="1066"/>
    </row>
    <row r="97" spans="2:18" s="121" customFormat="1" ht="30.75" hidden="1" customHeight="1" x14ac:dyDescent="0.25">
      <c r="B97" s="1665"/>
      <c r="C97" s="2474" t="s">
        <v>1064</v>
      </c>
      <c r="D97" s="899">
        <f>SUM(D98:D100)</f>
        <v>2700000000</v>
      </c>
      <c r="E97" s="2677">
        <f t="shared" si="1"/>
        <v>1.9536222381253503</v>
      </c>
      <c r="F97" s="1373"/>
      <c r="G97" s="1569"/>
      <c r="H97" s="1569"/>
      <c r="I97" s="1569"/>
      <c r="J97" s="1373"/>
      <c r="K97" s="1373"/>
      <c r="L97" s="1239"/>
      <c r="M97" s="1673"/>
      <c r="N97" s="1666"/>
      <c r="O97" s="1066"/>
      <c r="P97" s="1070"/>
      <c r="Q97" s="1070"/>
      <c r="R97" s="1066"/>
    </row>
    <row r="98" spans="2:18" s="121" customFormat="1" ht="21" hidden="1" customHeight="1" x14ac:dyDescent="0.25">
      <c r="B98" s="1665"/>
      <c r="C98" s="2473" t="s">
        <v>1065</v>
      </c>
      <c r="D98" s="896">
        <v>1000000000</v>
      </c>
      <c r="E98" s="2683">
        <f t="shared" si="1"/>
        <v>0.72356379189827791</v>
      </c>
      <c r="F98" s="1373"/>
      <c r="G98" s="1569"/>
      <c r="H98" s="1569"/>
      <c r="I98" s="1569"/>
      <c r="J98" s="1373"/>
      <c r="K98" s="1322"/>
      <c r="L98" s="1239"/>
      <c r="M98" s="1673"/>
      <c r="N98" s="1666"/>
      <c r="O98" s="1066"/>
      <c r="P98" s="1070"/>
      <c r="Q98" s="1070"/>
      <c r="R98" s="1066"/>
    </row>
    <row r="99" spans="2:18" s="121" customFormat="1" ht="20.25" hidden="1" customHeight="1" x14ac:dyDescent="0.25">
      <c r="B99" s="1665"/>
      <c r="C99" s="2473" t="s">
        <v>1066</v>
      </c>
      <c r="D99" s="896">
        <v>700000000</v>
      </c>
      <c r="E99" s="2683">
        <f t="shared" si="1"/>
        <v>0.50649465432879459</v>
      </c>
      <c r="F99" s="1373"/>
      <c r="G99" s="1569"/>
      <c r="H99" s="1569"/>
      <c r="I99" s="1569"/>
      <c r="J99" s="1373"/>
      <c r="K99" s="1322"/>
      <c r="L99" s="1239"/>
      <c r="M99" s="1673"/>
      <c r="N99" s="1666"/>
      <c r="O99" s="1066"/>
      <c r="P99" s="1070"/>
      <c r="Q99" s="1070"/>
      <c r="R99" s="1066"/>
    </row>
    <row r="100" spans="2:18" s="121" customFormat="1" ht="19.5" hidden="1" customHeight="1" x14ac:dyDescent="0.25">
      <c r="B100" s="1665"/>
      <c r="C100" s="2473" t="s">
        <v>1067</v>
      </c>
      <c r="D100" s="896">
        <v>1000000000</v>
      </c>
      <c r="E100" s="2683">
        <f t="shared" si="1"/>
        <v>0.72356379189827791</v>
      </c>
      <c r="F100" s="1373"/>
      <c r="G100" s="1569"/>
      <c r="H100" s="1239"/>
      <c r="I100" s="1569"/>
      <c r="J100" s="1373"/>
      <c r="K100" s="1322"/>
      <c r="L100" s="1239"/>
      <c r="M100" s="1673"/>
      <c r="N100" s="1666"/>
      <c r="O100" s="1066"/>
      <c r="P100" s="1070"/>
      <c r="Q100" s="1070"/>
      <c r="R100" s="1066"/>
    </row>
    <row r="101" spans="2:18" s="121" customFormat="1" ht="15" hidden="1" customHeight="1" x14ac:dyDescent="0.25">
      <c r="B101" s="1665"/>
      <c r="C101" s="2473"/>
      <c r="D101" s="896"/>
      <c r="E101" s="2683"/>
      <c r="F101" s="1373"/>
      <c r="G101" s="1569"/>
      <c r="H101" s="1239"/>
      <c r="I101" s="1569"/>
      <c r="J101" s="1373"/>
      <c r="K101" s="1322"/>
      <c r="L101" s="1322"/>
      <c r="M101" s="1688"/>
      <c r="N101" s="1666"/>
      <c r="O101" s="1066"/>
      <c r="P101" s="1070"/>
      <c r="Q101" s="1070"/>
      <c r="R101" s="1066"/>
    </row>
    <row r="102" spans="2:18" s="121" customFormat="1" ht="33" hidden="1" customHeight="1" x14ac:dyDescent="0.25">
      <c r="B102" s="1665"/>
      <c r="C102" s="2474" t="s">
        <v>1069</v>
      </c>
      <c r="D102" s="899">
        <f>D103</f>
        <v>1300000000</v>
      </c>
      <c r="E102" s="2677">
        <f t="shared" si="1"/>
        <v>0.94063292946776134</v>
      </c>
      <c r="F102" s="1353"/>
      <c r="G102" s="1353"/>
      <c r="H102" s="1240"/>
      <c r="I102" s="1644"/>
      <c r="J102" s="1353"/>
      <c r="K102" s="1353"/>
      <c r="L102" s="1644"/>
      <c r="M102" s="1689"/>
      <c r="N102" s="1666"/>
      <c r="O102" s="1066"/>
      <c r="P102" s="1070"/>
      <c r="Q102" s="1070"/>
      <c r="R102" s="1066"/>
    </row>
    <row r="103" spans="2:18" s="121" customFormat="1" ht="24" hidden="1" customHeight="1" x14ac:dyDescent="0.25">
      <c r="B103" s="1665"/>
      <c r="C103" s="2473" t="s">
        <v>1070</v>
      </c>
      <c r="D103" s="896">
        <v>1300000000</v>
      </c>
      <c r="E103" s="2683">
        <f t="shared" si="1"/>
        <v>0.94063292946776134</v>
      </c>
      <c r="F103" s="1373"/>
      <c r="G103" s="1373"/>
      <c r="H103" s="1239"/>
      <c r="I103" s="1569"/>
      <c r="J103" s="1373"/>
      <c r="K103" s="1373"/>
      <c r="L103" s="1239"/>
      <c r="M103" s="1673"/>
      <c r="N103" s="1666"/>
      <c r="O103" s="1066"/>
      <c r="P103" s="1070"/>
      <c r="Q103" s="1070"/>
      <c r="R103" s="1066"/>
    </row>
    <row r="104" spans="2:18" s="121" customFormat="1" ht="14.25" hidden="1" customHeight="1" x14ac:dyDescent="0.25">
      <c r="B104" s="1665"/>
      <c r="C104" s="2473"/>
      <c r="D104" s="896"/>
      <c r="E104" s="2683"/>
      <c r="F104" s="1385"/>
      <c r="G104" s="1659"/>
      <c r="H104" s="1256"/>
      <c r="I104" s="1659"/>
      <c r="J104" s="1366"/>
      <c r="K104" s="1366"/>
      <c r="L104" s="1311"/>
      <c r="M104" s="1690"/>
      <c r="N104" s="1666"/>
      <c r="O104" s="1066"/>
      <c r="P104" s="1070"/>
      <c r="Q104" s="1070"/>
      <c r="R104" s="1066"/>
    </row>
    <row r="105" spans="2:18" s="121" customFormat="1" ht="23.25" hidden="1" customHeight="1" x14ac:dyDescent="0.25">
      <c r="B105" s="1665"/>
      <c r="C105" s="2474" t="s">
        <v>1071</v>
      </c>
      <c r="D105" s="899">
        <v>1000000000</v>
      </c>
      <c r="E105" s="2677">
        <f t="shared" si="1"/>
        <v>0.72356379189827791</v>
      </c>
      <c r="F105" s="1373"/>
      <c r="G105" s="1569"/>
      <c r="H105" s="1239"/>
      <c r="I105" s="1569"/>
      <c r="J105" s="1322"/>
      <c r="K105" s="1322"/>
      <c r="L105" s="1290"/>
      <c r="M105" s="1688"/>
      <c r="N105" s="1666"/>
      <c r="O105" s="1066"/>
      <c r="P105" s="1070"/>
      <c r="Q105" s="1070"/>
      <c r="R105" s="1066"/>
    </row>
    <row r="106" spans="2:18" s="121" customFormat="1" ht="24" hidden="1" customHeight="1" x14ac:dyDescent="0.25">
      <c r="B106" s="1665"/>
      <c r="C106" s="2473" t="s">
        <v>1072</v>
      </c>
      <c r="D106" s="896">
        <v>1000000000</v>
      </c>
      <c r="E106" s="2683">
        <f t="shared" si="1"/>
        <v>0.72356379189827791</v>
      </c>
      <c r="F106" s="1373"/>
      <c r="G106" s="1569"/>
      <c r="H106" s="1239"/>
      <c r="I106" s="1569"/>
      <c r="J106" s="1322"/>
      <c r="K106" s="1322"/>
      <c r="L106" s="1290"/>
      <c r="M106" s="1688"/>
      <c r="N106" s="1666"/>
      <c r="O106" s="1066"/>
      <c r="P106" s="1070"/>
      <c r="Q106" s="1070"/>
      <c r="R106" s="1066"/>
    </row>
    <row r="107" spans="2:18" s="121" customFormat="1" ht="13.5" hidden="1" customHeight="1" x14ac:dyDescent="0.25">
      <c r="B107" s="1665"/>
      <c r="C107" s="2473"/>
      <c r="D107" s="896"/>
      <c r="E107" s="2683"/>
      <c r="F107" s="1373"/>
      <c r="G107" s="1569"/>
      <c r="H107" s="1239"/>
      <c r="I107" s="1569"/>
      <c r="J107" s="1322"/>
      <c r="K107" s="1322"/>
      <c r="L107" s="1290"/>
      <c r="M107" s="1688"/>
      <c r="N107" s="1666"/>
      <c r="O107" s="1066"/>
      <c r="P107" s="1070"/>
      <c r="Q107" s="1070"/>
      <c r="R107" s="1066"/>
    </row>
    <row r="108" spans="2:18" s="121" customFormat="1" ht="23.25" hidden="1" customHeight="1" x14ac:dyDescent="0.25">
      <c r="B108" s="1665"/>
      <c r="C108" s="2474" t="s">
        <v>1073</v>
      </c>
      <c r="D108" s="899">
        <f>SUM(D109:D110)</f>
        <v>600000000</v>
      </c>
      <c r="E108" s="2677">
        <f t="shared" si="1"/>
        <v>0.4341382751389668</v>
      </c>
      <c r="F108" s="1373"/>
      <c r="G108" s="1569"/>
      <c r="H108" s="1239"/>
      <c r="I108" s="1569"/>
      <c r="J108" s="1322"/>
      <c r="K108" s="1322"/>
      <c r="L108" s="1290"/>
      <c r="M108" s="1688"/>
      <c r="N108" s="1666"/>
      <c r="O108" s="1066"/>
      <c r="P108" s="1070"/>
      <c r="Q108" s="1070"/>
      <c r="R108" s="1066"/>
    </row>
    <row r="109" spans="2:18" s="121" customFormat="1" ht="22.5" hidden="1" customHeight="1" x14ac:dyDescent="0.25">
      <c r="B109" s="1665"/>
      <c r="C109" s="2473" t="s">
        <v>1074</v>
      </c>
      <c r="D109" s="896">
        <v>350000000</v>
      </c>
      <c r="E109" s="2683">
        <f t="shared" si="1"/>
        <v>0.2532473271643973</v>
      </c>
      <c r="F109" s="1373"/>
      <c r="G109" s="1569"/>
      <c r="H109" s="1239"/>
      <c r="I109" s="1569"/>
      <c r="J109" s="1322"/>
      <c r="K109" s="1322"/>
      <c r="L109" s="1290"/>
      <c r="M109" s="1688"/>
      <c r="N109" s="1666"/>
      <c r="O109" s="1066"/>
      <c r="P109" s="1070"/>
      <c r="Q109" s="1070"/>
      <c r="R109" s="1066"/>
    </row>
    <row r="110" spans="2:18" s="121" customFormat="1" ht="38.25" hidden="1" customHeight="1" x14ac:dyDescent="0.25">
      <c r="B110" s="1665"/>
      <c r="C110" s="2473" t="s">
        <v>1075</v>
      </c>
      <c r="D110" s="896">
        <v>250000000</v>
      </c>
      <c r="E110" s="2683">
        <f t="shared" si="1"/>
        <v>0.18089094797456948</v>
      </c>
      <c r="F110" s="1373"/>
      <c r="G110" s="1569"/>
      <c r="H110" s="1239"/>
      <c r="I110" s="1569"/>
      <c r="J110" s="1322"/>
      <c r="K110" s="1322"/>
      <c r="L110" s="1290"/>
      <c r="M110" s="1688"/>
      <c r="N110" s="1666"/>
      <c r="O110" s="1066"/>
      <c r="P110" s="1070"/>
      <c r="Q110" s="1070"/>
      <c r="R110" s="1066"/>
    </row>
    <row r="111" spans="2:18" s="121" customFormat="1" ht="30.75" hidden="1" customHeight="1" x14ac:dyDescent="0.25">
      <c r="B111" s="1665"/>
      <c r="C111" s="2473" t="s">
        <v>1075</v>
      </c>
      <c r="D111" s="3140">
        <v>250000000</v>
      </c>
      <c r="E111" s="2683">
        <f t="shared" si="1"/>
        <v>0.18089094797456948</v>
      </c>
      <c r="F111" s="1373"/>
      <c r="G111" s="1569"/>
      <c r="H111" s="1239"/>
      <c r="I111" s="1569"/>
      <c r="J111" s="1322"/>
      <c r="K111" s="1322"/>
      <c r="L111" s="1290"/>
      <c r="M111" s="1688"/>
      <c r="N111" s="1666"/>
      <c r="O111" s="1066"/>
      <c r="P111" s="1070"/>
      <c r="Q111" s="1070"/>
      <c r="R111" s="1066"/>
    </row>
    <row r="112" spans="2:18" s="121" customFormat="1" ht="12" hidden="1" customHeight="1" x14ac:dyDescent="0.25">
      <c r="B112" s="1665"/>
      <c r="C112" s="2556"/>
      <c r="D112" s="3773"/>
      <c r="E112" s="3021"/>
      <c r="F112" s="1385"/>
      <c r="G112" s="1659"/>
      <c r="H112" s="1256"/>
      <c r="I112" s="1659"/>
      <c r="J112" s="1366"/>
      <c r="K112" s="1366"/>
      <c r="L112" s="1311"/>
      <c r="M112" s="1690"/>
      <c r="N112" s="1666"/>
      <c r="O112" s="1066"/>
      <c r="P112" s="1070"/>
      <c r="Q112" s="1070"/>
      <c r="R112" s="1066"/>
    </row>
    <row r="113" spans="1:18" s="52" customFormat="1" ht="22.5" hidden="1" customHeight="1" x14ac:dyDescent="0.25">
      <c r="B113" s="1670"/>
      <c r="C113" s="2497" t="s">
        <v>1076</v>
      </c>
      <c r="D113" s="2733">
        <f>D114</f>
        <v>11700000000</v>
      </c>
      <c r="E113" s="2996">
        <f>D113/138204815000*100</f>
        <v>8.4656963652098511</v>
      </c>
      <c r="F113" s="1362"/>
      <c r="G113" s="1362"/>
      <c r="H113" s="1238"/>
      <c r="I113" s="1640"/>
      <c r="J113" s="1362"/>
      <c r="K113" s="1362"/>
      <c r="L113" s="1244"/>
      <c r="M113" s="1681"/>
      <c r="N113" s="1563"/>
      <c r="O113" s="1019"/>
      <c r="P113" s="1020"/>
      <c r="Q113" s="1020"/>
      <c r="R113" s="1019"/>
    </row>
    <row r="114" spans="1:18" s="52" customFormat="1" ht="35.25" hidden="1" customHeight="1" x14ac:dyDescent="0.25">
      <c r="B114" s="1665"/>
      <c r="C114" s="2472" t="s">
        <v>1077</v>
      </c>
      <c r="D114" s="899">
        <f>SUM(D115:D120)</f>
        <v>11700000000</v>
      </c>
      <c r="E114" s="2677">
        <f>D114/138204815000*100</f>
        <v>8.4656963652098511</v>
      </c>
      <c r="F114" s="1390"/>
      <c r="G114" s="1353"/>
      <c r="H114" s="1240"/>
      <c r="I114" s="1662"/>
      <c r="J114" s="1353"/>
      <c r="K114" s="1353"/>
      <c r="L114" s="1644"/>
      <c r="M114" s="1691"/>
      <c r="N114" s="1563"/>
      <c r="O114" s="1019"/>
      <c r="P114" s="1020"/>
      <c r="Q114" s="1020"/>
      <c r="R114" s="1019"/>
    </row>
    <row r="115" spans="1:18" s="13" customFormat="1" ht="21" hidden="1" customHeight="1" x14ac:dyDescent="0.25">
      <c r="B115" s="1658"/>
      <c r="C115" s="2473" t="s">
        <v>1078</v>
      </c>
      <c r="D115" s="896">
        <v>2000000000</v>
      </c>
      <c r="E115" s="2683">
        <f>D115/138204815000*100</f>
        <v>1.4471275837965558</v>
      </c>
      <c r="F115" s="1373"/>
      <c r="G115" s="1569"/>
      <c r="H115" s="1569"/>
      <c r="I115" s="1569"/>
      <c r="J115" s="1373"/>
      <c r="K115" s="1569"/>
      <c r="L115" s="1239"/>
      <c r="M115" s="1684"/>
      <c r="N115" s="1638"/>
      <c r="O115" s="1060"/>
      <c r="P115" s="1061"/>
      <c r="Q115" s="1061"/>
      <c r="R115" s="1060"/>
    </row>
    <row r="116" spans="1:18" s="13" customFormat="1" ht="18.75" hidden="1" customHeight="1" x14ac:dyDescent="0.25">
      <c r="B116" s="1658"/>
      <c r="C116" s="2473" t="s">
        <v>1079</v>
      </c>
      <c r="D116" s="896">
        <v>100000000</v>
      </c>
      <c r="E116" s="2683">
        <f t="shared" ref="E116:E120" si="2">D116/138204815000*100</f>
        <v>7.2356379189827791E-2</v>
      </c>
      <c r="F116" s="1373"/>
      <c r="G116" s="1569"/>
      <c r="H116" s="1569"/>
      <c r="I116" s="1569"/>
      <c r="J116" s="1373"/>
      <c r="K116" s="1569"/>
      <c r="L116" s="1569"/>
      <c r="M116" s="1684"/>
      <c r="N116" s="1638"/>
      <c r="O116" s="1060"/>
      <c r="P116" s="1061"/>
      <c r="Q116" s="1061"/>
      <c r="R116" s="1060"/>
    </row>
    <row r="117" spans="1:18" s="13" customFormat="1" ht="21.75" hidden="1" customHeight="1" x14ac:dyDescent="0.25">
      <c r="B117" s="1658"/>
      <c r="C117" s="2473" t="s">
        <v>1080</v>
      </c>
      <c r="D117" s="896">
        <v>200000000</v>
      </c>
      <c r="E117" s="2683">
        <f t="shared" si="2"/>
        <v>0.14471275837965558</v>
      </c>
      <c r="F117" s="1373"/>
      <c r="G117" s="1569"/>
      <c r="H117" s="1569"/>
      <c r="I117" s="1569"/>
      <c r="J117" s="1373"/>
      <c r="K117" s="1569"/>
      <c r="L117" s="1569"/>
      <c r="M117" s="1684"/>
      <c r="N117" s="1638"/>
      <c r="O117" s="1060"/>
      <c r="P117" s="1061"/>
      <c r="Q117" s="1061"/>
      <c r="R117" s="1060"/>
    </row>
    <row r="118" spans="1:18" s="13" customFormat="1" ht="34.5" hidden="1" customHeight="1" x14ac:dyDescent="0.25">
      <c r="B118" s="1658"/>
      <c r="C118" s="2473" t="s">
        <v>1081</v>
      </c>
      <c r="D118" s="896">
        <v>3757320000</v>
      </c>
      <c r="E118" s="2683">
        <f t="shared" si="2"/>
        <v>2.7186607065752377</v>
      </c>
      <c r="F118" s="1373"/>
      <c r="G118" s="1569"/>
      <c r="H118" s="1239"/>
      <c r="I118" s="1569"/>
      <c r="J118" s="1373"/>
      <c r="K118" s="1569"/>
      <c r="L118" s="1239"/>
      <c r="M118" s="1684"/>
      <c r="N118" s="1638"/>
      <c r="O118" s="1060"/>
      <c r="P118" s="1061"/>
      <c r="Q118" s="1061"/>
      <c r="R118" s="1060"/>
    </row>
    <row r="119" spans="1:18" s="13" customFormat="1" ht="22.5" hidden="1" customHeight="1" x14ac:dyDescent="0.25">
      <c r="B119" s="1658"/>
      <c r="C119" s="2476" t="s">
        <v>1082</v>
      </c>
      <c r="D119" s="2709">
        <v>952499450</v>
      </c>
      <c r="E119" s="2683">
        <f t="shared" si="2"/>
        <v>0.6891941138230242</v>
      </c>
      <c r="F119" s="1372"/>
      <c r="G119" s="1571"/>
      <c r="H119" s="1571"/>
      <c r="I119" s="1571"/>
      <c r="J119" s="1372"/>
      <c r="K119" s="1445"/>
      <c r="L119" s="1239"/>
      <c r="M119" s="1600"/>
      <c r="N119" s="1638"/>
      <c r="O119" s="1060"/>
      <c r="P119" s="1061"/>
      <c r="Q119" s="1061"/>
      <c r="R119" s="1060"/>
    </row>
    <row r="120" spans="1:18" s="13" customFormat="1" ht="19.5" hidden="1" customHeight="1" x14ac:dyDescent="0.25">
      <c r="B120" s="1658"/>
      <c r="C120" s="2473" t="s">
        <v>1083</v>
      </c>
      <c r="D120" s="896">
        <v>4690180550</v>
      </c>
      <c r="E120" s="2683">
        <f t="shared" si="2"/>
        <v>3.3936448234455505</v>
      </c>
      <c r="F120" s="1373"/>
      <c r="G120" s="1569"/>
      <c r="H120" s="1239"/>
      <c r="I120" s="1569"/>
      <c r="J120" s="1373"/>
      <c r="K120" s="1293"/>
      <c r="L120" s="1239"/>
      <c r="M120" s="1673"/>
      <c r="N120" s="1638"/>
      <c r="O120" s="1060"/>
      <c r="P120" s="1061"/>
      <c r="Q120" s="1061"/>
      <c r="R120" s="1060"/>
    </row>
    <row r="121" spans="1:18" ht="18.75" hidden="1" customHeight="1" x14ac:dyDescent="0.25">
      <c r="B121" s="1592"/>
      <c r="C121" s="2478"/>
      <c r="D121" s="3774"/>
      <c r="E121" s="2784"/>
      <c r="F121" s="1340"/>
      <c r="G121" s="1340"/>
      <c r="H121" s="1340"/>
      <c r="I121" s="1340"/>
      <c r="J121" s="1340"/>
      <c r="K121" s="1340"/>
      <c r="L121" s="1337"/>
      <c r="M121" s="1611"/>
      <c r="N121" s="1539"/>
    </row>
    <row r="122" spans="1:18" s="76" customFormat="1" ht="21.75" hidden="1" customHeight="1" x14ac:dyDescent="0.25">
      <c r="B122" s="1588"/>
      <c r="C122" s="2522" t="s">
        <v>6997</v>
      </c>
      <c r="D122" s="3770">
        <f>SUM(D124+D161+D166+D173)</f>
        <v>28799245540</v>
      </c>
      <c r="E122" s="2948">
        <f>D122/2512247400000*100</f>
        <v>1.1463538797970296</v>
      </c>
      <c r="F122" s="1356"/>
      <c r="G122" s="1589"/>
      <c r="H122" s="1335"/>
      <c r="I122" s="1589"/>
      <c r="J122" s="1589"/>
      <c r="K122" s="1589"/>
      <c r="L122" s="1335"/>
      <c r="M122" s="1590"/>
      <c r="N122" s="1591"/>
      <c r="O122" s="1035"/>
      <c r="P122" s="1036"/>
      <c r="Q122" s="1036"/>
      <c r="R122" s="1035"/>
    </row>
    <row r="123" spans="1:18" ht="6.75" hidden="1" customHeight="1" x14ac:dyDescent="0.25">
      <c r="B123" s="1592"/>
      <c r="C123" s="2482"/>
      <c r="D123" s="2723"/>
      <c r="E123" s="2784"/>
      <c r="F123" s="1487"/>
      <c r="G123" s="1340"/>
      <c r="H123" s="1337"/>
      <c r="I123" s="1340"/>
      <c r="J123" s="1338"/>
      <c r="K123" s="1338"/>
      <c r="L123" s="1314"/>
      <c r="M123" s="1584"/>
      <c r="N123" s="1539"/>
    </row>
    <row r="124" spans="1:18" s="27" customFormat="1" ht="21" hidden="1" customHeight="1" x14ac:dyDescent="0.25">
      <c r="B124" s="1593"/>
      <c r="C124" s="2497" t="s">
        <v>252</v>
      </c>
      <c r="D124" s="2669">
        <f>SUM(D125+D128+D156)</f>
        <v>14215595540</v>
      </c>
      <c r="E124" s="2786">
        <f>D124/137153760000*100</f>
        <v>10.36471441978696</v>
      </c>
      <c r="F124" s="1244"/>
      <c r="G124" s="1244"/>
      <c r="H124" s="1333"/>
      <c r="I124" s="1312"/>
      <c r="J124" s="1244"/>
      <c r="K124" s="1244"/>
      <c r="L124" s="1226"/>
      <c r="M124" s="1594"/>
      <c r="N124" s="1568"/>
      <c r="O124" s="1027"/>
      <c r="P124" s="1039"/>
      <c r="Q124" s="1039"/>
      <c r="R124" s="1027"/>
    </row>
    <row r="125" spans="1:18" s="27" customFormat="1" ht="20.25" hidden="1" customHeight="1" x14ac:dyDescent="0.25">
      <c r="A125" s="6"/>
      <c r="B125" s="1344"/>
      <c r="C125" s="2498" t="s">
        <v>253</v>
      </c>
      <c r="D125" s="2808">
        <f>SUM(D126)</f>
        <v>5242515540</v>
      </c>
      <c r="E125" s="2801">
        <f>D125/137153760000*100</f>
        <v>3.8223637033355851</v>
      </c>
      <c r="F125" s="1357"/>
      <c r="G125" s="1245"/>
      <c r="H125" s="1245"/>
      <c r="I125" s="1245"/>
      <c r="J125" s="1357"/>
      <c r="K125" s="1487"/>
      <c r="L125" s="1245"/>
      <c r="M125" s="1245"/>
      <c r="N125" s="1568"/>
      <c r="O125" s="1027"/>
      <c r="P125" s="1040"/>
      <c r="Q125" s="1027"/>
      <c r="R125" s="1027"/>
    </row>
    <row r="126" spans="1:18" s="27" customFormat="1" ht="23.25" hidden="1" customHeight="1" x14ac:dyDescent="0.25">
      <c r="A126" s="6"/>
      <c r="B126" s="1344"/>
      <c r="C126" s="2489" t="s">
        <v>6658</v>
      </c>
      <c r="D126" s="896">
        <v>5242515540</v>
      </c>
      <c r="E126" s="2810">
        <f>D126/137153760000*100</f>
        <v>3.8223637033355851</v>
      </c>
      <c r="F126" s="1318"/>
      <c r="G126" s="1228"/>
      <c r="H126" s="1228"/>
      <c r="I126" s="1228"/>
      <c r="J126" s="1595"/>
      <c r="K126" s="1277"/>
      <c r="L126" s="1228"/>
      <c r="M126" s="1228"/>
      <c r="N126" s="1568"/>
      <c r="O126" s="1027"/>
      <c r="P126" s="1040"/>
      <c r="Q126" s="1027"/>
      <c r="R126" s="1027"/>
    </row>
    <row r="127" spans="1:18" s="27" customFormat="1" ht="12" hidden="1" customHeight="1" x14ac:dyDescent="0.25">
      <c r="A127" s="6"/>
      <c r="B127" s="1344"/>
      <c r="C127" s="2494"/>
      <c r="D127" s="2698"/>
      <c r="E127" s="2810"/>
      <c r="F127" s="1228"/>
      <c r="G127" s="1228"/>
      <c r="H127" s="1231"/>
      <c r="I127" s="1280"/>
      <c r="J127" s="1277"/>
      <c r="K127" s="1277"/>
      <c r="L127" s="1280"/>
      <c r="M127" s="1280"/>
      <c r="N127" s="1568"/>
      <c r="O127" s="1027"/>
      <c r="P127" s="1040"/>
      <c r="Q127" s="1027"/>
      <c r="R127" s="1027"/>
    </row>
    <row r="128" spans="1:18" s="27" customFormat="1" ht="21" hidden="1" customHeight="1" x14ac:dyDescent="0.25">
      <c r="A128" s="6"/>
      <c r="B128" s="1344"/>
      <c r="C128" s="2499" t="s">
        <v>255</v>
      </c>
      <c r="D128" s="2812">
        <f>SUM(D129:D154)</f>
        <v>7093440000</v>
      </c>
      <c r="E128" s="2813">
        <f t="shared" ref="E128:E178" si="3">D128/137153760000*100</f>
        <v>5.1718888348376302</v>
      </c>
      <c r="F128" s="1358"/>
      <c r="G128" s="1358"/>
      <c r="H128" s="1231"/>
      <c r="I128" s="1280"/>
      <c r="J128" s="1358"/>
      <c r="K128" s="1358"/>
      <c r="L128" s="1337"/>
      <c r="M128" s="1280"/>
      <c r="N128" s="1568"/>
      <c r="O128" s="1027"/>
      <c r="P128" s="1040"/>
      <c r="Q128" s="1027"/>
      <c r="R128" s="1027"/>
    </row>
    <row r="129" spans="1:18" s="27" customFormat="1" ht="21.75" hidden="1" customHeight="1" x14ac:dyDescent="0.25">
      <c r="A129" s="6"/>
      <c r="B129" s="1344"/>
      <c r="C129" s="2492" t="s">
        <v>6498</v>
      </c>
      <c r="D129" s="896">
        <v>483620000</v>
      </c>
      <c r="E129" s="2810">
        <f t="shared" si="3"/>
        <v>0.35261155071505151</v>
      </c>
      <c r="F129" s="1359"/>
      <c r="G129" s="1228"/>
      <c r="H129" s="1228"/>
      <c r="I129" s="1228"/>
      <c r="J129" s="1596"/>
      <c r="K129" s="1277"/>
      <c r="L129" s="1315"/>
      <c r="M129" s="1315"/>
      <c r="N129" s="1568"/>
      <c r="O129" s="1027"/>
      <c r="P129" s="1040"/>
      <c r="Q129" s="1027"/>
      <c r="R129" s="1027"/>
    </row>
    <row r="130" spans="1:18" s="27" customFormat="1" ht="21" hidden="1" customHeight="1" x14ac:dyDescent="0.25">
      <c r="A130" s="6"/>
      <c r="B130" s="1344"/>
      <c r="C130" s="2492" t="s">
        <v>6497</v>
      </c>
      <c r="D130" s="2698">
        <v>498200000</v>
      </c>
      <c r="E130" s="2810">
        <f t="shared" si="3"/>
        <v>0.36324195559786332</v>
      </c>
      <c r="F130" s="1360"/>
      <c r="G130" s="1228"/>
      <c r="H130" s="1228"/>
      <c r="I130" s="1228"/>
      <c r="J130" s="1597"/>
      <c r="K130" s="1277"/>
      <c r="L130" s="1315"/>
      <c r="M130" s="1315"/>
      <c r="N130" s="1568"/>
      <c r="O130" s="1027"/>
      <c r="P130" s="1040"/>
      <c r="Q130" s="1027"/>
      <c r="R130" s="1027"/>
    </row>
    <row r="131" spans="1:18" s="27" customFormat="1" ht="24" hidden="1" customHeight="1" x14ac:dyDescent="0.25">
      <c r="A131" s="6"/>
      <c r="B131" s="1344"/>
      <c r="C131" s="2492" t="s">
        <v>6496</v>
      </c>
      <c r="D131" s="2698">
        <v>604000000</v>
      </c>
      <c r="E131" s="2810">
        <f t="shared" si="3"/>
        <v>0.44038165632498882</v>
      </c>
      <c r="F131" s="1360"/>
      <c r="G131" s="1228"/>
      <c r="H131" s="1228"/>
      <c r="I131" s="1228"/>
      <c r="J131" s="1597"/>
      <c r="K131" s="1277"/>
      <c r="L131" s="1228"/>
      <c r="M131" s="1228"/>
      <c r="N131" s="1568"/>
      <c r="O131" s="1027"/>
      <c r="P131" s="1040"/>
      <c r="Q131" s="1027"/>
      <c r="R131" s="1027"/>
    </row>
    <row r="132" spans="1:18" s="27" customFormat="1" ht="33" hidden="1" customHeight="1" x14ac:dyDescent="0.25">
      <c r="A132" s="6"/>
      <c r="B132" s="1344"/>
      <c r="C132" s="2492" t="s">
        <v>6499</v>
      </c>
      <c r="D132" s="2698">
        <v>144800000</v>
      </c>
      <c r="E132" s="2810">
        <f t="shared" si="3"/>
        <v>0.10557494012559336</v>
      </c>
      <c r="F132" s="1360"/>
      <c r="G132" s="1228"/>
      <c r="H132" s="1229"/>
      <c r="I132" s="1315"/>
      <c r="J132" s="1597"/>
      <c r="K132" s="1277"/>
      <c r="L132" s="1315"/>
      <c r="M132" s="1315"/>
      <c r="N132" s="1568"/>
      <c r="O132" s="1027"/>
      <c r="P132" s="1040"/>
      <c r="Q132" s="1027"/>
      <c r="R132" s="1027"/>
    </row>
    <row r="133" spans="1:18" s="27" customFormat="1" ht="18" hidden="1" customHeight="1" x14ac:dyDescent="0.25">
      <c r="A133" s="6"/>
      <c r="B133" s="1344"/>
      <c r="C133" s="2492" t="s">
        <v>6500</v>
      </c>
      <c r="D133" s="2698">
        <v>319760000</v>
      </c>
      <c r="E133" s="2810">
        <f t="shared" si="3"/>
        <v>0.23313979871933516</v>
      </c>
      <c r="F133" s="1360"/>
      <c r="G133" s="1228"/>
      <c r="H133" s="1229"/>
      <c r="I133" s="1315"/>
      <c r="J133" s="1597"/>
      <c r="K133" s="1277"/>
      <c r="L133" s="1315"/>
      <c r="M133" s="1315"/>
      <c r="N133" s="1568"/>
      <c r="O133" s="1027"/>
      <c r="P133" s="1040"/>
      <c r="Q133" s="1027"/>
      <c r="R133" s="1027"/>
    </row>
    <row r="134" spans="1:18" s="27" customFormat="1" ht="21" hidden="1" customHeight="1" x14ac:dyDescent="0.25">
      <c r="A134" s="6"/>
      <c r="B134" s="1344"/>
      <c r="C134" s="2492" t="s">
        <v>6501</v>
      </c>
      <c r="D134" s="2698">
        <v>273300000</v>
      </c>
      <c r="E134" s="2810">
        <f t="shared" si="3"/>
        <v>0.19926540840003218</v>
      </c>
      <c r="F134" s="1360"/>
      <c r="G134" s="1228"/>
      <c r="H134" s="1229"/>
      <c r="I134" s="1315"/>
      <c r="J134" s="1597"/>
      <c r="K134" s="1277"/>
      <c r="L134" s="1315"/>
      <c r="M134" s="1315"/>
      <c r="N134" s="1568"/>
      <c r="O134" s="1027"/>
      <c r="P134" s="1040"/>
      <c r="Q134" s="1027"/>
      <c r="R134" s="1027"/>
    </row>
    <row r="135" spans="1:18" s="27" customFormat="1" ht="30.75" hidden="1" customHeight="1" x14ac:dyDescent="0.25">
      <c r="A135" s="6"/>
      <c r="B135" s="1344"/>
      <c r="C135" s="2492" t="s">
        <v>6502</v>
      </c>
      <c r="D135" s="2698">
        <v>193920000</v>
      </c>
      <c r="E135" s="2810">
        <f t="shared" si="3"/>
        <v>0.1413887595936123</v>
      </c>
      <c r="F135" s="1360"/>
      <c r="G135" s="1228"/>
      <c r="H135" s="1229"/>
      <c r="I135" s="1315"/>
      <c r="J135" s="1597"/>
      <c r="K135" s="1277"/>
      <c r="L135" s="1315"/>
      <c r="M135" s="1315"/>
      <c r="N135" s="1568"/>
      <c r="O135" s="1027"/>
      <c r="P135" s="1040"/>
      <c r="Q135" s="1027"/>
      <c r="R135" s="1027"/>
    </row>
    <row r="136" spans="1:18" s="27" customFormat="1" ht="21" hidden="1" customHeight="1" x14ac:dyDescent="0.25">
      <c r="A136" s="6"/>
      <c r="B136" s="1344"/>
      <c r="C136" s="2492" t="s">
        <v>6503</v>
      </c>
      <c r="D136" s="2698">
        <v>258920000</v>
      </c>
      <c r="E136" s="2810">
        <f t="shared" si="3"/>
        <v>0.18878082525772535</v>
      </c>
      <c r="F136" s="1360"/>
      <c r="G136" s="1228"/>
      <c r="H136" s="1229"/>
      <c r="I136" s="1315"/>
      <c r="J136" s="1597"/>
      <c r="K136" s="1277"/>
      <c r="L136" s="1315"/>
      <c r="M136" s="1315"/>
      <c r="N136" s="1568"/>
      <c r="O136" s="1027"/>
      <c r="P136" s="1040"/>
      <c r="Q136" s="1027"/>
      <c r="R136" s="1027"/>
    </row>
    <row r="137" spans="1:18" s="27" customFormat="1" ht="19.5" hidden="1" customHeight="1" x14ac:dyDescent="0.25">
      <c r="A137" s="6"/>
      <c r="B137" s="1344"/>
      <c r="C137" s="2492" t="s">
        <v>6504</v>
      </c>
      <c r="D137" s="2698">
        <v>266920000</v>
      </c>
      <c r="E137" s="2810">
        <f t="shared" si="3"/>
        <v>0.19461369487792388</v>
      </c>
      <c r="F137" s="1360"/>
      <c r="G137" s="1228"/>
      <c r="H137" s="1229"/>
      <c r="I137" s="1315"/>
      <c r="J137" s="1597"/>
      <c r="K137" s="1277"/>
      <c r="L137" s="1315"/>
      <c r="M137" s="1315"/>
      <c r="N137" s="1568"/>
      <c r="O137" s="1027"/>
      <c r="P137" s="1040"/>
      <c r="Q137" s="1027"/>
      <c r="R137" s="1027"/>
    </row>
    <row r="138" spans="1:18" s="27" customFormat="1" ht="18" hidden="1" customHeight="1" x14ac:dyDescent="0.25">
      <c r="A138" s="6"/>
      <c r="B138" s="1344"/>
      <c r="C138" s="2492" t="s">
        <v>6505</v>
      </c>
      <c r="D138" s="2698">
        <v>434120000</v>
      </c>
      <c r="E138" s="2810">
        <f t="shared" si="3"/>
        <v>0.31652066994007311</v>
      </c>
      <c r="F138" s="1360"/>
      <c r="G138" s="1228"/>
      <c r="H138" s="1229"/>
      <c r="I138" s="1315"/>
      <c r="J138" s="1597"/>
      <c r="K138" s="1277"/>
      <c r="L138" s="1315"/>
      <c r="M138" s="1315"/>
      <c r="N138" s="1568"/>
      <c r="O138" s="1027"/>
      <c r="P138" s="1040"/>
      <c r="Q138" s="1027"/>
      <c r="R138" s="1027"/>
    </row>
    <row r="139" spans="1:18" s="27" customFormat="1" ht="19.5" hidden="1" customHeight="1" x14ac:dyDescent="0.25">
      <c r="A139" s="6"/>
      <c r="B139" s="1344"/>
      <c r="C139" s="2492" t="s">
        <v>6506</v>
      </c>
      <c r="D139" s="2698">
        <v>234700000</v>
      </c>
      <c r="E139" s="2810">
        <f t="shared" si="3"/>
        <v>0.1711218124825743</v>
      </c>
      <c r="F139" s="1360"/>
      <c r="G139" s="1228"/>
      <c r="H139" s="1229"/>
      <c r="I139" s="1315"/>
      <c r="J139" s="1597"/>
      <c r="K139" s="1277"/>
      <c r="L139" s="1315"/>
      <c r="M139" s="1315"/>
      <c r="N139" s="1568"/>
      <c r="O139" s="1027"/>
      <c r="P139" s="1040"/>
      <c r="Q139" s="1027"/>
      <c r="R139" s="1027"/>
    </row>
    <row r="140" spans="1:18" s="27" customFormat="1" ht="18.75" hidden="1" customHeight="1" x14ac:dyDescent="0.25">
      <c r="A140" s="6"/>
      <c r="B140" s="1344"/>
      <c r="C140" s="2492" t="s">
        <v>6507</v>
      </c>
      <c r="D140" s="2698">
        <v>271800000</v>
      </c>
      <c r="E140" s="2810">
        <f t="shared" si="3"/>
        <v>0.19817174534624499</v>
      </c>
      <c r="F140" s="1360"/>
      <c r="G140" s="1228"/>
      <c r="H140" s="1229"/>
      <c r="I140" s="1315"/>
      <c r="J140" s="1597"/>
      <c r="K140" s="1277"/>
      <c r="L140" s="1315"/>
      <c r="M140" s="1315"/>
      <c r="N140" s="1568"/>
      <c r="O140" s="1027"/>
      <c r="P140" s="1040"/>
      <c r="Q140" s="1027"/>
      <c r="R140" s="1027"/>
    </row>
    <row r="141" spans="1:18" s="27" customFormat="1" ht="19.5" hidden="1" customHeight="1" x14ac:dyDescent="0.25">
      <c r="A141" s="6"/>
      <c r="B141" s="1344"/>
      <c r="C141" s="2492" t="s">
        <v>6508</v>
      </c>
      <c r="D141" s="2698">
        <v>253300000</v>
      </c>
      <c r="E141" s="2810">
        <f t="shared" si="3"/>
        <v>0.18468323434953587</v>
      </c>
      <c r="F141" s="1360"/>
      <c r="G141" s="1228"/>
      <c r="H141" s="1229"/>
      <c r="I141" s="1315"/>
      <c r="J141" s="1597"/>
      <c r="K141" s="1277"/>
      <c r="L141" s="1315"/>
      <c r="M141" s="1315"/>
      <c r="N141" s="1568"/>
      <c r="O141" s="1027"/>
      <c r="P141" s="1040"/>
      <c r="Q141" s="1027"/>
      <c r="R141" s="1027"/>
    </row>
    <row r="142" spans="1:18" s="27" customFormat="1" ht="20.25" hidden="1" customHeight="1" x14ac:dyDescent="0.25">
      <c r="A142" s="6"/>
      <c r="B142" s="1344"/>
      <c r="C142" s="2492" t="s">
        <v>6509</v>
      </c>
      <c r="D142" s="2698">
        <v>418120000</v>
      </c>
      <c r="E142" s="2810">
        <f t="shared" si="3"/>
        <v>0.30485493069967601</v>
      </c>
      <c r="F142" s="1360"/>
      <c r="G142" s="1228"/>
      <c r="H142" s="1229"/>
      <c r="I142" s="1315"/>
      <c r="J142" s="1597"/>
      <c r="K142" s="1277"/>
      <c r="L142" s="1315"/>
      <c r="M142" s="1315"/>
      <c r="N142" s="1568"/>
      <c r="O142" s="1027"/>
      <c r="P142" s="1040"/>
      <c r="Q142" s="1027"/>
      <c r="R142" s="1027"/>
    </row>
    <row r="143" spans="1:18" s="27" customFormat="1" ht="21" hidden="1" customHeight="1" x14ac:dyDescent="0.25">
      <c r="A143" s="6"/>
      <c r="B143" s="1344"/>
      <c r="C143" s="2492" t="s">
        <v>6510</v>
      </c>
      <c r="D143" s="2698">
        <v>155920000</v>
      </c>
      <c r="E143" s="2810">
        <f t="shared" si="3"/>
        <v>0.11368262889766931</v>
      </c>
      <c r="F143" s="1360"/>
      <c r="G143" s="1228"/>
      <c r="H143" s="1229"/>
      <c r="I143" s="1315"/>
      <c r="J143" s="1597"/>
      <c r="K143" s="1277"/>
      <c r="L143" s="1315"/>
      <c r="M143" s="1315"/>
      <c r="N143" s="1568"/>
      <c r="O143" s="1027"/>
      <c r="P143" s="1040"/>
      <c r="Q143" s="1027"/>
      <c r="R143" s="1027"/>
    </row>
    <row r="144" spans="1:18" s="27" customFormat="1" ht="21.75" hidden="1" customHeight="1" x14ac:dyDescent="0.25">
      <c r="A144" s="6"/>
      <c r="B144" s="1344"/>
      <c r="C144" s="2492" t="s">
        <v>6511</v>
      </c>
      <c r="D144" s="2698">
        <v>222000000</v>
      </c>
      <c r="E144" s="2810">
        <f t="shared" si="3"/>
        <v>0.16186213196050914</v>
      </c>
      <c r="F144" s="1360"/>
      <c r="G144" s="1228"/>
      <c r="H144" s="1229"/>
      <c r="I144" s="1315"/>
      <c r="J144" s="1597"/>
      <c r="K144" s="1277"/>
      <c r="L144" s="1315"/>
      <c r="M144" s="1315"/>
      <c r="N144" s="1568"/>
      <c r="O144" s="1027"/>
      <c r="P144" s="1040"/>
      <c r="Q144" s="1027"/>
      <c r="R144" s="1027"/>
    </row>
    <row r="145" spans="1:18" s="27" customFormat="1" ht="22.5" hidden="1" customHeight="1" x14ac:dyDescent="0.25">
      <c r="A145" s="6"/>
      <c r="B145" s="1344"/>
      <c r="C145" s="2492" t="s">
        <v>6512</v>
      </c>
      <c r="D145" s="2698">
        <v>418120000</v>
      </c>
      <c r="E145" s="2810">
        <f t="shared" si="3"/>
        <v>0.30485493069967601</v>
      </c>
      <c r="F145" s="1360"/>
      <c r="G145" s="1228"/>
      <c r="H145" s="1229"/>
      <c r="I145" s="1315"/>
      <c r="J145" s="1597"/>
      <c r="K145" s="1277"/>
      <c r="L145" s="1315"/>
      <c r="M145" s="1315"/>
      <c r="N145" s="1568"/>
      <c r="O145" s="1027"/>
      <c r="P145" s="1040"/>
      <c r="Q145" s="1027"/>
      <c r="R145" s="1027"/>
    </row>
    <row r="146" spans="1:18" s="27" customFormat="1" ht="21.75" hidden="1" customHeight="1" x14ac:dyDescent="0.25">
      <c r="A146" s="6"/>
      <c r="B146" s="1344"/>
      <c r="C146" s="2492" t="s">
        <v>6513</v>
      </c>
      <c r="D146" s="2698">
        <v>164920000</v>
      </c>
      <c r="E146" s="2810">
        <f t="shared" si="3"/>
        <v>0.12024460722039265</v>
      </c>
      <c r="F146" s="1360"/>
      <c r="G146" s="1228"/>
      <c r="H146" s="1229"/>
      <c r="I146" s="1315"/>
      <c r="J146" s="1597"/>
      <c r="K146" s="1277"/>
      <c r="L146" s="1315"/>
      <c r="M146" s="1315"/>
      <c r="N146" s="1568"/>
      <c r="O146" s="1027"/>
      <c r="P146" s="1040"/>
      <c r="Q146" s="1027"/>
      <c r="R146" s="1027"/>
    </row>
    <row r="147" spans="1:18" s="27" customFormat="1" ht="36.75" hidden="1" customHeight="1" x14ac:dyDescent="0.25">
      <c r="A147" s="6"/>
      <c r="B147" s="1344"/>
      <c r="C147" s="2492" t="s">
        <v>6514</v>
      </c>
      <c r="D147" s="2698">
        <v>229800000</v>
      </c>
      <c r="E147" s="2810">
        <f t="shared" si="3"/>
        <v>0.16754917984020271</v>
      </c>
      <c r="F147" s="1360"/>
      <c r="G147" s="1228"/>
      <c r="H147" s="1229"/>
      <c r="I147" s="1315"/>
      <c r="J147" s="1597"/>
      <c r="K147" s="1277"/>
      <c r="L147" s="1315"/>
      <c r="M147" s="1315"/>
      <c r="N147" s="1568"/>
      <c r="O147" s="1027"/>
      <c r="P147" s="1040"/>
      <c r="Q147" s="1027"/>
      <c r="R147" s="1027"/>
    </row>
    <row r="148" spans="1:18" s="27" customFormat="1" ht="33" hidden="1" customHeight="1" x14ac:dyDescent="0.25">
      <c r="A148" s="6"/>
      <c r="B148" s="1344"/>
      <c r="C148" s="2492" t="s">
        <v>6515</v>
      </c>
      <c r="D148" s="2698">
        <v>173300000</v>
      </c>
      <c r="E148" s="2810">
        <f t="shared" si="3"/>
        <v>0.1263545381475506</v>
      </c>
      <c r="F148" s="1360"/>
      <c r="G148" s="1228"/>
      <c r="H148" s="1229"/>
      <c r="I148" s="1315"/>
      <c r="J148" s="1597"/>
      <c r="K148" s="1277"/>
      <c r="L148" s="1315"/>
      <c r="M148" s="1315"/>
      <c r="N148" s="1568"/>
      <c r="O148" s="1027"/>
      <c r="P148" s="1040"/>
      <c r="Q148" s="1027"/>
      <c r="R148" s="1027"/>
    </row>
    <row r="149" spans="1:18" s="27" customFormat="1" ht="24" hidden="1" customHeight="1" x14ac:dyDescent="0.25">
      <c r="A149" s="6"/>
      <c r="B149" s="1344"/>
      <c r="C149" s="2492" t="s">
        <v>6516</v>
      </c>
      <c r="D149" s="2698">
        <v>322000000</v>
      </c>
      <c r="E149" s="2810">
        <f t="shared" si="3"/>
        <v>0.23477300221299074</v>
      </c>
      <c r="F149" s="1360"/>
      <c r="G149" s="1228"/>
      <c r="H149" s="1229"/>
      <c r="I149" s="1315"/>
      <c r="J149" s="1597"/>
      <c r="K149" s="1277"/>
      <c r="L149" s="1315"/>
      <c r="M149" s="1315"/>
      <c r="N149" s="1568"/>
      <c r="O149" s="1027"/>
      <c r="P149" s="1040"/>
      <c r="Q149" s="1027"/>
      <c r="R149" s="1027"/>
    </row>
    <row r="150" spans="1:18" s="27" customFormat="1" ht="30" hidden="1" customHeight="1" x14ac:dyDescent="0.25">
      <c r="A150" s="6"/>
      <c r="B150" s="1344"/>
      <c r="C150" s="2492" t="s">
        <v>6517</v>
      </c>
      <c r="D150" s="2698">
        <v>108800000</v>
      </c>
      <c r="E150" s="2810">
        <f t="shared" si="3"/>
        <v>7.9327026834699985E-2</v>
      </c>
      <c r="F150" s="1360"/>
      <c r="G150" s="1228"/>
      <c r="H150" s="1229"/>
      <c r="I150" s="1315"/>
      <c r="J150" s="1597"/>
      <c r="K150" s="1277"/>
      <c r="L150" s="1315"/>
      <c r="M150" s="1315"/>
      <c r="N150" s="1568"/>
      <c r="O150" s="1027"/>
      <c r="P150" s="1040"/>
      <c r="Q150" s="1027"/>
      <c r="R150" s="1027"/>
    </row>
    <row r="151" spans="1:18" s="27" customFormat="1" ht="21" hidden="1" customHeight="1" x14ac:dyDescent="0.25">
      <c r="A151" s="6"/>
      <c r="B151" s="1344"/>
      <c r="C151" s="2492" t="s">
        <v>6518</v>
      </c>
      <c r="D151" s="2698">
        <v>220300000</v>
      </c>
      <c r="E151" s="2810">
        <f t="shared" si="3"/>
        <v>0.16062264716621694</v>
      </c>
      <c r="F151" s="1360"/>
      <c r="G151" s="1228"/>
      <c r="H151" s="1229"/>
      <c r="I151" s="1315"/>
      <c r="J151" s="1597"/>
      <c r="K151" s="1277"/>
      <c r="L151" s="1315"/>
      <c r="M151" s="1315"/>
      <c r="N151" s="1568"/>
      <c r="O151" s="1027"/>
      <c r="P151" s="1040"/>
      <c r="Q151" s="1027"/>
      <c r="R151" s="1027"/>
    </row>
    <row r="152" spans="1:18" s="27" customFormat="1" ht="22.5" hidden="1" customHeight="1" x14ac:dyDescent="0.25">
      <c r="A152" s="6"/>
      <c r="B152" s="1344"/>
      <c r="C152" s="2492" t="s">
        <v>6519</v>
      </c>
      <c r="D152" s="2698">
        <v>100000000</v>
      </c>
      <c r="E152" s="2810">
        <f t="shared" si="3"/>
        <v>7.2910870252481594E-2</v>
      </c>
      <c r="F152" s="1360"/>
      <c r="G152" s="1228"/>
      <c r="H152" s="1229"/>
      <c r="I152" s="1315"/>
      <c r="J152" s="1597"/>
      <c r="K152" s="1277"/>
      <c r="L152" s="1315"/>
      <c r="M152" s="1315"/>
      <c r="N152" s="1568"/>
      <c r="O152" s="1027"/>
      <c r="P152" s="1040"/>
      <c r="Q152" s="1027"/>
      <c r="R152" s="1027"/>
    </row>
    <row r="153" spans="1:18" s="27" customFormat="1" ht="21" hidden="1" customHeight="1" x14ac:dyDescent="0.25">
      <c r="A153" s="6"/>
      <c r="B153" s="1344"/>
      <c r="C153" s="2492" t="s">
        <v>6520</v>
      </c>
      <c r="D153" s="2698">
        <v>100000000</v>
      </c>
      <c r="E153" s="2810">
        <f t="shared" si="3"/>
        <v>7.2910870252481594E-2</v>
      </c>
      <c r="F153" s="1360"/>
      <c r="G153" s="1228"/>
      <c r="H153" s="1229"/>
      <c r="I153" s="1315"/>
      <c r="J153" s="1597"/>
      <c r="K153" s="1277"/>
      <c r="L153" s="1315"/>
      <c r="M153" s="1315"/>
      <c r="N153" s="1568"/>
      <c r="O153" s="1027"/>
      <c r="P153" s="1040"/>
      <c r="Q153" s="1027"/>
      <c r="R153" s="1027"/>
    </row>
    <row r="154" spans="1:18" s="27" customFormat="1" ht="24" hidden="1" customHeight="1" x14ac:dyDescent="0.25">
      <c r="A154" s="6"/>
      <c r="B154" s="1344"/>
      <c r="C154" s="2492" t="s">
        <v>6521</v>
      </c>
      <c r="D154" s="2698">
        <v>222800000</v>
      </c>
      <c r="E154" s="2810">
        <f t="shared" si="3"/>
        <v>0.16244541892252901</v>
      </c>
      <c r="F154" s="1360"/>
      <c r="G154" s="1228"/>
      <c r="H154" s="1229"/>
      <c r="I154" s="1315"/>
      <c r="J154" s="1597"/>
      <c r="K154" s="1277"/>
      <c r="L154" s="1315"/>
      <c r="M154" s="1315"/>
      <c r="N154" s="1568"/>
      <c r="O154" s="1027"/>
      <c r="P154" s="1040"/>
      <c r="Q154" s="1027"/>
      <c r="R154" s="1027"/>
    </row>
    <row r="155" spans="1:18" s="27" customFormat="1" ht="12" hidden="1" customHeight="1" x14ac:dyDescent="0.25">
      <c r="A155" s="6"/>
      <c r="B155" s="1344"/>
      <c r="C155" s="2494"/>
      <c r="D155" s="2698"/>
      <c r="E155" s="2810"/>
      <c r="F155" s="1228"/>
      <c r="G155" s="1228"/>
      <c r="H155" s="1231"/>
      <c r="I155" s="1280"/>
      <c r="J155" s="1277"/>
      <c r="K155" s="1277"/>
      <c r="L155" s="1280"/>
      <c r="M155" s="1280"/>
      <c r="N155" s="1568"/>
      <c r="O155" s="1027"/>
      <c r="P155" s="1040"/>
      <c r="Q155" s="1027"/>
      <c r="R155" s="1027"/>
    </row>
    <row r="156" spans="1:18" s="27" customFormat="1" ht="22.5" hidden="1" customHeight="1" x14ac:dyDescent="0.25">
      <c r="A156" s="6"/>
      <c r="B156" s="1344"/>
      <c r="C156" s="2490" t="s">
        <v>6495</v>
      </c>
      <c r="D156" s="2812">
        <f>SUM(D157:D159)</f>
        <v>1879640000</v>
      </c>
      <c r="E156" s="2813">
        <f t="shared" si="3"/>
        <v>1.370461881613745</v>
      </c>
      <c r="F156" s="1361"/>
      <c r="G156" s="1245"/>
      <c r="H156" s="1245"/>
      <c r="I156" s="1245"/>
      <c r="J156" s="1361"/>
      <c r="K156" s="1361"/>
      <c r="L156" s="1337"/>
      <c r="M156" s="1235"/>
      <c r="N156" s="1568"/>
      <c r="O156" s="1027"/>
      <c r="P156" s="1040"/>
      <c r="Q156" s="1027"/>
      <c r="R156" s="1027"/>
    </row>
    <row r="157" spans="1:18" s="27" customFormat="1" ht="21" hidden="1" customHeight="1" x14ac:dyDescent="0.25">
      <c r="A157" s="6"/>
      <c r="B157" s="1344"/>
      <c r="C157" s="2500" t="s">
        <v>6522</v>
      </c>
      <c r="D157" s="2698">
        <v>621640000</v>
      </c>
      <c r="E157" s="2810">
        <f t="shared" si="3"/>
        <v>0.45324313383752662</v>
      </c>
      <c r="F157" s="1360"/>
      <c r="G157" s="1228"/>
      <c r="H157" s="1228"/>
      <c r="I157" s="1228"/>
      <c r="J157" s="1597"/>
      <c r="K157" s="1277"/>
      <c r="L157" s="1315"/>
      <c r="M157" s="1315"/>
      <c r="N157" s="1568"/>
      <c r="O157" s="1027"/>
      <c r="P157" s="1040"/>
      <c r="Q157" s="1027"/>
      <c r="R157" s="1027"/>
    </row>
    <row r="158" spans="1:18" s="27" customFormat="1" ht="20.25" hidden="1" customHeight="1" x14ac:dyDescent="0.25">
      <c r="A158" s="6"/>
      <c r="B158" s="1344"/>
      <c r="C158" s="2500" t="s">
        <v>6523</v>
      </c>
      <c r="D158" s="2698">
        <v>486000000</v>
      </c>
      <c r="E158" s="2810">
        <f t="shared" si="3"/>
        <v>0.35434682942706053</v>
      </c>
      <c r="F158" s="1360"/>
      <c r="G158" s="1228"/>
      <c r="H158" s="1228"/>
      <c r="I158" s="1228"/>
      <c r="J158" s="1597"/>
      <c r="K158" s="1277"/>
      <c r="L158" s="1228"/>
      <c r="M158" s="1228"/>
      <c r="N158" s="1568"/>
      <c r="O158" s="1027"/>
      <c r="P158" s="1040"/>
      <c r="Q158" s="1027"/>
      <c r="R158" s="1027"/>
    </row>
    <row r="159" spans="1:18" s="27" customFormat="1" ht="21.75" hidden="1" customHeight="1" x14ac:dyDescent="0.25">
      <c r="A159" s="6"/>
      <c r="B159" s="1344"/>
      <c r="C159" s="2500" t="s">
        <v>6524</v>
      </c>
      <c r="D159" s="2698">
        <v>772000000</v>
      </c>
      <c r="E159" s="2810">
        <f t="shared" si="3"/>
        <v>0.56287191834915795</v>
      </c>
      <c r="F159" s="1360"/>
      <c r="G159" s="1228"/>
      <c r="H159" s="1228"/>
      <c r="I159" s="1228"/>
      <c r="J159" s="1597"/>
      <c r="K159" s="1277"/>
      <c r="L159" s="1228"/>
      <c r="M159" s="1228"/>
      <c r="N159" s="1568"/>
      <c r="O159" s="1027"/>
      <c r="P159" s="1040"/>
      <c r="Q159" s="1027"/>
      <c r="R159" s="1027"/>
    </row>
    <row r="160" spans="1:18" ht="12" hidden="1" customHeight="1" x14ac:dyDescent="0.25">
      <c r="B160" s="1592"/>
      <c r="C160" s="2574"/>
      <c r="D160" s="3771"/>
      <c r="E160" s="2840"/>
      <c r="F160" s="1320"/>
      <c r="G160" s="1255"/>
      <c r="H160" s="1329"/>
      <c r="I160" s="1317"/>
      <c r="J160" s="1255"/>
      <c r="K160" s="1255"/>
      <c r="L160" s="1329"/>
      <c r="M160" s="1669"/>
      <c r="N160" s="1734"/>
    </row>
    <row r="161" spans="1:18" s="27" customFormat="1" ht="19.5" hidden="1" customHeight="1" x14ac:dyDescent="0.25">
      <c r="B161" s="1593"/>
      <c r="C161" s="2497" t="s">
        <v>286</v>
      </c>
      <c r="D161" s="2733">
        <f>D162</f>
        <v>4500000000</v>
      </c>
      <c r="E161" s="2786">
        <f t="shared" si="3"/>
        <v>3.280989161361672</v>
      </c>
      <c r="F161" s="1362"/>
      <c r="G161" s="1362"/>
      <c r="H161" s="1333"/>
      <c r="I161" s="1312"/>
      <c r="J161" s="1362"/>
      <c r="K161" s="1362"/>
      <c r="L161" s="1226"/>
      <c r="M161" s="1601"/>
      <c r="N161" s="1602"/>
      <c r="O161" s="1027"/>
      <c r="P161" s="1039"/>
      <c r="Q161" s="1039"/>
      <c r="R161" s="1027"/>
    </row>
    <row r="162" spans="1:18" s="27" customFormat="1" ht="31.5" hidden="1" customHeight="1" x14ac:dyDescent="0.25">
      <c r="A162" s="6"/>
      <c r="B162" s="1344"/>
      <c r="C162" s="2502" t="s">
        <v>287</v>
      </c>
      <c r="D162" s="2822">
        <f>D163+D164</f>
        <v>4500000000</v>
      </c>
      <c r="E162" s="2879">
        <f t="shared" si="3"/>
        <v>3.280989161361672</v>
      </c>
      <c r="F162" s="1363"/>
      <c r="G162" s="1363"/>
      <c r="H162" s="1252"/>
      <c r="I162" s="1321"/>
      <c r="J162" s="1363"/>
      <c r="K162" s="1363"/>
      <c r="L162" s="1337"/>
      <c r="M162" s="1275"/>
      <c r="N162" s="1568"/>
      <c r="O162" s="1027"/>
      <c r="P162" s="1040"/>
      <c r="Q162" s="1027"/>
      <c r="R162" s="1027"/>
    </row>
    <row r="163" spans="1:18" s="27" customFormat="1" ht="22.5" hidden="1" customHeight="1" x14ac:dyDescent="0.25">
      <c r="A163" s="6"/>
      <c r="B163" s="1344"/>
      <c r="C163" s="2489" t="s">
        <v>6525</v>
      </c>
      <c r="D163" s="896">
        <v>2500000000</v>
      </c>
      <c r="E163" s="2810">
        <f t="shared" si="3"/>
        <v>1.8227717563120398</v>
      </c>
      <c r="F163" s="1364"/>
      <c r="G163" s="1293"/>
      <c r="H163" s="1229"/>
      <c r="I163" s="1293"/>
      <c r="J163" s="1315"/>
      <c r="K163" s="1315"/>
      <c r="L163" s="1315"/>
      <c r="M163" s="1315"/>
      <c r="N163" s="1568"/>
      <c r="O163" s="1027"/>
      <c r="P163" s="1040"/>
      <c r="Q163" s="1027"/>
      <c r="R163" s="1027"/>
    </row>
    <row r="164" spans="1:18" s="27" customFormat="1" ht="25.5" hidden="1" customHeight="1" x14ac:dyDescent="0.25">
      <c r="B164" s="1598"/>
      <c r="C164" s="2494" t="s">
        <v>6526</v>
      </c>
      <c r="D164" s="2698">
        <v>2000000000</v>
      </c>
      <c r="E164" s="2810">
        <f t="shared" si="3"/>
        <v>1.4582174050496319</v>
      </c>
      <c r="F164" s="1364"/>
      <c r="G164" s="1293"/>
      <c r="H164" s="1315"/>
      <c r="I164" s="1293"/>
      <c r="J164" s="1364"/>
      <c r="K164" s="1228"/>
      <c r="L164" s="1315"/>
      <c r="M164" s="1608"/>
      <c r="N164" s="1603"/>
      <c r="O164" s="1027"/>
      <c r="P164" s="1039"/>
      <c r="Q164" s="1039"/>
      <c r="R164" s="1027"/>
    </row>
    <row r="165" spans="1:18" s="27" customFormat="1" ht="12" hidden="1" customHeight="1" x14ac:dyDescent="0.25">
      <c r="B165" s="1598"/>
      <c r="C165" s="2506"/>
      <c r="D165" s="2724"/>
      <c r="E165" s="2840"/>
      <c r="F165" s="1320"/>
      <c r="G165" s="1317"/>
      <c r="H165" s="1329"/>
      <c r="I165" s="1317"/>
      <c r="J165" s="1320"/>
      <c r="K165" s="1255"/>
      <c r="L165" s="1329"/>
      <c r="M165" s="1606"/>
      <c r="N165" s="1607"/>
      <c r="O165" s="1027"/>
      <c r="P165" s="1039"/>
      <c r="Q165" s="1039"/>
      <c r="R165" s="1027"/>
    </row>
    <row r="166" spans="1:18" s="27" customFormat="1" ht="18" hidden="1" customHeight="1" x14ac:dyDescent="0.25">
      <c r="B166" s="1593"/>
      <c r="C166" s="2497" t="s">
        <v>289</v>
      </c>
      <c r="D166" s="2669">
        <f>SUM(D167+D170)</f>
        <v>9000000000</v>
      </c>
      <c r="E166" s="2786">
        <f t="shared" si="3"/>
        <v>6.5619783227233439</v>
      </c>
      <c r="F166" s="1365"/>
      <c r="G166" s="1354"/>
      <c r="H166" s="1604"/>
      <c r="I166" s="1354"/>
      <c r="J166" s="1365"/>
      <c r="K166" s="1416"/>
      <c r="L166" s="1604"/>
      <c r="M166" s="1605"/>
      <c r="N166" s="1602"/>
      <c r="O166" s="1027"/>
      <c r="P166" s="1039"/>
      <c r="Q166" s="1039"/>
      <c r="R166" s="1027"/>
    </row>
    <row r="167" spans="1:18" s="27" customFormat="1" ht="32.25" hidden="1" customHeight="1" x14ac:dyDescent="0.25">
      <c r="B167" s="1598"/>
      <c r="C167" s="2482" t="s">
        <v>6527</v>
      </c>
      <c r="D167" s="2721">
        <f>D168</f>
        <v>6500000000</v>
      </c>
      <c r="E167" s="2879">
        <f t="shared" si="3"/>
        <v>4.7392065664113039</v>
      </c>
      <c r="F167" s="1320"/>
      <c r="G167" s="1317"/>
      <c r="H167" s="1329"/>
      <c r="I167" s="1317"/>
      <c r="J167" s="1320"/>
      <c r="K167" s="1255"/>
      <c r="L167" s="1329"/>
      <c r="M167" s="1606"/>
      <c r="N167" s="1607"/>
      <c r="O167" s="1027"/>
      <c r="P167" s="1039"/>
      <c r="Q167" s="1039"/>
      <c r="R167" s="1027"/>
    </row>
    <row r="168" spans="1:18" s="27" customFormat="1" ht="33.75" hidden="1" customHeight="1" x14ac:dyDescent="0.25">
      <c r="B168" s="1598"/>
      <c r="C168" s="2500" t="s">
        <v>6528</v>
      </c>
      <c r="D168" s="896">
        <v>6500000000</v>
      </c>
      <c r="E168" s="2810">
        <f t="shared" si="3"/>
        <v>4.7392065664113039</v>
      </c>
      <c r="F168" s="1364"/>
      <c r="G168" s="1293"/>
      <c r="H168" s="1315"/>
      <c r="I168" s="1293"/>
      <c r="J168" s="1364"/>
      <c r="K168" s="1228"/>
      <c r="L168" s="1315"/>
      <c r="M168" s="1608"/>
      <c r="N168" s="1568"/>
      <c r="O168" s="1027"/>
      <c r="P168" s="1039"/>
      <c r="Q168" s="1039"/>
      <c r="R168" s="1027"/>
    </row>
    <row r="169" spans="1:18" s="27" customFormat="1" ht="12" hidden="1" customHeight="1" x14ac:dyDescent="0.25">
      <c r="B169" s="1598"/>
      <c r="C169" s="2504"/>
      <c r="D169" s="940"/>
      <c r="E169" s="2810"/>
      <c r="F169" s="1364"/>
      <c r="G169" s="1293"/>
      <c r="H169" s="1315"/>
      <c r="I169" s="1293"/>
      <c r="J169" s="1364"/>
      <c r="K169" s="1228"/>
      <c r="L169" s="1315"/>
      <c r="M169" s="1608"/>
      <c r="N169" s="1568"/>
      <c r="O169" s="1027"/>
      <c r="P169" s="1039"/>
      <c r="Q169" s="1039"/>
      <c r="R169" s="1027"/>
    </row>
    <row r="170" spans="1:18" s="27" customFormat="1" ht="21.75" hidden="1" customHeight="1" x14ac:dyDescent="0.25">
      <c r="B170" s="1598"/>
      <c r="C170" s="2505" t="s">
        <v>292</v>
      </c>
      <c r="D170" s="2692">
        <f>D171</f>
        <v>2500000000</v>
      </c>
      <c r="E170" s="2813">
        <f t="shared" si="3"/>
        <v>1.8227717563120398</v>
      </c>
      <c r="F170" s="1364"/>
      <c r="G170" s="1293"/>
      <c r="H170" s="1315"/>
      <c r="I170" s="1293"/>
      <c r="J170" s="1364"/>
      <c r="K170" s="1228"/>
      <c r="L170" s="1315"/>
      <c r="M170" s="1608"/>
      <c r="N170" s="1568"/>
      <c r="O170" s="1027"/>
      <c r="P170" s="1039"/>
      <c r="Q170" s="1039"/>
      <c r="R170" s="1027"/>
    </row>
    <row r="171" spans="1:18" s="27" customFormat="1" ht="21" hidden="1" customHeight="1" x14ac:dyDescent="0.25">
      <c r="B171" s="1598"/>
      <c r="C171" s="2500" t="s">
        <v>6529</v>
      </c>
      <c r="D171" s="896">
        <v>2500000000</v>
      </c>
      <c r="E171" s="2810">
        <f t="shared" si="3"/>
        <v>1.8227717563120398</v>
      </c>
      <c r="F171" s="1364"/>
      <c r="G171" s="1293"/>
      <c r="H171" s="1315"/>
      <c r="I171" s="1293"/>
      <c r="J171" s="1364"/>
      <c r="K171" s="1228"/>
      <c r="L171" s="1315"/>
      <c r="M171" s="1608"/>
      <c r="N171" s="1568"/>
      <c r="O171" s="1027"/>
      <c r="P171" s="1039"/>
      <c r="Q171" s="1039"/>
      <c r="R171" s="1027"/>
    </row>
    <row r="172" spans="1:18" s="27" customFormat="1" ht="12" hidden="1" customHeight="1" x14ac:dyDescent="0.25">
      <c r="B172" s="1598"/>
      <c r="C172" s="2574"/>
      <c r="D172" s="3771"/>
      <c r="E172" s="2840"/>
      <c r="F172" s="1320"/>
      <c r="G172" s="1317"/>
      <c r="H172" s="1329"/>
      <c r="I172" s="1317"/>
      <c r="J172" s="1320"/>
      <c r="K172" s="1255"/>
      <c r="L172" s="1329"/>
      <c r="M172" s="1606"/>
      <c r="N172" s="1607"/>
      <c r="O172" s="1027"/>
      <c r="P172" s="1039"/>
      <c r="Q172" s="1039"/>
      <c r="R172" s="1027"/>
    </row>
    <row r="173" spans="1:18" s="27" customFormat="1" ht="21.75" hidden="1" customHeight="1" x14ac:dyDescent="0.25">
      <c r="B173" s="1593"/>
      <c r="C173" s="2497" t="s">
        <v>4139</v>
      </c>
      <c r="D173" s="3414">
        <f>SUM(D174+D177)</f>
        <v>1083650000</v>
      </c>
      <c r="E173" s="2786">
        <f t="shared" si="3"/>
        <v>0.79009864549101672</v>
      </c>
      <c r="F173" s="1365"/>
      <c r="G173" s="1354"/>
      <c r="H173" s="1604"/>
      <c r="I173" s="1354"/>
      <c r="J173" s="1365"/>
      <c r="K173" s="1416"/>
      <c r="L173" s="1604"/>
      <c r="M173" s="1605"/>
      <c r="N173" s="1602"/>
      <c r="O173" s="1027"/>
      <c r="P173" s="1039"/>
      <c r="Q173" s="1039"/>
      <c r="R173" s="1027"/>
    </row>
    <row r="174" spans="1:18" s="27" customFormat="1" ht="23.25" hidden="1" customHeight="1" x14ac:dyDescent="0.25">
      <c r="B174" s="1598"/>
      <c r="C174" s="2484" t="s">
        <v>6544</v>
      </c>
      <c r="D174" s="3772">
        <f>D175</f>
        <v>660150000</v>
      </c>
      <c r="E174" s="3214">
        <f t="shared" si="3"/>
        <v>0.48132110997175725</v>
      </c>
      <c r="F174" s="1320"/>
      <c r="G174" s="1317"/>
      <c r="H174" s="1329"/>
      <c r="I174" s="1317"/>
      <c r="J174" s="1320"/>
      <c r="K174" s="1255"/>
      <c r="L174" s="1329"/>
      <c r="M174" s="1606"/>
      <c r="N174" s="1607"/>
      <c r="O174" s="1027"/>
      <c r="P174" s="1039"/>
      <c r="Q174" s="1039"/>
      <c r="R174" s="1027"/>
    </row>
    <row r="175" spans="1:18" s="27" customFormat="1" ht="36.75" hidden="1" customHeight="1" x14ac:dyDescent="0.25">
      <c r="B175" s="1598"/>
      <c r="C175" s="2489" t="s">
        <v>6554</v>
      </c>
      <c r="D175" s="3954">
        <v>660150000</v>
      </c>
      <c r="E175" s="2810">
        <f t="shared" si="3"/>
        <v>0.48132110997175725</v>
      </c>
      <c r="F175" s="1364"/>
      <c r="G175" s="1293"/>
      <c r="H175" s="1315"/>
      <c r="I175" s="1293"/>
      <c r="J175" s="1364"/>
      <c r="K175" s="1228"/>
      <c r="L175" s="1315"/>
      <c r="M175" s="1608"/>
      <c r="N175" s="1568"/>
      <c r="O175" s="1027"/>
      <c r="P175" s="1039"/>
      <c r="Q175" s="1039"/>
      <c r="R175" s="1027"/>
    </row>
    <row r="176" spans="1:18" s="27" customFormat="1" ht="12.75" hidden="1" customHeight="1" x14ac:dyDescent="0.25">
      <c r="B176" s="1598"/>
      <c r="C176" s="2489"/>
      <c r="D176" s="3954"/>
      <c r="E176" s="2810"/>
      <c r="F176" s="1364"/>
      <c r="G176" s="1293"/>
      <c r="H176" s="1315"/>
      <c r="I176" s="1293"/>
      <c r="J176" s="1364"/>
      <c r="K176" s="1228"/>
      <c r="L176" s="1315"/>
      <c r="M176" s="1608"/>
      <c r="N176" s="1568"/>
      <c r="O176" s="1027"/>
      <c r="P176" s="1039"/>
      <c r="Q176" s="1039"/>
      <c r="R176" s="1027"/>
    </row>
    <row r="177" spans="2:18" s="27" customFormat="1" ht="22.5" hidden="1" customHeight="1" x14ac:dyDescent="0.25">
      <c r="B177" s="1598"/>
      <c r="C177" s="2491" t="s">
        <v>6560</v>
      </c>
      <c r="D177" s="2692">
        <f>D178</f>
        <v>423500000</v>
      </c>
      <c r="E177" s="2813">
        <f t="shared" si="3"/>
        <v>0.30877753551925957</v>
      </c>
      <c r="F177" s="1364"/>
      <c r="G177" s="1293"/>
      <c r="H177" s="1315"/>
      <c r="I177" s="1293"/>
      <c r="J177" s="1364"/>
      <c r="K177" s="1228"/>
      <c r="L177" s="1315"/>
      <c r="M177" s="1608"/>
      <c r="N177" s="1568"/>
      <c r="O177" s="1027"/>
      <c r="P177" s="1039"/>
      <c r="Q177" s="1039"/>
      <c r="R177" s="1027"/>
    </row>
    <row r="178" spans="2:18" s="27" customFormat="1" ht="29.25" hidden="1" customHeight="1" x14ac:dyDescent="0.25">
      <c r="B178" s="1598"/>
      <c r="C178" s="2494" t="s">
        <v>6561</v>
      </c>
      <c r="D178" s="2698">
        <v>423500000</v>
      </c>
      <c r="E178" s="2810">
        <f t="shared" si="3"/>
        <v>0.30877753551925957</v>
      </c>
      <c r="F178" s="1364"/>
      <c r="G178" s="1293"/>
      <c r="H178" s="1315"/>
      <c r="I178" s="1293"/>
      <c r="J178" s="1364"/>
      <c r="K178" s="1228"/>
      <c r="L178" s="1315"/>
      <c r="M178" s="1608"/>
      <c r="N178" s="1568"/>
      <c r="O178" s="1027"/>
      <c r="P178" s="1039"/>
      <c r="Q178" s="1039"/>
      <c r="R178" s="1027"/>
    </row>
    <row r="179" spans="2:18" ht="12" hidden="1" customHeight="1" x14ac:dyDescent="0.25">
      <c r="B179" s="1587"/>
      <c r="C179" s="2478"/>
      <c r="D179" s="3774"/>
      <c r="E179" s="3036"/>
      <c r="F179" s="1317"/>
      <c r="G179" s="1659"/>
      <c r="H179" s="1340"/>
      <c r="I179" s="1790"/>
      <c r="J179" s="1297"/>
      <c r="K179" s="1255"/>
      <c r="L179" s="1255"/>
      <c r="M179" s="1631"/>
      <c r="N179" s="1582"/>
    </row>
    <row r="180" spans="2:18" s="673" customFormat="1" ht="21" hidden="1" customHeight="1" x14ac:dyDescent="0.25">
      <c r="B180" s="1632"/>
      <c r="C180" s="2522" t="s">
        <v>6998</v>
      </c>
      <c r="D180" s="3770">
        <f>SUM(D182+D246+D250)</f>
        <v>27714995390</v>
      </c>
      <c r="E180" s="2948">
        <f>D180/2512247400000*100</f>
        <v>1.10319530592409</v>
      </c>
      <c r="F180" s="1377"/>
      <c r="G180" s="1589"/>
      <c r="H180" s="1335"/>
      <c r="I180" s="1633"/>
      <c r="J180" s="1589"/>
      <c r="K180" s="1589"/>
      <c r="L180" s="1335"/>
      <c r="M180" s="1634"/>
      <c r="N180" s="1635"/>
      <c r="O180" s="1057"/>
      <c r="P180" s="1058"/>
      <c r="Q180" s="1058"/>
      <c r="R180" s="1057"/>
    </row>
    <row r="181" spans="2:18" s="13" customFormat="1" ht="6.75" hidden="1" customHeight="1" x14ac:dyDescent="0.25">
      <c r="B181" s="1636"/>
      <c r="C181" s="2495"/>
      <c r="D181" s="3776"/>
      <c r="E181" s="2999"/>
      <c r="F181" s="1372"/>
      <c r="G181" s="1571"/>
      <c r="H181" s="1326"/>
      <c r="I181" s="1571"/>
      <c r="J181" s="1326"/>
      <c r="K181" s="1571"/>
      <c r="L181" s="1326"/>
      <c r="M181" s="1637"/>
      <c r="N181" s="1638"/>
      <c r="O181" s="1060"/>
      <c r="P181" s="1061"/>
      <c r="Q181" s="1061"/>
      <c r="R181" s="1060"/>
    </row>
    <row r="182" spans="2:18" s="105" customFormat="1" ht="21" hidden="1" customHeight="1" x14ac:dyDescent="0.25">
      <c r="B182" s="1639"/>
      <c r="C182" s="2497" t="s">
        <v>398</v>
      </c>
      <c r="D182" s="2744">
        <f>D183+D186+D190+D193+D206+D209+D212+D217+D221+D228+D233+D236+D240+D243</f>
        <v>10965047510</v>
      </c>
      <c r="E182" s="2996">
        <f>D182/128986258000*100</f>
        <v>8.5009424104698041</v>
      </c>
      <c r="F182" s="1378"/>
      <c r="G182" s="1378"/>
      <c r="H182" s="1312"/>
      <c r="I182" s="1640"/>
      <c r="J182" s="1378"/>
      <c r="K182" s="1378"/>
      <c r="L182" s="1238"/>
      <c r="M182" s="1641"/>
      <c r="N182" s="1642"/>
      <c r="O182" s="1063"/>
      <c r="P182" s="1064"/>
      <c r="Q182" s="1064"/>
      <c r="R182" s="1063"/>
    </row>
    <row r="183" spans="2:18" s="105" customFormat="1" ht="18.75" hidden="1" customHeight="1" x14ac:dyDescent="0.25">
      <c r="B183" s="1643"/>
      <c r="C183" s="2521" t="s">
        <v>2126</v>
      </c>
      <c r="D183" s="2751">
        <f>D184</f>
        <v>11000000</v>
      </c>
      <c r="E183" s="2997">
        <f>D183/128986258000*100</f>
        <v>8.528040250613364E-3</v>
      </c>
      <c r="F183" s="1379"/>
      <c r="G183" s="1644"/>
      <c r="H183" s="1644"/>
      <c r="I183" s="1644"/>
      <c r="J183" s="1506"/>
      <c r="K183" s="1645"/>
      <c r="L183" s="1646"/>
      <c r="M183" s="1647"/>
      <c r="N183" s="1642"/>
      <c r="O183" s="1063"/>
      <c r="P183" s="1064"/>
      <c r="Q183" s="1064"/>
      <c r="R183" s="1063"/>
    </row>
    <row r="184" spans="2:18" s="105" customFormat="1" ht="17.25" hidden="1" customHeight="1" x14ac:dyDescent="0.25">
      <c r="B184" s="1643"/>
      <c r="C184" s="2524" t="s">
        <v>6713</v>
      </c>
      <c r="D184" s="896">
        <v>11000000</v>
      </c>
      <c r="E184" s="3014">
        <f>D184/128986258000*100</f>
        <v>8.528040250613364E-3</v>
      </c>
      <c r="F184" s="1380"/>
      <c r="G184" s="1569"/>
      <c r="H184" s="1569"/>
      <c r="I184" s="1569"/>
      <c r="J184" s="1380"/>
      <c r="K184" s="1569"/>
      <c r="L184" s="1249"/>
      <c r="M184" s="1648"/>
      <c r="N184" s="1642"/>
      <c r="O184" s="1063"/>
      <c r="P184" s="1064"/>
      <c r="Q184" s="1064"/>
      <c r="R184" s="1063"/>
    </row>
    <row r="185" spans="2:18" s="105" customFormat="1" ht="13.5" hidden="1" customHeight="1" x14ac:dyDescent="0.25">
      <c r="B185" s="1643"/>
      <c r="C185" s="2527"/>
      <c r="D185" s="898"/>
      <c r="E185" s="3014"/>
      <c r="F185" s="1381"/>
      <c r="G185" s="1649"/>
      <c r="H185" s="1569"/>
      <c r="I185" s="1569"/>
      <c r="J185" s="1381"/>
      <c r="K185" s="1569"/>
      <c r="L185" s="1293"/>
      <c r="M185" s="1648"/>
      <c r="N185" s="1642"/>
      <c r="O185" s="1063"/>
      <c r="P185" s="1064"/>
      <c r="Q185" s="1064"/>
      <c r="R185" s="1063"/>
    </row>
    <row r="186" spans="2:18" s="105" customFormat="1" ht="21" hidden="1" customHeight="1" x14ac:dyDescent="0.25">
      <c r="B186" s="1643"/>
      <c r="C186" s="2521" t="s">
        <v>678</v>
      </c>
      <c r="D186" s="899">
        <f>D187+D188</f>
        <v>299612828</v>
      </c>
      <c r="E186" s="2997">
        <f t="shared" ref="E186:E244" si="4">D186/128986258000*100</f>
        <v>0.23228275061673623</v>
      </c>
      <c r="F186" s="1382"/>
      <c r="G186" s="1650"/>
      <c r="H186" s="1644"/>
      <c r="I186" s="1644"/>
      <c r="J186" s="1382"/>
      <c r="K186" s="1382"/>
      <c r="L186" s="1240"/>
      <c r="M186" s="1651"/>
      <c r="N186" s="1642"/>
      <c r="O186" s="1063"/>
      <c r="P186" s="1064"/>
      <c r="Q186" s="1064"/>
      <c r="R186" s="1063"/>
    </row>
    <row r="187" spans="2:18" s="105" customFormat="1" ht="18" hidden="1" customHeight="1" x14ac:dyDescent="0.25">
      <c r="B187" s="1643"/>
      <c r="C187" s="2524" t="s">
        <v>6714</v>
      </c>
      <c r="D187" s="896">
        <v>195200000</v>
      </c>
      <c r="E187" s="3014">
        <f t="shared" si="4"/>
        <v>0.15133395062906624</v>
      </c>
      <c r="F187" s="1380"/>
      <c r="G187" s="1569"/>
      <c r="H187" s="1569"/>
      <c r="I187" s="1569"/>
      <c r="J187" s="1380"/>
      <c r="K187" s="1380"/>
      <c r="L187" s="1239"/>
      <c r="M187" s="1648"/>
      <c r="N187" s="1642"/>
      <c r="O187" s="1063"/>
      <c r="P187" s="1064"/>
      <c r="Q187" s="1064"/>
      <c r="R187" s="1063"/>
    </row>
    <row r="188" spans="2:18" s="105" customFormat="1" ht="24.75" hidden="1" customHeight="1" x14ac:dyDescent="0.25">
      <c r="B188" s="1643"/>
      <c r="C188" s="2524" t="s">
        <v>6715</v>
      </c>
      <c r="D188" s="896">
        <v>104412828</v>
      </c>
      <c r="E188" s="3014">
        <f t="shared" si="4"/>
        <v>8.0948799987670003E-2</v>
      </c>
      <c r="F188" s="1380"/>
      <c r="G188" s="1597"/>
      <c r="H188" s="1569"/>
      <c r="I188" s="1569"/>
      <c r="J188" s="1380"/>
      <c r="K188" s="1569"/>
      <c r="L188" s="1239"/>
      <c r="M188" s="1648"/>
      <c r="N188" s="1642"/>
      <c r="O188" s="1063"/>
      <c r="P188" s="1064"/>
      <c r="Q188" s="1064"/>
      <c r="R188" s="1063"/>
    </row>
    <row r="189" spans="2:18" s="105" customFormat="1" ht="12" hidden="1" customHeight="1" x14ac:dyDescent="0.25">
      <c r="B189" s="1643"/>
      <c r="C189" s="2524"/>
      <c r="D189" s="896"/>
      <c r="E189" s="3014"/>
      <c r="F189" s="1382"/>
      <c r="G189" s="1569"/>
      <c r="H189" s="1569"/>
      <c r="I189" s="1569"/>
      <c r="J189" s="1380"/>
      <c r="K189" s="1569"/>
      <c r="L189" s="1293"/>
      <c r="M189" s="1648"/>
      <c r="N189" s="1642"/>
      <c r="O189" s="1063"/>
      <c r="P189" s="1064"/>
      <c r="Q189" s="1064"/>
      <c r="R189" s="1063"/>
    </row>
    <row r="190" spans="2:18" s="105" customFormat="1" ht="20.25" hidden="1" customHeight="1" x14ac:dyDescent="0.25">
      <c r="B190" s="1643"/>
      <c r="C190" s="2525" t="s">
        <v>680</v>
      </c>
      <c r="D190" s="899">
        <f>SUM(D191)</f>
        <v>1539364000</v>
      </c>
      <c r="E190" s="2997">
        <f t="shared" si="4"/>
        <v>1.1934325593041082</v>
      </c>
      <c r="F190" s="1382"/>
      <c r="G190" s="1650"/>
      <c r="H190" s="1644"/>
      <c r="I190" s="1644"/>
      <c r="J190" s="1382"/>
      <c r="K190" s="1382"/>
      <c r="L190" s="1240"/>
      <c r="M190" s="1651"/>
      <c r="N190" s="1642"/>
      <c r="O190" s="1063"/>
      <c r="P190" s="1064"/>
      <c r="Q190" s="1064"/>
      <c r="R190" s="1063"/>
    </row>
    <row r="191" spans="2:18" s="105" customFormat="1" ht="21" hidden="1" customHeight="1" x14ac:dyDescent="0.25">
      <c r="B191" s="1643"/>
      <c r="C191" s="2524" t="s">
        <v>6716</v>
      </c>
      <c r="D191" s="896">
        <v>1539364000</v>
      </c>
      <c r="E191" s="3014">
        <f t="shared" si="4"/>
        <v>1.1934325593041082</v>
      </c>
      <c r="F191" s="1380"/>
      <c r="G191" s="1569"/>
      <c r="H191" s="1569"/>
      <c r="I191" s="1569"/>
      <c r="J191" s="1380"/>
      <c r="K191" s="1569"/>
      <c r="L191" s="1249"/>
      <c r="M191" s="1648"/>
      <c r="N191" s="1642"/>
      <c r="O191" s="1063"/>
      <c r="P191" s="1064"/>
      <c r="Q191" s="1064"/>
      <c r="R191" s="1063"/>
    </row>
    <row r="192" spans="2:18" s="105" customFormat="1" ht="13.5" hidden="1" customHeight="1" x14ac:dyDescent="0.25">
      <c r="B192" s="1643"/>
      <c r="C192" s="2531"/>
      <c r="D192" s="2755"/>
      <c r="E192" s="3014"/>
      <c r="F192" s="1383"/>
      <c r="G192" s="1569"/>
      <c r="H192" s="1569"/>
      <c r="I192" s="1569"/>
      <c r="J192" s="1383"/>
      <c r="K192" s="1569"/>
      <c r="L192" s="1249"/>
      <c r="M192" s="1648"/>
      <c r="N192" s="1642"/>
      <c r="O192" s="1063"/>
      <c r="P192" s="1064"/>
      <c r="Q192" s="1064"/>
      <c r="R192" s="1063"/>
    </row>
    <row r="193" spans="2:18" s="105" customFormat="1" ht="21.75" hidden="1" customHeight="1" x14ac:dyDescent="0.25">
      <c r="B193" s="1643"/>
      <c r="C193" s="2525" t="s">
        <v>682</v>
      </c>
      <c r="D193" s="899">
        <f>SUM(D194:D204)</f>
        <v>3873376926</v>
      </c>
      <c r="E193" s="2997">
        <f t="shared" si="4"/>
        <v>3.0029376664295513</v>
      </c>
      <c r="F193" s="1323"/>
      <c r="G193" s="1597"/>
      <c r="H193" s="1569"/>
      <c r="I193" s="1569"/>
      <c r="J193" s="1239"/>
      <c r="K193" s="1569"/>
      <c r="L193" s="1239"/>
      <c r="M193" s="1648"/>
      <c r="N193" s="1642"/>
      <c r="O193" s="1063"/>
      <c r="P193" s="1064"/>
      <c r="Q193" s="1064"/>
      <c r="R193" s="1063"/>
    </row>
    <row r="194" spans="2:18" s="105" customFormat="1" ht="18" hidden="1" customHeight="1" x14ac:dyDescent="0.25">
      <c r="B194" s="1643"/>
      <c r="C194" s="2526" t="s">
        <v>6717</v>
      </c>
      <c r="D194" s="940">
        <v>665800000</v>
      </c>
      <c r="E194" s="3014">
        <f t="shared" si="4"/>
        <v>0.51617901807803435</v>
      </c>
      <c r="F194" s="1323"/>
      <c r="G194" s="1597"/>
      <c r="H194" s="1569"/>
      <c r="I194" s="1569"/>
      <c r="J194" s="1239"/>
      <c r="K194" s="1569"/>
      <c r="L194" s="1239"/>
      <c r="M194" s="1648"/>
      <c r="N194" s="1642"/>
      <c r="O194" s="1063"/>
      <c r="P194" s="1064"/>
      <c r="Q194" s="1064"/>
      <c r="R194" s="1063"/>
    </row>
    <row r="195" spans="2:18" s="105" customFormat="1" ht="18" hidden="1" customHeight="1" x14ac:dyDescent="0.25">
      <c r="B195" s="1643"/>
      <c r="C195" s="2524" t="s">
        <v>6718</v>
      </c>
      <c r="D195" s="896">
        <v>501100000</v>
      </c>
      <c r="E195" s="3014">
        <f t="shared" si="4"/>
        <v>0.38849099723475966</v>
      </c>
      <c r="F195" s="1323"/>
      <c r="G195" s="1597"/>
      <c r="H195" s="1569"/>
      <c r="I195" s="1569"/>
      <c r="J195" s="1239"/>
      <c r="K195" s="1569"/>
      <c r="L195" s="1239"/>
      <c r="M195" s="1648"/>
      <c r="N195" s="1642"/>
      <c r="O195" s="1063"/>
      <c r="P195" s="1064"/>
      <c r="Q195" s="1064"/>
      <c r="R195" s="1063"/>
    </row>
    <row r="196" spans="2:18" s="105" customFormat="1" ht="18.75" hidden="1" customHeight="1" x14ac:dyDescent="0.25">
      <c r="B196" s="1643"/>
      <c r="C196" s="2526" t="s">
        <v>6719</v>
      </c>
      <c r="D196" s="2769">
        <v>321430000</v>
      </c>
      <c r="E196" s="3014">
        <f t="shared" si="4"/>
        <v>0.24919708888678668</v>
      </c>
      <c r="F196" s="1323"/>
      <c r="G196" s="1597"/>
      <c r="H196" s="1569"/>
      <c r="I196" s="1569"/>
      <c r="J196" s="1239"/>
      <c r="K196" s="1569"/>
      <c r="L196" s="1239"/>
      <c r="M196" s="1648"/>
      <c r="N196" s="1642"/>
      <c r="O196" s="1063"/>
      <c r="P196" s="1064"/>
      <c r="Q196" s="1064"/>
      <c r="R196" s="1063"/>
    </row>
    <row r="197" spans="2:18" s="105" customFormat="1" ht="19.5" hidden="1" customHeight="1" x14ac:dyDescent="0.25">
      <c r="B197" s="1643"/>
      <c r="C197" s="2524" t="s">
        <v>6720</v>
      </c>
      <c r="D197" s="896">
        <v>312347906</v>
      </c>
      <c r="E197" s="3014">
        <f t="shared" si="4"/>
        <v>0.24215595586934541</v>
      </c>
      <c r="F197" s="1323"/>
      <c r="G197" s="1597"/>
      <c r="H197" s="1569"/>
      <c r="I197" s="1569"/>
      <c r="J197" s="1239"/>
      <c r="K197" s="1569"/>
      <c r="L197" s="1239"/>
      <c r="M197" s="1648"/>
      <c r="N197" s="1642"/>
      <c r="O197" s="1063"/>
      <c r="P197" s="1064"/>
      <c r="Q197" s="1064"/>
      <c r="R197" s="1063"/>
    </row>
    <row r="198" spans="2:18" s="105" customFormat="1" ht="21" hidden="1" customHeight="1" x14ac:dyDescent="0.25">
      <c r="B198" s="1643"/>
      <c r="C198" s="2524" t="s">
        <v>6721</v>
      </c>
      <c r="D198" s="896">
        <v>230546400</v>
      </c>
      <c r="E198" s="3014">
        <f t="shared" si="4"/>
        <v>0.17873717989400079</v>
      </c>
      <c r="F198" s="1323"/>
      <c r="G198" s="1597"/>
      <c r="H198" s="1569"/>
      <c r="I198" s="1569"/>
      <c r="J198" s="1239"/>
      <c r="K198" s="1569"/>
      <c r="L198" s="1239"/>
      <c r="M198" s="1648"/>
      <c r="N198" s="1642"/>
      <c r="O198" s="1063"/>
      <c r="P198" s="1064"/>
      <c r="Q198" s="1064"/>
      <c r="R198" s="1063"/>
    </row>
    <row r="199" spans="2:18" s="105" customFormat="1" ht="18" hidden="1" customHeight="1" x14ac:dyDescent="0.25">
      <c r="B199" s="1643"/>
      <c r="C199" s="2524" t="s">
        <v>6722</v>
      </c>
      <c r="D199" s="896">
        <v>261720000</v>
      </c>
      <c r="E199" s="3014">
        <f t="shared" si="4"/>
        <v>0.2029053358536845</v>
      </c>
      <c r="F199" s="1323"/>
      <c r="G199" s="1597"/>
      <c r="H199" s="1569"/>
      <c r="I199" s="1569"/>
      <c r="J199" s="1239"/>
      <c r="K199" s="1569"/>
      <c r="L199" s="1239"/>
      <c r="M199" s="1648"/>
      <c r="N199" s="1642"/>
      <c r="O199" s="1063"/>
      <c r="P199" s="1064"/>
      <c r="Q199" s="1064"/>
      <c r="R199" s="1063"/>
    </row>
    <row r="200" spans="2:18" s="105" customFormat="1" ht="20.25" hidden="1" customHeight="1" x14ac:dyDescent="0.25">
      <c r="B200" s="1643"/>
      <c r="C200" s="2524" t="s">
        <v>6723</v>
      </c>
      <c r="D200" s="896">
        <v>280010000</v>
      </c>
      <c r="E200" s="3014">
        <f t="shared" si="4"/>
        <v>0.21708514096129528</v>
      </c>
      <c r="F200" s="1323"/>
      <c r="G200" s="1597"/>
      <c r="H200" s="1569"/>
      <c r="I200" s="1569"/>
      <c r="J200" s="1239"/>
      <c r="K200" s="1569"/>
      <c r="L200" s="1239"/>
      <c r="M200" s="1648"/>
      <c r="N200" s="1642"/>
      <c r="O200" s="1063"/>
      <c r="P200" s="1064"/>
      <c r="Q200" s="1064"/>
      <c r="R200" s="1063"/>
    </row>
    <row r="201" spans="2:18" s="105" customFormat="1" ht="17.25" hidden="1" customHeight="1" x14ac:dyDescent="0.25">
      <c r="B201" s="1643"/>
      <c r="C201" s="2524" t="s">
        <v>6724</v>
      </c>
      <c r="D201" s="896">
        <v>250893832</v>
      </c>
      <c r="E201" s="3014">
        <f t="shared" si="4"/>
        <v>0.19451206344787519</v>
      </c>
      <c r="F201" s="1323"/>
      <c r="G201" s="1597"/>
      <c r="H201" s="1569"/>
      <c r="I201" s="1569"/>
      <c r="J201" s="1239"/>
      <c r="K201" s="1569"/>
      <c r="L201" s="1239"/>
      <c r="M201" s="1648"/>
      <c r="N201" s="1642"/>
      <c r="O201" s="1063"/>
      <c r="P201" s="1064"/>
      <c r="Q201" s="1064"/>
      <c r="R201" s="1063"/>
    </row>
    <row r="202" spans="2:18" s="105" customFormat="1" ht="18.75" hidden="1" customHeight="1" x14ac:dyDescent="0.25">
      <c r="B202" s="1643"/>
      <c r="C202" s="2524" t="s">
        <v>6725</v>
      </c>
      <c r="D202" s="896">
        <v>267719388</v>
      </c>
      <c r="E202" s="3014">
        <f t="shared" si="4"/>
        <v>0.20755651970305239</v>
      </c>
      <c r="F202" s="1323"/>
      <c r="G202" s="1597"/>
      <c r="H202" s="1569"/>
      <c r="I202" s="1569"/>
      <c r="J202" s="1239"/>
      <c r="K202" s="1569"/>
      <c r="L202" s="1239"/>
      <c r="M202" s="1648"/>
      <c r="N202" s="1642"/>
      <c r="O202" s="1063"/>
      <c r="P202" s="1064"/>
      <c r="Q202" s="1064"/>
      <c r="R202" s="1063"/>
    </row>
    <row r="203" spans="2:18" s="105" customFormat="1" ht="21" hidden="1" customHeight="1" x14ac:dyDescent="0.25">
      <c r="B203" s="1643"/>
      <c r="C203" s="2524" t="s">
        <v>6726</v>
      </c>
      <c r="D203" s="896">
        <v>394008400</v>
      </c>
      <c r="E203" s="3014">
        <f t="shared" si="4"/>
        <v>0.30546540857088822</v>
      </c>
      <c r="F203" s="1504"/>
      <c r="G203" s="1571"/>
      <c r="H203" s="1569"/>
      <c r="I203" s="1571"/>
      <c r="J203" s="1504"/>
      <c r="K203" s="1569"/>
      <c r="L203" s="1293"/>
      <c r="M203" s="1648"/>
      <c r="N203" s="1642"/>
      <c r="O203" s="1063"/>
      <c r="P203" s="1064"/>
      <c r="Q203" s="1064"/>
      <c r="R203" s="1063"/>
    </row>
    <row r="204" spans="2:18" s="105" customFormat="1" ht="20.25" hidden="1" customHeight="1" x14ac:dyDescent="0.25">
      <c r="B204" s="1643"/>
      <c r="C204" s="2524" t="s">
        <v>6727</v>
      </c>
      <c r="D204" s="896">
        <v>387801000</v>
      </c>
      <c r="E204" s="3014">
        <f t="shared" si="4"/>
        <v>0.30065295792982849</v>
      </c>
      <c r="F204" s="1382"/>
      <c r="G204" s="1652"/>
      <c r="H204" s="1644"/>
      <c r="I204" s="1644"/>
      <c r="J204" s="1382"/>
      <c r="K204" s="1382"/>
      <c r="L204" s="1240"/>
      <c r="M204" s="1651"/>
      <c r="N204" s="1642"/>
      <c r="O204" s="1063"/>
      <c r="P204" s="1064"/>
      <c r="Q204" s="1064"/>
      <c r="R204" s="1063"/>
    </row>
    <row r="205" spans="2:18" s="105" customFormat="1" ht="16.5" hidden="1" customHeight="1" x14ac:dyDescent="0.25">
      <c r="B205" s="1643"/>
      <c r="C205" s="2528"/>
      <c r="D205" s="2755"/>
      <c r="E205" s="3014"/>
      <c r="F205" s="1239"/>
      <c r="G205" s="1597"/>
      <c r="H205" s="1569"/>
      <c r="I205" s="1569"/>
      <c r="J205" s="1268"/>
      <c r="K205" s="1569"/>
      <c r="L205" s="1239"/>
      <c r="M205" s="1648"/>
      <c r="N205" s="1642"/>
      <c r="O205" s="1063"/>
      <c r="P205" s="1064"/>
      <c r="Q205" s="1064"/>
      <c r="R205" s="1063"/>
    </row>
    <row r="206" spans="2:18" s="105" customFormat="1" ht="21" hidden="1" customHeight="1" x14ac:dyDescent="0.25">
      <c r="B206" s="1643"/>
      <c r="C206" s="2525" t="s">
        <v>696</v>
      </c>
      <c r="D206" s="899">
        <f>D207</f>
        <v>50800000</v>
      </c>
      <c r="E206" s="2997">
        <f t="shared" si="4"/>
        <v>3.9384040430105356E-2</v>
      </c>
      <c r="F206" s="1505"/>
      <c r="G206" s="1649"/>
      <c r="H206" s="1569"/>
      <c r="I206" s="1569"/>
      <c r="J206" s="1381"/>
      <c r="K206" s="1569"/>
      <c r="L206" s="1293"/>
      <c r="M206" s="1648"/>
      <c r="N206" s="1642"/>
      <c r="O206" s="1063"/>
      <c r="P206" s="1064"/>
      <c r="Q206" s="1064"/>
      <c r="R206" s="1063"/>
    </row>
    <row r="207" spans="2:18" s="105" customFormat="1" ht="33" hidden="1" customHeight="1" x14ac:dyDescent="0.25">
      <c r="B207" s="1643"/>
      <c r="C207" s="2524" t="s">
        <v>6728</v>
      </c>
      <c r="D207" s="896">
        <v>50800000</v>
      </c>
      <c r="E207" s="3014">
        <f t="shared" si="4"/>
        <v>3.9384040430105356E-2</v>
      </c>
      <c r="F207" s="1382"/>
      <c r="G207" s="1644"/>
      <c r="H207" s="1644"/>
      <c r="I207" s="1644"/>
      <c r="J207" s="1506"/>
      <c r="K207" s="1506"/>
      <c r="L207" s="1240"/>
      <c r="M207" s="1653"/>
      <c r="N207" s="1642"/>
      <c r="O207" s="1063"/>
      <c r="P207" s="1064"/>
      <c r="Q207" s="1064"/>
      <c r="R207" s="1063"/>
    </row>
    <row r="208" spans="2:18" s="105" customFormat="1" ht="11.25" hidden="1" customHeight="1" x14ac:dyDescent="0.25">
      <c r="B208" s="1643"/>
      <c r="C208" s="2527"/>
      <c r="D208" s="898"/>
      <c r="E208" s="3014"/>
      <c r="F208" s="1380"/>
      <c r="G208" s="1569"/>
      <c r="H208" s="1569"/>
      <c r="I208" s="1569"/>
      <c r="J208" s="1380"/>
      <c r="K208" s="1569"/>
      <c r="L208" s="1239"/>
      <c r="M208" s="1654"/>
      <c r="N208" s="1642"/>
      <c r="O208" s="1063"/>
      <c r="P208" s="1064"/>
      <c r="Q208" s="1064"/>
      <c r="R208" s="1063"/>
    </row>
    <row r="209" spans="2:18" s="105" customFormat="1" ht="21.75" hidden="1" customHeight="1" x14ac:dyDescent="0.25">
      <c r="B209" s="1643"/>
      <c r="C209" s="2521" t="s">
        <v>698</v>
      </c>
      <c r="D209" s="2751">
        <f>D210</f>
        <v>70100000</v>
      </c>
      <c r="E209" s="2997">
        <f t="shared" si="4"/>
        <v>5.4346874687999702E-2</v>
      </c>
      <c r="F209" s="1381"/>
      <c r="G209" s="1649"/>
      <c r="H209" s="1569"/>
      <c r="I209" s="1569"/>
      <c r="J209" s="1381"/>
      <c r="K209" s="1569"/>
      <c r="L209" s="1293"/>
      <c r="M209" s="1648"/>
      <c r="N209" s="1642"/>
      <c r="O209" s="1063"/>
      <c r="P209" s="1064"/>
      <c r="Q209" s="1064"/>
      <c r="R209" s="1063"/>
    </row>
    <row r="210" spans="2:18" s="105" customFormat="1" ht="18.75" hidden="1" customHeight="1" x14ac:dyDescent="0.25">
      <c r="B210" s="1643"/>
      <c r="C210" s="2524" t="s">
        <v>6729</v>
      </c>
      <c r="D210" s="896">
        <v>70100000</v>
      </c>
      <c r="E210" s="3014">
        <f t="shared" si="4"/>
        <v>5.4346874687999702E-2</v>
      </c>
      <c r="F210" s="1382"/>
      <c r="G210" s="1655"/>
      <c r="H210" s="1644"/>
      <c r="I210" s="1644"/>
      <c r="J210" s="1506"/>
      <c r="K210" s="1506"/>
      <c r="L210" s="1240"/>
      <c r="M210" s="1651"/>
      <c r="N210" s="1642"/>
      <c r="O210" s="1063"/>
      <c r="P210" s="1064"/>
      <c r="Q210" s="1064"/>
      <c r="R210" s="1063"/>
    </row>
    <row r="211" spans="2:18" s="105" customFormat="1" ht="12.75" hidden="1" customHeight="1" x14ac:dyDescent="0.25">
      <c r="B211" s="1643"/>
      <c r="C211" s="2527"/>
      <c r="D211" s="898"/>
      <c r="E211" s="3014"/>
      <c r="F211" s="1239"/>
      <c r="G211" s="1569"/>
      <c r="H211" s="1569"/>
      <c r="I211" s="1569"/>
      <c r="J211" s="1239"/>
      <c r="K211" s="1569"/>
      <c r="L211" s="1239"/>
      <c r="M211" s="1648"/>
      <c r="N211" s="1642"/>
      <c r="O211" s="1063"/>
      <c r="P211" s="1064"/>
      <c r="Q211" s="1064"/>
      <c r="R211" s="1063"/>
    </row>
    <row r="212" spans="2:18" s="105" customFormat="1" ht="23.25" hidden="1" customHeight="1" x14ac:dyDescent="0.25">
      <c r="B212" s="1643"/>
      <c r="C212" s="2525" t="s">
        <v>700</v>
      </c>
      <c r="D212" s="899">
        <f>SUM(D213:D215)</f>
        <v>248750000</v>
      </c>
      <c r="E212" s="2997">
        <f t="shared" si="4"/>
        <v>0.19285000112182493</v>
      </c>
      <c r="F212" s="1380"/>
      <c r="G212" s="1569"/>
      <c r="H212" s="1569"/>
      <c r="I212" s="1569"/>
      <c r="J212" s="1381"/>
      <c r="K212" s="1569"/>
      <c r="L212" s="1239"/>
      <c r="M212" s="1648"/>
      <c r="N212" s="1642"/>
      <c r="O212" s="1063"/>
      <c r="P212" s="1064"/>
      <c r="Q212" s="1064"/>
      <c r="R212" s="1063"/>
    </row>
    <row r="213" spans="2:18" s="105" customFormat="1" ht="20.25" hidden="1" customHeight="1" x14ac:dyDescent="0.25">
      <c r="B213" s="1643"/>
      <c r="C213" s="2526" t="s">
        <v>6730</v>
      </c>
      <c r="D213" s="2769">
        <v>69750000</v>
      </c>
      <c r="E213" s="3014">
        <f t="shared" si="4"/>
        <v>5.4075527952752923E-2</v>
      </c>
      <c r="F213" s="1380"/>
      <c r="G213" s="1597"/>
      <c r="H213" s="1569"/>
      <c r="I213" s="1569"/>
      <c r="J213" s="1381"/>
      <c r="K213" s="1569"/>
      <c r="L213" s="1239"/>
      <c r="M213" s="1648"/>
      <c r="N213" s="1642"/>
      <c r="O213" s="1063"/>
      <c r="P213" s="1064"/>
      <c r="Q213" s="1064"/>
      <c r="R213" s="1063"/>
    </row>
    <row r="214" spans="2:18" s="105" customFormat="1" ht="21" hidden="1" customHeight="1" x14ac:dyDescent="0.25">
      <c r="B214" s="1643"/>
      <c r="C214" s="2524" t="s">
        <v>6731</v>
      </c>
      <c r="D214" s="896">
        <v>60950000</v>
      </c>
      <c r="E214" s="3014">
        <f t="shared" si="4"/>
        <v>4.7253095752262234E-2</v>
      </c>
      <c r="F214" s="1384"/>
      <c r="G214" s="1649"/>
      <c r="H214" s="1569"/>
      <c r="I214" s="1569"/>
      <c r="J214" s="1381"/>
      <c r="K214" s="1569"/>
      <c r="L214" s="1293"/>
      <c r="M214" s="1648"/>
      <c r="N214" s="1642"/>
      <c r="O214" s="1063"/>
      <c r="P214" s="1064"/>
      <c r="Q214" s="1064"/>
      <c r="R214" s="1063"/>
    </row>
    <row r="215" spans="2:18" s="105" customFormat="1" ht="22.5" hidden="1" customHeight="1" x14ac:dyDescent="0.25">
      <c r="B215" s="1643"/>
      <c r="C215" s="2526" t="s">
        <v>6732</v>
      </c>
      <c r="D215" s="2769">
        <v>118050000</v>
      </c>
      <c r="E215" s="3014">
        <f t="shared" si="4"/>
        <v>9.1521377416809782E-2</v>
      </c>
      <c r="F215" s="1506"/>
      <c r="G215" s="1644"/>
      <c r="H215" s="1644"/>
      <c r="I215" s="1644"/>
      <c r="J215" s="1382"/>
      <c r="K215" s="1382"/>
      <c r="L215" s="1240"/>
      <c r="M215" s="1651"/>
      <c r="N215" s="1642"/>
      <c r="O215" s="1063"/>
      <c r="P215" s="1064"/>
      <c r="Q215" s="1064"/>
      <c r="R215" s="1063"/>
    </row>
    <row r="216" spans="2:18" s="105" customFormat="1" ht="13.5" hidden="1" customHeight="1" x14ac:dyDescent="0.25">
      <c r="B216" s="1643"/>
      <c r="C216" s="2527"/>
      <c r="D216" s="898"/>
      <c r="E216" s="3014"/>
      <c r="F216" s="1239"/>
      <c r="G216" s="1569"/>
      <c r="H216" s="1569"/>
      <c r="I216" s="1569"/>
      <c r="J216" s="1256"/>
      <c r="K216" s="1569"/>
      <c r="L216" s="1239"/>
      <c r="M216" s="1648"/>
      <c r="N216" s="1642"/>
      <c r="O216" s="1063"/>
      <c r="P216" s="1064"/>
      <c r="Q216" s="1064"/>
      <c r="R216" s="1063"/>
    </row>
    <row r="217" spans="2:18" s="105" customFormat="1" ht="22.5" hidden="1" customHeight="1" x14ac:dyDescent="0.25">
      <c r="B217" s="1643"/>
      <c r="C217" s="2525" t="s">
        <v>4168</v>
      </c>
      <c r="D217" s="899">
        <f>D218+D219</f>
        <v>211950000</v>
      </c>
      <c r="E217" s="2997">
        <f t="shared" si="4"/>
        <v>0.16431983010159115</v>
      </c>
      <c r="F217" s="1504"/>
      <c r="G217" s="1656"/>
      <c r="H217" s="1569"/>
      <c r="I217" s="1569"/>
      <c r="J217" s="1381"/>
      <c r="K217" s="1569"/>
      <c r="L217" s="1293"/>
      <c r="M217" s="1648"/>
      <c r="N217" s="1642"/>
      <c r="O217" s="1063"/>
      <c r="P217" s="1064"/>
      <c r="Q217" s="1064"/>
      <c r="R217" s="1063"/>
    </row>
    <row r="218" spans="2:18" s="105" customFormat="1" ht="17.25" hidden="1" customHeight="1" x14ac:dyDescent="0.25">
      <c r="B218" s="1643"/>
      <c r="C218" s="2524" t="s">
        <v>6733</v>
      </c>
      <c r="D218" s="896">
        <v>144650000</v>
      </c>
      <c r="E218" s="3014">
        <f t="shared" si="4"/>
        <v>0.11214372929556574</v>
      </c>
      <c r="F218" s="1381"/>
      <c r="G218" s="1652"/>
      <c r="H218" s="1644"/>
      <c r="I218" s="1644"/>
      <c r="J218" s="1382"/>
      <c r="K218" s="1382"/>
      <c r="L218" s="1240"/>
      <c r="M218" s="1651"/>
      <c r="N218" s="1642"/>
      <c r="O218" s="1063"/>
      <c r="P218" s="1064"/>
      <c r="Q218" s="1064"/>
      <c r="R218" s="1063"/>
    </row>
    <row r="219" spans="2:18" s="105" customFormat="1" ht="18.75" hidden="1" customHeight="1" x14ac:dyDescent="0.25">
      <c r="B219" s="1643"/>
      <c r="C219" s="2526" t="s">
        <v>6734</v>
      </c>
      <c r="D219" s="2769">
        <v>67300000</v>
      </c>
      <c r="E219" s="3014">
        <f t="shared" si="4"/>
        <v>5.2176100806025402E-2</v>
      </c>
      <c r="F219" s="1239"/>
      <c r="G219" s="1597"/>
      <c r="H219" s="1569"/>
      <c r="I219" s="1569"/>
      <c r="J219" s="1239"/>
      <c r="K219" s="1569"/>
      <c r="L219" s="1239"/>
      <c r="M219" s="1648"/>
      <c r="N219" s="1642"/>
      <c r="O219" s="1063"/>
      <c r="P219" s="1064"/>
      <c r="Q219" s="1064"/>
      <c r="R219" s="1063"/>
    </row>
    <row r="220" spans="2:18" s="105" customFormat="1" ht="15" hidden="1" customHeight="1" x14ac:dyDescent="0.25">
      <c r="B220" s="1643"/>
      <c r="C220" s="2527"/>
      <c r="D220" s="898"/>
      <c r="E220" s="3014"/>
      <c r="F220" s="1239"/>
      <c r="G220" s="1569"/>
      <c r="H220" s="1569"/>
      <c r="I220" s="1569"/>
      <c r="J220" s="1657"/>
      <c r="K220" s="1569"/>
      <c r="L220" s="1239"/>
      <c r="M220" s="1648"/>
      <c r="N220" s="1642"/>
      <c r="O220" s="1063"/>
      <c r="P220" s="1064"/>
      <c r="Q220" s="1064"/>
      <c r="R220" s="1063"/>
    </row>
    <row r="221" spans="2:18" s="105" customFormat="1" ht="19.5" hidden="1" customHeight="1" x14ac:dyDescent="0.25">
      <c r="B221" s="1643"/>
      <c r="C221" s="2521" t="s">
        <v>4169</v>
      </c>
      <c r="D221" s="2751">
        <f>SUM(D222:D226)</f>
        <v>611452128</v>
      </c>
      <c r="E221" s="2997">
        <f t="shared" si="4"/>
        <v>0.4740443962642904</v>
      </c>
      <c r="F221" s="1504"/>
      <c r="G221" s="1656"/>
      <c r="H221" s="1569"/>
      <c r="I221" s="1569"/>
      <c r="J221" s="1381"/>
      <c r="K221" s="1569"/>
      <c r="L221" s="1293"/>
      <c r="M221" s="1648"/>
      <c r="N221" s="1642"/>
      <c r="O221" s="1063"/>
      <c r="P221" s="1064"/>
      <c r="Q221" s="1064"/>
      <c r="R221" s="1063"/>
    </row>
    <row r="222" spans="2:18" s="105" customFormat="1" ht="21.75" hidden="1" customHeight="1" x14ac:dyDescent="0.25">
      <c r="B222" s="1643"/>
      <c r="C222" s="2524" t="s">
        <v>6735</v>
      </c>
      <c r="D222" s="896">
        <v>65000000</v>
      </c>
      <c r="E222" s="3014">
        <f t="shared" si="4"/>
        <v>5.0392965117260789E-2</v>
      </c>
      <c r="F222" s="1381"/>
      <c r="G222" s="1652"/>
      <c r="H222" s="1644"/>
      <c r="I222" s="1644"/>
      <c r="J222" s="1506"/>
      <c r="K222" s="1506"/>
      <c r="L222" s="1240"/>
      <c r="M222" s="1651"/>
      <c r="N222" s="1642"/>
      <c r="O222" s="1063"/>
      <c r="P222" s="1064"/>
      <c r="Q222" s="1064"/>
      <c r="R222" s="1063"/>
    </row>
    <row r="223" spans="2:18" s="105" customFormat="1" ht="18" hidden="1" customHeight="1" x14ac:dyDescent="0.25">
      <c r="B223" s="1643"/>
      <c r="C223" s="2524" t="s">
        <v>6736</v>
      </c>
      <c r="D223" s="896">
        <v>170692128</v>
      </c>
      <c r="E223" s="3014">
        <f t="shared" si="4"/>
        <v>0.13233357618607713</v>
      </c>
      <c r="F223" s="1239"/>
      <c r="G223" s="1597"/>
      <c r="H223" s="1569"/>
      <c r="I223" s="1569"/>
      <c r="J223" s="1380"/>
      <c r="K223" s="1569"/>
      <c r="L223" s="1239"/>
      <c r="M223" s="1648"/>
      <c r="N223" s="1642"/>
      <c r="O223" s="1063"/>
      <c r="P223" s="1064"/>
      <c r="Q223" s="1064"/>
      <c r="R223" s="1063"/>
    </row>
    <row r="224" spans="2:18" s="105" customFormat="1" ht="16.5" hidden="1" customHeight="1" x14ac:dyDescent="0.25">
      <c r="B224" s="1643"/>
      <c r="C224" s="2524" t="s">
        <v>6737</v>
      </c>
      <c r="D224" s="896">
        <v>113200000</v>
      </c>
      <c r="E224" s="3014">
        <f t="shared" si="4"/>
        <v>8.7761286942675709E-2</v>
      </c>
      <c r="F224" s="1239"/>
      <c r="G224" s="1569"/>
      <c r="H224" s="1569"/>
      <c r="I224" s="1569"/>
      <c r="J224" s="1380"/>
      <c r="K224" s="1569"/>
      <c r="L224" s="1239"/>
      <c r="M224" s="1648"/>
      <c r="N224" s="1642"/>
      <c r="O224" s="1063"/>
      <c r="P224" s="1064"/>
      <c r="Q224" s="1064"/>
      <c r="R224" s="1063"/>
    </row>
    <row r="225" spans="2:18" s="105" customFormat="1" ht="21.75" hidden="1" customHeight="1" x14ac:dyDescent="0.25">
      <c r="B225" s="1643"/>
      <c r="C225" s="2524" t="s">
        <v>6738</v>
      </c>
      <c r="D225" s="896">
        <v>83200000</v>
      </c>
      <c r="E225" s="3014">
        <f t="shared" si="4"/>
        <v>6.4502995350093795E-2</v>
      </c>
      <c r="F225" s="1239"/>
      <c r="G225" s="1597"/>
      <c r="H225" s="1569"/>
      <c r="I225" s="1569"/>
      <c r="J225" s="1383"/>
      <c r="K225" s="1569"/>
      <c r="L225" s="1239"/>
      <c r="M225" s="1648"/>
      <c r="N225" s="1642"/>
      <c r="O225" s="1063"/>
      <c r="P225" s="1064"/>
      <c r="Q225" s="1064"/>
      <c r="R225" s="1063"/>
    </row>
    <row r="226" spans="2:18" s="105" customFormat="1" ht="24.75" hidden="1" customHeight="1" x14ac:dyDescent="0.25">
      <c r="B226" s="1643"/>
      <c r="C226" s="2524" t="s">
        <v>6739</v>
      </c>
      <c r="D226" s="896">
        <v>179360000</v>
      </c>
      <c r="E226" s="3014">
        <f t="shared" si="4"/>
        <v>0.139053572668183</v>
      </c>
      <c r="F226" s="1239"/>
      <c r="G226" s="1569"/>
      <c r="H226" s="1569"/>
      <c r="I226" s="1569"/>
      <c r="J226" s="1657"/>
      <c r="K226" s="1657"/>
      <c r="L226" s="1239"/>
      <c r="M226" s="1648"/>
      <c r="N226" s="1642"/>
      <c r="O226" s="1063"/>
      <c r="P226" s="1064"/>
      <c r="Q226" s="1064"/>
      <c r="R226" s="1063"/>
    </row>
    <row r="227" spans="2:18" s="105" customFormat="1" ht="11.25" hidden="1" customHeight="1" x14ac:dyDescent="0.25">
      <c r="B227" s="1643"/>
      <c r="C227" s="2524"/>
      <c r="D227" s="896"/>
      <c r="E227" s="3014"/>
      <c r="F227" s="1504"/>
      <c r="G227" s="1569"/>
      <c r="H227" s="1569"/>
      <c r="I227" s="1569"/>
      <c r="J227" s="1381"/>
      <c r="K227" s="1569"/>
      <c r="L227" s="1293"/>
      <c r="M227" s="1648"/>
      <c r="N227" s="1642"/>
      <c r="O227" s="1063"/>
      <c r="P227" s="1064"/>
      <c r="Q227" s="1064"/>
      <c r="R227" s="1063"/>
    </row>
    <row r="228" spans="2:18" s="105" customFormat="1" ht="24.75" hidden="1" customHeight="1" x14ac:dyDescent="0.25">
      <c r="B228" s="1643"/>
      <c r="C228" s="2525" t="s">
        <v>6740</v>
      </c>
      <c r="D228" s="899">
        <f>SUM(D229:D231)</f>
        <v>608376768</v>
      </c>
      <c r="E228" s="2997">
        <f t="shared" si="4"/>
        <v>0.47166014227655167</v>
      </c>
      <c r="F228" s="1382"/>
      <c r="G228" s="1644"/>
      <c r="H228" s="1644"/>
      <c r="I228" s="1644"/>
      <c r="J228" s="1382"/>
      <c r="K228" s="1644"/>
      <c r="L228" s="1248"/>
      <c r="M228" s="1651"/>
      <c r="N228" s="1642"/>
      <c r="O228" s="1063"/>
      <c r="P228" s="1064"/>
      <c r="Q228" s="1064"/>
      <c r="R228" s="1063"/>
    </row>
    <row r="229" spans="2:18" s="105" customFormat="1" ht="19.5" hidden="1" customHeight="1" x14ac:dyDescent="0.25">
      <c r="B229" s="1643"/>
      <c r="C229" s="2524" t="s">
        <v>6741</v>
      </c>
      <c r="D229" s="896">
        <v>124000000</v>
      </c>
      <c r="E229" s="3014">
        <f t="shared" si="4"/>
        <v>9.6134271916005196E-2</v>
      </c>
      <c r="F229" s="1239"/>
      <c r="G229" s="1569"/>
      <c r="H229" s="1569"/>
      <c r="I229" s="1569"/>
      <c r="J229" s="1380"/>
      <c r="K229" s="1569"/>
      <c r="L229" s="1249"/>
      <c r="M229" s="1648"/>
      <c r="N229" s="1642"/>
      <c r="O229" s="1063"/>
      <c r="P229" s="1064"/>
      <c r="Q229" s="1064"/>
      <c r="R229" s="1063"/>
    </row>
    <row r="230" spans="2:18" s="105" customFormat="1" ht="22.5" hidden="1" customHeight="1" x14ac:dyDescent="0.25">
      <c r="B230" s="1643"/>
      <c r="C230" s="2524" t="s">
        <v>6742</v>
      </c>
      <c r="D230" s="896">
        <v>317941128</v>
      </c>
      <c r="E230" s="3014">
        <f t="shared" si="4"/>
        <v>0.24649224880994688</v>
      </c>
      <c r="F230" s="1239"/>
      <c r="G230" s="1569"/>
      <c r="H230" s="1569"/>
      <c r="I230" s="1569"/>
      <c r="J230" s="1380"/>
      <c r="K230" s="1569"/>
      <c r="L230" s="1249"/>
      <c r="M230" s="1648"/>
      <c r="N230" s="1642"/>
      <c r="O230" s="1063"/>
      <c r="P230" s="1064"/>
      <c r="Q230" s="1064"/>
      <c r="R230" s="1063"/>
    </row>
    <row r="231" spans="2:18" s="105" customFormat="1" ht="29.25" hidden="1" customHeight="1" x14ac:dyDescent="0.25">
      <c r="B231" s="1643"/>
      <c r="C231" s="2524" t="s">
        <v>6743</v>
      </c>
      <c r="D231" s="896">
        <v>166435640</v>
      </c>
      <c r="E231" s="3014">
        <f t="shared" si="4"/>
        <v>0.12903362155059961</v>
      </c>
      <c r="F231" s="1239"/>
      <c r="G231" s="1569"/>
      <c r="H231" s="1569"/>
      <c r="I231" s="1569"/>
      <c r="J231" s="1380"/>
      <c r="K231" s="1569"/>
      <c r="L231" s="1249"/>
      <c r="M231" s="1648"/>
      <c r="N231" s="1642"/>
      <c r="O231" s="1063"/>
      <c r="P231" s="1064"/>
      <c r="Q231" s="1064"/>
      <c r="R231" s="1063"/>
    </row>
    <row r="232" spans="2:18" s="105" customFormat="1" ht="16.5" hidden="1" customHeight="1" x14ac:dyDescent="0.25">
      <c r="B232" s="1643"/>
      <c r="C232" s="2527"/>
      <c r="D232" s="898"/>
      <c r="E232" s="3014"/>
      <c r="F232" s="1239"/>
      <c r="G232" s="1569"/>
      <c r="H232" s="1569"/>
      <c r="I232" s="1569"/>
      <c r="J232" s="1380"/>
      <c r="K232" s="1569"/>
      <c r="L232" s="1249"/>
      <c r="M232" s="1648"/>
      <c r="N232" s="1642"/>
      <c r="O232" s="1063"/>
      <c r="P232" s="1064"/>
      <c r="Q232" s="1064"/>
      <c r="R232" s="1063"/>
    </row>
    <row r="233" spans="2:18" s="105" customFormat="1" ht="18.75" hidden="1" customHeight="1" x14ac:dyDescent="0.25">
      <c r="B233" s="1643"/>
      <c r="C233" s="2525" t="s">
        <v>6746</v>
      </c>
      <c r="D233" s="899">
        <f>SUM(D234:D234)</f>
        <v>95800000</v>
      </c>
      <c r="E233" s="2997">
        <f t="shared" si="4"/>
        <v>7.4271477818978207E-2</v>
      </c>
      <c r="F233" s="1239"/>
      <c r="G233" s="1569"/>
      <c r="H233" s="1569"/>
      <c r="I233" s="1569"/>
      <c r="J233" s="1380"/>
      <c r="K233" s="1569"/>
      <c r="L233" s="1249"/>
      <c r="M233" s="1648"/>
      <c r="N233" s="1642"/>
      <c r="O233" s="1063"/>
      <c r="P233" s="1064"/>
      <c r="Q233" s="1064"/>
      <c r="R233" s="1063"/>
    </row>
    <row r="234" spans="2:18" s="105" customFormat="1" ht="18" hidden="1" customHeight="1" x14ac:dyDescent="0.25">
      <c r="B234" s="1643"/>
      <c r="C234" s="2524" t="s">
        <v>6744</v>
      </c>
      <c r="D234" s="896">
        <v>95800000</v>
      </c>
      <c r="E234" s="3014">
        <f t="shared" si="4"/>
        <v>7.4271477818978207E-2</v>
      </c>
      <c r="F234" s="1507"/>
      <c r="G234" s="1649"/>
      <c r="H234" s="1569"/>
      <c r="I234" s="1569"/>
      <c r="J234" s="1381"/>
      <c r="K234" s="1569"/>
      <c r="L234" s="1293"/>
      <c r="M234" s="1648"/>
      <c r="N234" s="1642"/>
      <c r="O234" s="1063"/>
      <c r="P234" s="1064"/>
      <c r="Q234" s="1064"/>
      <c r="R234" s="1063"/>
    </row>
    <row r="235" spans="2:18" s="105" customFormat="1" ht="13.5" hidden="1" customHeight="1" x14ac:dyDescent="0.25">
      <c r="B235" s="1643"/>
      <c r="C235" s="2473"/>
      <c r="D235" s="898"/>
      <c r="E235" s="3014"/>
      <c r="F235" s="1382"/>
      <c r="G235" s="1652"/>
      <c r="H235" s="1644"/>
      <c r="I235" s="1644"/>
      <c r="J235" s="1382"/>
      <c r="K235" s="1382"/>
      <c r="L235" s="1240"/>
      <c r="M235" s="1651"/>
      <c r="N235" s="1642"/>
      <c r="O235" s="1063"/>
      <c r="P235" s="1064"/>
      <c r="Q235" s="1064"/>
      <c r="R235" s="1063"/>
    </row>
    <row r="236" spans="2:18" s="105" customFormat="1" ht="32.25" hidden="1" customHeight="1" x14ac:dyDescent="0.25">
      <c r="B236" s="1643"/>
      <c r="C236" s="2525" t="s">
        <v>6745</v>
      </c>
      <c r="D236" s="899">
        <f>D237+D238</f>
        <v>3052747360</v>
      </c>
      <c r="E236" s="2997">
        <f t="shared" si="4"/>
        <v>2.3667229419121529</v>
      </c>
      <c r="F236" s="1239"/>
      <c r="G236" s="1597"/>
      <c r="H236" s="1569"/>
      <c r="I236" s="1569"/>
      <c r="J236" s="1380"/>
      <c r="K236" s="1380"/>
      <c r="L236" s="1239"/>
      <c r="M236" s="1648"/>
      <c r="N236" s="1642"/>
      <c r="O236" s="1063"/>
      <c r="P236" s="1064"/>
      <c r="Q236" s="1064"/>
      <c r="R236" s="1063"/>
    </row>
    <row r="237" spans="2:18" s="105" customFormat="1" ht="18.75" hidden="1" customHeight="1" x14ac:dyDescent="0.25">
      <c r="B237" s="1643"/>
      <c r="C237" s="2524" t="s">
        <v>6747</v>
      </c>
      <c r="D237" s="896">
        <v>47400000</v>
      </c>
      <c r="E237" s="3014">
        <f t="shared" si="4"/>
        <v>3.6748100716279403E-2</v>
      </c>
      <c r="F237" s="1239"/>
      <c r="G237" s="1569"/>
      <c r="H237" s="1569"/>
      <c r="I237" s="1569"/>
      <c r="J237" s="1657"/>
      <c r="K237" s="1569"/>
      <c r="L237" s="1239"/>
      <c r="M237" s="1648"/>
      <c r="N237" s="1642"/>
      <c r="O237" s="1063"/>
      <c r="P237" s="1064"/>
      <c r="Q237" s="1064"/>
      <c r="R237" s="1063"/>
    </row>
    <row r="238" spans="2:18" s="105" customFormat="1" ht="21.75" hidden="1" customHeight="1" x14ac:dyDescent="0.25">
      <c r="B238" s="1643"/>
      <c r="C238" s="2526" t="s">
        <v>6748</v>
      </c>
      <c r="D238" s="2769">
        <v>3005347360</v>
      </c>
      <c r="E238" s="3014">
        <f t="shared" si="4"/>
        <v>2.3299748411958738</v>
      </c>
      <c r="F238" s="1504"/>
      <c r="G238" s="1649"/>
      <c r="H238" s="1569"/>
      <c r="I238" s="1569"/>
      <c r="J238" s="1381"/>
      <c r="K238" s="1569"/>
      <c r="L238" s="1293"/>
      <c r="M238" s="1648"/>
      <c r="N238" s="1642"/>
      <c r="O238" s="1063"/>
      <c r="P238" s="1064"/>
      <c r="Q238" s="1064"/>
      <c r="R238" s="1063"/>
    </row>
    <row r="239" spans="2:18" s="105" customFormat="1" ht="13.5" hidden="1" customHeight="1" x14ac:dyDescent="0.25">
      <c r="B239" s="1643"/>
      <c r="C239" s="2527"/>
      <c r="D239" s="898"/>
      <c r="E239" s="3014"/>
      <c r="F239" s="1382"/>
      <c r="G239" s="1644"/>
      <c r="H239" s="1644"/>
      <c r="I239" s="1644"/>
      <c r="J239" s="1311"/>
      <c r="K239" s="1311"/>
      <c r="L239" s="1240"/>
      <c r="M239" s="1651"/>
      <c r="N239" s="1642"/>
      <c r="O239" s="1063"/>
      <c r="P239" s="1064"/>
      <c r="Q239" s="1064"/>
      <c r="R239" s="1063"/>
    </row>
    <row r="240" spans="2:18" s="105" customFormat="1" ht="21.75" hidden="1" customHeight="1" x14ac:dyDescent="0.25">
      <c r="B240" s="1643"/>
      <c r="C240" s="2521" t="s">
        <v>6749</v>
      </c>
      <c r="D240" s="2751">
        <f>D241</f>
        <v>110100000</v>
      </c>
      <c r="E240" s="2997">
        <f t="shared" si="4"/>
        <v>8.5357930144775579E-2</v>
      </c>
      <c r="F240" s="1239"/>
      <c r="G240" s="1569"/>
      <c r="H240" s="1569"/>
      <c r="I240" s="1569"/>
      <c r="J240" s="1380"/>
      <c r="K240" s="1569"/>
      <c r="L240" s="1239"/>
      <c r="M240" s="1648"/>
      <c r="N240" s="1642"/>
      <c r="O240" s="1063"/>
      <c r="P240" s="1064"/>
      <c r="Q240" s="1064"/>
      <c r="R240" s="1063"/>
    </row>
    <row r="241" spans="2:18" s="105" customFormat="1" ht="19.5" hidden="1" customHeight="1" x14ac:dyDescent="0.25">
      <c r="B241" s="1643"/>
      <c r="C241" s="2524" t="s">
        <v>6750</v>
      </c>
      <c r="D241" s="896">
        <v>110100000</v>
      </c>
      <c r="E241" s="3014">
        <f t="shared" si="4"/>
        <v>8.5357930144775579E-2</v>
      </c>
      <c r="F241" s="1239"/>
      <c r="G241" s="1569"/>
      <c r="H241" s="1569"/>
      <c r="I241" s="1569"/>
      <c r="J241" s="1380"/>
      <c r="K241" s="1569"/>
      <c r="L241" s="1239"/>
      <c r="M241" s="1648"/>
      <c r="N241" s="1642"/>
      <c r="O241" s="1063"/>
      <c r="P241" s="1064"/>
      <c r="Q241" s="1064"/>
      <c r="R241" s="1063"/>
    </row>
    <row r="242" spans="2:18" s="105" customFormat="1" ht="14.25" hidden="1" customHeight="1" x14ac:dyDescent="0.25">
      <c r="B242" s="1643"/>
      <c r="C242" s="2527"/>
      <c r="D242" s="898"/>
      <c r="E242" s="3014"/>
      <c r="F242" s="1239"/>
      <c r="G242" s="1569"/>
      <c r="H242" s="1569"/>
      <c r="I242" s="1569"/>
      <c r="J242" s="1380"/>
      <c r="K242" s="1569"/>
      <c r="L242" s="1239"/>
      <c r="M242" s="1648"/>
      <c r="N242" s="1642"/>
      <c r="O242" s="1063"/>
      <c r="P242" s="1064"/>
      <c r="Q242" s="1064"/>
      <c r="R242" s="1063"/>
    </row>
    <row r="243" spans="2:18" s="105" customFormat="1" ht="21" hidden="1" customHeight="1" x14ac:dyDescent="0.25">
      <c r="B243" s="1643"/>
      <c r="C243" s="4184" t="s">
        <v>6751</v>
      </c>
      <c r="D243" s="4189">
        <f>D244</f>
        <v>181617500</v>
      </c>
      <c r="E243" s="2997">
        <f t="shared" si="4"/>
        <v>0.14080375911052478</v>
      </c>
      <c r="F243" s="1504"/>
      <c r="G243" s="1569"/>
      <c r="H243" s="1569"/>
      <c r="I243" s="1569"/>
      <c r="J243" s="1381"/>
      <c r="K243" s="1569"/>
      <c r="L243" s="1293"/>
      <c r="M243" s="1648"/>
      <c r="N243" s="1642"/>
      <c r="O243" s="1063"/>
      <c r="P243" s="1064"/>
      <c r="Q243" s="1064"/>
      <c r="R243" s="1063"/>
    </row>
    <row r="244" spans="2:18" s="105" customFormat="1" ht="21" hidden="1" customHeight="1" x14ac:dyDescent="0.25">
      <c r="B244" s="1643"/>
      <c r="C244" s="3672" t="s">
        <v>6752</v>
      </c>
      <c r="D244" s="4190">
        <v>181617500</v>
      </c>
      <c r="E244" s="3014">
        <f t="shared" si="4"/>
        <v>0.14080375911052478</v>
      </c>
      <c r="F244" s="1382"/>
      <c r="G244" s="1644"/>
      <c r="H244" s="1644"/>
      <c r="I244" s="1644"/>
      <c r="J244" s="1382"/>
      <c r="K244" s="1644"/>
      <c r="L244" s="1248"/>
      <c r="M244" s="1651"/>
      <c r="N244" s="1642"/>
      <c r="O244" s="1063"/>
      <c r="P244" s="1064"/>
      <c r="Q244" s="1064"/>
      <c r="R244" s="1063"/>
    </row>
    <row r="245" spans="2:18" s="13" customFormat="1" ht="12" hidden="1" customHeight="1" x14ac:dyDescent="0.25">
      <c r="B245" s="1658"/>
      <c r="C245" s="2506"/>
      <c r="D245" s="3773"/>
      <c r="E245" s="3022"/>
      <c r="F245" s="1385"/>
      <c r="G245" s="1656"/>
      <c r="H245" s="1317"/>
      <c r="I245" s="1659"/>
      <c r="J245" s="1317"/>
      <c r="K245" s="1659"/>
      <c r="L245" s="1317"/>
      <c r="M245" s="1660"/>
      <c r="N245" s="1638"/>
      <c r="O245" s="1060"/>
      <c r="P245" s="1061"/>
      <c r="Q245" s="1061"/>
      <c r="R245" s="1060"/>
    </row>
    <row r="246" spans="2:18" s="105" customFormat="1" ht="19.5" hidden="1" customHeight="1" x14ac:dyDescent="0.25">
      <c r="B246" s="1639"/>
      <c r="C246" s="2497" t="s">
        <v>730</v>
      </c>
      <c r="D246" s="2733">
        <f>D247</f>
        <v>9195995880</v>
      </c>
      <c r="E246" s="2996">
        <f>D246/128986258000*100</f>
        <v>7.1294384553740597</v>
      </c>
      <c r="F246" s="1362"/>
      <c r="G246" s="1640"/>
      <c r="H246" s="1640"/>
      <c r="I246" s="1640"/>
      <c r="J246" s="1378"/>
      <c r="K246" s="1378"/>
      <c r="L246" s="1238"/>
      <c r="M246" s="1641"/>
      <c r="N246" s="1642"/>
      <c r="O246" s="1063"/>
      <c r="P246" s="1064"/>
      <c r="Q246" s="1064"/>
      <c r="R246" s="1063"/>
    </row>
    <row r="247" spans="2:18" s="105" customFormat="1" ht="21.75" hidden="1" customHeight="1" x14ac:dyDescent="0.25">
      <c r="B247" s="1661"/>
      <c r="C247" s="2609" t="s">
        <v>4170</v>
      </c>
      <c r="D247" s="2676">
        <f>D248</f>
        <v>9195995880</v>
      </c>
      <c r="E247" s="2997">
        <f>D247/128986258000*100</f>
        <v>7.1294384553740597</v>
      </c>
      <c r="F247" s="1324"/>
      <c r="G247" s="1579"/>
      <c r="H247" s="1579"/>
      <c r="I247" s="1662"/>
      <c r="J247" s="1324"/>
      <c r="K247" s="1324"/>
      <c r="L247" s="1268"/>
      <c r="M247" s="1663"/>
      <c r="N247" s="1642"/>
      <c r="O247" s="1063"/>
      <c r="P247" s="1064"/>
      <c r="Q247" s="1064"/>
      <c r="R247" s="1063"/>
    </row>
    <row r="248" spans="2:18" s="105" customFormat="1" ht="18" hidden="1" customHeight="1" x14ac:dyDescent="0.25">
      <c r="B248" s="1643"/>
      <c r="C248" s="2600" t="s">
        <v>4171</v>
      </c>
      <c r="D248" s="2698">
        <v>9195995880</v>
      </c>
      <c r="E248" s="3014">
        <f>D248/128986258000*100</f>
        <v>7.1294384553740597</v>
      </c>
      <c r="F248" s="1380"/>
      <c r="G248" s="1569"/>
      <c r="H248" s="1569"/>
      <c r="I248" s="1569"/>
      <c r="J248" s="1664"/>
      <c r="K248" s="1569"/>
      <c r="L248" s="1239"/>
      <c r="M248" s="1648"/>
      <c r="N248" s="1642"/>
      <c r="O248" s="1063"/>
      <c r="P248" s="1064"/>
      <c r="Q248" s="1064"/>
      <c r="R248" s="1063"/>
    </row>
    <row r="249" spans="2:18" s="121" customFormat="1" ht="12" hidden="1" customHeight="1" x14ac:dyDescent="0.25">
      <c r="B249" s="1665"/>
      <c r="C249" s="2510"/>
      <c r="D249" s="3778"/>
      <c r="E249" s="3120"/>
      <c r="F249" s="1386"/>
      <c r="G249" s="1656"/>
      <c r="H249" s="1317"/>
      <c r="I249" s="1317"/>
      <c r="J249" s="1385"/>
      <c r="K249" s="1659"/>
      <c r="L249" s="1317"/>
      <c r="M249" s="1669"/>
      <c r="N249" s="1666"/>
      <c r="O249" s="1066"/>
      <c r="P249" s="1070"/>
      <c r="Q249" s="1070"/>
      <c r="R249" s="1066"/>
    </row>
    <row r="250" spans="2:18" s="121" customFormat="1" ht="17.25" hidden="1" customHeight="1" x14ac:dyDescent="0.25">
      <c r="B250" s="1670"/>
      <c r="C250" s="2497" t="s">
        <v>6991</v>
      </c>
      <c r="D250" s="2669">
        <f>D251</f>
        <v>7553952000</v>
      </c>
      <c r="E250" s="2996">
        <f>D250/128986258000*100</f>
        <v>5.8564006097455747</v>
      </c>
      <c r="F250" s="1378"/>
      <c r="G250" s="1671"/>
      <c r="H250" s="1312"/>
      <c r="I250" s="1312"/>
      <c r="J250" s="1671"/>
      <c r="K250" s="1671"/>
      <c r="L250" s="1312"/>
      <c r="M250" s="1672"/>
      <c r="N250" s="1666"/>
      <c r="O250" s="1066"/>
      <c r="P250" s="1070"/>
      <c r="Q250" s="1070"/>
      <c r="R250" s="1066"/>
    </row>
    <row r="251" spans="2:18" s="123" customFormat="1" ht="20.25" hidden="1" customHeight="1" x14ac:dyDescent="0.25">
      <c r="B251" s="1668"/>
      <c r="C251" s="2478" t="s">
        <v>6959</v>
      </c>
      <c r="D251" s="3779">
        <f>SUM(D252)</f>
        <v>7553952000</v>
      </c>
      <c r="E251" s="2997">
        <f>D251/128986258000*100</f>
        <v>5.8564006097455747</v>
      </c>
      <c r="F251" s="1387"/>
      <c r="G251" s="4272"/>
      <c r="H251" s="4273"/>
      <c r="I251" s="4273"/>
      <c r="J251" s="1371"/>
      <c r="K251" s="1371"/>
      <c r="L251" s="1290"/>
      <c r="M251" s="1663"/>
      <c r="N251" s="1667"/>
      <c r="O251" s="1072"/>
      <c r="P251" s="1073"/>
      <c r="Q251" s="1073"/>
      <c r="R251" s="1072"/>
    </row>
    <row r="252" spans="2:18" s="123" customFormat="1" ht="19.5" hidden="1" customHeight="1" x14ac:dyDescent="0.25">
      <c r="B252" s="1668"/>
      <c r="C252" s="2474" t="s">
        <v>6960</v>
      </c>
      <c r="D252" s="2698">
        <f>D253</f>
        <v>7553952000</v>
      </c>
      <c r="E252" s="3014">
        <f>D252/128986258000*100</f>
        <v>5.8564006097455747</v>
      </c>
      <c r="F252" s="1380"/>
      <c r="G252" s="1597"/>
      <c r="H252" s="1293"/>
      <c r="I252" s="1293"/>
      <c r="J252" s="1380"/>
      <c r="K252" s="1293"/>
      <c r="L252" s="1239"/>
      <c r="M252" s="1608"/>
      <c r="N252" s="1667"/>
      <c r="O252" s="1072"/>
      <c r="P252" s="1073"/>
      <c r="Q252" s="1073"/>
      <c r="R252" s="1072"/>
    </row>
    <row r="253" spans="2:18" s="123" customFormat="1" ht="19.5" hidden="1" customHeight="1" x14ac:dyDescent="0.25">
      <c r="B253" s="1668"/>
      <c r="C253" s="2473" t="s">
        <v>6961</v>
      </c>
      <c r="D253" s="2698">
        <v>7553952000</v>
      </c>
      <c r="E253" s="3014">
        <f>D253/128986258000*100</f>
        <v>5.8564006097455747</v>
      </c>
      <c r="F253" s="1380"/>
      <c r="G253" s="1597"/>
      <c r="H253" s="1293"/>
      <c r="I253" s="1293"/>
      <c r="J253" s="1380"/>
      <c r="K253" s="1293"/>
      <c r="L253" s="1239"/>
      <c r="M253" s="1608"/>
      <c r="N253" s="1667"/>
      <c r="O253" s="1072"/>
      <c r="P253" s="1073"/>
      <c r="Q253" s="1073"/>
      <c r="R253" s="1072"/>
    </row>
    <row r="254" spans="2:18" s="123" customFormat="1" ht="18.75" hidden="1" customHeight="1" x14ac:dyDescent="0.25">
      <c r="B254" s="1668"/>
      <c r="C254" s="3777"/>
      <c r="D254" s="2724"/>
      <c r="E254" s="3022"/>
      <c r="F254" s="1317"/>
      <c r="G254" s="1674"/>
      <c r="H254" s="1317"/>
      <c r="I254" s="1317"/>
      <c r="J254" s="1317"/>
      <c r="K254" s="1317"/>
      <c r="L254" s="1319"/>
      <c r="M254" s="1599"/>
      <c r="N254" s="1667"/>
      <c r="O254" s="1072"/>
      <c r="P254" s="1073"/>
      <c r="Q254" s="1073"/>
      <c r="R254" s="1072"/>
    </row>
    <row r="255" spans="2:18" s="76" customFormat="1" ht="19.5" hidden="1" customHeight="1" x14ac:dyDescent="0.25">
      <c r="B255" s="1588"/>
      <c r="C255" s="2522" t="s">
        <v>6999</v>
      </c>
      <c r="D255" s="3770">
        <f>SUM(+D257+D271)</f>
        <v>19436820000</v>
      </c>
      <c r="E255" s="2948">
        <f>D255/2512247400000*100</f>
        <v>0.77368256008544378</v>
      </c>
      <c r="F255" s="1356"/>
      <c r="G255" s="1589"/>
      <c r="H255" s="1335"/>
      <c r="I255" s="1335"/>
      <c r="J255" s="1589"/>
      <c r="K255" s="1589"/>
      <c r="L255" s="1335"/>
      <c r="M255" s="1612"/>
      <c r="N255" s="1591"/>
      <c r="O255" s="1035"/>
      <c r="P255" s="1036"/>
      <c r="Q255" s="1036"/>
      <c r="R255" s="1035"/>
    </row>
    <row r="256" spans="2:18" s="121" customFormat="1" ht="10.5" hidden="1" customHeight="1" x14ac:dyDescent="0.25">
      <c r="B256" s="1561"/>
      <c r="C256" s="2496"/>
      <c r="D256" s="3776"/>
      <c r="E256" s="2820"/>
      <c r="F256" s="1398"/>
      <c r="G256" s="1445"/>
      <c r="H256" s="1326"/>
      <c r="I256" s="1445"/>
      <c r="J256" s="1322"/>
      <c r="K256" s="1322"/>
      <c r="L256" s="1693"/>
      <c r="M256" s="1694"/>
      <c r="N256" s="1666"/>
      <c r="O256" s="1066"/>
      <c r="P256" s="1070"/>
      <c r="Q256" s="1070"/>
      <c r="R256" s="1066"/>
    </row>
    <row r="257" spans="1:18" s="121" customFormat="1" ht="21" hidden="1" customHeight="1" x14ac:dyDescent="0.25">
      <c r="B257" s="1670"/>
      <c r="C257" s="2606" t="s">
        <v>398</v>
      </c>
      <c r="D257" s="2733">
        <f>SUM(D258+D262+D265+D268)</f>
        <v>8126110000</v>
      </c>
      <c r="E257" s="2786">
        <f>D257/122746977000*100</f>
        <v>6.6202119177240517</v>
      </c>
      <c r="F257" s="1369"/>
      <c r="G257" s="1362"/>
      <c r="H257" s="1312"/>
      <c r="I257" s="1312"/>
      <c r="J257" s="1362"/>
      <c r="K257" s="1362"/>
      <c r="L257" s="1312"/>
      <c r="M257" s="1672"/>
      <c r="N257" s="1666"/>
      <c r="O257" s="1066"/>
      <c r="P257" s="1070"/>
      <c r="Q257" s="1070"/>
      <c r="R257" s="1066"/>
    </row>
    <row r="258" spans="1:18" s="20" customFormat="1" ht="21" hidden="1" customHeight="1" x14ac:dyDescent="0.25">
      <c r="A258" s="963"/>
      <c r="B258" s="1344"/>
      <c r="C258" s="2536" t="s">
        <v>2126</v>
      </c>
      <c r="D258" s="2767">
        <f>SUM(D259:D260)</f>
        <v>7609800000</v>
      </c>
      <c r="E258" s="2997">
        <f>D258/122746977000*100</f>
        <v>6.1995824141559099</v>
      </c>
      <c r="F258" s="1274"/>
      <c r="G258" s="1696"/>
      <c r="H258" s="1245"/>
      <c r="I258" s="1696"/>
      <c r="J258" s="1697"/>
      <c r="K258" s="1697"/>
      <c r="L258" s="1644"/>
      <c r="M258" s="1314"/>
      <c r="N258" s="840"/>
      <c r="O258" s="1002"/>
      <c r="P258" s="1007"/>
      <c r="Q258" s="1002"/>
      <c r="R258" s="1002"/>
    </row>
    <row r="259" spans="1:18" s="20" customFormat="1" ht="21.75" hidden="1" customHeight="1" x14ac:dyDescent="0.25">
      <c r="A259" s="963"/>
      <c r="B259" s="1344"/>
      <c r="C259" s="2473" t="s">
        <v>7088</v>
      </c>
      <c r="D259" s="896">
        <v>5502600000</v>
      </c>
      <c r="E259" s="3014">
        <f t="shared" ref="E259:E269" si="5">D259/122746977000*100</f>
        <v>4.4828802586315426</v>
      </c>
      <c r="F259" s="1294"/>
      <c r="G259" s="1228"/>
      <c r="H259" s="1228"/>
      <c r="I259" s="1228"/>
      <c r="J259" s="1698"/>
      <c r="K259" s="1698"/>
      <c r="L259" s="1229"/>
      <c r="M259" s="1315"/>
      <c r="N259" s="840"/>
      <c r="O259" s="1002"/>
      <c r="P259" s="1007"/>
      <c r="Q259" s="1002"/>
      <c r="R259" s="1002"/>
    </row>
    <row r="260" spans="1:18" s="20" customFormat="1" ht="19.5" hidden="1" customHeight="1" x14ac:dyDescent="0.25">
      <c r="A260" s="963"/>
      <c r="B260" s="1344"/>
      <c r="C260" s="2473" t="s">
        <v>7089</v>
      </c>
      <c r="D260" s="896">
        <v>2107200000</v>
      </c>
      <c r="E260" s="3014">
        <f t="shared" si="5"/>
        <v>1.7167021555243678</v>
      </c>
      <c r="F260" s="1242"/>
      <c r="G260" s="1242"/>
      <c r="H260" s="1229"/>
      <c r="I260" s="1242"/>
      <c r="J260" s="1338"/>
      <c r="K260" s="1315"/>
      <c r="L260" s="1338"/>
      <c r="M260" s="1338"/>
      <c r="N260" s="840"/>
      <c r="O260" s="1002"/>
      <c r="P260" s="1007"/>
      <c r="Q260" s="1002"/>
      <c r="R260" s="1002"/>
    </row>
    <row r="261" spans="1:18" s="20" customFormat="1" ht="12" hidden="1" customHeight="1" x14ac:dyDescent="0.25">
      <c r="A261" s="963"/>
      <c r="B261" s="1344"/>
      <c r="C261" s="2473"/>
      <c r="D261" s="896"/>
      <c r="E261" s="3014"/>
      <c r="F261" s="1242"/>
      <c r="G261" s="1242"/>
      <c r="H261" s="1229"/>
      <c r="I261" s="1242"/>
      <c r="J261" s="1338"/>
      <c r="K261" s="1315"/>
      <c r="L261" s="1338"/>
      <c r="M261" s="1338"/>
      <c r="N261" s="840"/>
      <c r="O261" s="1002"/>
      <c r="P261" s="1007"/>
      <c r="Q261" s="1002"/>
      <c r="R261" s="1002"/>
    </row>
    <row r="262" spans="1:18" s="20" customFormat="1" ht="21.75" hidden="1" customHeight="1" x14ac:dyDescent="0.25">
      <c r="A262" s="963"/>
      <c r="B262" s="1344"/>
      <c r="C262" s="2525" t="s">
        <v>3508</v>
      </c>
      <c r="D262" s="899">
        <f>SUM(D263:D263)</f>
        <v>120200000</v>
      </c>
      <c r="E262" s="2997">
        <f t="shared" si="5"/>
        <v>9.7925018552595389E-2</v>
      </c>
      <c r="F262" s="1235"/>
      <c r="G262" s="1235"/>
      <c r="H262" s="1235"/>
      <c r="I262" s="1235"/>
      <c r="J262" s="1292"/>
      <c r="K262" s="1292"/>
      <c r="L262" s="1231"/>
      <c r="M262" s="1280"/>
      <c r="N262" s="840"/>
      <c r="O262" s="1002"/>
      <c r="P262" s="1007"/>
      <c r="Q262" s="1002"/>
      <c r="R262" s="1002"/>
    </row>
    <row r="263" spans="1:18" s="20" customFormat="1" ht="19.5" hidden="1" customHeight="1" x14ac:dyDescent="0.25">
      <c r="A263" s="963"/>
      <c r="B263" s="1344"/>
      <c r="C263" s="2473" t="s">
        <v>7923</v>
      </c>
      <c r="D263" s="896">
        <v>120200000</v>
      </c>
      <c r="E263" s="3014">
        <f t="shared" si="5"/>
        <v>9.7925018552595389E-2</v>
      </c>
      <c r="F263" s="1294"/>
      <c r="G263" s="1228"/>
      <c r="H263" s="1228"/>
      <c r="I263" s="1228"/>
      <c r="J263" s="1698"/>
      <c r="K263" s="1698"/>
      <c r="L263" s="1229"/>
      <c r="M263" s="1315"/>
      <c r="N263" s="840"/>
      <c r="O263" s="1002"/>
      <c r="P263" s="1007"/>
      <c r="Q263" s="1002"/>
      <c r="R263" s="1002"/>
    </row>
    <row r="264" spans="1:18" s="20" customFormat="1" ht="12.75" hidden="1" customHeight="1" x14ac:dyDescent="0.25">
      <c r="A264" s="963"/>
      <c r="B264" s="1344"/>
      <c r="C264" s="2474"/>
      <c r="D264" s="896"/>
      <c r="E264" s="3014"/>
      <c r="F264" s="1294"/>
      <c r="G264" s="1228"/>
      <c r="H264" s="1228"/>
      <c r="I264" s="1228"/>
      <c r="J264" s="1698"/>
      <c r="K264" s="1277"/>
      <c r="L264" s="1228"/>
      <c r="M264" s="1228"/>
      <c r="N264" s="840"/>
      <c r="O264" s="1002"/>
      <c r="P264" s="1007"/>
      <c r="Q264" s="1002"/>
      <c r="R264" s="1002"/>
    </row>
    <row r="265" spans="1:18" s="20" customFormat="1" ht="24" hidden="1" customHeight="1" x14ac:dyDescent="0.25">
      <c r="A265" s="963"/>
      <c r="B265" s="1344"/>
      <c r="C265" s="2525" t="s">
        <v>7091</v>
      </c>
      <c r="D265" s="899">
        <f>D266</f>
        <v>146110000</v>
      </c>
      <c r="E265" s="2997">
        <f t="shared" si="5"/>
        <v>0.11903348137038031</v>
      </c>
      <c r="F265" s="1323"/>
      <c r="G265" s="1228"/>
      <c r="H265" s="1228"/>
      <c r="I265" s="1228"/>
      <c r="J265" s="1338"/>
      <c r="K265" s="1315"/>
      <c r="L265" s="1338"/>
      <c r="M265" s="1338"/>
      <c r="N265" s="840"/>
      <c r="O265" s="1002"/>
      <c r="P265" s="1007"/>
      <c r="Q265" s="1002"/>
      <c r="R265" s="1002"/>
    </row>
    <row r="266" spans="1:18" s="20" customFormat="1" ht="25.5" hidden="1" customHeight="1" x14ac:dyDescent="0.25">
      <c r="A266" s="963"/>
      <c r="B266" s="1344"/>
      <c r="C266" s="2473" t="s">
        <v>7090</v>
      </c>
      <c r="D266" s="896">
        <v>146110000</v>
      </c>
      <c r="E266" s="3014">
        <f t="shared" si="5"/>
        <v>0.11903348137038031</v>
      </c>
      <c r="F266" s="1393"/>
      <c r="G266" s="1393"/>
      <c r="H266" s="1235"/>
      <c r="I266" s="1280"/>
      <c r="J266" s="1699"/>
      <c r="K266" s="1699"/>
      <c r="L266" s="1231"/>
      <c r="M266" s="1280"/>
      <c r="N266" s="840"/>
      <c r="O266" s="1002"/>
      <c r="P266" s="1007"/>
      <c r="Q266" s="1002"/>
      <c r="R266" s="1002"/>
    </row>
    <row r="267" spans="1:18" s="20" customFormat="1" ht="9.75" hidden="1" customHeight="1" x14ac:dyDescent="0.25">
      <c r="A267" s="963"/>
      <c r="B267" s="1344"/>
      <c r="C267" s="2478"/>
      <c r="D267" s="2769"/>
      <c r="E267" s="3014"/>
      <c r="F267" s="1294"/>
      <c r="G267" s="1228"/>
      <c r="H267" s="1228"/>
      <c r="I267" s="1228"/>
      <c r="J267" s="1700"/>
      <c r="K267" s="1277"/>
      <c r="L267" s="1228"/>
      <c r="M267" s="1228"/>
      <c r="N267" s="840"/>
      <c r="O267" s="1002"/>
      <c r="P267" s="1007"/>
      <c r="Q267" s="1002"/>
      <c r="R267" s="1002"/>
    </row>
    <row r="268" spans="1:18" s="20" customFormat="1" ht="30.75" hidden="1" customHeight="1" x14ac:dyDescent="0.25">
      <c r="A268" s="963"/>
      <c r="B268" s="1344"/>
      <c r="C268" s="2525" t="s">
        <v>3518</v>
      </c>
      <c r="D268" s="899">
        <f>D269</f>
        <v>250000000</v>
      </c>
      <c r="E268" s="2997">
        <f t="shared" si="5"/>
        <v>0.20367100364516513</v>
      </c>
      <c r="F268" s="1294"/>
      <c r="G268" s="1228"/>
      <c r="H268" s="1228"/>
      <c r="I268" s="1228"/>
      <c r="J268" s="1700"/>
      <c r="K268" s="1277"/>
      <c r="L268" s="1228"/>
      <c r="M268" s="1228"/>
      <c r="N268" s="840"/>
      <c r="O268" s="1002"/>
      <c r="P268" s="1007"/>
      <c r="Q268" s="1002"/>
      <c r="R268" s="1002"/>
    </row>
    <row r="269" spans="1:18" s="20" customFormat="1" ht="20.25" hidden="1" customHeight="1" x14ac:dyDescent="0.25">
      <c r="A269" s="963"/>
      <c r="B269" s="1344"/>
      <c r="C269" s="2473" t="s">
        <v>7092</v>
      </c>
      <c r="D269" s="896">
        <v>250000000</v>
      </c>
      <c r="E269" s="3014">
        <f t="shared" si="5"/>
        <v>0.20367100364516513</v>
      </c>
      <c r="F269" s="1294"/>
      <c r="G269" s="1228"/>
      <c r="H269" s="1228"/>
      <c r="I269" s="1228"/>
      <c r="J269" s="1700"/>
      <c r="K269" s="1701"/>
      <c r="L269" s="1229"/>
      <c r="M269" s="1228"/>
      <c r="N269" s="840"/>
      <c r="O269" s="1002"/>
      <c r="P269" s="1007"/>
      <c r="Q269" s="1002"/>
      <c r="R269" s="1002"/>
    </row>
    <row r="270" spans="1:18" s="121" customFormat="1" ht="12" hidden="1" customHeight="1" x14ac:dyDescent="0.25">
      <c r="B270" s="1705"/>
      <c r="C270" s="2482"/>
      <c r="D270" s="3773"/>
      <c r="E270" s="2840"/>
      <c r="F270" s="1385"/>
      <c r="G270" s="1706"/>
      <c r="H270" s="1707"/>
      <c r="I270" s="1706"/>
      <c r="J270" s="1366"/>
      <c r="K270" s="1366"/>
      <c r="L270" s="1366"/>
      <c r="M270" s="1690"/>
      <c r="N270" s="1708"/>
      <c r="O270" s="1066"/>
      <c r="P270" s="1070"/>
      <c r="Q270" s="1070"/>
      <c r="R270" s="1066"/>
    </row>
    <row r="271" spans="1:18" s="121" customFormat="1" ht="22.5" hidden="1" customHeight="1" x14ac:dyDescent="0.25">
      <c r="B271" s="1670"/>
      <c r="C271" s="2606" t="s">
        <v>1538</v>
      </c>
      <c r="D271" s="2530">
        <f>SUM(D272+D276+D289)</f>
        <v>11310710000</v>
      </c>
      <c r="E271" s="2786">
        <f>D271/122746977000*100</f>
        <v>9.2146546305576233</v>
      </c>
      <c r="F271" s="1399"/>
      <c r="G271" s="1399"/>
      <c r="H271" s="1312"/>
      <c r="I271" s="1312"/>
      <c r="J271" s="1399"/>
      <c r="K271" s="1399"/>
      <c r="L271" s="1312"/>
      <c r="M271" s="1672"/>
      <c r="N271" s="1709"/>
      <c r="O271" s="1066"/>
      <c r="P271" s="1070"/>
      <c r="Q271" s="1070"/>
      <c r="R271" s="1066"/>
    </row>
    <row r="272" spans="1:18" s="121" customFormat="1" ht="23.25" hidden="1" customHeight="1" x14ac:dyDescent="0.25">
      <c r="B272" s="1665"/>
      <c r="C272" s="2525" t="s">
        <v>7093</v>
      </c>
      <c r="D272" s="2826">
        <f>D273+D274</f>
        <v>694600000</v>
      </c>
      <c r="E272" s="2997">
        <f>D272/122746977000*100</f>
        <v>0.56587951652772683</v>
      </c>
      <c r="F272" s="1400"/>
      <c r="G272" s="1400"/>
      <c r="H272" s="1290"/>
      <c r="I272" s="1290"/>
      <c r="J272" s="1271"/>
      <c r="K272" s="1271"/>
      <c r="L272" s="1227"/>
      <c r="M272" s="1710"/>
      <c r="N272" s="1711"/>
      <c r="O272" s="1066"/>
      <c r="P272" s="1070"/>
      <c r="Q272" s="1070"/>
      <c r="R272" s="1066"/>
    </row>
    <row r="273" spans="1:18" s="121" customFormat="1" ht="27.75" hidden="1" customHeight="1" x14ac:dyDescent="0.25">
      <c r="B273" s="1665"/>
      <c r="C273" s="2473" t="s">
        <v>7094</v>
      </c>
      <c r="D273" s="896">
        <v>594600000</v>
      </c>
      <c r="E273" s="3014">
        <f t="shared" ref="E273:E297" si="6">D273/122746977000*100</f>
        <v>0.48441111506966072</v>
      </c>
      <c r="F273" s="1401"/>
      <c r="G273" s="1331"/>
      <c r="H273" s="1293"/>
      <c r="I273" s="1326"/>
      <c r="J273" s="1401"/>
      <c r="K273" s="1410"/>
      <c r="L273" s="1234"/>
      <c r="M273" s="1600"/>
      <c r="N273" s="1666"/>
      <c r="O273" s="1066"/>
      <c r="P273" s="1070"/>
      <c r="Q273" s="1070"/>
      <c r="R273" s="1066"/>
    </row>
    <row r="274" spans="1:18" s="121" customFormat="1" ht="18" hidden="1" customHeight="1" x14ac:dyDescent="0.25">
      <c r="B274" s="1665"/>
      <c r="C274" s="2473" t="s">
        <v>7095</v>
      </c>
      <c r="D274" s="2769">
        <v>100000000</v>
      </c>
      <c r="E274" s="3014">
        <f t="shared" si="6"/>
        <v>8.1468401458066053E-2</v>
      </c>
      <c r="F274" s="1401"/>
      <c r="G274" s="1330"/>
      <c r="H274" s="1293"/>
      <c r="I274" s="1293"/>
      <c r="J274" s="1401"/>
      <c r="K274" s="1234"/>
      <c r="L274" s="1234"/>
      <c r="M274" s="1234"/>
      <c r="N274" s="1666"/>
      <c r="O274" s="1066"/>
      <c r="P274" s="1070"/>
      <c r="Q274" s="1070"/>
      <c r="R274" s="1066"/>
    </row>
    <row r="275" spans="1:18" s="121" customFormat="1" ht="15.75" hidden="1" customHeight="1" x14ac:dyDescent="0.25">
      <c r="B275" s="1665"/>
      <c r="C275" s="2477"/>
      <c r="D275" s="2755"/>
      <c r="E275" s="3014"/>
      <c r="F275" s="1401"/>
      <c r="G275" s="1330"/>
      <c r="H275" s="1293"/>
      <c r="I275" s="1293"/>
      <c r="J275" s="1401"/>
      <c r="K275" s="1322"/>
      <c r="L275" s="1234"/>
      <c r="M275" s="1673"/>
      <c r="N275" s="1666"/>
      <c r="O275" s="1066"/>
      <c r="P275" s="1070"/>
      <c r="Q275" s="1070"/>
      <c r="R275" s="1066"/>
    </row>
    <row r="276" spans="1:18" s="121" customFormat="1" ht="30" hidden="1" customHeight="1" x14ac:dyDescent="0.25">
      <c r="B276" s="1665"/>
      <c r="C276" s="2477" t="s">
        <v>7096</v>
      </c>
      <c r="D276" s="2692">
        <f>SUM(D277:D287)</f>
        <v>6250000000</v>
      </c>
      <c r="E276" s="2997">
        <f t="shared" si="6"/>
        <v>5.0917750911291284</v>
      </c>
      <c r="F276" s="1401"/>
      <c r="G276" s="1330"/>
      <c r="H276" s="1293"/>
      <c r="I276" s="1293"/>
      <c r="J276" s="1401"/>
      <c r="K276" s="1401"/>
      <c r="L276" s="1234"/>
      <c r="M276" s="1673"/>
      <c r="N276" s="1666"/>
      <c r="O276" s="1066"/>
      <c r="P276" s="1070"/>
      <c r="Q276" s="1070"/>
      <c r="R276" s="1066"/>
    </row>
    <row r="277" spans="1:18" s="121" customFormat="1" ht="23.25" hidden="1" customHeight="1" x14ac:dyDescent="0.25">
      <c r="B277" s="1665"/>
      <c r="C277" s="2473" t="s">
        <v>7097</v>
      </c>
      <c r="D277" s="2730">
        <v>2000000000</v>
      </c>
      <c r="E277" s="3014">
        <f t="shared" si="6"/>
        <v>1.6293680291613211</v>
      </c>
      <c r="F277" s="1401"/>
      <c r="G277" s="1330"/>
      <c r="H277" s="1293"/>
      <c r="I277" s="1293"/>
      <c r="J277" s="1401"/>
      <c r="K277" s="1401"/>
      <c r="L277" s="1234"/>
      <c r="M277" s="1673"/>
      <c r="N277" s="1666"/>
      <c r="O277" s="1066"/>
      <c r="P277" s="1070"/>
      <c r="Q277" s="1070"/>
      <c r="R277" s="1066"/>
    </row>
    <row r="278" spans="1:18" s="121" customFormat="1" ht="21" hidden="1" customHeight="1" x14ac:dyDescent="0.25">
      <c r="B278" s="1665"/>
      <c r="C278" s="2479" t="s">
        <v>7098</v>
      </c>
      <c r="D278" s="2769">
        <v>1500000000</v>
      </c>
      <c r="E278" s="3014">
        <f t="shared" si="6"/>
        <v>1.2220260218709909</v>
      </c>
      <c r="F278" s="1401"/>
      <c r="G278" s="1330"/>
      <c r="H278" s="1293"/>
      <c r="I278" s="1293"/>
      <c r="J278" s="1401"/>
      <c r="K278" s="1293"/>
      <c r="L278" s="1234"/>
      <c r="M278" s="1673"/>
      <c r="N278" s="1666"/>
      <c r="O278" s="1066"/>
      <c r="P278" s="1070"/>
      <c r="Q278" s="1070"/>
      <c r="R278" s="1066"/>
    </row>
    <row r="279" spans="1:18" s="121" customFormat="1" ht="19.5" hidden="1" customHeight="1" x14ac:dyDescent="0.25">
      <c r="B279" s="1665"/>
      <c r="C279" s="2479" t="s">
        <v>7099</v>
      </c>
      <c r="D279" s="2769">
        <v>1200000000</v>
      </c>
      <c r="E279" s="3014">
        <f t="shared" si="6"/>
        <v>0.97762081749679253</v>
      </c>
      <c r="F279" s="1401"/>
      <c r="G279" s="1330"/>
      <c r="H279" s="1293"/>
      <c r="I279" s="1293"/>
      <c r="J279" s="1401"/>
      <c r="K279" s="1293"/>
      <c r="L279" s="1234"/>
      <c r="M279" s="1673"/>
      <c r="N279" s="1666"/>
      <c r="O279" s="1066"/>
      <c r="P279" s="1070"/>
      <c r="Q279" s="1070"/>
      <c r="R279" s="1066"/>
    </row>
    <row r="280" spans="1:18" s="121" customFormat="1" ht="20.25" hidden="1" customHeight="1" x14ac:dyDescent="0.25">
      <c r="B280" s="1665"/>
      <c r="C280" s="2479" t="s">
        <v>7100</v>
      </c>
      <c r="D280" s="896">
        <v>200000000</v>
      </c>
      <c r="E280" s="3014">
        <f t="shared" si="6"/>
        <v>0.16293680291613211</v>
      </c>
      <c r="F280" s="1401"/>
      <c r="G280" s="1330"/>
      <c r="H280" s="1293"/>
      <c r="I280" s="1293"/>
      <c r="J280" s="1401"/>
      <c r="K280" s="1293"/>
      <c r="L280" s="1234"/>
      <c r="M280" s="1673"/>
      <c r="N280" s="1666"/>
      <c r="O280" s="1066"/>
      <c r="P280" s="1070"/>
      <c r="Q280" s="1070"/>
      <c r="R280" s="1066"/>
    </row>
    <row r="281" spans="1:18" s="121" customFormat="1" ht="21.75" hidden="1" customHeight="1" x14ac:dyDescent="0.25">
      <c r="B281" s="1665"/>
      <c r="C281" s="2479" t="s">
        <v>7101</v>
      </c>
      <c r="D281" s="896">
        <v>100000000</v>
      </c>
      <c r="E281" s="3014">
        <f t="shared" si="6"/>
        <v>8.1468401458066053E-2</v>
      </c>
      <c r="F281" s="1401"/>
      <c r="G281" s="1234"/>
      <c r="H281" s="1234"/>
      <c r="I281" s="1234"/>
      <c r="J281" s="1401"/>
      <c r="K281" s="1293"/>
      <c r="L281" s="1234"/>
      <c r="M281" s="1673"/>
      <c r="N281" s="1666"/>
      <c r="O281" s="1066"/>
      <c r="P281" s="1070"/>
      <c r="Q281" s="1070"/>
      <c r="R281" s="1066"/>
    </row>
    <row r="282" spans="1:18" s="121" customFormat="1" ht="18" hidden="1" customHeight="1" x14ac:dyDescent="0.25">
      <c r="B282" s="1665"/>
      <c r="C282" s="2479" t="s">
        <v>7102</v>
      </c>
      <c r="D282" s="896">
        <v>200000000</v>
      </c>
      <c r="E282" s="3014">
        <f t="shared" si="6"/>
        <v>0.16293680291613211</v>
      </c>
      <c r="F282" s="1401"/>
      <c r="G282" s="1234"/>
      <c r="H282" s="1234"/>
      <c r="I282" s="1234"/>
      <c r="J282" s="1401"/>
      <c r="K282" s="1234"/>
      <c r="L282" s="1234"/>
      <c r="M282" s="1234"/>
      <c r="N282" s="1666"/>
      <c r="O282" s="1066"/>
      <c r="P282" s="1070"/>
      <c r="Q282" s="1070"/>
      <c r="R282" s="1066"/>
    </row>
    <row r="283" spans="1:18" s="121" customFormat="1" ht="19.5" hidden="1" customHeight="1" x14ac:dyDescent="0.25">
      <c r="B283" s="1665"/>
      <c r="C283" s="2479" t="s">
        <v>7103</v>
      </c>
      <c r="D283" s="896">
        <v>200000000</v>
      </c>
      <c r="E283" s="3014">
        <f t="shared" si="6"/>
        <v>0.16293680291613211</v>
      </c>
      <c r="F283" s="1234"/>
      <c r="G283" s="1234"/>
      <c r="H283" s="1234"/>
      <c r="I283" s="1234"/>
      <c r="J283" s="1402"/>
      <c r="K283" s="1234"/>
      <c r="L283" s="1234"/>
      <c r="M283" s="1234"/>
      <c r="N283" s="1666"/>
      <c r="O283" s="1066"/>
      <c r="P283" s="1070"/>
      <c r="Q283" s="1070"/>
      <c r="R283" s="1066"/>
    </row>
    <row r="284" spans="1:18" s="121" customFormat="1" ht="21.75" hidden="1" customHeight="1" x14ac:dyDescent="0.25">
      <c r="B284" s="1665"/>
      <c r="C284" s="2479" t="s">
        <v>7104</v>
      </c>
      <c r="D284" s="896">
        <v>200000000</v>
      </c>
      <c r="E284" s="3014">
        <f t="shared" si="6"/>
        <v>0.16293680291613211</v>
      </c>
      <c r="F284" s="1402"/>
      <c r="G284" s="1234"/>
      <c r="H284" s="1234"/>
      <c r="I284" s="1234"/>
      <c r="J284" s="1322"/>
      <c r="K284" s="1322"/>
      <c r="L284" s="1322"/>
      <c r="M284" s="1688"/>
      <c r="N284" s="1666"/>
      <c r="O284" s="1066"/>
      <c r="P284" s="1070"/>
      <c r="Q284" s="1070"/>
      <c r="R284" s="1066"/>
    </row>
    <row r="285" spans="1:18" s="121" customFormat="1" ht="21.75" hidden="1" customHeight="1" x14ac:dyDescent="0.25">
      <c r="A285" s="16"/>
      <c r="B285" s="1665"/>
      <c r="C285" s="2479" t="s">
        <v>7105</v>
      </c>
      <c r="D285" s="896">
        <v>100000000</v>
      </c>
      <c r="E285" s="3014">
        <f t="shared" si="6"/>
        <v>8.1468401458066053E-2</v>
      </c>
      <c r="F285" s="1227"/>
      <c r="G285" s="1227"/>
      <c r="H285" s="1227"/>
      <c r="I285" s="1227"/>
      <c r="J285" s="1411"/>
      <c r="K285" s="1227"/>
      <c r="L285" s="1227"/>
      <c r="M285" s="1227"/>
      <c r="N285" s="1666"/>
      <c r="O285" s="1066"/>
      <c r="P285" s="1070"/>
      <c r="Q285" s="1070"/>
      <c r="R285" s="1066"/>
    </row>
    <row r="286" spans="1:18" s="121" customFormat="1" ht="22.5" hidden="1" customHeight="1" x14ac:dyDescent="0.25">
      <c r="A286" s="16"/>
      <c r="B286" s="1665"/>
      <c r="C286" s="2479" t="s">
        <v>7106</v>
      </c>
      <c r="D286" s="896">
        <v>500000000</v>
      </c>
      <c r="E286" s="3014">
        <f t="shared" si="6"/>
        <v>0.40734200729033027</v>
      </c>
      <c r="F286" s="1234"/>
      <c r="G286" s="1234"/>
      <c r="H286" s="1234"/>
      <c r="I286" s="1234"/>
      <c r="J286" s="1403"/>
      <c r="K286" s="1234"/>
      <c r="L286" s="1234"/>
      <c r="M286" s="1234"/>
      <c r="N286" s="1666"/>
      <c r="O286" s="1066"/>
      <c r="P286" s="1070"/>
      <c r="Q286" s="1070"/>
      <c r="R286" s="1066"/>
    </row>
    <row r="287" spans="1:18" s="121" customFormat="1" ht="23.25" hidden="1" customHeight="1" x14ac:dyDescent="0.25">
      <c r="B287" s="1665"/>
      <c r="C287" s="2479" t="s">
        <v>7107</v>
      </c>
      <c r="D287" s="896">
        <v>50000000</v>
      </c>
      <c r="E287" s="3014">
        <f t="shared" si="6"/>
        <v>4.0734200729033027E-2</v>
      </c>
      <c r="F287" s="4271"/>
      <c r="G287" s="1712"/>
      <c r="H287" s="1293"/>
      <c r="I287" s="1322"/>
      <c r="J287" s="1322"/>
      <c r="K287" s="1322"/>
      <c r="L287" s="1322"/>
      <c r="M287" s="1688"/>
      <c r="N287" s="1666"/>
      <c r="O287" s="1066"/>
      <c r="P287" s="1070"/>
      <c r="Q287" s="1070"/>
      <c r="R287" s="1066"/>
    </row>
    <row r="288" spans="1:18" s="121" customFormat="1" ht="12.75" hidden="1" customHeight="1" x14ac:dyDescent="0.25">
      <c r="B288" s="1665"/>
      <c r="C288" s="2479"/>
      <c r="D288" s="2769"/>
      <c r="E288" s="3014"/>
      <c r="F288" s="4271"/>
      <c r="G288" s="1712"/>
      <c r="H288" s="1293"/>
      <c r="I288" s="1322"/>
      <c r="J288" s="1322"/>
      <c r="K288" s="1322"/>
      <c r="L288" s="1322"/>
      <c r="M288" s="1688"/>
      <c r="N288" s="1666"/>
      <c r="O288" s="1066"/>
      <c r="P288" s="1070"/>
      <c r="Q288" s="1070"/>
      <c r="R288" s="1066"/>
    </row>
    <row r="289" spans="1:18" s="121" customFormat="1" ht="24" hidden="1" customHeight="1" x14ac:dyDescent="0.25">
      <c r="B289" s="1665"/>
      <c r="C289" s="2525" t="s">
        <v>1542</v>
      </c>
      <c r="D289" s="899">
        <f>SUM(D290:D297)</f>
        <v>4366110000</v>
      </c>
      <c r="E289" s="2997">
        <f t="shared" si="6"/>
        <v>3.5570000229007679</v>
      </c>
      <c r="F289" s="4271"/>
      <c r="G289" s="1712"/>
      <c r="H289" s="1293"/>
      <c r="I289" s="1322"/>
      <c r="J289" s="1322"/>
      <c r="K289" s="1322"/>
      <c r="L289" s="1322"/>
      <c r="M289" s="1688"/>
      <c r="N289" s="1666"/>
      <c r="O289" s="1066"/>
      <c r="P289" s="1070"/>
      <c r="Q289" s="1070"/>
      <c r="R289" s="1066"/>
    </row>
    <row r="290" spans="1:18" s="121" customFormat="1" ht="20.25" hidden="1" customHeight="1" x14ac:dyDescent="0.25">
      <c r="B290" s="1665"/>
      <c r="C290" s="2475" t="s">
        <v>7108</v>
      </c>
      <c r="D290" s="2769">
        <v>2860860000</v>
      </c>
      <c r="E290" s="3014">
        <f t="shared" si="6"/>
        <v>2.3306969099532284</v>
      </c>
      <c r="F290" s="4271"/>
      <c r="G290" s="1712"/>
      <c r="H290" s="1293"/>
      <c r="I290" s="1322"/>
      <c r="J290" s="1322"/>
      <c r="K290" s="1322"/>
      <c r="L290" s="1322"/>
      <c r="M290" s="1688"/>
      <c r="N290" s="1666"/>
      <c r="O290" s="1066"/>
      <c r="P290" s="1070"/>
      <c r="Q290" s="1070"/>
      <c r="R290" s="1066"/>
    </row>
    <row r="291" spans="1:18" s="121" customFormat="1" ht="33" hidden="1" customHeight="1" x14ac:dyDescent="0.25">
      <c r="B291" s="1665"/>
      <c r="C291" s="2473" t="s">
        <v>7110</v>
      </c>
      <c r="D291" s="896">
        <v>98250000</v>
      </c>
      <c r="E291" s="3014">
        <f t="shared" si="6"/>
        <v>8.0042704432549891E-2</v>
      </c>
      <c r="F291" s="4271"/>
      <c r="G291" s="1712"/>
      <c r="H291" s="1293"/>
      <c r="I291" s="1322"/>
      <c r="J291" s="1322"/>
      <c r="K291" s="1322"/>
      <c r="L291" s="1322"/>
      <c r="M291" s="1688"/>
      <c r="N291" s="1666"/>
      <c r="O291" s="1066"/>
      <c r="P291" s="1070"/>
      <c r="Q291" s="1070"/>
      <c r="R291" s="1066"/>
    </row>
    <row r="292" spans="1:18" s="121" customFormat="1" ht="20.25" hidden="1" customHeight="1" x14ac:dyDescent="0.25">
      <c r="B292" s="1665"/>
      <c r="C292" s="2473" t="s">
        <v>7109</v>
      </c>
      <c r="D292" s="896">
        <v>200000000</v>
      </c>
      <c r="E292" s="3014">
        <f t="shared" si="6"/>
        <v>0.16293680291613211</v>
      </c>
      <c r="F292" s="4271"/>
      <c r="G292" s="1712"/>
      <c r="H292" s="1293"/>
      <c r="I292" s="1322"/>
      <c r="J292" s="1322"/>
      <c r="K292" s="1322"/>
      <c r="L292" s="1322"/>
      <c r="M292" s="1688"/>
      <c r="N292" s="1666"/>
      <c r="O292" s="1066"/>
      <c r="P292" s="1070"/>
      <c r="Q292" s="1070"/>
      <c r="R292" s="1066"/>
    </row>
    <row r="293" spans="1:18" s="121" customFormat="1" ht="20.25" hidden="1" customHeight="1" x14ac:dyDescent="0.25">
      <c r="B293" s="1665"/>
      <c r="C293" s="2473" t="s">
        <v>7111</v>
      </c>
      <c r="D293" s="896">
        <v>163000000</v>
      </c>
      <c r="E293" s="3014">
        <f t="shared" si="6"/>
        <v>0.13279349437664767</v>
      </c>
      <c r="F293" s="4271"/>
      <c r="G293" s="1712"/>
      <c r="H293" s="1293"/>
      <c r="I293" s="1322"/>
      <c r="J293" s="1322"/>
      <c r="K293" s="1322"/>
      <c r="L293" s="1322"/>
      <c r="M293" s="1688"/>
      <c r="N293" s="1666"/>
      <c r="O293" s="1066"/>
      <c r="P293" s="1070"/>
      <c r="Q293" s="1070"/>
      <c r="R293" s="1066"/>
    </row>
    <row r="294" spans="1:18" s="121" customFormat="1" ht="20.25" hidden="1" customHeight="1" x14ac:dyDescent="0.25">
      <c r="B294" s="1665"/>
      <c r="C294" s="2473" t="s">
        <v>7112</v>
      </c>
      <c r="D294" s="896">
        <v>644000000</v>
      </c>
      <c r="E294" s="3014">
        <f t="shared" si="6"/>
        <v>0.52465650538994535</v>
      </c>
      <c r="F294" s="4271"/>
      <c r="G294" s="1712"/>
      <c r="H294" s="1293"/>
      <c r="I294" s="1322"/>
      <c r="J294" s="1322"/>
      <c r="K294" s="1322"/>
      <c r="L294" s="1322"/>
      <c r="M294" s="1688"/>
      <c r="N294" s="1666"/>
      <c r="O294" s="1066"/>
      <c r="P294" s="1070"/>
      <c r="Q294" s="1070"/>
      <c r="R294" s="1066"/>
    </row>
    <row r="295" spans="1:18" s="121" customFormat="1" ht="22.5" hidden="1" customHeight="1" x14ac:dyDescent="0.25">
      <c r="B295" s="1665"/>
      <c r="C295" s="2473" t="s">
        <v>7113</v>
      </c>
      <c r="D295" s="896">
        <v>200000000</v>
      </c>
      <c r="E295" s="3014">
        <f t="shared" si="6"/>
        <v>0.16293680291613211</v>
      </c>
      <c r="F295" s="4271"/>
      <c r="G295" s="1712"/>
      <c r="H295" s="1293"/>
      <c r="I295" s="1322"/>
      <c r="J295" s="1322"/>
      <c r="K295" s="1322"/>
      <c r="L295" s="1322"/>
      <c r="M295" s="1688"/>
      <c r="N295" s="1666"/>
      <c r="O295" s="1066"/>
      <c r="P295" s="1070"/>
      <c r="Q295" s="1070"/>
      <c r="R295" s="1066"/>
    </row>
    <row r="296" spans="1:18" s="121" customFormat="1" ht="19.5" hidden="1" customHeight="1" x14ac:dyDescent="0.25">
      <c r="B296" s="1665"/>
      <c r="C296" s="2473" t="s">
        <v>7114</v>
      </c>
      <c r="D296" s="896">
        <v>100000000</v>
      </c>
      <c r="E296" s="3014">
        <f t="shared" si="6"/>
        <v>8.1468401458066053E-2</v>
      </c>
      <c r="F296" s="4271"/>
      <c r="G296" s="1712"/>
      <c r="H296" s="1293"/>
      <c r="I296" s="1322"/>
      <c r="J296" s="1322"/>
      <c r="K296" s="1322"/>
      <c r="L296" s="1322"/>
      <c r="M296" s="1688"/>
      <c r="N296" s="1666"/>
      <c r="O296" s="1066"/>
      <c r="P296" s="1070"/>
      <c r="Q296" s="1070"/>
      <c r="R296" s="1066"/>
    </row>
    <row r="297" spans="1:18" s="121" customFormat="1" ht="20.25" hidden="1" customHeight="1" x14ac:dyDescent="0.25">
      <c r="B297" s="1665"/>
      <c r="C297" s="2473" t="s">
        <v>7115</v>
      </c>
      <c r="D297" s="896">
        <v>100000000</v>
      </c>
      <c r="E297" s="3014">
        <f t="shared" si="6"/>
        <v>8.1468401458066053E-2</v>
      </c>
      <c r="F297" s="4271"/>
      <c r="G297" s="1712"/>
      <c r="H297" s="1293"/>
      <c r="I297" s="1322"/>
      <c r="J297" s="1322"/>
      <c r="K297" s="1322"/>
      <c r="L297" s="1322"/>
      <c r="M297" s="1688"/>
      <c r="N297" s="1666"/>
      <c r="O297" s="1066"/>
      <c r="P297" s="1070"/>
      <c r="Q297" s="1070"/>
      <c r="R297" s="1066"/>
    </row>
    <row r="298" spans="1:18" s="121" customFormat="1" ht="19.5" hidden="1" customHeight="1" x14ac:dyDescent="0.25">
      <c r="A298" s="16"/>
      <c r="B298" s="1665"/>
      <c r="C298" s="2566"/>
      <c r="D298" s="2830"/>
      <c r="E298" s="2840"/>
      <c r="F298" s="1436"/>
      <c r="G298" s="1255"/>
      <c r="H298" s="1255"/>
      <c r="I298" s="1255"/>
      <c r="J298" s="1436"/>
      <c r="K298" s="1279"/>
      <c r="L298" s="1256"/>
      <c r="M298" s="1631"/>
      <c r="N298" s="1711"/>
      <c r="O298" s="1066"/>
      <c r="P298" s="1070"/>
      <c r="Q298" s="1070"/>
      <c r="R298" s="1066"/>
    </row>
    <row r="299" spans="1:18" s="76" customFormat="1" ht="22.5" hidden="1" customHeight="1" x14ac:dyDescent="0.25">
      <c r="B299" s="1588"/>
      <c r="C299" s="2522" t="s">
        <v>7007</v>
      </c>
      <c r="D299" s="3423">
        <f>SUM(+D301+D360)</f>
        <v>28815500707</v>
      </c>
      <c r="E299" s="2948">
        <f>D299/2512247400000*100</f>
        <v>1.1470009166692738</v>
      </c>
      <c r="F299" s="1391"/>
      <c r="G299" s="1325"/>
      <c r="H299" s="1538"/>
      <c r="I299" s="1335"/>
      <c r="J299" s="1325"/>
      <c r="K299" s="1325"/>
      <c r="L299" s="1538"/>
      <c r="M299" s="1612"/>
      <c r="N299" s="1591"/>
      <c r="O299" s="1035"/>
      <c r="P299" s="1036"/>
      <c r="Q299" s="1036"/>
      <c r="R299" s="1035"/>
    </row>
    <row r="300" spans="1:18" s="121" customFormat="1" ht="12" hidden="1" customHeight="1" x14ac:dyDescent="0.25">
      <c r="B300" s="1561"/>
      <c r="C300" s="2506"/>
      <c r="D300" s="3773"/>
      <c r="E300" s="3120"/>
      <c r="F300" s="1392"/>
      <c r="G300" s="1692"/>
      <c r="H300" s="1317"/>
      <c r="I300" s="1317"/>
      <c r="J300" s="1693"/>
      <c r="K300" s="1693"/>
      <c r="L300" s="1324"/>
      <c r="M300" s="1694"/>
      <c r="N300" s="1666"/>
      <c r="O300" s="1066"/>
      <c r="P300" s="1070"/>
      <c r="Q300" s="1070"/>
      <c r="R300" s="1066"/>
    </row>
    <row r="301" spans="1:18" s="20" customFormat="1" ht="24.75" hidden="1" customHeight="1" x14ac:dyDescent="0.25">
      <c r="A301" s="963"/>
      <c r="B301" s="1342"/>
      <c r="C301" s="2497" t="s">
        <v>4140</v>
      </c>
      <c r="D301" s="2669">
        <f>SUM(D302+D306+D310+D315+D318+D321+D329+D333+D337+D340)</f>
        <v>23469773377</v>
      </c>
      <c r="E301" s="2996">
        <f>D301/121629554000*100</f>
        <v>19.296110694445201</v>
      </c>
      <c r="F301" s="1244">
        <v>23469773377</v>
      </c>
      <c r="G301" s="1244"/>
      <c r="H301" s="1244"/>
      <c r="I301" s="1333"/>
      <c r="J301" s="1695"/>
      <c r="K301" s="1695"/>
      <c r="L301" s="1244"/>
      <c r="M301" s="1333"/>
      <c r="N301" s="840"/>
      <c r="O301" s="1002"/>
      <c r="P301" s="1007"/>
      <c r="Q301" s="1002"/>
      <c r="R301" s="1002"/>
    </row>
    <row r="302" spans="1:18" s="20" customFormat="1" ht="21" hidden="1" customHeight="1" x14ac:dyDescent="0.25">
      <c r="A302" s="963"/>
      <c r="B302" s="1344"/>
      <c r="C302" s="2565" t="s">
        <v>2126</v>
      </c>
      <c r="D302" s="899">
        <f>SUM(D303:D304)</f>
        <v>15730988500</v>
      </c>
      <c r="E302" s="2997">
        <f>D302/121629554000*100</f>
        <v>12.93352477474348</v>
      </c>
      <c r="F302" s="1274"/>
      <c r="G302" s="1696"/>
      <c r="H302" s="1245"/>
      <c r="I302" s="1696"/>
      <c r="J302" s="1697"/>
      <c r="K302" s="1697"/>
      <c r="L302" s="1644"/>
      <c r="M302" s="1314"/>
      <c r="N302" s="840"/>
      <c r="O302" s="1002"/>
      <c r="P302" s="1007"/>
      <c r="Q302" s="1002"/>
      <c r="R302" s="1002"/>
    </row>
    <row r="303" spans="1:18" s="20" customFormat="1" ht="22.5" hidden="1" customHeight="1" x14ac:dyDescent="0.25">
      <c r="A303" s="963"/>
      <c r="B303" s="1344"/>
      <c r="C303" s="2524" t="s">
        <v>2127</v>
      </c>
      <c r="D303" s="896">
        <v>13796708500</v>
      </c>
      <c r="E303" s="3014">
        <f t="shared" ref="E303:E358" si="7">D303/121629554000*100</f>
        <v>11.343220497215668</v>
      </c>
      <c r="F303" s="1294"/>
      <c r="G303" s="1228"/>
      <c r="H303" s="1228"/>
      <c r="I303" s="1228"/>
      <c r="J303" s="1698"/>
      <c r="K303" s="1698"/>
      <c r="L303" s="1229"/>
      <c r="M303" s="1315"/>
      <c r="N303" s="840"/>
      <c r="O303" s="1002"/>
      <c r="P303" s="1007"/>
      <c r="Q303" s="1002"/>
      <c r="R303" s="1002"/>
    </row>
    <row r="304" spans="1:18" s="20" customFormat="1" ht="21" hidden="1" customHeight="1" x14ac:dyDescent="0.25">
      <c r="A304" s="963"/>
      <c r="B304" s="1344"/>
      <c r="C304" s="2494" t="s">
        <v>4315</v>
      </c>
      <c r="D304" s="2706">
        <v>1934280000</v>
      </c>
      <c r="E304" s="3014">
        <f t="shared" si="7"/>
        <v>1.5903042775278118</v>
      </c>
      <c r="F304" s="1242"/>
      <c r="G304" s="1242"/>
      <c r="H304" s="1229"/>
      <c r="I304" s="1242"/>
      <c r="J304" s="1338"/>
      <c r="K304" s="1315"/>
      <c r="L304" s="1338"/>
      <c r="M304" s="1338"/>
      <c r="N304" s="840"/>
      <c r="O304" s="1002"/>
      <c r="P304" s="1007"/>
      <c r="Q304" s="1002"/>
      <c r="R304" s="1002"/>
    </row>
    <row r="305" spans="1:18" s="20" customFormat="1" ht="12" hidden="1" customHeight="1" x14ac:dyDescent="0.25">
      <c r="A305" s="963"/>
      <c r="B305" s="1344"/>
      <c r="C305" s="2494"/>
      <c r="D305" s="2706"/>
      <c r="E305" s="3014"/>
      <c r="F305" s="1242"/>
      <c r="G305" s="1242"/>
      <c r="H305" s="1229"/>
      <c r="I305" s="1242"/>
      <c r="J305" s="1338"/>
      <c r="K305" s="1315"/>
      <c r="L305" s="1338"/>
      <c r="M305" s="1338"/>
      <c r="N305" s="840"/>
      <c r="O305" s="1002"/>
      <c r="P305" s="1007"/>
      <c r="Q305" s="1002"/>
      <c r="R305" s="1002"/>
    </row>
    <row r="306" spans="1:18" s="20" customFormat="1" ht="18.75" hidden="1" customHeight="1" x14ac:dyDescent="0.25">
      <c r="A306" s="963"/>
      <c r="B306" s="1344"/>
      <c r="C306" s="2491" t="s">
        <v>1283</v>
      </c>
      <c r="D306" s="2692">
        <f>SUM(D307:D308)</f>
        <v>524354877</v>
      </c>
      <c r="E306" s="2997">
        <f t="shared" si="7"/>
        <v>0.43110811456235382</v>
      </c>
      <c r="F306" s="1235"/>
      <c r="G306" s="1235"/>
      <c r="H306" s="1235"/>
      <c r="I306" s="1235"/>
      <c r="J306" s="1292"/>
      <c r="K306" s="1292"/>
      <c r="L306" s="1231"/>
      <c r="M306" s="1280"/>
      <c r="N306" s="840"/>
      <c r="O306" s="1002"/>
      <c r="P306" s="1007"/>
      <c r="Q306" s="1002"/>
      <c r="R306" s="1002"/>
    </row>
    <row r="307" spans="1:18" s="20" customFormat="1" ht="18.75" hidden="1" customHeight="1" x14ac:dyDescent="0.25">
      <c r="A307" s="963"/>
      <c r="B307" s="1344"/>
      <c r="C307" s="2473" t="s">
        <v>4316</v>
      </c>
      <c r="D307" s="896">
        <v>182000000</v>
      </c>
      <c r="E307" s="3014">
        <f t="shared" si="7"/>
        <v>0.14963468500427124</v>
      </c>
      <c r="F307" s="1294"/>
      <c r="G307" s="1228"/>
      <c r="H307" s="1228"/>
      <c r="I307" s="1228"/>
      <c r="J307" s="1698"/>
      <c r="K307" s="1698"/>
      <c r="L307" s="1229"/>
      <c r="M307" s="1315"/>
      <c r="N307" s="840"/>
      <c r="O307" s="1002"/>
      <c r="P307" s="1007"/>
      <c r="Q307" s="1002"/>
      <c r="R307" s="1002"/>
    </row>
    <row r="308" spans="1:18" s="20" customFormat="1" ht="20.25" hidden="1" customHeight="1" x14ac:dyDescent="0.25">
      <c r="A308" s="963"/>
      <c r="B308" s="1344"/>
      <c r="C308" s="2473" t="s">
        <v>1285</v>
      </c>
      <c r="D308" s="896">
        <v>342354877</v>
      </c>
      <c r="E308" s="3014">
        <f t="shared" si="7"/>
        <v>0.28147342955808258</v>
      </c>
      <c r="F308" s="1294"/>
      <c r="G308" s="1228"/>
      <c r="H308" s="1228"/>
      <c r="I308" s="1228"/>
      <c r="J308" s="1698"/>
      <c r="K308" s="1277"/>
      <c r="L308" s="1228"/>
      <c r="M308" s="1228"/>
      <c r="N308" s="840"/>
      <c r="O308" s="1002"/>
      <c r="P308" s="1007"/>
      <c r="Q308" s="1002"/>
      <c r="R308" s="1002"/>
    </row>
    <row r="309" spans="1:18" s="20" customFormat="1" ht="12.75" hidden="1" customHeight="1" x14ac:dyDescent="0.25">
      <c r="A309" s="963"/>
      <c r="B309" s="1344"/>
      <c r="C309" s="2494"/>
      <c r="D309" s="2698"/>
      <c r="E309" s="3014"/>
      <c r="F309" s="1323"/>
      <c r="G309" s="1228"/>
      <c r="H309" s="1228"/>
      <c r="I309" s="1228"/>
      <c r="J309" s="1338"/>
      <c r="K309" s="1315"/>
      <c r="L309" s="1338"/>
      <c r="M309" s="1338"/>
      <c r="N309" s="840"/>
      <c r="O309" s="1002"/>
      <c r="P309" s="1007"/>
      <c r="Q309" s="1002"/>
      <c r="R309" s="1002"/>
    </row>
    <row r="310" spans="1:18" s="20" customFormat="1" ht="18" hidden="1" customHeight="1" x14ac:dyDescent="0.25">
      <c r="A310" s="963"/>
      <c r="B310" s="1344"/>
      <c r="C310" s="2491" t="s">
        <v>680</v>
      </c>
      <c r="D310" s="2692">
        <f>SUM(D311:D313)</f>
        <v>2010905000</v>
      </c>
      <c r="E310" s="2997">
        <f t="shared" si="7"/>
        <v>1.653302946420407</v>
      </c>
      <c r="F310" s="1393"/>
      <c r="G310" s="1393"/>
      <c r="H310" s="1235"/>
      <c r="I310" s="1280"/>
      <c r="J310" s="1699"/>
      <c r="K310" s="1699"/>
      <c r="L310" s="1231"/>
      <c r="M310" s="1280"/>
      <c r="N310" s="840"/>
      <c r="O310" s="1002"/>
      <c r="P310" s="1007"/>
      <c r="Q310" s="1002"/>
      <c r="R310" s="1002"/>
    </row>
    <row r="311" spans="1:18" s="20" customFormat="1" ht="18" hidden="1" customHeight="1" x14ac:dyDescent="0.25">
      <c r="A311" s="963"/>
      <c r="B311" s="1344"/>
      <c r="C311" s="2524" t="s">
        <v>1293</v>
      </c>
      <c r="D311" s="896">
        <v>1500000000</v>
      </c>
      <c r="E311" s="3014">
        <f t="shared" si="7"/>
        <v>1.2332528983868509</v>
      </c>
      <c r="F311" s="1294"/>
      <c r="G311" s="1228"/>
      <c r="H311" s="1228"/>
      <c r="I311" s="1228"/>
      <c r="J311" s="1700"/>
      <c r="K311" s="1277"/>
      <c r="L311" s="1228"/>
      <c r="M311" s="1228"/>
      <c r="N311" s="840"/>
      <c r="O311" s="1002"/>
      <c r="P311" s="1007"/>
      <c r="Q311" s="1002"/>
      <c r="R311" s="1002"/>
    </row>
    <row r="312" spans="1:18" s="20" customFormat="1" ht="16.5" hidden="1" customHeight="1" x14ac:dyDescent="0.25">
      <c r="A312" s="963"/>
      <c r="B312" s="1344"/>
      <c r="C312" s="2524" t="s">
        <v>1294</v>
      </c>
      <c r="D312" s="896">
        <v>400000000</v>
      </c>
      <c r="E312" s="3014">
        <f t="shared" si="7"/>
        <v>0.32886743956982695</v>
      </c>
      <c r="F312" s="1294"/>
      <c r="G312" s="1228"/>
      <c r="H312" s="1228"/>
      <c r="I312" s="1228"/>
      <c r="J312" s="1700"/>
      <c r="K312" s="1277"/>
      <c r="L312" s="1228"/>
      <c r="M312" s="1228"/>
      <c r="N312" s="840"/>
      <c r="O312" s="1002"/>
      <c r="P312" s="1007"/>
      <c r="Q312" s="1002"/>
      <c r="R312" s="1002"/>
    </row>
    <row r="313" spans="1:18" s="20" customFormat="1" ht="20.25" hidden="1" customHeight="1" x14ac:dyDescent="0.25">
      <c r="A313" s="963"/>
      <c r="B313" s="1344"/>
      <c r="C313" s="2524" t="s">
        <v>1295</v>
      </c>
      <c r="D313" s="896">
        <v>110905000</v>
      </c>
      <c r="E313" s="3014">
        <f t="shared" si="7"/>
        <v>9.1182608463729137E-2</v>
      </c>
      <c r="F313" s="1294"/>
      <c r="G313" s="1228"/>
      <c r="H313" s="1228"/>
      <c r="I313" s="1228"/>
      <c r="J313" s="1700"/>
      <c r="K313" s="1701"/>
      <c r="L313" s="1229"/>
      <c r="M313" s="1228"/>
      <c r="N313" s="840"/>
      <c r="O313" s="1002"/>
      <c r="P313" s="1007"/>
      <c r="Q313" s="1002"/>
      <c r="R313" s="1002"/>
    </row>
    <row r="314" spans="1:18" s="20" customFormat="1" ht="12" hidden="1" customHeight="1" x14ac:dyDescent="0.25">
      <c r="A314" s="963"/>
      <c r="B314" s="1344"/>
      <c r="C314" s="2551"/>
      <c r="D314" s="2805"/>
      <c r="E314" s="3014"/>
      <c r="F314" s="1394"/>
      <c r="G314" s="1228"/>
      <c r="H314" s="1228"/>
      <c r="I314" s="1228"/>
      <c r="J314" s="1277"/>
      <c r="K314" s="1277"/>
      <c r="L314" s="1228"/>
      <c r="M314" s="1228"/>
      <c r="N314" s="840"/>
      <c r="O314" s="1002"/>
      <c r="P314" s="1007"/>
      <c r="Q314" s="1002"/>
      <c r="R314" s="1002"/>
    </row>
    <row r="315" spans="1:18" s="20" customFormat="1" ht="21" hidden="1" customHeight="1" x14ac:dyDescent="0.25">
      <c r="A315" s="963"/>
      <c r="B315" s="1344"/>
      <c r="C315" s="2525" t="s">
        <v>1296</v>
      </c>
      <c r="D315" s="899">
        <f>SUM(D316:D316)</f>
        <v>181300000</v>
      </c>
      <c r="E315" s="2997">
        <f t="shared" si="7"/>
        <v>0.14905916698502406</v>
      </c>
      <c r="F315" s="1395"/>
      <c r="G315" s="1235"/>
      <c r="H315" s="1235"/>
      <c r="I315" s="1235"/>
      <c r="J315" s="1395"/>
      <c r="K315" s="1395"/>
      <c r="L315" s="1231"/>
      <c r="M315" s="1235"/>
      <c r="N315" s="840"/>
      <c r="O315" s="1002"/>
      <c r="P315" s="1007"/>
      <c r="Q315" s="1002"/>
      <c r="R315" s="1002"/>
    </row>
    <row r="316" spans="1:18" s="20" customFormat="1" ht="21" hidden="1" customHeight="1" x14ac:dyDescent="0.25">
      <c r="A316" s="963"/>
      <c r="B316" s="1344"/>
      <c r="C316" s="2473" t="s">
        <v>4317</v>
      </c>
      <c r="D316" s="896">
        <v>181300000</v>
      </c>
      <c r="E316" s="3014">
        <f t="shared" si="7"/>
        <v>0.14905916698502406</v>
      </c>
      <c r="F316" s="1294"/>
      <c r="G316" s="1228"/>
      <c r="H316" s="1228"/>
      <c r="I316" s="1228"/>
      <c r="J316" s="1700"/>
      <c r="K316" s="1277"/>
      <c r="L316" s="1228"/>
      <c r="M316" s="1228"/>
      <c r="N316" s="840"/>
      <c r="O316" s="1002"/>
      <c r="P316" s="1007"/>
      <c r="Q316" s="1002"/>
      <c r="R316" s="1002"/>
    </row>
    <row r="317" spans="1:18" s="20" customFormat="1" ht="12" hidden="1" customHeight="1" x14ac:dyDescent="0.25">
      <c r="A317" s="963"/>
      <c r="B317" s="1344"/>
      <c r="C317" s="2494"/>
      <c r="D317" s="2698"/>
      <c r="E317" s="3014"/>
      <c r="F317" s="1323"/>
      <c r="G317" s="1228"/>
      <c r="H317" s="1228"/>
      <c r="I317" s="1228"/>
      <c r="J317" s="1277"/>
      <c r="K317" s="1277"/>
      <c r="L317" s="1228"/>
      <c r="M317" s="1228"/>
      <c r="N317" s="840"/>
      <c r="O317" s="1002"/>
      <c r="P317" s="1007"/>
      <c r="Q317" s="1002"/>
      <c r="R317" s="1002"/>
    </row>
    <row r="318" spans="1:18" s="20" customFormat="1" ht="19.5" hidden="1" customHeight="1" x14ac:dyDescent="0.25">
      <c r="A318" s="963"/>
      <c r="B318" s="1344"/>
      <c r="C318" s="2474" t="s">
        <v>1300</v>
      </c>
      <c r="D318" s="899">
        <f>SUM(D319)</f>
        <v>52400000</v>
      </c>
      <c r="E318" s="2997">
        <f t="shared" si="7"/>
        <v>4.3081634583647326E-2</v>
      </c>
      <c r="F318" s="1274"/>
      <c r="G318" s="1235"/>
      <c r="H318" s="1235"/>
      <c r="I318" s="1235"/>
      <c r="J318" s="1395"/>
      <c r="K318" s="1395"/>
      <c r="L318" s="1231"/>
      <c r="M318" s="1280"/>
      <c r="N318" s="840"/>
      <c r="O318" s="1002"/>
      <c r="P318" s="1007"/>
      <c r="Q318" s="1002"/>
      <c r="R318" s="1002"/>
    </row>
    <row r="319" spans="1:18" s="20" customFormat="1" ht="17.25" hidden="1" customHeight="1" x14ac:dyDescent="0.25">
      <c r="A319" s="963"/>
      <c r="B319" s="1344"/>
      <c r="C319" s="2524" t="s">
        <v>4318</v>
      </c>
      <c r="D319" s="896">
        <v>52400000</v>
      </c>
      <c r="E319" s="3014">
        <f t="shared" si="7"/>
        <v>4.3081634583647326E-2</v>
      </c>
      <c r="F319" s="1294"/>
      <c r="G319" s="1228"/>
      <c r="H319" s="1228"/>
      <c r="I319" s="1228"/>
      <c r="J319" s="1700"/>
      <c r="K319" s="1277"/>
      <c r="L319" s="1228"/>
      <c r="M319" s="1228"/>
      <c r="N319" s="840"/>
      <c r="O319" s="1002"/>
      <c r="P319" s="1007"/>
      <c r="Q319" s="1002"/>
      <c r="R319" s="1002"/>
    </row>
    <row r="320" spans="1:18" s="20" customFormat="1" ht="11.25" hidden="1" customHeight="1" x14ac:dyDescent="0.25">
      <c r="A320" s="963"/>
      <c r="B320" s="1344"/>
      <c r="C320" s="2494"/>
      <c r="D320" s="2698"/>
      <c r="E320" s="3014"/>
      <c r="F320" s="1228"/>
      <c r="G320" s="1228"/>
      <c r="H320" s="1229"/>
      <c r="I320" s="1315"/>
      <c r="J320" s="1338"/>
      <c r="K320" s="1315"/>
      <c r="L320" s="1338"/>
      <c r="M320" s="1338"/>
      <c r="N320" s="840"/>
      <c r="O320" s="1002"/>
      <c r="P320" s="1007"/>
      <c r="Q320" s="1002"/>
      <c r="R320" s="1002"/>
    </row>
    <row r="321" spans="1:18" s="20" customFormat="1" ht="23.25" hidden="1" customHeight="1" x14ac:dyDescent="0.25">
      <c r="A321" s="963"/>
      <c r="B321" s="1344"/>
      <c r="C321" s="2552" t="s">
        <v>1302</v>
      </c>
      <c r="D321" s="2692">
        <f>SUM(D322:D327)</f>
        <v>759005000</v>
      </c>
      <c r="E321" s="2997">
        <f t="shared" si="7"/>
        <v>0.62403007742674121</v>
      </c>
      <c r="F321" s="1235"/>
      <c r="G321" s="1235"/>
      <c r="H321" s="1235"/>
      <c r="I321" s="1235"/>
      <c r="J321" s="1292"/>
      <c r="K321" s="1292"/>
      <c r="L321" s="1231"/>
      <c r="M321" s="1280"/>
      <c r="N321" s="840"/>
      <c r="O321" s="1002"/>
      <c r="P321" s="1007"/>
      <c r="Q321" s="1002"/>
      <c r="R321" s="1002"/>
    </row>
    <row r="322" spans="1:18" s="20" customFormat="1" ht="22.5" hidden="1" customHeight="1" x14ac:dyDescent="0.25">
      <c r="A322" s="963"/>
      <c r="B322" s="1344"/>
      <c r="C322" s="2524" t="s">
        <v>1303</v>
      </c>
      <c r="D322" s="896">
        <v>101750000</v>
      </c>
      <c r="E322" s="3014">
        <f t="shared" si="7"/>
        <v>8.3655654940574725E-2</v>
      </c>
      <c r="F322" s="1294"/>
      <c r="G322" s="1228"/>
      <c r="H322" s="1228"/>
      <c r="I322" s="1228"/>
      <c r="J322" s="1698"/>
      <c r="K322" s="1698"/>
      <c r="L322" s="1229"/>
      <c r="M322" s="1315"/>
      <c r="N322" s="840"/>
      <c r="O322" s="1002"/>
      <c r="P322" s="1007"/>
      <c r="Q322" s="1002"/>
      <c r="R322" s="1002"/>
    </row>
    <row r="323" spans="1:18" s="20" customFormat="1" ht="19.5" hidden="1" customHeight="1" x14ac:dyDescent="0.25">
      <c r="A323" s="963"/>
      <c r="B323" s="1344"/>
      <c r="C323" s="2524" t="s">
        <v>4319</v>
      </c>
      <c r="D323" s="896">
        <v>176300000</v>
      </c>
      <c r="E323" s="3014">
        <f t="shared" si="7"/>
        <v>0.14494832399040122</v>
      </c>
      <c r="F323" s="1294"/>
      <c r="G323" s="1228"/>
      <c r="H323" s="1228"/>
      <c r="I323" s="1228"/>
      <c r="J323" s="1698"/>
      <c r="K323" s="1277"/>
      <c r="L323" s="1228"/>
      <c r="M323" s="1228"/>
      <c r="N323" s="840"/>
      <c r="O323" s="1002"/>
      <c r="P323" s="1007"/>
      <c r="Q323" s="1002"/>
      <c r="R323" s="1002"/>
    </row>
    <row r="324" spans="1:18" s="20" customFormat="1" ht="21" hidden="1" customHeight="1" x14ac:dyDescent="0.25">
      <c r="A324" s="963"/>
      <c r="B324" s="1344"/>
      <c r="C324" s="2524" t="s">
        <v>4320</v>
      </c>
      <c r="D324" s="896">
        <v>150000000</v>
      </c>
      <c r="E324" s="3014">
        <f t="shared" si="7"/>
        <v>0.1233252898386851</v>
      </c>
      <c r="F324" s="1294"/>
      <c r="G324" s="1228"/>
      <c r="H324" s="1228"/>
      <c r="I324" s="1228"/>
      <c r="J324" s="1698"/>
      <c r="K324" s="1277"/>
      <c r="L324" s="1228"/>
      <c r="M324" s="1228"/>
      <c r="N324" s="840"/>
      <c r="O324" s="1002"/>
      <c r="P324" s="1007"/>
      <c r="Q324" s="1002"/>
      <c r="R324" s="1002"/>
    </row>
    <row r="325" spans="1:18" s="20" customFormat="1" ht="18.75" hidden="1" customHeight="1" x14ac:dyDescent="0.25">
      <c r="A325" s="963"/>
      <c r="B325" s="1344"/>
      <c r="C325" s="2524" t="s">
        <v>4321</v>
      </c>
      <c r="D325" s="896">
        <v>42555000</v>
      </c>
      <c r="E325" s="3014">
        <f t="shared" si="7"/>
        <v>3.4987384727234963E-2</v>
      </c>
      <c r="F325" s="1294"/>
      <c r="G325" s="1228"/>
      <c r="H325" s="1228"/>
      <c r="I325" s="1228"/>
      <c r="J325" s="1698"/>
      <c r="K325" s="1698"/>
      <c r="L325" s="1229"/>
      <c r="M325" s="1315"/>
      <c r="N325" s="840"/>
      <c r="O325" s="1002"/>
      <c r="P325" s="1007"/>
      <c r="Q325" s="1002"/>
      <c r="R325" s="1002"/>
    </row>
    <row r="326" spans="1:18" s="20" customFormat="1" ht="18.75" hidden="1" customHeight="1" x14ac:dyDescent="0.25">
      <c r="A326" s="963"/>
      <c r="B326" s="1344"/>
      <c r="C326" s="2524" t="s">
        <v>4322</v>
      </c>
      <c r="D326" s="896">
        <v>100940000</v>
      </c>
      <c r="E326" s="3014">
        <f t="shared" si="7"/>
        <v>8.2989698375445814E-2</v>
      </c>
      <c r="F326" s="1294"/>
      <c r="G326" s="1228"/>
      <c r="H326" s="1228"/>
      <c r="I326" s="1228"/>
      <c r="J326" s="1698"/>
      <c r="K326" s="1698"/>
      <c r="L326" s="1229"/>
      <c r="M326" s="1228"/>
      <c r="N326" s="840"/>
      <c r="O326" s="1002"/>
      <c r="P326" s="1007"/>
      <c r="Q326" s="1002"/>
      <c r="R326" s="1002"/>
    </row>
    <row r="327" spans="1:18" s="20" customFormat="1" ht="20.25" hidden="1" customHeight="1" x14ac:dyDescent="0.25">
      <c r="A327" s="963"/>
      <c r="B327" s="1344"/>
      <c r="C327" s="2524" t="s">
        <v>4323</v>
      </c>
      <c r="D327" s="896">
        <v>187460000</v>
      </c>
      <c r="E327" s="3014">
        <f t="shared" si="7"/>
        <v>0.1541237255543994</v>
      </c>
      <c r="F327" s="1294"/>
      <c r="G327" s="1228"/>
      <c r="H327" s="1228"/>
      <c r="I327" s="1228"/>
      <c r="J327" s="1698"/>
      <c r="K327" s="1698"/>
      <c r="L327" s="1229"/>
      <c r="M327" s="1315"/>
      <c r="N327" s="840"/>
      <c r="O327" s="1002"/>
      <c r="P327" s="1007"/>
      <c r="Q327" s="1002"/>
      <c r="R327" s="1002"/>
    </row>
    <row r="328" spans="1:18" s="20" customFormat="1" ht="12" hidden="1" customHeight="1" x14ac:dyDescent="0.25">
      <c r="A328" s="963"/>
      <c r="B328" s="1344"/>
      <c r="C328" s="2553"/>
      <c r="D328" s="2698"/>
      <c r="E328" s="3014"/>
      <c r="F328" s="1228"/>
      <c r="G328" s="1228"/>
      <c r="H328" s="1228"/>
      <c r="I328" s="1228"/>
      <c r="J328" s="1277"/>
      <c r="K328" s="1315"/>
      <c r="L328" s="1315"/>
      <c r="M328" s="1315"/>
      <c r="N328" s="840"/>
      <c r="O328" s="1002"/>
      <c r="P328" s="1007"/>
      <c r="Q328" s="1002"/>
      <c r="R328" s="1002"/>
    </row>
    <row r="329" spans="1:18" s="20" customFormat="1" ht="22.5" hidden="1" customHeight="1" x14ac:dyDescent="0.25">
      <c r="A329" s="963"/>
      <c r="B329" s="1344"/>
      <c r="C329" s="2525" t="s">
        <v>1310</v>
      </c>
      <c r="D329" s="2812">
        <f>SUM(D330:D331)</f>
        <v>198000000</v>
      </c>
      <c r="E329" s="2997">
        <f t="shared" si="7"/>
        <v>0.16278938258706432</v>
      </c>
      <c r="F329" s="1396"/>
      <c r="G329" s="1235"/>
      <c r="H329" s="1235"/>
      <c r="I329" s="1235"/>
      <c r="J329" s="1396"/>
      <c r="K329" s="1396"/>
      <c r="L329" s="1231"/>
      <c r="M329" s="1235"/>
      <c r="N329" s="840"/>
      <c r="O329" s="1002"/>
      <c r="P329" s="1007"/>
      <c r="Q329" s="1002"/>
      <c r="R329" s="1002"/>
    </row>
    <row r="330" spans="1:18" s="20" customFormat="1" ht="19.5" hidden="1" customHeight="1" x14ac:dyDescent="0.25">
      <c r="A330" s="963"/>
      <c r="B330" s="1344"/>
      <c r="C330" s="2524" t="s">
        <v>1311</v>
      </c>
      <c r="D330" s="896">
        <v>134000000</v>
      </c>
      <c r="E330" s="3014">
        <f t="shared" si="7"/>
        <v>0.11017059225589203</v>
      </c>
      <c r="F330" s="1294"/>
      <c r="G330" s="1228"/>
      <c r="H330" s="1228"/>
      <c r="I330" s="1228"/>
      <c r="J330" s="1698"/>
      <c r="K330" s="1698"/>
      <c r="L330" s="1229"/>
      <c r="M330" s="1315"/>
      <c r="N330" s="840"/>
      <c r="O330" s="1002"/>
      <c r="P330" s="1007"/>
      <c r="Q330" s="1002"/>
      <c r="R330" s="1002"/>
    </row>
    <row r="331" spans="1:18" s="20" customFormat="1" ht="18.75" hidden="1" customHeight="1" x14ac:dyDescent="0.25">
      <c r="A331" s="963"/>
      <c r="B331" s="1344"/>
      <c r="C331" s="2473" t="s">
        <v>4324</v>
      </c>
      <c r="D331" s="2698">
        <v>64000000</v>
      </c>
      <c r="E331" s="3014">
        <f t="shared" si="7"/>
        <v>5.2618790331172303E-2</v>
      </c>
      <c r="F331" s="1228"/>
      <c r="G331" s="1228"/>
      <c r="H331" s="1228"/>
      <c r="I331" s="1228"/>
      <c r="J331" s="1277"/>
      <c r="K331" s="1277"/>
      <c r="L331" s="1228"/>
      <c r="M331" s="1228"/>
      <c r="N331" s="840"/>
      <c r="O331" s="1002"/>
      <c r="P331" s="1007"/>
      <c r="Q331" s="1002"/>
      <c r="R331" s="1002"/>
    </row>
    <row r="332" spans="1:18" s="20" customFormat="1" ht="12" hidden="1" customHeight="1" x14ac:dyDescent="0.25">
      <c r="A332" s="963"/>
      <c r="B332" s="1344"/>
      <c r="C332" s="2473"/>
      <c r="D332" s="2698"/>
      <c r="E332" s="3014"/>
      <c r="F332" s="1228"/>
      <c r="G332" s="1228"/>
      <c r="H332" s="1228"/>
      <c r="I332" s="1228"/>
      <c r="J332" s="1277"/>
      <c r="K332" s="1277"/>
      <c r="L332" s="1228"/>
      <c r="M332" s="1228"/>
      <c r="N332" s="840"/>
      <c r="O332" s="1002"/>
      <c r="P332" s="1007"/>
      <c r="Q332" s="1002"/>
      <c r="R332" s="1002"/>
    </row>
    <row r="333" spans="1:18" s="20" customFormat="1" ht="21.75" hidden="1" customHeight="1" x14ac:dyDescent="0.25">
      <c r="A333" s="963"/>
      <c r="B333" s="1344"/>
      <c r="C333" s="2525" t="s">
        <v>4325</v>
      </c>
      <c r="D333" s="2812">
        <f>SUM(D334:D335)</f>
        <v>159000000</v>
      </c>
      <c r="E333" s="2997">
        <f t="shared" si="7"/>
        <v>0.1307248072290062</v>
      </c>
      <c r="F333" s="1396"/>
      <c r="G333" s="1396"/>
      <c r="H333" s="1235"/>
      <c r="I333" s="1235"/>
      <c r="J333" s="1396"/>
      <c r="K333" s="1396"/>
      <c r="L333" s="1231"/>
      <c r="M333" s="1235"/>
      <c r="N333" s="840"/>
      <c r="O333" s="1002"/>
      <c r="P333" s="1007"/>
      <c r="Q333" s="1002"/>
      <c r="R333" s="1002"/>
    </row>
    <row r="334" spans="1:18" s="20" customFormat="1" ht="16.5" hidden="1" customHeight="1" x14ac:dyDescent="0.25">
      <c r="A334" s="963"/>
      <c r="B334" s="1344"/>
      <c r="C334" s="2524" t="s">
        <v>4326</v>
      </c>
      <c r="D334" s="896">
        <v>6500000</v>
      </c>
      <c r="E334" s="3014">
        <f t="shared" si="7"/>
        <v>5.3440958930096871E-3</v>
      </c>
      <c r="F334" s="1294"/>
      <c r="G334" s="1228"/>
      <c r="H334" s="1228"/>
      <c r="I334" s="1228"/>
      <c r="J334" s="1698"/>
      <c r="K334" s="1698"/>
      <c r="L334" s="1229"/>
      <c r="M334" s="1315"/>
      <c r="N334" s="840"/>
      <c r="O334" s="1002"/>
      <c r="P334" s="1007"/>
      <c r="Q334" s="1002"/>
      <c r="R334" s="1002"/>
    </row>
    <row r="335" spans="1:18" s="20" customFormat="1" ht="30" hidden="1" customHeight="1" x14ac:dyDescent="0.25">
      <c r="A335" s="963"/>
      <c r="B335" s="1344"/>
      <c r="C335" s="2524" t="s">
        <v>4327</v>
      </c>
      <c r="D335" s="896">
        <v>152500000</v>
      </c>
      <c r="E335" s="3014">
        <f t="shared" si="7"/>
        <v>0.12538071133599651</v>
      </c>
      <c r="F335" s="1294"/>
      <c r="G335" s="1228"/>
      <c r="H335" s="1228"/>
      <c r="I335" s="1228"/>
      <c r="J335" s="1698"/>
      <c r="K335" s="1698"/>
      <c r="L335" s="1229"/>
      <c r="M335" s="1228"/>
      <c r="N335" s="840"/>
      <c r="O335" s="1002"/>
      <c r="P335" s="1007"/>
      <c r="Q335" s="1002"/>
      <c r="R335" s="1002"/>
    </row>
    <row r="336" spans="1:18" s="20" customFormat="1" ht="13.5" hidden="1" customHeight="1" x14ac:dyDescent="0.25">
      <c r="A336" s="963"/>
      <c r="B336" s="1344"/>
      <c r="C336" s="2527"/>
      <c r="D336" s="898"/>
      <c r="E336" s="3014"/>
      <c r="F336" s="1517"/>
      <c r="G336" s="1228"/>
      <c r="H336" s="1229"/>
      <c r="I336" s="1315"/>
      <c r="J336" s="1277"/>
      <c r="K336" s="1315"/>
      <c r="L336" s="1315"/>
      <c r="M336" s="1315"/>
      <c r="N336" s="840"/>
      <c r="O336" s="1002"/>
      <c r="P336" s="1007"/>
      <c r="Q336" s="1002"/>
      <c r="R336" s="1002"/>
    </row>
    <row r="337" spans="1:18" s="20" customFormat="1" ht="28.5" hidden="1" customHeight="1" x14ac:dyDescent="0.25">
      <c r="A337" s="963"/>
      <c r="B337" s="1344"/>
      <c r="C337" s="2525" t="s">
        <v>1317</v>
      </c>
      <c r="D337" s="899">
        <f>D338</f>
        <v>300000000</v>
      </c>
      <c r="E337" s="2997">
        <f t="shared" si="7"/>
        <v>0.2466505796773702</v>
      </c>
      <c r="F337" s="1274"/>
      <c r="G337" s="1235"/>
      <c r="H337" s="1235"/>
      <c r="I337" s="1235"/>
      <c r="J337" s="1395"/>
      <c r="K337" s="1292"/>
      <c r="L337" s="1235"/>
      <c r="M337" s="1235"/>
      <c r="N337" s="840"/>
      <c r="O337" s="1002"/>
      <c r="P337" s="1007"/>
      <c r="Q337" s="1002"/>
      <c r="R337" s="1002"/>
    </row>
    <row r="338" spans="1:18" s="20" customFormat="1" ht="22.5" hidden="1" customHeight="1" x14ac:dyDescent="0.25">
      <c r="A338" s="963"/>
      <c r="B338" s="1344"/>
      <c r="C338" s="2554" t="s">
        <v>1318</v>
      </c>
      <c r="D338" s="3097">
        <v>300000000</v>
      </c>
      <c r="E338" s="3014">
        <f t="shared" si="7"/>
        <v>0.2466505796773702</v>
      </c>
      <c r="F338" s="1327"/>
      <c r="G338" s="1228"/>
      <c r="H338" s="1228"/>
      <c r="I338" s="1228"/>
      <c r="J338" s="1702"/>
      <c r="K338" s="1277"/>
      <c r="L338" s="1228"/>
      <c r="M338" s="1228"/>
      <c r="N338" s="840"/>
      <c r="O338" s="1002"/>
      <c r="P338" s="1007"/>
      <c r="Q338" s="1002"/>
      <c r="R338" s="1002"/>
    </row>
    <row r="339" spans="1:18" s="20" customFormat="1" ht="10.5" hidden="1" customHeight="1" x14ac:dyDescent="0.25">
      <c r="A339" s="963"/>
      <c r="B339" s="1344"/>
      <c r="C339" s="2554"/>
      <c r="D339" s="3097"/>
      <c r="E339" s="3014"/>
      <c r="F339" s="1327"/>
      <c r="G339" s="1228"/>
      <c r="H339" s="1229"/>
      <c r="I339" s="1315"/>
      <c r="J339" s="1277"/>
      <c r="K339" s="1315"/>
      <c r="L339" s="1315"/>
      <c r="M339" s="1315"/>
      <c r="N339" s="840"/>
      <c r="O339" s="1002"/>
      <c r="P339" s="1007"/>
      <c r="Q339" s="1002"/>
      <c r="R339" s="1002"/>
    </row>
    <row r="340" spans="1:18" s="20" customFormat="1" ht="24.75" hidden="1" customHeight="1" x14ac:dyDescent="0.25">
      <c r="A340" s="963"/>
      <c r="B340" s="1344"/>
      <c r="C340" s="2474" t="s">
        <v>1319</v>
      </c>
      <c r="D340" s="899">
        <f>SUM(D341:D345)</f>
        <v>3553820000</v>
      </c>
      <c r="E340" s="2997">
        <f t="shared" si="7"/>
        <v>2.9218392102301056</v>
      </c>
      <c r="F340" s="1274"/>
      <c r="G340" s="1274"/>
      <c r="H340" s="1235"/>
      <c r="I340" s="1280"/>
      <c r="J340" s="1395"/>
      <c r="K340" s="1395"/>
      <c r="L340" s="1231"/>
      <c r="M340" s="1280"/>
      <c r="N340" s="840"/>
      <c r="O340" s="1002"/>
      <c r="P340" s="1007"/>
      <c r="Q340" s="1002"/>
      <c r="R340" s="1002"/>
    </row>
    <row r="341" spans="1:18" s="20" customFormat="1" ht="20.25" hidden="1" customHeight="1" x14ac:dyDescent="0.25">
      <c r="A341" s="963"/>
      <c r="B341" s="1344"/>
      <c r="C341" s="2524" t="s">
        <v>4328</v>
      </c>
      <c r="D341" s="896">
        <v>348000000</v>
      </c>
      <c r="E341" s="3014">
        <f t="shared" si="7"/>
        <v>0.28611467242574939</v>
      </c>
      <c r="F341" s="1294"/>
      <c r="G341" s="1228"/>
      <c r="H341" s="1228"/>
      <c r="I341" s="1228"/>
      <c r="J341" s="1698"/>
      <c r="K341" s="1698"/>
      <c r="L341" s="1229"/>
      <c r="M341" s="1315"/>
      <c r="N341" s="840"/>
      <c r="O341" s="1002"/>
      <c r="P341" s="1007"/>
      <c r="Q341" s="1002"/>
      <c r="R341" s="1002"/>
    </row>
    <row r="342" spans="1:18" s="20" customFormat="1" ht="19.5" hidden="1" customHeight="1" x14ac:dyDescent="0.25">
      <c r="A342" s="963"/>
      <c r="B342" s="1344"/>
      <c r="C342" s="2524" t="s">
        <v>4329</v>
      </c>
      <c r="D342" s="896">
        <v>515000000</v>
      </c>
      <c r="E342" s="3014">
        <f t="shared" si="7"/>
        <v>0.42341682844615219</v>
      </c>
      <c r="F342" s="1294"/>
      <c r="G342" s="1228"/>
      <c r="H342" s="1228"/>
      <c r="I342" s="1228"/>
      <c r="J342" s="1698"/>
      <c r="K342" s="1698"/>
      <c r="L342" s="1229"/>
      <c r="M342" s="1315"/>
      <c r="N342" s="840"/>
      <c r="O342" s="1002"/>
      <c r="P342" s="1007"/>
      <c r="Q342" s="1002"/>
      <c r="R342" s="1002"/>
    </row>
    <row r="343" spans="1:18" s="20" customFormat="1" ht="16.5" hidden="1" customHeight="1" x14ac:dyDescent="0.25">
      <c r="A343" s="963"/>
      <c r="B343" s="1344"/>
      <c r="C343" s="2524" t="s">
        <v>4330</v>
      </c>
      <c r="D343" s="896">
        <v>447600000</v>
      </c>
      <c r="E343" s="3014">
        <f t="shared" si="7"/>
        <v>0.36800266487863631</v>
      </c>
      <c r="F343" s="1294"/>
      <c r="G343" s="1228"/>
      <c r="H343" s="1228"/>
      <c r="I343" s="1228"/>
      <c r="J343" s="1698"/>
      <c r="K343" s="1698"/>
      <c r="L343" s="1229"/>
      <c r="M343" s="1315"/>
      <c r="N343" s="840"/>
      <c r="O343" s="1002"/>
      <c r="P343" s="1007"/>
      <c r="Q343" s="1002"/>
      <c r="R343" s="1002"/>
    </row>
    <row r="344" spans="1:18" s="20" customFormat="1" ht="17.25" hidden="1" customHeight="1" x14ac:dyDescent="0.25">
      <c r="A344" s="963"/>
      <c r="B344" s="1344"/>
      <c r="C344" s="2524" t="s">
        <v>4331</v>
      </c>
      <c r="D344" s="896">
        <v>2123820000</v>
      </c>
      <c r="E344" s="3014">
        <f t="shared" si="7"/>
        <v>1.7461381137679743</v>
      </c>
      <c r="F344" s="1294"/>
      <c r="G344" s="1228"/>
      <c r="H344" s="1228"/>
      <c r="I344" s="1315"/>
      <c r="J344" s="1698"/>
      <c r="K344" s="1698"/>
      <c r="L344" s="1229"/>
      <c r="M344" s="1315"/>
      <c r="N344" s="840"/>
      <c r="O344" s="1002"/>
      <c r="P344" s="1007"/>
      <c r="Q344" s="1002"/>
      <c r="R344" s="1002"/>
    </row>
    <row r="345" spans="1:18" s="20" customFormat="1" ht="20.25" hidden="1" customHeight="1" x14ac:dyDescent="0.25">
      <c r="A345" s="963"/>
      <c r="B345" s="1344"/>
      <c r="C345" s="2524" t="s">
        <v>4332</v>
      </c>
      <c r="D345" s="896">
        <v>119400000</v>
      </c>
      <c r="E345" s="3014">
        <f t="shared" si="7"/>
        <v>9.8166930711593325E-2</v>
      </c>
      <c r="F345" s="1294"/>
      <c r="G345" s="1228"/>
      <c r="H345" s="1228"/>
      <c r="I345" s="1228"/>
      <c r="J345" s="1698"/>
      <c r="K345" s="1698"/>
      <c r="L345" s="1229"/>
      <c r="M345" s="1315"/>
      <c r="N345" s="840"/>
      <c r="O345" s="1002"/>
      <c r="P345" s="1007"/>
      <c r="Q345" s="1002"/>
      <c r="R345" s="1002"/>
    </row>
    <row r="346" spans="1:18" s="123" customFormat="1" ht="15.75" hidden="1" customHeight="1" x14ac:dyDescent="0.25">
      <c r="B346" s="1668"/>
      <c r="C346" s="2524"/>
      <c r="D346" s="2971"/>
      <c r="E346" s="3014"/>
      <c r="F346" s="1393"/>
      <c r="G346" s="1393"/>
      <c r="H346" s="1235"/>
      <c r="I346" s="1235"/>
      <c r="J346" s="1393"/>
      <c r="K346" s="1393"/>
      <c r="L346" s="1240"/>
      <c r="M346" s="1663"/>
      <c r="N346" s="1667"/>
      <c r="O346" s="1072"/>
      <c r="P346" s="1073"/>
      <c r="Q346" s="1073"/>
      <c r="R346" s="1072"/>
    </row>
    <row r="347" spans="1:18" s="123" customFormat="1" ht="30.75" hidden="1" customHeight="1" x14ac:dyDescent="0.25">
      <c r="B347" s="1668"/>
      <c r="C347" s="2525" t="s">
        <v>1317</v>
      </c>
      <c r="D347" s="3116">
        <f>D348</f>
        <v>500000000</v>
      </c>
      <c r="E347" s="2997">
        <f t="shared" si="7"/>
        <v>0.41108429946228364</v>
      </c>
      <c r="F347" s="1302"/>
      <c r="G347" s="1228"/>
      <c r="H347" s="1228"/>
      <c r="I347" s="1228"/>
      <c r="J347" s="1303"/>
      <c r="K347" s="1228"/>
      <c r="L347" s="1228"/>
      <c r="M347" s="1617"/>
      <c r="N347" s="1667"/>
      <c r="O347" s="1072"/>
      <c r="P347" s="1073"/>
      <c r="Q347" s="1073"/>
      <c r="R347" s="1072"/>
    </row>
    <row r="348" spans="1:18" s="123" customFormat="1" ht="24" hidden="1" customHeight="1" x14ac:dyDescent="0.25">
      <c r="B348" s="1668"/>
      <c r="C348" s="2554" t="s">
        <v>1318</v>
      </c>
      <c r="D348" s="3098">
        <v>500000000</v>
      </c>
      <c r="E348" s="3014">
        <f t="shared" si="7"/>
        <v>0.41108429946228364</v>
      </c>
      <c r="F348" s="1323"/>
      <c r="G348" s="1228"/>
      <c r="H348" s="1228"/>
      <c r="I348" s="1228"/>
      <c r="J348" s="1303"/>
      <c r="K348" s="1303"/>
      <c r="L348" s="1239"/>
      <c r="M348" s="1608"/>
      <c r="N348" s="1667"/>
      <c r="O348" s="1072"/>
      <c r="P348" s="1073"/>
      <c r="Q348" s="1073"/>
      <c r="R348" s="1072"/>
    </row>
    <row r="349" spans="1:18" s="123" customFormat="1" ht="15.75" hidden="1" customHeight="1" x14ac:dyDescent="0.25">
      <c r="B349" s="1668"/>
      <c r="C349" s="2554"/>
      <c r="D349" s="3098"/>
      <c r="E349" s="3014"/>
      <c r="F349" s="1323"/>
      <c r="G349" s="1228"/>
      <c r="H349" s="1228"/>
      <c r="I349" s="1228"/>
      <c r="J349" s="1303"/>
      <c r="K349" s="1303"/>
      <c r="L349" s="1239"/>
      <c r="M349" s="1608"/>
      <c r="N349" s="1667"/>
      <c r="O349" s="1072"/>
      <c r="P349" s="1073"/>
      <c r="Q349" s="1073"/>
      <c r="R349" s="1072"/>
    </row>
    <row r="350" spans="1:18" s="123" customFormat="1" ht="21" hidden="1" customHeight="1" x14ac:dyDescent="0.25">
      <c r="B350" s="1668"/>
      <c r="C350" s="2474" t="s">
        <v>1319</v>
      </c>
      <c r="D350" s="3116">
        <f>SUM(D351:D358)</f>
        <v>5474824000</v>
      </c>
      <c r="E350" s="2997">
        <f t="shared" si="7"/>
        <v>4.5012283774385953</v>
      </c>
      <c r="F350" s="1323"/>
      <c r="G350" s="1228"/>
      <c r="H350" s="1228"/>
      <c r="I350" s="1228"/>
      <c r="J350" s="1228"/>
      <c r="K350" s="1293"/>
      <c r="L350" s="1293"/>
      <c r="M350" s="1608"/>
      <c r="N350" s="1667"/>
      <c r="O350" s="1072"/>
      <c r="P350" s="1073"/>
      <c r="Q350" s="1073"/>
      <c r="R350" s="1072"/>
    </row>
    <row r="351" spans="1:18" s="123" customFormat="1" ht="19.5" hidden="1" customHeight="1" x14ac:dyDescent="0.25">
      <c r="B351" s="1668"/>
      <c r="C351" s="2524" t="s">
        <v>1320</v>
      </c>
      <c r="D351" s="2971">
        <v>1243104000</v>
      </c>
      <c r="E351" s="3014">
        <f t="shared" si="7"/>
        <v>1.0220410739975254</v>
      </c>
      <c r="F351" s="1393"/>
      <c r="G351" s="1235"/>
      <c r="H351" s="1235"/>
      <c r="I351" s="1235"/>
      <c r="J351" s="1393"/>
      <c r="K351" s="1235"/>
      <c r="L351" s="1235"/>
      <c r="M351" s="1620"/>
      <c r="N351" s="1667"/>
      <c r="O351" s="1072"/>
      <c r="P351" s="1073"/>
      <c r="Q351" s="1073"/>
      <c r="R351" s="1072"/>
    </row>
    <row r="352" spans="1:18" s="123" customFormat="1" ht="20.25" hidden="1" customHeight="1" x14ac:dyDescent="0.25">
      <c r="B352" s="1668"/>
      <c r="C352" s="2524" t="s">
        <v>1321</v>
      </c>
      <c r="D352" s="2971">
        <v>585600000</v>
      </c>
      <c r="E352" s="3014">
        <f t="shared" si="7"/>
        <v>0.48146193153022659</v>
      </c>
      <c r="F352" s="1323"/>
      <c r="G352" s="1228"/>
      <c r="H352" s="1228"/>
      <c r="I352" s="1228"/>
      <c r="J352" s="1323"/>
      <c r="K352" s="1228"/>
      <c r="L352" s="1228"/>
      <c r="M352" s="1617"/>
      <c r="N352" s="1667"/>
      <c r="O352" s="1072"/>
      <c r="P352" s="1073"/>
      <c r="Q352" s="1073"/>
      <c r="R352" s="1072"/>
    </row>
    <row r="353" spans="1:18" s="123" customFormat="1" ht="18" hidden="1" customHeight="1" x14ac:dyDescent="0.25">
      <c r="B353" s="1668"/>
      <c r="C353" s="2524" t="s">
        <v>1322</v>
      </c>
      <c r="D353" s="2971">
        <v>515000000</v>
      </c>
      <c r="E353" s="3014">
        <f t="shared" si="7"/>
        <v>0.42341682844615219</v>
      </c>
      <c r="F353" s="1323"/>
      <c r="G353" s="1228"/>
      <c r="H353" s="1293"/>
      <c r="I353" s="1293"/>
      <c r="J353" s="1322"/>
      <c r="K353" s="1293"/>
      <c r="L353" s="1290"/>
      <c r="M353" s="1703"/>
      <c r="N353" s="1667"/>
      <c r="O353" s="1072"/>
      <c r="P353" s="1073"/>
      <c r="Q353" s="1073"/>
      <c r="R353" s="1072"/>
    </row>
    <row r="354" spans="1:18" s="123" customFormat="1" ht="20.25" hidden="1" customHeight="1" x14ac:dyDescent="0.25">
      <c r="B354" s="1668"/>
      <c r="C354" s="2524" t="s">
        <v>1323</v>
      </c>
      <c r="D354" s="2971">
        <v>447600000</v>
      </c>
      <c r="E354" s="3014">
        <f t="shared" si="7"/>
        <v>0.36800266487863631</v>
      </c>
      <c r="F354" s="1393"/>
      <c r="G354" s="1393"/>
      <c r="H354" s="1235"/>
      <c r="I354" s="1290"/>
      <c r="J354" s="1393"/>
      <c r="K354" s="1393"/>
      <c r="L354" s="1240"/>
      <c r="M354" s="1663"/>
      <c r="N354" s="1667"/>
      <c r="O354" s="1072"/>
      <c r="P354" s="1073"/>
      <c r="Q354" s="1073"/>
      <c r="R354" s="1072"/>
    </row>
    <row r="355" spans="1:18" s="123" customFormat="1" ht="18.75" hidden="1" customHeight="1" x14ac:dyDescent="0.25">
      <c r="B355" s="1668"/>
      <c r="C355" s="2524" t="s">
        <v>1324</v>
      </c>
      <c r="D355" s="2971">
        <v>222000000</v>
      </c>
      <c r="E355" s="3014">
        <f t="shared" si="7"/>
        <v>0.18252142896125395</v>
      </c>
      <c r="F355" s="1323"/>
      <c r="G355" s="1228"/>
      <c r="H355" s="1228"/>
      <c r="I355" s="1228"/>
      <c r="J355" s="1303"/>
      <c r="K355" s="1303"/>
      <c r="L355" s="1239"/>
      <c r="M355" s="1608"/>
      <c r="N355" s="1667"/>
      <c r="O355" s="1072"/>
      <c r="P355" s="1073"/>
      <c r="Q355" s="1073"/>
      <c r="R355" s="1072"/>
    </row>
    <row r="356" spans="1:18" s="123" customFormat="1" ht="19.5" hidden="1" customHeight="1" x14ac:dyDescent="0.25">
      <c r="B356" s="1668"/>
      <c r="C356" s="2524" t="s">
        <v>1325</v>
      </c>
      <c r="D356" s="2971">
        <v>178700000</v>
      </c>
      <c r="E356" s="3014">
        <f t="shared" si="7"/>
        <v>0.14692152862782018</v>
      </c>
      <c r="F356" s="1323"/>
      <c r="G356" s="1228"/>
      <c r="H356" s="1228"/>
      <c r="I356" s="1228"/>
      <c r="J356" s="1303"/>
      <c r="K356" s="1303"/>
      <c r="L356" s="1239"/>
      <c r="M356" s="1608"/>
      <c r="N356" s="1667"/>
      <c r="O356" s="1072"/>
      <c r="P356" s="1073"/>
      <c r="Q356" s="1073"/>
      <c r="R356" s="1072"/>
    </row>
    <row r="357" spans="1:18" s="123" customFormat="1" ht="21" hidden="1" customHeight="1" x14ac:dyDescent="0.25">
      <c r="B357" s="1668"/>
      <c r="C357" s="2524" t="s">
        <v>1326</v>
      </c>
      <c r="D357" s="2971">
        <v>2123820000</v>
      </c>
      <c r="E357" s="3014">
        <f t="shared" si="7"/>
        <v>1.7461381137679743</v>
      </c>
      <c r="F357" s="1323"/>
      <c r="G357" s="1228"/>
      <c r="H357" s="1228"/>
      <c r="I357" s="1228"/>
      <c r="J357" s="1303"/>
      <c r="K357" s="1303"/>
      <c r="L357" s="1239"/>
      <c r="M357" s="1608"/>
      <c r="N357" s="1667"/>
      <c r="O357" s="1072"/>
      <c r="P357" s="1073"/>
      <c r="Q357" s="1073"/>
      <c r="R357" s="1072"/>
    </row>
    <row r="358" spans="1:18" s="123" customFormat="1" ht="20.25" hidden="1" customHeight="1" x14ac:dyDescent="0.25">
      <c r="B358" s="1704"/>
      <c r="C358" s="2524" t="s">
        <v>1327</v>
      </c>
      <c r="D358" s="2971">
        <v>159000000</v>
      </c>
      <c r="E358" s="3014">
        <f t="shared" si="7"/>
        <v>0.1307248072290062</v>
      </c>
      <c r="F358" s="1323"/>
      <c r="G358" s="1228"/>
      <c r="H358" s="1228"/>
      <c r="I358" s="1293"/>
      <c r="J358" s="1303"/>
      <c r="K358" s="1303"/>
      <c r="L358" s="1239"/>
      <c r="M358" s="1608"/>
      <c r="N358" s="1667"/>
      <c r="O358" s="1072"/>
      <c r="P358" s="1073"/>
      <c r="Q358" s="1073"/>
      <c r="R358" s="1072"/>
    </row>
    <row r="359" spans="1:18" s="121" customFormat="1" ht="12.75" hidden="1" customHeight="1" x14ac:dyDescent="0.25">
      <c r="B359" s="1665"/>
      <c r="C359" s="3777"/>
      <c r="D359" s="3783"/>
      <c r="E359" s="3022"/>
      <c r="F359" s="1518"/>
      <c r="G359" s="1255"/>
      <c r="H359" s="1255"/>
      <c r="I359" s="1255"/>
      <c r="J359" s="1255"/>
      <c r="K359" s="1255"/>
      <c r="L359" s="1255"/>
      <c r="M359" s="1631"/>
      <c r="N359" s="1666"/>
      <c r="O359" s="1066"/>
      <c r="P359" s="1070"/>
      <c r="Q359" s="1070"/>
      <c r="R359" s="1066"/>
    </row>
    <row r="360" spans="1:18" s="20" customFormat="1" ht="19.5" hidden="1" customHeight="1" x14ac:dyDescent="0.25">
      <c r="A360" s="963"/>
      <c r="B360" s="1342"/>
      <c r="C360" s="2497" t="s">
        <v>1328</v>
      </c>
      <c r="D360" s="2669">
        <f>SUM(D361+D364)</f>
        <v>5345727330</v>
      </c>
      <c r="E360" s="2996">
        <f>D360/121629554000*100</f>
        <v>4.3950891491388679</v>
      </c>
      <c r="F360" s="1244"/>
      <c r="G360" s="1244"/>
      <c r="H360" s="1244"/>
      <c r="I360" s="1333"/>
      <c r="J360" s="1695"/>
      <c r="K360" s="1695"/>
      <c r="L360" s="1244"/>
      <c r="M360" s="1333"/>
      <c r="N360" s="840"/>
      <c r="O360" s="1002"/>
      <c r="P360" s="1007"/>
      <c r="Q360" s="1002"/>
      <c r="R360" s="1002"/>
    </row>
    <row r="361" spans="1:18" s="20" customFormat="1" ht="19.5" hidden="1" customHeight="1" x14ac:dyDescent="0.25">
      <c r="A361" s="963"/>
      <c r="B361" s="1344"/>
      <c r="C361" s="2482" t="s">
        <v>103</v>
      </c>
      <c r="D361" s="2721">
        <f>SUM(D362)</f>
        <v>52060000</v>
      </c>
      <c r="E361" s="2997">
        <f>D361/121629554000*100</f>
        <v>4.2802097260012974E-2</v>
      </c>
      <c r="F361" s="1245"/>
      <c r="G361" s="1245"/>
      <c r="H361" s="1245"/>
      <c r="I361" s="1245"/>
      <c r="J361" s="1487"/>
      <c r="K361" s="1487"/>
      <c r="L361" s="1644"/>
      <c r="M361" s="1314"/>
      <c r="N361" s="840"/>
      <c r="O361" s="1002"/>
      <c r="P361" s="1007"/>
      <c r="Q361" s="1002"/>
      <c r="R361" s="1002"/>
    </row>
    <row r="362" spans="1:18" s="20" customFormat="1" ht="16.5" hidden="1" customHeight="1" x14ac:dyDescent="0.25">
      <c r="A362" s="963"/>
      <c r="B362" s="1344"/>
      <c r="C362" s="2473" t="s">
        <v>1329</v>
      </c>
      <c r="D362" s="896">
        <v>52060000</v>
      </c>
      <c r="E362" s="3014">
        <f t="shared" ref="E362:E366" si="8">D362/121629554000*100</f>
        <v>4.2802097260012974E-2</v>
      </c>
      <c r="F362" s="1294"/>
      <c r="G362" s="1228"/>
      <c r="H362" s="1228"/>
      <c r="I362" s="1228"/>
      <c r="J362" s="1701"/>
      <c r="K362" s="1701"/>
      <c r="L362" s="1229"/>
      <c r="M362" s="1315"/>
      <c r="N362" s="840"/>
      <c r="O362" s="1002"/>
      <c r="P362" s="1007"/>
      <c r="Q362" s="1002"/>
      <c r="R362" s="1002"/>
    </row>
    <row r="363" spans="1:18" s="20" customFormat="1" ht="12" hidden="1" customHeight="1" x14ac:dyDescent="0.25">
      <c r="A363" s="963"/>
      <c r="B363" s="1344"/>
      <c r="C363" s="2494"/>
      <c r="D363" s="2698"/>
      <c r="E363" s="3014"/>
      <c r="F363" s="1228"/>
      <c r="G363" s="1228"/>
      <c r="H363" s="1229"/>
      <c r="I363" s="1315"/>
      <c r="J363" s="1277"/>
      <c r="K363" s="1277"/>
      <c r="L363" s="1315"/>
      <c r="M363" s="1338"/>
      <c r="N363" s="840"/>
      <c r="O363" s="1002"/>
      <c r="P363" s="1007"/>
      <c r="Q363" s="1002"/>
      <c r="R363" s="1002"/>
    </row>
    <row r="364" spans="1:18" s="20" customFormat="1" ht="21" hidden="1" customHeight="1" x14ac:dyDescent="0.25">
      <c r="A364" s="963"/>
      <c r="B364" s="1344"/>
      <c r="C364" s="2491" t="s">
        <v>1330</v>
      </c>
      <c r="D364" s="2692">
        <f>SUM(D365:D366)</f>
        <v>5293667330</v>
      </c>
      <c r="E364" s="2997">
        <f t="shared" si="8"/>
        <v>4.3522870518788555</v>
      </c>
      <c r="F364" s="1235"/>
      <c r="G364" s="1235"/>
      <c r="H364" s="1235"/>
      <c r="I364" s="1280"/>
      <c r="J364" s="1292"/>
      <c r="K364" s="1292"/>
      <c r="L364" s="1644"/>
      <c r="M364" s="1280"/>
      <c r="N364" s="840"/>
      <c r="O364" s="1002"/>
      <c r="P364" s="1007"/>
      <c r="Q364" s="1002"/>
      <c r="R364" s="1002"/>
    </row>
    <row r="365" spans="1:18" s="20" customFormat="1" ht="16.5" hidden="1" customHeight="1" x14ac:dyDescent="0.25">
      <c r="A365" s="963"/>
      <c r="B365" s="1344"/>
      <c r="C365" s="2473" t="s">
        <v>4333</v>
      </c>
      <c r="D365" s="896">
        <v>2005699525</v>
      </c>
      <c r="E365" s="3014">
        <f t="shared" si="8"/>
        <v>1.64902316833292</v>
      </c>
      <c r="F365" s="1397"/>
      <c r="G365" s="1228"/>
      <c r="H365" s="1228"/>
      <c r="I365" s="1228"/>
      <c r="J365" s="1701"/>
      <c r="K365" s="1701"/>
      <c r="L365" s="1229"/>
      <c r="M365" s="1228"/>
      <c r="N365" s="840"/>
      <c r="O365" s="1002"/>
      <c r="P365" s="1007"/>
      <c r="Q365" s="1002"/>
      <c r="R365" s="1002"/>
    </row>
    <row r="366" spans="1:18" s="20" customFormat="1" ht="20.25" hidden="1" customHeight="1" x14ac:dyDescent="0.25">
      <c r="A366" s="963"/>
      <c r="B366" s="1344"/>
      <c r="C366" s="2473" t="s">
        <v>4334</v>
      </c>
      <c r="D366" s="896">
        <v>3287967805</v>
      </c>
      <c r="E366" s="2968">
        <f t="shared" si="8"/>
        <v>2.7032638835459348</v>
      </c>
      <c r="F366" s="1431"/>
      <c r="G366" s="1569"/>
      <c r="H366" s="1229"/>
      <c r="I366" s="1315"/>
      <c r="J366" s="1338"/>
      <c r="K366" s="1315"/>
      <c r="L366" s="1315"/>
      <c r="M366" s="1338"/>
      <c r="N366" s="840"/>
      <c r="O366" s="1002"/>
      <c r="P366" s="1007"/>
      <c r="Q366" s="1002"/>
      <c r="R366" s="1002"/>
    </row>
    <row r="367" spans="1:18" s="20" customFormat="1" ht="16.5" hidden="1" customHeight="1" x14ac:dyDescent="0.25">
      <c r="A367" s="963"/>
      <c r="B367" s="1344"/>
      <c r="C367" s="2475"/>
      <c r="D367" s="2769"/>
      <c r="E367" s="3022"/>
      <c r="F367" s="1376"/>
      <c r="G367" s="1659"/>
      <c r="H367" s="1251"/>
      <c r="I367" s="1329"/>
      <c r="J367" s="1340"/>
      <c r="K367" s="1329"/>
      <c r="L367" s="1329"/>
      <c r="M367" s="1340"/>
      <c r="N367" s="840"/>
      <c r="O367" s="1002"/>
      <c r="P367" s="1007"/>
      <c r="Q367" s="1002"/>
      <c r="R367" s="1002"/>
    </row>
    <row r="368" spans="1:18" s="76" customFormat="1" ht="19.5" hidden="1" customHeight="1" x14ac:dyDescent="0.25">
      <c r="B368" s="1588"/>
      <c r="C368" s="2522" t="s">
        <v>1696</v>
      </c>
      <c r="D368" s="3786">
        <f>SUM(D370+D437)</f>
        <v>15600000000</v>
      </c>
      <c r="E368" s="2948">
        <f>D368/251224400000*100</f>
        <v>6.209587922192271</v>
      </c>
      <c r="F368" s="1404"/>
      <c r="G368" s="1715"/>
      <c r="H368" s="1316"/>
      <c r="I368" s="1335"/>
      <c r="J368" s="1715"/>
      <c r="K368" s="1715"/>
      <c r="L368" s="1316"/>
      <c r="M368" s="1612"/>
      <c r="N368" s="1716"/>
      <c r="O368" s="1035"/>
      <c r="P368" s="1036"/>
      <c r="Q368" s="1036"/>
      <c r="R368" s="1035"/>
    </row>
    <row r="369" spans="1:18" ht="9.75" hidden="1" customHeight="1" x14ac:dyDescent="0.25">
      <c r="B369" s="1587"/>
      <c r="C369" s="2506"/>
      <c r="D369" s="3477"/>
      <c r="E369" s="2840"/>
      <c r="F369" s="1520"/>
      <c r="G369" s="1255"/>
      <c r="H369" s="1256"/>
      <c r="I369" s="1340"/>
      <c r="J369" s="1436"/>
      <c r="K369" s="1255"/>
      <c r="L369" s="1256"/>
      <c r="M369" s="1611"/>
      <c r="N369" s="1582"/>
    </row>
    <row r="370" spans="1:18" ht="24.75" hidden="1" customHeight="1" x14ac:dyDescent="0.25">
      <c r="B370" s="1609"/>
      <c r="C370" s="2497" t="s">
        <v>398</v>
      </c>
      <c r="D370" s="2669">
        <f>SUM(D371+D374+D380+D383+D386+D390+D397+D414+D426+D434)</f>
        <v>12600000000</v>
      </c>
      <c r="E370" s="2786">
        <f>D370/118779366000*100</f>
        <v>10.60790305952635</v>
      </c>
      <c r="F370" s="1405"/>
      <c r="G370" s="1244"/>
      <c r="H370" s="1244"/>
      <c r="I370" s="1244"/>
      <c r="J370" s="1244"/>
      <c r="K370" s="1244"/>
      <c r="L370" s="1238"/>
      <c r="M370" s="1717"/>
      <c r="N370" s="1539"/>
    </row>
    <row r="371" spans="1:18" ht="20.25" hidden="1" customHeight="1" x14ac:dyDescent="0.25">
      <c r="A371" s="2"/>
      <c r="B371" s="1344"/>
      <c r="C371" s="2569" t="s">
        <v>1730</v>
      </c>
      <c r="D371" s="2676">
        <f>D372</f>
        <v>100000000</v>
      </c>
      <c r="E371" s="3214">
        <f>D371/118779366000*100</f>
        <v>8.4189706821637691E-2</v>
      </c>
      <c r="F371" s="1227"/>
      <c r="G371" s="1227"/>
      <c r="H371" s="1227"/>
      <c r="I371" s="1227"/>
      <c r="J371" s="1718"/>
      <c r="K371" s="1718"/>
      <c r="L371" s="1245"/>
      <c r="M371" s="1245"/>
      <c r="N371" s="1539"/>
      <c r="P371" s="1007"/>
      <c r="Q371" s="1002"/>
    </row>
    <row r="372" spans="1:18" ht="18" hidden="1" customHeight="1" x14ac:dyDescent="0.25">
      <c r="A372" s="2"/>
      <c r="B372" s="1344"/>
      <c r="C372" s="2489" t="s">
        <v>1731</v>
      </c>
      <c r="D372" s="896">
        <v>100000000</v>
      </c>
      <c r="E372" s="2879">
        <f>D372/118779366000*100</f>
        <v>8.4189706821637691E-2</v>
      </c>
      <c r="F372" s="1406"/>
      <c r="G372" s="1228"/>
      <c r="H372" s="1228"/>
      <c r="I372" s="1228"/>
      <c r="J372" s="1315"/>
      <c r="K372" s="1719"/>
      <c r="L372" s="1229"/>
      <c r="M372" s="1229"/>
      <c r="N372" s="1539"/>
      <c r="P372" s="1007"/>
      <c r="Q372" s="1002"/>
    </row>
    <row r="373" spans="1:18" ht="10.5" hidden="1" customHeight="1" x14ac:dyDescent="0.25">
      <c r="A373" s="2"/>
      <c r="B373" s="1344"/>
      <c r="C373" s="2491"/>
      <c r="D373" s="2692"/>
      <c r="E373" s="2879"/>
      <c r="F373" s="1235"/>
      <c r="G373" s="1235"/>
      <c r="H373" s="1298"/>
      <c r="I373" s="1720"/>
      <c r="J373" s="1292"/>
      <c r="K373" s="1292"/>
      <c r="L373" s="1231"/>
      <c r="M373" s="1720"/>
      <c r="N373" s="1539"/>
      <c r="P373" s="1007"/>
      <c r="Q373" s="1002"/>
    </row>
    <row r="374" spans="1:18" s="32" customFormat="1" ht="23.25" hidden="1" customHeight="1" x14ac:dyDescent="0.25">
      <c r="A374" s="1"/>
      <c r="B374" s="1344"/>
      <c r="C374" s="2490" t="s">
        <v>4199</v>
      </c>
      <c r="D374" s="899">
        <f>SUM(D375:D378)</f>
        <v>125000000</v>
      </c>
      <c r="E374" s="3214">
        <f t="shared" ref="E374:E435" si="9">D374/118779366000*100</f>
        <v>0.10523713352704712</v>
      </c>
      <c r="F374" s="1407"/>
      <c r="G374" s="1235"/>
      <c r="H374" s="1243"/>
      <c r="I374" s="1235"/>
      <c r="J374" s="1280"/>
      <c r="K374" s="1721"/>
      <c r="L374" s="1231"/>
      <c r="M374" s="1235"/>
      <c r="N374" s="1540"/>
      <c r="O374" s="1095"/>
      <c r="P374" s="1096"/>
      <c r="Q374" s="1095"/>
      <c r="R374" s="1095"/>
    </row>
    <row r="375" spans="1:18" ht="18.75" hidden="1" customHeight="1" x14ac:dyDescent="0.25">
      <c r="A375" s="2"/>
      <c r="B375" s="1344"/>
      <c r="C375" s="2489" t="s">
        <v>4190</v>
      </c>
      <c r="D375" s="896">
        <v>25000000</v>
      </c>
      <c r="E375" s="2879">
        <f t="shared" si="9"/>
        <v>2.1047426705409423E-2</v>
      </c>
      <c r="F375" s="1406"/>
      <c r="G375" s="1228"/>
      <c r="H375" s="1228"/>
      <c r="I375" s="1228"/>
      <c r="J375" s="1315"/>
      <c r="K375" s="1719"/>
      <c r="L375" s="1229"/>
      <c r="M375" s="1228"/>
      <c r="N375" s="1539"/>
      <c r="P375" s="1007"/>
      <c r="Q375" s="1002"/>
    </row>
    <row r="376" spans="1:18" ht="19.5" hidden="1" customHeight="1" x14ac:dyDescent="0.25">
      <c r="A376" s="2"/>
      <c r="B376" s="1344"/>
      <c r="C376" s="2494" t="s">
        <v>4191</v>
      </c>
      <c r="D376" s="2698">
        <v>25000000</v>
      </c>
      <c r="E376" s="2879">
        <f t="shared" si="9"/>
        <v>2.1047426705409423E-2</v>
      </c>
      <c r="F376" s="1228"/>
      <c r="G376" s="1228"/>
      <c r="H376" s="1268"/>
      <c r="I376" s="1338"/>
      <c r="J376" s="1277"/>
      <c r="K376" s="1277"/>
      <c r="L376" s="1268"/>
      <c r="M376" s="1338"/>
      <c r="N376" s="1539"/>
      <c r="P376" s="1007"/>
      <c r="Q376" s="1002"/>
    </row>
    <row r="377" spans="1:18" s="196" customFormat="1" ht="15.75" hidden="1" customHeight="1" x14ac:dyDescent="0.25">
      <c r="A377" s="12"/>
      <c r="B377" s="1722"/>
      <c r="C377" s="2494" t="s">
        <v>4192</v>
      </c>
      <c r="D377" s="2698">
        <v>25000000</v>
      </c>
      <c r="E377" s="2879">
        <f t="shared" si="9"/>
        <v>2.1047426705409423E-2</v>
      </c>
      <c r="F377" s="1228"/>
      <c r="G377" s="1228"/>
      <c r="H377" s="1319"/>
      <c r="I377" s="1315"/>
      <c r="J377" s="1277"/>
      <c r="K377" s="1277"/>
      <c r="L377" s="1229"/>
      <c r="M377" s="1315"/>
      <c r="N377" s="1723"/>
      <c r="O377" s="1098"/>
      <c r="P377" s="1099"/>
      <c r="Q377" s="1098"/>
      <c r="R377" s="1098"/>
    </row>
    <row r="378" spans="1:18" ht="16.5" hidden="1" customHeight="1" x14ac:dyDescent="0.25">
      <c r="A378" s="2"/>
      <c r="B378" s="1344"/>
      <c r="C378" s="2489" t="s">
        <v>4193</v>
      </c>
      <c r="D378" s="896">
        <v>50000000</v>
      </c>
      <c r="E378" s="2879">
        <f t="shared" si="9"/>
        <v>4.2094853410818846E-2</v>
      </c>
      <c r="F378" s="1406"/>
      <c r="G378" s="1228"/>
      <c r="H378" s="1239"/>
      <c r="I378" s="1315"/>
      <c r="J378" s="1315"/>
      <c r="K378" s="1719"/>
      <c r="L378" s="1229"/>
      <c r="M378" s="1315"/>
      <c r="N378" s="1539"/>
      <c r="P378" s="1007"/>
      <c r="Q378" s="1002"/>
    </row>
    <row r="379" spans="1:18" ht="10.5" hidden="1" customHeight="1" x14ac:dyDescent="0.25">
      <c r="A379" s="2"/>
      <c r="B379" s="1344"/>
      <c r="C379" s="2489"/>
      <c r="D379" s="896"/>
      <c r="E379" s="2879"/>
      <c r="F379" s="1406"/>
      <c r="G379" s="1228"/>
      <c r="H379" s="1268"/>
      <c r="I379" s="1315"/>
      <c r="J379" s="1315"/>
      <c r="K379" s="1719"/>
      <c r="L379" s="1229"/>
      <c r="M379" s="1315"/>
      <c r="N379" s="1539"/>
      <c r="P379" s="1007"/>
      <c r="Q379" s="1002"/>
    </row>
    <row r="380" spans="1:18" s="32" customFormat="1" ht="21" hidden="1" customHeight="1" x14ac:dyDescent="0.25">
      <c r="A380" s="1"/>
      <c r="B380" s="1344"/>
      <c r="C380" s="2490" t="s">
        <v>4198</v>
      </c>
      <c r="D380" s="899">
        <f>D381</f>
        <v>500000000</v>
      </c>
      <c r="E380" s="3214">
        <f t="shared" si="9"/>
        <v>0.4209485341081885</v>
      </c>
      <c r="F380" s="1407"/>
      <c r="G380" s="1235"/>
      <c r="H380" s="1243"/>
      <c r="I380" s="1280"/>
      <c r="J380" s="1280"/>
      <c r="K380" s="1721"/>
      <c r="L380" s="1231"/>
      <c r="M380" s="1280"/>
      <c r="N380" s="1540"/>
      <c r="O380" s="1095"/>
      <c r="P380" s="1096"/>
      <c r="Q380" s="1095"/>
      <c r="R380" s="1095"/>
    </row>
    <row r="381" spans="1:18" ht="19.5" hidden="1" customHeight="1" x14ac:dyDescent="0.25">
      <c r="A381" s="2"/>
      <c r="B381" s="1344"/>
      <c r="C381" s="2489" t="s">
        <v>4194</v>
      </c>
      <c r="D381" s="896">
        <v>500000000</v>
      </c>
      <c r="E381" s="2879">
        <f t="shared" si="9"/>
        <v>0.4209485341081885</v>
      </c>
      <c r="F381" s="1408"/>
      <c r="G381" s="1228"/>
      <c r="H381" s="1268"/>
      <c r="I381" s="1338"/>
      <c r="J381" s="1724"/>
      <c r="K381" s="1277"/>
      <c r="L381" s="1268"/>
      <c r="M381" s="1338"/>
      <c r="N381" s="1539"/>
      <c r="P381" s="1007"/>
      <c r="Q381" s="1002"/>
    </row>
    <row r="382" spans="1:18" ht="15" hidden="1" customHeight="1" x14ac:dyDescent="0.25">
      <c r="A382" s="2"/>
      <c r="B382" s="1344"/>
      <c r="C382" s="2570"/>
      <c r="D382" s="2769"/>
      <c r="E382" s="2879"/>
      <c r="F382" s="1522"/>
      <c r="G382" s="1242"/>
      <c r="H382" s="1255"/>
      <c r="I382" s="1242"/>
      <c r="J382" s="1329"/>
      <c r="K382" s="1291"/>
      <c r="L382" s="1255"/>
      <c r="M382" s="1242"/>
      <c r="N382" s="1539"/>
      <c r="P382" s="1007"/>
      <c r="Q382" s="1002"/>
    </row>
    <row r="383" spans="1:18" ht="17.25" hidden="1" customHeight="1" x14ac:dyDescent="0.25">
      <c r="A383" s="2"/>
      <c r="B383" s="1344"/>
      <c r="C383" s="2571" t="s">
        <v>4197</v>
      </c>
      <c r="D383" s="899">
        <f>D384</f>
        <v>250000000</v>
      </c>
      <c r="E383" s="3214">
        <f t="shared" si="9"/>
        <v>0.21047426705409425</v>
      </c>
      <c r="F383" s="1407"/>
      <c r="G383" s="1241"/>
      <c r="H383" s="1241"/>
      <c r="I383" s="1241"/>
      <c r="J383" s="1280"/>
      <c r="K383" s="1280"/>
      <c r="L383" s="1231"/>
      <c r="M383" s="1241"/>
      <c r="N383" s="1539"/>
      <c r="P383" s="1007"/>
      <c r="Q383" s="1002"/>
    </row>
    <row r="384" spans="1:18" ht="24.75" hidden="1" customHeight="1" x14ac:dyDescent="0.25">
      <c r="A384" s="2"/>
      <c r="B384" s="1344"/>
      <c r="C384" s="2489" t="s">
        <v>4195</v>
      </c>
      <c r="D384" s="2709">
        <v>250000000</v>
      </c>
      <c r="E384" s="2879">
        <f t="shared" si="9"/>
        <v>0.21047426705409425</v>
      </c>
      <c r="F384" s="1409"/>
      <c r="G384" s="1242"/>
      <c r="H384" s="1242"/>
      <c r="I384" s="1242"/>
      <c r="J384" s="1328"/>
      <c r="K384" s="1328"/>
      <c r="L384" s="1229"/>
      <c r="M384" s="1242"/>
      <c r="N384" s="1539"/>
      <c r="P384" s="1007"/>
      <c r="Q384" s="1002"/>
    </row>
    <row r="385" spans="1:18" ht="12.75" hidden="1" customHeight="1" x14ac:dyDescent="0.25">
      <c r="A385" s="2"/>
      <c r="B385" s="1344"/>
      <c r="C385" s="2570"/>
      <c r="D385" s="896"/>
      <c r="E385" s="2879"/>
      <c r="F385" s="1406"/>
      <c r="G385" s="1228"/>
      <c r="H385" s="1228"/>
      <c r="I385" s="1228"/>
      <c r="J385" s="1315"/>
      <c r="K385" s="1315"/>
      <c r="L385" s="1251"/>
      <c r="M385" s="1242"/>
      <c r="N385" s="1539"/>
      <c r="P385" s="1007"/>
      <c r="Q385" s="1002"/>
    </row>
    <row r="386" spans="1:18" s="32" customFormat="1" ht="22.5" hidden="1" customHeight="1" x14ac:dyDescent="0.25">
      <c r="A386" s="1"/>
      <c r="B386" s="1344"/>
      <c r="C386" s="2571" t="s">
        <v>4196</v>
      </c>
      <c r="D386" s="899">
        <f>SUM(D387:D388)</f>
        <v>200000000</v>
      </c>
      <c r="E386" s="3214">
        <f t="shared" si="9"/>
        <v>0.16837941364327538</v>
      </c>
      <c r="F386" s="1407"/>
      <c r="G386" s="1235"/>
      <c r="H386" s="1235"/>
      <c r="I386" s="1235"/>
      <c r="J386" s="1280"/>
      <c r="K386" s="1280"/>
      <c r="L386" s="1231"/>
      <c r="M386" s="1235"/>
      <c r="N386" s="1540"/>
      <c r="O386" s="1095"/>
      <c r="P386" s="1096"/>
      <c r="Q386" s="1095"/>
      <c r="R386" s="1095"/>
    </row>
    <row r="387" spans="1:18" ht="20.25" hidden="1" customHeight="1" x14ac:dyDescent="0.25">
      <c r="A387" s="2"/>
      <c r="B387" s="1344"/>
      <c r="C387" s="2570" t="s">
        <v>4200</v>
      </c>
      <c r="D387" s="896">
        <v>100000000</v>
      </c>
      <c r="E387" s="2879">
        <f t="shared" si="9"/>
        <v>8.4189706821637691E-2</v>
      </c>
      <c r="F387" s="1406"/>
      <c r="G387" s="1228"/>
      <c r="H387" s="1228"/>
      <c r="I387" s="1228"/>
      <c r="J387" s="1315"/>
      <c r="K387" s="1315"/>
      <c r="L387" s="1229"/>
      <c r="M387" s="1228"/>
      <c r="N387" s="1539"/>
      <c r="P387" s="1007"/>
      <c r="Q387" s="1002"/>
    </row>
    <row r="388" spans="1:18" ht="21" hidden="1" customHeight="1" x14ac:dyDescent="0.25">
      <c r="A388" s="2"/>
      <c r="B388" s="1344"/>
      <c r="C388" s="2570" t="s">
        <v>4201</v>
      </c>
      <c r="D388" s="896">
        <v>100000000</v>
      </c>
      <c r="E388" s="2879">
        <f t="shared" si="9"/>
        <v>8.4189706821637691E-2</v>
      </c>
      <c r="F388" s="1406"/>
      <c r="G388" s="1228"/>
      <c r="H388" s="1228"/>
      <c r="I388" s="1228"/>
      <c r="J388" s="1315"/>
      <c r="K388" s="1315"/>
      <c r="L388" s="1229"/>
      <c r="M388" s="1228"/>
      <c r="N388" s="1539"/>
      <c r="P388" s="1007"/>
      <c r="Q388" s="1002"/>
    </row>
    <row r="389" spans="1:18" ht="10.5" hidden="1" customHeight="1" x14ac:dyDescent="0.25">
      <c r="A389" s="2"/>
      <c r="B389" s="1344"/>
      <c r="C389" s="2570"/>
      <c r="D389" s="896"/>
      <c r="E389" s="2879"/>
      <c r="F389" s="1406"/>
      <c r="G389" s="1228"/>
      <c r="H389" s="1228"/>
      <c r="I389" s="1228"/>
      <c r="J389" s="1315"/>
      <c r="K389" s="1315"/>
      <c r="L389" s="1229"/>
      <c r="M389" s="1228"/>
      <c r="N389" s="1539"/>
      <c r="P389" s="1007"/>
      <c r="Q389" s="1002"/>
    </row>
    <row r="390" spans="1:18" s="32" customFormat="1" ht="23.25" hidden="1" customHeight="1" x14ac:dyDescent="0.25">
      <c r="A390" s="1"/>
      <c r="B390" s="1344"/>
      <c r="C390" s="2571" t="s">
        <v>4202</v>
      </c>
      <c r="D390" s="899">
        <f>SUM(D391:D395)</f>
        <v>420000000</v>
      </c>
      <c r="E390" s="3214">
        <f t="shared" si="9"/>
        <v>0.3535967686508783</v>
      </c>
      <c r="F390" s="1407"/>
      <c r="G390" s="1235"/>
      <c r="H390" s="1235"/>
      <c r="I390" s="1235"/>
      <c r="J390" s="1280"/>
      <c r="K390" s="1280"/>
      <c r="L390" s="1231"/>
      <c r="M390" s="1235"/>
      <c r="N390" s="1540"/>
      <c r="O390" s="1095"/>
      <c r="P390" s="1096"/>
      <c r="Q390" s="1095"/>
      <c r="R390" s="1095"/>
    </row>
    <row r="391" spans="1:18" ht="19.5" hidden="1" customHeight="1" x14ac:dyDescent="0.25">
      <c r="A391" s="2"/>
      <c r="B391" s="1344"/>
      <c r="C391" s="2570" t="s">
        <v>4203</v>
      </c>
      <c r="D391" s="896">
        <v>75000000</v>
      </c>
      <c r="E391" s="2879">
        <f t="shared" si="9"/>
        <v>6.3142280116228258E-2</v>
      </c>
      <c r="F391" s="1406"/>
      <c r="G391" s="1228"/>
      <c r="H391" s="1228"/>
      <c r="I391" s="1228"/>
      <c r="J391" s="1315"/>
      <c r="K391" s="1315"/>
      <c r="L391" s="1229"/>
      <c r="M391" s="1228"/>
      <c r="N391" s="1539"/>
      <c r="P391" s="1007"/>
      <c r="Q391" s="1002"/>
    </row>
    <row r="392" spans="1:18" ht="20.25" hidden="1" customHeight="1" x14ac:dyDescent="0.25">
      <c r="A392" s="2"/>
      <c r="B392" s="1344"/>
      <c r="C392" s="2570" t="s">
        <v>4204</v>
      </c>
      <c r="D392" s="896">
        <v>75000000</v>
      </c>
      <c r="E392" s="2879">
        <f t="shared" si="9"/>
        <v>6.3142280116228258E-2</v>
      </c>
      <c r="F392" s="1406"/>
      <c r="G392" s="1228"/>
      <c r="H392" s="1228"/>
      <c r="I392" s="1228"/>
      <c r="J392" s="1315"/>
      <c r="K392" s="1315"/>
      <c r="L392" s="1229"/>
      <c r="M392" s="1228"/>
      <c r="N392" s="1539"/>
      <c r="P392" s="1007"/>
      <c r="Q392" s="1002"/>
    </row>
    <row r="393" spans="1:18" ht="20.25" hidden="1" customHeight="1" x14ac:dyDescent="0.25">
      <c r="A393" s="2"/>
      <c r="B393" s="1344"/>
      <c r="C393" s="2570" t="s">
        <v>4205</v>
      </c>
      <c r="D393" s="896">
        <v>100000000</v>
      </c>
      <c r="E393" s="2879">
        <f t="shared" si="9"/>
        <v>8.4189706821637691E-2</v>
      </c>
      <c r="F393" s="1406"/>
      <c r="G393" s="1228"/>
      <c r="H393" s="1228"/>
      <c r="I393" s="1228"/>
      <c r="J393" s="1315"/>
      <c r="K393" s="1315"/>
      <c r="L393" s="1229"/>
      <c r="M393" s="1228"/>
      <c r="N393" s="1539"/>
      <c r="P393" s="1007"/>
      <c r="Q393" s="1002"/>
    </row>
    <row r="394" spans="1:18" ht="17.25" hidden="1" customHeight="1" x14ac:dyDescent="0.25">
      <c r="A394" s="2"/>
      <c r="B394" s="1344"/>
      <c r="C394" s="2570" t="s">
        <v>4206</v>
      </c>
      <c r="D394" s="896">
        <v>50000000</v>
      </c>
      <c r="E394" s="2879">
        <f t="shared" si="9"/>
        <v>4.2094853410818846E-2</v>
      </c>
      <c r="F394" s="1406"/>
      <c r="G394" s="1228"/>
      <c r="H394" s="1228"/>
      <c r="I394" s="1228"/>
      <c r="J394" s="1315"/>
      <c r="K394" s="1315"/>
      <c r="L394" s="1229"/>
      <c r="M394" s="1228"/>
      <c r="N394" s="1539"/>
      <c r="P394" s="1007"/>
      <c r="Q394" s="1002"/>
    </row>
    <row r="395" spans="1:18" ht="20.25" hidden="1" customHeight="1" x14ac:dyDescent="0.25">
      <c r="A395" s="2"/>
      <c r="B395" s="1344"/>
      <c r="C395" s="2570" t="s">
        <v>4207</v>
      </c>
      <c r="D395" s="896">
        <v>120000000</v>
      </c>
      <c r="E395" s="2879">
        <f t="shared" si="9"/>
        <v>0.10102764818596523</v>
      </c>
      <c r="F395" s="1406"/>
      <c r="G395" s="1228"/>
      <c r="H395" s="1228"/>
      <c r="I395" s="1228"/>
      <c r="J395" s="1315"/>
      <c r="K395" s="1315"/>
      <c r="L395" s="1229"/>
      <c r="M395" s="1228"/>
      <c r="N395" s="1539"/>
      <c r="P395" s="1007"/>
      <c r="Q395" s="1002"/>
    </row>
    <row r="396" spans="1:18" ht="11.25" hidden="1" customHeight="1" x14ac:dyDescent="0.25">
      <c r="A396" s="2"/>
      <c r="B396" s="1344"/>
      <c r="C396" s="2570"/>
      <c r="D396" s="896"/>
      <c r="E396" s="2879"/>
      <c r="F396" s="1406"/>
      <c r="G396" s="1228"/>
      <c r="H396" s="1228"/>
      <c r="I396" s="1228"/>
      <c r="J396" s="1315"/>
      <c r="K396" s="1315"/>
      <c r="L396" s="1229"/>
      <c r="M396" s="1228"/>
      <c r="N396" s="1539"/>
      <c r="P396" s="1007"/>
      <c r="Q396" s="1002"/>
    </row>
    <row r="397" spans="1:18" s="32" customFormat="1" ht="31.5" hidden="1" customHeight="1" x14ac:dyDescent="0.25">
      <c r="A397" s="1"/>
      <c r="B397" s="1344"/>
      <c r="C397" s="2571" t="s">
        <v>4208</v>
      </c>
      <c r="D397" s="899">
        <f>SUM(D398:D412)</f>
        <v>3340000000</v>
      </c>
      <c r="E397" s="3214">
        <f t="shared" si="9"/>
        <v>2.8119362078426988</v>
      </c>
      <c r="F397" s="1407"/>
      <c r="G397" s="1235"/>
      <c r="H397" s="1235"/>
      <c r="I397" s="1235"/>
      <c r="J397" s="1280"/>
      <c r="K397" s="1280"/>
      <c r="L397" s="1231"/>
      <c r="M397" s="1235"/>
      <c r="N397" s="1540"/>
      <c r="O397" s="1095"/>
      <c r="P397" s="1096"/>
      <c r="Q397" s="1095"/>
      <c r="R397" s="1095"/>
    </row>
    <row r="398" spans="1:18" ht="24" hidden="1" customHeight="1" x14ac:dyDescent="0.25">
      <c r="A398" s="2"/>
      <c r="B398" s="1344"/>
      <c r="C398" s="2495" t="s">
        <v>4211</v>
      </c>
      <c r="D398" s="2698">
        <v>100000000</v>
      </c>
      <c r="E398" s="2879">
        <f t="shared" si="9"/>
        <v>8.4189706821637691E-2</v>
      </c>
      <c r="F398" s="1403"/>
      <c r="G398" s="1239"/>
      <c r="H398" s="1239"/>
      <c r="I398" s="1338"/>
      <c r="J398" s="1403"/>
      <c r="K398" s="1293"/>
      <c r="L398" s="1239"/>
      <c r="M398" s="1338"/>
      <c r="N398" s="1539"/>
      <c r="P398" s="1007"/>
      <c r="Q398" s="1002"/>
    </row>
    <row r="399" spans="1:18" ht="21" hidden="1" customHeight="1" x14ac:dyDescent="0.25">
      <c r="A399" s="2"/>
      <c r="B399" s="1344"/>
      <c r="C399" s="2494" t="s">
        <v>4209</v>
      </c>
      <c r="D399" s="2698">
        <v>100000000</v>
      </c>
      <c r="E399" s="2879">
        <f t="shared" si="9"/>
        <v>8.4189706821637691E-2</v>
      </c>
      <c r="F399" s="1403"/>
      <c r="G399" s="1239"/>
      <c r="H399" s="1239"/>
      <c r="I399" s="1338"/>
      <c r="J399" s="1403"/>
      <c r="K399" s="1293"/>
      <c r="L399" s="1239"/>
      <c r="M399" s="1338"/>
      <c r="N399" s="1539"/>
      <c r="P399" s="1007"/>
      <c r="Q399" s="1002"/>
    </row>
    <row r="400" spans="1:18" ht="20.25" hidden="1" customHeight="1" x14ac:dyDescent="0.25">
      <c r="A400" s="2"/>
      <c r="B400" s="1344"/>
      <c r="C400" s="2494" t="s">
        <v>4210</v>
      </c>
      <c r="D400" s="2698">
        <v>150000000</v>
      </c>
      <c r="E400" s="2879">
        <f t="shared" si="9"/>
        <v>0.12628456023245652</v>
      </c>
      <c r="F400" s="1403"/>
      <c r="G400" s="1239"/>
      <c r="H400" s="1239"/>
      <c r="I400" s="1338"/>
      <c r="J400" s="1403"/>
      <c r="K400" s="1293"/>
      <c r="L400" s="1239"/>
      <c r="M400" s="1338"/>
      <c r="N400" s="1539"/>
      <c r="P400" s="1007"/>
      <c r="Q400" s="1002"/>
    </row>
    <row r="401" spans="1:17" ht="18" hidden="1" customHeight="1" x14ac:dyDescent="0.25">
      <c r="A401" s="2"/>
      <c r="B401" s="1344"/>
      <c r="C401" s="2494" t="s">
        <v>4212</v>
      </c>
      <c r="D401" s="2698">
        <v>200000000</v>
      </c>
      <c r="E401" s="2879">
        <f t="shared" si="9"/>
        <v>0.16837941364327538</v>
      </c>
      <c r="F401" s="1403"/>
      <c r="G401" s="1239"/>
      <c r="H401" s="1239"/>
      <c r="I401" s="1338"/>
      <c r="J401" s="1403"/>
      <c r="K401" s="1293"/>
      <c r="L401" s="1239"/>
      <c r="M401" s="1338"/>
      <c r="N401" s="1539"/>
      <c r="P401" s="1007"/>
      <c r="Q401" s="1002"/>
    </row>
    <row r="402" spans="1:17" ht="18" hidden="1" customHeight="1" x14ac:dyDescent="0.25">
      <c r="A402" s="2"/>
      <c r="B402" s="1344"/>
      <c r="C402" s="2494" t="s">
        <v>4213</v>
      </c>
      <c r="D402" s="2698">
        <v>200000000</v>
      </c>
      <c r="E402" s="2879">
        <f t="shared" si="9"/>
        <v>0.16837941364327538</v>
      </c>
      <c r="F402" s="1403"/>
      <c r="G402" s="1239"/>
      <c r="H402" s="1239"/>
      <c r="I402" s="1338"/>
      <c r="J402" s="1403"/>
      <c r="K402" s="1293"/>
      <c r="L402" s="1239"/>
      <c r="M402" s="1338"/>
      <c r="N402" s="1539"/>
      <c r="P402" s="1007"/>
      <c r="Q402" s="1002"/>
    </row>
    <row r="403" spans="1:17" ht="18" hidden="1" customHeight="1" x14ac:dyDescent="0.25">
      <c r="A403" s="2"/>
      <c r="B403" s="1344"/>
      <c r="C403" s="2494" t="s">
        <v>4214</v>
      </c>
      <c r="D403" s="2698">
        <v>200000000</v>
      </c>
      <c r="E403" s="2879">
        <f t="shared" si="9"/>
        <v>0.16837941364327538</v>
      </c>
      <c r="F403" s="1403"/>
      <c r="G403" s="1239"/>
      <c r="H403" s="1239"/>
      <c r="I403" s="1338"/>
      <c r="J403" s="1403"/>
      <c r="K403" s="1293"/>
      <c r="L403" s="1239"/>
      <c r="M403" s="1338"/>
      <c r="N403" s="1539"/>
      <c r="P403" s="1007"/>
      <c r="Q403" s="1002"/>
    </row>
    <row r="404" spans="1:17" ht="18" hidden="1" customHeight="1" x14ac:dyDescent="0.25">
      <c r="A404" s="2"/>
      <c r="B404" s="1344"/>
      <c r="C404" s="2494" t="s">
        <v>4215</v>
      </c>
      <c r="D404" s="2698">
        <v>200000000</v>
      </c>
      <c r="E404" s="2879">
        <f t="shared" si="9"/>
        <v>0.16837941364327538</v>
      </c>
      <c r="F404" s="1403"/>
      <c r="G404" s="1239"/>
      <c r="H404" s="1239"/>
      <c r="I404" s="1338"/>
      <c r="J404" s="1403"/>
      <c r="K404" s="1293"/>
      <c r="L404" s="1239"/>
      <c r="M404" s="1338"/>
      <c r="N404" s="1539"/>
      <c r="P404" s="1007"/>
      <c r="Q404" s="1002"/>
    </row>
    <row r="405" spans="1:17" ht="18" hidden="1" customHeight="1" x14ac:dyDescent="0.25">
      <c r="A405" s="2"/>
      <c r="B405" s="1344"/>
      <c r="C405" s="2494" t="s">
        <v>4216</v>
      </c>
      <c r="D405" s="2698">
        <v>500000000</v>
      </c>
      <c r="E405" s="2879">
        <f t="shared" si="9"/>
        <v>0.4209485341081885</v>
      </c>
      <c r="F405" s="1403"/>
      <c r="G405" s="1239"/>
      <c r="H405" s="1239"/>
      <c r="I405" s="1338"/>
      <c r="J405" s="1403"/>
      <c r="K405" s="1293"/>
      <c r="L405" s="1239"/>
      <c r="M405" s="1338"/>
      <c r="N405" s="1539"/>
      <c r="P405" s="1007"/>
      <c r="Q405" s="1002"/>
    </row>
    <row r="406" spans="1:17" ht="18" hidden="1" customHeight="1" x14ac:dyDescent="0.25">
      <c r="A406" s="2"/>
      <c r="B406" s="1344"/>
      <c r="C406" s="2494" t="s">
        <v>4217</v>
      </c>
      <c r="D406" s="2698">
        <v>350000000</v>
      </c>
      <c r="E406" s="2879">
        <f t="shared" si="9"/>
        <v>0.2946639738757319</v>
      </c>
      <c r="F406" s="1403"/>
      <c r="G406" s="1239"/>
      <c r="H406" s="1239"/>
      <c r="I406" s="1338"/>
      <c r="J406" s="1403"/>
      <c r="K406" s="1293"/>
      <c r="L406" s="1239"/>
      <c r="M406" s="1338"/>
      <c r="N406" s="1539"/>
      <c r="P406" s="1007"/>
      <c r="Q406" s="1002"/>
    </row>
    <row r="407" spans="1:17" ht="18" hidden="1" customHeight="1" x14ac:dyDescent="0.25">
      <c r="A407" s="2"/>
      <c r="B407" s="1344"/>
      <c r="C407" s="2494" t="s">
        <v>4218</v>
      </c>
      <c r="D407" s="2698">
        <v>350000000</v>
      </c>
      <c r="E407" s="2879">
        <f t="shared" si="9"/>
        <v>0.2946639738757319</v>
      </c>
      <c r="F407" s="1403"/>
      <c r="G407" s="1239"/>
      <c r="H407" s="1239"/>
      <c r="I407" s="1338"/>
      <c r="J407" s="1403"/>
      <c r="K407" s="1293"/>
      <c r="L407" s="1239"/>
      <c r="M407" s="1338"/>
      <c r="N407" s="1539"/>
      <c r="P407" s="1007"/>
      <c r="Q407" s="1002"/>
    </row>
    <row r="408" spans="1:17" ht="18" hidden="1" customHeight="1" x14ac:dyDescent="0.25">
      <c r="A408" s="2"/>
      <c r="B408" s="1344"/>
      <c r="C408" s="2494" t="s">
        <v>4219</v>
      </c>
      <c r="D408" s="2698">
        <v>50000000</v>
      </c>
      <c r="E408" s="2879">
        <f t="shared" si="9"/>
        <v>4.2094853410818846E-2</v>
      </c>
      <c r="F408" s="1403"/>
      <c r="G408" s="1239"/>
      <c r="H408" s="1239"/>
      <c r="I408" s="1338"/>
      <c r="J408" s="1403"/>
      <c r="K408" s="1293"/>
      <c r="L408" s="1239"/>
      <c r="M408" s="1338"/>
      <c r="N408" s="1539"/>
      <c r="P408" s="1007"/>
      <c r="Q408" s="1002"/>
    </row>
    <row r="409" spans="1:17" ht="15" hidden="1" customHeight="1" x14ac:dyDescent="0.25">
      <c r="A409" s="2"/>
      <c r="B409" s="1344"/>
      <c r="C409" s="2494" t="s">
        <v>4220</v>
      </c>
      <c r="D409" s="2724">
        <v>70000000</v>
      </c>
      <c r="E409" s="2879">
        <f t="shared" si="9"/>
        <v>5.8932794775146388E-2</v>
      </c>
      <c r="F409" s="1436"/>
      <c r="G409" s="1319"/>
      <c r="H409" s="1319"/>
      <c r="I409" s="1339"/>
      <c r="J409" s="1410"/>
      <c r="K409" s="1317"/>
      <c r="L409" s="1239"/>
      <c r="M409" s="1338"/>
      <c r="N409" s="1539"/>
      <c r="P409" s="1007"/>
      <c r="Q409" s="1002"/>
    </row>
    <row r="410" spans="1:17" s="1002" customFormat="1" ht="15.75" hidden="1" customHeight="1" x14ac:dyDescent="0.25">
      <c r="A410" s="2"/>
      <c r="B410" s="1344"/>
      <c r="C410" s="2495" t="s">
        <v>4221</v>
      </c>
      <c r="D410" s="2706">
        <v>70000000</v>
      </c>
      <c r="E410" s="2879">
        <f t="shared" si="9"/>
        <v>5.8932794775146388E-2</v>
      </c>
      <c r="F410" s="1410"/>
      <c r="G410" s="1239"/>
      <c r="H410" s="1239"/>
      <c r="I410" s="1338"/>
      <c r="J410" s="1403"/>
      <c r="K410" s="1293"/>
      <c r="L410" s="1239"/>
      <c r="M410" s="1338"/>
      <c r="N410" s="1539"/>
      <c r="P410" s="1007"/>
    </row>
    <row r="411" spans="1:17" s="1002" customFormat="1" ht="21.75" hidden="1" customHeight="1" x14ac:dyDescent="0.25">
      <c r="A411" s="2"/>
      <c r="B411" s="1344"/>
      <c r="C411" s="2494" t="s">
        <v>4222</v>
      </c>
      <c r="D411" s="2698">
        <v>450000000</v>
      </c>
      <c r="E411" s="2879">
        <f t="shared" si="9"/>
        <v>0.37885368069736963</v>
      </c>
      <c r="F411" s="1403"/>
      <c r="G411" s="1239"/>
      <c r="H411" s="1239"/>
      <c r="I411" s="1338"/>
      <c r="J411" s="1403"/>
      <c r="K411" s="1293"/>
      <c r="L411" s="1239"/>
      <c r="M411" s="1338"/>
      <c r="N411" s="1539"/>
      <c r="P411" s="1007"/>
    </row>
    <row r="412" spans="1:17" s="1002" customFormat="1" ht="16.5" hidden="1" customHeight="1" x14ac:dyDescent="0.25">
      <c r="A412" s="2"/>
      <c r="B412" s="1344"/>
      <c r="C412" s="2494" t="s">
        <v>4223</v>
      </c>
      <c r="D412" s="2698">
        <v>350000000</v>
      </c>
      <c r="E412" s="2879">
        <f t="shared" si="9"/>
        <v>0.2946639738757319</v>
      </c>
      <c r="F412" s="1403"/>
      <c r="G412" s="1239"/>
      <c r="H412" s="1239"/>
      <c r="I412" s="1338"/>
      <c r="J412" s="1403"/>
      <c r="K412" s="1293"/>
      <c r="L412" s="1239"/>
      <c r="M412" s="1338"/>
      <c r="N412" s="1539"/>
      <c r="P412" s="1007"/>
    </row>
    <row r="413" spans="1:17" s="1002" customFormat="1" ht="12" hidden="1" customHeight="1" x14ac:dyDescent="0.25">
      <c r="A413" s="2"/>
      <c r="B413" s="1344"/>
      <c r="C413" s="2494"/>
      <c r="D413" s="2698"/>
      <c r="E413" s="2879"/>
      <c r="F413" s="1403"/>
      <c r="G413" s="1239"/>
      <c r="H413" s="1239"/>
      <c r="I413" s="1338"/>
      <c r="J413" s="1403"/>
      <c r="K413" s="1293"/>
      <c r="L413" s="1239"/>
      <c r="M413" s="1338"/>
      <c r="N413" s="1539"/>
      <c r="P413" s="1007"/>
    </row>
    <row r="414" spans="1:17" s="1002" customFormat="1" ht="20.25" hidden="1" customHeight="1" x14ac:dyDescent="0.25">
      <c r="A414" s="2"/>
      <c r="B414" s="1344"/>
      <c r="C414" s="2491" t="s">
        <v>4234</v>
      </c>
      <c r="D414" s="2692">
        <f>SUM(D415:D424)</f>
        <v>1452000000</v>
      </c>
      <c r="E414" s="3214">
        <f t="shared" si="9"/>
        <v>1.2224345430501793</v>
      </c>
      <c r="F414" s="1403"/>
      <c r="G414" s="1239"/>
      <c r="H414" s="1239"/>
      <c r="I414" s="1338"/>
      <c r="J414" s="1403"/>
      <c r="K414" s="1293"/>
      <c r="L414" s="1239"/>
      <c r="M414" s="1338"/>
      <c r="N414" s="1539"/>
      <c r="P414" s="1007"/>
    </row>
    <row r="415" spans="1:17" s="1002" customFormat="1" ht="18.75" hidden="1" customHeight="1" x14ac:dyDescent="0.25">
      <c r="A415" s="2"/>
      <c r="B415" s="1344"/>
      <c r="C415" s="2494" t="s">
        <v>4224</v>
      </c>
      <c r="D415" s="2698">
        <v>203000000</v>
      </c>
      <c r="E415" s="2879">
        <f t="shared" si="9"/>
        <v>0.17090510484792451</v>
      </c>
      <c r="F415" s="1403"/>
      <c r="G415" s="1239"/>
      <c r="H415" s="1239"/>
      <c r="I415" s="1338"/>
      <c r="J415" s="1403"/>
      <c r="K415" s="1293"/>
      <c r="L415" s="1239"/>
      <c r="M415" s="1338"/>
      <c r="N415" s="1539"/>
      <c r="P415" s="1007"/>
    </row>
    <row r="416" spans="1:17" s="1002" customFormat="1" ht="19.5" hidden="1" customHeight="1" x14ac:dyDescent="0.25">
      <c r="A416" s="2"/>
      <c r="B416" s="1344"/>
      <c r="C416" s="2494" t="s">
        <v>4225</v>
      </c>
      <c r="D416" s="2698">
        <v>198000000</v>
      </c>
      <c r="E416" s="2879">
        <f t="shared" si="9"/>
        <v>0.16669561950684264</v>
      </c>
      <c r="F416" s="1403"/>
      <c r="G416" s="1239"/>
      <c r="H416" s="1239"/>
      <c r="I416" s="1338"/>
      <c r="J416" s="1403"/>
      <c r="K416" s="1293"/>
      <c r="L416" s="1239"/>
      <c r="M416" s="1338"/>
      <c r="N416" s="1539"/>
      <c r="P416" s="1007"/>
    </row>
    <row r="417" spans="1:17" s="1002" customFormat="1" ht="20.25" hidden="1" customHeight="1" x14ac:dyDescent="0.25">
      <c r="A417" s="2"/>
      <c r="B417" s="1344"/>
      <c r="C417" s="2494" t="s">
        <v>4226</v>
      </c>
      <c r="D417" s="2698">
        <v>250000000</v>
      </c>
      <c r="E417" s="2879">
        <f t="shared" si="9"/>
        <v>0.21047426705409425</v>
      </c>
      <c r="F417" s="1403"/>
      <c r="G417" s="1239"/>
      <c r="H417" s="1239"/>
      <c r="I417" s="1338"/>
      <c r="J417" s="1403"/>
      <c r="K417" s="1293"/>
      <c r="L417" s="1239"/>
      <c r="M417" s="1338"/>
      <c r="N417" s="1539"/>
      <c r="P417" s="1007"/>
    </row>
    <row r="418" spans="1:17" s="1002" customFormat="1" ht="18.75" hidden="1" customHeight="1" x14ac:dyDescent="0.25">
      <c r="A418" s="2"/>
      <c r="B418" s="1344"/>
      <c r="C418" s="2494" t="s">
        <v>4227</v>
      </c>
      <c r="D418" s="2698">
        <v>70000000</v>
      </c>
      <c r="E418" s="2879">
        <f t="shared" si="9"/>
        <v>5.8932794775146388E-2</v>
      </c>
      <c r="F418" s="1403"/>
      <c r="G418" s="1239"/>
      <c r="H418" s="1239"/>
      <c r="I418" s="1338"/>
      <c r="J418" s="1403"/>
      <c r="K418" s="1293"/>
      <c r="L418" s="1239"/>
      <c r="M418" s="1338"/>
      <c r="N418" s="1539"/>
      <c r="P418" s="1007"/>
    </row>
    <row r="419" spans="1:17" s="1002" customFormat="1" ht="21.75" hidden="1" customHeight="1" x14ac:dyDescent="0.25">
      <c r="A419" s="2"/>
      <c r="B419" s="1344"/>
      <c r="C419" s="2494" t="s">
        <v>4228</v>
      </c>
      <c r="D419" s="2698">
        <v>70000000</v>
      </c>
      <c r="E419" s="2879">
        <f t="shared" si="9"/>
        <v>5.8932794775146388E-2</v>
      </c>
      <c r="F419" s="1403"/>
      <c r="G419" s="1239"/>
      <c r="H419" s="1239"/>
      <c r="I419" s="1338"/>
      <c r="J419" s="1403"/>
      <c r="K419" s="1293"/>
      <c r="L419" s="1239"/>
      <c r="M419" s="1338"/>
      <c r="N419" s="1539"/>
      <c r="P419" s="1007"/>
    </row>
    <row r="420" spans="1:17" s="1002" customFormat="1" ht="21" hidden="1" customHeight="1" x14ac:dyDescent="0.25">
      <c r="A420" s="2"/>
      <c r="B420" s="1344"/>
      <c r="C420" s="2494" t="s">
        <v>4229</v>
      </c>
      <c r="D420" s="2698">
        <v>70000000</v>
      </c>
      <c r="E420" s="2879">
        <f t="shared" si="9"/>
        <v>5.8932794775146388E-2</v>
      </c>
      <c r="F420" s="1403"/>
      <c r="G420" s="1239"/>
      <c r="H420" s="1239"/>
      <c r="I420" s="1338"/>
      <c r="J420" s="1403"/>
      <c r="K420" s="1293"/>
      <c r="L420" s="1239"/>
      <c r="M420" s="1338"/>
      <c r="N420" s="1539"/>
      <c r="P420" s="1007"/>
    </row>
    <row r="421" spans="1:17" s="1002" customFormat="1" ht="21" hidden="1" customHeight="1" x14ac:dyDescent="0.25">
      <c r="A421" s="2"/>
      <c r="B421" s="1344"/>
      <c r="C421" s="2494" t="s">
        <v>4230</v>
      </c>
      <c r="D421" s="2698">
        <v>70000000</v>
      </c>
      <c r="E421" s="2879">
        <f t="shared" si="9"/>
        <v>5.8932794775146388E-2</v>
      </c>
      <c r="F421" s="1403"/>
      <c r="G421" s="1239"/>
      <c r="H421" s="1239"/>
      <c r="I421" s="1338"/>
      <c r="J421" s="1403"/>
      <c r="K421" s="1293"/>
      <c r="L421" s="1239"/>
      <c r="M421" s="1338"/>
      <c r="N421" s="1539"/>
      <c r="P421" s="1007"/>
    </row>
    <row r="422" spans="1:17" s="1002" customFormat="1" ht="18.75" hidden="1" customHeight="1" x14ac:dyDescent="0.25">
      <c r="A422" s="2"/>
      <c r="B422" s="1344"/>
      <c r="C422" s="2494" t="s">
        <v>4231</v>
      </c>
      <c r="D422" s="2698">
        <v>150000000</v>
      </c>
      <c r="E422" s="2879">
        <f t="shared" si="9"/>
        <v>0.12628456023245652</v>
      </c>
      <c r="F422" s="1403"/>
      <c r="G422" s="1239"/>
      <c r="H422" s="1239"/>
      <c r="I422" s="1338"/>
      <c r="J422" s="1403"/>
      <c r="K422" s="1293"/>
      <c r="L422" s="1239"/>
      <c r="M422" s="1338"/>
      <c r="N422" s="1539"/>
      <c r="P422" s="1007"/>
    </row>
    <row r="423" spans="1:17" s="1002" customFormat="1" ht="18.75" hidden="1" customHeight="1" x14ac:dyDescent="0.25">
      <c r="A423" s="2"/>
      <c r="B423" s="1344"/>
      <c r="C423" s="2494" t="s">
        <v>4232</v>
      </c>
      <c r="D423" s="2698">
        <v>150000000</v>
      </c>
      <c r="E423" s="2879">
        <f t="shared" si="9"/>
        <v>0.12628456023245652</v>
      </c>
      <c r="F423" s="1403"/>
      <c r="G423" s="1239"/>
      <c r="H423" s="1239"/>
      <c r="I423" s="1338"/>
      <c r="J423" s="1403"/>
      <c r="K423" s="1293"/>
      <c r="L423" s="1239"/>
      <c r="M423" s="1338"/>
      <c r="N423" s="1539"/>
      <c r="P423" s="1007"/>
    </row>
    <row r="424" spans="1:17" s="1002" customFormat="1" ht="25.5" hidden="1" customHeight="1" x14ac:dyDescent="0.25">
      <c r="A424" s="2"/>
      <c r="B424" s="1344"/>
      <c r="C424" s="2494" t="s">
        <v>4233</v>
      </c>
      <c r="D424" s="2698">
        <v>221000000</v>
      </c>
      <c r="E424" s="2879">
        <f t="shared" si="9"/>
        <v>0.1860592520758193</v>
      </c>
      <c r="F424" s="1403"/>
      <c r="G424" s="1239"/>
      <c r="H424" s="1239"/>
      <c r="I424" s="1338"/>
      <c r="J424" s="1403"/>
      <c r="K424" s="1293"/>
      <c r="L424" s="1239"/>
      <c r="M424" s="1338"/>
      <c r="N424" s="1539"/>
      <c r="P424" s="1007"/>
    </row>
    <row r="425" spans="1:17" s="1002" customFormat="1" ht="11.25" hidden="1" customHeight="1" x14ac:dyDescent="0.25">
      <c r="A425" s="2"/>
      <c r="B425" s="1344"/>
      <c r="C425" s="2494"/>
      <c r="D425" s="2698"/>
      <c r="E425" s="2879"/>
      <c r="F425" s="1403"/>
      <c r="G425" s="1239"/>
      <c r="H425" s="1239"/>
      <c r="I425" s="1338"/>
      <c r="J425" s="1403"/>
      <c r="K425" s="1293"/>
      <c r="L425" s="1239"/>
      <c r="M425" s="1338"/>
      <c r="N425" s="1539"/>
      <c r="P425" s="1007"/>
    </row>
    <row r="426" spans="1:17" ht="19.5" hidden="1" customHeight="1" x14ac:dyDescent="0.25">
      <c r="A426" s="2"/>
      <c r="B426" s="1344"/>
      <c r="C426" s="2491" t="s">
        <v>4235</v>
      </c>
      <c r="D426" s="2692">
        <f>SUM(D427:D432)</f>
        <v>4213000000</v>
      </c>
      <c r="E426" s="3214">
        <f t="shared" si="9"/>
        <v>3.5469123483955958</v>
      </c>
      <c r="F426" s="1411"/>
      <c r="G426" s="1239"/>
      <c r="H426" s="1239"/>
      <c r="I426" s="1338"/>
      <c r="J426" s="1403"/>
      <c r="K426" s="1293"/>
      <c r="L426" s="1239"/>
      <c r="M426" s="1338"/>
      <c r="N426" s="1539"/>
      <c r="P426" s="1007"/>
      <c r="Q426" s="1002"/>
    </row>
    <row r="427" spans="1:17" ht="21" hidden="1" customHeight="1" x14ac:dyDescent="0.25">
      <c r="A427" s="2"/>
      <c r="B427" s="1344"/>
      <c r="C427" s="2494" t="s">
        <v>4236</v>
      </c>
      <c r="D427" s="2698">
        <v>100000000</v>
      </c>
      <c r="E427" s="2879">
        <f t="shared" si="9"/>
        <v>8.4189706821637691E-2</v>
      </c>
      <c r="F427" s="1403"/>
      <c r="G427" s="1239"/>
      <c r="H427" s="1239"/>
      <c r="I427" s="1338"/>
      <c r="J427" s="1403"/>
      <c r="K427" s="1293"/>
      <c r="L427" s="1239"/>
      <c r="M427" s="1338"/>
      <c r="N427" s="1539"/>
      <c r="P427" s="1007"/>
      <c r="Q427" s="1002"/>
    </row>
    <row r="428" spans="1:17" ht="21.75" hidden="1" customHeight="1" x14ac:dyDescent="0.25">
      <c r="A428" s="2"/>
      <c r="B428" s="1344"/>
      <c r="C428" s="2494" t="s">
        <v>4237</v>
      </c>
      <c r="D428" s="2698">
        <v>1050000000</v>
      </c>
      <c r="E428" s="2879">
        <f t="shared" si="9"/>
        <v>0.88399192162719564</v>
      </c>
      <c r="F428" s="1403"/>
      <c r="G428" s="1239"/>
      <c r="H428" s="1239"/>
      <c r="I428" s="1338"/>
      <c r="J428" s="1403"/>
      <c r="K428" s="1293"/>
      <c r="L428" s="1239"/>
      <c r="M428" s="1338"/>
      <c r="N428" s="1539"/>
      <c r="P428" s="1007"/>
      <c r="Q428" s="1002"/>
    </row>
    <row r="429" spans="1:17" ht="20.25" hidden="1" customHeight="1" x14ac:dyDescent="0.25">
      <c r="A429" s="2"/>
      <c r="B429" s="1344"/>
      <c r="C429" s="2494" t="s">
        <v>4240</v>
      </c>
      <c r="D429" s="2698">
        <v>936000000</v>
      </c>
      <c r="E429" s="2879">
        <f t="shared" si="9"/>
        <v>0.7880156558505288</v>
      </c>
      <c r="F429" s="1403"/>
      <c r="G429" s="1239"/>
      <c r="H429" s="1239"/>
      <c r="I429" s="1338"/>
      <c r="J429" s="1403"/>
      <c r="K429" s="1293"/>
      <c r="L429" s="1239"/>
      <c r="M429" s="1338"/>
      <c r="N429" s="1539"/>
      <c r="P429" s="1007"/>
      <c r="Q429" s="1002"/>
    </row>
    <row r="430" spans="1:17" ht="19.5" hidden="1" customHeight="1" x14ac:dyDescent="0.25">
      <c r="A430" s="2"/>
      <c r="B430" s="1344"/>
      <c r="C430" s="2494" t="s">
        <v>4238</v>
      </c>
      <c r="D430" s="2698">
        <v>396000000</v>
      </c>
      <c r="E430" s="2879">
        <f t="shared" si="9"/>
        <v>0.33339123901368528</v>
      </c>
      <c r="F430" s="1403"/>
      <c r="G430" s="1239"/>
      <c r="H430" s="1239"/>
      <c r="I430" s="1338"/>
      <c r="J430" s="1403"/>
      <c r="K430" s="1293"/>
      <c r="L430" s="1239"/>
      <c r="M430" s="1338"/>
      <c r="N430" s="1539"/>
      <c r="P430" s="1007"/>
      <c r="Q430" s="1002"/>
    </row>
    <row r="431" spans="1:17" ht="20.25" hidden="1" customHeight="1" x14ac:dyDescent="0.25">
      <c r="A431" s="2"/>
      <c r="B431" s="1344"/>
      <c r="C431" s="2494" t="s">
        <v>4239</v>
      </c>
      <c r="D431" s="2698">
        <v>231000000</v>
      </c>
      <c r="E431" s="2879">
        <f t="shared" si="9"/>
        <v>0.19447822275798304</v>
      </c>
      <c r="F431" s="1403"/>
      <c r="G431" s="1239"/>
      <c r="H431" s="1239"/>
      <c r="I431" s="1338"/>
      <c r="J431" s="1403"/>
      <c r="K431" s="1293"/>
      <c r="L431" s="1239"/>
      <c r="M431" s="1338"/>
      <c r="N431" s="1539"/>
      <c r="P431" s="1007"/>
      <c r="Q431" s="1002"/>
    </row>
    <row r="432" spans="1:17" ht="22.5" hidden="1" customHeight="1" x14ac:dyDescent="0.25">
      <c r="A432" s="2"/>
      <c r="B432" s="1344"/>
      <c r="C432" s="2494" t="s">
        <v>4241</v>
      </c>
      <c r="D432" s="2698">
        <v>1500000000</v>
      </c>
      <c r="E432" s="2879">
        <f t="shared" si="9"/>
        <v>1.2628456023245653</v>
      </c>
      <c r="F432" s="1403"/>
      <c r="G432" s="1239"/>
      <c r="H432" s="1239"/>
      <c r="I432" s="1338"/>
      <c r="J432" s="1403"/>
      <c r="K432" s="1293"/>
      <c r="L432" s="1239"/>
      <c r="M432" s="1338"/>
      <c r="N432" s="1539"/>
      <c r="P432" s="1007"/>
      <c r="Q432" s="1002"/>
    </row>
    <row r="433" spans="1:18" ht="12" hidden="1" customHeight="1" x14ac:dyDescent="0.25">
      <c r="A433" s="2"/>
      <c r="B433" s="1344"/>
      <c r="C433" s="2494"/>
      <c r="D433" s="2698"/>
      <c r="E433" s="2879"/>
      <c r="F433" s="1403"/>
      <c r="G433" s="1239"/>
      <c r="H433" s="1239"/>
      <c r="I433" s="1338"/>
      <c r="J433" s="1403"/>
      <c r="K433" s="1293"/>
      <c r="L433" s="1239"/>
      <c r="M433" s="1338"/>
      <c r="N433" s="1539"/>
      <c r="P433" s="1007"/>
      <c r="Q433" s="1002"/>
    </row>
    <row r="434" spans="1:18" ht="21" hidden="1" customHeight="1" x14ac:dyDescent="0.25">
      <c r="A434" s="2"/>
      <c r="B434" s="1344"/>
      <c r="C434" s="2491" t="s">
        <v>4242</v>
      </c>
      <c r="D434" s="2692">
        <f>D435</f>
        <v>2000000000</v>
      </c>
      <c r="E434" s="3214">
        <f t="shared" si="9"/>
        <v>1.683794136432754</v>
      </c>
      <c r="F434" s="1403"/>
      <c r="G434" s="1239"/>
      <c r="H434" s="1239"/>
      <c r="I434" s="1338"/>
      <c r="J434" s="1403"/>
      <c r="K434" s="1293"/>
      <c r="L434" s="1239"/>
      <c r="M434" s="1338"/>
      <c r="N434" s="1539"/>
      <c r="P434" s="1007"/>
      <c r="Q434" s="1002"/>
    </row>
    <row r="435" spans="1:18" ht="19.5" hidden="1" customHeight="1" x14ac:dyDescent="0.25">
      <c r="A435" s="2"/>
      <c r="B435" s="1344"/>
      <c r="C435" s="2494" t="s">
        <v>4243</v>
      </c>
      <c r="D435" s="2698">
        <v>2000000000</v>
      </c>
      <c r="E435" s="2879">
        <f t="shared" si="9"/>
        <v>1.683794136432754</v>
      </c>
      <c r="F435" s="1403"/>
      <c r="G435" s="1239"/>
      <c r="H435" s="1239"/>
      <c r="I435" s="1338"/>
      <c r="J435" s="1403"/>
      <c r="K435" s="1293"/>
      <c r="L435" s="1239"/>
      <c r="M435" s="1338"/>
      <c r="N435" s="1539"/>
      <c r="P435" s="1007"/>
      <c r="Q435" s="1002"/>
    </row>
    <row r="436" spans="1:18" ht="12" hidden="1" customHeight="1" x14ac:dyDescent="0.25">
      <c r="B436" s="1592"/>
      <c r="C436" s="2506"/>
      <c r="D436" s="3477"/>
      <c r="E436" s="2840"/>
      <c r="F436" s="1436"/>
      <c r="G436" s="1256"/>
      <c r="H436" s="1256"/>
      <c r="I436" s="1340"/>
      <c r="J436" s="1436"/>
      <c r="K436" s="1256"/>
      <c r="L436" s="1256"/>
      <c r="M436" s="1611"/>
      <c r="N436" s="1582"/>
    </row>
    <row r="437" spans="1:18" ht="20.25" hidden="1" customHeight="1" x14ac:dyDescent="0.25">
      <c r="B437" s="1609"/>
      <c r="C437" s="2497" t="s">
        <v>4267</v>
      </c>
      <c r="D437" s="2719">
        <f>SUM(D438)</f>
        <v>3000000000</v>
      </c>
      <c r="E437" s="2786">
        <f>D437/118779366000*100</f>
        <v>2.5256912046491307</v>
      </c>
      <c r="F437" s="1244"/>
      <c r="G437" s="1244"/>
      <c r="H437" s="1244"/>
      <c r="I437" s="1244"/>
      <c r="J437" s="1244"/>
      <c r="K437" s="1244"/>
      <c r="L437" s="1244"/>
      <c r="M437" s="1725"/>
      <c r="N437" s="1539"/>
    </row>
    <row r="438" spans="1:18" ht="19.5" hidden="1" customHeight="1" x14ac:dyDescent="0.25">
      <c r="B438" s="1726"/>
      <c r="C438" s="2569" t="s">
        <v>4268</v>
      </c>
      <c r="D438" s="2725">
        <f>SUM(D439:D439)</f>
        <v>3000000000</v>
      </c>
      <c r="E438" s="3214">
        <f>D438/118779366000*100</f>
        <v>2.5256912046491307</v>
      </c>
      <c r="F438" s="1227"/>
      <c r="G438" s="1227"/>
      <c r="H438" s="1227"/>
      <c r="I438" s="1227"/>
      <c r="J438" s="1227"/>
      <c r="K438" s="1227"/>
      <c r="L438" s="1727"/>
      <c r="M438" s="1728"/>
      <c r="N438" s="1539"/>
    </row>
    <row r="439" spans="1:18" ht="22.5" hidden="1" customHeight="1" x14ac:dyDescent="0.25">
      <c r="B439" s="1592"/>
      <c r="C439" s="2490" t="s">
        <v>4269</v>
      </c>
      <c r="D439" s="2767">
        <f>D440</f>
        <v>3000000000</v>
      </c>
      <c r="E439" s="3214">
        <f>D439/118779366000*100</f>
        <v>2.5256912046491307</v>
      </c>
      <c r="F439" s="1409"/>
      <c r="G439" s="1242"/>
      <c r="H439" s="1242"/>
      <c r="I439" s="1242"/>
      <c r="J439" s="1409"/>
      <c r="K439" s="1729"/>
      <c r="L439" s="1229"/>
      <c r="M439" s="1622"/>
      <c r="N439" s="1539"/>
    </row>
    <row r="440" spans="1:18" s="196" customFormat="1" ht="22.5" hidden="1" customHeight="1" x14ac:dyDescent="0.25">
      <c r="B440" s="1730"/>
      <c r="C440" s="3787" t="s">
        <v>4272</v>
      </c>
      <c r="D440" s="2709">
        <v>3000000000</v>
      </c>
      <c r="E440" s="2879">
        <f>D440/118779366000*100</f>
        <v>2.5256912046491307</v>
      </c>
      <c r="F440" s="1409"/>
      <c r="G440" s="1228"/>
      <c r="H440" s="1242"/>
      <c r="I440" s="1242"/>
      <c r="J440" s="1409"/>
      <c r="K440" s="1729"/>
      <c r="L440" s="1247"/>
      <c r="M440" s="1622"/>
      <c r="N440" s="1723"/>
      <c r="O440" s="1098"/>
      <c r="P440" s="1103"/>
      <c r="Q440" s="1103"/>
      <c r="R440" s="1098"/>
    </row>
    <row r="441" spans="1:18" ht="21" hidden="1" customHeight="1" x14ac:dyDescent="0.25">
      <c r="B441" s="1592"/>
      <c r="C441" s="2510"/>
      <c r="D441" s="2911"/>
      <c r="E441" s="2840"/>
      <c r="F441" s="1262"/>
      <c r="G441" s="1262"/>
      <c r="H441" s="1262"/>
      <c r="I441" s="1262"/>
      <c r="J441" s="1731"/>
      <c r="K441" s="1731"/>
      <c r="L441" s="1732"/>
      <c r="M441" s="1733"/>
      <c r="N441" s="1539"/>
    </row>
    <row r="442" spans="1:18" s="76" customFormat="1" ht="23.25" hidden="1" customHeight="1" x14ac:dyDescent="0.25">
      <c r="B442" s="1588"/>
      <c r="C442" s="2522" t="s">
        <v>7001</v>
      </c>
      <c r="D442" s="3788">
        <f>D444+D494</f>
        <v>20758465501</v>
      </c>
      <c r="E442" s="2948">
        <f>D442/2512247400000*100</f>
        <v>0.82629065517193889</v>
      </c>
      <c r="F442" s="1414"/>
      <c r="G442" s="1746"/>
      <c r="H442" s="1746"/>
      <c r="I442" s="1746"/>
      <c r="J442" s="1747"/>
      <c r="K442" s="1747"/>
      <c r="L442" s="1748"/>
      <c r="M442" s="1749"/>
      <c r="N442" s="1750"/>
      <c r="O442" s="1035"/>
      <c r="P442" s="1036"/>
      <c r="Q442" s="1036"/>
      <c r="R442" s="1035"/>
    </row>
    <row r="443" spans="1:18" ht="8.25" hidden="1" customHeight="1" x14ac:dyDescent="0.25">
      <c r="B443" s="1587"/>
      <c r="C443" s="2476"/>
      <c r="D443" s="3748"/>
      <c r="E443" s="2707"/>
      <c r="F443" s="1415"/>
      <c r="G443" s="1328"/>
      <c r="H443" s="1751"/>
      <c r="I443" s="1752"/>
      <c r="J443" s="1424"/>
      <c r="K443" s="1328"/>
      <c r="L443" s="1751"/>
      <c r="M443" s="1753"/>
      <c r="N443" s="1574"/>
    </row>
    <row r="444" spans="1:18" ht="24.75" hidden="1" customHeight="1" x14ac:dyDescent="0.25">
      <c r="B444" s="1609"/>
      <c r="C444" s="2471" t="s">
        <v>398</v>
      </c>
      <c r="D444" s="2744">
        <f>D445+D448+D454+D457+D461+D464+D473+D468+D476+D481+D487+D491</f>
        <v>20258465501</v>
      </c>
      <c r="E444" s="2717">
        <f>D444/118389902000*100</f>
        <v>17.111649860982229</v>
      </c>
      <c r="F444" s="1333"/>
      <c r="G444" s="1754"/>
      <c r="H444" s="1754"/>
      <c r="I444" s="1754"/>
      <c r="J444" s="1419"/>
      <c r="K444" s="1419"/>
      <c r="L444" s="1333"/>
      <c r="M444" s="1755"/>
      <c r="N444" s="1578"/>
    </row>
    <row r="445" spans="1:18" ht="19.5" hidden="1" customHeight="1" x14ac:dyDescent="0.25">
      <c r="B445" s="1592"/>
      <c r="C445" s="2599" t="s">
        <v>2126</v>
      </c>
      <c r="D445" s="899">
        <f>SUM(D446:D446)</f>
        <v>768000000</v>
      </c>
      <c r="E445" s="2772">
        <f>D445/118389902000*100</f>
        <v>0.64870397476974007</v>
      </c>
      <c r="F445" s="1528"/>
      <c r="G445" s="1345"/>
      <c r="H445" s="1345"/>
      <c r="I445" s="1345"/>
      <c r="J445" s="1528"/>
      <c r="K445" s="1528"/>
      <c r="L445" s="1231"/>
      <c r="M445" s="1756"/>
      <c r="N445" s="1582"/>
    </row>
    <row r="446" spans="1:18" ht="20.25" hidden="1" customHeight="1" x14ac:dyDescent="0.25">
      <c r="B446" s="1592"/>
      <c r="C446" s="2600" t="s">
        <v>2127</v>
      </c>
      <c r="D446" s="3331">
        <v>768000000</v>
      </c>
      <c r="E446" s="2688">
        <f>D446/118389902000*100</f>
        <v>0.64870397476974007</v>
      </c>
      <c r="F446" s="1300"/>
      <c r="G446" s="1434"/>
      <c r="H446" s="1434"/>
      <c r="I446" s="1434"/>
      <c r="J446" s="1263"/>
      <c r="K446" s="1263"/>
      <c r="L446" s="1229"/>
      <c r="M446" s="1757"/>
      <c r="N446" s="1539"/>
    </row>
    <row r="447" spans="1:18" ht="12.75" hidden="1" customHeight="1" x14ac:dyDescent="0.25">
      <c r="B447" s="1592"/>
      <c r="C447" s="2473"/>
      <c r="D447" s="896"/>
      <c r="E447" s="2688"/>
      <c r="F447" s="1300"/>
      <c r="G447" s="1434"/>
      <c r="H447" s="1434"/>
      <c r="I447" s="1434"/>
      <c r="J447" s="1263"/>
      <c r="K447" s="1434"/>
      <c r="L447" s="1758"/>
      <c r="M447" s="1759"/>
      <c r="N447" s="1539"/>
    </row>
    <row r="448" spans="1:18" ht="21" hidden="1" customHeight="1" x14ac:dyDescent="0.25">
      <c r="B448" s="1592"/>
      <c r="C448" s="2599" t="s">
        <v>678</v>
      </c>
      <c r="D448" s="3348">
        <f>SUM(D449:D452)</f>
        <v>2243089000</v>
      </c>
      <c r="E448" s="2693">
        <f t="shared" ref="E448:E492" si="10">D448/118389902000*100</f>
        <v>1.8946624349769288</v>
      </c>
      <c r="F448" s="1300"/>
      <c r="G448" s="1434"/>
      <c r="H448" s="1434"/>
      <c r="I448" s="1434"/>
      <c r="J448" s="1263"/>
      <c r="K448" s="1434"/>
      <c r="L448" s="1758"/>
      <c r="M448" s="1759"/>
      <c r="N448" s="1539"/>
    </row>
    <row r="449" spans="1:17" ht="22.5" hidden="1" customHeight="1" x14ac:dyDescent="0.25">
      <c r="B449" s="1592"/>
      <c r="C449" s="2600" t="s">
        <v>2128</v>
      </c>
      <c r="D449" s="3331">
        <v>916030000</v>
      </c>
      <c r="E449" s="2688">
        <f t="shared" si="10"/>
        <v>0.77373997657333982</v>
      </c>
      <c r="F449" s="1300"/>
      <c r="G449" s="1434"/>
      <c r="H449" s="1434"/>
      <c r="I449" s="1434"/>
      <c r="J449" s="1263"/>
      <c r="K449" s="1263"/>
      <c r="L449" s="1229"/>
      <c r="M449" s="1757"/>
      <c r="N449" s="1539"/>
    </row>
    <row r="450" spans="1:17" ht="22.5" hidden="1" customHeight="1" x14ac:dyDescent="0.25">
      <c r="B450" s="1592"/>
      <c r="C450" s="2600" t="s">
        <v>2129</v>
      </c>
      <c r="D450" s="3331">
        <v>149900000</v>
      </c>
      <c r="E450" s="2688">
        <f t="shared" si="10"/>
        <v>0.12661552840883336</v>
      </c>
      <c r="F450" s="1300"/>
      <c r="G450" s="1434"/>
      <c r="H450" s="1434"/>
      <c r="I450" s="1434"/>
      <c r="J450" s="1263"/>
      <c r="K450" s="1263"/>
      <c r="L450" s="1229"/>
      <c r="M450" s="1757"/>
      <c r="N450" s="1539"/>
    </row>
    <row r="451" spans="1:17" s="1002" customFormat="1" ht="22.5" hidden="1" customHeight="1" x14ac:dyDescent="0.25">
      <c r="A451"/>
      <c r="B451" s="1592"/>
      <c r="C451" s="2600" t="s">
        <v>7648</v>
      </c>
      <c r="D451" s="3331">
        <v>994650000</v>
      </c>
      <c r="E451" s="2688">
        <f t="shared" si="10"/>
        <v>0.84014766732385671</v>
      </c>
      <c r="F451" s="1421"/>
      <c r="G451" s="1422"/>
      <c r="H451" s="1280"/>
      <c r="I451" s="1422"/>
      <c r="J451" s="1422"/>
      <c r="K451" s="1422"/>
      <c r="L451" s="1280"/>
      <c r="M451" s="1760"/>
      <c r="N451" s="1539"/>
      <c r="P451" s="1003"/>
      <c r="Q451" s="1003"/>
    </row>
    <row r="452" spans="1:17" s="1002" customFormat="1" ht="18.75" hidden="1" customHeight="1" x14ac:dyDescent="0.25">
      <c r="A452"/>
      <c r="B452" s="1592"/>
      <c r="C452" s="2600" t="s">
        <v>7649</v>
      </c>
      <c r="D452" s="3331">
        <v>182509000</v>
      </c>
      <c r="E452" s="2688">
        <f t="shared" si="10"/>
        <v>0.15415926267089908</v>
      </c>
      <c r="F452" s="1304"/>
      <c r="G452" s="1345"/>
      <c r="H452" s="1345"/>
      <c r="I452" s="1345"/>
      <c r="J452" s="1304"/>
      <c r="K452" s="1304"/>
      <c r="L452" s="1231"/>
      <c r="M452" s="1761"/>
      <c r="N452" s="1539"/>
      <c r="P452" s="1003"/>
      <c r="Q452" s="1003"/>
    </row>
    <row r="453" spans="1:17" s="1002" customFormat="1" ht="12" hidden="1" customHeight="1" x14ac:dyDescent="0.25">
      <c r="A453"/>
      <c r="B453" s="1592"/>
      <c r="C453" s="2600"/>
      <c r="D453" s="3331"/>
      <c r="E453" s="2688"/>
      <c r="F453" s="1300"/>
      <c r="G453" s="1434"/>
      <c r="H453" s="1434"/>
      <c r="I453" s="1434"/>
      <c r="J453" s="1263"/>
      <c r="K453" s="1434"/>
      <c r="L453" s="1758"/>
      <c r="M453" s="1759"/>
      <c r="N453" s="1539"/>
      <c r="P453" s="1003"/>
      <c r="Q453" s="1003"/>
    </row>
    <row r="454" spans="1:17" s="1002" customFormat="1" ht="24.75" hidden="1" customHeight="1" x14ac:dyDescent="0.25">
      <c r="A454"/>
      <c r="B454" s="1592"/>
      <c r="C454" s="2599" t="s">
        <v>2131</v>
      </c>
      <c r="D454" s="3348">
        <f>SUM(D455:D455)</f>
        <v>232000000</v>
      </c>
      <c r="E454" s="2693">
        <f t="shared" si="10"/>
        <v>0.19596265904502563</v>
      </c>
      <c r="F454" s="1300"/>
      <c r="G454" s="1434"/>
      <c r="H454" s="1434"/>
      <c r="I454" s="1434"/>
      <c r="J454" s="1263"/>
      <c r="K454" s="1263"/>
      <c r="L454" s="1229"/>
      <c r="M454" s="1762"/>
      <c r="N454" s="1539"/>
      <c r="P454" s="1003"/>
      <c r="Q454" s="1003"/>
    </row>
    <row r="455" spans="1:17" s="1002" customFormat="1" ht="20.25" hidden="1" customHeight="1" x14ac:dyDescent="0.25">
      <c r="A455"/>
      <c r="B455" s="1592"/>
      <c r="C455" s="2600" t="s">
        <v>7650</v>
      </c>
      <c r="D455" s="3331">
        <v>232000000</v>
      </c>
      <c r="E455" s="2688">
        <f t="shared" si="10"/>
        <v>0.19596265904502563</v>
      </c>
      <c r="F455" s="1300"/>
      <c r="G455" s="1422"/>
      <c r="H455" s="1280"/>
      <c r="I455" s="1422"/>
      <c r="J455" s="1425"/>
      <c r="K455" s="1315"/>
      <c r="L455" s="1449"/>
      <c r="M455" s="1762"/>
      <c r="N455" s="1539"/>
      <c r="P455" s="1003"/>
      <c r="Q455" s="1003"/>
    </row>
    <row r="456" spans="1:17" s="1002" customFormat="1" ht="15" hidden="1" customHeight="1" x14ac:dyDescent="0.25">
      <c r="A456"/>
      <c r="B456" s="1592"/>
      <c r="C456" s="2601"/>
      <c r="D456" s="3350"/>
      <c r="E456" s="2688"/>
      <c r="F456" s="1304"/>
      <c r="G456" s="1345"/>
      <c r="H456" s="1345"/>
      <c r="I456" s="1345"/>
      <c r="J456" s="1304"/>
      <c r="K456" s="1304"/>
      <c r="L456" s="1231"/>
      <c r="M456" s="1761"/>
      <c r="N456" s="1539"/>
      <c r="P456" s="1003"/>
      <c r="Q456" s="1003"/>
    </row>
    <row r="457" spans="1:17" s="1002" customFormat="1" ht="24.75" hidden="1" customHeight="1" x14ac:dyDescent="0.25">
      <c r="A457"/>
      <c r="B457" s="1592"/>
      <c r="C457" s="2599" t="s">
        <v>7651</v>
      </c>
      <c r="D457" s="3348">
        <f>D458+D459</f>
        <v>629444000</v>
      </c>
      <c r="E457" s="2693">
        <f t="shared" si="10"/>
        <v>0.53167034465490137</v>
      </c>
      <c r="F457" s="1300"/>
      <c r="G457" s="1434"/>
      <c r="H457" s="1434"/>
      <c r="I457" s="1434"/>
      <c r="J457" s="1263"/>
      <c r="K457" s="1263"/>
      <c r="L457" s="1229"/>
      <c r="M457" s="1757"/>
      <c r="N457" s="1539"/>
      <c r="P457" s="1003"/>
      <c r="Q457" s="1003"/>
    </row>
    <row r="458" spans="1:17" s="1002" customFormat="1" ht="21.75" hidden="1" customHeight="1" x14ac:dyDescent="0.25">
      <c r="A458"/>
      <c r="B458" s="1592"/>
      <c r="C458" s="2600" t="s">
        <v>7652</v>
      </c>
      <c r="D458" s="3331">
        <v>164134000</v>
      </c>
      <c r="E458" s="2688">
        <f t="shared" si="10"/>
        <v>0.13863851327455276</v>
      </c>
      <c r="F458" s="1530"/>
      <c r="G458" s="1422"/>
      <c r="H458" s="1280"/>
      <c r="I458" s="1422"/>
      <c r="J458" s="1425"/>
      <c r="K458" s="1315"/>
      <c r="L458" s="1449"/>
      <c r="M458" s="1762"/>
      <c r="N458" s="1539"/>
      <c r="P458" s="1003"/>
      <c r="Q458" s="1003"/>
    </row>
    <row r="459" spans="1:17" s="1002" customFormat="1" ht="25.5" hidden="1" customHeight="1" x14ac:dyDescent="0.25">
      <c r="A459"/>
      <c r="B459" s="1592"/>
      <c r="C459" s="2473" t="s">
        <v>7653</v>
      </c>
      <c r="D459" s="3331">
        <v>465310000</v>
      </c>
      <c r="E459" s="2688">
        <f t="shared" si="10"/>
        <v>0.39303183138034864</v>
      </c>
      <c r="F459" s="1304"/>
      <c r="G459" s="1345"/>
      <c r="H459" s="1345"/>
      <c r="I459" s="1345"/>
      <c r="J459" s="1304"/>
      <c r="K459" s="1304"/>
      <c r="L459" s="1231"/>
      <c r="M459" s="1761"/>
      <c r="N459" s="1539"/>
      <c r="P459" s="1003"/>
      <c r="Q459" s="1003"/>
    </row>
    <row r="460" spans="1:17" s="1002" customFormat="1" ht="15" hidden="1" customHeight="1" x14ac:dyDescent="0.25">
      <c r="A460"/>
      <c r="B460" s="1592"/>
      <c r="C460" s="2473"/>
      <c r="D460" s="3350"/>
      <c r="E460" s="2688"/>
      <c r="F460" s="1300"/>
      <c r="G460" s="1434"/>
      <c r="H460" s="1434"/>
      <c r="I460" s="1434"/>
      <c r="J460" s="1263"/>
      <c r="K460" s="1263"/>
      <c r="L460" s="1229"/>
      <c r="M460" s="1757"/>
      <c r="N460" s="1539"/>
      <c r="P460" s="1003"/>
      <c r="Q460" s="1003"/>
    </row>
    <row r="461" spans="1:17" s="1002" customFormat="1" ht="26.25" hidden="1" customHeight="1" x14ac:dyDescent="0.25">
      <c r="A461"/>
      <c r="B461" s="1592"/>
      <c r="C461" s="2599" t="s">
        <v>7654</v>
      </c>
      <c r="D461" s="899">
        <f>D462</f>
        <v>1305656500</v>
      </c>
      <c r="E461" s="2693">
        <f t="shared" si="10"/>
        <v>1.1028444807733688</v>
      </c>
      <c r="F461" s="1531"/>
      <c r="G461" s="1422"/>
      <c r="H461" s="1280"/>
      <c r="I461" s="1422"/>
      <c r="J461" s="1425"/>
      <c r="K461" s="1315"/>
      <c r="L461" s="1449"/>
      <c r="M461" s="1762"/>
      <c r="N461" s="1539"/>
      <c r="P461" s="1003"/>
      <c r="Q461" s="1003"/>
    </row>
    <row r="462" spans="1:17" s="1002" customFormat="1" ht="24" hidden="1" customHeight="1" x14ac:dyDescent="0.25">
      <c r="A462"/>
      <c r="B462" s="1592"/>
      <c r="C462" s="2600" t="s">
        <v>7655</v>
      </c>
      <c r="D462" s="3331">
        <v>1305656500</v>
      </c>
      <c r="E462" s="2688">
        <f t="shared" si="10"/>
        <v>1.1028444807733688</v>
      </c>
      <c r="F462" s="1422"/>
      <c r="G462" s="1345"/>
      <c r="H462" s="1345"/>
      <c r="I462" s="1345"/>
      <c r="J462" s="1422"/>
      <c r="K462" s="1422"/>
      <c r="L462" s="1231"/>
      <c r="M462" s="1761"/>
      <c r="N462" s="1539"/>
      <c r="P462" s="1003"/>
      <c r="Q462" s="1003"/>
    </row>
    <row r="463" spans="1:17" s="1002" customFormat="1" ht="15.75" hidden="1" customHeight="1" x14ac:dyDescent="0.25">
      <c r="A463"/>
      <c r="B463" s="1592"/>
      <c r="C463" s="2473"/>
      <c r="D463" s="896"/>
      <c r="E463" s="2688"/>
      <c r="F463" s="1301"/>
      <c r="G463" s="1246"/>
      <c r="H463" s="1246"/>
      <c r="I463" s="1246"/>
      <c r="J463" s="1763"/>
      <c r="K463" s="1303"/>
      <c r="L463" s="1229"/>
      <c r="M463" s="1757"/>
      <c r="N463" s="1539"/>
      <c r="P463" s="1003"/>
      <c r="Q463" s="1003"/>
    </row>
    <row r="464" spans="1:17" s="1002" customFormat="1" ht="24" hidden="1" customHeight="1" x14ac:dyDescent="0.25">
      <c r="A464"/>
      <c r="B464" s="1592"/>
      <c r="C464" s="2599" t="s">
        <v>7656</v>
      </c>
      <c r="D464" s="899">
        <f>SUM(D465:D466)</f>
        <v>297750000</v>
      </c>
      <c r="E464" s="2693">
        <f t="shared" si="10"/>
        <v>0.2514994902183465</v>
      </c>
      <c r="F464" s="1532"/>
      <c r="G464" s="1434"/>
      <c r="H464" s="1434"/>
      <c r="I464" s="1434"/>
      <c r="J464" s="1764"/>
      <c r="K464" s="1276"/>
      <c r="L464" s="1246"/>
      <c r="M464" s="1765"/>
      <c r="N464" s="1539"/>
      <c r="P464" s="1003"/>
      <c r="Q464" s="1003"/>
    </row>
    <row r="465" spans="1:17" s="1002" customFormat="1" ht="24" hidden="1" customHeight="1" x14ac:dyDescent="0.25">
      <c r="A465"/>
      <c r="B465" s="1592"/>
      <c r="C465" s="2600" t="s">
        <v>7657</v>
      </c>
      <c r="D465" s="3331">
        <v>141900000</v>
      </c>
      <c r="E465" s="2688">
        <f t="shared" si="10"/>
        <v>0.11985819533831527</v>
      </c>
      <c r="F465" s="1421"/>
      <c r="G465" s="1422"/>
      <c r="H465" s="1280"/>
      <c r="I465" s="1422"/>
      <c r="J465" s="1425"/>
      <c r="K465" s="1315"/>
      <c r="L465" s="1449"/>
      <c r="M465" s="1762"/>
      <c r="N465" s="1539"/>
      <c r="P465" s="1003"/>
      <c r="Q465" s="1003"/>
    </row>
    <row r="466" spans="1:17" s="1002" customFormat="1" ht="33" hidden="1" customHeight="1" x14ac:dyDescent="0.25">
      <c r="A466"/>
      <c r="B466" s="1592"/>
      <c r="C466" s="2473" t="s">
        <v>7658</v>
      </c>
      <c r="D466" s="896">
        <v>155850000</v>
      </c>
      <c r="E466" s="2688">
        <f t="shared" si="10"/>
        <v>0.13164129488003123</v>
      </c>
      <c r="F466" s="1422"/>
      <c r="G466" s="1345"/>
      <c r="H466" s="1345"/>
      <c r="I466" s="1345"/>
      <c r="J466" s="1422"/>
      <c r="K466" s="1422"/>
      <c r="L466" s="1231"/>
      <c r="M466" s="1761"/>
      <c r="N466" s="1539"/>
      <c r="P466" s="1003"/>
      <c r="Q466" s="1003"/>
    </row>
    <row r="467" spans="1:17" s="1002" customFormat="1" ht="10.5" hidden="1" customHeight="1" x14ac:dyDescent="0.25">
      <c r="A467"/>
      <c r="B467" s="1592"/>
      <c r="C467" s="2473"/>
      <c r="D467" s="896"/>
      <c r="E467" s="2688"/>
      <c r="F467" s="1532"/>
      <c r="G467" s="1246"/>
      <c r="H467" s="1246"/>
      <c r="I467" s="1246"/>
      <c r="J467" s="1764"/>
      <c r="K467" s="1303"/>
      <c r="L467" s="1229"/>
      <c r="M467" s="1757"/>
      <c r="N467" s="1539"/>
      <c r="P467" s="1003"/>
      <c r="Q467" s="1003"/>
    </row>
    <row r="468" spans="1:17" s="1002" customFormat="1" ht="23.25" hidden="1" customHeight="1" x14ac:dyDescent="0.25">
      <c r="A468"/>
      <c r="B468" s="1592"/>
      <c r="C468" s="2491" t="s">
        <v>2140</v>
      </c>
      <c r="D468" s="899">
        <f>SUM(D469:D471)</f>
        <v>1481347852</v>
      </c>
      <c r="E468" s="2693">
        <f t="shared" si="10"/>
        <v>1.2512451036575738</v>
      </c>
      <c r="F468" s="1421"/>
      <c r="G468" s="1422"/>
      <c r="H468" s="1280"/>
      <c r="I468" s="1422"/>
      <c r="J468" s="1425"/>
      <c r="K468" s="1315"/>
      <c r="L468" s="1449"/>
      <c r="M468" s="1762"/>
      <c r="N468" s="1539"/>
      <c r="P468" s="1003"/>
      <c r="Q468" s="1003"/>
    </row>
    <row r="469" spans="1:17" s="1002" customFormat="1" ht="21.75" hidden="1" customHeight="1" x14ac:dyDescent="0.25">
      <c r="A469"/>
      <c r="B469" s="1592"/>
      <c r="C469" s="2494" t="s">
        <v>7659</v>
      </c>
      <c r="D469" s="3331">
        <v>957600000</v>
      </c>
      <c r="E469" s="2688">
        <f t="shared" si="10"/>
        <v>0.80885276854101973</v>
      </c>
      <c r="F469" s="1422"/>
      <c r="G469" s="1345"/>
      <c r="H469" s="1345"/>
      <c r="I469" s="1345"/>
      <c r="J469" s="1422"/>
      <c r="K469" s="1422"/>
      <c r="L469" s="1231"/>
      <c r="M469" s="1761"/>
      <c r="N469" s="1539"/>
      <c r="P469" s="1003"/>
      <c r="Q469" s="1003"/>
    </row>
    <row r="470" spans="1:17" s="1002" customFormat="1" ht="20.25" hidden="1" customHeight="1" x14ac:dyDescent="0.25">
      <c r="A470"/>
      <c r="B470" s="1592"/>
      <c r="C470" s="2494" t="s">
        <v>7660</v>
      </c>
      <c r="D470" s="3331">
        <v>251597852</v>
      </c>
      <c r="E470" s="2688">
        <f t="shared" si="10"/>
        <v>0.21251631072386562</v>
      </c>
      <c r="F470" s="1532"/>
      <c r="G470" s="1434"/>
      <c r="H470" s="1434"/>
      <c r="I470" s="1434"/>
      <c r="J470" s="1764"/>
      <c r="K470" s="1303"/>
      <c r="L470" s="1229"/>
      <c r="M470" s="1757"/>
      <c r="N470" s="1539"/>
      <c r="P470" s="1003"/>
      <c r="Q470" s="1003"/>
    </row>
    <row r="471" spans="1:17" s="1002" customFormat="1" ht="22.5" hidden="1" customHeight="1" x14ac:dyDescent="0.25">
      <c r="A471"/>
      <c r="B471" s="1592"/>
      <c r="C471" s="2473" t="s">
        <v>7661</v>
      </c>
      <c r="D471" s="896">
        <v>272150000</v>
      </c>
      <c r="E471" s="2688">
        <f t="shared" si="10"/>
        <v>0.22987602439268848</v>
      </c>
      <c r="F471" s="1532"/>
      <c r="G471" s="1434"/>
      <c r="H471" s="1434"/>
      <c r="I471" s="1434"/>
      <c r="J471" s="1764"/>
      <c r="K471" s="1303"/>
      <c r="L471" s="1229"/>
      <c r="M471" s="1757"/>
      <c r="N471" s="1539"/>
      <c r="P471" s="1003"/>
      <c r="Q471" s="1003"/>
    </row>
    <row r="472" spans="1:17" s="1002" customFormat="1" ht="15.75" hidden="1" customHeight="1" x14ac:dyDescent="0.25">
      <c r="A472"/>
      <c r="B472" s="1592"/>
      <c r="C472" s="2473"/>
      <c r="D472" s="896"/>
      <c r="E472" s="2688"/>
      <c r="F472" s="1532"/>
      <c r="G472" s="1434"/>
      <c r="H472" s="1434"/>
      <c r="I472" s="1434"/>
      <c r="J472" s="1764"/>
      <c r="K472" s="1434"/>
      <c r="L472" s="1758"/>
      <c r="M472" s="1759"/>
      <c r="N472" s="1539"/>
      <c r="P472" s="1003"/>
      <c r="Q472" s="1003"/>
    </row>
    <row r="473" spans="1:17" s="1002" customFormat="1" ht="23.25" hidden="1" customHeight="1" x14ac:dyDescent="0.25">
      <c r="A473"/>
      <c r="B473" s="1592"/>
      <c r="C473" s="2491" t="s">
        <v>4168</v>
      </c>
      <c r="D473" s="899">
        <f>D474</f>
        <v>223862656</v>
      </c>
      <c r="E473" s="2693">
        <f t="shared" si="10"/>
        <v>0.18908931608035287</v>
      </c>
      <c r="F473" s="1421"/>
      <c r="G473" s="1422"/>
      <c r="H473" s="1280"/>
      <c r="I473" s="1422"/>
      <c r="J473" s="1425"/>
      <c r="K473" s="1315"/>
      <c r="L473" s="1449"/>
      <c r="M473" s="1762"/>
      <c r="N473" s="1539"/>
      <c r="P473" s="1003"/>
      <c r="Q473" s="1003"/>
    </row>
    <row r="474" spans="1:17" s="1002" customFormat="1" ht="21.75" hidden="1" customHeight="1" x14ac:dyDescent="0.25">
      <c r="A474"/>
      <c r="B474" s="1592"/>
      <c r="C474" s="2494" t="s">
        <v>7662</v>
      </c>
      <c r="D474" s="3331">
        <v>223862656</v>
      </c>
      <c r="E474" s="2688">
        <f t="shared" si="10"/>
        <v>0.18908931608035287</v>
      </c>
      <c r="F474" s="1422"/>
      <c r="G474" s="1345"/>
      <c r="H474" s="1345"/>
      <c r="I474" s="1345"/>
      <c r="J474" s="1422"/>
      <c r="K474" s="1422"/>
      <c r="L474" s="1231"/>
      <c r="M474" s="1766"/>
      <c r="N474" s="1539"/>
      <c r="P474" s="1003"/>
      <c r="Q474" s="1003"/>
    </row>
    <row r="475" spans="1:17" s="1002" customFormat="1" ht="15" hidden="1" customHeight="1" x14ac:dyDescent="0.25">
      <c r="A475"/>
      <c r="B475" s="1592"/>
      <c r="C475" s="2494"/>
      <c r="D475" s="3331"/>
      <c r="E475" s="2688"/>
      <c r="F475" s="1532"/>
      <c r="G475" s="1767"/>
      <c r="H475" s="1767"/>
      <c r="I475" s="1767"/>
      <c r="J475" s="1764"/>
      <c r="K475" s="1303"/>
      <c r="L475" s="1229"/>
      <c r="M475" s="1768"/>
      <c r="N475" s="1539"/>
      <c r="P475" s="1003"/>
      <c r="Q475" s="1003"/>
    </row>
    <row r="476" spans="1:17" s="1002" customFormat="1" ht="22.5" hidden="1" customHeight="1" x14ac:dyDescent="0.25">
      <c r="A476"/>
      <c r="B476" s="1592"/>
      <c r="C476" s="2474" t="s">
        <v>4169</v>
      </c>
      <c r="D476" s="899">
        <f>SUM(D477:D479)</f>
        <v>327802352</v>
      </c>
      <c r="E476" s="2693">
        <f t="shared" si="10"/>
        <v>0.27688370922040295</v>
      </c>
      <c r="F476" s="1421"/>
      <c r="G476" s="1422"/>
      <c r="H476" s="1280"/>
      <c r="I476" s="1422"/>
      <c r="J476" s="1425"/>
      <c r="K476" s="1315"/>
      <c r="L476" s="1449"/>
      <c r="M476" s="1762"/>
      <c r="N476" s="1539"/>
      <c r="P476" s="1003"/>
      <c r="Q476" s="1003"/>
    </row>
    <row r="477" spans="1:17" s="1002" customFormat="1" ht="30" hidden="1" customHeight="1" x14ac:dyDescent="0.25">
      <c r="A477"/>
      <c r="B477" s="1592"/>
      <c r="C477" s="2473" t="s">
        <v>7663</v>
      </c>
      <c r="D477" s="896">
        <v>107750000</v>
      </c>
      <c r="E477" s="2688">
        <f t="shared" si="10"/>
        <v>9.1012829793541E-2</v>
      </c>
      <c r="F477" s="1422"/>
      <c r="G477" s="1264"/>
      <c r="H477" s="1264"/>
      <c r="I477" s="1264"/>
      <c r="J477" s="1422"/>
      <c r="K477" s="1422"/>
      <c r="L477" s="1231"/>
      <c r="M477" s="1761"/>
      <c r="N477" s="1539"/>
      <c r="P477" s="1003"/>
      <c r="Q477" s="1003"/>
    </row>
    <row r="478" spans="1:17" s="1002" customFormat="1" ht="24.75" hidden="1" customHeight="1" x14ac:dyDescent="0.25">
      <c r="A478"/>
      <c r="B478" s="1592"/>
      <c r="C478" s="2473" t="s">
        <v>7664</v>
      </c>
      <c r="D478" s="896">
        <v>218252352</v>
      </c>
      <c r="E478" s="2688">
        <f t="shared" si="10"/>
        <v>0.18435047948599537</v>
      </c>
      <c r="F478" s="1300"/>
      <c r="G478" s="1246"/>
      <c r="H478" s="1246"/>
      <c r="I478" s="1246"/>
      <c r="J478" s="1263"/>
      <c r="K478" s="1263"/>
      <c r="L478" s="1229"/>
      <c r="M478" s="1757"/>
      <c r="N478" s="1539"/>
      <c r="P478" s="1003"/>
      <c r="Q478" s="1003"/>
    </row>
    <row r="479" spans="1:17" s="1002" customFormat="1" ht="21.75" hidden="1" customHeight="1" x14ac:dyDescent="0.25">
      <c r="A479"/>
      <c r="B479" s="1592"/>
      <c r="C479" s="2473" t="s">
        <v>7665</v>
      </c>
      <c r="D479" s="896">
        <v>1800000</v>
      </c>
      <c r="E479" s="2688">
        <f t="shared" si="10"/>
        <v>1.5203999408665784E-3</v>
      </c>
      <c r="F479" s="1533"/>
      <c r="G479" s="1251"/>
      <c r="H479" s="1251"/>
      <c r="I479" s="1340"/>
      <c r="J479" s="1339"/>
      <c r="K479" s="1339"/>
      <c r="L479" s="1281"/>
      <c r="M479" s="1573"/>
      <c r="N479" s="1574"/>
      <c r="P479" s="1003"/>
      <c r="Q479" s="1003"/>
    </row>
    <row r="480" spans="1:17" s="1002" customFormat="1" ht="13.5" hidden="1" customHeight="1" x14ac:dyDescent="0.25">
      <c r="A480"/>
      <c r="B480" s="1592"/>
      <c r="C480" s="2473"/>
      <c r="D480" s="896"/>
      <c r="E480" s="2688"/>
      <c r="F480" s="1434"/>
      <c r="G480" s="1229"/>
      <c r="H480" s="1229"/>
      <c r="I480" s="1338"/>
      <c r="J480" s="1338"/>
      <c r="K480" s="1338"/>
      <c r="L480" s="1284"/>
      <c r="M480" s="1584"/>
      <c r="N480" s="1539"/>
      <c r="P480" s="1003"/>
      <c r="Q480" s="1003"/>
    </row>
    <row r="481" spans="1:17" s="1002" customFormat="1" ht="23.25" hidden="1" customHeight="1" x14ac:dyDescent="0.25">
      <c r="A481"/>
      <c r="B481" s="1592"/>
      <c r="C481" s="2474" t="s">
        <v>7901</v>
      </c>
      <c r="D481" s="899">
        <f>SUM(D482:D485)</f>
        <v>2020075369</v>
      </c>
      <c r="E481" s="2693">
        <f t="shared" si="10"/>
        <v>1.7062902619853506</v>
      </c>
      <c r="F481" s="1434"/>
      <c r="G481" s="1229"/>
      <c r="H481" s="1229"/>
      <c r="I481" s="1338"/>
      <c r="J481" s="1338"/>
      <c r="K481" s="1338"/>
      <c r="L481" s="1284"/>
      <c r="M481" s="1584"/>
      <c r="N481" s="1539"/>
      <c r="P481" s="1003"/>
      <c r="Q481" s="1003"/>
    </row>
    <row r="482" spans="1:17" s="1002" customFormat="1" ht="22.5" hidden="1" customHeight="1" x14ac:dyDescent="0.25">
      <c r="A482"/>
      <c r="B482" s="1592"/>
      <c r="C482" s="2473" t="s">
        <v>7666</v>
      </c>
      <c r="D482" s="896">
        <v>312950369</v>
      </c>
      <c r="E482" s="2688">
        <f t="shared" si="10"/>
        <v>0.26433873473431879</v>
      </c>
      <c r="F482" s="1434"/>
      <c r="G482" s="1229"/>
      <c r="H482" s="1229"/>
      <c r="I482" s="1338"/>
      <c r="J482" s="1338"/>
      <c r="K482" s="1338"/>
      <c r="L482" s="1284"/>
      <c r="M482" s="1584"/>
      <c r="N482" s="1539"/>
      <c r="P482" s="1003"/>
      <c r="Q482" s="1003"/>
    </row>
    <row r="483" spans="1:17" ht="21" hidden="1" customHeight="1" x14ac:dyDescent="0.25">
      <c r="B483" s="1592"/>
      <c r="C483" s="2473" t="s">
        <v>7667</v>
      </c>
      <c r="D483" s="896">
        <v>442325000</v>
      </c>
      <c r="E483" s="2688">
        <f t="shared" si="10"/>
        <v>0.37361716880211626</v>
      </c>
      <c r="F483" s="1434"/>
      <c r="G483" s="1229"/>
      <c r="H483" s="1229"/>
      <c r="I483" s="1338"/>
      <c r="J483" s="1338"/>
      <c r="K483" s="1338"/>
      <c r="L483" s="1284"/>
      <c r="M483" s="1584"/>
      <c r="N483" s="1539"/>
    </row>
    <row r="484" spans="1:17" ht="24" hidden="1" customHeight="1" x14ac:dyDescent="0.25">
      <c r="B484" s="1592"/>
      <c r="C484" s="2473" t="s">
        <v>7668</v>
      </c>
      <c r="D484" s="896">
        <v>869800000</v>
      </c>
      <c r="E484" s="2688">
        <f t="shared" si="10"/>
        <v>0.73469103809208325</v>
      </c>
      <c r="F484" s="1255"/>
      <c r="G484" s="1255"/>
      <c r="H484" s="1255"/>
      <c r="I484" s="1255"/>
      <c r="J484" s="1340"/>
      <c r="K484" s="1340"/>
      <c r="L484" s="1329"/>
      <c r="M484" s="1611"/>
      <c r="N484" s="1574"/>
    </row>
    <row r="485" spans="1:17" ht="27.75" hidden="1" customHeight="1" x14ac:dyDescent="0.25">
      <c r="B485" s="1592"/>
      <c r="C485" s="2473" t="s">
        <v>7669</v>
      </c>
      <c r="D485" s="896">
        <v>395000000</v>
      </c>
      <c r="E485" s="2688">
        <f t="shared" si="10"/>
        <v>0.33364332035683247</v>
      </c>
      <c r="F485" s="1228"/>
      <c r="G485" s="1228"/>
      <c r="H485" s="1228"/>
      <c r="I485" s="1228"/>
      <c r="J485" s="1338"/>
      <c r="K485" s="1338"/>
      <c r="L485" s="1315"/>
      <c r="M485" s="1584"/>
      <c r="N485" s="1539"/>
    </row>
    <row r="486" spans="1:17" ht="12" hidden="1" customHeight="1" x14ac:dyDescent="0.25">
      <c r="B486" s="1592"/>
      <c r="C486" s="2473"/>
      <c r="D486" s="896"/>
      <c r="E486" s="2688"/>
      <c r="F486" s="1228"/>
      <c r="G486" s="1228"/>
      <c r="H486" s="1228"/>
      <c r="I486" s="1228"/>
      <c r="J486" s="1338"/>
      <c r="K486" s="1338"/>
      <c r="L486" s="1315"/>
      <c r="M486" s="1584"/>
      <c r="N486" s="1539"/>
    </row>
    <row r="487" spans="1:17" ht="36.75" hidden="1" customHeight="1" x14ac:dyDescent="0.25">
      <c r="B487" s="1592"/>
      <c r="C487" s="2474" t="s">
        <v>7900</v>
      </c>
      <c r="D487" s="899">
        <f>SUM(D488:D489)</f>
        <v>10689437772</v>
      </c>
      <c r="E487" s="2693">
        <f t="shared" si="10"/>
        <v>9.0290114202476506</v>
      </c>
      <c r="F487" s="1228"/>
      <c r="G487" s="1228"/>
      <c r="H487" s="1228"/>
      <c r="I487" s="1228"/>
      <c r="J487" s="1338"/>
      <c r="K487" s="1338"/>
      <c r="L487" s="1315"/>
      <c r="M487" s="1584"/>
      <c r="N487" s="1539"/>
    </row>
    <row r="488" spans="1:17" ht="23.25" hidden="1" customHeight="1" x14ac:dyDescent="0.25">
      <c r="B488" s="1592"/>
      <c r="C488" s="2473" t="s">
        <v>7671</v>
      </c>
      <c r="D488" s="896">
        <v>450000000</v>
      </c>
      <c r="E488" s="2688">
        <f t="shared" si="10"/>
        <v>0.38009998521664456</v>
      </c>
      <c r="F488" s="1228"/>
      <c r="G488" s="1228"/>
      <c r="H488" s="1228"/>
      <c r="I488" s="1228"/>
      <c r="J488" s="1338"/>
      <c r="K488" s="1338"/>
      <c r="L488" s="1315"/>
      <c r="M488" s="1584"/>
      <c r="N488" s="1539"/>
    </row>
    <row r="489" spans="1:17" ht="23.25" hidden="1" customHeight="1" x14ac:dyDescent="0.25">
      <c r="B489" s="1592"/>
      <c r="C489" s="2473" t="s">
        <v>7672</v>
      </c>
      <c r="D489" s="896">
        <v>10239437772</v>
      </c>
      <c r="E489" s="2688">
        <f t="shared" si="10"/>
        <v>8.648911435031005</v>
      </c>
      <c r="F489" s="1228"/>
      <c r="G489" s="1228"/>
      <c r="H489" s="1228"/>
      <c r="I489" s="1228"/>
      <c r="J489" s="1338"/>
      <c r="K489" s="1338"/>
      <c r="L489" s="1315"/>
      <c r="M489" s="1584"/>
      <c r="N489" s="1539"/>
    </row>
    <row r="490" spans="1:17" ht="12" hidden="1" customHeight="1" x14ac:dyDescent="0.25">
      <c r="B490" s="1592"/>
      <c r="C490" s="2473"/>
      <c r="D490" s="896"/>
      <c r="E490" s="2688"/>
      <c r="F490" s="1228"/>
      <c r="G490" s="1228"/>
      <c r="H490" s="1228"/>
      <c r="I490" s="1228"/>
      <c r="J490" s="1338"/>
      <c r="K490" s="1338"/>
      <c r="L490" s="1315"/>
      <c r="M490" s="1584"/>
      <c r="N490" s="1539"/>
    </row>
    <row r="491" spans="1:17" ht="24" hidden="1" customHeight="1" x14ac:dyDescent="0.25">
      <c r="B491" s="1592"/>
      <c r="C491" s="2474" t="s">
        <v>7899</v>
      </c>
      <c r="D491" s="899">
        <f>D492</f>
        <v>40000000</v>
      </c>
      <c r="E491" s="2693">
        <f t="shared" si="10"/>
        <v>3.3786665352590631E-2</v>
      </c>
      <c r="F491" s="1228"/>
      <c r="G491" s="1228"/>
      <c r="H491" s="1228"/>
      <c r="I491" s="1228"/>
      <c r="J491" s="1338"/>
      <c r="K491" s="1338"/>
      <c r="L491" s="1315"/>
      <c r="M491" s="1584"/>
      <c r="N491" s="1539"/>
    </row>
    <row r="492" spans="1:17" ht="23.25" hidden="1" customHeight="1" x14ac:dyDescent="0.25">
      <c r="B492" s="1592"/>
      <c r="C492" s="2473" t="s">
        <v>7674</v>
      </c>
      <c r="D492" s="896">
        <v>40000000</v>
      </c>
      <c r="E492" s="2688">
        <f t="shared" si="10"/>
        <v>3.3786665352590631E-2</v>
      </c>
      <c r="F492" s="1228"/>
      <c r="G492" s="1228"/>
      <c r="H492" s="1228"/>
      <c r="I492" s="1228"/>
      <c r="J492" s="1338"/>
      <c r="K492" s="1338"/>
      <c r="L492" s="1315"/>
      <c r="M492" s="1584"/>
      <c r="N492" s="1539"/>
    </row>
    <row r="493" spans="1:17" ht="12" hidden="1" customHeight="1" x14ac:dyDescent="0.25">
      <c r="B493" s="1592"/>
      <c r="C493" s="2506"/>
      <c r="D493" s="2830"/>
      <c r="E493" s="2840"/>
      <c r="F493" s="1255"/>
      <c r="G493" s="1255"/>
      <c r="H493" s="1255"/>
      <c r="I493" s="1255"/>
      <c r="J493" s="1340"/>
      <c r="K493" s="1340"/>
      <c r="L493" s="1329"/>
      <c r="M493" s="1611"/>
      <c r="N493" s="1734"/>
    </row>
    <row r="494" spans="1:17" ht="19.5" hidden="1" customHeight="1" x14ac:dyDescent="0.25">
      <c r="A494" s="160"/>
      <c r="B494" s="1609"/>
      <c r="C494" s="2471" t="s">
        <v>7811</v>
      </c>
      <c r="D494" s="2719">
        <f>D495</f>
        <v>500000000</v>
      </c>
      <c r="E494" s="2717">
        <f>D494/144432461000*100</f>
        <v>0.34618256625842581</v>
      </c>
      <c r="F494" s="1416"/>
      <c r="G494" s="1416"/>
      <c r="H494" s="1416"/>
      <c r="I494" s="1416"/>
      <c r="J494" s="1575"/>
      <c r="K494" s="1575"/>
      <c r="L494" s="1604"/>
      <c r="M494" s="1577"/>
      <c r="N494" s="1578"/>
    </row>
    <row r="495" spans="1:17" ht="23.25" hidden="1" customHeight="1" x14ac:dyDescent="0.25">
      <c r="B495" s="1592"/>
      <c r="C495" s="2525" t="s">
        <v>7812</v>
      </c>
      <c r="D495" s="2900">
        <f>D496</f>
        <v>500000000</v>
      </c>
      <c r="E495" s="2772">
        <f>D495/144432461000*100</f>
        <v>0.34618256625842581</v>
      </c>
      <c r="F495" s="1417"/>
      <c r="G495" s="1417"/>
      <c r="H495" s="1417"/>
      <c r="I495" s="1417"/>
      <c r="J495" s="1769"/>
      <c r="K495" s="1769"/>
      <c r="L495" s="1770"/>
      <c r="M495" s="1771"/>
      <c r="N495" s="1772"/>
    </row>
    <row r="496" spans="1:17" ht="21" hidden="1" customHeight="1" x14ac:dyDescent="0.25">
      <c r="B496" s="1592"/>
      <c r="C496" s="2506" t="s">
        <v>7814</v>
      </c>
      <c r="D496" s="2830">
        <v>500000000</v>
      </c>
      <c r="E496" s="2688">
        <f>D496/144432461000*100</f>
        <v>0.34618256625842581</v>
      </c>
      <c r="F496" s="1255"/>
      <c r="G496" s="1255"/>
      <c r="H496" s="1255"/>
      <c r="I496" s="1255"/>
      <c r="J496" s="1340"/>
      <c r="K496" s="1340"/>
      <c r="L496" s="1329"/>
      <c r="M496" s="1611"/>
      <c r="N496" s="1574"/>
    </row>
    <row r="497" spans="1:18" ht="21" hidden="1" customHeight="1" x14ac:dyDescent="0.25">
      <c r="B497" s="1592"/>
      <c r="C497" s="2510"/>
      <c r="D497" s="2911"/>
      <c r="E497" s="2707"/>
      <c r="F497" s="1262"/>
      <c r="G497" s="1262"/>
      <c r="H497" s="1262"/>
      <c r="I497" s="1262"/>
      <c r="J497" s="1731"/>
      <c r="K497" s="1731"/>
      <c r="L497" s="1732"/>
      <c r="M497" s="1733"/>
      <c r="N497" s="1539"/>
    </row>
    <row r="498" spans="1:18" s="1" customFormat="1" ht="20.25" hidden="1" customHeight="1" x14ac:dyDescent="0.25">
      <c r="B498" s="1588"/>
      <c r="C498" s="2522" t="s">
        <v>7008</v>
      </c>
      <c r="D498" s="3786">
        <f>SUM(D500+D527+D541+D577+D595+D603+D607+D614)</f>
        <v>24650000000</v>
      </c>
      <c r="E498" s="2948">
        <f>D498/2512247400000*100</f>
        <v>0.98119317388884553</v>
      </c>
      <c r="F498" s="1404"/>
      <c r="G498" s="1715"/>
      <c r="H498" s="1316"/>
      <c r="I498" s="1335"/>
      <c r="J498" s="1715"/>
      <c r="K498" s="1715"/>
      <c r="L498" s="1316"/>
      <c r="M498" s="1612"/>
      <c r="N498" s="1540"/>
      <c r="O498" s="1015"/>
      <c r="P498" s="1016"/>
      <c r="Q498" s="1016"/>
      <c r="R498" s="1015"/>
    </row>
    <row r="499" spans="1:18" ht="8.25" hidden="1" customHeight="1" x14ac:dyDescent="0.25">
      <c r="B499" s="1587"/>
      <c r="C499" s="2475"/>
      <c r="D499" s="2922"/>
      <c r="E499" s="2758"/>
      <c r="F499" s="1525"/>
      <c r="G499" s="1251"/>
      <c r="H499" s="1281"/>
      <c r="I499" s="1340"/>
      <c r="J499" s="1339"/>
      <c r="K499" s="1339"/>
      <c r="L499" s="1340"/>
      <c r="M499" s="1611"/>
      <c r="N499" s="1539"/>
    </row>
    <row r="500" spans="1:18" ht="18.75" hidden="1" customHeight="1" x14ac:dyDescent="0.25">
      <c r="B500" s="1609"/>
      <c r="C500" s="2579" t="s">
        <v>1889</v>
      </c>
      <c r="D500" s="3254">
        <f>SUM(D501+D506+D509+D521+D524)</f>
        <v>7520000000</v>
      </c>
      <c r="E500" s="2717">
        <f>D500/117124750000*100</f>
        <v>6.4205046328807542</v>
      </c>
      <c r="F500" s="1412"/>
      <c r="G500" s="1265"/>
      <c r="H500" s="1313"/>
      <c r="I500" s="1333"/>
      <c r="J500" s="1265"/>
      <c r="K500" s="1265"/>
      <c r="L500" s="1313"/>
      <c r="M500" s="1717"/>
      <c r="N500" s="1539"/>
    </row>
    <row r="501" spans="1:18" ht="22.5" hidden="1" customHeight="1" x14ac:dyDescent="0.25">
      <c r="A501" s="2"/>
      <c r="B501" s="1344"/>
      <c r="C501" s="2580" t="s">
        <v>1890</v>
      </c>
      <c r="D501" s="3103">
        <f>SUM(D502:D504)</f>
        <v>330000000</v>
      </c>
      <c r="E501" s="2693">
        <f>D501/117124750000*100</f>
        <v>0.28175086819822454</v>
      </c>
      <c r="F501" s="1266"/>
      <c r="G501" s="1864"/>
      <c r="H501" s="1232"/>
      <c r="I501" s="1865"/>
      <c r="J501" s="1778"/>
      <c r="K501" s="1778"/>
      <c r="L501" s="1453"/>
      <c r="M501" s="1280"/>
      <c r="N501" s="1539"/>
      <c r="O501"/>
      <c r="P501" s="617"/>
      <c r="Q501"/>
      <c r="R501"/>
    </row>
    <row r="502" spans="1:18" ht="20.25" hidden="1" customHeight="1" x14ac:dyDescent="0.25">
      <c r="A502" s="2"/>
      <c r="B502" s="1344"/>
      <c r="C502" s="2577" t="s">
        <v>5212</v>
      </c>
      <c r="D502" s="896">
        <v>100000000</v>
      </c>
      <c r="E502" s="2688">
        <f t="shared" ref="E502:E525" si="11">D502/117124750000*100</f>
        <v>8.5379050969158946E-2</v>
      </c>
      <c r="F502" s="1230"/>
      <c r="G502" s="1758"/>
      <c r="H502" s="1259"/>
      <c r="I502" s="1758"/>
      <c r="J502" s="1284"/>
      <c r="K502" s="1315"/>
      <c r="L502" s="1229"/>
      <c r="M502" s="1315"/>
      <c r="N502" s="1539"/>
      <c r="O502"/>
      <c r="P502" s="617"/>
      <c r="Q502"/>
      <c r="R502"/>
    </row>
    <row r="503" spans="1:18" ht="20.25" hidden="1" customHeight="1" x14ac:dyDescent="0.25">
      <c r="A503" s="2"/>
      <c r="B503" s="1344"/>
      <c r="C503" s="2581" t="s">
        <v>5213</v>
      </c>
      <c r="D503" s="896">
        <v>130000000</v>
      </c>
      <c r="E503" s="2688">
        <f t="shared" si="11"/>
        <v>0.11099276625990664</v>
      </c>
      <c r="F503" s="1230"/>
      <c r="G503" s="1866"/>
      <c r="H503" s="1229"/>
      <c r="I503" s="1338"/>
      <c r="J503" s="1338"/>
      <c r="K503" s="1338"/>
      <c r="L503" s="1284"/>
      <c r="M503" s="1338"/>
      <c r="N503" s="1539"/>
      <c r="O503"/>
      <c r="P503" s="617"/>
      <c r="Q503"/>
      <c r="R503"/>
    </row>
    <row r="504" spans="1:18" ht="21" hidden="1" customHeight="1" x14ac:dyDescent="0.25">
      <c r="A504" s="2"/>
      <c r="B504" s="1344"/>
      <c r="C504" s="2581" t="s">
        <v>5214</v>
      </c>
      <c r="D504" s="896">
        <v>100000000</v>
      </c>
      <c r="E504" s="2688">
        <f t="shared" si="11"/>
        <v>8.5379050969158946E-2</v>
      </c>
      <c r="F504" s="1230"/>
      <c r="G504" s="1867"/>
      <c r="H504" s="1233"/>
      <c r="I504" s="1338"/>
      <c r="J504" s="1338"/>
      <c r="K504" s="1338"/>
      <c r="L504" s="1287"/>
      <c r="M504" s="1338"/>
      <c r="N504" s="1539"/>
      <c r="O504"/>
      <c r="P504" s="617"/>
      <c r="Q504"/>
      <c r="R504"/>
    </row>
    <row r="505" spans="1:18" ht="12" hidden="1" customHeight="1" x14ac:dyDescent="0.25">
      <c r="A505" s="2"/>
      <c r="B505" s="1344"/>
      <c r="C505" s="2581"/>
      <c r="D505" s="896"/>
      <c r="E505" s="2688"/>
      <c r="F505" s="1230"/>
      <c r="G505" s="1867"/>
      <c r="H505" s="1233"/>
      <c r="I505" s="1338"/>
      <c r="J505" s="1338"/>
      <c r="K505" s="1338"/>
      <c r="L505" s="1287"/>
      <c r="M505" s="1338"/>
      <c r="N505" s="1539"/>
      <c r="O505"/>
      <c r="P505" s="617"/>
      <c r="Q505"/>
      <c r="R505"/>
    </row>
    <row r="506" spans="1:18" ht="27.75" hidden="1" customHeight="1" x14ac:dyDescent="0.25">
      <c r="A506" s="2"/>
      <c r="B506" s="1344"/>
      <c r="C506" s="2582" t="s">
        <v>5215</v>
      </c>
      <c r="D506" s="3103">
        <f>SUM(D507)</f>
        <v>100000000</v>
      </c>
      <c r="E506" s="2693">
        <f t="shared" si="11"/>
        <v>8.5379050969158946E-2</v>
      </c>
      <c r="F506" s="1266"/>
      <c r="G506" s="1267"/>
      <c r="H506" s="1258"/>
      <c r="I506" s="1864"/>
      <c r="J506" s="1778"/>
      <c r="K506" s="1778"/>
      <c r="L506" s="1453"/>
      <c r="M506" s="1280"/>
      <c r="N506" s="1539"/>
      <c r="O506"/>
      <c r="P506" s="617"/>
      <c r="Q506"/>
      <c r="R506"/>
    </row>
    <row r="507" spans="1:18" ht="19.5" hidden="1" customHeight="1" x14ac:dyDescent="0.25">
      <c r="A507" s="2"/>
      <c r="B507" s="1344"/>
      <c r="C507" s="2577" t="s">
        <v>5216</v>
      </c>
      <c r="D507" s="896">
        <v>100000000</v>
      </c>
      <c r="E507" s="2688">
        <f t="shared" si="11"/>
        <v>8.5379050969158946E-2</v>
      </c>
      <c r="F507" s="1230"/>
      <c r="G507" s="1434"/>
      <c r="H507" s="1259"/>
      <c r="I507" s="1758"/>
      <c r="J507" s="1284"/>
      <c r="K507" s="1315"/>
      <c r="L507" s="1229"/>
      <c r="M507" s="1315"/>
      <c r="N507" s="1539"/>
      <c r="O507"/>
      <c r="P507" s="617"/>
      <c r="Q507"/>
      <c r="R507"/>
    </row>
    <row r="508" spans="1:18" ht="12" hidden="1" customHeight="1" x14ac:dyDescent="0.25">
      <c r="A508" s="2"/>
      <c r="B508" s="1344"/>
      <c r="C508" s="2581"/>
      <c r="D508" s="896"/>
      <c r="E508" s="2688"/>
      <c r="F508" s="1230"/>
      <c r="G508" s="1866"/>
      <c r="H508" s="1229"/>
      <c r="I508" s="1338"/>
      <c r="J508" s="1338"/>
      <c r="K508" s="1338"/>
      <c r="L508" s="1284"/>
      <c r="M508" s="1338"/>
      <c r="N508" s="1539"/>
      <c r="O508"/>
      <c r="P508" s="617"/>
      <c r="Q508"/>
      <c r="R508"/>
    </row>
    <row r="509" spans="1:18" ht="21" hidden="1" customHeight="1" x14ac:dyDescent="0.25">
      <c r="A509" s="2"/>
      <c r="B509" s="1344"/>
      <c r="C509" s="2582" t="s">
        <v>5218</v>
      </c>
      <c r="D509" s="3103">
        <f>SUM(D510:D519)</f>
        <v>1100000000</v>
      </c>
      <c r="E509" s="2693">
        <f t="shared" si="11"/>
        <v>0.93916956066074853</v>
      </c>
      <c r="F509" s="1266"/>
      <c r="G509" s="1266"/>
      <c r="H509" s="1258"/>
      <c r="I509" s="1280"/>
      <c r="J509" s="1778"/>
      <c r="K509" s="1778"/>
      <c r="L509" s="1453"/>
      <c r="M509" s="1280"/>
      <c r="N509" s="1539"/>
      <c r="O509"/>
      <c r="P509" s="617"/>
      <c r="Q509"/>
      <c r="R509"/>
    </row>
    <row r="510" spans="1:18" ht="20.25" hidden="1" customHeight="1" x14ac:dyDescent="0.25">
      <c r="A510" s="2"/>
      <c r="B510" s="1344"/>
      <c r="C510" s="2577" t="s">
        <v>5217</v>
      </c>
      <c r="D510" s="896">
        <v>100000000</v>
      </c>
      <c r="E510" s="2688">
        <f t="shared" si="11"/>
        <v>8.5379050969158946E-2</v>
      </c>
      <c r="F510" s="1230"/>
      <c r="G510" s="1434"/>
      <c r="H510" s="1259"/>
      <c r="I510" s="1315"/>
      <c r="J510" s="1315"/>
      <c r="K510" s="1315"/>
      <c r="L510" s="1229"/>
      <c r="M510" s="1315"/>
      <c r="N510" s="1539"/>
      <c r="O510"/>
      <c r="P510" s="617"/>
      <c r="Q510"/>
      <c r="R510"/>
    </row>
    <row r="511" spans="1:18" ht="17.25" hidden="1" customHeight="1" x14ac:dyDescent="0.25">
      <c r="A511" s="2"/>
      <c r="B511" s="1344"/>
      <c r="C511" s="2581" t="s">
        <v>5219</v>
      </c>
      <c r="D511" s="896">
        <v>100000000</v>
      </c>
      <c r="E511" s="2688">
        <f t="shared" si="11"/>
        <v>8.5379050969158946E-2</v>
      </c>
      <c r="F511" s="1230"/>
      <c r="G511" s="1868"/>
      <c r="H511" s="1259"/>
      <c r="I511" s="1315"/>
      <c r="J511" s="1315"/>
      <c r="K511" s="1315"/>
      <c r="L511" s="1229"/>
      <c r="M511" s="1315"/>
      <c r="N511" s="1539"/>
      <c r="O511"/>
      <c r="P511" s="617"/>
      <c r="Q511"/>
      <c r="R511"/>
    </row>
    <row r="512" spans="1:18" ht="18.75" hidden="1" customHeight="1" x14ac:dyDescent="0.25">
      <c r="A512" s="2"/>
      <c r="B512" s="1344"/>
      <c r="C512" s="2581" t="s">
        <v>5220</v>
      </c>
      <c r="D512" s="896">
        <v>100000000</v>
      </c>
      <c r="E512" s="2688">
        <f t="shared" si="11"/>
        <v>8.5379050969158946E-2</v>
      </c>
      <c r="F512" s="1230"/>
      <c r="G512" s="1868"/>
      <c r="H512" s="1259"/>
      <c r="I512" s="1315"/>
      <c r="J512" s="1315"/>
      <c r="K512" s="1315"/>
      <c r="L512" s="1229"/>
      <c r="M512" s="1315"/>
      <c r="N512" s="1539"/>
      <c r="O512"/>
      <c r="P512" s="617"/>
      <c r="Q512"/>
      <c r="R512"/>
    </row>
    <row r="513" spans="1:18" ht="18" hidden="1" customHeight="1" x14ac:dyDescent="0.25">
      <c r="A513" s="2"/>
      <c r="B513" s="1344"/>
      <c r="C513" s="2581" t="s">
        <v>5221</v>
      </c>
      <c r="D513" s="896">
        <v>100000000</v>
      </c>
      <c r="E513" s="2688">
        <f t="shared" si="11"/>
        <v>8.5379050969158946E-2</v>
      </c>
      <c r="F513" s="1230"/>
      <c r="G513" s="1868"/>
      <c r="H513" s="1259"/>
      <c r="I513" s="1315"/>
      <c r="J513" s="1315"/>
      <c r="K513" s="1315"/>
      <c r="L513" s="1229"/>
      <c r="M513" s="1315"/>
      <c r="N513" s="1539"/>
      <c r="O513"/>
      <c r="P513" s="617"/>
      <c r="Q513"/>
      <c r="R513"/>
    </row>
    <row r="514" spans="1:18" ht="20.25" hidden="1" customHeight="1" x14ac:dyDescent="0.25">
      <c r="A514" s="2"/>
      <c r="B514" s="1344"/>
      <c r="C514" s="2581" t="s">
        <v>5222</v>
      </c>
      <c r="D514" s="896">
        <v>100000000</v>
      </c>
      <c r="E514" s="2688">
        <f t="shared" si="11"/>
        <v>8.5379050969158946E-2</v>
      </c>
      <c r="F514" s="1230"/>
      <c r="G514" s="1868"/>
      <c r="H514" s="1259"/>
      <c r="I514" s="1315"/>
      <c r="J514" s="1315"/>
      <c r="K514" s="1315"/>
      <c r="L514" s="1229"/>
      <c r="M514" s="1315"/>
      <c r="N514" s="1539"/>
      <c r="O514"/>
      <c r="P514" s="617"/>
      <c r="Q514"/>
      <c r="R514"/>
    </row>
    <row r="515" spans="1:18" ht="17.25" hidden="1" customHeight="1" x14ac:dyDescent="0.25">
      <c r="A515" s="2"/>
      <c r="B515" s="1344"/>
      <c r="C515" s="2581" t="s">
        <v>5223</v>
      </c>
      <c r="D515" s="896">
        <v>100000000</v>
      </c>
      <c r="E515" s="2688">
        <f t="shared" si="11"/>
        <v>8.5379050969158946E-2</v>
      </c>
      <c r="F515" s="1230"/>
      <c r="G515" s="1868"/>
      <c r="H515" s="1259"/>
      <c r="I515" s="1315"/>
      <c r="J515" s="1315"/>
      <c r="K515" s="1315"/>
      <c r="L515" s="1229"/>
      <c r="M515" s="1315"/>
      <c r="N515" s="1539"/>
      <c r="O515"/>
      <c r="P515" s="617"/>
      <c r="Q515"/>
      <c r="R515"/>
    </row>
    <row r="516" spans="1:18" ht="21" hidden="1" customHeight="1" x14ac:dyDescent="0.25">
      <c r="A516" s="2"/>
      <c r="B516" s="1344"/>
      <c r="C516" s="2581" t="s">
        <v>5224</v>
      </c>
      <c r="D516" s="896">
        <v>100000000</v>
      </c>
      <c r="E516" s="2688">
        <f t="shared" si="11"/>
        <v>8.5379050969158946E-2</v>
      </c>
      <c r="F516" s="1230"/>
      <c r="G516" s="1868"/>
      <c r="H516" s="1259"/>
      <c r="I516" s="1315"/>
      <c r="J516" s="1315"/>
      <c r="K516" s="1315"/>
      <c r="L516" s="1229"/>
      <c r="M516" s="1315"/>
      <c r="N516" s="1539"/>
      <c r="O516"/>
      <c r="P516" s="617"/>
      <c r="Q516"/>
      <c r="R516"/>
    </row>
    <row r="517" spans="1:18" ht="18.75" hidden="1" customHeight="1" x14ac:dyDescent="0.25">
      <c r="A517" s="2"/>
      <c r="B517" s="1344"/>
      <c r="C517" s="2581" t="s">
        <v>5225</v>
      </c>
      <c r="D517" s="896">
        <v>100000000</v>
      </c>
      <c r="E517" s="2688">
        <f t="shared" si="11"/>
        <v>8.5379050969158946E-2</v>
      </c>
      <c r="F517" s="1230"/>
      <c r="G517" s="1868"/>
      <c r="H517" s="1259"/>
      <c r="I517" s="1315"/>
      <c r="J517" s="1315"/>
      <c r="K517" s="1315"/>
      <c r="L517" s="1229"/>
      <c r="M517" s="1315"/>
      <c r="N517" s="1539"/>
      <c r="O517"/>
      <c r="P517" s="617"/>
      <c r="Q517"/>
      <c r="R517"/>
    </row>
    <row r="518" spans="1:18" ht="21" hidden="1" customHeight="1" x14ac:dyDescent="0.25">
      <c r="A518" s="2"/>
      <c r="B518" s="1344"/>
      <c r="C518" s="2581" t="s">
        <v>5226</v>
      </c>
      <c r="D518" s="896">
        <v>100000000</v>
      </c>
      <c r="E518" s="2688">
        <f t="shared" si="11"/>
        <v>8.5379050969158946E-2</v>
      </c>
      <c r="F518" s="1230"/>
      <c r="G518" s="1868"/>
      <c r="H518" s="1259"/>
      <c r="I518" s="1315"/>
      <c r="J518" s="1315"/>
      <c r="K518" s="1315"/>
      <c r="L518" s="1229"/>
      <c r="M518" s="1315"/>
      <c r="N518" s="1539"/>
      <c r="O518"/>
      <c r="P518" s="617"/>
      <c r="Q518"/>
      <c r="R518"/>
    </row>
    <row r="519" spans="1:18" ht="20.25" hidden="1" customHeight="1" x14ac:dyDescent="0.25">
      <c r="A519" s="2"/>
      <c r="B519" s="1344"/>
      <c r="C519" s="2581" t="s">
        <v>5227</v>
      </c>
      <c r="D519" s="896">
        <v>200000000</v>
      </c>
      <c r="E519" s="2688">
        <f t="shared" si="11"/>
        <v>0.17075810193831789</v>
      </c>
      <c r="F519" s="1230"/>
      <c r="G519" s="1868"/>
      <c r="H519" s="1259"/>
      <c r="I519" s="1315"/>
      <c r="J519" s="1315"/>
      <c r="K519" s="1315"/>
      <c r="L519" s="1229"/>
      <c r="M519" s="1315"/>
      <c r="N519" s="1539"/>
      <c r="O519"/>
      <c r="P519" s="617"/>
      <c r="Q519"/>
      <c r="R519"/>
    </row>
    <row r="520" spans="1:18" ht="12" hidden="1" customHeight="1" x14ac:dyDescent="0.25">
      <c r="A520" s="2"/>
      <c r="B520" s="1344"/>
      <c r="C520" s="2581"/>
      <c r="D520" s="896"/>
      <c r="E520" s="2688"/>
      <c r="F520" s="1230"/>
      <c r="G520" s="1866"/>
      <c r="H520" s="1229"/>
      <c r="I520" s="1338"/>
      <c r="J520" s="1338"/>
      <c r="K520" s="1338"/>
      <c r="L520" s="1284"/>
      <c r="M520" s="1338"/>
      <c r="N520" s="1539"/>
      <c r="O520"/>
      <c r="P520" s="617"/>
      <c r="Q520"/>
      <c r="R520"/>
    </row>
    <row r="521" spans="1:18" ht="22.5" hidden="1" customHeight="1" x14ac:dyDescent="0.25">
      <c r="A521" s="2"/>
      <c r="B521" s="1344"/>
      <c r="C521" s="2582" t="s">
        <v>5228</v>
      </c>
      <c r="D521" s="3103">
        <f>SUM(D522:D522)</f>
        <v>5000000000</v>
      </c>
      <c r="E521" s="2693">
        <f t="shared" si="11"/>
        <v>4.2689525484579471</v>
      </c>
      <c r="F521" s="1266"/>
      <c r="G521" s="1864"/>
      <c r="H521" s="1864"/>
      <c r="I521" s="1864"/>
      <c r="J521" s="1778"/>
      <c r="K521" s="1778"/>
      <c r="L521" s="1453"/>
      <c r="M521" s="1280"/>
      <c r="N521" s="1539"/>
      <c r="O521"/>
      <c r="P521" s="617"/>
      <c r="Q521"/>
      <c r="R521"/>
    </row>
    <row r="522" spans="1:18" ht="20.25" hidden="1" customHeight="1" x14ac:dyDescent="0.25">
      <c r="A522" s="2"/>
      <c r="B522" s="1344"/>
      <c r="C522" s="2577" t="s">
        <v>5229</v>
      </c>
      <c r="D522" s="896">
        <v>5000000000</v>
      </c>
      <c r="E522" s="2688">
        <f t="shared" si="11"/>
        <v>4.2689525484579471</v>
      </c>
      <c r="F522" s="1230"/>
      <c r="G522" s="1758"/>
      <c r="H522" s="1758"/>
      <c r="I522" s="1758"/>
      <c r="J522" s="1284"/>
      <c r="K522" s="1276"/>
      <c r="L522" s="1246"/>
      <c r="M522" s="1246"/>
      <c r="N522" s="1539"/>
      <c r="O522"/>
      <c r="P522" s="617"/>
      <c r="Q522"/>
      <c r="R522"/>
    </row>
    <row r="523" spans="1:18" ht="12" hidden="1" customHeight="1" x14ac:dyDescent="0.25">
      <c r="A523" s="2"/>
      <c r="B523" s="1344"/>
      <c r="C523" s="2581"/>
      <c r="D523" s="896"/>
      <c r="E523" s="2688"/>
      <c r="F523" s="1230"/>
      <c r="G523" s="1758"/>
      <c r="H523" s="1758"/>
      <c r="I523" s="1758"/>
      <c r="J523" s="1338"/>
      <c r="K523" s="1338"/>
      <c r="L523" s="1284"/>
      <c r="M523" s="1338"/>
      <c r="N523" s="1539"/>
      <c r="O523"/>
      <c r="P523" s="617"/>
      <c r="Q523"/>
      <c r="R523"/>
    </row>
    <row r="524" spans="1:18" ht="20.25" hidden="1" customHeight="1" x14ac:dyDescent="0.25">
      <c r="A524" s="2"/>
      <c r="B524" s="1344"/>
      <c r="C524" s="2582" t="s">
        <v>5230</v>
      </c>
      <c r="D524" s="3103">
        <f>SUM(D525:D525)</f>
        <v>990000000</v>
      </c>
      <c r="E524" s="2693">
        <f t="shared" si="11"/>
        <v>0.84525260459467366</v>
      </c>
      <c r="F524" s="1266"/>
      <c r="G524" s="1864"/>
      <c r="H524" s="1864"/>
      <c r="I524" s="1864"/>
      <c r="J524" s="1778"/>
      <c r="K524" s="1778"/>
      <c r="L524" s="1453"/>
      <c r="M524" s="1280"/>
      <c r="N524" s="1539"/>
      <c r="O524"/>
      <c r="P524" s="617"/>
      <c r="Q524"/>
      <c r="R524"/>
    </row>
    <row r="525" spans="1:18" ht="18" hidden="1" customHeight="1" x14ac:dyDescent="0.25">
      <c r="A525" s="2"/>
      <c r="B525" s="1344"/>
      <c r="C525" s="2577" t="s">
        <v>5231</v>
      </c>
      <c r="D525" s="896">
        <v>990000000</v>
      </c>
      <c r="E525" s="2688">
        <f t="shared" si="11"/>
        <v>0.84525260459467366</v>
      </c>
      <c r="F525" s="1230"/>
      <c r="G525" s="1246"/>
      <c r="H525" s="1246"/>
      <c r="I525" s="1246"/>
      <c r="J525" s="1284"/>
      <c r="K525" s="1315"/>
      <c r="L525" s="1229"/>
      <c r="M525" s="1315"/>
      <c r="N525" s="1539"/>
      <c r="O525"/>
      <c r="P525" s="617"/>
      <c r="Q525"/>
      <c r="R525"/>
    </row>
    <row r="526" spans="1:18" ht="16.5" hidden="1" customHeight="1" x14ac:dyDescent="0.25">
      <c r="B526" s="1592"/>
      <c r="C526" s="2585"/>
      <c r="D526" s="2758"/>
      <c r="E526" s="2840"/>
      <c r="F526" s="1260"/>
      <c r="G526" s="1255"/>
      <c r="H526" s="1255"/>
      <c r="I526" s="1255"/>
      <c r="J526" s="1340"/>
      <c r="K526" s="1340"/>
      <c r="L526" s="1329"/>
      <c r="M526" s="1611"/>
      <c r="N526" s="1574"/>
    </row>
    <row r="527" spans="1:18" ht="19.5" hidden="1" customHeight="1" x14ac:dyDescent="0.25">
      <c r="B527" s="1609"/>
      <c r="C527" s="2584" t="s">
        <v>286</v>
      </c>
      <c r="D527" s="2744">
        <f>SUM(D528+D531+D534)</f>
        <v>10700000000</v>
      </c>
      <c r="E527" s="2717">
        <f>D527/117124750000*100</f>
        <v>9.135558453700007</v>
      </c>
      <c r="F527" s="1333"/>
      <c r="G527" s="1333"/>
      <c r="H527" s="1226"/>
      <c r="I527" s="1333"/>
      <c r="J527" s="1333"/>
      <c r="K527" s="1333"/>
      <c r="L527" s="1313"/>
      <c r="M527" s="1717"/>
      <c r="N527" s="1578"/>
    </row>
    <row r="528" spans="1:18" ht="20.25" hidden="1" customHeight="1" x14ac:dyDescent="0.25">
      <c r="A528" s="2"/>
      <c r="B528" s="1344"/>
      <c r="C528" s="2576" t="s">
        <v>103</v>
      </c>
      <c r="D528" s="899">
        <f>SUM(D529)</f>
        <v>500000000</v>
      </c>
      <c r="E528" s="2693">
        <f>D528/117124750000*100</f>
        <v>0.42689525484579477</v>
      </c>
      <c r="F528" s="1232"/>
      <c r="G528" s="1254"/>
      <c r="H528" s="1254"/>
      <c r="I528" s="1254"/>
      <c r="J528" s="1288"/>
      <c r="K528" s="1286"/>
      <c r="L528" s="1254"/>
      <c r="M528" s="1254"/>
      <c r="N528" s="1539"/>
      <c r="O528"/>
      <c r="P528" s="617"/>
      <c r="Q528"/>
      <c r="R528"/>
    </row>
    <row r="529" spans="1:18" ht="19.5" hidden="1" customHeight="1" x14ac:dyDescent="0.25">
      <c r="A529" s="2"/>
      <c r="B529" s="1344"/>
      <c r="C529" s="2577" t="s">
        <v>5232</v>
      </c>
      <c r="D529" s="896">
        <v>500000000</v>
      </c>
      <c r="E529" s="2688">
        <f t="shared" ref="E529:E539" si="12">D529/117124750000*100</f>
        <v>0.42689525484579477</v>
      </c>
      <c r="F529" s="1230"/>
      <c r="G529" s="1758"/>
      <c r="H529" s="1758"/>
      <c r="I529" s="1758"/>
      <c r="J529" s="1284"/>
      <c r="K529" s="1434"/>
      <c r="L529" s="1758"/>
      <c r="M529" s="1758"/>
      <c r="N529" s="1539"/>
      <c r="O529"/>
      <c r="P529" s="617"/>
      <c r="Q529"/>
      <c r="R529"/>
    </row>
    <row r="530" spans="1:18" ht="12.75" hidden="1" customHeight="1" x14ac:dyDescent="0.25">
      <c r="A530" s="2"/>
      <c r="B530" s="1344"/>
      <c r="C530" s="2585"/>
      <c r="D530" s="2769"/>
      <c r="E530" s="2688"/>
      <c r="F530" s="1260"/>
      <c r="G530" s="1869"/>
      <c r="H530" s="1869"/>
      <c r="I530" s="1869"/>
      <c r="J530" s="1281"/>
      <c r="K530" s="1533"/>
      <c r="L530" s="1869"/>
      <c r="M530" s="1869"/>
      <c r="N530" s="1539"/>
      <c r="O530"/>
      <c r="P530" s="617"/>
      <c r="Q530"/>
      <c r="R530"/>
    </row>
    <row r="531" spans="1:18" ht="31.5" hidden="1" customHeight="1" x14ac:dyDescent="0.25">
      <c r="A531" s="2"/>
      <c r="B531" s="1344"/>
      <c r="C531" s="2576" t="s">
        <v>5233</v>
      </c>
      <c r="D531" s="899">
        <f>D532</f>
        <v>200000000</v>
      </c>
      <c r="E531" s="2693">
        <f t="shared" si="12"/>
        <v>0.17075810193831789</v>
      </c>
      <c r="F531" s="1230"/>
      <c r="G531" s="1758"/>
      <c r="H531" s="1758"/>
      <c r="I531" s="1758"/>
      <c r="J531" s="1284"/>
      <c r="K531" s="1434"/>
      <c r="L531" s="1758"/>
      <c r="M531" s="1758"/>
      <c r="N531" s="1539"/>
      <c r="O531"/>
      <c r="P531" s="617"/>
      <c r="Q531"/>
      <c r="R531"/>
    </row>
    <row r="532" spans="1:18" ht="23.25" hidden="1" customHeight="1" x14ac:dyDescent="0.25">
      <c r="A532" s="2"/>
      <c r="B532" s="1344"/>
      <c r="C532" s="2577" t="s">
        <v>5234</v>
      </c>
      <c r="D532" s="896">
        <v>200000000</v>
      </c>
      <c r="E532" s="2688">
        <f t="shared" si="12"/>
        <v>0.17075810193831789</v>
      </c>
      <c r="F532" s="1230"/>
      <c r="G532" s="1758"/>
      <c r="H532" s="1758"/>
      <c r="I532" s="1758"/>
      <c r="J532" s="1284"/>
      <c r="K532" s="1434"/>
      <c r="L532" s="1758"/>
      <c r="M532" s="1758"/>
      <c r="N532" s="1539"/>
      <c r="O532"/>
      <c r="P532" s="617"/>
      <c r="Q532"/>
      <c r="R532"/>
    </row>
    <row r="533" spans="1:18" ht="11.25" hidden="1" customHeight="1" x14ac:dyDescent="0.25">
      <c r="A533" s="2"/>
      <c r="B533" s="1344"/>
      <c r="C533" s="2577"/>
      <c r="D533" s="896"/>
      <c r="E533" s="2688"/>
      <c r="F533" s="1230"/>
      <c r="G533" s="1758"/>
      <c r="H533" s="1758"/>
      <c r="I533" s="1758"/>
      <c r="J533" s="1284"/>
      <c r="K533" s="1434"/>
      <c r="L533" s="1758"/>
      <c r="M533" s="1758"/>
      <c r="N533" s="1539"/>
      <c r="O533"/>
      <c r="P533" s="617"/>
      <c r="Q533"/>
      <c r="R533"/>
    </row>
    <row r="534" spans="1:18" s="32" customFormat="1" ht="23.25" hidden="1" customHeight="1" x14ac:dyDescent="0.25">
      <c r="A534" s="1"/>
      <c r="B534" s="1344"/>
      <c r="C534" s="2576" t="s">
        <v>5235</v>
      </c>
      <c r="D534" s="899">
        <f>SUM(D535:D539)</f>
        <v>10000000000</v>
      </c>
      <c r="E534" s="2693">
        <f t="shared" si="12"/>
        <v>8.5379050969158943</v>
      </c>
      <c r="F534" s="1232"/>
      <c r="G534" s="1864"/>
      <c r="H534" s="1864"/>
      <c r="I534" s="1864"/>
      <c r="J534" s="1288"/>
      <c r="K534" s="1433"/>
      <c r="L534" s="1864"/>
      <c r="M534" s="1864"/>
      <c r="N534" s="1540"/>
      <c r="P534" s="630"/>
    </row>
    <row r="535" spans="1:18" ht="28.5" hidden="1" customHeight="1" x14ac:dyDescent="0.25">
      <c r="A535" s="2"/>
      <c r="B535" s="1344"/>
      <c r="C535" s="2577" t="s">
        <v>5236</v>
      </c>
      <c r="D535" s="896">
        <v>3570000000</v>
      </c>
      <c r="E535" s="2688">
        <f t="shared" si="12"/>
        <v>3.0480321195989748</v>
      </c>
      <c r="F535" s="1230"/>
      <c r="G535" s="1758"/>
      <c r="H535" s="1758"/>
      <c r="I535" s="1758"/>
      <c r="J535" s="1284"/>
      <c r="K535" s="1434"/>
      <c r="L535" s="1758"/>
      <c r="M535" s="1758"/>
      <c r="N535" s="1539"/>
      <c r="O535"/>
      <c r="P535" s="617"/>
      <c r="Q535"/>
      <c r="R535"/>
    </row>
    <row r="536" spans="1:18" ht="18.75" hidden="1" customHeight="1" x14ac:dyDescent="0.25">
      <c r="A536" s="2"/>
      <c r="B536" s="1344"/>
      <c r="C536" s="2577" t="s">
        <v>5237</v>
      </c>
      <c r="D536" s="896">
        <v>5300000000</v>
      </c>
      <c r="E536" s="2688">
        <f t="shared" si="12"/>
        <v>4.5250897013654239</v>
      </c>
      <c r="F536" s="1230"/>
      <c r="G536" s="1758"/>
      <c r="H536" s="1758"/>
      <c r="I536" s="1758"/>
      <c r="J536" s="1284"/>
      <c r="K536" s="1434"/>
      <c r="L536" s="1758"/>
      <c r="M536" s="1758"/>
      <c r="N536" s="1539"/>
      <c r="O536"/>
      <c r="P536" s="617"/>
      <c r="Q536"/>
      <c r="R536"/>
    </row>
    <row r="537" spans="1:18" ht="18" hidden="1" customHeight="1" x14ac:dyDescent="0.25">
      <c r="A537" s="2"/>
      <c r="B537" s="1344"/>
      <c r="C537" s="2577" t="s">
        <v>5238</v>
      </c>
      <c r="D537" s="896">
        <v>930000000</v>
      </c>
      <c r="E537" s="2688">
        <f t="shared" si="12"/>
        <v>0.79402517401317829</v>
      </c>
      <c r="F537" s="1230"/>
      <c r="G537" s="1758"/>
      <c r="H537" s="1758"/>
      <c r="I537" s="1758"/>
      <c r="J537" s="1284"/>
      <c r="K537" s="1434"/>
      <c r="L537" s="1758"/>
      <c r="M537" s="1758"/>
      <c r="N537" s="1539"/>
      <c r="O537"/>
      <c r="P537" s="617"/>
      <c r="Q537"/>
      <c r="R537"/>
    </row>
    <row r="538" spans="1:18" ht="33" hidden="1" customHeight="1" x14ac:dyDescent="0.25">
      <c r="A538" s="2"/>
      <c r="B538" s="1344"/>
      <c r="C538" s="2577" t="s">
        <v>5239</v>
      </c>
      <c r="D538" s="896">
        <v>100000000</v>
      </c>
      <c r="E538" s="2688">
        <f t="shared" si="12"/>
        <v>8.5379050969158946E-2</v>
      </c>
      <c r="F538" s="1230"/>
      <c r="G538" s="1758"/>
      <c r="H538" s="1758"/>
      <c r="I538" s="1758"/>
      <c r="J538" s="1284"/>
      <c r="K538" s="1434"/>
      <c r="L538" s="1758"/>
      <c r="M538" s="1758"/>
      <c r="N538" s="1539"/>
      <c r="O538"/>
      <c r="P538" s="617"/>
      <c r="Q538"/>
      <c r="R538"/>
    </row>
    <row r="539" spans="1:18" ht="30" hidden="1" customHeight="1" x14ac:dyDescent="0.25">
      <c r="A539" s="2"/>
      <c r="B539" s="1344"/>
      <c r="C539" s="2577" t="s">
        <v>5240</v>
      </c>
      <c r="D539" s="896">
        <v>100000000</v>
      </c>
      <c r="E539" s="2688">
        <f t="shared" si="12"/>
        <v>8.5379050969158946E-2</v>
      </c>
      <c r="F539" s="1230"/>
      <c r="G539" s="1758"/>
      <c r="H539" s="1758"/>
      <c r="I539" s="1758"/>
      <c r="J539" s="1284"/>
      <c r="K539" s="1434"/>
      <c r="L539" s="1758"/>
      <c r="M539" s="1758"/>
      <c r="N539" s="1539"/>
      <c r="O539"/>
      <c r="P539" s="617"/>
      <c r="Q539"/>
      <c r="R539"/>
    </row>
    <row r="540" spans="1:18" ht="16.5" hidden="1" customHeight="1" x14ac:dyDescent="0.25">
      <c r="B540" s="1592"/>
      <c r="C540" s="2585"/>
      <c r="D540" s="2758"/>
      <c r="E540" s="2840"/>
      <c r="F540" s="1260"/>
      <c r="G540" s="1255"/>
      <c r="H540" s="1255"/>
      <c r="I540" s="1255"/>
      <c r="J540" s="1340"/>
      <c r="K540" s="1340"/>
      <c r="L540" s="1329"/>
      <c r="M540" s="1611"/>
      <c r="N540" s="1734"/>
    </row>
    <row r="541" spans="1:18" ht="19.5" hidden="1" customHeight="1" x14ac:dyDescent="0.25">
      <c r="B541" s="1609"/>
      <c r="C541" s="2584" t="s">
        <v>1940</v>
      </c>
      <c r="D541" s="2717">
        <f>SUM(D542+D551)</f>
        <v>0</v>
      </c>
      <c r="E541" s="2717">
        <f>D541/117124750000*100</f>
        <v>0</v>
      </c>
      <c r="F541" s="1413"/>
      <c r="G541" s="1416"/>
      <c r="H541" s="1416"/>
      <c r="I541" s="1416"/>
      <c r="J541" s="1575"/>
      <c r="K541" s="1575"/>
      <c r="L541" s="1604"/>
      <c r="M541" s="1577"/>
      <c r="N541" s="1578"/>
    </row>
    <row r="542" spans="1:18" ht="19.5" hidden="1" customHeight="1" x14ac:dyDescent="0.25">
      <c r="B542" s="1592"/>
      <c r="C542" s="2576" t="s">
        <v>5255</v>
      </c>
      <c r="D542" s="899">
        <f>SUM(D543:D549)</f>
        <v>0</v>
      </c>
      <c r="E542" s="2693">
        <f>D542/117124750000*100</f>
        <v>0</v>
      </c>
      <c r="F542" s="1260"/>
      <c r="G542" s="1255"/>
      <c r="H542" s="1255"/>
      <c r="I542" s="1255"/>
      <c r="J542" s="1340"/>
      <c r="K542" s="1340"/>
      <c r="L542" s="1329"/>
      <c r="M542" s="1611"/>
      <c r="N542" s="1734"/>
    </row>
    <row r="543" spans="1:18" ht="22.5" hidden="1" customHeight="1" x14ac:dyDescent="0.25">
      <c r="B543" s="1592"/>
      <c r="C543" s="2577" t="s">
        <v>5256</v>
      </c>
      <c r="D543" s="896"/>
      <c r="E543" s="2688">
        <f t="shared" ref="E543:E575" si="13">D543/117124750000*100</f>
        <v>0</v>
      </c>
      <c r="F543" s="1230"/>
      <c r="G543" s="1228"/>
      <c r="H543" s="1228"/>
      <c r="I543" s="1228"/>
      <c r="J543" s="1338"/>
      <c r="K543" s="1338"/>
      <c r="L543" s="1315"/>
      <c r="M543" s="1584"/>
      <c r="N543" s="1539"/>
    </row>
    <row r="544" spans="1:18" ht="24.75" hidden="1" customHeight="1" x14ac:dyDescent="0.25">
      <c r="B544" s="1592"/>
      <c r="C544" s="2577" t="s">
        <v>5257</v>
      </c>
      <c r="D544" s="896"/>
      <c r="E544" s="2688">
        <f t="shared" si="13"/>
        <v>0</v>
      </c>
      <c r="F544" s="1230"/>
      <c r="G544" s="1228"/>
      <c r="H544" s="1228"/>
      <c r="I544" s="1228"/>
      <c r="J544" s="1338"/>
      <c r="K544" s="1338"/>
      <c r="L544" s="1315"/>
      <c r="M544" s="1584"/>
      <c r="N544" s="1539"/>
    </row>
    <row r="545" spans="1:17" ht="19.5" hidden="1" customHeight="1" x14ac:dyDescent="0.25">
      <c r="B545" s="1592"/>
      <c r="C545" s="2577" t="s">
        <v>5258</v>
      </c>
      <c r="D545" s="896"/>
      <c r="E545" s="2688">
        <f t="shared" si="13"/>
        <v>0</v>
      </c>
      <c r="F545" s="1230"/>
      <c r="G545" s="1228"/>
      <c r="H545" s="1228"/>
      <c r="I545" s="1228"/>
      <c r="J545" s="1338"/>
      <c r="K545" s="1338"/>
      <c r="L545" s="1315"/>
      <c r="M545" s="1584"/>
      <c r="N545" s="1539"/>
    </row>
    <row r="546" spans="1:17" s="1002" customFormat="1" ht="19.5" hidden="1" customHeight="1" x14ac:dyDescent="0.25">
      <c r="A546"/>
      <c r="B546" s="1592"/>
      <c r="C546" s="2577" t="s">
        <v>5259</v>
      </c>
      <c r="D546" s="896"/>
      <c r="E546" s="2688">
        <f t="shared" si="13"/>
        <v>0</v>
      </c>
      <c r="F546" s="1230"/>
      <c r="G546" s="1228"/>
      <c r="H546" s="1228"/>
      <c r="I546" s="1228"/>
      <c r="J546" s="1338"/>
      <c r="K546" s="1338"/>
      <c r="L546" s="1315"/>
      <c r="M546" s="1584"/>
      <c r="N546" s="1539"/>
      <c r="P546" s="1003"/>
      <c r="Q546" s="1003"/>
    </row>
    <row r="547" spans="1:17" s="1002" customFormat="1" ht="18.75" hidden="1" customHeight="1" x14ac:dyDescent="0.25">
      <c r="A547"/>
      <c r="B547" s="1592"/>
      <c r="C547" s="2577" t="s">
        <v>5260</v>
      </c>
      <c r="D547" s="896"/>
      <c r="E547" s="2688">
        <f t="shared" si="13"/>
        <v>0</v>
      </c>
      <c r="F547" s="1230"/>
      <c r="G547" s="1228"/>
      <c r="H547" s="1228"/>
      <c r="I547" s="1228"/>
      <c r="J547" s="1338"/>
      <c r="K547" s="1338"/>
      <c r="L547" s="1315"/>
      <c r="M547" s="1584"/>
      <c r="N547" s="1539"/>
      <c r="P547" s="1003"/>
      <c r="Q547" s="1003"/>
    </row>
    <row r="548" spans="1:17" s="1002" customFormat="1" ht="19.5" hidden="1" customHeight="1" x14ac:dyDescent="0.25">
      <c r="A548"/>
      <c r="B548" s="1592"/>
      <c r="C548" s="2577" t="s">
        <v>5261</v>
      </c>
      <c r="D548" s="896"/>
      <c r="E548" s="2688">
        <f t="shared" si="13"/>
        <v>0</v>
      </c>
      <c r="F548" s="1230"/>
      <c r="G548" s="1228"/>
      <c r="H548" s="1228"/>
      <c r="I548" s="1228"/>
      <c r="J548" s="1338"/>
      <c r="K548" s="1338"/>
      <c r="L548" s="1315"/>
      <c r="M548" s="1584"/>
      <c r="N548" s="1539"/>
      <c r="P548" s="1003"/>
      <c r="Q548" s="1003"/>
    </row>
    <row r="549" spans="1:17" s="1002" customFormat="1" ht="25.5" hidden="1" customHeight="1" x14ac:dyDescent="0.25">
      <c r="A549"/>
      <c r="B549" s="1592"/>
      <c r="C549" s="2577" t="s">
        <v>5262</v>
      </c>
      <c r="D549" s="896"/>
      <c r="E549" s="2688">
        <f t="shared" si="13"/>
        <v>0</v>
      </c>
      <c r="F549" s="1230"/>
      <c r="G549" s="1228"/>
      <c r="H549" s="1228"/>
      <c r="I549" s="1228"/>
      <c r="J549" s="1338"/>
      <c r="K549" s="1338"/>
      <c r="L549" s="1315"/>
      <c r="M549" s="1584"/>
      <c r="N549" s="1539"/>
      <c r="P549" s="1003"/>
      <c r="Q549" s="1003"/>
    </row>
    <row r="550" spans="1:17" s="1002" customFormat="1" ht="12.75" hidden="1" customHeight="1" x14ac:dyDescent="0.25">
      <c r="A550"/>
      <c r="B550" s="1592"/>
      <c r="C550" s="2586"/>
      <c r="D550" s="2765"/>
      <c r="E550" s="2688"/>
      <c r="F550" s="1230"/>
      <c r="G550" s="1228"/>
      <c r="H550" s="1228"/>
      <c r="I550" s="1228"/>
      <c r="J550" s="1338"/>
      <c r="K550" s="1338"/>
      <c r="L550" s="1315"/>
      <c r="M550" s="1584"/>
      <c r="N550" s="1539"/>
      <c r="P550" s="1003"/>
      <c r="Q550" s="1003"/>
    </row>
    <row r="551" spans="1:17" s="1002" customFormat="1" ht="30" hidden="1" customHeight="1" x14ac:dyDescent="0.25">
      <c r="A551"/>
      <c r="B551" s="1592"/>
      <c r="C551" s="2576" t="s">
        <v>5263</v>
      </c>
      <c r="D551" s="899">
        <f>SUM(D552:D575)</f>
        <v>0</v>
      </c>
      <c r="E551" s="2693">
        <f t="shared" si="13"/>
        <v>0</v>
      </c>
      <c r="F551" s="1230"/>
      <c r="G551" s="1228"/>
      <c r="H551" s="1228"/>
      <c r="I551" s="1228"/>
      <c r="J551" s="1338"/>
      <c r="K551" s="1338"/>
      <c r="L551" s="1315"/>
      <c r="M551" s="1584"/>
      <c r="N551" s="1539"/>
      <c r="P551" s="1003"/>
      <c r="Q551" s="1003"/>
    </row>
    <row r="552" spans="1:17" s="1002" customFormat="1" ht="19.5" hidden="1" customHeight="1" x14ac:dyDescent="0.25">
      <c r="A552"/>
      <c r="B552" s="1592"/>
      <c r="C552" s="2577" t="s">
        <v>5264</v>
      </c>
      <c r="D552" s="896"/>
      <c r="E552" s="2688">
        <f t="shared" si="13"/>
        <v>0</v>
      </c>
      <c r="F552" s="1230"/>
      <c r="G552" s="1228"/>
      <c r="H552" s="1228"/>
      <c r="I552" s="1228"/>
      <c r="J552" s="1338"/>
      <c r="K552" s="1338"/>
      <c r="L552" s="1315"/>
      <c r="M552" s="1584"/>
      <c r="N552" s="1539"/>
      <c r="P552" s="1003"/>
      <c r="Q552" s="1003"/>
    </row>
    <row r="553" spans="1:17" s="1002" customFormat="1" ht="17.25" hidden="1" customHeight="1" x14ac:dyDescent="0.25">
      <c r="A553"/>
      <c r="B553" s="1592"/>
      <c r="C553" s="2577" t="s">
        <v>5265</v>
      </c>
      <c r="D553" s="896"/>
      <c r="E553" s="2688">
        <f t="shared" si="13"/>
        <v>0</v>
      </c>
      <c r="F553" s="1230"/>
      <c r="G553" s="1228"/>
      <c r="H553" s="1228"/>
      <c r="I553" s="1228"/>
      <c r="J553" s="1338"/>
      <c r="K553" s="1338"/>
      <c r="L553" s="1315"/>
      <c r="M553" s="1584"/>
      <c r="N553" s="1539"/>
      <c r="P553" s="1003"/>
      <c r="Q553" s="1003"/>
    </row>
    <row r="554" spans="1:17" s="1002" customFormat="1" ht="16.5" hidden="1" customHeight="1" x14ac:dyDescent="0.25">
      <c r="A554"/>
      <c r="B554" s="1592"/>
      <c r="C554" s="2577" t="s">
        <v>5266</v>
      </c>
      <c r="D554" s="896"/>
      <c r="E554" s="2688">
        <f t="shared" si="13"/>
        <v>0</v>
      </c>
      <c r="F554" s="1230"/>
      <c r="G554" s="1228"/>
      <c r="H554" s="1228"/>
      <c r="I554" s="1228"/>
      <c r="J554" s="1338"/>
      <c r="K554" s="1338"/>
      <c r="L554" s="1315"/>
      <c r="M554" s="1584"/>
      <c r="N554" s="1539"/>
      <c r="P554" s="1003"/>
      <c r="Q554" s="1003"/>
    </row>
    <row r="555" spans="1:17" s="1002" customFormat="1" ht="16.5" hidden="1" customHeight="1" x14ac:dyDescent="0.25">
      <c r="A555"/>
      <c r="B555" s="1592"/>
      <c r="C555" s="2577" t="s">
        <v>5267</v>
      </c>
      <c r="D555" s="896"/>
      <c r="E555" s="2688">
        <f t="shared" si="13"/>
        <v>0</v>
      </c>
      <c r="F555" s="1230"/>
      <c r="G555" s="1228"/>
      <c r="H555" s="1228"/>
      <c r="I555" s="1228"/>
      <c r="J555" s="1338"/>
      <c r="K555" s="1338"/>
      <c r="L555" s="1315"/>
      <c r="M555" s="1584"/>
      <c r="N555" s="1539"/>
      <c r="P555" s="1003"/>
      <c r="Q555" s="1003"/>
    </row>
    <row r="556" spans="1:17" s="1002" customFormat="1" ht="22.5" hidden="1" customHeight="1" x14ac:dyDescent="0.25">
      <c r="A556"/>
      <c r="B556" s="1592"/>
      <c r="C556" s="2577" t="s">
        <v>5268</v>
      </c>
      <c r="D556" s="896"/>
      <c r="E556" s="2688">
        <f t="shared" si="13"/>
        <v>0</v>
      </c>
      <c r="F556" s="1230"/>
      <c r="G556" s="1228"/>
      <c r="H556" s="1228"/>
      <c r="I556" s="1228"/>
      <c r="J556" s="1338"/>
      <c r="K556" s="1338"/>
      <c r="L556" s="1315"/>
      <c r="M556" s="1584"/>
      <c r="N556" s="1539"/>
      <c r="P556" s="1003"/>
      <c r="Q556" s="1003"/>
    </row>
    <row r="557" spans="1:17" s="1002" customFormat="1" ht="16.5" hidden="1" customHeight="1" x14ac:dyDescent="0.25">
      <c r="A557"/>
      <c r="B557" s="1592"/>
      <c r="C557" s="2577" t="s">
        <v>5269</v>
      </c>
      <c r="D557" s="896"/>
      <c r="E557" s="2688">
        <f t="shared" si="13"/>
        <v>0</v>
      </c>
      <c r="F557" s="1230"/>
      <c r="G557" s="1228"/>
      <c r="H557" s="1228"/>
      <c r="I557" s="1228"/>
      <c r="J557" s="1338"/>
      <c r="K557" s="1338"/>
      <c r="L557" s="1315"/>
      <c r="M557" s="1584"/>
      <c r="N557" s="1539"/>
      <c r="P557" s="1003"/>
      <c r="Q557" s="1003"/>
    </row>
    <row r="558" spans="1:17" s="1002" customFormat="1" ht="16.5" hidden="1" customHeight="1" x14ac:dyDescent="0.25">
      <c r="A558"/>
      <c r="B558" s="1592"/>
      <c r="C558" s="2577" t="s">
        <v>5270</v>
      </c>
      <c r="D558" s="896"/>
      <c r="E558" s="2688">
        <f t="shared" si="13"/>
        <v>0</v>
      </c>
      <c r="F558" s="1230"/>
      <c r="G558" s="1228"/>
      <c r="H558" s="1228"/>
      <c r="I558" s="1228"/>
      <c r="J558" s="1338"/>
      <c r="K558" s="1338"/>
      <c r="L558" s="1315"/>
      <c r="M558" s="1584"/>
      <c r="N558" s="1539"/>
      <c r="P558" s="1003"/>
      <c r="Q558" s="1003"/>
    </row>
    <row r="559" spans="1:17" s="1002" customFormat="1" ht="16.5" hidden="1" customHeight="1" x14ac:dyDescent="0.25">
      <c r="A559"/>
      <c r="B559" s="1592"/>
      <c r="C559" s="2577" t="s">
        <v>5271</v>
      </c>
      <c r="D559" s="896"/>
      <c r="E559" s="2688">
        <f t="shared" si="13"/>
        <v>0</v>
      </c>
      <c r="F559" s="1230"/>
      <c r="G559" s="1228"/>
      <c r="H559" s="1228"/>
      <c r="I559" s="1228"/>
      <c r="J559" s="1338"/>
      <c r="K559" s="1338"/>
      <c r="L559" s="1315"/>
      <c r="M559" s="1584"/>
      <c r="N559" s="1539"/>
      <c r="P559" s="1003"/>
      <c r="Q559" s="1003"/>
    </row>
    <row r="560" spans="1:17" s="1002" customFormat="1" ht="16.5" hidden="1" customHeight="1" x14ac:dyDescent="0.25">
      <c r="A560"/>
      <c r="B560" s="1592"/>
      <c r="C560" s="2577" t="s">
        <v>5272</v>
      </c>
      <c r="D560" s="896"/>
      <c r="E560" s="2688">
        <f t="shared" si="13"/>
        <v>0</v>
      </c>
      <c r="F560" s="1230"/>
      <c r="G560" s="1228"/>
      <c r="H560" s="1228"/>
      <c r="I560" s="1228"/>
      <c r="J560" s="1338"/>
      <c r="K560" s="1338"/>
      <c r="L560" s="1315"/>
      <c r="M560" s="1584"/>
      <c r="N560" s="1539"/>
      <c r="P560" s="1003"/>
      <c r="Q560" s="1003"/>
    </row>
    <row r="561" spans="1:17" s="1002" customFormat="1" ht="16.5" hidden="1" customHeight="1" x14ac:dyDescent="0.25">
      <c r="A561"/>
      <c r="B561" s="1592"/>
      <c r="C561" s="2577" t="s">
        <v>5273</v>
      </c>
      <c r="D561" s="896"/>
      <c r="E561" s="2688">
        <f t="shared" si="13"/>
        <v>0</v>
      </c>
      <c r="F561" s="1230"/>
      <c r="G561" s="1228"/>
      <c r="H561" s="1228"/>
      <c r="I561" s="1228"/>
      <c r="J561" s="1338"/>
      <c r="K561" s="1338"/>
      <c r="L561" s="1315"/>
      <c r="M561" s="1584"/>
      <c r="N561" s="1539"/>
      <c r="P561" s="1003"/>
      <c r="Q561" s="1003"/>
    </row>
    <row r="562" spans="1:17" ht="16.5" hidden="1" customHeight="1" x14ac:dyDescent="0.25">
      <c r="B562" s="1592"/>
      <c r="C562" s="2577" t="s">
        <v>5274</v>
      </c>
      <c r="D562" s="896"/>
      <c r="E562" s="2688">
        <f t="shared" si="13"/>
        <v>0</v>
      </c>
      <c r="F562" s="1230"/>
      <c r="G562" s="1228"/>
      <c r="H562" s="1228"/>
      <c r="I562" s="1228"/>
      <c r="J562" s="1338"/>
      <c r="K562" s="1338"/>
      <c r="L562" s="1315"/>
      <c r="M562" s="1584"/>
      <c r="N562" s="1539"/>
    </row>
    <row r="563" spans="1:17" ht="16.5" hidden="1" customHeight="1" x14ac:dyDescent="0.25">
      <c r="B563" s="1592"/>
      <c r="C563" s="2577" t="s">
        <v>5275</v>
      </c>
      <c r="D563" s="896"/>
      <c r="E563" s="2688">
        <f t="shared" si="13"/>
        <v>0</v>
      </c>
      <c r="F563" s="1230"/>
      <c r="G563" s="1228"/>
      <c r="H563" s="1228"/>
      <c r="I563" s="1228"/>
      <c r="J563" s="1338"/>
      <c r="K563" s="1338"/>
      <c r="L563" s="1315"/>
      <c r="M563" s="1584"/>
      <c r="N563" s="1539"/>
    </row>
    <row r="564" spans="1:17" ht="16.5" hidden="1" customHeight="1" x14ac:dyDescent="0.25">
      <c r="B564" s="1592"/>
      <c r="C564" s="2577" t="s">
        <v>5276</v>
      </c>
      <c r="D564" s="896"/>
      <c r="E564" s="2688">
        <f t="shared" si="13"/>
        <v>0</v>
      </c>
      <c r="F564" s="1230"/>
      <c r="G564" s="1228"/>
      <c r="H564" s="1228"/>
      <c r="I564" s="1228"/>
      <c r="J564" s="1338"/>
      <c r="K564" s="1338"/>
      <c r="L564" s="1315"/>
      <c r="M564" s="1584"/>
      <c r="N564" s="1539"/>
    </row>
    <row r="565" spans="1:17" ht="16.5" hidden="1" customHeight="1" x14ac:dyDescent="0.25">
      <c r="B565" s="1592"/>
      <c r="C565" s="2577" t="s">
        <v>5277</v>
      </c>
      <c r="D565" s="896"/>
      <c r="E565" s="2688">
        <f t="shared" si="13"/>
        <v>0</v>
      </c>
      <c r="F565" s="1230"/>
      <c r="G565" s="1228"/>
      <c r="H565" s="1228"/>
      <c r="I565" s="1228"/>
      <c r="J565" s="1338"/>
      <c r="K565" s="1338"/>
      <c r="L565" s="1315"/>
      <c r="M565" s="1584"/>
      <c r="N565" s="1539"/>
    </row>
    <row r="566" spans="1:17" ht="16.5" hidden="1" customHeight="1" x14ac:dyDescent="0.25">
      <c r="B566" s="1592"/>
      <c r="C566" s="2577" t="s">
        <v>5278</v>
      </c>
      <c r="D566" s="896"/>
      <c r="E566" s="2688">
        <f t="shared" si="13"/>
        <v>0</v>
      </c>
      <c r="F566" s="1230"/>
      <c r="G566" s="1228"/>
      <c r="H566" s="1228"/>
      <c r="I566" s="1228"/>
      <c r="J566" s="1338"/>
      <c r="K566" s="1338"/>
      <c r="L566" s="1315"/>
      <c r="M566" s="1584"/>
      <c r="N566" s="1539"/>
    </row>
    <row r="567" spans="1:17" ht="16.5" hidden="1" customHeight="1" x14ac:dyDescent="0.25">
      <c r="B567" s="1592"/>
      <c r="C567" s="2577" t="s">
        <v>5279</v>
      </c>
      <c r="D567" s="896"/>
      <c r="E567" s="2688">
        <f t="shared" si="13"/>
        <v>0</v>
      </c>
      <c r="F567" s="1230"/>
      <c r="G567" s="1228"/>
      <c r="H567" s="1228"/>
      <c r="I567" s="1228"/>
      <c r="J567" s="1338"/>
      <c r="K567" s="1338"/>
      <c r="L567" s="1315"/>
      <c r="M567" s="1584"/>
      <c r="N567" s="1539"/>
    </row>
    <row r="568" spans="1:17" ht="16.5" hidden="1" customHeight="1" x14ac:dyDescent="0.25">
      <c r="B568" s="1592"/>
      <c r="C568" s="2577" t="s">
        <v>5280</v>
      </c>
      <c r="D568" s="896"/>
      <c r="E568" s="2688">
        <f t="shared" si="13"/>
        <v>0</v>
      </c>
      <c r="F568" s="1230"/>
      <c r="G568" s="1228"/>
      <c r="H568" s="1228"/>
      <c r="I568" s="1228"/>
      <c r="J568" s="1338"/>
      <c r="K568" s="1338"/>
      <c r="L568" s="1315"/>
      <c r="M568" s="1584"/>
      <c r="N568" s="1539"/>
    </row>
    <row r="569" spans="1:17" ht="16.5" hidden="1" customHeight="1" x14ac:dyDescent="0.25">
      <c r="B569" s="1592"/>
      <c r="C569" s="2577" t="s">
        <v>5281</v>
      </c>
      <c r="D569" s="896"/>
      <c r="E569" s="2688">
        <f t="shared" si="13"/>
        <v>0</v>
      </c>
      <c r="F569" s="1230"/>
      <c r="G569" s="1228"/>
      <c r="H569" s="1228"/>
      <c r="I569" s="1228"/>
      <c r="J569" s="1338"/>
      <c r="K569" s="1338"/>
      <c r="L569" s="1315"/>
      <c r="M569" s="1584"/>
      <c r="N569" s="1539"/>
    </row>
    <row r="570" spans="1:17" ht="16.5" hidden="1" customHeight="1" x14ac:dyDescent="0.25">
      <c r="B570" s="1592"/>
      <c r="C570" s="2577" t="s">
        <v>5282</v>
      </c>
      <c r="D570" s="896"/>
      <c r="E570" s="2688">
        <f t="shared" si="13"/>
        <v>0</v>
      </c>
      <c r="F570" s="1230"/>
      <c r="G570" s="1228"/>
      <c r="H570" s="1228"/>
      <c r="I570" s="1228"/>
      <c r="J570" s="1338"/>
      <c r="K570" s="1338"/>
      <c r="L570" s="1315"/>
      <c r="M570" s="1584"/>
      <c r="N570" s="1539"/>
    </row>
    <row r="571" spans="1:17" ht="16.5" hidden="1" customHeight="1" x14ac:dyDescent="0.25">
      <c r="B571" s="1592"/>
      <c r="C571" s="2577" t="s">
        <v>5283</v>
      </c>
      <c r="D571" s="896"/>
      <c r="E571" s="2688">
        <f t="shared" si="13"/>
        <v>0</v>
      </c>
      <c r="F571" s="1230"/>
      <c r="G571" s="1228"/>
      <c r="H571" s="1228"/>
      <c r="I571" s="1228"/>
      <c r="J571" s="1338"/>
      <c r="K571" s="1338"/>
      <c r="L571" s="1315"/>
      <c r="M571" s="1584"/>
      <c r="N571" s="1539"/>
    </row>
    <row r="572" spans="1:17" ht="16.5" hidden="1" customHeight="1" x14ac:dyDescent="0.25">
      <c r="B572" s="1592"/>
      <c r="C572" s="2577" t="s">
        <v>5284</v>
      </c>
      <c r="D572" s="896"/>
      <c r="E572" s="2688">
        <f t="shared" si="13"/>
        <v>0</v>
      </c>
      <c r="F572" s="1230"/>
      <c r="G572" s="1228"/>
      <c r="H572" s="1228"/>
      <c r="I572" s="1228"/>
      <c r="J572" s="1338"/>
      <c r="K572" s="1338"/>
      <c r="L572" s="1315"/>
      <c r="M572" s="1584"/>
      <c r="N572" s="1539"/>
    </row>
    <row r="573" spans="1:17" ht="16.5" hidden="1" customHeight="1" x14ac:dyDescent="0.25">
      <c r="B573" s="1592"/>
      <c r="C573" s="2577" t="s">
        <v>5285</v>
      </c>
      <c r="D573" s="896"/>
      <c r="E573" s="2688">
        <f t="shared" si="13"/>
        <v>0</v>
      </c>
      <c r="F573" s="1230"/>
      <c r="G573" s="1228"/>
      <c r="H573" s="1228"/>
      <c r="I573" s="1228"/>
      <c r="J573" s="1338"/>
      <c r="K573" s="1338"/>
      <c r="L573" s="1315"/>
      <c r="M573" s="1584"/>
      <c r="N573" s="1539"/>
    </row>
    <row r="574" spans="1:17" ht="16.5" hidden="1" customHeight="1" x14ac:dyDescent="0.25">
      <c r="B574" s="1592"/>
      <c r="C574" s="2577" t="s">
        <v>5286</v>
      </c>
      <c r="D574" s="896"/>
      <c r="E574" s="2688">
        <f t="shared" si="13"/>
        <v>0</v>
      </c>
      <c r="F574" s="1230"/>
      <c r="G574" s="1228"/>
      <c r="H574" s="1228"/>
      <c r="I574" s="1228"/>
      <c r="J574" s="1338"/>
      <c r="K574" s="1338"/>
      <c r="L574" s="1315"/>
      <c r="M574" s="1584"/>
      <c r="N574" s="1539"/>
    </row>
    <row r="575" spans="1:17" ht="16.5" hidden="1" customHeight="1" x14ac:dyDescent="0.25">
      <c r="B575" s="1592"/>
      <c r="C575" s="2577" t="s">
        <v>5287</v>
      </c>
      <c r="D575" s="896"/>
      <c r="E575" s="2688">
        <f t="shared" si="13"/>
        <v>0</v>
      </c>
      <c r="F575" s="1230"/>
      <c r="G575" s="1228"/>
      <c r="H575" s="1228"/>
      <c r="I575" s="1228"/>
      <c r="J575" s="1338"/>
      <c r="K575" s="1338"/>
      <c r="L575" s="1315"/>
      <c r="M575" s="1584"/>
      <c r="N575" s="1539"/>
    </row>
    <row r="576" spans="1:17" ht="15.75" hidden="1" customHeight="1" x14ac:dyDescent="0.25">
      <c r="B576" s="1592"/>
      <c r="C576" s="2593"/>
      <c r="D576" s="2707"/>
      <c r="E576" s="2707"/>
      <c r="F576" s="1334"/>
      <c r="G576" s="1346"/>
      <c r="H576" s="1735"/>
      <c r="I576" s="1328"/>
      <c r="J576" s="1334"/>
      <c r="K576" s="1328"/>
      <c r="L576" s="1247"/>
      <c r="M576" s="1736"/>
      <c r="N576" s="1574"/>
    </row>
    <row r="577" spans="1:18" ht="22.5" hidden="1" customHeight="1" x14ac:dyDescent="0.25">
      <c r="A577" s="2"/>
      <c r="B577" s="1342"/>
      <c r="C577" s="2584" t="s">
        <v>1984</v>
      </c>
      <c r="D577" s="2744">
        <f>SUM(D578+D591)</f>
        <v>2780000000</v>
      </c>
      <c r="E577" s="2717">
        <f>D577/117124750000*100</f>
        <v>2.3735376169426186</v>
      </c>
      <c r="F577" s="1261"/>
      <c r="G577" s="1261"/>
      <c r="H577" s="1226"/>
      <c r="I577" s="1333"/>
      <c r="J577" s="1313"/>
      <c r="K577" s="1313"/>
      <c r="L577" s="1313"/>
      <c r="M577" s="1333"/>
      <c r="N577" s="1539"/>
      <c r="O577"/>
      <c r="P577" s="617"/>
      <c r="Q577"/>
      <c r="R577"/>
    </row>
    <row r="578" spans="1:18" s="1002" customFormat="1" ht="34.5" hidden="1" customHeight="1" x14ac:dyDescent="0.25">
      <c r="A578"/>
      <c r="B578" s="1592"/>
      <c r="C578" s="2576" t="s">
        <v>6435</v>
      </c>
      <c r="D578" s="899">
        <f>SUM(D579:D589)</f>
        <v>2580000000</v>
      </c>
      <c r="E578" s="2693">
        <f>D578/117124750000*100</f>
        <v>2.202779515004301</v>
      </c>
      <c r="F578" s="1260"/>
      <c r="G578" s="1299"/>
      <c r="H578" s="1737"/>
      <c r="I578" s="1329"/>
      <c r="J578" s="1260"/>
      <c r="K578" s="1329"/>
      <c r="L578" s="1251"/>
      <c r="M578" s="1738"/>
      <c r="N578" s="1734"/>
      <c r="P578" s="1003"/>
      <c r="Q578" s="1003"/>
    </row>
    <row r="579" spans="1:18" s="1002" customFormat="1" ht="21.75" hidden="1" customHeight="1" x14ac:dyDescent="0.25">
      <c r="A579"/>
      <c r="B579" s="1592"/>
      <c r="C579" s="2577" t="s">
        <v>5326</v>
      </c>
      <c r="D579" s="896">
        <v>450000000</v>
      </c>
      <c r="E579" s="2688">
        <f t="shared" ref="E579:E593" si="14">D579/117124750000*100</f>
        <v>0.38420572936121528</v>
      </c>
      <c r="F579" s="1230"/>
      <c r="G579" s="1246"/>
      <c r="H579" s="1739"/>
      <c r="I579" s="1315"/>
      <c r="J579" s="1230"/>
      <c r="K579" s="1315"/>
      <c r="L579" s="1229"/>
      <c r="M579" s="1740"/>
      <c r="N579" s="1539"/>
      <c r="P579" s="1003"/>
      <c r="Q579" s="1003"/>
    </row>
    <row r="580" spans="1:18" s="1002" customFormat="1" ht="19.5" hidden="1" customHeight="1" x14ac:dyDescent="0.25">
      <c r="A580"/>
      <c r="B580" s="1592"/>
      <c r="C580" s="2577" t="s">
        <v>5327</v>
      </c>
      <c r="D580" s="896">
        <v>380000000</v>
      </c>
      <c r="E580" s="2688">
        <f t="shared" si="14"/>
        <v>0.32444039368280403</v>
      </c>
      <c r="F580" s="1230"/>
      <c r="G580" s="1246"/>
      <c r="H580" s="1739"/>
      <c r="I580" s="1315"/>
      <c r="J580" s="1230"/>
      <c r="K580" s="1315"/>
      <c r="L580" s="1229"/>
      <c r="M580" s="1740"/>
      <c r="N580" s="1539"/>
      <c r="P580" s="1003"/>
      <c r="Q580" s="1003"/>
    </row>
    <row r="581" spans="1:18" s="1002" customFormat="1" ht="23.25" hidden="1" customHeight="1" x14ac:dyDescent="0.25">
      <c r="A581"/>
      <c r="B581" s="1592"/>
      <c r="C581" s="2577" t="s">
        <v>5328</v>
      </c>
      <c r="D581" s="896">
        <v>200000000</v>
      </c>
      <c r="E581" s="2688">
        <f t="shared" si="14"/>
        <v>0.17075810193831789</v>
      </c>
      <c r="F581" s="1230"/>
      <c r="G581" s="1246"/>
      <c r="H581" s="1739"/>
      <c r="I581" s="1315"/>
      <c r="J581" s="1230"/>
      <c r="K581" s="1315"/>
      <c r="L581" s="1229"/>
      <c r="M581" s="1740"/>
      <c r="N581" s="1539"/>
      <c r="P581" s="1003"/>
      <c r="Q581" s="1003"/>
    </row>
    <row r="582" spans="1:18" s="1002" customFormat="1" ht="19.5" hidden="1" customHeight="1" x14ac:dyDescent="0.25">
      <c r="A582"/>
      <c r="B582" s="1592"/>
      <c r="C582" s="2577" t="s">
        <v>5329</v>
      </c>
      <c r="D582" s="896">
        <v>100000000</v>
      </c>
      <c r="E582" s="2688">
        <f t="shared" si="14"/>
        <v>8.5379050969158946E-2</v>
      </c>
      <c r="F582" s="1230"/>
      <c r="G582" s="1246"/>
      <c r="H582" s="1739"/>
      <c r="I582" s="1315"/>
      <c r="J582" s="1230"/>
      <c r="K582" s="1315"/>
      <c r="L582" s="1229"/>
      <c r="M582" s="1740"/>
      <c r="N582" s="1539"/>
      <c r="P582" s="1003"/>
      <c r="Q582" s="1003"/>
    </row>
    <row r="583" spans="1:18" s="1002" customFormat="1" ht="23.25" hidden="1" customHeight="1" x14ac:dyDescent="0.25">
      <c r="A583"/>
      <c r="B583" s="1592"/>
      <c r="C583" s="2577" t="s">
        <v>5331</v>
      </c>
      <c r="D583" s="896">
        <v>200000000</v>
      </c>
      <c r="E583" s="2688">
        <f t="shared" si="14"/>
        <v>0.17075810193831789</v>
      </c>
      <c r="F583" s="1230"/>
      <c r="G583" s="1246"/>
      <c r="H583" s="1739"/>
      <c r="I583" s="1315"/>
      <c r="J583" s="1230"/>
      <c r="K583" s="1315"/>
      <c r="L583" s="1229"/>
      <c r="M583" s="1740"/>
      <c r="N583" s="1539"/>
      <c r="P583" s="1003"/>
      <c r="Q583" s="1003"/>
    </row>
    <row r="584" spans="1:18" s="1002" customFormat="1" ht="21" hidden="1" customHeight="1" x14ac:dyDescent="0.25">
      <c r="A584"/>
      <c r="B584" s="1592"/>
      <c r="C584" s="2577" t="s">
        <v>5333</v>
      </c>
      <c r="D584" s="896">
        <v>200000000</v>
      </c>
      <c r="E584" s="2688">
        <f t="shared" si="14"/>
        <v>0.17075810193831789</v>
      </c>
      <c r="F584" s="1230"/>
      <c r="G584" s="1246"/>
      <c r="H584" s="1739"/>
      <c r="I584" s="1315"/>
      <c r="J584" s="1230"/>
      <c r="K584" s="1315"/>
      <c r="L584" s="1229"/>
      <c r="M584" s="1740"/>
      <c r="N584" s="1539"/>
      <c r="P584" s="1003"/>
      <c r="Q584" s="1003"/>
    </row>
    <row r="585" spans="1:18" s="1002" customFormat="1" ht="21" hidden="1" customHeight="1" x14ac:dyDescent="0.25">
      <c r="A585"/>
      <c r="B585" s="1592"/>
      <c r="C585" s="2577" t="s">
        <v>5334</v>
      </c>
      <c r="D585" s="896">
        <v>100000000</v>
      </c>
      <c r="E585" s="2688">
        <f t="shared" si="14"/>
        <v>8.5379050969158946E-2</v>
      </c>
      <c r="F585" s="1230"/>
      <c r="G585" s="1246"/>
      <c r="H585" s="1739"/>
      <c r="I585" s="1315"/>
      <c r="J585" s="1230"/>
      <c r="K585" s="1315"/>
      <c r="L585" s="1229"/>
      <c r="M585" s="1740"/>
      <c r="N585" s="1539"/>
      <c r="P585" s="1003"/>
      <c r="Q585" s="1003"/>
    </row>
    <row r="586" spans="1:18" s="1002" customFormat="1" ht="21.75" hidden="1" customHeight="1" x14ac:dyDescent="0.25">
      <c r="A586"/>
      <c r="B586" s="1592"/>
      <c r="C586" s="2577" t="s">
        <v>5336</v>
      </c>
      <c r="D586" s="896">
        <v>150000000</v>
      </c>
      <c r="E586" s="2688">
        <f t="shared" si="14"/>
        <v>0.12806857645373843</v>
      </c>
      <c r="F586" s="1230"/>
      <c r="G586" s="1246"/>
      <c r="H586" s="1739"/>
      <c r="I586" s="1315"/>
      <c r="J586" s="1230"/>
      <c r="K586" s="1315"/>
      <c r="L586" s="1229"/>
      <c r="M586" s="1740"/>
      <c r="N586" s="1539"/>
      <c r="P586" s="1003"/>
      <c r="Q586" s="1003"/>
    </row>
    <row r="587" spans="1:18" s="1002" customFormat="1" ht="24" hidden="1" customHeight="1" x14ac:dyDescent="0.25">
      <c r="A587"/>
      <c r="B587" s="1592"/>
      <c r="C587" s="2577" t="s">
        <v>5335</v>
      </c>
      <c r="D587" s="896">
        <v>200000000</v>
      </c>
      <c r="E587" s="2688">
        <f t="shared" si="14"/>
        <v>0.17075810193831789</v>
      </c>
      <c r="F587" s="1230"/>
      <c r="G587" s="1246"/>
      <c r="H587" s="1739"/>
      <c r="I587" s="1315"/>
      <c r="J587" s="1230"/>
      <c r="K587" s="1315"/>
      <c r="L587" s="1229"/>
      <c r="M587" s="1740"/>
      <c r="N587" s="1539"/>
      <c r="P587" s="1003"/>
      <c r="Q587" s="1003"/>
    </row>
    <row r="588" spans="1:18" s="1002" customFormat="1" ht="21" hidden="1" customHeight="1" x14ac:dyDescent="0.25">
      <c r="A588"/>
      <c r="B588" s="1592"/>
      <c r="C588" s="2577" t="s">
        <v>5337</v>
      </c>
      <c r="D588" s="896">
        <v>200000000</v>
      </c>
      <c r="E588" s="2688">
        <f t="shared" si="14"/>
        <v>0.17075810193831789</v>
      </c>
      <c r="F588" s="1230"/>
      <c r="G588" s="1246"/>
      <c r="H588" s="1739"/>
      <c r="I588" s="1315"/>
      <c r="J588" s="1230"/>
      <c r="K588" s="1315"/>
      <c r="L588" s="1229"/>
      <c r="M588" s="1740"/>
      <c r="N588" s="1539"/>
      <c r="P588" s="1003"/>
      <c r="Q588" s="1003"/>
    </row>
    <row r="589" spans="1:18" s="1002" customFormat="1" ht="23.25" hidden="1" customHeight="1" x14ac:dyDescent="0.25">
      <c r="A589"/>
      <c r="B589" s="1592"/>
      <c r="C589" s="2577" t="s">
        <v>5338</v>
      </c>
      <c r="D589" s="896">
        <v>400000000</v>
      </c>
      <c r="E589" s="2688">
        <f t="shared" si="14"/>
        <v>0.34151620387663578</v>
      </c>
      <c r="F589" s="1230"/>
      <c r="G589" s="1246"/>
      <c r="H589" s="1739"/>
      <c r="I589" s="1315"/>
      <c r="J589" s="1230"/>
      <c r="K589" s="1315"/>
      <c r="L589" s="1229"/>
      <c r="M589" s="1740"/>
      <c r="N589" s="1539"/>
      <c r="P589" s="1003"/>
      <c r="Q589" s="1003"/>
    </row>
    <row r="590" spans="1:18" s="1002" customFormat="1" ht="15.75" hidden="1" customHeight="1" x14ac:dyDescent="0.25">
      <c r="A590"/>
      <c r="B590" s="1592"/>
      <c r="C590" s="2585"/>
      <c r="D590" s="2758"/>
      <c r="E590" s="2688">
        <f t="shared" si="14"/>
        <v>0</v>
      </c>
      <c r="F590" s="1230"/>
      <c r="G590" s="1246"/>
      <c r="H590" s="1739"/>
      <c r="I590" s="1315"/>
      <c r="J590" s="1230"/>
      <c r="K590" s="1315"/>
      <c r="L590" s="1229"/>
      <c r="M590" s="1740"/>
      <c r="N590" s="1539"/>
      <c r="P590" s="1003"/>
      <c r="Q590" s="1003"/>
    </row>
    <row r="591" spans="1:18" s="1002" customFormat="1" ht="15.75" hidden="1" customHeight="1" x14ac:dyDescent="0.25">
      <c r="A591"/>
      <c r="B591" s="1592"/>
      <c r="C591" s="2576" t="s">
        <v>5342</v>
      </c>
      <c r="D591" s="899">
        <f>SUM(D592:D593)</f>
        <v>200000000</v>
      </c>
      <c r="E591" s="2688">
        <f t="shared" si="14"/>
        <v>0.17075810193831789</v>
      </c>
      <c r="F591" s="1230"/>
      <c r="G591" s="1246"/>
      <c r="H591" s="1739"/>
      <c r="I591" s="1315"/>
      <c r="J591" s="1230"/>
      <c r="K591" s="1315"/>
      <c r="L591" s="1229"/>
      <c r="M591" s="1740"/>
      <c r="N591" s="1539"/>
      <c r="P591" s="1003"/>
      <c r="Q591" s="1003"/>
    </row>
    <row r="592" spans="1:18" s="1002" customFormat="1" ht="19.5" hidden="1" customHeight="1" x14ac:dyDescent="0.25">
      <c r="A592"/>
      <c r="B592" s="1592"/>
      <c r="C592" s="2577" t="s">
        <v>5343</v>
      </c>
      <c r="D592" s="896">
        <v>100000000</v>
      </c>
      <c r="E592" s="2688">
        <f t="shared" si="14"/>
        <v>8.5379050969158946E-2</v>
      </c>
      <c r="F592" s="1230"/>
      <c r="G592" s="1246"/>
      <c r="H592" s="1739"/>
      <c r="I592" s="1315"/>
      <c r="J592" s="1230"/>
      <c r="K592" s="1315"/>
      <c r="L592" s="1229"/>
      <c r="M592" s="1740"/>
      <c r="N592" s="1539"/>
      <c r="P592" s="1003"/>
      <c r="Q592" s="1003"/>
    </row>
    <row r="593" spans="1:18" s="1002" customFormat="1" ht="18.75" hidden="1" customHeight="1" x14ac:dyDescent="0.25">
      <c r="A593"/>
      <c r="B593" s="1592"/>
      <c r="C593" s="2577" t="s">
        <v>5344</v>
      </c>
      <c r="D593" s="896">
        <v>100000000</v>
      </c>
      <c r="E593" s="2688">
        <f t="shared" si="14"/>
        <v>8.5379050969158946E-2</v>
      </c>
      <c r="F593" s="1230"/>
      <c r="G593" s="1246"/>
      <c r="H593" s="1739"/>
      <c r="I593" s="1315"/>
      <c r="J593" s="1230"/>
      <c r="K593" s="1315"/>
      <c r="L593" s="1229"/>
      <c r="M593" s="1740"/>
      <c r="N593" s="1539"/>
      <c r="P593" s="1003"/>
      <c r="Q593" s="1003"/>
    </row>
    <row r="594" spans="1:18" ht="15.75" hidden="1" customHeight="1" x14ac:dyDescent="0.25">
      <c r="B594" s="1592"/>
      <c r="C594" s="2585"/>
      <c r="D594" s="2758"/>
      <c r="E594" s="2758"/>
      <c r="F594" s="1260"/>
      <c r="G594" s="1299"/>
      <c r="H594" s="1737"/>
      <c r="I594" s="1329"/>
      <c r="J594" s="1260"/>
      <c r="K594" s="1329"/>
      <c r="L594" s="1251"/>
      <c r="M594" s="1738"/>
      <c r="N594" s="1734"/>
    </row>
    <row r="595" spans="1:18" ht="21" hidden="1" customHeight="1" x14ac:dyDescent="0.25">
      <c r="B595" s="1609"/>
      <c r="C595" s="2584" t="s">
        <v>5547</v>
      </c>
      <c r="D595" s="2717">
        <f>SUM(D596+D599)</f>
        <v>550000000</v>
      </c>
      <c r="E595" s="2717">
        <f>D595/117124750000*100</f>
        <v>0.46958478033037426</v>
      </c>
      <c r="F595" s="1413"/>
      <c r="G595" s="1741"/>
      <c r="H595" s="1742"/>
      <c r="I595" s="1604"/>
      <c r="J595" s="1413"/>
      <c r="K595" s="1604"/>
      <c r="L595" s="1336"/>
      <c r="M595" s="1743"/>
      <c r="N595" s="1578"/>
    </row>
    <row r="596" spans="1:18" ht="25.5" hidden="1" customHeight="1" x14ac:dyDescent="0.25">
      <c r="B596" s="1592"/>
      <c r="C596" s="2576" t="s">
        <v>5353</v>
      </c>
      <c r="D596" s="2765">
        <f>D597</f>
        <v>250000000</v>
      </c>
      <c r="E596" s="2693">
        <f>D596/117124750000*100</f>
        <v>0.21344762742289738</v>
      </c>
      <c r="F596" s="1260"/>
      <c r="G596" s="1299"/>
      <c r="H596" s="1737"/>
      <c r="I596" s="1329"/>
      <c r="J596" s="1260"/>
      <c r="K596" s="1329"/>
      <c r="L596" s="1251"/>
      <c r="M596" s="1738"/>
      <c r="N596" s="1734"/>
    </row>
    <row r="597" spans="1:18" ht="18" hidden="1" customHeight="1" x14ac:dyDescent="0.25">
      <c r="B597" s="1592"/>
      <c r="C597" s="2577" t="s">
        <v>5355</v>
      </c>
      <c r="D597" s="896">
        <v>250000000</v>
      </c>
      <c r="E597" s="2688">
        <f t="shared" ref="E597:E601" si="15">D597/117124750000*100</f>
        <v>0.21344762742289738</v>
      </c>
      <c r="F597" s="1230"/>
      <c r="G597" s="1246"/>
      <c r="H597" s="1739"/>
      <c r="I597" s="1315"/>
      <c r="J597" s="1230"/>
      <c r="K597" s="1315"/>
      <c r="L597" s="1229"/>
      <c r="M597" s="1740"/>
      <c r="N597" s="1539"/>
    </row>
    <row r="598" spans="1:18" ht="12" hidden="1" customHeight="1" x14ac:dyDescent="0.25">
      <c r="B598" s="1592"/>
      <c r="C598" s="2591"/>
      <c r="D598" s="3134"/>
      <c r="E598" s="2688"/>
      <c r="F598" s="1260"/>
      <c r="G598" s="1299"/>
      <c r="H598" s="1737"/>
      <c r="I598" s="1329"/>
      <c r="J598" s="1260"/>
      <c r="K598" s="1329"/>
      <c r="L598" s="1251"/>
      <c r="M598" s="1738"/>
      <c r="N598" s="1734"/>
    </row>
    <row r="599" spans="1:18" ht="22.5" hidden="1" customHeight="1" x14ac:dyDescent="0.25">
      <c r="B599" s="1592"/>
      <c r="C599" s="2576" t="s">
        <v>4353</v>
      </c>
      <c r="D599" s="899">
        <f>SUM(D600:D601)</f>
        <v>300000000</v>
      </c>
      <c r="E599" s="2693">
        <f t="shared" si="15"/>
        <v>0.25613715290747685</v>
      </c>
      <c r="F599" s="1230"/>
      <c r="G599" s="1246"/>
      <c r="H599" s="1739"/>
      <c r="I599" s="1315"/>
      <c r="J599" s="1230"/>
      <c r="K599" s="1315"/>
      <c r="L599" s="1229"/>
      <c r="M599" s="1740"/>
      <c r="N599" s="1539"/>
    </row>
    <row r="600" spans="1:18" ht="20.25" hidden="1" customHeight="1" x14ac:dyDescent="0.25">
      <c r="B600" s="1592"/>
      <c r="C600" s="2577" t="s">
        <v>5357</v>
      </c>
      <c r="D600" s="896">
        <v>150000000</v>
      </c>
      <c r="E600" s="2688">
        <f t="shared" si="15"/>
        <v>0.12806857645373843</v>
      </c>
      <c r="F600" s="1230"/>
      <c r="G600" s="1246"/>
      <c r="H600" s="1739"/>
      <c r="I600" s="1315"/>
      <c r="J600" s="1230"/>
      <c r="K600" s="1315"/>
      <c r="L600" s="1229"/>
      <c r="M600" s="1740"/>
      <c r="N600" s="1539"/>
    </row>
    <row r="601" spans="1:18" ht="30.75" hidden="1" customHeight="1" x14ac:dyDescent="0.25">
      <c r="B601" s="1592"/>
      <c r="C601" s="2577" t="s">
        <v>5358</v>
      </c>
      <c r="D601" s="896">
        <v>150000000</v>
      </c>
      <c r="E601" s="2688">
        <f t="shared" si="15"/>
        <v>0.12806857645373843</v>
      </c>
      <c r="F601" s="1230"/>
      <c r="G601" s="1246"/>
      <c r="H601" s="1739"/>
      <c r="I601" s="1315"/>
      <c r="J601" s="1230"/>
      <c r="K601" s="1315"/>
      <c r="L601" s="1229"/>
      <c r="M601" s="1740"/>
      <c r="N601" s="1539"/>
    </row>
    <row r="602" spans="1:18" ht="20.25" hidden="1" customHeight="1" x14ac:dyDescent="0.25">
      <c r="B602" s="1592"/>
      <c r="C602" s="2585"/>
      <c r="D602" s="2769"/>
      <c r="E602" s="2758"/>
      <c r="F602" s="1260"/>
      <c r="G602" s="1299"/>
      <c r="H602" s="1737"/>
      <c r="I602" s="1329"/>
      <c r="J602" s="1260"/>
      <c r="K602" s="1329"/>
      <c r="L602" s="1251"/>
      <c r="M602" s="1738"/>
      <c r="N602" s="1734"/>
    </row>
    <row r="603" spans="1:18" ht="22.5" hidden="1" customHeight="1" x14ac:dyDescent="0.25">
      <c r="A603" s="2"/>
      <c r="B603" s="1342"/>
      <c r="C603" s="2579" t="s">
        <v>5391</v>
      </c>
      <c r="D603" s="3252">
        <f>SUM(D604)</f>
        <v>500000000</v>
      </c>
      <c r="E603" s="2717">
        <f>D603/117124750000*100</f>
        <v>0.42689525484579477</v>
      </c>
      <c r="F603" s="1265"/>
      <c r="G603" s="1265"/>
      <c r="H603" s="1244"/>
      <c r="I603" s="1244"/>
      <c r="J603" s="1775"/>
      <c r="K603" s="1775"/>
      <c r="L603" s="1313"/>
      <c r="M603" s="1244"/>
      <c r="N603" s="1539"/>
      <c r="O603"/>
      <c r="P603" s="617"/>
      <c r="Q603"/>
      <c r="R603"/>
    </row>
    <row r="604" spans="1:18" ht="19.5" hidden="1" customHeight="1" x14ac:dyDescent="0.25">
      <c r="B604" s="1592"/>
      <c r="C604" s="2582" t="s">
        <v>5392</v>
      </c>
      <c r="D604" s="3280">
        <f>SUM(D605:D605)</f>
        <v>500000000</v>
      </c>
      <c r="E604" s="2693">
        <f>D604/117124750000*100</f>
        <v>0.42689525484579477</v>
      </c>
      <c r="F604" s="1260"/>
      <c r="G604" s="1299"/>
      <c r="H604" s="1737"/>
      <c r="I604" s="1329"/>
      <c r="J604" s="1260"/>
      <c r="K604" s="1329"/>
      <c r="L604" s="1251"/>
      <c r="M604" s="1738"/>
      <c r="N604" s="1734"/>
    </row>
    <row r="605" spans="1:18" ht="21" hidden="1" customHeight="1" x14ac:dyDescent="0.25">
      <c r="B605" s="1592"/>
      <c r="C605" s="2577" t="s">
        <v>5393</v>
      </c>
      <c r="D605" s="896">
        <v>500000000</v>
      </c>
      <c r="E605" s="2688">
        <f t="shared" ref="E605" si="16">D605/117124750000*100</f>
        <v>0.42689525484579477</v>
      </c>
      <c r="F605" s="1230"/>
      <c r="G605" s="1246"/>
      <c r="H605" s="1739"/>
      <c r="I605" s="1315"/>
      <c r="J605" s="1230"/>
      <c r="K605" s="1315"/>
      <c r="L605" s="1229"/>
      <c r="M605" s="1740"/>
      <c r="N605" s="1539"/>
    </row>
    <row r="606" spans="1:18" ht="17.25" hidden="1" customHeight="1" x14ac:dyDescent="0.25">
      <c r="B606" s="1592"/>
      <c r="C606" s="2585"/>
      <c r="D606" s="2769"/>
      <c r="E606" s="2758"/>
      <c r="F606" s="1260"/>
      <c r="G606" s="1299"/>
      <c r="H606" s="1737"/>
      <c r="I606" s="1329"/>
      <c r="J606" s="1260"/>
      <c r="K606" s="1329"/>
      <c r="L606" s="1251"/>
      <c r="M606" s="1738"/>
      <c r="N606" s="1734"/>
    </row>
    <row r="607" spans="1:18" s="32" customFormat="1" ht="25.5" hidden="1" customHeight="1" x14ac:dyDescent="0.25">
      <c r="A607" s="1"/>
      <c r="B607" s="1342"/>
      <c r="C607" s="2471" t="s">
        <v>831</v>
      </c>
      <c r="D607" s="3252">
        <f>SUM(D608+D611)</f>
        <v>1100000000</v>
      </c>
      <c r="E607" s="2717">
        <f>D607/117124750000*100</f>
        <v>0.93916956066074853</v>
      </c>
      <c r="F607" s="1459"/>
      <c r="G607" s="1439"/>
      <c r="H607" s="1265"/>
      <c r="I607" s="1870"/>
      <c r="J607" s="1871"/>
      <c r="K607" s="1333"/>
      <c r="L607" s="1333"/>
      <c r="M607" s="1333"/>
      <c r="N607" s="1540"/>
      <c r="P607" s="630"/>
    </row>
    <row r="608" spans="1:18" ht="22.5" hidden="1" customHeight="1" x14ac:dyDescent="0.25">
      <c r="B608" s="1592"/>
      <c r="C608" s="2478" t="s">
        <v>5410</v>
      </c>
      <c r="D608" s="2751">
        <f>D609</f>
        <v>800000000</v>
      </c>
      <c r="E608" s="2693">
        <f>D608/117124750000*100</f>
        <v>0.68303240775327156</v>
      </c>
      <c r="F608" s="1260"/>
      <c r="G608" s="1299"/>
      <c r="H608" s="1737"/>
      <c r="I608" s="1329"/>
      <c r="J608" s="1260"/>
      <c r="K608" s="1329"/>
      <c r="L608" s="1251"/>
      <c r="M608" s="1738"/>
      <c r="N608" s="1734"/>
    </row>
    <row r="609" spans="2:18" ht="23.25" hidden="1" customHeight="1" x14ac:dyDescent="0.25">
      <c r="B609" s="1592"/>
      <c r="C609" s="2473" t="s">
        <v>5413</v>
      </c>
      <c r="D609" s="3097">
        <v>800000000</v>
      </c>
      <c r="E609" s="2688">
        <f t="shared" ref="E609:E612" si="17">D609/117124750000*100</f>
        <v>0.68303240775327156</v>
      </c>
      <c r="F609" s="1230"/>
      <c r="G609" s="1246"/>
      <c r="H609" s="1739"/>
      <c r="I609" s="1315"/>
      <c r="J609" s="1230"/>
      <c r="K609" s="1315"/>
      <c r="L609" s="1229"/>
      <c r="M609" s="1740"/>
      <c r="N609" s="1539"/>
    </row>
    <row r="610" spans="2:18" ht="15" hidden="1" customHeight="1" x14ac:dyDescent="0.25">
      <c r="B610" s="1592"/>
      <c r="C610" s="2585"/>
      <c r="D610" s="2769"/>
      <c r="E610" s="2688"/>
      <c r="F610" s="1230"/>
      <c r="G610" s="1246"/>
      <c r="H610" s="1739"/>
      <c r="I610" s="1315"/>
      <c r="J610" s="1230"/>
      <c r="K610" s="1315"/>
      <c r="L610" s="1229"/>
      <c r="M610" s="1740"/>
      <c r="N610" s="1539"/>
    </row>
    <row r="611" spans="2:18" ht="23.25" hidden="1" customHeight="1" x14ac:dyDescent="0.25">
      <c r="B611" s="1592"/>
      <c r="C611" s="2474" t="s">
        <v>5414</v>
      </c>
      <c r="D611" s="3103">
        <f>D612</f>
        <v>300000000</v>
      </c>
      <c r="E611" s="2693">
        <f t="shared" si="17"/>
        <v>0.25613715290747685</v>
      </c>
      <c r="F611" s="1230"/>
      <c r="G611" s="1246"/>
      <c r="H611" s="1739"/>
      <c r="I611" s="1315"/>
      <c r="J611" s="1230"/>
      <c r="K611" s="1315"/>
      <c r="L611" s="1229"/>
      <c r="M611" s="1740"/>
      <c r="N611" s="1539"/>
    </row>
    <row r="612" spans="2:18" ht="20.25" hidden="1" customHeight="1" x14ac:dyDescent="0.25">
      <c r="B612" s="1592"/>
      <c r="C612" s="2473" t="s">
        <v>5416</v>
      </c>
      <c r="D612" s="3097">
        <v>300000000</v>
      </c>
      <c r="E612" s="2688">
        <f t="shared" si="17"/>
        <v>0.25613715290747685</v>
      </c>
      <c r="F612" s="1230"/>
      <c r="G612" s="1246"/>
      <c r="H612" s="1739"/>
      <c r="I612" s="1315"/>
      <c r="J612" s="1230"/>
      <c r="K612" s="1315"/>
      <c r="L612" s="1229"/>
      <c r="M612" s="1740"/>
      <c r="N612" s="1539"/>
    </row>
    <row r="613" spans="2:18" ht="15.75" hidden="1" customHeight="1" x14ac:dyDescent="0.25">
      <c r="B613" s="1592"/>
      <c r="C613" s="2585"/>
      <c r="D613" s="2758"/>
      <c r="E613" s="2758"/>
      <c r="F613" s="1260"/>
      <c r="G613" s="1299"/>
      <c r="H613" s="1737"/>
      <c r="I613" s="1329"/>
      <c r="J613" s="1260"/>
      <c r="K613" s="1329"/>
      <c r="L613" s="1251"/>
      <c r="M613" s="1738"/>
      <c r="N613" s="1734"/>
    </row>
    <row r="614" spans="2:18" ht="24.75" hidden="1" customHeight="1" x14ac:dyDescent="0.25">
      <c r="B614" s="1609"/>
      <c r="C614" s="2584" t="s">
        <v>5538</v>
      </c>
      <c r="D614" s="2717">
        <f>D615</f>
        <v>1500000000</v>
      </c>
      <c r="E614" s="2717">
        <f>D614/117124750000*100</f>
        <v>1.2806857645373841</v>
      </c>
      <c r="F614" s="1413"/>
      <c r="G614" s="1741"/>
      <c r="H614" s="1742"/>
      <c r="I614" s="1604"/>
      <c r="J614" s="1413"/>
      <c r="K614" s="1604"/>
      <c r="L614" s="1336"/>
      <c r="M614" s="1743"/>
      <c r="N614" s="1578"/>
    </row>
    <row r="615" spans="2:18" ht="22.5" hidden="1" customHeight="1" x14ac:dyDescent="0.25">
      <c r="B615" s="1592"/>
      <c r="C615" s="2590" t="s">
        <v>5549</v>
      </c>
      <c r="D615" s="3097">
        <v>1500000000</v>
      </c>
      <c r="E615" s="2688">
        <f>D615/117124750000*100</f>
        <v>1.2806857645373841</v>
      </c>
      <c r="F615" s="1259"/>
      <c r="G615" s="1253"/>
      <c r="H615" s="1744"/>
      <c r="I615" s="1492"/>
      <c r="J615" s="1259"/>
      <c r="K615" s="1492"/>
      <c r="L615" s="1233"/>
      <c r="M615" s="1745"/>
      <c r="N615" s="1582"/>
    </row>
    <row r="616" spans="2:18" ht="12" hidden="1" customHeight="1" x14ac:dyDescent="0.25">
      <c r="B616" s="1592"/>
      <c r="C616" s="2558"/>
      <c r="D616" s="3132"/>
      <c r="E616" s="2688"/>
      <c r="F616" s="1236"/>
      <c r="G616" s="1236"/>
      <c r="H616" s="1255"/>
      <c r="I616" s="1255"/>
      <c r="J616" s="1340"/>
      <c r="K616" s="1340"/>
      <c r="L616" s="1329"/>
      <c r="M616" s="1611"/>
      <c r="N616" s="1539"/>
    </row>
    <row r="617" spans="2:18" s="76" customFormat="1" ht="22.5" hidden="1" customHeight="1" x14ac:dyDescent="0.25">
      <c r="B617" s="1588"/>
      <c r="C617" s="3790" t="s">
        <v>2231</v>
      </c>
      <c r="D617" s="2945">
        <f>D619+D685+D696+D717+D731+D749+D753</f>
        <v>42548000000</v>
      </c>
      <c r="E617" s="2948">
        <f>D617/2512247400000*100</f>
        <v>1.6936230086256634</v>
      </c>
      <c r="F617" s="1534"/>
      <c r="G617" s="1335"/>
      <c r="H617" s="1335"/>
      <c r="I617" s="1335"/>
      <c r="J617" s="1335"/>
      <c r="K617" s="1335"/>
      <c r="L617" s="1335"/>
      <c r="M617" s="1612"/>
      <c r="N617" s="1591"/>
      <c r="O617" s="1035"/>
      <c r="P617" s="1036"/>
      <c r="Q617" s="1036"/>
      <c r="R617" s="1035"/>
    </row>
    <row r="618" spans="2:18" ht="8.25" hidden="1" customHeight="1" x14ac:dyDescent="0.25">
      <c r="B618" s="1592"/>
      <c r="C618" s="2521"/>
      <c r="D618" s="3791"/>
      <c r="E618" s="3267"/>
      <c r="F618" s="1418"/>
      <c r="G618" s="1773"/>
      <c r="H618" s="1773"/>
      <c r="I618" s="1337"/>
      <c r="J618" s="1774"/>
      <c r="K618" s="1773"/>
      <c r="L618" s="1773"/>
      <c r="M618" s="1610"/>
      <c r="N618" s="1539"/>
    </row>
    <row r="619" spans="2:18" s="1" customFormat="1" ht="24.75" hidden="1" customHeight="1" x14ac:dyDescent="0.25">
      <c r="B619" s="1609"/>
      <c r="C619" s="2471" t="s">
        <v>398</v>
      </c>
      <c r="D619" s="3684">
        <f>D620+D625+D633+D647+D651+D657+D664+D672</f>
        <v>6805000000</v>
      </c>
      <c r="E619" s="2717">
        <f>D619/114128848000*100</f>
        <v>5.9625590893548663</v>
      </c>
      <c r="F619" s="1419"/>
      <c r="G619" s="1419"/>
      <c r="H619" s="1775"/>
      <c r="I619" s="1776"/>
      <c r="J619" s="1419"/>
      <c r="K619" s="1419"/>
      <c r="L619" s="1265"/>
      <c r="M619" s="1777"/>
      <c r="N619" s="1540"/>
      <c r="O619" s="1015"/>
      <c r="P619" s="1016"/>
      <c r="Q619" s="1016"/>
      <c r="R619" s="1015"/>
    </row>
    <row r="620" spans="2:18" ht="21" hidden="1" customHeight="1" x14ac:dyDescent="0.25">
      <c r="B620" s="1592"/>
      <c r="C620" s="2599" t="s">
        <v>5603</v>
      </c>
      <c r="D620" s="2692">
        <f>SUM(D621:D623)</f>
        <v>270000000</v>
      </c>
      <c r="E620" s="2693">
        <f>D620/114128848000*100</f>
        <v>0.23657471772605643</v>
      </c>
      <c r="F620" s="1420"/>
      <c r="G620" s="1433"/>
      <c r="H620" s="1433"/>
      <c r="I620" s="1433"/>
      <c r="J620" s="1422"/>
      <c r="K620" s="1422"/>
      <c r="L620" s="1778"/>
      <c r="M620" s="1761"/>
      <c r="N620" s="1539"/>
    </row>
    <row r="621" spans="2:18" ht="22.5" hidden="1" customHeight="1" x14ac:dyDescent="0.25">
      <c r="B621" s="1592"/>
      <c r="C621" s="2610" t="s">
        <v>5604</v>
      </c>
      <c r="D621" s="896">
        <v>90000000</v>
      </c>
      <c r="E621" s="2688">
        <f t="shared" ref="E621:E683" si="18">D621/114128848000*100</f>
        <v>7.8858239242018804E-2</v>
      </c>
      <c r="F621" s="1421"/>
      <c r="G621" s="1434"/>
      <c r="H621" s="1434"/>
      <c r="I621" s="1434"/>
      <c r="J621" s="1421"/>
      <c r="K621" s="1779"/>
      <c r="L621" s="1780"/>
      <c r="M621" s="1757"/>
      <c r="N621" s="1539"/>
    </row>
    <row r="622" spans="2:18" ht="21" hidden="1" customHeight="1" x14ac:dyDescent="0.25">
      <c r="B622" s="1592"/>
      <c r="C622" s="2611" t="s">
        <v>5605</v>
      </c>
      <c r="D622" s="896">
        <v>80000000</v>
      </c>
      <c r="E622" s="2688">
        <f t="shared" si="18"/>
        <v>7.0096212659572277E-2</v>
      </c>
      <c r="F622" s="1421"/>
      <c r="G622" s="1434"/>
      <c r="H622" s="1434"/>
      <c r="I622" s="1434"/>
      <c r="J622" s="1421"/>
      <c r="K622" s="1781"/>
      <c r="L622" s="1780"/>
      <c r="M622" s="1757"/>
      <c r="N622" s="1539"/>
    </row>
    <row r="623" spans="2:18" ht="21" hidden="1" customHeight="1" x14ac:dyDescent="0.25">
      <c r="B623" s="1592"/>
      <c r="C623" s="2611" t="s">
        <v>5606</v>
      </c>
      <c r="D623" s="896">
        <v>100000000</v>
      </c>
      <c r="E623" s="2688">
        <f t="shared" si="18"/>
        <v>8.7620265824465346E-2</v>
      </c>
      <c r="F623" s="1421"/>
      <c r="G623" s="1434"/>
      <c r="H623" s="1434"/>
      <c r="I623" s="1434"/>
      <c r="J623" s="1421"/>
      <c r="K623" s="1781"/>
      <c r="L623" s="1780"/>
      <c r="M623" s="1757"/>
      <c r="N623" s="1539"/>
    </row>
    <row r="624" spans="2:18" ht="12.75" hidden="1" customHeight="1" x14ac:dyDescent="0.25">
      <c r="B624" s="1592"/>
      <c r="C624" s="2473"/>
      <c r="D624" s="896"/>
      <c r="E624" s="2688"/>
      <c r="F624" s="1421"/>
      <c r="G624" s="1434"/>
      <c r="H624" s="1434"/>
      <c r="I624" s="1434"/>
      <c r="J624" s="1421"/>
      <c r="K624" s="1781"/>
      <c r="L624" s="1780"/>
      <c r="M624" s="1757"/>
      <c r="N624" s="1539"/>
    </row>
    <row r="625" spans="1:17" ht="22.5" hidden="1" customHeight="1" x14ac:dyDescent="0.25">
      <c r="B625" s="1592"/>
      <c r="C625" s="2609" t="s">
        <v>2281</v>
      </c>
      <c r="D625" s="2692">
        <f>SUM(D626:D631)</f>
        <v>960000000</v>
      </c>
      <c r="E625" s="2693">
        <f t="shared" si="18"/>
        <v>0.84115455191486732</v>
      </c>
      <c r="F625" s="1421"/>
      <c r="G625" s="1434"/>
      <c r="H625" s="1434"/>
      <c r="I625" s="1434"/>
      <c r="J625" s="1421"/>
      <c r="K625" s="1781"/>
      <c r="L625" s="1780"/>
      <c r="M625" s="1757"/>
      <c r="N625" s="1539"/>
    </row>
    <row r="626" spans="1:17" ht="19.5" hidden="1" customHeight="1" x14ac:dyDescent="0.25">
      <c r="B626" s="1592"/>
      <c r="C626" s="2611" t="s">
        <v>5607</v>
      </c>
      <c r="D626" s="896">
        <v>75000000</v>
      </c>
      <c r="E626" s="2688">
        <f t="shared" si="18"/>
        <v>6.5715199368349006E-2</v>
      </c>
      <c r="F626" s="1421"/>
      <c r="G626" s="1434"/>
      <c r="H626" s="1434"/>
      <c r="I626" s="1434"/>
      <c r="J626" s="1421"/>
      <c r="K626" s="1779"/>
      <c r="L626" s="1780"/>
      <c r="M626" s="1757"/>
      <c r="N626" s="1539"/>
    </row>
    <row r="627" spans="1:17" s="1002" customFormat="1" ht="19.5" hidden="1" customHeight="1" x14ac:dyDescent="0.25">
      <c r="A627"/>
      <c r="B627" s="1592"/>
      <c r="C627" s="2611" t="s">
        <v>5608</v>
      </c>
      <c r="D627" s="896">
        <v>60000000</v>
      </c>
      <c r="E627" s="2688">
        <f t="shared" si="18"/>
        <v>5.2572159494679208E-2</v>
      </c>
      <c r="F627" s="1421"/>
      <c r="G627" s="1434"/>
      <c r="H627" s="1434"/>
      <c r="I627" s="1434"/>
      <c r="J627" s="1421"/>
      <c r="K627" s="1781"/>
      <c r="L627" s="1780"/>
      <c r="M627" s="1757"/>
      <c r="N627" s="1539"/>
      <c r="P627" s="1003"/>
      <c r="Q627" s="1003"/>
    </row>
    <row r="628" spans="1:17" s="1002" customFormat="1" ht="21.75" hidden="1" customHeight="1" x14ac:dyDescent="0.25">
      <c r="A628"/>
      <c r="B628" s="1592"/>
      <c r="C628" s="2611" t="s">
        <v>5609</v>
      </c>
      <c r="D628" s="896">
        <v>250000000</v>
      </c>
      <c r="E628" s="2688">
        <f t="shared" si="18"/>
        <v>0.21905066456116337</v>
      </c>
      <c r="F628" s="1421"/>
      <c r="G628" s="1315"/>
      <c r="H628" s="1315"/>
      <c r="I628" s="1583"/>
      <c r="J628" s="1782"/>
      <c r="K628" s="1338"/>
      <c r="L628" s="1780"/>
      <c r="M628" s="1757"/>
      <c r="N628" s="1539"/>
      <c r="P628" s="1003"/>
      <c r="Q628" s="1003"/>
    </row>
    <row r="629" spans="1:17" s="1002" customFormat="1" ht="18.75" hidden="1" customHeight="1" x14ac:dyDescent="0.25">
      <c r="A629"/>
      <c r="B629" s="1592"/>
      <c r="C629" s="2611" t="s">
        <v>5610</v>
      </c>
      <c r="D629" s="896">
        <v>70000000</v>
      </c>
      <c r="E629" s="2688">
        <f t="shared" si="18"/>
        <v>6.1334186077125742E-2</v>
      </c>
      <c r="F629" s="1422"/>
      <c r="G629" s="1433"/>
      <c r="H629" s="1433"/>
      <c r="I629" s="1433"/>
      <c r="J629" s="1422"/>
      <c r="K629" s="1422"/>
      <c r="L629" s="1778"/>
      <c r="M629" s="1783"/>
      <c r="N629" s="1539"/>
      <c r="P629" s="1003"/>
      <c r="Q629" s="1003"/>
    </row>
    <row r="630" spans="1:17" s="1002" customFormat="1" ht="19.5" hidden="1" customHeight="1" x14ac:dyDescent="0.25">
      <c r="A630"/>
      <c r="B630" s="1592"/>
      <c r="C630" s="2611" t="s">
        <v>5611</v>
      </c>
      <c r="D630" s="896">
        <v>300000000</v>
      </c>
      <c r="E630" s="2688">
        <f t="shared" si="18"/>
        <v>0.26286079747339602</v>
      </c>
      <c r="F630" s="1421"/>
      <c r="G630" s="1434"/>
      <c r="H630" s="1434"/>
      <c r="I630" s="1434"/>
      <c r="J630" s="1421"/>
      <c r="K630" s="1779"/>
      <c r="L630" s="1780"/>
      <c r="M630" s="1784"/>
      <c r="N630" s="1539"/>
      <c r="P630" s="1003"/>
      <c r="Q630" s="1003"/>
    </row>
    <row r="631" spans="1:17" s="1002" customFormat="1" ht="35.25" hidden="1" customHeight="1" x14ac:dyDescent="0.25">
      <c r="A631"/>
      <c r="B631" s="1592"/>
      <c r="C631" s="2611" t="s">
        <v>5612</v>
      </c>
      <c r="D631" s="896">
        <v>205000000</v>
      </c>
      <c r="E631" s="2688">
        <f t="shared" si="18"/>
        <v>0.17962154494015395</v>
      </c>
      <c r="F631" s="1421"/>
      <c r="G631" s="1228"/>
      <c r="H631" s="1228"/>
      <c r="I631" s="1228"/>
      <c r="J631" s="1425"/>
      <c r="K631" s="1315"/>
      <c r="L631" s="1315"/>
      <c r="M631" s="1740"/>
      <c r="N631" s="1539"/>
      <c r="P631" s="1003"/>
      <c r="Q631" s="1003"/>
    </row>
    <row r="632" spans="1:17" s="1002" customFormat="1" ht="13.5" hidden="1" customHeight="1" x14ac:dyDescent="0.25">
      <c r="A632"/>
      <c r="B632" s="1592"/>
      <c r="C632" s="2612"/>
      <c r="D632" s="898"/>
      <c r="E632" s="2688"/>
      <c r="F632" s="1422"/>
      <c r="G632" s="1422"/>
      <c r="H632" s="1778"/>
      <c r="I632" s="1422"/>
      <c r="J632" s="1422"/>
      <c r="K632" s="1422"/>
      <c r="L632" s="1778"/>
      <c r="M632" s="1783"/>
      <c r="N632" s="1539"/>
      <c r="P632" s="1003"/>
      <c r="Q632" s="1003"/>
    </row>
    <row r="633" spans="1:17" s="1002" customFormat="1" ht="25.5" hidden="1" customHeight="1" x14ac:dyDescent="0.25">
      <c r="A633"/>
      <c r="B633" s="1592"/>
      <c r="C633" s="2613" t="s">
        <v>5613</v>
      </c>
      <c r="D633" s="2692">
        <f>SUM(D634:D645)</f>
        <v>1780000000</v>
      </c>
      <c r="E633" s="2693">
        <f t="shared" si="18"/>
        <v>1.5596407316754832</v>
      </c>
      <c r="F633" s="1421"/>
      <c r="G633" s="1434"/>
      <c r="H633" s="1434"/>
      <c r="I633" s="1434"/>
      <c r="J633" s="1421"/>
      <c r="K633" s="1779"/>
      <c r="L633" s="1780"/>
      <c r="M633" s="1784"/>
      <c r="N633" s="1539"/>
      <c r="P633" s="1003"/>
      <c r="Q633" s="1003"/>
    </row>
    <row r="634" spans="1:17" s="1002" customFormat="1" ht="23.25" hidden="1" customHeight="1" x14ac:dyDescent="0.25">
      <c r="A634"/>
      <c r="B634" s="1592"/>
      <c r="C634" s="2611" t="s">
        <v>5614</v>
      </c>
      <c r="D634" s="896">
        <v>150000000</v>
      </c>
      <c r="E634" s="2688">
        <f t="shared" si="18"/>
        <v>0.13143039873669801</v>
      </c>
      <c r="F634" s="1421"/>
      <c r="G634" s="1434"/>
      <c r="H634" s="1780"/>
      <c r="I634" s="1583"/>
      <c r="J634" s="1421"/>
      <c r="K634" s="1779"/>
      <c r="L634" s="1780"/>
      <c r="M634" s="1784"/>
      <c r="N634" s="1539"/>
      <c r="P634" s="1003"/>
      <c r="Q634" s="1003"/>
    </row>
    <row r="635" spans="1:17" s="1002" customFormat="1" ht="20.25" hidden="1" customHeight="1" x14ac:dyDescent="0.25">
      <c r="A635"/>
      <c r="B635" s="1592"/>
      <c r="C635" s="2611" t="s">
        <v>5615</v>
      </c>
      <c r="D635" s="896">
        <v>100000000</v>
      </c>
      <c r="E635" s="2688">
        <f t="shared" si="18"/>
        <v>8.7620265824465346E-2</v>
      </c>
      <c r="F635" s="1421"/>
      <c r="G635" s="1315"/>
      <c r="H635" s="1315"/>
      <c r="I635" s="1583"/>
      <c r="J635" s="1425"/>
      <c r="K635" s="1315"/>
      <c r="L635" s="1315"/>
      <c r="M635" s="1757"/>
      <c r="N635" s="1539"/>
      <c r="P635" s="1003"/>
      <c r="Q635" s="1003"/>
    </row>
    <row r="636" spans="1:17" s="1002" customFormat="1" ht="20.25" hidden="1" customHeight="1" x14ac:dyDescent="0.25">
      <c r="A636"/>
      <c r="B636" s="1592"/>
      <c r="C636" s="2611" t="s">
        <v>5616</v>
      </c>
      <c r="D636" s="896">
        <v>80000000</v>
      </c>
      <c r="E636" s="2688">
        <f t="shared" si="18"/>
        <v>7.0096212659572277E-2</v>
      </c>
      <c r="F636" s="1422"/>
      <c r="G636" s="1422"/>
      <c r="H636" s="1778"/>
      <c r="I636" s="1422"/>
      <c r="J636" s="1422"/>
      <c r="K636" s="1422"/>
      <c r="L636" s="1778"/>
      <c r="M636" s="1785"/>
      <c r="N636" s="1539"/>
      <c r="P636" s="1003"/>
      <c r="Q636" s="1003"/>
    </row>
    <row r="637" spans="1:17" s="1002" customFormat="1" ht="24.75" hidden="1" customHeight="1" x14ac:dyDescent="0.25">
      <c r="A637"/>
      <c r="B637" s="1592"/>
      <c r="C637" s="2611" t="s">
        <v>5617</v>
      </c>
      <c r="D637" s="896">
        <v>80000000</v>
      </c>
      <c r="E637" s="2688">
        <f t="shared" si="18"/>
        <v>7.0096212659572277E-2</v>
      </c>
      <c r="F637" s="1421"/>
      <c r="G637" s="1434"/>
      <c r="H637" s="1780"/>
      <c r="I637" s="1434"/>
      <c r="J637" s="1421"/>
      <c r="K637" s="1779"/>
      <c r="L637" s="1780"/>
      <c r="M637" s="1757"/>
      <c r="N637" s="1539"/>
      <c r="P637" s="1003"/>
      <c r="Q637" s="1003"/>
    </row>
    <row r="638" spans="1:17" s="1002" customFormat="1" ht="34.5" hidden="1" customHeight="1" x14ac:dyDescent="0.25">
      <c r="A638"/>
      <c r="B638" s="1592"/>
      <c r="C638" s="2611" t="s">
        <v>5618</v>
      </c>
      <c r="D638" s="896">
        <v>405000000</v>
      </c>
      <c r="E638" s="2688">
        <f t="shared" si="18"/>
        <v>0.35486207658908464</v>
      </c>
      <c r="F638" s="1421"/>
      <c r="G638" s="1434"/>
      <c r="H638" s="1780"/>
      <c r="I638" s="1434"/>
      <c r="J638" s="1421"/>
      <c r="K638" s="1786"/>
      <c r="L638" s="1780"/>
      <c r="M638" s="1757"/>
      <c r="N638" s="1539"/>
      <c r="P638" s="1003"/>
      <c r="Q638" s="1003"/>
    </row>
    <row r="639" spans="1:17" s="1002" customFormat="1" ht="33" hidden="1" customHeight="1" x14ac:dyDescent="0.25">
      <c r="A639"/>
      <c r="B639" s="1592"/>
      <c r="C639" s="2611" t="s">
        <v>5619</v>
      </c>
      <c r="D639" s="896">
        <v>350000000</v>
      </c>
      <c r="E639" s="2688">
        <f t="shared" si="18"/>
        <v>0.3066709303856287</v>
      </c>
      <c r="F639" s="1421"/>
      <c r="G639" s="1434"/>
      <c r="H639" s="1780"/>
      <c r="I639" s="1434"/>
      <c r="J639" s="1421"/>
      <c r="K639" s="1787"/>
      <c r="L639" s="1780"/>
      <c r="M639" s="1757"/>
      <c r="N639" s="1539"/>
      <c r="P639" s="1003"/>
      <c r="Q639" s="1003"/>
    </row>
    <row r="640" spans="1:17" s="1002" customFormat="1" ht="21.75" hidden="1" customHeight="1" x14ac:dyDescent="0.25">
      <c r="A640"/>
      <c r="B640" s="1592"/>
      <c r="C640" s="2611" t="s">
        <v>5620</v>
      </c>
      <c r="D640" s="896">
        <v>100000000</v>
      </c>
      <c r="E640" s="2688">
        <f t="shared" si="18"/>
        <v>8.7620265824465346E-2</v>
      </c>
      <c r="F640" s="1421"/>
      <c r="G640" s="1421"/>
      <c r="H640" s="1780"/>
      <c r="I640" s="1583"/>
      <c r="J640" s="1421"/>
      <c r="K640" s="1787"/>
      <c r="L640" s="1780"/>
      <c r="M640" s="1757"/>
      <c r="N640" s="1539"/>
      <c r="P640" s="1003"/>
      <c r="Q640" s="1003"/>
    </row>
    <row r="641" spans="1:17" s="1002" customFormat="1" ht="25.5" hidden="1" customHeight="1" x14ac:dyDescent="0.25">
      <c r="A641"/>
      <c r="B641" s="1592"/>
      <c r="C641" s="2611" t="s">
        <v>5621</v>
      </c>
      <c r="D641" s="896">
        <v>100000000</v>
      </c>
      <c r="E641" s="2688">
        <f t="shared" si="18"/>
        <v>8.7620265824465346E-2</v>
      </c>
      <c r="F641" s="1421"/>
      <c r="G641" s="1434"/>
      <c r="H641" s="1780"/>
      <c r="I641" s="1434"/>
      <c r="J641" s="1421"/>
      <c r="K641" s="1787"/>
      <c r="L641" s="1780"/>
      <c r="M641" s="1757"/>
      <c r="N641" s="1539"/>
      <c r="P641" s="1003"/>
      <c r="Q641" s="1003"/>
    </row>
    <row r="642" spans="1:17" s="1002" customFormat="1" ht="24" hidden="1" customHeight="1" x14ac:dyDescent="0.25">
      <c r="A642"/>
      <c r="B642" s="1592"/>
      <c r="C642" s="2611" t="s">
        <v>5622</v>
      </c>
      <c r="D642" s="896">
        <v>150000000</v>
      </c>
      <c r="E642" s="2688">
        <f t="shared" si="18"/>
        <v>0.13143039873669801</v>
      </c>
      <c r="F642" s="1421"/>
      <c r="G642" s="1315"/>
      <c r="H642" s="1449"/>
      <c r="I642" s="1583"/>
      <c r="J642" s="1782"/>
      <c r="K642" s="1338"/>
      <c r="L642" s="1338"/>
      <c r="M642" s="1762"/>
      <c r="N642" s="1539"/>
      <c r="P642" s="1003"/>
      <c r="Q642" s="1003"/>
    </row>
    <row r="643" spans="1:17" s="1002" customFormat="1" ht="18" hidden="1" customHeight="1" x14ac:dyDescent="0.25">
      <c r="A643"/>
      <c r="B643" s="1592"/>
      <c r="C643" s="2611" t="s">
        <v>5623</v>
      </c>
      <c r="D643" s="896">
        <v>85000000</v>
      </c>
      <c r="E643" s="2688">
        <f t="shared" si="18"/>
        <v>7.4477225950795548E-2</v>
      </c>
      <c r="F643" s="1422"/>
      <c r="G643" s="1422"/>
      <c r="H643" s="1778"/>
      <c r="I643" s="1422"/>
      <c r="J643" s="1422"/>
      <c r="K643" s="1422"/>
      <c r="L643" s="1778"/>
      <c r="M643" s="1785"/>
      <c r="N643" s="1539"/>
      <c r="P643" s="1003"/>
      <c r="Q643" s="1003"/>
    </row>
    <row r="644" spans="1:17" s="1002" customFormat="1" ht="24" hidden="1" customHeight="1" x14ac:dyDescent="0.25">
      <c r="A644"/>
      <c r="B644" s="1592"/>
      <c r="C644" s="2611" t="s">
        <v>5624</v>
      </c>
      <c r="D644" s="896">
        <v>80000000</v>
      </c>
      <c r="E644" s="2688">
        <f t="shared" si="18"/>
        <v>7.0096212659572277E-2</v>
      </c>
      <c r="F644" s="1421"/>
      <c r="G644" s="1315"/>
      <c r="H644" s="1780"/>
      <c r="I644" s="1583"/>
      <c r="J644" s="1421"/>
      <c r="K644" s="1315"/>
      <c r="L644" s="1780"/>
      <c r="M644" s="1757"/>
      <c r="N644" s="1539"/>
      <c r="P644" s="1003"/>
      <c r="Q644" s="1003"/>
    </row>
    <row r="645" spans="1:17" s="1002" customFormat="1" ht="20.25" hidden="1" customHeight="1" x14ac:dyDescent="0.25">
      <c r="A645"/>
      <c r="B645" s="1592"/>
      <c r="C645" s="2611" t="s">
        <v>5625</v>
      </c>
      <c r="D645" s="896">
        <v>100000000</v>
      </c>
      <c r="E645" s="2688">
        <f t="shared" si="18"/>
        <v>8.7620265824465346E-2</v>
      </c>
      <c r="F645" s="1421"/>
      <c r="G645" s="1315"/>
      <c r="H645" s="1780"/>
      <c r="I645" s="1583"/>
      <c r="J645" s="1421"/>
      <c r="K645" s="1315"/>
      <c r="L645" s="1780"/>
      <c r="M645" s="1757"/>
      <c r="N645" s="1539"/>
      <c r="P645" s="1003"/>
      <c r="Q645" s="1003"/>
    </row>
    <row r="646" spans="1:17" s="1002" customFormat="1" ht="14.25" hidden="1" customHeight="1" x14ac:dyDescent="0.25">
      <c r="A646"/>
      <c r="B646" s="1592"/>
      <c r="C646" s="2473"/>
      <c r="D646" s="896"/>
      <c r="E646" s="2688"/>
      <c r="F646" s="1421"/>
      <c r="G646" s="1434"/>
      <c r="H646" s="1780"/>
      <c r="I646" s="1434"/>
      <c r="J646" s="1421"/>
      <c r="K646" s="1315"/>
      <c r="L646" s="1780"/>
      <c r="M646" s="1757"/>
      <c r="N646" s="1539"/>
      <c r="P646" s="1003"/>
      <c r="Q646" s="1003"/>
    </row>
    <row r="647" spans="1:17" s="1002" customFormat="1" ht="22.5" hidden="1" customHeight="1" x14ac:dyDescent="0.25">
      <c r="A647"/>
      <c r="B647" s="1592"/>
      <c r="C647" s="2609" t="s">
        <v>7902</v>
      </c>
      <c r="D647" s="2692">
        <f>SUM(D648:D649)</f>
        <v>155000000</v>
      </c>
      <c r="E647" s="2693">
        <f t="shared" si="18"/>
        <v>0.1358114120279213</v>
      </c>
      <c r="F647" s="1421"/>
      <c r="G647" s="1434"/>
      <c r="H647" s="1780"/>
      <c r="I647" s="1434"/>
      <c r="J647" s="1421"/>
      <c r="K647" s="1315"/>
      <c r="L647" s="1780"/>
      <c r="M647" s="1757"/>
      <c r="N647" s="1539"/>
      <c r="P647" s="1003"/>
      <c r="Q647" s="1003"/>
    </row>
    <row r="648" spans="1:17" s="1002" customFormat="1" ht="18" hidden="1" customHeight="1" x14ac:dyDescent="0.25">
      <c r="A648"/>
      <c r="B648" s="1592"/>
      <c r="C648" s="2611" t="s">
        <v>5627</v>
      </c>
      <c r="D648" s="896">
        <v>80000000</v>
      </c>
      <c r="E648" s="2688">
        <f t="shared" si="18"/>
        <v>7.0096212659572277E-2</v>
      </c>
      <c r="F648" s="1421"/>
      <c r="G648" s="1434"/>
      <c r="H648" s="1780"/>
      <c r="I648" s="1434"/>
      <c r="J648" s="1421"/>
      <c r="K648" s="1315"/>
      <c r="L648" s="1780"/>
      <c r="M648" s="1757"/>
      <c r="N648" s="1539"/>
      <c r="P648" s="1003"/>
      <c r="Q648" s="1003"/>
    </row>
    <row r="649" spans="1:17" s="1002" customFormat="1" ht="19.5" hidden="1" customHeight="1" x14ac:dyDescent="0.25">
      <c r="A649"/>
      <c r="B649" s="1592"/>
      <c r="C649" s="2611" t="s">
        <v>5628</v>
      </c>
      <c r="D649" s="896">
        <v>75000000</v>
      </c>
      <c r="E649" s="2688">
        <f t="shared" si="18"/>
        <v>6.5715199368349006E-2</v>
      </c>
      <c r="F649" s="1421"/>
      <c r="G649" s="1315"/>
      <c r="H649" s="1780"/>
      <c r="I649" s="1583"/>
      <c r="J649" s="1421"/>
      <c r="K649" s="1315"/>
      <c r="L649" s="1780"/>
      <c r="M649" s="1757"/>
      <c r="N649" s="1539"/>
      <c r="P649" s="1003"/>
      <c r="Q649" s="1003"/>
    </row>
    <row r="650" spans="1:17" s="1002" customFormat="1" ht="14.25" hidden="1" customHeight="1" x14ac:dyDescent="0.25">
      <c r="A650"/>
      <c r="B650" s="1592"/>
      <c r="C650" s="2473"/>
      <c r="D650" s="896"/>
      <c r="E650" s="2688"/>
      <c r="F650" s="1421"/>
      <c r="G650" s="1315"/>
      <c r="H650" s="1780"/>
      <c r="I650" s="1583"/>
      <c r="J650" s="1421"/>
      <c r="K650" s="1315"/>
      <c r="L650" s="1780"/>
      <c r="M650" s="1757"/>
      <c r="N650" s="1539"/>
      <c r="P650" s="1003"/>
      <c r="Q650" s="1003"/>
    </row>
    <row r="651" spans="1:17" s="1002" customFormat="1" ht="22.5" hidden="1" customHeight="1" x14ac:dyDescent="0.25">
      <c r="A651"/>
      <c r="B651" s="1592"/>
      <c r="C651" s="2609" t="s">
        <v>5629</v>
      </c>
      <c r="D651" s="2692">
        <f>SUM(D652:D655)</f>
        <v>385000000</v>
      </c>
      <c r="E651" s="2693">
        <f t="shared" si="18"/>
        <v>0.33733802342419156</v>
      </c>
      <c r="F651" s="1421"/>
      <c r="G651" s="1228"/>
      <c r="H651" s="1228"/>
      <c r="I651" s="1583"/>
      <c r="J651" s="1782"/>
      <c r="K651" s="1338"/>
      <c r="L651" s="1338"/>
      <c r="M651" s="1757"/>
      <c r="N651" s="1539"/>
      <c r="P651" s="1003"/>
      <c r="Q651" s="1003"/>
    </row>
    <row r="652" spans="1:17" s="1002" customFormat="1" ht="18.75" hidden="1" customHeight="1" x14ac:dyDescent="0.25">
      <c r="A652"/>
      <c r="B652" s="1592"/>
      <c r="C652" s="2611" t="s">
        <v>5630</v>
      </c>
      <c r="D652" s="896">
        <v>150000000</v>
      </c>
      <c r="E652" s="2688">
        <f t="shared" si="18"/>
        <v>0.13143039873669801</v>
      </c>
      <c r="F652" s="1422"/>
      <c r="G652" s="1422"/>
      <c r="H652" s="1778"/>
      <c r="I652" s="1422"/>
      <c r="J652" s="1422"/>
      <c r="K652" s="1422"/>
      <c r="L652" s="1778"/>
      <c r="M652" s="1785"/>
      <c r="N652" s="1539"/>
      <c r="P652" s="1003"/>
      <c r="Q652" s="1003"/>
    </row>
    <row r="653" spans="1:17" s="1002" customFormat="1" ht="22.5" hidden="1" customHeight="1" x14ac:dyDescent="0.25">
      <c r="A653"/>
      <c r="B653" s="1592"/>
      <c r="C653" s="2611" t="s">
        <v>5631</v>
      </c>
      <c r="D653" s="896">
        <v>125400000</v>
      </c>
      <c r="E653" s="2688">
        <f t="shared" si="18"/>
        <v>0.10987581334387954</v>
      </c>
      <c r="F653" s="1421"/>
      <c r="G653" s="1434"/>
      <c r="H653" s="1780"/>
      <c r="I653" s="1583"/>
      <c r="J653" s="1421"/>
      <c r="K653" s="1781"/>
      <c r="L653" s="1780"/>
      <c r="M653" s="1757"/>
      <c r="N653" s="1539"/>
      <c r="P653" s="1003"/>
      <c r="Q653" s="1003"/>
    </row>
    <row r="654" spans="1:17" s="1002" customFormat="1" ht="21.75" hidden="1" customHeight="1" x14ac:dyDescent="0.25">
      <c r="A654"/>
      <c r="B654" s="1592"/>
      <c r="C654" s="2611" t="s">
        <v>5632</v>
      </c>
      <c r="D654" s="896">
        <v>71100000</v>
      </c>
      <c r="E654" s="2688">
        <f t="shared" si="18"/>
        <v>6.2298009001194858E-2</v>
      </c>
      <c r="F654" s="1421"/>
      <c r="G654" s="1434"/>
      <c r="H654" s="1780"/>
      <c r="I654" s="1434"/>
      <c r="J654" s="1421"/>
      <c r="K654" s="1781"/>
      <c r="L654" s="1780"/>
      <c r="M654" s="1757"/>
      <c r="N654" s="1539"/>
      <c r="P654" s="1003"/>
      <c r="Q654" s="1003"/>
    </row>
    <row r="655" spans="1:17" s="1002" customFormat="1" ht="19.5" hidden="1" customHeight="1" x14ac:dyDescent="0.25">
      <c r="A655"/>
      <c r="B655" s="1592"/>
      <c r="C655" s="2611" t="s">
        <v>5633</v>
      </c>
      <c r="D655" s="896">
        <v>38500000</v>
      </c>
      <c r="E655" s="2688">
        <f t="shared" si="18"/>
        <v>3.3733802342419156E-2</v>
      </c>
      <c r="F655" s="1421"/>
      <c r="G655" s="1315"/>
      <c r="H655" s="1780"/>
      <c r="I655" s="1583"/>
      <c r="J655" s="1421"/>
      <c r="K655" s="1781"/>
      <c r="L655" s="1780"/>
      <c r="M655" s="1757"/>
      <c r="N655" s="1539"/>
      <c r="P655" s="1003"/>
      <c r="Q655" s="1003"/>
    </row>
    <row r="656" spans="1:17" s="1002" customFormat="1" ht="11.25" hidden="1" customHeight="1" x14ac:dyDescent="0.25">
      <c r="A656"/>
      <c r="B656" s="1592"/>
      <c r="C656" s="2473"/>
      <c r="D656" s="896"/>
      <c r="E656" s="2688"/>
      <c r="F656" s="1421"/>
      <c r="G656" s="1315"/>
      <c r="H656" s="1315"/>
      <c r="I656" s="1583"/>
      <c r="J656" s="1425"/>
      <c r="K656" s="1315"/>
      <c r="L656" s="1449"/>
      <c r="M656" s="1757"/>
      <c r="N656" s="1539"/>
      <c r="P656" s="1003"/>
      <c r="Q656" s="1003"/>
    </row>
    <row r="657" spans="1:17" s="1002" customFormat="1" ht="22.5" hidden="1" customHeight="1" x14ac:dyDescent="0.25">
      <c r="A657"/>
      <c r="B657" s="1592"/>
      <c r="C657" s="2609" t="s">
        <v>5634</v>
      </c>
      <c r="D657" s="2692">
        <f>SUM(D658:D662)</f>
        <v>360000000</v>
      </c>
      <c r="E657" s="2693">
        <f t="shared" si="18"/>
        <v>0.31543295696807522</v>
      </c>
      <c r="F657" s="1422"/>
      <c r="G657" s="1422"/>
      <c r="H657" s="1778"/>
      <c r="I657" s="1422"/>
      <c r="J657" s="1422"/>
      <c r="K657" s="1422"/>
      <c r="L657" s="1778"/>
      <c r="M657" s="1785"/>
      <c r="N657" s="1539"/>
      <c r="P657" s="1003"/>
      <c r="Q657" s="1003"/>
    </row>
    <row r="658" spans="1:17" s="1002" customFormat="1" ht="25.5" hidden="1" customHeight="1" x14ac:dyDescent="0.25">
      <c r="A658"/>
      <c r="B658" s="1592"/>
      <c r="C658" s="2611" t="s">
        <v>5635</v>
      </c>
      <c r="D658" s="896">
        <v>80000000</v>
      </c>
      <c r="E658" s="2688">
        <f t="shared" si="18"/>
        <v>7.0096212659572277E-2</v>
      </c>
      <c r="F658" s="1421"/>
      <c r="G658" s="1315"/>
      <c r="H658" s="1780"/>
      <c r="I658" s="1583"/>
      <c r="J658" s="1421"/>
      <c r="K658" s="1781"/>
      <c r="L658" s="1780"/>
      <c r="M658" s="1757"/>
      <c r="N658" s="1539"/>
      <c r="P658" s="1003"/>
      <c r="Q658" s="1003"/>
    </row>
    <row r="659" spans="1:17" s="1002" customFormat="1" ht="21" hidden="1" customHeight="1" x14ac:dyDescent="0.25">
      <c r="A659"/>
      <c r="B659" s="1592"/>
      <c r="C659" s="2611" t="s">
        <v>5636</v>
      </c>
      <c r="D659" s="896">
        <v>85000000</v>
      </c>
      <c r="E659" s="2688">
        <f t="shared" si="18"/>
        <v>7.4477225950795548E-2</v>
      </c>
      <c r="F659" s="1421"/>
      <c r="G659" s="1434"/>
      <c r="H659" s="1780"/>
      <c r="I659" s="1434"/>
      <c r="J659" s="1421"/>
      <c r="K659" s="1781"/>
      <c r="L659" s="1780"/>
      <c r="M659" s="1757"/>
      <c r="N659" s="1539"/>
      <c r="P659" s="1003"/>
      <c r="Q659" s="1003"/>
    </row>
    <row r="660" spans="1:17" s="1002" customFormat="1" ht="24.75" hidden="1" customHeight="1" x14ac:dyDescent="0.25">
      <c r="A660"/>
      <c r="B660" s="1592"/>
      <c r="C660" s="2611" t="s">
        <v>5637</v>
      </c>
      <c r="D660" s="896">
        <v>75000000</v>
      </c>
      <c r="E660" s="2688">
        <f t="shared" si="18"/>
        <v>6.5715199368349006E-2</v>
      </c>
      <c r="F660" s="1423"/>
      <c r="G660" s="1315"/>
      <c r="H660" s="1315"/>
      <c r="I660" s="1583"/>
      <c r="J660" s="1425"/>
      <c r="K660" s="1338"/>
      <c r="L660" s="1338"/>
      <c r="M660" s="1762"/>
      <c r="N660" s="1539"/>
      <c r="P660" s="1003"/>
      <c r="Q660" s="1003"/>
    </row>
    <row r="661" spans="1:17" s="1002" customFormat="1" ht="22.5" hidden="1" customHeight="1" x14ac:dyDescent="0.25">
      <c r="A661"/>
      <c r="B661" s="1592"/>
      <c r="C661" s="2611" t="s">
        <v>5638</v>
      </c>
      <c r="D661" s="896">
        <v>60000000</v>
      </c>
      <c r="E661" s="2688">
        <f t="shared" si="18"/>
        <v>5.2572159494679208E-2</v>
      </c>
      <c r="F661" s="1422"/>
      <c r="G661" s="1422"/>
      <c r="H661" s="1280"/>
      <c r="I661" s="1422"/>
      <c r="J661" s="1422"/>
      <c r="K661" s="1422"/>
      <c r="L661" s="1778"/>
      <c r="M661" s="1785"/>
      <c r="N661" s="1539"/>
      <c r="P661" s="1003"/>
      <c r="Q661" s="1003"/>
    </row>
    <row r="662" spans="1:17" s="1002" customFormat="1" ht="33" hidden="1" customHeight="1" x14ac:dyDescent="0.25">
      <c r="A662"/>
      <c r="B662" s="1592"/>
      <c r="C662" s="2611" t="s">
        <v>5639</v>
      </c>
      <c r="D662" s="896">
        <v>60000000</v>
      </c>
      <c r="E662" s="2688">
        <f t="shared" si="18"/>
        <v>5.2572159494679208E-2</v>
      </c>
      <c r="F662" s="1421"/>
      <c r="G662" s="1421"/>
      <c r="H662" s="1315"/>
      <c r="I662" s="1583"/>
      <c r="J662" s="1421"/>
      <c r="K662" s="1779"/>
      <c r="L662" s="1780"/>
      <c r="M662" s="1757"/>
      <c r="N662" s="1539"/>
      <c r="P662" s="1003"/>
      <c r="Q662" s="1003"/>
    </row>
    <row r="663" spans="1:17" s="1002" customFormat="1" ht="14.25" hidden="1" customHeight="1" x14ac:dyDescent="0.25">
      <c r="A663"/>
      <c r="B663" s="1592"/>
      <c r="C663" s="2476"/>
      <c r="D663" s="2709"/>
      <c r="E663" s="2688"/>
      <c r="F663" s="1421"/>
      <c r="G663" s="1315"/>
      <c r="H663" s="1315"/>
      <c r="I663" s="1583"/>
      <c r="J663" s="1425"/>
      <c r="K663" s="1315"/>
      <c r="L663" s="1315"/>
      <c r="M663" s="1757"/>
      <c r="N663" s="1539"/>
      <c r="P663" s="1003"/>
      <c r="Q663" s="1003"/>
    </row>
    <row r="664" spans="1:17" s="1002" customFormat="1" ht="23.25" hidden="1" customHeight="1" x14ac:dyDescent="0.25">
      <c r="A664"/>
      <c r="B664" s="1592"/>
      <c r="C664" s="2474" t="s">
        <v>5640</v>
      </c>
      <c r="D664" s="899">
        <f>SUM(D665:D670)</f>
        <v>1885000000</v>
      </c>
      <c r="E664" s="2693">
        <f t="shared" si="18"/>
        <v>1.6516420107911718</v>
      </c>
      <c r="F664" s="1422"/>
      <c r="G664" s="1422"/>
      <c r="H664" s="1280"/>
      <c r="I664" s="1422"/>
      <c r="J664" s="1422"/>
      <c r="K664" s="1422"/>
      <c r="L664" s="1778"/>
      <c r="M664" s="1785"/>
      <c r="N664" s="1539"/>
      <c r="P664" s="1003"/>
      <c r="Q664" s="1003"/>
    </row>
    <row r="665" spans="1:17" s="1002" customFormat="1" ht="20.25" hidden="1" customHeight="1" x14ac:dyDescent="0.25">
      <c r="A665"/>
      <c r="B665" s="1592"/>
      <c r="C665" s="2473" t="s">
        <v>5642</v>
      </c>
      <c r="D665" s="896">
        <v>700000000</v>
      </c>
      <c r="E665" s="2688">
        <f t="shared" si="18"/>
        <v>0.61334186077125741</v>
      </c>
      <c r="F665" s="1421"/>
      <c r="G665" s="1421"/>
      <c r="H665" s="1315"/>
      <c r="I665" s="1583"/>
      <c r="J665" s="1421"/>
      <c r="K665" s="1779"/>
      <c r="L665" s="1780"/>
      <c r="M665" s="1757"/>
      <c r="N665" s="1539"/>
      <c r="P665" s="1003"/>
      <c r="Q665" s="1003"/>
    </row>
    <row r="666" spans="1:17" s="1002" customFormat="1" ht="23.25" hidden="1" customHeight="1" x14ac:dyDescent="0.25">
      <c r="A666"/>
      <c r="B666" s="1592"/>
      <c r="C666" s="2473" t="s">
        <v>5643</v>
      </c>
      <c r="D666" s="896">
        <v>85000000</v>
      </c>
      <c r="E666" s="2688">
        <f t="shared" si="18"/>
        <v>7.4477225950795548E-2</v>
      </c>
      <c r="F666" s="1421"/>
      <c r="G666" s="1425"/>
      <c r="H666" s="1315"/>
      <c r="I666" s="1583"/>
      <c r="J666" s="1425"/>
      <c r="K666" s="1315"/>
      <c r="L666" s="1315"/>
      <c r="M666" s="1757"/>
      <c r="N666" s="1539"/>
      <c r="P666" s="1003"/>
      <c r="Q666" s="1003"/>
    </row>
    <row r="667" spans="1:17" s="1002" customFormat="1" ht="18.75" hidden="1" customHeight="1" x14ac:dyDescent="0.25">
      <c r="A667"/>
      <c r="B667" s="1592"/>
      <c r="C667" s="2473" t="s">
        <v>5644</v>
      </c>
      <c r="D667" s="896">
        <v>225000000</v>
      </c>
      <c r="E667" s="2688">
        <f t="shared" si="18"/>
        <v>0.19714559810504706</v>
      </c>
      <c r="F667" s="1422"/>
      <c r="G667" s="1422"/>
      <c r="H667" s="1280"/>
      <c r="I667" s="1422"/>
      <c r="J667" s="1422"/>
      <c r="K667" s="1422"/>
      <c r="L667" s="1778"/>
      <c r="M667" s="1785"/>
      <c r="N667" s="1539"/>
      <c r="P667" s="1003"/>
      <c r="Q667" s="1003"/>
    </row>
    <row r="668" spans="1:17" s="1002" customFormat="1" ht="21.75" hidden="1" customHeight="1" x14ac:dyDescent="0.25">
      <c r="A668"/>
      <c r="B668" s="1592"/>
      <c r="C668" s="2473" t="s">
        <v>5645</v>
      </c>
      <c r="D668" s="896">
        <v>700000000</v>
      </c>
      <c r="E668" s="2688">
        <f t="shared" si="18"/>
        <v>0.61334186077125741</v>
      </c>
      <c r="F668" s="1421"/>
      <c r="G668" s="1421"/>
      <c r="H668" s="1315"/>
      <c r="I668" s="1583"/>
      <c r="J668" s="1421"/>
      <c r="K668" s="1421"/>
      <c r="L668" s="1780"/>
      <c r="M668" s="1757"/>
      <c r="N668" s="1539"/>
      <c r="P668" s="1003"/>
      <c r="Q668" s="1003"/>
    </row>
    <row r="669" spans="1:17" s="1002" customFormat="1" ht="21" hidden="1" customHeight="1" x14ac:dyDescent="0.25">
      <c r="A669"/>
      <c r="B669" s="1592"/>
      <c r="C669" s="2473" t="s">
        <v>5646</v>
      </c>
      <c r="D669" s="896">
        <v>125000000</v>
      </c>
      <c r="E669" s="2688">
        <f t="shared" si="18"/>
        <v>0.10952533228058169</v>
      </c>
      <c r="F669" s="1424"/>
      <c r="G669" s="1328"/>
      <c r="H669" s="1328"/>
      <c r="I669" s="1572"/>
      <c r="J669" s="1328"/>
      <c r="K669" s="1328"/>
      <c r="L669" s="1328"/>
      <c r="M669" s="1788"/>
      <c r="N669" s="1539"/>
      <c r="P669" s="1003"/>
      <c r="Q669" s="1003"/>
    </row>
    <row r="670" spans="1:17" s="1002" customFormat="1" ht="22.5" hidden="1" customHeight="1" x14ac:dyDescent="0.25">
      <c r="A670"/>
      <c r="B670" s="1592"/>
      <c r="C670" s="2473" t="s">
        <v>5647</v>
      </c>
      <c r="D670" s="896">
        <v>50000000</v>
      </c>
      <c r="E670" s="2688">
        <f t="shared" si="18"/>
        <v>4.3810132912232673E-2</v>
      </c>
      <c r="F670" s="1425"/>
      <c r="G670" s="1315"/>
      <c r="H670" s="1315"/>
      <c r="I670" s="1583"/>
      <c r="J670" s="1315"/>
      <c r="K670" s="1315"/>
      <c r="L670" s="1315"/>
      <c r="M670" s="1757"/>
      <c r="N670" s="1539"/>
      <c r="P670" s="1003"/>
      <c r="Q670" s="1003"/>
    </row>
    <row r="671" spans="1:17" s="1002" customFormat="1" ht="13.5" hidden="1" customHeight="1" x14ac:dyDescent="0.25">
      <c r="A671"/>
      <c r="B671" s="1592"/>
      <c r="C671" s="2473"/>
      <c r="D671" s="896"/>
      <c r="E671" s="2688"/>
      <c r="F671" s="1425"/>
      <c r="G671" s="1315"/>
      <c r="H671" s="1315"/>
      <c r="I671" s="1583"/>
      <c r="J671" s="1315"/>
      <c r="K671" s="1315"/>
      <c r="L671" s="1315"/>
      <c r="M671" s="1757"/>
      <c r="N671" s="1539"/>
      <c r="P671" s="1003"/>
      <c r="Q671" s="1003"/>
    </row>
    <row r="672" spans="1:17" s="1002" customFormat="1" ht="22.5" hidden="1" customHeight="1" x14ac:dyDescent="0.25">
      <c r="A672"/>
      <c r="B672" s="1592"/>
      <c r="C672" s="2474" t="s">
        <v>5641</v>
      </c>
      <c r="D672" s="899">
        <f>SUM(D673:D683)</f>
        <v>1010000000</v>
      </c>
      <c r="E672" s="2693">
        <f t="shared" si="18"/>
        <v>0.8849646848271</v>
      </c>
      <c r="F672" s="1425"/>
      <c r="G672" s="1315"/>
      <c r="H672" s="1315"/>
      <c r="I672" s="1583"/>
      <c r="J672" s="1315"/>
      <c r="K672" s="1315"/>
      <c r="L672" s="1315"/>
      <c r="M672" s="1757"/>
      <c r="N672" s="1539"/>
      <c r="P672" s="1003"/>
      <c r="Q672" s="1003"/>
    </row>
    <row r="673" spans="1:17" s="1002" customFormat="1" ht="33" hidden="1" customHeight="1" x14ac:dyDescent="0.25">
      <c r="A673"/>
      <c r="B673" s="1592"/>
      <c r="C673" s="2473" t="s">
        <v>5648</v>
      </c>
      <c r="D673" s="896">
        <v>75000000</v>
      </c>
      <c r="E673" s="2688">
        <f t="shared" si="18"/>
        <v>6.5715199368349006E-2</v>
      </c>
      <c r="F673" s="1425"/>
      <c r="G673" s="1315"/>
      <c r="H673" s="1315"/>
      <c r="I673" s="1583"/>
      <c r="J673" s="1315"/>
      <c r="K673" s="1315"/>
      <c r="L673" s="1315"/>
      <c r="M673" s="1757"/>
      <c r="N673" s="1539"/>
      <c r="P673" s="1003"/>
      <c r="Q673" s="1003"/>
    </row>
    <row r="674" spans="1:17" s="1002" customFormat="1" ht="22.5" hidden="1" customHeight="1" x14ac:dyDescent="0.25">
      <c r="A674"/>
      <c r="B674" s="1592"/>
      <c r="C674" s="2473" t="s">
        <v>5649</v>
      </c>
      <c r="D674" s="896">
        <v>65000000</v>
      </c>
      <c r="E674" s="2688">
        <f t="shared" si="18"/>
        <v>5.6953172785902478E-2</v>
      </c>
      <c r="F674" s="1425"/>
      <c r="G674" s="1315"/>
      <c r="H674" s="1315"/>
      <c r="I674" s="1583"/>
      <c r="J674" s="1315"/>
      <c r="K674" s="1315"/>
      <c r="L674" s="1315"/>
      <c r="M674" s="1757"/>
      <c r="N674" s="1539"/>
      <c r="P674" s="1003"/>
      <c r="Q674" s="1003"/>
    </row>
    <row r="675" spans="1:17" s="1002" customFormat="1" ht="24" hidden="1" customHeight="1" x14ac:dyDescent="0.25">
      <c r="A675"/>
      <c r="B675" s="1592"/>
      <c r="C675" s="2473" t="s">
        <v>5650</v>
      </c>
      <c r="D675" s="896">
        <v>60000000</v>
      </c>
      <c r="E675" s="2688">
        <f t="shared" si="18"/>
        <v>5.2572159494679208E-2</v>
      </c>
      <c r="F675" s="1425"/>
      <c r="G675" s="1315"/>
      <c r="H675" s="1315"/>
      <c r="I675" s="1583"/>
      <c r="J675" s="1315"/>
      <c r="K675" s="1315"/>
      <c r="L675" s="1315"/>
      <c r="M675" s="1757"/>
      <c r="N675" s="1539"/>
      <c r="P675" s="1003"/>
      <c r="Q675" s="1003"/>
    </row>
    <row r="676" spans="1:17" s="1002" customFormat="1" ht="19.5" hidden="1" customHeight="1" x14ac:dyDescent="0.25">
      <c r="A676"/>
      <c r="B676" s="1592"/>
      <c r="C676" s="2473" t="s">
        <v>5651</v>
      </c>
      <c r="D676" s="896">
        <v>80000000</v>
      </c>
      <c r="E676" s="2688">
        <f t="shared" si="18"/>
        <v>7.0096212659572277E-2</v>
      </c>
      <c r="F676" s="1425"/>
      <c r="G676" s="1315"/>
      <c r="H676" s="1315"/>
      <c r="I676" s="1583"/>
      <c r="J676" s="1315"/>
      <c r="K676" s="1315"/>
      <c r="L676" s="1315"/>
      <c r="M676" s="1757"/>
      <c r="N676" s="1539"/>
      <c r="P676" s="1003"/>
      <c r="Q676" s="1003"/>
    </row>
    <row r="677" spans="1:17" s="1002" customFormat="1" ht="26.25" hidden="1" customHeight="1" x14ac:dyDescent="0.25">
      <c r="A677"/>
      <c r="B677" s="1592"/>
      <c r="C677" s="2473" t="s">
        <v>5652</v>
      </c>
      <c r="D677" s="896">
        <v>75000000</v>
      </c>
      <c r="E677" s="2688">
        <f t="shared" si="18"/>
        <v>6.5715199368349006E-2</v>
      </c>
      <c r="F677" s="1425"/>
      <c r="G677" s="1315"/>
      <c r="H677" s="1315"/>
      <c r="I677" s="1583"/>
      <c r="J677" s="1315"/>
      <c r="K677" s="1315"/>
      <c r="L677" s="1315"/>
      <c r="M677" s="1757"/>
      <c r="N677" s="1539"/>
      <c r="P677" s="1003"/>
      <c r="Q677" s="1003"/>
    </row>
    <row r="678" spans="1:17" s="1002" customFormat="1" ht="21" hidden="1" customHeight="1" x14ac:dyDescent="0.25">
      <c r="A678"/>
      <c r="B678" s="1592"/>
      <c r="C678" s="2473" t="s">
        <v>5653</v>
      </c>
      <c r="D678" s="896">
        <v>60000000</v>
      </c>
      <c r="E678" s="2688">
        <f t="shared" si="18"/>
        <v>5.2572159494679208E-2</v>
      </c>
      <c r="F678" s="1425"/>
      <c r="G678" s="1315"/>
      <c r="H678" s="1315"/>
      <c r="I678" s="1583"/>
      <c r="J678" s="1315"/>
      <c r="K678" s="1315"/>
      <c r="L678" s="1315"/>
      <c r="M678" s="1757"/>
      <c r="N678" s="1539"/>
      <c r="P678" s="1003"/>
      <c r="Q678" s="1003"/>
    </row>
    <row r="679" spans="1:17" s="1002" customFormat="1" ht="21" hidden="1" customHeight="1" x14ac:dyDescent="0.25">
      <c r="A679"/>
      <c r="B679" s="1592"/>
      <c r="C679" s="2473" t="s">
        <v>5654</v>
      </c>
      <c r="D679" s="896">
        <v>75000000</v>
      </c>
      <c r="E679" s="2688">
        <f t="shared" si="18"/>
        <v>6.5715199368349006E-2</v>
      </c>
      <c r="F679" s="1425"/>
      <c r="G679" s="1315"/>
      <c r="H679" s="1315"/>
      <c r="I679" s="1583"/>
      <c r="J679" s="1315"/>
      <c r="K679" s="1315"/>
      <c r="L679" s="1315"/>
      <c r="M679" s="1757"/>
      <c r="N679" s="1539"/>
      <c r="P679" s="1003"/>
      <c r="Q679" s="1003"/>
    </row>
    <row r="680" spans="1:17" s="1002" customFormat="1" ht="18.75" hidden="1" customHeight="1" x14ac:dyDescent="0.25">
      <c r="A680"/>
      <c r="B680" s="1592"/>
      <c r="C680" s="2473" t="s">
        <v>5655</v>
      </c>
      <c r="D680" s="896">
        <v>70000000</v>
      </c>
      <c r="E680" s="2688">
        <f t="shared" si="18"/>
        <v>6.1334186077125742E-2</v>
      </c>
      <c r="F680" s="1425"/>
      <c r="G680" s="1315"/>
      <c r="H680" s="1315"/>
      <c r="I680" s="1583"/>
      <c r="J680" s="1315"/>
      <c r="K680" s="1315"/>
      <c r="L680" s="1315"/>
      <c r="M680" s="1757"/>
      <c r="N680" s="1539"/>
      <c r="P680" s="1003"/>
      <c r="Q680" s="1003"/>
    </row>
    <row r="681" spans="1:17" s="1002" customFormat="1" ht="20.25" hidden="1" customHeight="1" x14ac:dyDescent="0.25">
      <c r="A681"/>
      <c r="B681" s="1592"/>
      <c r="C681" s="2473" t="s">
        <v>5656</v>
      </c>
      <c r="D681" s="896">
        <v>80000000</v>
      </c>
      <c r="E681" s="2688">
        <f t="shared" si="18"/>
        <v>7.0096212659572277E-2</v>
      </c>
      <c r="F681" s="1426"/>
      <c r="G681" s="1492"/>
      <c r="H681" s="1492"/>
      <c r="I681" s="1580"/>
      <c r="J681" s="1492"/>
      <c r="K681" s="1492"/>
      <c r="L681" s="1492"/>
      <c r="M681" s="1789"/>
      <c r="N681" s="1539"/>
      <c r="P681" s="1003"/>
      <c r="Q681" s="1003"/>
    </row>
    <row r="682" spans="1:17" s="1002" customFormat="1" ht="23.25" hidden="1" customHeight="1" x14ac:dyDescent="0.25">
      <c r="A682"/>
      <c r="B682" s="1592"/>
      <c r="C682" s="2473" t="s">
        <v>5657</v>
      </c>
      <c r="D682" s="896">
        <v>70000000</v>
      </c>
      <c r="E682" s="2688">
        <f t="shared" si="18"/>
        <v>6.1334186077125742E-2</v>
      </c>
      <c r="F682" s="1427"/>
      <c r="G682" s="1329"/>
      <c r="H682" s="1329"/>
      <c r="I682" s="1790"/>
      <c r="J682" s="1329"/>
      <c r="K682" s="1329"/>
      <c r="L682" s="1329"/>
      <c r="M682" s="1791"/>
      <c r="N682" s="1539"/>
      <c r="P682" s="1003"/>
      <c r="Q682" s="1003"/>
    </row>
    <row r="683" spans="1:17" s="1002" customFormat="1" ht="22.5" hidden="1" customHeight="1" x14ac:dyDescent="0.25">
      <c r="A683"/>
      <c r="B683" s="1592"/>
      <c r="C683" s="2473" t="s">
        <v>5658</v>
      </c>
      <c r="D683" s="896">
        <v>300000000</v>
      </c>
      <c r="E683" s="2688">
        <f t="shared" si="18"/>
        <v>0.26286079747339602</v>
      </c>
      <c r="F683" s="1425"/>
      <c r="G683" s="1315"/>
      <c r="H683" s="1315"/>
      <c r="I683" s="1583"/>
      <c r="J683" s="1315"/>
      <c r="K683" s="1315"/>
      <c r="L683" s="1315"/>
      <c r="M683" s="1757"/>
      <c r="N683" s="1539"/>
      <c r="P683" s="1003"/>
      <c r="Q683" s="1003"/>
    </row>
    <row r="684" spans="1:17" s="1002" customFormat="1" ht="12" hidden="1" customHeight="1" x14ac:dyDescent="0.25">
      <c r="A684"/>
      <c r="B684" s="1592"/>
      <c r="C684" s="2475"/>
      <c r="D684" s="3792"/>
      <c r="E684" s="2758"/>
      <c r="F684" s="1427"/>
      <c r="G684" s="1329"/>
      <c r="H684" s="1329"/>
      <c r="I684" s="1790"/>
      <c r="J684" s="1329"/>
      <c r="K684" s="1329"/>
      <c r="L684" s="1329"/>
      <c r="M684" s="1791"/>
      <c r="N684" s="1539"/>
      <c r="P684" s="1003"/>
      <c r="Q684" s="1003"/>
    </row>
    <row r="685" spans="1:17" s="1002" customFormat="1" ht="21.75" hidden="1" customHeight="1" x14ac:dyDescent="0.25">
      <c r="A685"/>
      <c r="B685" s="1609"/>
      <c r="C685" s="2497" t="s">
        <v>2334</v>
      </c>
      <c r="D685" s="3793">
        <f>SUM(D686+D691)</f>
        <v>7398820000</v>
      </c>
      <c r="E685" s="2717">
        <f>D685/114128848000*100</f>
        <v>6.4828657518737067</v>
      </c>
      <c r="F685" s="1419"/>
      <c r="G685" s="1776"/>
      <c r="H685" s="1776"/>
      <c r="I685" s="1776"/>
      <c r="J685" s="1419"/>
      <c r="K685" s="1419"/>
      <c r="L685" s="1265"/>
      <c r="M685" s="1777"/>
      <c r="N685" s="1539"/>
      <c r="P685" s="1003"/>
      <c r="Q685" s="1003"/>
    </row>
    <row r="686" spans="1:17" s="1002" customFormat="1" ht="23.25" hidden="1" customHeight="1" x14ac:dyDescent="0.25">
      <c r="A686"/>
      <c r="B686" s="1592"/>
      <c r="C686" s="2609" t="s">
        <v>5659</v>
      </c>
      <c r="D686" s="2676">
        <f>SUM(D687:D689)</f>
        <v>630000000</v>
      </c>
      <c r="E686" s="2693">
        <f>D686/114128848000*100</f>
        <v>0.5520076746941317</v>
      </c>
      <c r="F686" s="1428"/>
      <c r="G686" s="1792"/>
      <c r="H686" s="1792"/>
      <c r="I686" s="1792"/>
      <c r="J686" s="1793"/>
      <c r="K686" s="1793"/>
      <c r="L686" s="1794"/>
      <c r="M686" s="1795"/>
      <c r="N686" s="1539"/>
      <c r="P686" s="1003"/>
      <c r="Q686" s="1003"/>
    </row>
    <row r="687" spans="1:17" s="1002" customFormat="1" ht="20.25" hidden="1" customHeight="1" x14ac:dyDescent="0.25">
      <c r="A687"/>
      <c r="B687" s="1592"/>
      <c r="C687" s="3807" t="s">
        <v>5660</v>
      </c>
      <c r="D687" s="896">
        <v>300000000</v>
      </c>
      <c r="E687" s="2688">
        <f t="shared" ref="E687:E694" si="19">D687/114128848000*100</f>
        <v>0.26286079747339602</v>
      </c>
      <c r="F687" s="1421"/>
      <c r="G687" s="1583"/>
      <c r="H687" s="1583"/>
      <c r="I687" s="1583"/>
      <c r="J687" s="1421"/>
      <c r="K687" s="1583"/>
      <c r="L687" s="1237"/>
      <c r="M687" s="1757"/>
      <c r="N687" s="1539"/>
      <c r="P687" s="1003"/>
      <c r="Q687" s="1003"/>
    </row>
    <row r="688" spans="1:17" s="1002" customFormat="1" ht="21.75" hidden="1" customHeight="1" x14ac:dyDescent="0.25">
      <c r="A688"/>
      <c r="B688" s="1592"/>
      <c r="C688" s="3807" t="s">
        <v>5661</v>
      </c>
      <c r="D688" s="896">
        <v>180000000</v>
      </c>
      <c r="E688" s="2688">
        <f t="shared" si="19"/>
        <v>0.15771647848403761</v>
      </c>
      <c r="F688" s="1421"/>
      <c r="G688" s="1583"/>
      <c r="H688" s="1583"/>
      <c r="I688" s="1583"/>
      <c r="J688" s="1421"/>
      <c r="K688" s="1781"/>
      <c r="L688" s="1780"/>
      <c r="M688" s="1757"/>
      <c r="N688" s="1539"/>
      <c r="P688" s="1003"/>
      <c r="Q688" s="1003"/>
    </row>
    <row r="689" spans="1:17" s="1002" customFormat="1" ht="24" hidden="1" customHeight="1" x14ac:dyDescent="0.25">
      <c r="A689"/>
      <c r="B689" s="1592"/>
      <c r="C689" s="3807" t="s">
        <v>5662</v>
      </c>
      <c r="D689" s="896">
        <v>150000000</v>
      </c>
      <c r="E689" s="2688">
        <f t="shared" si="19"/>
        <v>0.13143039873669801</v>
      </c>
      <c r="F689" s="1427"/>
      <c r="G689" s="1572"/>
      <c r="H689" s="1572"/>
      <c r="I689" s="1572"/>
      <c r="J689" s="1339"/>
      <c r="K689" s="1339"/>
      <c r="L689" s="1281"/>
      <c r="M689" s="1573"/>
      <c r="N689" s="1539"/>
      <c r="P689" s="1003"/>
      <c r="Q689" s="1003"/>
    </row>
    <row r="690" spans="1:17" s="1002" customFormat="1" ht="12.75" hidden="1" customHeight="1" x14ac:dyDescent="0.25">
      <c r="A690"/>
      <c r="B690" s="1592"/>
      <c r="C690" s="2473"/>
      <c r="D690" s="896"/>
      <c r="E690" s="2688"/>
      <c r="F690" s="1425"/>
      <c r="G690" s="1583"/>
      <c r="H690" s="1583"/>
      <c r="I690" s="1583"/>
      <c r="J690" s="1338"/>
      <c r="K690" s="1338"/>
      <c r="L690" s="1284"/>
      <c r="M690" s="1584"/>
      <c r="N690" s="1539"/>
      <c r="P690" s="1003"/>
      <c r="Q690" s="1003"/>
    </row>
    <row r="691" spans="1:17" s="1002" customFormat="1" ht="32.25" hidden="1" customHeight="1" x14ac:dyDescent="0.25">
      <c r="A691"/>
      <c r="B691" s="1592"/>
      <c r="C691" s="2491" t="s">
        <v>5663</v>
      </c>
      <c r="D691" s="2692">
        <f>SUM(D692:D694)</f>
        <v>6768820000</v>
      </c>
      <c r="E691" s="2693">
        <f t="shared" si="19"/>
        <v>5.9308580771795754</v>
      </c>
      <c r="F691" s="1425"/>
      <c r="G691" s="1583"/>
      <c r="H691" s="1583"/>
      <c r="I691" s="1583"/>
      <c r="J691" s="1338"/>
      <c r="K691" s="1338"/>
      <c r="L691" s="1284"/>
      <c r="M691" s="1584"/>
      <c r="N691" s="1539"/>
      <c r="P691" s="1003"/>
      <c r="Q691" s="1003"/>
    </row>
    <row r="692" spans="1:17" s="1002" customFormat="1" ht="20.25" hidden="1" customHeight="1" x14ac:dyDescent="0.25">
      <c r="A692"/>
      <c r="B692" s="1592"/>
      <c r="C692" s="2615" t="s">
        <v>5664</v>
      </c>
      <c r="D692" s="896">
        <v>3268820000</v>
      </c>
      <c r="E692" s="2688">
        <f t="shared" si="19"/>
        <v>2.8641487733232882</v>
      </c>
      <c r="F692" s="1425"/>
      <c r="G692" s="1583"/>
      <c r="H692" s="1583"/>
      <c r="I692" s="1583"/>
      <c r="J692" s="1338"/>
      <c r="K692" s="1338"/>
      <c r="L692" s="1284"/>
      <c r="M692" s="1584"/>
      <c r="N692" s="1539"/>
      <c r="P692" s="1003"/>
      <c r="Q692" s="1003"/>
    </row>
    <row r="693" spans="1:17" s="1002" customFormat="1" ht="19.5" hidden="1" customHeight="1" x14ac:dyDescent="0.25">
      <c r="A693"/>
      <c r="B693" s="1592"/>
      <c r="C693" s="2473" t="s">
        <v>5665</v>
      </c>
      <c r="D693" s="896">
        <v>2500000000</v>
      </c>
      <c r="E693" s="2688">
        <f t="shared" si="19"/>
        <v>2.1905066456116336</v>
      </c>
      <c r="F693" s="1425"/>
      <c r="G693" s="1583"/>
      <c r="H693" s="1583"/>
      <c r="I693" s="1583"/>
      <c r="J693" s="1338"/>
      <c r="K693" s="1338"/>
      <c r="L693" s="1284"/>
      <c r="M693" s="1584"/>
      <c r="N693" s="1539"/>
      <c r="P693" s="1003"/>
      <c r="Q693" s="1003"/>
    </row>
    <row r="694" spans="1:17" s="1002" customFormat="1" ht="22.5" hidden="1" customHeight="1" x14ac:dyDescent="0.25">
      <c r="A694"/>
      <c r="B694" s="1592"/>
      <c r="C694" s="2473" t="s">
        <v>5666</v>
      </c>
      <c r="D694" s="896">
        <v>1000000000</v>
      </c>
      <c r="E694" s="2688">
        <f t="shared" si="19"/>
        <v>0.87620265824465349</v>
      </c>
      <c r="F694" s="1425"/>
      <c r="G694" s="1583"/>
      <c r="H694" s="1583"/>
      <c r="I694" s="1583"/>
      <c r="J694" s="1338"/>
      <c r="K694" s="1338"/>
      <c r="L694" s="1284"/>
      <c r="M694" s="1584"/>
      <c r="N694" s="1539"/>
      <c r="P694" s="1003"/>
      <c r="Q694" s="1003"/>
    </row>
    <row r="695" spans="1:17" s="1002" customFormat="1" ht="12" hidden="1" customHeight="1" x14ac:dyDescent="0.25">
      <c r="A695"/>
      <c r="B695" s="1592"/>
      <c r="C695" s="2475"/>
      <c r="D695" s="3792"/>
      <c r="E695" s="2758"/>
      <c r="F695" s="1427"/>
      <c r="G695" s="1790"/>
      <c r="H695" s="1790"/>
      <c r="I695" s="1790"/>
      <c r="J695" s="1340"/>
      <c r="K695" s="1340"/>
      <c r="L695" s="1281"/>
      <c r="M695" s="1611"/>
      <c r="N695" s="1582"/>
      <c r="P695" s="1003"/>
      <c r="Q695" s="1003"/>
    </row>
    <row r="696" spans="1:17" s="1002" customFormat="1" ht="23.25" hidden="1" customHeight="1" x14ac:dyDescent="0.25">
      <c r="A696"/>
      <c r="B696" s="1609"/>
      <c r="C696" s="2532" t="s">
        <v>7903</v>
      </c>
      <c r="D696" s="3684">
        <f>D697+D708</f>
        <v>22180180000</v>
      </c>
      <c r="E696" s="2717">
        <f>D696/114128848000*100</f>
        <v>19.434332676344898</v>
      </c>
      <c r="F696" s="1429"/>
      <c r="G696" s="1576"/>
      <c r="H696" s="1576"/>
      <c r="I696" s="1576"/>
      <c r="J696" s="1575"/>
      <c r="K696" s="1575"/>
      <c r="L696" s="1796"/>
      <c r="M696" s="1577"/>
      <c r="N696" s="1539"/>
      <c r="P696" s="1003"/>
      <c r="Q696" s="1003"/>
    </row>
    <row r="697" spans="1:17" s="1002" customFormat="1" ht="24" hidden="1" customHeight="1" x14ac:dyDescent="0.25">
      <c r="A697"/>
      <c r="B697" s="1592"/>
      <c r="C697" s="2599" t="s">
        <v>1101</v>
      </c>
      <c r="D697" s="2692">
        <f>SUM(D698:D706)</f>
        <v>12344000000</v>
      </c>
      <c r="E697" s="2693">
        <f>D697/114128848000*100</f>
        <v>10.815845613372002</v>
      </c>
      <c r="F697" s="1427"/>
      <c r="G697" s="1790"/>
      <c r="H697" s="1790"/>
      <c r="I697" s="1790"/>
      <c r="J697" s="1340"/>
      <c r="K697" s="1340"/>
      <c r="L697" s="1281"/>
      <c r="M697" s="1611"/>
      <c r="N697" s="1539"/>
      <c r="P697" s="1003"/>
      <c r="Q697" s="1003"/>
    </row>
    <row r="698" spans="1:17" s="1002" customFormat="1" ht="32.25" hidden="1" customHeight="1" x14ac:dyDescent="0.25">
      <c r="A698"/>
      <c r="B698" s="1592"/>
      <c r="C698" s="2616" t="s">
        <v>5685</v>
      </c>
      <c r="D698" s="2698">
        <v>2400000000</v>
      </c>
      <c r="E698" s="2688">
        <f t="shared" ref="E698:E715" si="20">D698/114128848000*100</f>
        <v>2.1028863797871682</v>
      </c>
      <c r="F698" s="1425"/>
      <c r="G698" s="1583"/>
      <c r="H698" s="1583"/>
      <c r="I698" s="1583"/>
      <c r="J698" s="1338"/>
      <c r="K698" s="1338"/>
      <c r="L698" s="1284"/>
      <c r="M698" s="1584"/>
      <c r="N698" s="1539"/>
      <c r="P698" s="1003"/>
      <c r="Q698" s="1003"/>
    </row>
    <row r="699" spans="1:17" s="1002" customFormat="1" ht="19.5" hidden="1" customHeight="1" x14ac:dyDescent="0.25">
      <c r="A699"/>
      <c r="B699" s="1592"/>
      <c r="C699" s="2494" t="s">
        <v>5686</v>
      </c>
      <c r="D699" s="2698">
        <v>2000000000</v>
      </c>
      <c r="E699" s="2688">
        <f t="shared" si="20"/>
        <v>1.752405316489307</v>
      </c>
      <c r="F699" s="1424"/>
      <c r="G699" s="1572"/>
      <c r="H699" s="1572"/>
      <c r="I699" s="1572"/>
      <c r="J699" s="1339"/>
      <c r="K699" s="1339"/>
      <c r="L699" s="1797"/>
      <c r="M699" s="1573"/>
      <c r="N699" s="1574"/>
      <c r="P699" s="1003"/>
      <c r="Q699" s="1003"/>
    </row>
    <row r="700" spans="1:17" s="1002" customFormat="1" ht="20.25" hidden="1" customHeight="1" x14ac:dyDescent="0.25">
      <c r="A700"/>
      <c r="B700" s="1592"/>
      <c r="C700" s="2494" t="s">
        <v>5687</v>
      </c>
      <c r="D700" s="2698">
        <v>2000000000</v>
      </c>
      <c r="E700" s="2688">
        <f t="shared" si="20"/>
        <v>1.752405316489307</v>
      </c>
      <c r="F700" s="1425"/>
      <c r="G700" s="1583"/>
      <c r="H700" s="1583"/>
      <c r="I700" s="1583"/>
      <c r="J700" s="1338"/>
      <c r="K700" s="1338"/>
      <c r="L700" s="1284"/>
      <c r="M700" s="1584"/>
      <c r="N700" s="1539"/>
      <c r="P700" s="1003"/>
      <c r="Q700" s="1003"/>
    </row>
    <row r="701" spans="1:17" s="1002" customFormat="1" ht="21" hidden="1" customHeight="1" x14ac:dyDescent="0.25">
      <c r="A701"/>
      <c r="B701" s="1592"/>
      <c r="C701" s="2494" t="s">
        <v>5688</v>
      </c>
      <c r="D701" s="2698">
        <v>2384000000</v>
      </c>
      <c r="E701" s="2688">
        <f t="shared" si="20"/>
        <v>2.0888671372552539</v>
      </c>
      <c r="F701" s="1425"/>
      <c r="G701" s="1583"/>
      <c r="H701" s="1583"/>
      <c r="I701" s="1583"/>
      <c r="J701" s="1338"/>
      <c r="K701" s="1338"/>
      <c r="L701" s="1284"/>
      <c r="M701" s="1584"/>
      <c r="N701" s="1539"/>
      <c r="P701" s="1003"/>
      <c r="Q701" s="1003"/>
    </row>
    <row r="702" spans="1:17" s="1002" customFormat="1" ht="21.75" hidden="1" customHeight="1" x14ac:dyDescent="0.25">
      <c r="A702"/>
      <c r="B702" s="1592"/>
      <c r="C702" s="2494" t="s">
        <v>7925</v>
      </c>
      <c r="D702" s="2698">
        <v>600000000</v>
      </c>
      <c r="E702" s="2688">
        <f t="shared" si="20"/>
        <v>0.52572159494679205</v>
      </c>
      <c r="F702" s="1425"/>
      <c r="G702" s="1583"/>
      <c r="H702" s="1583"/>
      <c r="I702" s="1583"/>
      <c r="J702" s="1338"/>
      <c r="K702" s="1338"/>
      <c r="L702" s="1284"/>
      <c r="M702" s="1584"/>
      <c r="N702" s="1539"/>
      <c r="P702" s="1003"/>
      <c r="Q702" s="1003"/>
    </row>
    <row r="703" spans="1:17" s="1002" customFormat="1" ht="20.25" hidden="1" customHeight="1" x14ac:dyDescent="0.25">
      <c r="A703"/>
      <c r="B703" s="1592"/>
      <c r="C703" s="2494" t="s">
        <v>7926</v>
      </c>
      <c r="D703" s="2698">
        <v>600000000</v>
      </c>
      <c r="E703" s="2688">
        <f t="shared" si="20"/>
        <v>0.52572159494679205</v>
      </c>
      <c r="F703" s="1425"/>
      <c r="G703" s="1583"/>
      <c r="H703" s="1583"/>
      <c r="I703" s="1583"/>
      <c r="J703" s="1338"/>
      <c r="K703" s="1338"/>
      <c r="L703" s="1284"/>
      <c r="M703" s="1584"/>
      <c r="N703" s="1539"/>
      <c r="P703" s="1003"/>
      <c r="Q703" s="1003"/>
    </row>
    <row r="704" spans="1:17" s="1002" customFormat="1" ht="22.5" hidden="1" customHeight="1" x14ac:dyDescent="0.25">
      <c r="A704"/>
      <c r="B704" s="1592"/>
      <c r="C704" s="2494" t="s">
        <v>7927</v>
      </c>
      <c r="D704" s="2698">
        <v>600000000</v>
      </c>
      <c r="E704" s="2688">
        <f t="shared" si="20"/>
        <v>0.52572159494679205</v>
      </c>
      <c r="F704" s="1425"/>
      <c r="G704" s="1583"/>
      <c r="H704" s="1583"/>
      <c r="I704" s="1583"/>
      <c r="J704" s="1338"/>
      <c r="K704" s="1338"/>
      <c r="L704" s="1284"/>
      <c r="M704" s="1584"/>
      <c r="N704" s="1539"/>
      <c r="P704" s="1003"/>
      <c r="Q704" s="1003"/>
    </row>
    <row r="705" spans="1:17" s="1002" customFormat="1" ht="18.75" hidden="1" customHeight="1" x14ac:dyDescent="0.25">
      <c r="A705"/>
      <c r="B705" s="1592"/>
      <c r="C705" s="2506" t="s">
        <v>7928</v>
      </c>
      <c r="D705" s="2724">
        <v>0</v>
      </c>
      <c r="E705" s="2707"/>
      <c r="F705" s="1424"/>
      <c r="G705" s="1583"/>
      <c r="H705" s="1583"/>
      <c r="I705" s="1583"/>
      <c r="J705" s="1338"/>
      <c r="K705" s="1338"/>
      <c r="L705" s="1284"/>
      <c r="M705" s="1584"/>
      <c r="N705" s="1539"/>
      <c r="P705" s="1003"/>
      <c r="Q705" s="1003"/>
    </row>
    <row r="706" spans="1:17" s="1002" customFormat="1" ht="21" hidden="1" customHeight="1" x14ac:dyDescent="0.25">
      <c r="A706"/>
      <c r="B706" s="1592"/>
      <c r="C706" s="2494" t="s">
        <v>7929</v>
      </c>
      <c r="D706" s="2698">
        <v>1760000000</v>
      </c>
      <c r="E706" s="2688">
        <f t="shared" si="20"/>
        <v>1.54211667851059</v>
      </c>
      <c r="F706" s="1425"/>
      <c r="G706" s="1583"/>
      <c r="H706" s="1583"/>
      <c r="I706" s="1583"/>
      <c r="J706" s="1338"/>
      <c r="K706" s="1338"/>
      <c r="L706" s="1284"/>
      <c r="M706" s="1584"/>
      <c r="N706" s="1539"/>
      <c r="P706" s="1003"/>
      <c r="Q706" s="1003"/>
    </row>
    <row r="707" spans="1:17" s="1002" customFormat="1" ht="15" hidden="1" customHeight="1" x14ac:dyDescent="0.25">
      <c r="A707"/>
      <c r="B707" s="1592"/>
      <c r="C707" s="2506"/>
      <c r="D707" s="2724"/>
      <c r="E707" s="2763"/>
      <c r="F707" s="1426"/>
      <c r="G707" s="1583"/>
      <c r="H707" s="1583"/>
      <c r="I707" s="1583"/>
      <c r="J707" s="1338"/>
      <c r="K707" s="1338"/>
      <c r="L707" s="1284"/>
      <c r="M707" s="1584"/>
      <c r="N707" s="1539"/>
      <c r="P707" s="1003"/>
      <c r="Q707" s="1003"/>
    </row>
    <row r="708" spans="1:17" s="1002" customFormat="1" ht="22.5" hidden="1" customHeight="1" x14ac:dyDescent="0.25">
      <c r="A708"/>
      <c r="B708" s="1592"/>
      <c r="C708" s="2491" t="s">
        <v>5684</v>
      </c>
      <c r="D708" s="2692">
        <f>+SUM(D709:D715)</f>
        <v>9836180000</v>
      </c>
      <c r="E708" s="2693">
        <f t="shared" si="20"/>
        <v>8.6184870629728962</v>
      </c>
      <c r="F708" s="1425"/>
      <c r="G708" s="1583"/>
      <c r="H708" s="1583"/>
      <c r="I708" s="1583"/>
      <c r="J708" s="1338"/>
      <c r="K708" s="1338"/>
      <c r="L708" s="1284"/>
      <c r="M708" s="1584"/>
      <c r="N708" s="1539"/>
      <c r="P708" s="1003"/>
      <c r="Q708" s="1003"/>
    </row>
    <row r="709" spans="1:17" s="1002" customFormat="1" ht="22.5" hidden="1" customHeight="1" x14ac:dyDescent="0.25">
      <c r="A709"/>
      <c r="B709" s="1592"/>
      <c r="C709" s="2611" t="s">
        <v>5690</v>
      </c>
      <c r="D709" s="2698">
        <v>1500000000</v>
      </c>
      <c r="E709" s="2688">
        <f t="shared" si="20"/>
        <v>1.3143039873669802</v>
      </c>
      <c r="F709" s="1425"/>
      <c r="G709" s="1583"/>
      <c r="H709" s="1583"/>
      <c r="I709" s="1583"/>
      <c r="J709" s="1338"/>
      <c r="K709" s="1338"/>
      <c r="L709" s="1284"/>
      <c r="M709" s="1584"/>
      <c r="N709" s="1539"/>
      <c r="P709" s="1003"/>
      <c r="Q709" s="1003"/>
    </row>
    <row r="710" spans="1:17" s="1002" customFormat="1" ht="22.5" hidden="1" customHeight="1" x14ac:dyDescent="0.25">
      <c r="A710"/>
      <c r="B710" s="1592"/>
      <c r="C710" s="2611" t="s">
        <v>5691</v>
      </c>
      <c r="D710" s="2698">
        <v>1536180000</v>
      </c>
      <c r="E710" s="2688">
        <f t="shared" si="20"/>
        <v>1.3460049995422716</v>
      </c>
      <c r="F710" s="1425"/>
      <c r="G710" s="1583"/>
      <c r="H710" s="1583"/>
      <c r="I710" s="1583"/>
      <c r="J710" s="1338"/>
      <c r="K710" s="1338"/>
      <c r="L710" s="1284"/>
      <c r="M710" s="1584"/>
      <c r="N710" s="1539"/>
      <c r="P710" s="1003"/>
      <c r="Q710" s="1003"/>
    </row>
    <row r="711" spans="1:17" s="1002" customFormat="1" ht="22.5" hidden="1" customHeight="1" x14ac:dyDescent="0.25">
      <c r="A711"/>
      <c r="B711" s="1592"/>
      <c r="C711" s="2611" t="s">
        <v>5692</v>
      </c>
      <c r="D711" s="2698">
        <v>1500000000</v>
      </c>
      <c r="E711" s="2688">
        <f t="shared" si="20"/>
        <v>1.3143039873669802</v>
      </c>
      <c r="F711" s="1425"/>
      <c r="G711" s="1583"/>
      <c r="H711" s="1583"/>
      <c r="I711" s="1583"/>
      <c r="J711" s="1338"/>
      <c r="K711" s="1338"/>
      <c r="L711" s="1284"/>
      <c r="M711" s="1584"/>
      <c r="N711" s="1539"/>
      <c r="P711" s="1003"/>
      <c r="Q711" s="1003"/>
    </row>
    <row r="712" spans="1:17" s="1002" customFormat="1" ht="22.5" hidden="1" customHeight="1" x14ac:dyDescent="0.25">
      <c r="A712"/>
      <c r="B712" s="1592"/>
      <c r="C712" s="2611" t="s">
        <v>5693</v>
      </c>
      <c r="D712" s="2698">
        <v>2000000000</v>
      </c>
      <c r="E712" s="2688">
        <f t="shared" si="20"/>
        <v>1.752405316489307</v>
      </c>
      <c r="F712" s="1425"/>
      <c r="G712" s="1583"/>
      <c r="H712" s="1583"/>
      <c r="I712" s="1583"/>
      <c r="J712" s="1338"/>
      <c r="K712" s="1338"/>
      <c r="L712" s="1284"/>
      <c r="M712" s="1584"/>
      <c r="N712" s="1539"/>
      <c r="P712" s="1003"/>
      <c r="Q712" s="1003"/>
    </row>
    <row r="713" spans="1:17" s="1002" customFormat="1" ht="22.5" hidden="1" customHeight="1" x14ac:dyDescent="0.25">
      <c r="A713"/>
      <c r="B713" s="1592"/>
      <c r="C713" s="2494" t="s">
        <v>5694</v>
      </c>
      <c r="D713" s="2698">
        <v>1500000000</v>
      </c>
      <c r="E713" s="2688">
        <f t="shared" si="20"/>
        <v>1.3143039873669802</v>
      </c>
      <c r="F713" s="1425"/>
      <c r="G713" s="1583"/>
      <c r="H713" s="1583"/>
      <c r="I713" s="1583"/>
      <c r="J713" s="1338"/>
      <c r="K713" s="1338"/>
      <c r="L713" s="1284"/>
      <c r="M713" s="1584"/>
      <c r="N713" s="1539"/>
      <c r="P713" s="1003"/>
      <c r="Q713" s="1003"/>
    </row>
    <row r="714" spans="1:17" s="1002" customFormat="1" ht="22.5" hidden="1" customHeight="1" x14ac:dyDescent="0.25">
      <c r="A714"/>
      <c r="B714" s="1592"/>
      <c r="C714" s="2494" t="s">
        <v>5695</v>
      </c>
      <c r="D714" s="2698">
        <v>1000000000</v>
      </c>
      <c r="E714" s="2688">
        <f t="shared" si="20"/>
        <v>0.87620265824465349</v>
      </c>
      <c r="F714" s="1425"/>
      <c r="G714" s="1583"/>
      <c r="H714" s="1583"/>
      <c r="I714" s="1583"/>
      <c r="J714" s="1338"/>
      <c r="K714" s="1338"/>
      <c r="L714" s="1284"/>
      <c r="M714" s="1584"/>
      <c r="N714" s="1539"/>
      <c r="P714" s="1003"/>
      <c r="Q714" s="1003"/>
    </row>
    <row r="715" spans="1:17" s="1002" customFormat="1" ht="22.5" hidden="1" customHeight="1" x14ac:dyDescent="0.25">
      <c r="A715"/>
      <c r="B715" s="1592"/>
      <c r="C715" s="2473" t="s">
        <v>5696</v>
      </c>
      <c r="D715" s="896">
        <v>800000000</v>
      </c>
      <c r="E715" s="2688">
        <f t="shared" si="20"/>
        <v>0.70096212659572277</v>
      </c>
      <c r="F715" s="1425"/>
      <c r="G715" s="1583"/>
      <c r="H715" s="1583"/>
      <c r="I715" s="1583"/>
      <c r="J715" s="1338"/>
      <c r="K715" s="1338"/>
      <c r="L715" s="1284"/>
      <c r="M715" s="1584"/>
      <c r="N715" s="1539"/>
      <c r="P715" s="1003"/>
      <c r="Q715" s="1003"/>
    </row>
    <row r="716" spans="1:17" ht="12" hidden="1" customHeight="1" x14ac:dyDescent="0.25">
      <c r="B716" s="1592"/>
      <c r="C716" s="2475"/>
      <c r="D716" s="2769"/>
      <c r="E716" s="2758"/>
      <c r="F716" s="1427"/>
      <c r="G716" s="1790"/>
      <c r="H716" s="1790"/>
      <c r="I716" s="1790"/>
      <c r="J716" s="1340"/>
      <c r="K716" s="1340"/>
      <c r="L716" s="1281"/>
      <c r="M716" s="1611"/>
      <c r="N716" s="1582"/>
    </row>
    <row r="717" spans="1:17" ht="19.5" hidden="1" customHeight="1" x14ac:dyDescent="0.25">
      <c r="B717" s="1609"/>
      <c r="C717" s="2532" t="s">
        <v>329</v>
      </c>
      <c r="D717" s="2744">
        <f>D718+D721+D724+D727</f>
        <v>2300000000</v>
      </c>
      <c r="E717" s="2717">
        <f>D717/114128848000*100</f>
        <v>2.0152661139627033</v>
      </c>
      <c r="F717" s="1429"/>
      <c r="G717" s="1576"/>
      <c r="H717" s="1576"/>
      <c r="I717" s="1576"/>
      <c r="J717" s="1575"/>
      <c r="K717" s="1575"/>
      <c r="L717" s="1796"/>
      <c r="M717" s="1577"/>
      <c r="N717" s="1539"/>
    </row>
    <row r="718" spans="1:17" ht="25.5" hidden="1" customHeight="1" x14ac:dyDescent="0.25">
      <c r="B718" s="1592"/>
      <c r="C718" s="2525" t="s">
        <v>5699</v>
      </c>
      <c r="D718" s="899">
        <f>SUM(D719:D719)</f>
        <v>1000000000</v>
      </c>
      <c r="E718" s="2693">
        <f>D718/114128848000*100</f>
        <v>0.87620265824465349</v>
      </c>
      <c r="F718" s="1427"/>
      <c r="G718" s="1790"/>
      <c r="H718" s="1790"/>
      <c r="I718" s="1790"/>
      <c r="J718" s="1340"/>
      <c r="K718" s="1340"/>
      <c r="L718" s="1281"/>
      <c r="M718" s="1611"/>
      <c r="N718" s="1539"/>
    </row>
    <row r="719" spans="1:17" ht="21.75" hidden="1" customHeight="1" x14ac:dyDescent="0.25">
      <c r="B719" s="1592"/>
      <c r="C719" s="2473" t="s">
        <v>5700</v>
      </c>
      <c r="D719" s="896">
        <v>1000000000</v>
      </c>
      <c r="E719" s="2688">
        <f t="shared" ref="E719:E729" si="21">D719/114128848000*100</f>
        <v>0.87620265824465349</v>
      </c>
      <c r="F719" s="1425"/>
      <c r="G719" s="1583"/>
      <c r="H719" s="1583"/>
      <c r="I719" s="1583"/>
      <c r="J719" s="1338"/>
      <c r="K719" s="1338"/>
      <c r="L719" s="1284"/>
      <c r="M719" s="1584"/>
      <c r="N719" s="1539"/>
    </row>
    <row r="720" spans="1:17" ht="12" hidden="1" customHeight="1" x14ac:dyDescent="0.25">
      <c r="B720" s="1592"/>
      <c r="C720" s="2473"/>
      <c r="D720" s="896"/>
      <c r="E720" s="2688">
        <f t="shared" si="21"/>
        <v>0</v>
      </c>
      <c r="F720" s="1425"/>
      <c r="G720" s="1583"/>
      <c r="H720" s="1583"/>
      <c r="I720" s="1583"/>
      <c r="J720" s="1338"/>
      <c r="K720" s="1338"/>
      <c r="L720" s="1284"/>
      <c r="M720" s="1584"/>
      <c r="N720" s="1539"/>
    </row>
    <row r="721" spans="1:18" ht="20.25" hidden="1" customHeight="1" x14ac:dyDescent="0.25">
      <c r="B721" s="1592"/>
      <c r="C721" s="2474" t="s">
        <v>5701</v>
      </c>
      <c r="D721" s="899">
        <f>SUM(D722:D722)</f>
        <v>300000000</v>
      </c>
      <c r="E721" s="2688">
        <f t="shared" si="21"/>
        <v>0.26286079747339602</v>
      </c>
      <c r="F721" s="1425"/>
      <c r="G721" s="1583"/>
      <c r="H721" s="1583"/>
      <c r="I721" s="1583"/>
      <c r="J721" s="1338"/>
      <c r="K721" s="1338"/>
      <c r="L721" s="1284"/>
      <c r="M721" s="1584"/>
      <c r="N721" s="1539"/>
    </row>
    <row r="722" spans="1:18" ht="21" hidden="1" customHeight="1" x14ac:dyDescent="0.25">
      <c r="B722" s="1592"/>
      <c r="C722" s="2473" t="s">
        <v>5803</v>
      </c>
      <c r="D722" s="896">
        <v>300000000</v>
      </c>
      <c r="E722" s="2688">
        <f t="shared" si="21"/>
        <v>0.26286079747339602</v>
      </c>
      <c r="F722" s="1425"/>
      <c r="G722" s="1583"/>
      <c r="H722" s="1583"/>
      <c r="I722" s="1583"/>
      <c r="J722" s="1338"/>
      <c r="K722" s="1338"/>
      <c r="L722" s="1284"/>
      <c r="M722" s="1584"/>
      <c r="N722" s="1539"/>
    </row>
    <row r="723" spans="1:18" ht="13.5" hidden="1" customHeight="1" x14ac:dyDescent="0.25">
      <c r="B723" s="1592"/>
      <c r="C723" s="2473"/>
      <c r="D723" s="896"/>
      <c r="E723" s="2688"/>
      <c r="F723" s="1425"/>
      <c r="G723" s="1583"/>
      <c r="H723" s="1583"/>
      <c r="I723" s="1583"/>
      <c r="J723" s="1338"/>
      <c r="K723" s="1338"/>
      <c r="L723" s="1284"/>
      <c r="M723" s="1584"/>
      <c r="N723" s="1539"/>
    </row>
    <row r="724" spans="1:18" ht="23.25" hidden="1" customHeight="1" x14ac:dyDescent="0.25">
      <c r="B724" s="1592"/>
      <c r="C724" s="2474" t="s">
        <v>5702</v>
      </c>
      <c r="D724" s="899">
        <v>500000000</v>
      </c>
      <c r="E724" s="2693">
        <f t="shared" si="21"/>
        <v>0.43810132912232674</v>
      </c>
      <c r="F724" s="1425"/>
      <c r="G724" s="1583"/>
      <c r="H724" s="1583"/>
      <c r="I724" s="1583"/>
      <c r="J724" s="1338"/>
      <c r="K724" s="1338"/>
      <c r="L724" s="1284"/>
      <c r="M724" s="1584"/>
      <c r="N724" s="1539"/>
    </row>
    <row r="725" spans="1:18" ht="22.5" hidden="1" customHeight="1" x14ac:dyDescent="0.25">
      <c r="B725" s="1592"/>
      <c r="C725" s="2473" t="s">
        <v>5703</v>
      </c>
      <c r="D725" s="896">
        <v>500000000</v>
      </c>
      <c r="E725" s="2688">
        <f t="shared" si="21"/>
        <v>0.43810132912232674</v>
      </c>
      <c r="F725" s="1425"/>
      <c r="G725" s="1583"/>
      <c r="H725" s="1583"/>
      <c r="I725" s="1583"/>
      <c r="J725" s="1338"/>
      <c r="K725" s="1338"/>
      <c r="L725" s="1284"/>
      <c r="M725" s="1584"/>
      <c r="N725" s="1539"/>
    </row>
    <row r="726" spans="1:18" ht="15.75" hidden="1" customHeight="1" x14ac:dyDescent="0.25">
      <c r="B726" s="1592"/>
      <c r="C726" s="2474"/>
      <c r="D726" s="899"/>
      <c r="E726" s="2688"/>
      <c r="F726" s="1425"/>
      <c r="G726" s="1583"/>
      <c r="H726" s="1583"/>
      <c r="I726" s="1583"/>
      <c r="J726" s="1338"/>
      <c r="K726" s="1338"/>
      <c r="L726" s="1284"/>
      <c r="M726" s="1584"/>
      <c r="N726" s="1539"/>
    </row>
    <row r="727" spans="1:18" ht="24.75" hidden="1" customHeight="1" x14ac:dyDescent="0.25">
      <c r="B727" s="1592"/>
      <c r="C727" s="2474" t="s">
        <v>5704</v>
      </c>
      <c r="D727" s="899">
        <f>SUM(D728:D729)</f>
        <v>500000000</v>
      </c>
      <c r="E727" s="2693">
        <f t="shared" si="21"/>
        <v>0.43810132912232674</v>
      </c>
      <c r="F727" s="1425"/>
      <c r="G727" s="1583"/>
      <c r="H727" s="1583"/>
      <c r="I727" s="1583"/>
      <c r="J727" s="1338"/>
      <c r="K727" s="1338"/>
      <c r="L727" s="1284"/>
      <c r="M727" s="1584"/>
      <c r="N727" s="1539"/>
    </row>
    <row r="728" spans="1:18" ht="32.25" hidden="1" customHeight="1" x14ac:dyDescent="0.25">
      <c r="B728" s="1592"/>
      <c r="C728" s="2473" t="s">
        <v>5705</v>
      </c>
      <c r="D728" s="896">
        <v>250000000</v>
      </c>
      <c r="E728" s="2688">
        <f t="shared" si="21"/>
        <v>0.21905066456116337</v>
      </c>
      <c r="F728" s="1425"/>
      <c r="G728" s="1583"/>
      <c r="H728" s="1583"/>
      <c r="I728" s="1583"/>
      <c r="J728" s="1338"/>
      <c r="K728" s="1338"/>
      <c r="L728" s="1284"/>
      <c r="M728" s="1584"/>
      <c r="N728" s="1539"/>
    </row>
    <row r="729" spans="1:18" ht="24" hidden="1" customHeight="1" x14ac:dyDescent="0.25">
      <c r="B729" s="1592"/>
      <c r="C729" s="2473" t="s">
        <v>5706</v>
      </c>
      <c r="D729" s="896">
        <v>250000000</v>
      </c>
      <c r="E729" s="2688">
        <f t="shared" si="21"/>
        <v>0.21905066456116337</v>
      </c>
      <c r="F729" s="1425"/>
      <c r="G729" s="1583"/>
      <c r="H729" s="1583"/>
      <c r="I729" s="1583"/>
      <c r="J729" s="1338"/>
      <c r="K729" s="1338"/>
      <c r="L729" s="1284"/>
      <c r="M729" s="1584"/>
      <c r="N729" s="1539"/>
    </row>
    <row r="730" spans="1:18" ht="17.25" hidden="1" customHeight="1" x14ac:dyDescent="0.25">
      <c r="B730" s="1592"/>
      <c r="C730" s="2475"/>
      <c r="D730" s="2769"/>
      <c r="E730" s="2758"/>
      <c r="F730" s="1427"/>
      <c r="G730" s="1790"/>
      <c r="H730" s="1790"/>
      <c r="I730" s="1790"/>
      <c r="J730" s="1340"/>
      <c r="K730" s="1340"/>
      <c r="L730" s="1281"/>
      <c r="M730" s="1611"/>
      <c r="N730" s="1539"/>
    </row>
    <row r="731" spans="1:18" s="32" customFormat="1" ht="23.25" hidden="1" customHeight="1" x14ac:dyDescent="0.25">
      <c r="B731" s="1609"/>
      <c r="C731" s="2471" t="s">
        <v>5712</v>
      </c>
      <c r="D731" s="2744">
        <f>D732+D736+D739+D743+D746</f>
        <v>2600000000</v>
      </c>
      <c r="E731" s="2717">
        <f>D731/114128848000*100</f>
        <v>2.2781269114360989</v>
      </c>
      <c r="F731" s="3806"/>
      <c r="G731" s="1776"/>
      <c r="H731" s="1776"/>
      <c r="I731" s="1776"/>
      <c r="J731" s="1333"/>
      <c r="K731" s="1333"/>
      <c r="L731" s="1313"/>
      <c r="M731" s="1717"/>
      <c r="N731" s="1540"/>
      <c r="O731" s="1095"/>
      <c r="P731" s="1128"/>
      <c r="Q731" s="1128"/>
      <c r="R731" s="1095"/>
    </row>
    <row r="732" spans="1:18" s="1002" customFormat="1" ht="23.25" hidden="1" customHeight="1" x14ac:dyDescent="0.25">
      <c r="A732"/>
      <c r="B732" s="1592"/>
      <c r="C732" s="2525" t="s">
        <v>5804</v>
      </c>
      <c r="D732" s="2692">
        <f>D733+D734</f>
        <v>1750000000</v>
      </c>
      <c r="E732" s="2693">
        <f>D732/114128848000*100</f>
        <v>1.5333546519281436</v>
      </c>
      <c r="F732" s="1427"/>
      <c r="G732" s="1790"/>
      <c r="H732" s="1790"/>
      <c r="I732" s="1790"/>
      <c r="J732" s="1340"/>
      <c r="K732" s="1340"/>
      <c r="L732" s="1281"/>
      <c r="M732" s="1611"/>
      <c r="N732" s="1539"/>
      <c r="P732" s="1003"/>
      <c r="Q732" s="1003"/>
    </row>
    <row r="733" spans="1:18" s="1002" customFormat="1" ht="23.25" hidden="1" customHeight="1" x14ac:dyDescent="0.25">
      <c r="A733"/>
      <c r="B733" s="1592"/>
      <c r="C733" s="2473" t="s">
        <v>5713</v>
      </c>
      <c r="D733" s="896">
        <v>1500000000</v>
      </c>
      <c r="E733" s="2688">
        <f t="shared" ref="E733:E747" si="22">D733/114128848000*100</f>
        <v>1.3143039873669802</v>
      </c>
      <c r="F733" s="1425"/>
      <c r="G733" s="1583"/>
      <c r="H733" s="1583"/>
      <c r="I733" s="1583"/>
      <c r="J733" s="1338"/>
      <c r="K733" s="1338"/>
      <c r="L733" s="1284"/>
      <c r="M733" s="1584"/>
      <c r="N733" s="1539"/>
      <c r="P733" s="1003"/>
      <c r="Q733" s="1003"/>
    </row>
    <row r="734" spans="1:18" s="1002" customFormat="1" ht="23.25" hidden="1" customHeight="1" x14ac:dyDescent="0.25">
      <c r="A734"/>
      <c r="B734" s="1592"/>
      <c r="C734" s="2473" t="s">
        <v>5714</v>
      </c>
      <c r="D734" s="896">
        <v>250000000</v>
      </c>
      <c r="E734" s="2688">
        <f t="shared" si="22"/>
        <v>0.21905066456116337</v>
      </c>
      <c r="F734" s="1425"/>
      <c r="G734" s="1583"/>
      <c r="H734" s="1583"/>
      <c r="I734" s="1583"/>
      <c r="J734" s="1338"/>
      <c r="K734" s="1338"/>
      <c r="L734" s="1284"/>
      <c r="M734" s="1584"/>
      <c r="N734" s="1539"/>
      <c r="P734" s="1003"/>
      <c r="Q734" s="1003"/>
    </row>
    <row r="735" spans="1:18" s="1002" customFormat="1" ht="15" hidden="1" customHeight="1" x14ac:dyDescent="0.25">
      <c r="A735"/>
      <c r="B735" s="1592"/>
      <c r="C735" s="2475"/>
      <c r="D735" s="2769"/>
      <c r="E735" s="2688"/>
      <c r="F735" s="1425"/>
      <c r="G735" s="1583"/>
      <c r="H735" s="1583"/>
      <c r="I735" s="1583"/>
      <c r="J735" s="1338"/>
      <c r="K735" s="1338"/>
      <c r="L735" s="1284"/>
      <c r="M735" s="1584"/>
      <c r="N735" s="1539"/>
      <c r="P735" s="1003"/>
      <c r="Q735" s="1003"/>
    </row>
    <row r="736" spans="1:18" s="1002" customFormat="1" ht="23.25" hidden="1" customHeight="1" x14ac:dyDescent="0.25">
      <c r="A736"/>
      <c r="B736" s="1592"/>
      <c r="C736" s="2617" t="s">
        <v>5715</v>
      </c>
      <c r="D736" s="2692">
        <f>SUM(D737:D737)</f>
        <v>150000000</v>
      </c>
      <c r="E736" s="2693">
        <f t="shared" si="22"/>
        <v>0.13143039873669801</v>
      </c>
      <c r="F736" s="1425"/>
      <c r="G736" s="1583"/>
      <c r="H736" s="1583"/>
      <c r="I736" s="1583"/>
      <c r="J736" s="1338"/>
      <c r="K736" s="1338"/>
      <c r="L736" s="1284"/>
      <c r="M736" s="1584"/>
      <c r="N736" s="1539"/>
      <c r="P736" s="1003"/>
      <c r="Q736" s="1003"/>
    </row>
    <row r="737" spans="1:17" s="1002" customFormat="1" ht="23.25" hidden="1" customHeight="1" x14ac:dyDescent="0.25">
      <c r="A737"/>
      <c r="B737" s="1592"/>
      <c r="C737" s="2473" t="s">
        <v>5716</v>
      </c>
      <c r="D737" s="896">
        <v>150000000</v>
      </c>
      <c r="E737" s="2688">
        <f t="shared" si="22"/>
        <v>0.13143039873669801</v>
      </c>
      <c r="F737" s="1425"/>
      <c r="G737" s="1583"/>
      <c r="H737" s="1583"/>
      <c r="I737" s="1583"/>
      <c r="J737" s="1338"/>
      <c r="K737" s="1338"/>
      <c r="L737" s="1284"/>
      <c r="M737" s="1584"/>
      <c r="N737" s="1539"/>
      <c r="P737" s="1003"/>
      <c r="Q737" s="1003"/>
    </row>
    <row r="738" spans="1:17" s="1002" customFormat="1" ht="12" hidden="1" customHeight="1" x14ac:dyDescent="0.25">
      <c r="A738"/>
      <c r="B738" s="1592"/>
      <c r="C738" s="2473"/>
      <c r="D738" s="896"/>
      <c r="E738" s="2688"/>
      <c r="F738" s="1425"/>
      <c r="G738" s="1583"/>
      <c r="H738" s="1583"/>
      <c r="I738" s="1583"/>
      <c r="J738" s="1338"/>
      <c r="K738" s="1338"/>
      <c r="L738" s="1284"/>
      <c r="M738" s="1584"/>
      <c r="N738" s="1539"/>
      <c r="P738" s="1003"/>
      <c r="Q738" s="1003"/>
    </row>
    <row r="739" spans="1:17" s="1002" customFormat="1" ht="24" hidden="1" customHeight="1" x14ac:dyDescent="0.25">
      <c r="A739"/>
      <c r="B739" s="1592"/>
      <c r="C739" s="2474" t="s">
        <v>5717</v>
      </c>
      <c r="D739" s="899">
        <f>D740+D741</f>
        <v>250000000</v>
      </c>
      <c r="E739" s="2693">
        <f t="shared" si="22"/>
        <v>0.21905066456116337</v>
      </c>
      <c r="F739" s="1425"/>
      <c r="G739" s="1583"/>
      <c r="H739" s="1583"/>
      <c r="I739" s="1583"/>
      <c r="J739" s="1338"/>
      <c r="K739" s="1338"/>
      <c r="L739" s="1284"/>
      <c r="M739" s="1584"/>
      <c r="N739" s="1539"/>
      <c r="P739" s="1003"/>
      <c r="Q739" s="1003"/>
    </row>
    <row r="740" spans="1:17" s="1002" customFormat="1" ht="23.25" hidden="1" customHeight="1" x14ac:dyDescent="0.25">
      <c r="A740"/>
      <c r="B740" s="1592"/>
      <c r="C740" s="2473" t="s">
        <v>5718</v>
      </c>
      <c r="D740" s="896">
        <v>150000000</v>
      </c>
      <c r="E740" s="2688">
        <f t="shared" si="22"/>
        <v>0.13143039873669801</v>
      </c>
      <c r="F740" s="1425"/>
      <c r="G740" s="1583"/>
      <c r="H740" s="1583"/>
      <c r="I740" s="1583"/>
      <c r="J740" s="1338"/>
      <c r="K740" s="1338"/>
      <c r="L740" s="1284"/>
      <c r="M740" s="1584"/>
      <c r="N740" s="1539"/>
      <c r="P740" s="1003"/>
      <c r="Q740" s="1003"/>
    </row>
    <row r="741" spans="1:17" s="1002" customFormat="1" ht="22.5" hidden="1" customHeight="1" x14ac:dyDescent="0.25">
      <c r="A741"/>
      <c r="B741" s="1592"/>
      <c r="C741" s="2475" t="s">
        <v>5719</v>
      </c>
      <c r="D741" s="2769">
        <v>100000000</v>
      </c>
      <c r="E741" s="2688">
        <f t="shared" si="22"/>
        <v>8.7620265824465346E-2</v>
      </c>
      <c r="F741" s="1425"/>
      <c r="G741" s="1583"/>
      <c r="H741" s="1583"/>
      <c r="I741" s="1583"/>
      <c r="J741" s="1338"/>
      <c r="K741" s="1338"/>
      <c r="L741" s="1284"/>
      <c r="M741" s="1584"/>
      <c r="N741" s="1539"/>
      <c r="P741" s="1003"/>
      <c r="Q741" s="1003"/>
    </row>
    <row r="742" spans="1:17" s="1002" customFormat="1" ht="12" hidden="1" customHeight="1" x14ac:dyDescent="0.25">
      <c r="A742"/>
      <c r="B742" s="1592"/>
      <c r="C742" s="2473"/>
      <c r="D742" s="896"/>
      <c r="E742" s="2688"/>
      <c r="F742" s="1425"/>
      <c r="G742" s="1583"/>
      <c r="H742" s="1583"/>
      <c r="I742" s="1583"/>
      <c r="J742" s="1338"/>
      <c r="K742" s="1338"/>
      <c r="L742" s="1284"/>
      <c r="M742" s="1584"/>
      <c r="N742" s="1539"/>
      <c r="P742" s="1003"/>
      <c r="Q742" s="1003"/>
    </row>
    <row r="743" spans="1:17" s="1002" customFormat="1" ht="24" hidden="1" customHeight="1" x14ac:dyDescent="0.25">
      <c r="A743"/>
      <c r="B743" s="1592"/>
      <c r="C743" s="2474" t="s">
        <v>5720</v>
      </c>
      <c r="D743" s="899">
        <f>D744</f>
        <v>300000000</v>
      </c>
      <c r="E743" s="2693">
        <f t="shared" si="22"/>
        <v>0.26286079747339602</v>
      </c>
      <c r="F743" s="1425"/>
      <c r="G743" s="1583"/>
      <c r="H743" s="1583"/>
      <c r="I743" s="1583"/>
      <c r="J743" s="1338"/>
      <c r="K743" s="1338"/>
      <c r="L743" s="1284"/>
      <c r="M743" s="1584"/>
      <c r="N743" s="1539"/>
      <c r="P743" s="1003"/>
      <c r="Q743" s="1003"/>
    </row>
    <row r="744" spans="1:17" s="1002" customFormat="1" ht="21" hidden="1" customHeight="1" x14ac:dyDescent="0.25">
      <c r="A744"/>
      <c r="B744" s="1592"/>
      <c r="C744" s="2473" t="s">
        <v>5721</v>
      </c>
      <c r="D744" s="896">
        <v>300000000</v>
      </c>
      <c r="E744" s="2688">
        <f t="shared" si="22"/>
        <v>0.26286079747339602</v>
      </c>
      <c r="F744" s="1425"/>
      <c r="G744" s="1583"/>
      <c r="H744" s="1583"/>
      <c r="I744" s="1583"/>
      <c r="J744" s="1338"/>
      <c r="K744" s="1338"/>
      <c r="L744" s="1284"/>
      <c r="M744" s="1584"/>
      <c r="N744" s="1539"/>
      <c r="P744" s="1003"/>
      <c r="Q744" s="1003"/>
    </row>
    <row r="745" spans="1:17" s="1002" customFormat="1" ht="14.25" hidden="1" customHeight="1" x14ac:dyDescent="0.25">
      <c r="A745"/>
      <c r="B745" s="1592"/>
      <c r="C745" s="2473"/>
      <c r="D745" s="896"/>
      <c r="E745" s="2688"/>
      <c r="F745" s="1427"/>
      <c r="G745" s="1790"/>
      <c r="H745" s="1790"/>
      <c r="I745" s="1790"/>
      <c r="J745" s="1340"/>
      <c r="K745" s="1340"/>
      <c r="L745" s="1281"/>
      <c r="M745" s="1611"/>
      <c r="N745" s="1539"/>
      <c r="P745" s="1003"/>
      <c r="Q745" s="1003"/>
    </row>
    <row r="746" spans="1:17" s="1002" customFormat="1" ht="26.25" hidden="1" customHeight="1" x14ac:dyDescent="0.25">
      <c r="A746"/>
      <c r="B746" s="1592"/>
      <c r="C746" s="2474" t="s">
        <v>5722</v>
      </c>
      <c r="D746" s="899">
        <f>D747</f>
        <v>150000000</v>
      </c>
      <c r="E746" s="2693">
        <f t="shared" si="22"/>
        <v>0.13143039873669801</v>
      </c>
      <c r="F746" s="1425"/>
      <c r="G746" s="1583"/>
      <c r="H746" s="1583"/>
      <c r="I746" s="1583"/>
      <c r="J746" s="1338"/>
      <c r="K746" s="1338"/>
      <c r="L746" s="1284"/>
      <c r="M746" s="1584"/>
      <c r="N746" s="1539"/>
      <c r="P746" s="1003"/>
      <c r="Q746" s="1003"/>
    </row>
    <row r="747" spans="1:17" s="1002" customFormat="1" ht="19.5" hidden="1" customHeight="1" x14ac:dyDescent="0.25">
      <c r="A747"/>
      <c r="B747" s="1592"/>
      <c r="C747" s="2473" t="s">
        <v>5723</v>
      </c>
      <c r="D747" s="896">
        <v>150000000</v>
      </c>
      <c r="E747" s="2688">
        <f t="shared" si="22"/>
        <v>0.13143039873669801</v>
      </c>
      <c r="F747" s="1425"/>
      <c r="G747" s="1583"/>
      <c r="H747" s="1583"/>
      <c r="I747" s="1583"/>
      <c r="J747" s="1338"/>
      <c r="K747" s="1338"/>
      <c r="L747" s="1284"/>
      <c r="M747" s="1584"/>
      <c r="N747" s="1539"/>
      <c r="P747" s="1003"/>
      <c r="Q747" s="1003"/>
    </row>
    <row r="748" spans="1:17" ht="15.75" hidden="1" customHeight="1" x14ac:dyDescent="0.25">
      <c r="B748" s="1592"/>
      <c r="C748" s="2475"/>
      <c r="D748" s="3792"/>
      <c r="E748" s="2758"/>
      <c r="F748" s="1427"/>
      <c r="G748" s="1790"/>
      <c r="H748" s="1790"/>
      <c r="I748" s="1790"/>
      <c r="J748" s="1340"/>
      <c r="K748" s="1340"/>
      <c r="L748" s="1281"/>
      <c r="M748" s="1611"/>
      <c r="N748" s="1539"/>
    </row>
    <row r="749" spans="1:17" ht="33" hidden="1" customHeight="1" x14ac:dyDescent="0.25">
      <c r="B749" s="1609"/>
      <c r="C749" s="2471" t="s">
        <v>5724</v>
      </c>
      <c r="D749" s="3684">
        <f>D750</f>
        <v>100000000</v>
      </c>
      <c r="E749" s="2717">
        <f>D749/114128848000*100</f>
        <v>8.7620265824465346E-2</v>
      </c>
      <c r="F749" s="1429"/>
      <c r="G749" s="1576"/>
      <c r="H749" s="1576"/>
      <c r="I749" s="1576"/>
      <c r="J749" s="1575"/>
      <c r="K749" s="1575"/>
      <c r="L749" s="1796"/>
      <c r="M749" s="1577"/>
      <c r="N749" s="1539"/>
    </row>
    <row r="750" spans="1:17" ht="21" hidden="1" customHeight="1" x14ac:dyDescent="0.25">
      <c r="B750" s="1592"/>
      <c r="C750" s="2478" t="s">
        <v>5729</v>
      </c>
      <c r="D750" s="3687">
        <f>D751</f>
        <v>100000000</v>
      </c>
      <c r="E750" s="2693">
        <f>D750/114128848000*100</f>
        <v>8.7620265824465346E-2</v>
      </c>
      <c r="F750" s="1427"/>
      <c r="G750" s="1790"/>
      <c r="H750" s="1790"/>
      <c r="I750" s="1790"/>
      <c r="J750" s="1340"/>
      <c r="K750" s="1340"/>
      <c r="L750" s="1281"/>
      <c r="M750" s="1611"/>
      <c r="N750" s="1539"/>
    </row>
    <row r="751" spans="1:17" ht="24.75" hidden="1" customHeight="1" x14ac:dyDescent="0.25">
      <c r="B751" s="1592"/>
      <c r="C751" s="2473" t="s">
        <v>5731</v>
      </c>
      <c r="D751" s="896">
        <v>100000000</v>
      </c>
      <c r="E751" s="2688">
        <f t="shared" ref="E751" si="23">D751/114128848000*100</f>
        <v>8.7620265824465346E-2</v>
      </c>
      <c r="F751" s="1425"/>
      <c r="G751" s="1583"/>
      <c r="H751" s="1583"/>
      <c r="I751" s="1583"/>
      <c r="J751" s="1338"/>
      <c r="K751" s="1338"/>
      <c r="L751" s="1284"/>
      <c r="M751" s="1584"/>
      <c r="N751" s="1539"/>
    </row>
    <row r="752" spans="1:17" ht="12" hidden="1" customHeight="1" x14ac:dyDescent="0.25">
      <c r="B752" s="1592"/>
      <c r="C752" s="2475"/>
      <c r="D752" s="3792"/>
      <c r="E752" s="2758"/>
      <c r="F752" s="1427"/>
      <c r="G752" s="1790"/>
      <c r="H752" s="1790"/>
      <c r="I752" s="1790"/>
      <c r="J752" s="1340"/>
      <c r="K752" s="1340"/>
      <c r="L752" s="1281"/>
      <c r="M752" s="1611"/>
      <c r="N752" s="1539"/>
    </row>
    <row r="753" spans="1:18" ht="22.5" hidden="1" customHeight="1" x14ac:dyDescent="0.25">
      <c r="B753" s="1609"/>
      <c r="C753" s="2471" t="s">
        <v>5753</v>
      </c>
      <c r="D753" s="3684">
        <f>D754</f>
        <v>1164000000</v>
      </c>
      <c r="E753" s="2717">
        <f>D753/114128848000*100</f>
        <v>1.0198998941967767</v>
      </c>
      <c r="F753" s="1429"/>
      <c r="G753" s="1576"/>
      <c r="H753" s="1576"/>
      <c r="I753" s="1576"/>
      <c r="J753" s="1575"/>
      <c r="K753" s="1575"/>
      <c r="L753" s="1796"/>
      <c r="M753" s="1577"/>
      <c r="N753" s="1539"/>
    </row>
    <row r="754" spans="1:18" ht="35.25" hidden="1" customHeight="1" x14ac:dyDescent="0.25">
      <c r="B754" s="1592"/>
      <c r="C754" s="2525" t="s">
        <v>5756</v>
      </c>
      <c r="D754" s="899">
        <f>D755+D756+D757</f>
        <v>1164000000</v>
      </c>
      <c r="E754" s="2693">
        <f>D754/114128848000*100</f>
        <v>1.0198998941967767</v>
      </c>
      <c r="F754" s="1427"/>
      <c r="G754" s="1790"/>
      <c r="H754" s="1790"/>
      <c r="I754" s="1790"/>
      <c r="J754" s="1340"/>
      <c r="K754" s="1340"/>
      <c r="L754" s="1281"/>
      <c r="M754" s="1611"/>
      <c r="N754" s="1539"/>
    </row>
    <row r="755" spans="1:18" ht="20.25" hidden="1" customHeight="1" x14ac:dyDescent="0.25">
      <c r="B755" s="1592"/>
      <c r="C755" s="2473" t="s">
        <v>5766</v>
      </c>
      <c r="D755" s="896">
        <v>300000000</v>
      </c>
      <c r="E755" s="2688">
        <f t="shared" ref="E755:E757" si="24">D755/114128848000*100</f>
        <v>0.26286079747339602</v>
      </c>
      <c r="F755" s="1425"/>
      <c r="G755" s="1583"/>
      <c r="H755" s="1583"/>
      <c r="I755" s="1583"/>
      <c r="J755" s="1338"/>
      <c r="K755" s="1338"/>
      <c r="L755" s="1284"/>
      <c r="M755" s="1584"/>
      <c r="N755" s="1539"/>
    </row>
    <row r="756" spans="1:18" ht="20.25" hidden="1" customHeight="1" x14ac:dyDescent="0.25">
      <c r="B756" s="1592"/>
      <c r="C756" s="2473" t="s">
        <v>5767</v>
      </c>
      <c r="D756" s="896">
        <v>464000000</v>
      </c>
      <c r="E756" s="2688">
        <f t="shared" si="24"/>
        <v>0.40655803342551922</v>
      </c>
      <c r="F756" s="1425"/>
      <c r="G756" s="1583"/>
      <c r="H756" s="1583"/>
      <c r="I756" s="1583"/>
      <c r="J756" s="1338"/>
      <c r="K756" s="1338"/>
      <c r="L756" s="1284"/>
      <c r="M756" s="1584"/>
      <c r="N756" s="1539"/>
    </row>
    <row r="757" spans="1:18" ht="20.25" hidden="1" customHeight="1" x14ac:dyDescent="0.25">
      <c r="B757" s="1592"/>
      <c r="C757" s="2473" t="s">
        <v>5768</v>
      </c>
      <c r="D757" s="896">
        <v>400000000</v>
      </c>
      <c r="E757" s="2688">
        <f t="shared" si="24"/>
        <v>0.35048106329786138</v>
      </c>
      <c r="F757" s="1425"/>
      <c r="G757" s="1583"/>
      <c r="H757" s="1583"/>
      <c r="I757" s="1583"/>
      <c r="J757" s="1338"/>
      <c r="K757" s="1338"/>
      <c r="L757" s="1284"/>
      <c r="M757" s="1584"/>
      <c r="N757" s="1539"/>
    </row>
    <row r="758" spans="1:18" ht="12" hidden="1" customHeight="1" x14ac:dyDescent="0.25">
      <c r="B758" s="1592"/>
      <c r="C758" s="2558"/>
      <c r="D758" s="3132"/>
      <c r="E758" s="3226"/>
      <c r="F758" s="1236"/>
      <c r="G758" s="1236"/>
      <c r="H758" s="1255"/>
      <c r="I758" s="1255"/>
      <c r="J758" s="1340"/>
      <c r="K758" s="1340"/>
      <c r="L758" s="1329"/>
      <c r="M758" s="1611"/>
      <c r="N758" s="1539"/>
    </row>
    <row r="759" spans="1:18" s="1" customFormat="1" ht="21.75" hidden="1" customHeight="1" x14ac:dyDescent="0.25">
      <c r="B759" s="1588"/>
      <c r="C759" s="2522" t="s">
        <v>7003</v>
      </c>
      <c r="D759" s="3786">
        <f>SUM(+D761+D794+D798+D802+D806+D810+D814+D818+D822+D826+D830+D834+D838+D842+D846+D855+D859+D863)</f>
        <v>19750487539</v>
      </c>
      <c r="E759" s="2948">
        <f>D759/2512247400000*100</f>
        <v>0.78616809550683586</v>
      </c>
      <c r="F759" s="1404"/>
      <c r="G759" s="1715"/>
      <c r="H759" s="1316"/>
      <c r="I759" s="1335"/>
      <c r="J759" s="1715"/>
      <c r="K759" s="1715"/>
      <c r="L759" s="1335"/>
      <c r="M759" s="1612"/>
      <c r="N759" s="1540"/>
      <c r="O759" s="1015"/>
      <c r="P759" s="1016"/>
      <c r="Q759" s="1016"/>
      <c r="R759" s="1015"/>
    </row>
    <row r="760" spans="1:18" ht="8.25" hidden="1" customHeight="1" x14ac:dyDescent="0.25">
      <c r="B760" s="1592"/>
      <c r="C760" s="2482"/>
      <c r="D760" s="3477"/>
      <c r="E760" s="2840"/>
      <c r="F760" s="1436"/>
      <c r="G760" s="1256"/>
      <c r="H760" s="1819"/>
      <c r="I760" s="1366"/>
      <c r="J760" s="1581"/>
      <c r="K760" s="1581"/>
      <c r="L760" s="1340"/>
      <c r="M760" s="1611"/>
      <c r="N760" s="1539"/>
    </row>
    <row r="761" spans="1:18" s="1002" customFormat="1" ht="21" hidden="1" customHeight="1" x14ac:dyDescent="0.25">
      <c r="A761"/>
      <c r="B761" s="1609"/>
      <c r="C761" s="2497" t="s">
        <v>252</v>
      </c>
      <c r="D761" s="2669">
        <f>SUM(D762+D765+D769+D775+D778+D783+D786+D789)</f>
        <v>5202582539</v>
      </c>
      <c r="E761" s="2786">
        <f>D761/1080051142000*100</f>
        <v>0.4816977952882901</v>
      </c>
      <c r="F761" s="1244"/>
      <c r="G761" s="1244"/>
      <c r="H761" s="1238"/>
      <c r="I761" s="1333"/>
      <c r="J761" s="1244"/>
      <c r="K761" s="1244"/>
      <c r="L761" s="1333"/>
      <c r="M761" s="1717"/>
      <c r="N761" s="1539"/>
      <c r="P761" s="1003"/>
      <c r="Q761" s="1003"/>
    </row>
    <row r="762" spans="1:18" s="1002" customFormat="1" ht="20.25" hidden="1" customHeight="1" x14ac:dyDescent="0.25">
      <c r="A762"/>
      <c r="B762" s="1592"/>
      <c r="C762" s="2491" t="s">
        <v>2665</v>
      </c>
      <c r="D762" s="2692">
        <f>D763</f>
        <v>2890928000</v>
      </c>
      <c r="E762" s="3794">
        <f>D762/108005114000*100</f>
        <v>2.6766584404512548</v>
      </c>
      <c r="F762" s="1245"/>
      <c r="G762" s="1820"/>
      <c r="H762" s="1273"/>
      <c r="I762" s="1235"/>
      <c r="J762" s="1245"/>
      <c r="K762" s="1245"/>
      <c r="L762" s="1235"/>
      <c r="M762" s="1713"/>
      <c r="N762" s="1539"/>
      <c r="P762" s="1003"/>
      <c r="Q762" s="1003"/>
    </row>
    <row r="763" spans="1:18" s="1002" customFormat="1" ht="21" hidden="1" customHeight="1" x14ac:dyDescent="0.25">
      <c r="A763"/>
      <c r="B763" s="1592"/>
      <c r="C763" s="2506" t="s">
        <v>2844</v>
      </c>
      <c r="D763" s="896">
        <v>2890928000</v>
      </c>
      <c r="E763" s="2810">
        <f>D763/108005114000*100</f>
        <v>2.6766584404512548</v>
      </c>
      <c r="F763" s="1272"/>
      <c r="G763" s="1269"/>
      <c r="H763" s="1269"/>
      <c r="I763" s="1269"/>
      <c r="J763" s="1269"/>
      <c r="K763" s="1269"/>
      <c r="L763" s="1269"/>
      <c r="M763" s="1821"/>
      <c r="N763" s="1539"/>
      <c r="P763" s="1003"/>
      <c r="Q763" s="1003"/>
    </row>
    <row r="764" spans="1:18" s="1002" customFormat="1" ht="15" hidden="1" customHeight="1" x14ac:dyDescent="0.25">
      <c r="A764"/>
      <c r="B764" s="1592"/>
      <c r="C764" s="2494"/>
      <c r="D764" s="2698"/>
      <c r="E764" s="2810"/>
      <c r="F764" s="1269"/>
      <c r="G764" s="1595"/>
      <c r="H764" s="1822"/>
      <c r="I764" s="1269"/>
      <c r="J764" s="1823"/>
      <c r="K764" s="1824"/>
      <c r="L764" s="1269"/>
      <c r="M764" s="1821"/>
      <c r="N764" s="1539"/>
      <c r="P764" s="1003"/>
      <c r="Q764" s="1003"/>
    </row>
    <row r="765" spans="1:18" s="1002" customFormat="1" ht="18.75" hidden="1" customHeight="1" x14ac:dyDescent="0.25">
      <c r="A765"/>
      <c r="B765" s="1592"/>
      <c r="C765" s="2491" t="s">
        <v>7354</v>
      </c>
      <c r="D765" s="2692">
        <f>SUM(D766:D767)</f>
        <v>750000000</v>
      </c>
      <c r="E765" s="2813">
        <f t="shared" ref="E765:E792" si="25">D765/108005114000*100</f>
        <v>0.69441156277099991</v>
      </c>
      <c r="F765" s="1269"/>
      <c r="G765" s="1228"/>
      <c r="H765" s="1268"/>
      <c r="I765" s="1581"/>
      <c r="J765" s="1338"/>
      <c r="K765" s="1338"/>
      <c r="L765" s="1338"/>
      <c r="M765" s="1584"/>
      <c r="N765" s="1539"/>
      <c r="P765" s="1003"/>
      <c r="Q765" s="1003"/>
    </row>
    <row r="766" spans="1:18" s="1002" customFormat="1" ht="22.5" hidden="1" customHeight="1" x14ac:dyDescent="0.25">
      <c r="A766"/>
      <c r="B766" s="1592"/>
      <c r="C766" s="2494" t="s">
        <v>7355</v>
      </c>
      <c r="D766" s="2698">
        <v>550000000</v>
      </c>
      <c r="E766" s="2810">
        <f t="shared" si="25"/>
        <v>0.50923514603206665</v>
      </c>
      <c r="F766" s="1270"/>
      <c r="G766" s="1820"/>
      <c r="H766" s="1273"/>
      <c r="I766" s="1314"/>
      <c r="J766" s="1270"/>
      <c r="K766" s="1270"/>
      <c r="L766" s="1280"/>
      <c r="M766" s="1805"/>
      <c r="N766" s="1539"/>
      <c r="P766" s="1003"/>
      <c r="Q766" s="1003"/>
    </row>
    <row r="767" spans="1:18" s="1002" customFormat="1" ht="24" hidden="1" customHeight="1" x14ac:dyDescent="0.25">
      <c r="A767"/>
      <c r="B767" s="1592"/>
      <c r="C767" s="2494" t="s">
        <v>7356</v>
      </c>
      <c r="D767" s="2698">
        <v>200000000</v>
      </c>
      <c r="E767" s="2810">
        <f t="shared" si="25"/>
        <v>0.18517641673893329</v>
      </c>
      <c r="F767" s="1269"/>
      <c r="G767" s="1595"/>
      <c r="H767" s="1822"/>
      <c r="I767" s="1492"/>
      <c r="J767" s="1269"/>
      <c r="K767" s="1595"/>
      <c r="L767" s="1315"/>
      <c r="M767" s="1740"/>
      <c r="N767" s="1539"/>
      <c r="P767" s="1003"/>
      <c r="Q767" s="1003"/>
    </row>
    <row r="768" spans="1:18" s="1002" customFormat="1" ht="13.5" hidden="1" customHeight="1" x14ac:dyDescent="0.25">
      <c r="A768"/>
      <c r="B768" s="1592"/>
      <c r="C768" s="2494"/>
      <c r="D768" s="2698"/>
      <c r="E768" s="2810"/>
      <c r="F768" s="1228"/>
      <c r="G768" s="1228"/>
      <c r="H768" s="1256"/>
      <c r="I768" s="1492"/>
      <c r="J768" s="1228"/>
      <c r="K768" s="1315"/>
      <c r="L768" s="1315"/>
      <c r="M768" s="1740"/>
      <c r="N768" s="1539"/>
      <c r="P768" s="1003"/>
      <c r="Q768" s="1003"/>
    </row>
    <row r="769" spans="1:17" s="1002" customFormat="1" ht="24" hidden="1" customHeight="1" x14ac:dyDescent="0.25">
      <c r="A769"/>
      <c r="B769" s="1592"/>
      <c r="C769" s="2491" t="s">
        <v>2669</v>
      </c>
      <c r="D769" s="2692">
        <f>SUM(D770:D773)</f>
        <v>576600000</v>
      </c>
      <c r="E769" s="2813">
        <f t="shared" si="25"/>
        <v>0.53386360945834466</v>
      </c>
      <c r="F769" s="1235"/>
      <c r="G769" s="1820"/>
      <c r="H769" s="1273"/>
      <c r="I769" s="1235"/>
      <c r="J769" s="1235"/>
      <c r="K769" s="1235"/>
      <c r="L769" s="1449"/>
      <c r="M769" s="1825"/>
      <c r="N769" s="1539"/>
      <c r="P769" s="1003"/>
      <c r="Q769" s="1003"/>
    </row>
    <row r="770" spans="1:17" s="1002" customFormat="1" ht="19.5" hidden="1" customHeight="1" x14ac:dyDescent="0.25">
      <c r="A770"/>
      <c r="B770" s="1592"/>
      <c r="C770" s="2494" t="s">
        <v>7357</v>
      </c>
      <c r="D770" s="2698">
        <v>176500000</v>
      </c>
      <c r="E770" s="2810">
        <f t="shared" si="25"/>
        <v>0.16341818777210865</v>
      </c>
      <c r="F770" s="1269"/>
      <c r="G770" s="1595"/>
      <c r="H770" s="1822"/>
      <c r="I770" s="1228"/>
      <c r="J770" s="1595"/>
      <c r="K770" s="1595"/>
      <c r="L770" s="1315"/>
      <c r="M770" s="1740"/>
      <c r="N770" s="1539"/>
      <c r="P770" s="1003"/>
      <c r="Q770" s="1003"/>
    </row>
    <row r="771" spans="1:17" s="1002" customFormat="1" ht="22.5" hidden="1" customHeight="1" x14ac:dyDescent="0.25">
      <c r="A771"/>
      <c r="B771" s="1592"/>
      <c r="C771" s="2494" t="s">
        <v>7358</v>
      </c>
      <c r="D771" s="2698">
        <v>250000000</v>
      </c>
      <c r="E771" s="2810">
        <f t="shared" si="25"/>
        <v>0.23147052092366666</v>
      </c>
      <c r="F771" s="1269"/>
      <c r="G771" s="1269"/>
      <c r="H771" s="1269"/>
      <c r="I771" s="1269"/>
      <c r="J771" s="1269"/>
      <c r="K771" s="1269"/>
      <c r="L771" s="1255"/>
      <c r="M771" s="1631"/>
      <c r="N771" s="1539"/>
      <c r="P771" s="1003"/>
      <c r="Q771" s="1003"/>
    </row>
    <row r="772" spans="1:17" s="1002" customFormat="1" ht="21" hidden="1" customHeight="1" x14ac:dyDescent="0.25">
      <c r="A772"/>
      <c r="B772" s="1592"/>
      <c r="C772" s="2494" t="s">
        <v>7359</v>
      </c>
      <c r="D772" s="2698">
        <v>99900000</v>
      </c>
      <c r="E772" s="2810">
        <f t="shared" si="25"/>
        <v>9.2495620161097178E-2</v>
      </c>
      <c r="F772" s="1269"/>
      <c r="G772" s="1269"/>
      <c r="H772" s="1269"/>
      <c r="I772" s="1269"/>
      <c r="J772" s="1269"/>
      <c r="K772" s="1269"/>
      <c r="L772" s="1269"/>
      <c r="M772" s="1821"/>
      <c r="N772" s="1539"/>
      <c r="P772" s="1003"/>
      <c r="Q772" s="1003"/>
    </row>
    <row r="773" spans="1:17" s="1002" customFormat="1" ht="21" hidden="1" customHeight="1" x14ac:dyDescent="0.25">
      <c r="A773"/>
      <c r="B773" s="1592"/>
      <c r="C773" s="2494" t="s">
        <v>7360</v>
      </c>
      <c r="D773" s="2698">
        <v>50200000</v>
      </c>
      <c r="E773" s="2810">
        <f t="shared" si="25"/>
        <v>4.6479280601472259E-2</v>
      </c>
      <c r="F773" s="1269"/>
      <c r="G773" s="1269"/>
      <c r="H773" s="1269"/>
      <c r="I773" s="1269"/>
      <c r="J773" s="1269"/>
      <c r="K773" s="1269"/>
      <c r="L773" s="1269"/>
      <c r="M773" s="1821"/>
      <c r="N773" s="1539"/>
      <c r="P773" s="1003"/>
      <c r="Q773" s="1003"/>
    </row>
    <row r="774" spans="1:17" s="1002" customFormat="1" ht="15" hidden="1" customHeight="1" x14ac:dyDescent="0.25">
      <c r="A774"/>
      <c r="B774" s="1592"/>
      <c r="C774" s="2494"/>
      <c r="D774" s="2698"/>
      <c r="E774" s="2810"/>
      <c r="F774" s="1269"/>
      <c r="G774" s="1595"/>
      <c r="H774" s="1822"/>
      <c r="I774" s="1228"/>
      <c r="J774" s="1823"/>
      <c r="K774" s="1824"/>
      <c r="L774" s="1315"/>
      <c r="M774" s="1740"/>
      <c r="N774" s="1539"/>
      <c r="P774" s="1003"/>
      <c r="Q774" s="1003"/>
    </row>
    <row r="775" spans="1:17" s="1002" customFormat="1" ht="22.5" hidden="1" customHeight="1" x14ac:dyDescent="0.25">
      <c r="A775"/>
      <c r="B775" s="1592"/>
      <c r="C775" s="2491" t="s">
        <v>7361</v>
      </c>
      <c r="D775" s="2692">
        <f>D776</f>
        <v>200000000</v>
      </c>
      <c r="E775" s="2813">
        <f t="shared" si="25"/>
        <v>0.18517641673893329</v>
      </c>
      <c r="F775" s="1269"/>
      <c r="G775" s="1595"/>
      <c r="H775" s="1822"/>
      <c r="I775" s="1492"/>
      <c r="J775" s="1823"/>
      <c r="K775" s="1824"/>
      <c r="L775" s="1315"/>
      <c r="M775" s="1584"/>
      <c r="N775" s="1539"/>
      <c r="P775" s="1003"/>
      <c r="Q775" s="1003"/>
    </row>
    <row r="776" spans="1:17" s="1002" customFormat="1" ht="32.25" hidden="1" customHeight="1" x14ac:dyDescent="0.25">
      <c r="A776"/>
      <c r="B776" s="1592"/>
      <c r="C776" s="2494" t="s">
        <v>7362</v>
      </c>
      <c r="D776" s="2698">
        <v>200000000</v>
      </c>
      <c r="E776" s="2810">
        <f t="shared" si="25"/>
        <v>0.18517641673893329</v>
      </c>
      <c r="F776" s="1269"/>
      <c r="G776" s="1269"/>
      <c r="H776" s="1269"/>
      <c r="I776" s="1269"/>
      <c r="J776" s="1823"/>
      <c r="K776" s="1269"/>
      <c r="L776" s="1269"/>
      <c r="M776" s="1821"/>
      <c r="N776" s="1539"/>
      <c r="P776" s="1003"/>
      <c r="Q776" s="1003"/>
    </row>
    <row r="777" spans="1:17" s="1002" customFormat="1" ht="12" hidden="1" customHeight="1" x14ac:dyDescent="0.25">
      <c r="A777"/>
      <c r="B777" s="1592"/>
      <c r="C777" s="2494"/>
      <c r="D777" s="2698"/>
      <c r="E777" s="2810"/>
      <c r="F777" s="1228"/>
      <c r="G777" s="1235"/>
      <c r="H777" s="1296"/>
      <c r="I777" s="1314"/>
      <c r="J777" s="1235"/>
      <c r="K777" s="1235"/>
      <c r="L777" s="1280"/>
      <c r="M777" s="1805"/>
      <c r="N777" s="1539"/>
      <c r="P777" s="1003"/>
      <c r="Q777" s="1003"/>
    </row>
    <row r="778" spans="1:17" s="1002" customFormat="1" ht="24.75" hidden="1" customHeight="1" x14ac:dyDescent="0.25">
      <c r="A778"/>
      <c r="B778" s="1592"/>
      <c r="C778" s="2491" t="s">
        <v>2852</v>
      </c>
      <c r="D778" s="2692">
        <f>SUM(D779:D781)</f>
        <v>474300000</v>
      </c>
      <c r="E778" s="2813">
        <f t="shared" si="25"/>
        <v>0.43914587229638036</v>
      </c>
      <c r="F778" s="1235"/>
      <c r="G778" s="1820"/>
      <c r="H778" s="1273"/>
      <c r="I778" s="1314"/>
      <c r="J778" s="1235"/>
      <c r="K778" s="1235"/>
      <c r="L778" s="1449"/>
      <c r="M778" s="1805"/>
      <c r="N778" s="1539"/>
      <c r="P778" s="1003"/>
      <c r="Q778" s="1003"/>
    </row>
    <row r="779" spans="1:17" s="1002" customFormat="1" ht="21" hidden="1" customHeight="1" x14ac:dyDescent="0.25">
      <c r="A779"/>
      <c r="B779" s="1592"/>
      <c r="C779" s="2494" t="s">
        <v>2853</v>
      </c>
      <c r="D779" s="2698">
        <v>74300000</v>
      </c>
      <c r="E779" s="2810">
        <f t="shared" si="25"/>
        <v>6.879303881851373E-2</v>
      </c>
      <c r="F779" s="1228"/>
      <c r="G779" s="1595"/>
      <c r="H779" s="1822"/>
      <c r="I779" s="1492"/>
      <c r="J779" s="1823"/>
      <c r="K779" s="1824"/>
      <c r="L779" s="1315"/>
      <c r="M779" s="1584"/>
      <c r="N779" s="1539"/>
      <c r="P779" s="1003"/>
      <c r="Q779" s="1003"/>
    </row>
    <row r="780" spans="1:17" s="1002" customFormat="1" ht="23.25" hidden="1" customHeight="1" x14ac:dyDescent="0.25">
      <c r="A780"/>
      <c r="B780" s="1592"/>
      <c r="C780" s="2494" t="s">
        <v>2854</v>
      </c>
      <c r="D780" s="2698">
        <v>200000000</v>
      </c>
      <c r="E780" s="2810">
        <f t="shared" si="25"/>
        <v>0.18517641673893329</v>
      </c>
      <c r="F780" s="1228"/>
      <c r="G780" s="1235"/>
      <c r="H780" s="1240"/>
      <c r="I780" s="1314"/>
      <c r="J780" s="1235"/>
      <c r="K780" s="1235"/>
      <c r="L780" s="1280"/>
      <c r="M780" s="1805"/>
      <c r="N780" s="1539"/>
      <c r="P780" s="1003"/>
      <c r="Q780" s="1003"/>
    </row>
    <row r="781" spans="1:17" s="1002" customFormat="1" ht="44.25" hidden="1" customHeight="1" x14ac:dyDescent="0.25">
      <c r="A781"/>
      <c r="B781" s="1592"/>
      <c r="C781" s="2494" t="s">
        <v>2855</v>
      </c>
      <c r="D781" s="2698">
        <v>200000000</v>
      </c>
      <c r="E781" s="2810">
        <f t="shared" si="25"/>
        <v>0.18517641673893329</v>
      </c>
      <c r="F781" s="1235"/>
      <c r="G781" s="1820"/>
      <c r="H781" s="1273"/>
      <c r="I781" s="1314"/>
      <c r="J781" s="1235"/>
      <c r="K781" s="1235"/>
      <c r="L781" s="1449"/>
      <c r="M781" s="1805"/>
      <c r="N781" s="1539"/>
      <c r="P781" s="1003"/>
      <c r="Q781" s="1003"/>
    </row>
    <row r="782" spans="1:17" s="1002" customFormat="1" ht="14.25" hidden="1" customHeight="1" x14ac:dyDescent="0.25">
      <c r="A782"/>
      <c r="B782" s="1592"/>
      <c r="C782" s="2494"/>
      <c r="D782" s="2698"/>
      <c r="E782" s="2810"/>
      <c r="F782" s="1228"/>
      <c r="G782" s="1269"/>
      <c r="H782" s="1269"/>
      <c r="I782" s="1269"/>
      <c r="J782" s="1823"/>
      <c r="K782" s="1269"/>
      <c r="L782" s="1269"/>
      <c r="M782" s="1821"/>
      <c r="N782" s="1539"/>
      <c r="P782" s="1003"/>
      <c r="Q782" s="1003"/>
    </row>
    <row r="783" spans="1:17" s="1002" customFormat="1" ht="23.25" hidden="1" customHeight="1" x14ac:dyDescent="0.25">
      <c r="A783"/>
      <c r="B783" s="1592"/>
      <c r="C783" s="2491" t="s">
        <v>7363</v>
      </c>
      <c r="D783" s="2692">
        <f>D784</f>
        <v>30000000</v>
      </c>
      <c r="E783" s="2813">
        <f t="shared" si="25"/>
        <v>2.7776462510839994E-2</v>
      </c>
      <c r="F783" s="1228"/>
      <c r="G783" s="1269"/>
      <c r="H783" s="1269"/>
      <c r="I783" s="1269"/>
      <c r="J783" s="1823"/>
      <c r="K783" s="1269"/>
      <c r="L783" s="1269"/>
      <c r="M783" s="1821"/>
      <c r="N783" s="1539"/>
      <c r="P783" s="1003"/>
      <c r="Q783" s="1003"/>
    </row>
    <row r="784" spans="1:17" s="1002" customFormat="1" ht="24.75" hidden="1" customHeight="1" x14ac:dyDescent="0.25">
      <c r="A784"/>
      <c r="B784" s="1592"/>
      <c r="C784" s="2494" t="s">
        <v>7364</v>
      </c>
      <c r="D784" s="2698">
        <v>30000000</v>
      </c>
      <c r="E784" s="2810">
        <f t="shared" si="25"/>
        <v>2.7776462510839994E-2</v>
      </c>
      <c r="F784" s="1228"/>
      <c r="G784" s="1595"/>
      <c r="H784" s="1822"/>
      <c r="I784" s="1492"/>
      <c r="J784" s="1823"/>
      <c r="K784" s="1824"/>
      <c r="L784" s="1315"/>
      <c r="M784" s="1584"/>
      <c r="N784" s="1539"/>
      <c r="P784" s="1003"/>
      <c r="Q784" s="1003"/>
    </row>
    <row r="785" spans="1:17" s="1002" customFormat="1" ht="12" hidden="1" customHeight="1" x14ac:dyDescent="0.25">
      <c r="A785"/>
      <c r="B785" s="1592"/>
      <c r="C785" s="2494"/>
      <c r="D785" s="2698"/>
      <c r="E785" s="2810"/>
      <c r="F785" s="1228"/>
      <c r="G785" s="1269"/>
      <c r="H785" s="1269"/>
      <c r="I785" s="1269"/>
      <c r="J785" s="1823"/>
      <c r="K785" s="1269"/>
      <c r="L785" s="1269"/>
      <c r="M785" s="1821"/>
      <c r="N785" s="1539"/>
      <c r="P785" s="1003"/>
      <c r="Q785" s="1003"/>
    </row>
    <row r="786" spans="1:17" s="1002" customFormat="1" ht="22.5" hidden="1" customHeight="1" x14ac:dyDescent="0.25">
      <c r="A786"/>
      <c r="B786" s="1592"/>
      <c r="C786" s="2491" t="s">
        <v>7365</v>
      </c>
      <c r="D786" s="2692">
        <f>D787</f>
        <v>47500000</v>
      </c>
      <c r="E786" s="2813">
        <f t="shared" si="25"/>
        <v>4.3979398975496659E-2</v>
      </c>
      <c r="F786" s="1228"/>
      <c r="G786" s="1235"/>
      <c r="H786" s="1341"/>
      <c r="I786" s="1314"/>
      <c r="J786" s="1235"/>
      <c r="K786" s="1235"/>
      <c r="L786" s="1280"/>
      <c r="M786" s="1805"/>
      <c r="N786" s="1539"/>
      <c r="P786" s="1003"/>
      <c r="Q786" s="1003"/>
    </row>
    <row r="787" spans="1:17" s="1002" customFormat="1" ht="21" hidden="1" customHeight="1" x14ac:dyDescent="0.25">
      <c r="A787"/>
      <c r="B787" s="1592"/>
      <c r="C787" s="2494" t="s">
        <v>7366</v>
      </c>
      <c r="D787" s="2698">
        <v>47500000</v>
      </c>
      <c r="E787" s="2810">
        <f t="shared" si="25"/>
        <v>4.3979398975496659E-2</v>
      </c>
      <c r="F787" s="1235"/>
      <c r="G787" s="1270"/>
      <c r="H787" s="1270"/>
      <c r="I787" s="1270"/>
      <c r="J787" s="1235"/>
      <c r="K787" s="1235"/>
      <c r="L787" s="1826"/>
      <c r="M787" s="1827"/>
      <c r="N787" s="1539"/>
      <c r="P787" s="1003"/>
      <c r="Q787" s="1003"/>
    </row>
    <row r="788" spans="1:17" s="1002" customFormat="1" ht="14.25" hidden="1" customHeight="1" x14ac:dyDescent="0.25">
      <c r="A788"/>
      <c r="B788" s="1592"/>
      <c r="C788" s="2528"/>
      <c r="D788" s="898"/>
      <c r="E788" s="2810"/>
      <c r="F788" s="1228"/>
      <c r="G788" s="1269"/>
      <c r="H788" s="1269"/>
      <c r="I788" s="1269"/>
      <c r="J788" s="1228"/>
      <c r="K788" s="1269"/>
      <c r="L788" s="1269"/>
      <c r="M788" s="1821"/>
      <c r="N788" s="1539"/>
      <c r="P788" s="1003"/>
      <c r="Q788" s="1003"/>
    </row>
    <row r="789" spans="1:17" s="1002" customFormat="1" ht="21.75" hidden="1" customHeight="1" x14ac:dyDescent="0.25">
      <c r="A789"/>
      <c r="B789" s="1592"/>
      <c r="C789" s="2491" t="s">
        <v>7367</v>
      </c>
      <c r="D789" s="2692">
        <f>SUM(D790:D792)</f>
        <v>233254539</v>
      </c>
      <c r="E789" s="2813">
        <f t="shared" si="25"/>
        <v>0.21596619860055885</v>
      </c>
      <c r="F789" s="1228"/>
      <c r="G789" s="1269"/>
      <c r="H789" s="1269"/>
      <c r="I789" s="1269"/>
      <c r="J789" s="1228"/>
      <c r="K789" s="1228"/>
      <c r="L789" s="1315"/>
      <c r="M789" s="1740"/>
      <c r="N789" s="1539"/>
      <c r="P789" s="1003"/>
      <c r="Q789" s="1003"/>
    </row>
    <row r="790" spans="1:17" s="1002" customFormat="1" ht="21" hidden="1" customHeight="1" x14ac:dyDescent="0.25">
      <c r="A790"/>
      <c r="B790" s="1592"/>
      <c r="C790" s="2494" t="s">
        <v>7368</v>
      </c>
      <c r="D790" s="2698">
        <v>81800000</v>
      </c>
      <c r="E790" s="2810">
        <f t="shared" si="25"/>
        <v>7.5737154446223726E-2</v>
      </c>
      <c r="F790" s="1228"/>
      <c r="G790" s="1269"/>
      <c r="H790" s="1269"/>
      <c r="I790" s="1269"/>
      <c r="J790" s="1228"/>
      <c r="K790" s="1269"/>
      <c r="L790" s="1269"/>
      <c r="M790" s="1821"/>
      <c r="N790" s="1539"/>
      <c r="P790" s="1003"/>
      <c r="Q790" s="1003"/>
    </row>
    <row r="791" spans="1:17" s="1002" customFormat="1" ht="21.75" hidden="1" customHeight="1" x14ac:dyDescent="0.25">
      <c r="A791"/>
      <c r="B791" s="1592"/>
      <c r="C791" s="2494" t="s">
        <v>7369</v>
      </c>
      <c r="D791" s="2698">
        <v>83054539</v>
      </c>
      <c r="E791" s="2810">
        <f t="shared" si="25"/>
        <v>7.6898709629619949E-2</v>
      </c>
      <c r="F791" s="1228"/>
      <c r="G791" s="1228"/>
      <c r="H791" s="1228"/>
      <c r="I791" s="1228"/>
      <c r="J791" s="1228"/>
      <c r="K791" s="1228"/>
      <c r="L791" s="1228"/>
      <c r="M791" s="1714"/>
      <c r="N791" s="1539"/>
      <c r="P791" s="1003"/>
      <c r="Q791" s="1003"/>
    </row>
    <row r="792" spans="1:17" s="1002" customFormat="1" ht="19.5" hidden="1" customHeight="1" x14ac:dyDescent="0.25">
      <c r="A792"/>
      <c r="B792" s="1592"/>
      <c r="C792" s="2494" t="s">
        <v>7370</v>
      </c>
      <c r="D792" s="2698">
        <v>68400000</v>
      </c>
      <c r="E792" s="2810">
        <f t="shared" si="25"/>
        <v>6.333033452471519E-2</v>
      </c>
      <c r="F792" s="1235"/>
      <c r="G792" s="1820"/>
      <c r="H792" s="1273"/>
      <c r="I792" s="1314"/>
      <c r="J792" s="1235"/>
      <c r="K792" s="1235"/>
      <c r="L792" s="1449"/>
      <c r="M792" s="1805"/>
      <c r="N792" s="1539"/>
      <c r="P792" s="1003"/>
      <c r="Q792" s="1003"/>
    </row>
    <row r="793" spans="1:17" s="1002" customFormat="1" ht="19.5" hidden="1" customHeight="1" x14ac:dyDescent="0.25">
      <c r="A793"/>
      <c r="B793" s="1592"/>
      <c r="C793" s="2526"/>
      <c r="D793" s="2769"/>
      <c r="E793" s="2840"/>
      <c r="F793" s="1436"/>
      <c r="G793" s="1256"/>
      <c r="H793" s="1256"/>
      <c r="I793" s="1340"/>
      <c r="J793" s="1340"/>
      <c r="K793" s="1340"/>
      <c r="L793" s="1340"/>
      <c r="M793" s="1611"/>
      <c r="N793" s="1582"/>
      <c r="O793" s="1133"/>
      <c r="P793" s="1134"/>
      <c r="Q793" s="1003"/>
    </row>
    <row r="794" spans="1:17" s="1002" customFormat="1" ht="21" hidden="1" customHeight="1" x14ac:dyDescent="0.25">
      <c r="A794" s="2"/>
      <c r="B794" s="1342"/>
      <c r="C794" s="2532" t="s">
        <v>2877</v>
      </c>
      <c r="D794" s="2744">
        <f>D795</f>
        <v>782400000</v>
      </c>
      <c r="E794" s="2786">
        <f>D794/1080051142000*100</f>
        <v>7.2441014094127038E-2</v>
      </c>
      <c r="F794" s="1437"/>
      <c r="G794" s="1828"/>
      <c r="H794" s="1828"/>
      <c r="I794" s="1575"/>
      <c r="J794" s="1437"/>
      <c r="K794" s="1575"/>
      <c r="L794" s="1604"/>
      <c r="M794" s="1575"/>
      <c r="N794" s="1578"/>
    </row>
    <row r="795" spans="1:17" s="1002" customFormat="1" ht="21.75" hidden="1" customHeight="1" x14ac:dyDescent="0.25">
      <c r="A795" s="2"/>
      <c r="B795" s="1344"/>
      <c r="C795" s="2538" t="s">
        <v>2878</v>
      </c>
      <c r="D795" s="2759">
        <f>D796</f>
        <v>782400000</v>
      </c>
      <c r="E795" s="3794">
        <f>D795/108005114000*100</f>
        <v>0.72441014228270717</v>
      </c>
      <c r="F795" s="842"/>
      <c r="G795" s="1268"/>
      <c r="H795" s="1268"/>
      <c r="I795" s="1581"/>
      <c r="J795" s="842"/>
      <c r="K795" s="1581"/>
      <c r="L795" s="1492"/>
      <c r="M795" s="1581"/>
      <c r="N795" s="1582"/>
    </row>
    <row r="796" spans="1:17" s="1002" customFormat="1" ht="22.5" hidden="1" customHeight="1" x14ac:dyDescent="0.25">
      <c r="A796" s="2"/>
      <c r="B796" s="1344"/>
      <c r="C796" s="2524" t="s">
        <v>2879</v>
      </c>
      <c r="D796" s="896">
        <v>782400000</v>
      </c>
      <c r="E796" s="2810">
        <f>D796/108005114000*100</f>
        <v>0.72441014228270717</v>
      </c>
      <c r="F796" s="840"/>
      <c r="G796" s="1239"/>
      <c r="H796" s="1239"/>
      <c r="I796" s="1338"/>
      <c r="J796" s="840"/>
      <c r="K796" s="1338"/>
      <c r="L796" s="1315"/>
      <c r="M796" s="1338"/>
      <c r="N796" s="1539"/>
    </row>
    <row r="797" spans="1:17" s="1002" customFormat="1" ht="9.75" hidden="1" customHeight="1" x14ac:dyDescent="0.25">
      <c r="A797" s="2"/>
      <c r="B797" s="1344"/>
      <c r="C797" s="2533"/>
      <c r="D797" s="2709"/>
      <c r="E797" s="2818"/>
      <c r="F797" s="1438"/>
      <c r="G797" s="1319"/>
      <c r="H797" s="1319"/>
      <c r="I797" s="1339"/>
      <c r="J797" s="1438"/>
      <c r="K797" s="1339"/>
      <c r="L797" s="1328"/>
      <c r="M797" s="1339"/>
      <c r="N797" s="1574"/>
    </row>
    <row r="798" spans="1:17" ht="20.25" hidden="1" customHeight="1" x14ac:dyDescent="0.25">
      <c r="A798" s="2"/>
      <c r="B798" s="1342"/>
      <c r="C798" s="2532" t="s">
        <v>2880</v>
      </c>
      <c r="D798" s="2744">
        <f>D799</f>
        <v>547680000</v>
      </c>
      <c r="E798" s="2786">
        <f>D798/1080051142000*100</f>
        <v>5.0708709865888928E-2</v>
      </c>
      <c r="F798" s="1437"/>
      <c r="G798" s="1828"/>
      <c r="H798" s="1828"/>
      <c r="I798" s="1575"/>
      <c r="J798" s="1437"/>
      <c r="K798" s="1575"/>
      <c r="L798" s="1604"/>
      <c r="M798" s="1575"/>
      <c r="N798" s="1578"/>
      <c r="P798" s="1002"/>
      <c r="Q798" s="1002"/>
    </row>
    <row r="799" spans="1:17" ht="20.25" hidden="1" customHeight="1" x14ac:dyDescent="0.25">
      <c r="A799" s="2"/>
      <c r="B799" s="1344"/>
      <c r="C799" s="2538" t="s">
        <v>2881</v>
      </c>
      <c r="D799" s="2759">
        <f>D800</f>
        <v>547680000</v>
      </c>
      <c r="E799" s="3794">
        <f>D799/108005114000*100</f>
        <v>0.50708709959789489</v>
      </c>
      <c r="F799" s="842"/>
      <c r="G799" s="1268"/>
      <c r="H799" s="1268"/>
      <c r="I799" s="1581"/>
      <c r="J799" s="842"/>
      <c r="K799" s="1581"/>
      <c r="L799" s="1492"/>
      <c r="M799" s="1581"/>
      <c r="N799" s="1582"/>
      <c r="P799" s="1002"/>
      <c r="Q799" s="1002"/>
    </row>
    <row r="800" spans="1:17" ht="22.5" hidden="1" customHeight="1" x14ac:dyDescent="0.25">
      <c r="A800" s="2"/>
      <c r="B800" s="1344"/>
      <c r="C800" s="2524" t="s">
        <v>2882</v>
      </c>
      <c r="D800" s="896">
        <v>547680000</v>
      </c>
      <c r="E800" s="2810">
        <f>D800/108005114000*100</f>
        <v>0.50708709959789489</v>
      </c>
      <c r="F800" s="840"/>
      <c r="G800" s="1239"/>
      <c r="H800" s="1239"/>
      <c r="I800" s="1338"/>
      <c r="J800" s="840"/>
      <c r="K800" s="1338"/>
      <c r="L800" s="1315"/>
      <c r="M800" s="1338"/>
      <c r="N800" s="1539"/>
      <c r="P800" s="1002"/>
      <c r="Q800" s="1002"/>
    </row>
    <row r="801" spans="1:18" ht="12" hidden="1" customHeight="1" x14ac:dyDescent="0.25">
      <c r="A801" s="2"/>
      <c r="B801" s="1344"/>
      <c r="C801" s="2533"/>
      <c r="D801" s="2709"/>
      <c r="E801" s="2818"/>
      <c r="F801" s="1438"/>
      <c r="G801" s="1319"/>
      <c r="H801" s="1319"/>
      <c r="I801" s="1339"/>
      <c r="J801" s="1438"/>
      <c r="K801" s="1339"/>
      <c r="L801" s="1328"/>
      <c r="M801" s="1339"/>
      <c r="N801" s="1574"/>
      <c r="P801" s="1002"/>
      <c r="Q801" s="1002"/>
    </row>
    <row r="802" spans="1:18" ht="24.75" hidden="1" customHeight="1" x14ac:dyDescent="0.25">
      <c r="A802" s="2"/>
      <c r="B802" s="1342"/>
      <c r="C802" s="2532" t="s">
        <v>2883</v>
      </c>
      <c r="D802" s="2744">
        <f>D803</f>
        <v>754000000</v>
      </c>
      <c r="E802" s="2786">
        <f>D802/1080051142000*100</f>
        <v>6.9811508981303408E-2</v>
      </c>
      <c r="F802" s="1437"/>
      <c r="G802" s="1828"/>
      <c r="H802" s="1828"/>
      <c r="I802" s="1575"/>
      <c r="J802" s="1437"/>
      <c r="K802" s="1575"/>
      <c r="L802" s="1604"/>
      <c r="M802" s="1575"/>
      <c r="N802" s="1578"/>
      <c r="P802" s="1002"/>
      <c r="Q802" s="1002"/>
    </row>
    <row r="803" spans="1:18" ht="22.5" hidden="1" customHeight="1" x14ac:dyDescent="0.25">
      <c r="A803" s="2"/>
      <c r="B803" s="1344"/>
      <c r="C803" s="2538" t="s">
        <v>2884</v>
      </c>
      <c r="D803" s="2759">
        <f>D804</f>
        <v>754000000</v>
      </c>
      <c r="E803" s="3794">
        <f>D803/108005114000*100</f>
        <v>0.69811509110577863</v>
      </c>
      <c r="F803" s="842"/>
      <c r="G803" s="1268"/>
      <c r="H803" s="1268"/>
      <c r="I803" s="1581"/>
      <c r="J803" s="842"/>
      <c r="K803" s="1581"/>
      <c r="L803" s="1492"/>
      <c r="M803" s="1581"/>
      <c r="N803" s="1582"/>
      <c r="P803" s="1002"/>
      <c r="Q803" s="1002"/>
    </row>
    <row r="804" spans="1:18" ht="22.5" hidden="1" customHeight="1" x14ac:dyDescent="0.25">
      <c r="A804" s="2"/>
      <c r="B804" s="1344"/>
      <c r="C804" s="2524" t="s">
        <v>3086</v>
      </c>
      <c r="D804" s="896">
        <v>754000000</v>
      </c>
      <c r="E804" s="2810">
        <f>D804/108005114000*100</f>
        <v>0.69811509110577863</v>
      </c>
      <c r="F804" s="840"/>
      <c r="G804" s="1239"/>
      <c r="H804" s="1239"/>
      <c r="I804" s="1338"/>
      <c r="J804" s="840"/>
      <c r="K804" s="1338"/>
      <c r="L804" s="1315"/>
      <c r="M804" s="1338"/>
      <c r="N804" s="1539"/>
      <c r="P804" s="1002"/>
      <c r="Q804" s="1002"/>
    </row>
    <row r="805" spans="1:18" ht="6.75" hidden="1" customHeight="1" x14ac:dyDescent="0.25">
      <c r="A805" s="2"/>
      <c r="B805" s="1344"/>
      <c r="C805" s="2533"/>
      <c r="D805" s="2709"/>
      <c r="E805" s="2818"/>
      <c r="F805" s="1438"/>
      <c r="G805" s="1319"/>
      <c r="H805" s="1319"/>
      <c r="I805" s="1339"/>
      <c r="J805" s="1438"/>
      <c r="K805" s="1339"/>
      <c r="L805" s="1328"/>
      <c r="M805" s="1339"/>
      <c r="N805" s="1574"/>
      <c r="P805" s="1002"/>
      <c r="Q805" s="1002"/>
    </row>
    <row r="806" spans="1:18" s="32" customFormat="1" ht="21.75" hidden="1" customHeight="1" x14ac:dyDescent="0.25">
      <c r="A806" s="1"/>
      <c r="B806" s="1342"/>
      <c r="C806" s="2532" t="s">
        <v>2885</v>
      </c>
      <c r="D806" s="2744">
        <f>D807</f>
        <v>636000000</v>
      </c>
      <c r="E806" s="2786">
        <f>D806/1080051142000*100</f>
        <v>5.8886100413937624E-2</v>
      </c>
      <c r="F806" s="1439"/>
      <c r="G806" s="1238"/>
      <c r="H806" s="1238"/>
      <c r="I806" s="1333"/>
      <c r="J806" s="1439"/>
      <c r="K806" s="1333"/>
      <c r="L806" s="1333"/>
      <c r="M806" s="1333"/>
      <c r="N806" s="1829"/>
      <c r="O806" s="1095"/>
      <c r="P806" s="1095"/>
      <c r="Q806" s="1095"/>
      <c r="R806" s="1095"/>
    </row>
    <row r="807" spans="1:18" s="32" customFormat="1" ht="20.25" hidden="1" customHeight="1" x14ac:dyDescent="0.25">
      <c r="A807" s="1"/>
      <c r="B807" s="1344"/>
      <c r="C807" s="2538" t="s">
        <v>2886</v>
      </c>
      <c r="D807" s="2759">
        <f>D808</f>
        <v>636000000</v>
      </c>
      <c r="E807" s="3794">
        <f>D807/108005114000*100</f>
        <v>0.58886100522980789</v>
      </c>
      <c r="F807" s="1440"/>
      <c r="G807" s="1243"/>
      <c r="H807" s="1243"/>
      <c r="I807" s="1314"/>
      <c r="J807" s="1440"/>
      <c r="K807" s="1314"/>
      <c r="L807" s="1314"/>
      <c r="M807" s="1314"/>
      <c r="N807" s="1830"/>
      <c r="O807" s="1095"/>
      <c r="P807" s="1095"/>
      <c r="Q807" s="1095"/>
      <c r="R807" s="1095"/>
    </row>
    <row r="808" spans="1:18" ht="27.75" hidden="1" customHeight="1" x14ac:dyDescent="0.25">
      <c r="A808" s="2"/>
      <c r="B808" s="1344"/>
      <c r="C808" s="2524" t="s">
        <v>2887</v>
      </c>
      <c r="D808" s="896">
        <v>636000000</v>
      </c>
      <c r="E808" s="2810">
        <f>D808/108005114000*100</f>
        <v>0.58886100522980789</v>
      </c>
      <c r="F808" s="840"/>
      <c r="G808" s="1239"/>
      <c r="H808" s="1239"/>
      <c r="I808" s="1338"/>
      <c r="J808" s="840"/>
      <c r="K808" s="1338"/>
      <c r="L808" s="1315"/>
      <c r="M808" s="1338"/>
      <c r="N808" s="1539"/>
      <c r="P808" s="1002"/>
      <c r="Q808" s="1002"/>
    </row>
    <row r="809" spans="1:18" ht="6.75" hidden="1" customHeight="1" x14ac:dyDescent="0.25">
      <c r="A809" s="2"/>
      <c r="B809" s="1344"/>
      <c r="C809" s="2533"/>
      <c r="D809" s="2709"/>
      <c r="E809" s="2818"/>
      <c r="F809" s="1438"/>
      <c r="G809" s="1319"/>
      <c r="H809" s="1319"/>
      <c r="I809" s="1339"/>
      <c r="J809" s="1438"/>
      <c r="K809" s="1339"/>
      <c r="L809" s="1328"/>
      <c r="M809" s="1339"/>
      <c r="N809" s="1574"/>
      <c r="P809" s="1002"/>
      <c r="Q809" s="1002"/>
    </row>
    <row r="810" spans="1:18" s="32" customFormat="1" ht="18.75" hidden="1" customHeight="1" x14ac:dyDescent="0.25">
      <c r="A810" s="1"/>
      <c r="B810" s="1342"/>
      <c r="C810" s="2532" t="s">
        <v>2888</v>
      </c>
      <c r="D810" s="2744">
        <f>D811</f>
        <v>700000000</v>
      </c>
      <c r="E810" s="2786">
        <f>D810/1080051142000*100</f>
        <v>6.4811745738610593E-2</v>
      </c>
      <c r="F810" s="1439"/>
      <c r="G810" s="1238"/>
      <c r="H810" s="1238"/>
      <c r="I810" s="1333"/>
      <c r="J810" s="1439"/>
      <c r="K810" s="1333"/>
      <c r="L810" s="1333"/>
      <c r="M810" s="1333"/>
      <c r="N810" s="1829"/>
      <c r="O810" s="1095"/>
      <c r="P810" s="1095"/>
      <c r="Q810" s="1095"/>
      <c r="R810" s="1095"/>
    </row>
    <row r="811" spans="1:18" s="32" customFormat="1" ht="24" hidden="1" customHeight="1" x14ac:dyDescent="0.25">
      <c r="A811" s="1"/>
      <c r="B811" s="1344"/>
      <c r="C811" s="2538" t="s">
        <v>2889</v>
      </c>
      <c r="D811" s="2759">
        <f>D812</f>
        <v>700000000</v>
      </c>
      <c r="E811" s="3794">
        <f>D811/108005114000*100</f>
        <v>0.64811745858626657</v>
      </c>
      <c r="F811" s="1440"/>
      <c r="G811" s="1243"/>
      <c r="H811" s="1243"/>
      <c r="I811" s="1314"/>
      <c r="J811" s="1440"/>
      <c r="K811" s="1314"/>
      <c r="L811" s="1314"/>
      <c r="M811" s="1314"/>
      <c r="N811" s="1830"/>
      <c r="O811" s="1095"/>
      <c r="P811" s="1095"/>
      <c r="Q811" s="1095"/>
      <c r="R811" s="1095"/>
    </row>
    <row r="812" spans="1:18" ht="24.75" hidden="1" customHeight="1" x14ac:dyDescent="0.25">
      <c r="A812" s="2"/>
      <c r="B812" s="1344"/>
      <c r="C812" s="2524" t="s">
        <v>2890</v>
      </c>
      <c r="D812" s="896">
        <v>700000000</v>
      </c>
      <c r="E812" s="2810">
        <f>D812/108005114000*100</f>
        <v>0.64811745858626657</v>
      </c>
      <c r="F812" s="840"/>
      <c r="G812" s="1239"/>
      <c r="H812" s="1239"/>
      <c r="I812" s="1338"/>
      <c r="J812" s="840"/>
      <c r="K812" s="1338"/>
      <c r="L812" s="1315"/>
      <c r="M812" s="1338"/>
      <c r="N812" s="1539"/>
      <c r="P812" s="1002"/>
      <c r="Q812" s="1002"/>
    </row>
    <row r="813" spans="1:18" ht="12.75" hidden="1" customHeight="1" x14ac:dyDescent="0.25">
      <c r="A813" s="2"/>
      <c r="B813" s="1344"/>
      <c r="C813" s="2533"/>
      <c r="D813" s="2709"/>
      <c r="E813" s="2818"/>
      <c r="F813" s="1438"/>
      <c r="G813" s="1319"/>
      <c r="H813" s="1319"/>
      <c r="I813" s="1339"/>
      <c r="J813" s="1438"/>
      <c r="K813" s="1339"/>
      <c r="L813" s="1328"/>
      <c r="M813" s="1339"/>
      <c r="N813" s="1574"/>
      <c r="P813" s="1002"/>
      <c r="Q813" s="1002"/>
    </row>
    <row r="814" spans="1:18" s="32" customFormat="1" ht="23.25" hidden="1" customHeight="1" x14ac:dyDescent="0.25">
      <c r="A814" s="1"/>
      <c r="B814" s="1342"/>
      <c r="C814" s="2532" t="s">
        <v>2891</v>
      </c>
      <c r="D814" s="2744">
        <f>D815</f>
        <v>754000000</v>
      </c>
      <c r="E814" s="2786">
        <f>D814/1080051142000*100</f>
        <v>6.9811508981303408E-2</v>
      </c>
      <c r="F814" s="1439"/>
      <c r="G814" s="1238"/>
      <c r="H814" s="1238"/>
      <c r="I814" s="1333"/>
      <c r="J814" s="1439"/>
      <c r="K814" s="1333"/>
      <c r="L814" s="1333"/>
      <c r="M814" s="1333"/>
      <c r="N814" s="1829"/>
      <c r="O814" s="1095"/>
      <c r="P814" s="1095"/>
      <c r="Q814" s="1095"/>
      <c r="R814" s="1095"/>
    </row>
    <row r="815" spans="1:18" s="32" customFormat="1" ht="22.5" hidden="1" customHeight="1" x14ac:dyDescent="0.25">
      <c r="A815" s="1"/>
      <c r="B815" s="1344"/>
      <c r="C815" s="2538" t="s">
        <v>2892</v>
      </c>
      <c r="D815" s="2759">
        <f>D816</f>
        <v>754000000</v>
      </c>
      <c r="E815" s="3794">
        <f>D815/108005114000*100</f>
        <v>0.69811509110577863</v>
      </c>
      <c r="F815" s="1440"/>
      <c r="G815" s="1243"/>
      <c r="H815" s="1243"/>
      <c r="I815" s="1314"/>
      <c r="J815" s="1440"/>
      <c r="K815" s="1314"/>
      <c r="L815" s="1314"/>
      <c r="M815" s="1314"/>
      <c r="N815" s="1830"/>
      <c r="O815" s="1095"/>
      <c r="P815" s="1095"/>
      <c r="Q815" s="1095"/>
      <c r="R815" s="1095"/>
    </row>
    <row r="816" spans="1:18" ht="18" hidden="1" customHeight="1" x14ac:dyDescent="0.25">
      <c r="A816" s="2"/>
      <c r="B816" s="1344"/>
      <c r="C816" s="2524" t="s">
        <v>2893</v>
      </c>
      <c r="D816" s="896">
        <v>754000000</v>
      </c>
      <c r="E816" s="2810">
        <f>D816/108005114000*100</f>
        <v>0.69811509110577863</v>
      </c>
      <c r="F816" s="840"/>
      <c r="G816" s="1239"/>
      <c r="H816" s="1239"/>
      <c r="I816" s="1338"/>
      <c r="J816" s="840"/>
      <c r="K816" s="1338"/>
      <c r="L816" s="1315"/>
      <c r="M816" s="1338"/>
      <c r="N816" s="1539"/>
      <c r="P816" s="1002"/>
      <c r="Q816" s="1002"/>
    </row>
    <row r="817" spans="1:18" ht="9" hidden="1" customHeight="1" x14ac:dyDescent="0.25">
      <c r="A817" s="2"/>
      <c r="B817" s="1344"/>
      <c r="C817" s="2533"/>
      <c r="D817" s="2709"/>
      <c r="E817" s="2818"/>
      <c r="F817" s="1438"/>
      <c r="G817" s="1319"/>
      <c r="H817" s="1319"/>
      <c r="I817" s="1339"/>
      <c r="J817" s="1438"/>
      <c r="K817" s="1339"/>
      <c r="L817" s="1328"/>
      <c r="M817" s="1339"/>
      <c r="N817" s="1574"/>
      <c r="P817" s="1002"/>
      <c r="Q817" s="1002"/>
    </row>
    <row r="818" spans="1:18" s="32" customFormat="1" ht="18.75" hidden="1" customHeight="1" x14ac:dyDescent="0.25">
      <c r="A818" s="1"/>
      <c r="B818" s="1342"/>
      <c r="C818" s="2532" t="s">
        <v>2894</v>
      </c>
      <c r="D818" s="2744">
        <f>D819</f>
        <v>442000000</v>
      </c>
      <c r="E818" s="2786">
        <f>D818/1080051142000*100</f>
        <v>4.0923988023522685E-2</v>
      </c>
      <c r="F818" s="1439"/>
      <c r="G818" s="1238"/>
      <c r="H818" s="1238"/>
      <c r="I818" s="1333"/>
      <c r="J818" s="1439"/>
      <c r="K818" s="1333"/>
      <c r="L818" s="1333"/>
      <c r="M818" s="1333"/>
      <c r="N818" s="1829"/>
      <c r="O818" s="1095"/>
      <c r="P818" s="1095"/>
      <c r="Q818" s="1095"/>
      <c r="R818" s="1095"/>
    </row>
    <row r="819" spans="1:18" s="32" customFormat="1" ht="21.75" hidden="1" customHeight="1" x14ac:dyDescent="0.25">
      <c r="A819" s="1"/>
      <c r="B819" s="1344"/>
      <c r="C819" s="2538" t="s">
        <v>2895</v>
      </c>
      <c r="D819" s="2759">
        <f>D820</f>
        <v>442000000</v>
      </c>
      <c r="E819" s="3794">
        <f>D819/108005114000*100</f>
        <v>0.40923988099304265</v>
      </c>
      <c r="F819" s="1440"/>
      <c r="G819" s="1243"/>
      <c r="H819" s="1243"/>
      <c r="I819" s="1314"/>
      <c r="J819" s="1440"/>
      <c r="K819" s="1314"/>
      <c r="L819" s="1314"/>
      <c r="M819" s="1314"/>
      <c r="N819" s="1830"/>
      <c r="O819" s="1095"/>
      <c r="P819" s="1095"/>
      <c r="Q819" s="1095"/>
      <c r="R819" s="1095"/>
    </row>
    <row r="820" spans="1:18" ht="22.5" hidden="1" customHeight="1" x14ac:dyDescent="0.25">
      <c r="A820" s="2"/>
      <c r="B820" s="1344"/>
      <c r="C820" s="2524" t="s">
        <v>2896</v>
      </c>
      <c r="D820" s="896">
        <v>442000000</v>
      </c>
      <c r="E820" s="2810">
        <f>D820/108005114000*100</f>
        <v>0.40923988099304265</v>
      </c>
      <c r="F820" s="840"/>
      <c r="G820" s="1239"/>
      <c r="H820" s="1239"/>
      <c r="I820" s="1338"/>
      <c r="J820" s="840"/>
      <c r="K820" s="1338"/>
      <c r="L820" s="1315"/>
      <c r="M820" s="1338"/>
      <c r="N820" s="1539"/>
      <c r="P820" s="1002"/>
      <c r="Q820" s="1002"/>
    </row>
    <row r="821" spans="1:18" ht="11.25" hidden="1" customHeight="1" x14ac:dyDescent="0.25">
      <c r="A821" s="2"/>
      <c r="B821" s="1344"/>
      <c r="C821" s="2533"/>
      <c r="D821" s="2709"/>
      <c r="E821" s="2818"/>
      <c r="F821" s="1438"/>
      <c r="G821" s="1319"/>
      <c r="H821" s="1319"/>
      <c r="I821" s="1339"/>
      <c r="J821" s="1438"/>
      <c r="K821" s="1339"/>
      <c r="L821" s="1328"/>
      <c r="M821" s="1339"/>
      <c r="N821" s="1574"/>
      <c r="P821" s="1002"/>
      <c r="Q821" s="1002"/>
    </row>
    <row r="822" spans="1:18" s="32" customFormat="1" ht="21.75" hidden="1" customHeight="1" x14ac:dyDescent="0.25">
      <c r="A822" s="1"/>
      <c r="B822" s="1342"/>
      <c r="C822" s="2532" t="s">
        <v>2897</v>
      </c>
      <c r="D822" s="2744">
        <v>400000000</v>
      </c>
      <c r="E822" s="2786">
        <f>D822/1080051142000*100</f>
        <v>3.7035283279206049E-2</v>
      </c>
      <c r="F822" s="1439"/>
      <c r="G822" s="1238"/>
      <c r="H822" s="1238"/>
      <c r="I822" s="1333"/>
      <c r="J822" s="1439"/>
      <c r="K822" s="1333"/>
      <c r="L822" s="1333"/>
      <c r="M822" s="1333"/>
      <c r="N822" s="1829"/>
      <c r="O822" s="1095"/>
      <c r="P822" s="1095"/>
      <c r="Q822" s="1095"/>
      <c r="R822" s="1095"/>
    </row>
    <row r="823" spans="1:18" s="32" customFormat="1" ht="27" hidden="1" customHeight="1" x14ac:dyDescent="0.25">
      <c r="A823" s="1"/>
      <c r="B823" s="1344"/>
      <c r="C823" s="2538" t="s">
        <v>2898</v>
      </c>
      <c r="D823" s="2759">
        <v>400000000</v>
      </c>
      <c r="E823" s="3794">
        <f>D823/108005114000*100</f>
        <v>0.37035283347786657</v>
      </c>
      <c r="F823" s="1440"/>
      <c r="G823" s="1243"/>
      <c r="H823" s="1243"/>
      <c r="I823" s="1314"/>
      <c r="J823" s="1440"/>
      <c r="K823" s="1314"/>
      <c r="L823" s="1314"/>
      <c r="M823" s="1314"/>
      <c r="N823" s="1830"/>
      <c r="O823" s="1095"/>
      <c r="P823" s="1095"/>
      <c r="Q823" s="1095"/>
      <c r="R823" s="1095"/>
    </row>
    <row r="824" spans="1:18" ht="21" hidden="1" customHeight="1" x14ac:dyDescent="0.25">
      <c r="A824" s="2"/>
      <c r="B824" s="1344"/>
      <c r="C824" s="2524" t="s">
        <v>2899</v>
      </c>
      <c r="D824" s="896">
        <v>661440000</v>
      </c>
      <c r="E824" s="2810">
        <f>D824/108005114000*100</f>
        <v>0.61241544543900017</v>
      </c>
      <c r="F824" s="840"/>
      <c r="G824" s="1239"/>
      <c r="H824" s="1239"/>
      <c r="I824" s="1338"/>
      <c r="J824" s="840"/>
      <c r="K824" s="1338"/>
      <c r="L824" s="1315"/>
      <c r="M824" s="1338"/>
      <c r="N824" s="1539"/>
      <c r="P824" s="1002"/>
      <c r="Q824" s="1002"/>
    </row>
    <row r="825" spans="1:18" ht="9" hidden="1" customHeight="1" x14ac:dyDescent="0.25">
      <c r="A825" s="2"/>
      <c r="B825" s="1344"/>
      <c r="C825" s="2533"/>
      <c r="D825" s="2709"/>
      <c r="E825" s="2818"/>
      <c r="F825" s="1438"/>
      <c r="G825" s="1319"/>
      <c r="H825" s="1319"/>
      <c r="I825" s="1339"/>
      <c r="J825" s="1438"/>
      <c r="K825" s="1339"/>
      <c r="L825" s="1328"/>
      <c r="M825" s="1339"/>
      <c r="N825" s="1574"/>
      <c r="P825" s="1002"/>
      <c r="Q825" s="1002"/>
    </row>
    <row r="826" spans="1:18" s="32" customFormat="1" ht="21" hidden="1" customHeight="1" x14ac:dyDescent="0.25">
      <c r="A826" s="1"/>
      <c r="B826" s="1342"/>
      <c r="C826" s="2532" t="s">
        <v>2900</v>
      </c>
      <c r="D826" s="2744">
        <f>D827</f>
        <v>400000000</v>
      </c>
      <c r="E826" s="2786">
        <f>D826/1080051142000*100</f>
        <v>3.7035283279206049E-2</v>
      </c>
      <c r="F826" s="1439"/>
      <c r="G826" s="1238"/>
      <c r="H826" s="1238"/>
      <c r="I826" s="1333"/>
      <c r="J826" s="1439"/>
      <c r="K826" s="1333"/>
      <c r="L826" s="1333"/>
      <c r="M826" s="1333"/>
      <c r="N826" s="1829"/>
      <c r="O826" s="1095"/>
      <c r="P826" s="1095"/>
      <c r="Q826" s="1095"/>
      <c r="R826" s="1095"/>
    </row>
    <row r="827" spans="1:18" s="32" customFormat="1" ht="25.5" hidden="1" customHeight="1" x14ac:dyDescent="0.25">
      <c r="A827" s="1"/>
      <c r="B827" s="1344"/>
      <c r="C827" s="2538" t="s">
        <v>2901</v>
      </c>
      <c r="D827" s="2759">
        <f>D828</f>
        <v>400000000</v>
      </c>
      <c r="E827" s="3794">
        <f>D827/108005114000*100</f>
        <v>0.37035283347786657</v>
      </c>
      <c r="F827" s="1440"/>
      <c r="G827" s="1243"/>
      <c r="H827" s="1243"/>
      <c r="I827" s="1314"/>
      <c r="J827" s="1440"/>
      <c r="K827" s="1314"/>
      <c r="L827" s="1314"/>
      <c r="M827" s="1314"/>
      <c r="N827" s="1830"/>
      <c r="O827" s="1095"/>
      <c r="P827" s="1095"/>
      <c r="Q827" s="1095"/>
      <c r="R827" s="1095"/>
    </row>
    <row r="828" spans="1:18" ht="25.5" hidden="1" customHeight="1" x14ac:dyDescent="0.25">
      <c r="A828" s="2"/>
      <c r="B828" s="1344"/>
      <c r="C828" s="2524" t="s">
        <v>7371</v>
      </c>
      <c r="D828" s="896">
        <v>400000000</v>
      </c>
      <c r="E828" s="2810">
        <f>D828/108005114000*100</f>
        <v>0.37035283347786657</v>
      </c>
      <c r="F828" s="840"/>
      <c r="G828" s="1239"/>
      <c r="H828" s="1239"/>
      <c r="I828" s="1338"/>
      <c r="J828" s="840"/>
      <c r="K828" s="1338"/>
      <c r="L828" s="1315"/>
      <c r="M828" s="1338"/>
      <c r="N828" s="1539"/>
      <c r="P828" s="1002"/>
      <c r="Q828" s="1002"/>
    </row>
    <row r="829" spans="1:18" ht="8.25" hidden="1" customHeight="1" x14ac:dyDescent="0.25">
      <c r="A829" s="2"/>
      <c r="B829" s="1344"/>
      <c r="C829" s="2533"/>
      <c r="D829" s="2709"/>
      <c r="E829" s="2818"/>
      <c r="F829" s="1438"/>
      <c r="G829" s="1319"/>
      <c r="H829" s="1319"/>
      <c r="I829" s="1339"/>
      <c r="J829" s="1438"/>
      <c r="K829" s="1339"/>
      <c r="L829" s="1328"/>
      <c r="M829" s="1339"/>
      <c r="N829" s="1574"/>
      <c r="P829" s="1002"/>
      <c r="Q829" s="1002"/>
    </row>
    <row r="830" spans="1:18" s="32" customFormat="1" ht="22.5" hidden="1" customHeight="1" x14ac:dyDescent="0.25">
      <c r="A830" s="1"/>
      <c r="B830" s="1342"/>
      <c r="C830" s="2532" t="s">
        <v>2903</v>
      </c>
      <c r="D830" s="2744">
        <f>D831</f>
        <v>400000000</v>
      </c>
      <c r="E830" s="2786">
        <f>D830/1080051142000*100</f>
        <v>3.7035283279206049E-2</v>
      </c>
      <c r="F830" s="1439"/>
      <c r="G830" s="1238"/>
      <c r="H830" s="1238"/>
      <c r="I830" s="1333"/>
      <c r="J830" s="1439"/>
      <c r="K830" s="1333"/>
      <c r="L830" s="1333"/>
      <c r="M830" s="1333"/>
      <c r="N830" s="1829"/>
      <c r="O830" s="1095"/>
      <c r="P830" s="1095"/>
      <c r="Q830" s="1095"/>
      <c r="R830" s="1095"/>
    </row>
    <row r="831" spans="1:18" s="32" customFormat="1" ht="23.25" hidden="1" customHeight="1" x14ac:dyDescent="0.25">
      <c r="A831" s="1"/>
      <c r="B831" s="1344"/>
      <c r="C831" s="2538" t="s">
        <v>2904</v>
      </c>
      <c r="D831" s="2759">
        <f>D832</f>
        <v>400000000</v>
      </c>
      <c r="E831" s="3794">
        <f>D831/108005114000*100</f>
        <v>0.37035283347786657</v>
      </c>
      <c r="F831" s="1440"/>
      <c r="G831" s="1243"/>
      <c r="H831" s="1243"/>
      <c r="I831" s="1314"/>
      <c r="J831" s="1440"/>
      <c r="K831" s="1314"/>
      <c r="L831" s="1314"/>
      <c r="M831" s="1314"/>
      <c r="N831" s="1830"/>
      <c r="O831" s="1095"/>
      <c r="P831" s="1095"/>
      <c r="Q831" s="1095"/>
      <c r="R831" s="1095"/>
    </row>
    <row r="832" spans="1:18" s="196" customFormat="1" ht="22.5" hidden="1" customHeight="1" x14ac:dyDescent="0.25">
      <c r="A832" s="12"/>
      <c r="B832" s="1831"/>
      <c r="C832" s="2524" t="s">
        <v>2905</v>
      </c>
      <c r="D832" s="896">
        <v>400000000</v>
      </c>
      <c r="E832" s="2810">
        <f>D832/108005114000*100</f>
        <v>0.37035283347786657</v>
      </c>
      <c r="F832" s="1441"/>
      <c r="G832" s="1239"/>
      <c r="H832" s="1239"/>
      <c r="I832" s="1315"/>
      <c r="J832" s="1441"/>
      <c r="K832" s="1315"/>
      <c r="L832" s="1315"/>
      <c r="M832" s="1315"/>
      <c r="N832" s="1723"/>
      <c r="O832" s="1098"/>
      <c r="P832" s="1098"/>
      <c r="Q832" s="1098"/>
      <c r="R832" s="1098"/>
    </row>
    <row r="833" spans="1:18" s="196" customFormat="1" ht="9.75" hidden="1" customHeight="1" x14ac:dyDescent="0.25">
      <c r="A833" s="12"/>
      <c r="B833" s="1831"/>
      <c r="C833" s="2533"/>
      <c r="D833" s="2709"/>
      <c r="E833" s="2818"/>
      <c r="F833" s="1442"/>
      <c r="G833" s="1319"/>
      <c r="H833" s="1319"/>
      <c r="I833" s="1328"/>
      <c r="J833" s="1442"/>
      <c r="K833" s="1328"/>
      <c r="L833" s="1328"/>
      <c r="M833" s="1328"/>
      <c r="N833" s="1832"/>
      <c r="O833" s="1098"/>
      <c r="P833" s="1098"/>
      <c r="Q833" s="1098"/>
      <c r="R833" s="1098"/>
    </row>
    <row r="834" spans="1:18" s="32" customFormat="1" ht="23.25" hidden="1" customHeight="1" x14ac:dyDescent="0.25">
      <c r="A834" s="1"/>
      <c r="B834" s="1342"/>
      <c r="C834" s="2532" t="s">
        <v>2906</v>
      </c>
      <c r="D834" s="2744">
        <f>D835</f>
        <v>340000000</v>
      </c>
      <c r="E834" s="2786">
        <f>D834/1080051142000*100</f>
        <v>3.1479990787325142E-2</v>
      </c>
      <c r="F834" s="1439"/>
      <c r="G834" s="1833"/>
      <c r="H834" s="1833"/>
      <c r="I834" s="1333"/>
      <c r="J834" s="1439"/>
      <c r="K834" s="1333"/>
      <c r="L834" s="1834"/>
      <c r="M834" s="1333"/>
      <c r="N834" s="1829"/>
      <c r="O834" s="1095"/>
      <c r="P834" s="1095"/>
      <c r="Q834" s="1095"/>
      <c r="R834" s="1095"/>
    </row>
    <row r="835" spans="1:18" s="32" customFormat="1" ht="24.75" hidden="1" customHeight="1" x14ac:dyDescent="0.25">
      <c r="A835" s="1"/>
      <c r="B835" s="1344"/>
      <c r="C835" s="2538" t="s">
        <v>2907</v>
      </c>
      <c r="D835" s="2759">
        <f>D836</f>
        <v>340000000</v>
      </c>
      <c r="E835" s="3794">
        <f>D835/108005114000*100</f>
        <v>0.31479990845618661</v>
      </c>
      <c r="F835" s="1440"/>
      <c r="G835" s="1835"/>
      <c r="H835" s="1835"/>
      <c r="I835" s="1314"/>
      <c r="J835" s="1440"/>
      <c r="K835" s="1314"/>
      <c r="L835" s="1836"/>
      <c r="M835" s="1314"/>
      <c r="N835" s="1830"/>
      <c r="O835" s="1095"/>
      <c r="P835" s="1095"/>
      <c r="Q835" s="1095"/>
      <c r="R835" s="1095"/>
    </row>
    <row r="836" spans="1:18" s="196" customFormat="1" ht="24" hidden="1" customHeight="1" x14ac:dyDescent="0.25">
      <c r="A836" s="12"/>
      <c r="B836" s="1831"/>
      <c r="C836" s="2524" t="s">
        <v>2908</v>
      </c>
      <c r="D836" s="896">
        <v>340000000</v>
      </c>
      <c r="E836" s="2810">
        <f>D836/108005114000*100</f>
        <v>0.31479990845618661</v>
      </c>
      <c r="F836" s="1441"/>
      <c r="G836" s="1239"/>
      <c r="H836" s="1239"/>
      <c r="I836" s="1315"/>
      <c r="J836" s="1441"/>
      <c r="K836" s="1315"/>
      <c r="L836" s="1315"/>
      <c r="M836" s="1315"/>
      <c r="N836" s="1837"/>
      <c r="O836" s="1098"/>
      <c r="P836" s="1098"/>
      <c r="Q836" s="1098"/>
      <c r="R836" s="1098"/>
    </row>
    <row r="837" spans="1:18" ht="10.5" hidden="1" customHeight="1" x14ac:dyDescent="0.25">
      <c r="A837" s="2"/>
      <c r="B837" s="1344"/>
      <c r="C837" s="2528"/>
      <c r="D837" s="2755"/>
      <c r="E837" s="2840"/>
      <c r="F837" s="1443"/>
      <c r="G837" s="1256"/>
      <c r="H837" s="1256"/>
      <c r="I837" s="1340"/>
      <c r="J837" s="1443"/>
      <c r="K837" s="1340"/>
      <c r="L837" s="1329"/>
      <c r="M837" s="1340"/>
      <c r="N837" s="1734"/>
      <c r="P837" s="1002"/>
      <c r="Q837" s="1002"/>
    </row>
    <row r="838" spans="1:18" s="32" customFormat="1" ht="23.25" hidden="1" customHeight="1" x14ac:dyDescent="0.25">
      <c r="A838" s="1"/>
      <c r="B838" s="1342"/>
      <c r="C838" s="2532" t="s">
        <v>2909</v>
      </c>
      <c r="D838" s="2744">
        <f>D839</f>
        <v>400000000</v>
      </c>
      <c r="E838" s="2786">
        <f>D838/1080051142000*100</f>
        <v>3.7035283279206049E-2</v>
      </c>
      <c r="F838" s="1439"/>
      <c r="G838" s="1833"/>
      <c r="H838" s="1833"/>
      <c r="I838" s="1333"/>
      <c r="J838" s="1439"/>
      <c r="K838" s="1333"/>
      <c r="L838" s="1834"/>
      <c r="M838" s="1333"/>
      <c r="N838" s="1829"/>
      <c r="O838" s="1095"/>
      <c r="P838" s="1095"/>
      <c r="Q838" s="1095"/>
      <c r="R838" s="1095"/>
    </row>
    <row r="839" spans="1:18" s="32" customFormat="1" ht="19.5" hidden="1" customHeight="1" x14ac:dyDescent="0.25">
      <c r="A839" s="1"/>
      <c r="B839" s="1344"/>
      <c r="C839" s="2521" t="s">
        <v>2910</v>
      </c>
      <c r="D839" s="2751">
        <f>D840</f>
        <v>400000000</v>
      </c>
      <c r="E839" s="3794">
        <f>D839/108005114000*100</f>
        <v>0.37035283347786657</v>
      </c>
      <c r="F839" s="1444"/>
      <c r="G839" s="1838"/>
      <c r="H839" s="1838"/>
      <c r="I839" s="1337"/>
      <c r="J839" s="1444"/>
      <c r="K839" s="1337"/>
      <c r="L839" s="1773"/>
      <c r="M839" s="1337"/>
      <c r="N839" s="1830"/>
      <c r="O839" s="1095"/>
      <c r="P839" s="1095"/>
      <c r="Q839" s="1095"/>
      <c r="R839" s="1095"/>
    </row>
    <row r="840" spans="1:18" s="196" customFormat="1" ht="28.5" hidden="1" customHeight="1" x14ac:dyDescent="0.25">
      <c r="A840" s="12"/>
      <c r="B840" s="1831"/>
      <c r="C840" s="2524" t="s">
        <v>2911</v>
      </c>
      <c r="D840" s="896">
        <v>400000000</v>
      </c>
      <c r="E840" s="2810">
        <f>D840/108005114000*100</f>
        <v>0.37035283347786657</v>
      </c>
      <c r="F840" s="1441"/>
      <c r="G840" s="1239"/>
      <c r="H840" s="1239"/>
      <c r="I840" s="1315"/>
      <c r="J840" s="1441"/>
      <c r="K840" s="1315"/>
      <c r="L840" s="1315"/>
      <c r="M840" s="1315"/>
      <c r="N840" s="1837"/>
      <c r="O840" s="1098"/>
      <c r="P840" s="1098"/>
      <c r="Q840" s="1098"/>
      <c r="R840" s="1098"/>
    </row>
    <row r="841" spans="1:18" ht="12" hidden="1" customHeight="1" x14ac:dyDescent="0.25">
      <c r="A841" s="2"/>
      <c r="B841" s="1344"/>
      <c r="C841" s="2528"/>
      <c r="D841" s="2755"/>
      <c r="E841" s="2840"/>
      <c r="F841" s="1443"/>
      <c r="G841" s="1256"/>
      <c r="H841" s="1256"/>
      <c r="I841" s="1340"/>
      <c r="J841" s="1443"/>
      <c r="K841" s="1340"/>
      <c r="L841" s="1329"/>
      <c r="M841" s="1340"/>
      <c r="N841" s="1734"/>
      <c r="P841" s="1002"/>
      <c r="Q841" s="1002"/>
    </row>
    <row r="842" spans="1:18" s="32" customFormat="1" ht="23.25" hidden="1" customHeight="1" x14ac:dyDescent="0.25">
      <c r="A842" s="1"/>
      <c r="B842" s="1342"/>
      <c r="C842" s="2532" t="s">
        <v>2912</v>
      </c>
      <c r="D842" s="2744">
        <f>D843</f>
        <v>320000000</v>
      </c>
      <c r="E842" s="2786">
        <f>D842/1080051142000*100</f>
        <v>2.9628226623364839E-2</v>
      </c>
      <c r="F842" s="1439"/>
      <c r="G842" s="1833"/>
      <c r="H842" s="1833"/>
      <c r="I842" s="1333"/>
      <c r="J842" s="1439"/>
      <c r="K842" s="1333"/>
      <c r="L842" s="1834"/>
      <c r="M842" s="1333"/>
      <c r="N842" s="1829"/>
      <c r="O842" s="1095"/>
      <c r="P842" s="1095"/>
      <c r="Q842" s="1095"/>
      <c r="R842" s="1095"/>
    </row>
    <row r="843" spans="1:18" s="32" customFormat="1" ht="25.5" hidden="1" customHeight="1" x14ac:dyDescent="0.25">
      <c r="A843" s="1"/>
      <c r="B843" s="1344"/>
      <c r="C843" s="2521" t="s">
        <v>2913</v>
      </c>
      <c r="D843" s="2751">
        <f>D844</f>
        <v>320000000</v>
      </c>
      <c r="E843" s="3794">
        <f>D843/108005114000*100</f>
        <v>0.2962822667822933</v>
      </c>
      <c r="F843" s="1444"/>
      <c r="G843" s="1838"/>
      <c r="H843" s="1838"/>
      <c r="I843" s="1337"/>
      <c r="J843" s="1444"/>
      <c r="K843" s="1337"/>
      <c r="L843" s="1773"/>
      <c r="M843" s="1337"/>
      <c r="N843" s="1830"/>
      <c r="O843" s="1095"/>
      <c r="P843" s="1095"/>
      <c r="Q843" s="1095"/>
      <c r="R843" s="1095"/>
    </row>
    <row r="844" spans="1:18" ht="27.75" hidden="1" customHeight="1" x14ac:dyDescent="0.25">
      <c r="A844" s="2"/>
      <c r="B844" s="1344"/>
      <c r="C844" s="2524" t="s">
        <v>2914</v>
      </c>
      <c r="D844" s="896">
        <v>320000000</v>
      </c>
      <c r="E844" s="2810">
        <f>D844/108005114000*100</f>
        <v>0.2962822667822933</v>
      </c>
      <c r="F844" s="840"/>
      <c r="G844" s="1239"/>
      <c r="H844" s="1239"/>
      <c r="I844" s="1338"/>
      <c r="J844" s="840"/>
      <c r="K844" s="1338"/>
      <c r="L844" s="1315"/>
      <c r="M844" s="1338"/>
      <c r="N844" s="1582"/>
      <c r="P844" s="1002"/>
      <c r="Q844" s="1002"/>
    </row>
    <row r="845" spans="1:18" ht="13.5" hidden="1" customHeight="1" x14ac:dyDescent="0.25">
      <c r="A845" s="2"/>
      <c r="B845" s="1344"/>
      <c r="C845" s="2528"/>
      <c r="D845" s="2755"/>
      <c r="E845" s="2840"/>
      <c r="F845" s="1443"/>
      <c r="G845" s="1256"/>
      <c r="H845" s="1256"/>
      <c r="I845" s="1340"/>
      <c r="J845" s="1443"/>
      <c r="K845" s="1340"/>
      <c r="L845" s="1329"/>
      <c r="M845" s="1340"/>
      <c r="N845" s="1734"/>
      <c r="P845" s="1002"/>
      <c r="Q845" s="1002"/>
    </row>
    <row r="846" spans="1:18" ht="24.75" hidden="1" customHeight="1" x14ac:dyDescent="0.25">
      <c r="A846" s="2"/>
      <c r="B846" s="1342"/>
      <c r="C846" s="2497" t="s">
        <v>2915</v>
      </c>
      <c r="D846" s="2669">
        <f>SUM(D847+D852)</f>
        <v>5882000000</v>
      </c>
      <c r="E846" s="2786">
        <f>D846/1080051142000*100</f>
        <v>0.54460384062072498</v>
      </c>
      <c r="F846" s="1244"/>
      <c r="G846" s="1839"/>
      <c r="H846" s="1238"/>
      <c r="I846" s="1333"/>
      <c r="J846" s="1244"/>
      <c r="K846" s="1244"/>
      <c r="L846" s="1834"/>
      <c r="M846" s="1333"/>
      <c r="N846" s="1578"/>
      <c r="P846" s="1002"/>
      <c r="Q846" s="1002"/>
    </row>
    <row r="847" spans="1:18" ht="20.25" hidden="1" customHeight="1" x14ac:dyDescent="0.25">
      <c r="A847" s="2"/>
      <c r="B847" s="1840"/>
      <c r="C847" s="2482" t="s">
        <v>2916</v>
      </c>
      <c r="D847" s="2721">
        <f>SUM(D848:D850)</f>
        <v>4823450000</v>
      </c>
      <c r="E847" s="3794">
        <f>D847/108005114000*100</f>
        <v>4.4659459365970395</v>
      </c>
      <c r="F847" s="1245"/>
      <c r="G847" s="1841"/>
      <c r="H847" s="1296"/>
      <c r="I847" s="1337"/>
      <c r="J847" s="1245"/>
      <c r="K847" s="1245"/>
      <c r="L847" s="1773"/>
      <c r="M847" s="1337"/>
      <c r="N847" s="1582"/>
      <c r="P847" s="1002"/>
      <c r="Q847" s="1002"/>
    </row>
    <row r="848" spans="1:18" ht="20.25" hidden="1" customHeight="1" x14ac:dyDescent="0.25">
      <c r="A848" s="2"/>
      <c r="B848" s="1344"/>
      <c r="C848" s="2494" t="s">
        <v>2917</v>
      </c>
      <c r="D848" s="2698">
        <v>3405950000</v>
      </c>
      <c r="E848" s="2810">
        <f>D848/108005114000*100</f>
        <v>3.1535080829598492</v>
      </c>
      <c r="F848" s="1269"/>
      <c r="G848" s="1595"/>
      <c r="H848" s="1822"/>
      <c r="I848" s="1338"/>
      <c r="J848" s="1269"/>
      <c r="K848" s="1338"/>
      <c r="L848" s="1315"/>
      <c r="M848" s="1315"/>
      <c r="N848" s="1539"/>
      <c r="P848" s="1002"/>
      <c r="Q848" s="1002"/>
    </row>
    <row r="849" spans="1:17" ht="21.75" hidden="1" customHeight="1" x14ac:dyDescent="0.25">
      <c r="A849" s="2"/>
      <c r="B849" s="1344"/>
      <c r="C849" s="2494" t="s">
        <v>7372</v>
      </c>
      <c r="D849" s="2698">
        <v>1150000000</v>
      </c>
      <c r="E849" s="2810">
        <f t="shared" ref="E849:E853" si="26">D849/108005114000*100</f>
        <v>1.0647643962488664</v>
      </c>
      <c r="F849" s="1269"/>
      <c r="G849" s="1820"/>
      <c r="H849" s="1239"/>
      <c r="I849" s="1338"/>
      <c r="J849" s="1269"/>
      <c r="K849" s="1338"/>
      <c r="L849" s="1315"/>
      <c r="M849" s="1338"/>
      <c r="N849" s="1539"/>
      <c r="P849" s="1002"/>
      <c r="Q849" s="1002"/>
    </row>
    <row r="850" spans="1:17" ht="23.25" hidden="1" customHeight="1" x14ac:dyDescent="0.25">
      <c r="A850" s="2"/>
      <c r="B850" s="1344"/>
      <c r="C850" s="2494" t="s">
        <v>7373</v>
      </c>
      <c r="D850" s="2698">
        <v>267500000</v>
      </c>
      <c r="E850" s="2810">
        <f t="shared" si="26"/>
        <v>0.2476734573883233</v>
      </c>
      <c r="F850" s="1270"/>
      <c r="G850" s="1270"/>
      <c r="H850" s="1270"/>
      <c r="I850" s="1270"/>
      <c r="J850" s="1270"/>
      <c r="K850" s="1270"/>
      <c r="L850" s="1449"/>
      <c r="M850" s="1449"/>
      <c r="N850" s="1539"/>
      <c r="P850" s="1002"/>
      <c r="Q850" s="1002"/>
    </row>
    <row r="851" spans="1:17" ht="14.25" hidden="1" customHeight="1" x14ac:dyDescent="0.25">
      <c r="A851" s="2"/>
      <c r="B851" s="1344"/>
      <c r="C851" s="2494"/>
      <c r="D851" s="2698"/>
      <c r="E851" s="2810"/>
      <c r="F851" s="1269"/>
      <c r="G851" s="1269"/>
      <c r="H851" s="1269"/>
      <c r="I851" s="1269"/>
      <c r="J851" s="1823"/>
      <c r="K851" s="1824"/>
      <c r="L851" s="1315"/>
      <c r="M851" s="1315"/>
      <c r="N851" s="1539"/>
      <c r="P851" s="1002"/>
      <c r="Q851" s="1002"/>
    </row>
    <row r="852" spans="1:17" ht="35.25" hidden="1" customHeight="1" x14ac:dyDescent="0.25">
      <c r="A852" s="2"/>
      <c r="B852" s="1344"/>
      <c r="C852" s="2491" t="s">
        <v>2918</v>
      </c>
      <c r="D852" s="2692">
        <f>SUM(D853)</f>
        <v>1058550000</v>
      </c>
      <c r="E852" s="2813">
        <f t="shared" si="26"/>
        <v>0.98009247969498925</v>
      </c>
      <c r="F852" s="4388"/>
      <c r="G852" s="4388"/>
      <c r="H852" s="4388"/>
      <c r="I852" s="4388"/>
      <c r="J852" s="4389"/>
      <c r="K852" s="4390"/>
      <c r="L852" s="1329"/>
      <c r="M852" s="1329"/>
      <c r="N852" s="1574"/>
      <c r="P852" s="1002"/>
      <c r="Q852" s="1002"/>
    </row>
    <row r="853" spans="1:17" ht="19.5" hidden="1" customHeight="1" x14ac:dyDescent="0.25">
      <c r="A853" s="2"/>
      <c r="B853" s="1344"/>
      <c r="C853" s="2494" t="s">
        <v>7374</v>
      </c>
      <c r="D853" s="2698">
        <v>1058550000</v>
      </c>
      <c r="E853" s="2810">
        <f t="shared" si="26"/>
        <v>0.98009247969498925</v>
      </c>
      <c r="F853" s="1269"/>
      <c r="G853" s="1269"/>
      <c r="H853" s="1269"/>
      <c r="I853" s="1269"/>
      <c r="J853" s="1823"/>
      <c r="K853" s="1824"/>
      <c r="L853" s="1315"/>
      <c r="M853" s="1315"/>
      <c r="N853" s="1539"/>
      <c r="P853" s="1002"/>
      <c r="Q853" s="1002"/>
    </row>
    <row r="854" spans="1:17" ht="18.75" hidden="1" customHeight="1" x14ac:dyDescent="0.25">
      <c r="A854" s="2"/>
      <c r="B854" s="1344"/>
      <c r="C854" s="2506"/>
      <c r="D854" s="2724"/>
      <c r="E854" s="2840"/>
      <c r="F854" s="4388"/>
      <c r="G854" s="4388"/>
      <c r="H854" s="4388"/>
      <c r="I854" s="4388"/>
      <c r="J854" s="4389"/>
      <c r="K854" s="4390"/>
      <c r="L854" s="1329"/>
      <c r="M854" s="1329"/>
      <c r="N854" s="1734"/>
      <c r="P854" s="1002"/>
      <c r="Q854" s="1002"/>
    </row>
    <row r="855" spans="1:17" ht="21.75" hidden="1" customHeight="1" x14ac:dyDescent="0.25">
      <c r="A855" s="2"/>
      <c r="B855" s="1342"/>
      <c r="C855" s="2632" t="s">
        <v>2931</v>
      </c>
      <c r="D855" s="2669">
        <f>D856</f>
        <v>219825000</v>
      </c>
      <c r="E855" s="2786">
        <f>D855/1080051142000*100</f>
        <v>2.0353202867128675E-2</v>
      </c>
      <c r="F855" s="4391"/>
      <c r="G855" s="4391"/>
      <c r="H855" s="4391"/>
      <c r="I855" s="4391"/>
      <c r="J855" s="4392"/>
      <c r="K855" s="4393"/>
      <c r="L855" s="1604"/>
      <c r="M855" s="1604"/>
      <c r="N855" s="1578"/>
      <c r="P855" s="1002"/>
      <c r="Q855" s="1002"/>
    </row>
    <row r="856" spans="1:17" ht="21.75" hidden="1" customHeight="1" x14ac:dyDescent="0.25">
      <c r="A856" s="2"/>
      <c r="B856" s="1344"/>
      <c r="C856" s="2491" t="s">
        <v>2933</v>
      </c>
      <c r="D856" s="2692">
        <f>D857</f>
        <v>219825000</v>
      </c>
      <c r="E856" s="3794">
        <f>D856/108005114000*100</f>
        <v>0.20353202904818007</v>
      </c>
      <c r="F856" s="4388"/>
      <c r="G856" s="4388"/>
      <c r="H856" s="4388"/>
      <c r="I856" s="4388"/>
      <c r="J856" s="4389"/>
      <c r="K856" s="4390"/>
      <c r="L856" s="1329"/>
      <c r="M856" s="1329"/>
      <c r="N856" s="1582"/>
      <c r="P856" s="1002"/>
      <c r="Q856" s="1002"/>
    </row>
    <row r="857" spans="1:17" ht="21.75" hidden="1" customHeight="1" x14ac:dyDescent="0.25">
      <c r="A857" s="2"/>
      <c r="B857" s="1344"/>
      <c r="C857" s="2494" t="s">
        <v>7385</v>
      </c>
      <c r="D857" s="2698">
        <v>219825000</v>
      </c>
      <c r="E857" s="2810">
        <f>D857/108005114000*100</f>
        <v>0.20353202904818007</v>
      </c>
      <c r="F857" s="1269"/>
      <c r="G857" s="1269"/>
      <c r="H857" s="1269"/>
      <c r="I857" s="1269"/>
      <c r="J857" s="1823"/>
      <c r="K857" s="1824"/>
      <c r="L857" s="1315"/>
      <c r="M857" s="1315"/>
      <c r="N857" s="1539"/>
      <c r="P857" s="1002"/>
      <c r="Q857" s="1002"/>
    </row>
    <row r="858" spans="1:17" ht="21.75" hidden="1" customHeight="1" x14ac:dyDescent="0.25">
      <c r="A858" s="2"/>
      <c r="B858" s="1344"/>
      <c r="C858" s="2506"/>
      <c r="D858" s="2724"/>
      <c r="E858" s="2840"/>
      <c r="F858" s="4388"/>
      <c r="G858" s="4388"/>
      <c r="H858" s="4388"/>
      <c r="I858" s="4388"/>
      <c r="J858" s="4389"/>
      <c r="K858" s="4390"/>
      <c r="L858" s="1329"/>
      <c r="M858" s="1329"/>
      <c r="N858" s="1574"/>
      <c r="P858" s="1002"/>
      <c r="Q858" s="1002"/>
    </row>
    <row r="859" spans="1:17" ht="33.75" hidden="1" customHeight="1" x14ac:dyDescent="0.25">
      <c r="A859" s="2"/>
      <c r="B859" s="1342"/>
      <c r="C859" s="2497" t="s">
        <v>2939</v>
      </c>
      <c r="D859" s="2669">
        <f>D860</f>
        <v>370000000</v>
      </c>
      <c r="E859" s="2786">
        <f>D859/1080051142000*100</f>
        <v>3.4257637033265599E-2</v>
      </c>
      <c r="F859" s="4391"/>
      <c r="G859" s="4391"/>
      <c r="H859" s="4391"/>
      <c r="I859" s="4391"/>
      <c r="J859" s="4392"/>
      <c r="K859" s="4393"/>
      <c r="L859" s="1604"/>
      <c r="M859" s="1604"/>
      <c r="N859" s="1578"/>
      <c r="P859" s="1002"/>
      <c r="Q859" s="1002"/>
    </row>
    <row r="860" spans="1:17" ht="24.75" hidden="1" customHeight="1" x14ac:dyDescent="0.25">
      <c r="A860" s="2"/>
      <c r="B860" s="1344"/>
      <c r="C860" s="2525" t="s">
        <v>7403</v>
      </c>
      <c r="D860" s="2692">
        <f>D861</f>
        <v>370000000</v>
      </c>
      <c r="E860" s="3794">
        <f>D860/108005114000*100</f>
        <v>0.34257637096702664</v>
      </c>
      <c r="F860" s="4388"/>
      <c r="G860" s="4388"/>
      <c r="H860" s="4388"/>
      <c r="I860" s="4388"/>
      <c r="J860" s="4389"/>
      <c r="K860" s="4390"/>
      <c r="L860" s="1329"/>
      <c r="M860" s="1329"/>
      <c r="N860" s="1734"/>
      <c r="P860" s="1002"/>
      <c r="Q860" s="1002"/>
    </row>
    <row r="861" spans="1:17" ht="22.5" hidden="1" customHeight="1" x14ac:dyDescent="0.25">
      <c r="A861" s="2"/>
      <c r="B861" s="1344"/>
      <c r="C861" s="2524" t="s">
        <v>7404</v>
      </c>
      <c r="D861" s="2698">
        <v>370000000</v>
      </c>
      <c r="E861" s="2810">
        <f>D861/108005114000*100</f>
        <v>0.34257637096702664</v>
      </c>
      <c r="F861" s="1269"/>
      <c r="G861" s="1269"/>
      <c r="H861" s="1269"/>
      <c r="I861" s="1269"/>
      <c r="J861" s="1823"/>
      <c r="K861" s="1824"/>
      <c r="L861" s="1315"/>
      <c r="M861" s="1315"/>
      <c r="N861" s="1539"/>
      <c r="P861" s="1002"/>
      <c r="Q861" s="1002"/>
    </row>
    <row r="862" spans="1:17" ht="15.75" hidden="1" customHeight="1" x14ac:dyDescent="0.25">
      <c r="A862" s="2"/>
      <c r="B862" s="1344"/>
      <c r="C862" s="2496"/>
      <c r="D862" s="2706"/>
      <c r="E862" s="2818"/>
      <c r="F862" s="1272"/>
      <c r="G862" s="1272"/>
      <c r="H862" s="1272"/>
      <c r="I862" s="1272"/>
      <c r="J862" s="4394"/>
      <c r="K862" s="4395"/>
      <c r="L862" s="1328"/>
      <c r="M862" s="1328"/>
      <c r="N862" s="1574"/>
      <c r="P862" s="1002"/>
      <c r="Q862" s="1002"/>
    </row>
    <row r="863" spans="1:17" ht="18" hidden="1" customHeight="1" x14ac:dyDescent="0.25">
      <c r="A863" s="2"/>
      <c r="B863" s="1342"/>
      <c r="C863" s="2497" t="s">
        <v>7550</v>
      </c>
      <c r="D863" s="2669">
        <f>D864</f>
        <v>1200000000</v>
      </c>
      <c r="E863" s="2786">
        <f>D863/1080051142000*100</f>
        <v>0.11110584983761815</v>
      </c>
      <c r="F863" s="4391"/>
      <c r="G863" s="4391"/>
      <c r="H863" s="4391"/>
      <c r="I863" s="4391"/>
      <c r="J863" s="4392"/>
      <c r="K863" s="4393"/>
      <c r="L863" s="1604"/>
      <c r="M863" s="1604"/>
      <c r="N863" s="1578"/>
      <c r="P863" s="1002"/>
      <c r="Q863" s="1002"/>
    </row>
    <row r="864" spans="1:17" ht="26.25" hidden="1" customHeight="1" x14ac:dyDescent="0.25">
      <c r="A864" s="2"/>
      <c r="B864" s="1344"/>
      <c r="C864" s="3619" t="s">
        <v>7552</v>
      </c>
      <c r="D864" s="2724">
        <v>1200000000</v>
      </c>
      <c r="E864" s="4729">
        <f>D864/108005114000*100</f>
        <v>1.1110585004335998</v>
      </c>
      <c r="F864" s="4388"/>
      <c r="G864" s="4388"/>
      <c r="H864" s="4388"/>
      <c r="I864" s="4388"/>
      <c r="J864" s="4389"/>
      <c r="K864" s="4390"/>
      <c r="L864" s="1329"/>
      <c r="M864" s="1329"/>
      <c r="N864" s="1734"/>
      <c r="P864" s="1002"/>
      <c r="Q864" s="1002"/>
    </row>
    <row r="865" spans="1:18" ht="21.75" hidden="1" customHeight="1" x14ac:dyDescent="0.25">
      <c r="B865" s="1592"/>
      <c r="C865" s="2558"/>
      <c r="D865" s="2911"/>
      <c r="E865" s="2895"/>
      <c r="F865" s="1262"/>
      <c r="G865" s="1262"/>
      <c r="H865" s="1262"/>
      <c r="I865" s="1262"/>
      <c r="J865" s="1731"/>
      <c r="K865" s="1731"/>
      <c r="L865" s="1732"/>
      <c r="M865" s="1733"/>
      <c r="N865" s="4734"/>
    </row>
    <row r="866" spans="1:18" s="76" customFormat="1" ht="21.75" hidden="1" customHeight="1" x14ac:dyDescent="0.25">
      <c r="B866" s="1588"/>
      <c r="C866" s="2522" t="s">
        <v>7004</v>
      </c>
      <c r="D866" s="4730">
        <f>SUM(D868)</f>
        <v>20593004000</v>
      </c>
      <c r="E866" s="3789">
        <f>D866/2512247400000*100</f>
        <v>0.81970446063552493</v>
      </c>
      <c r="F866" s="4731"/>
      <c r="G866" s="4732"/>
      <c r="H866" s="4732"/>
      <c r="I866" s="4732"/>
      <c r="J866" s="4732"/>
      <c r="K866" s="4732"/>
      <c r="L866" s="4732"/>
      <c r="M866" s="4733"/>
      <c r="N866" s="1750"/>
      <c r="O866" s="1035"/>
      <c r="P866" s="1036"/>
      <c r="Q866" s="1036"/>
      <c r="R866" s="1035"/>
    </row>
    <row r="867" spans="1:18" ht="14.25" hidden="1" customHeight="1" x14ac:dyDescent="0.25">
      <c r="B867" s="1587"/>
      <c r="C867" s="2593"/>
      <c r="D867" s="2830"/>
      <c r="E867" s="2818"/>
      <c r="F867" s="1255"/>
      <c r="G867" s="1242"/>
      <c r="H867" s="1255"/>
      <c r="I867" s="1255"/>
      <c r="J867" s="1255"/>
      <c r="K867" s="1242"/>
      <c r="L867" s="1255"/>
      <c r="M867" s="1631"/>
      <c r="N867" s="1539"/>
    </row>
    <row r="868" spans="1:18" ht="24" hidden="1" customHeight="1" x14ac:dyDescent="0.25">
      <c r="B868" s="1609"/>
      <c r="C868" s="2624" t="s">
        <v>2125</v>
      </c>
      <c r="D868" s="2669">
        <f>SUM(D869+D874+D880+D889+D892+D906+D910+D914+D918)</f>
        <v>20593004000</v>
      </c>
      <c r="E868" s="2786">
        <f>D868/103304292000*100</f>
        <v>19.934315991440123</v>
      </c>
      <c r="F868" s="1244"/>
      <c r="G868" s="1244"/>
      <c r="H868" s="1244"/>
      <c r="I868" s="1244"/>
      <c r="J868" s="1244"/>
      <c r="K868" s="1244"/>
      <c r="L868" s="1244"/>
      <c r="M868" s="1725"/>
      <c r="N868" s="1539"/>
    </row>
    <row r="869" spans="1:18" ht="22.5" hidden="1" customHeight="1" x14ac:dyDescent="0.25">
      <c r="A869" s="2"/>
      <c r="B869" s="1344"/>
      <c r="C869" s="2538" t="s">
        <v>91</v>
      </c>
      <c r="D869" s="2826">
        <f>SUM(D870:D872)</f>
        <v>207975100</v>
      </c>
      <c r="E869" s="3214">
        <f>D869/103304292000*100</f>
        <v>0.20132280660710594</v>
      </c>
      <c r="F869" s="1450"/>
      <c r="G869" s="1872"/>
      <c r="H869" s="1289"/>
      <c r="I869" s="1245"/>
      <c r="J869" s="1450"/>
      <c r="K869" s="1450"/>
      <c r="L869" s="1289"/>
      <c r="M869" s="1257"/>
      <c r="N869" s="1539"/>
      <c r="O869"/>
      <c r="P869" s="617"/>
      <c r="Q869"/>
      <c r="R869"/>
    </row>
    <row r="870" spans="1:18" ht="18.75" hidden="1" customHeight="1" x14ac:dyDescent="0.25">
      <c r="A870" s="2"/>
      <c r="B870" s="1344"/>
      <c r="C870" s="2524" t="s">
        <v>4790</v>
      </c>
      <c r="D870" s="896">
        <v>90165100</v>
      </c>
      <c r="E870" s="2879">
        <f t="shared" ref="E870:E920" si="27">D870/103304292000*100</f>
        <v>8.7281078311828519E-2</v>
      </c>
      <c r="F870" s="1434"/>
      <c r="G870" s="1278"/>
      <c r="H870" s="1278"/>
      <c r="I870" s="1228"/>
      <c r="J870" s="1434"/>
      <c r="K870" s="1283"/>
      <c r="L870" s="1278"/>
      <c r="M870" s="1228"/>
      <c r="N870" s="1539"/>
      <c r="O870"/>
      <c r="P870" s="617"/>
      <c r="Q870"/>
      <c r="R870"/>
    </row>
    <row r="871" spans="1:18" ht="18" hidden="1" customHeight="1" x14ac:dyDescent="0.25">
      <c r="A871" s="2"/>
      <c r="B871" s="1344"/>
      <c r="C871" s="2585" t="s">
        <v>4791</v>
      </c>
      <c r="D871" s="2769">
        <v>57755000</v>
      </c>
      <c r="E871" s="2879">
        <f t="shared" si="27"/>
        <v>5.5907648057836754E-2</v>
      </c>
      <c r="F871" s="1260"/>
      <c r="G871" s="1873"/>
      <c r="H871" s="1255"/>
      <c r="I871" s="1255"/>
      <c r="J871" s="1281"/>
      <c r="K871" s="1873"/>
      <c r="L871" s="1255"/>
      <c r="M871" s="1255"/>
      <c r="N871" s="1539"/>
      <c r="O871"/>
      <c r="P871" s="617"/>
      <c r="Q871"/>
      <c r="R871"/>
    </row>
    <row r="872" spans="1:18" ht="18" hidden="1" customHeight="1" x14ac:dyDescent="0.25">
      <c r="A872" s="2"/>
      <c r="B872" s="1344"/>
      <c r="C872" s="2577" t="s">
        <v>2549</v>
      </c>
      <c r="D872" s="896">
        <v>60055000</v>
      </c>
      <c r="E872" s="2879">
        <f t="shared" si="27"/>
        <v>5.8134080237440669E-2</v>
      </c>
      <c r="F872" s="1230"/>
      <c r="G872" s="1285"/>
      <c r="H872" s="1228"/>
      <c r="I872" s="1228"/>
      <c r="J872" s="1284"/>
      <c r="K872" s="1285"/>
      <c r="L872" s="1228"/>
      <c r="M872" s="1228"/>
      <c r="N872" s="1539"/>
      <c r="O872"/>
      <c r="P872" s="617"/>
      <c r="Q872"/>
      <c r="R872"/>
    </row>
    <row r="873" spans="1:18" ht="11.25" hidden="1" customHeight="1" x14ac:dyDescent="0.25">
      <c r="A873" s="2"/>
      <c r="B873" s="1344"/>
      <c r="C873" s="2585"/>
      <c r="D873" s="2769"/>
      <c r="E873" s="2879"/>
      <c r="F873" s="1260"/>
      <c r="G873" s="1874"/>
      <c r="H873" s="1255"/>
      <c r="I873" s="1255"/>
      <c r="J873" s="1281"/>
      <c r="K873" s="1874"/>
      <c r="L873" s="1255"/>
      <c r="M873" s="1255"/>
      <c r="N873" s="1539"/>
      <c r="O873"/>
      <c r="P873" s="617"/>
      <c r="Q873"/>
      <c r="R873"/>
    </row>
    <row r="874" spans="1:18" ht="21.75" hidden="1" customHeight="1" x14ac:dyDescent="0.25">
      <c r="A874" s="2"/>
      <c r="B874" s="1344"/>
      <c r="C874" s="2525" t="s">
        <v>93</v>
      </c>
      <c r="D874" s="899">
        <f>SUM(D875:D878)</f>
        <v>700000000</v>
      </c>
      <c r="E874" s="3214">
        <f t="shared" si="27"/>
        <v>0.67760979379249797</v>
      </c>
      <c r="F874" s="1433"/>
      <c r="G874" s="1433"/>
      <c r="H874" s="1289"/>
      <c r="I874" s="1235"/>
      <c r="J874" s="1433"/>
      <c r="K874" s="1433"/>
      <c r="L874" s="1289"/>
      <c r="M874" s="1235"/>
      <c r="N874" s="1539"/>
      <c r="O874"/>
      <c r="P874" s="617"/>
      <c r="Q874"/>
      <c r="R874"/>
    </row>
    <row r="875" spans="1:18" ht="31.5" hidden="1" customHeight="1" x14ac:dyDescent="0.25">
      <c r="A875" s="2"/>
      <c r="B875" s="1344"/>
      <c r="C875" s="2524" t="s">
        <v>4792</v>
      </c>
      <c r="D875" s="896">
        <v>250000000</v>
      </c>
      <c r="E875" s="2879">
        <f t="shared" si="27"/>
        <v>0.24200349778303498</v>
      </c>
      <c r="F875" s="1434"/>
      <c r="G875" s="1278"/>
      <c r="H875" s="1278"/>
      <c r="I875" s="1228"/>
      <c r="J875" s="1434"/>
      <c r="K875" s="1283"/>
      <c r="L875" s="1278"/>
      <c r="M875" s="1228"/>
      <c r="N875" s="1539"/>
      <c r="O875"/>
      <c r="P875" s="617"/>
      <c r="Q875"/>
      <c r="R875"/>
    </row>
    <row r="876" spans="1:18" ht="24" hidden="1" customHeight="1" x14ac:dyDescent="0.25">
      <c r="A876" s="2"/>
      <c r="B876" s="1344"/>
      <c r="C876" s="2524" t="s">
        <v>4793</v>
      </c>
      <c r="D876" s="896">
        <v>200000000</v>
      </c>
      <c r="E876" s="2879">
        <f t="shared" si="27"/>
        <v>0.19360279822642801</v>
      </c>
      <c r="F876" s="1434"/>
      <c r="G876" s="1278"/>
      <c r="H876" s="1278"/>
      <c r="I876" s="1228"/>
      <c r="J876" s="1434"/>
      <c r="K876" s="1283"/>
      <c r="L876" s="1278"/>
      <c r="M876" s="1228"/>
      <c r="N876" s="1539"/>
      <c r="O876"/>
      <c r="P876" s="617"/>
      <c r="Q876"/>
      <c r="R876"/>
    </row>
    <row r="877" spans="1:18" ht="24" hidden="1" customHeight="1" x14ac:dyDescent="0.25">
      <c r="A877" s="2"/>
      <c r="B877" s="1344"/>
      <c r="C877" s="2524" t="s">
        <v>4794</v>
      </c>
      <c r="D877" s="896">
        <v>125000000</v>
      </c>
      <c r="E877" s="2879">
        <f t="shared" si="27"/>
        <v>0.12100174889151749</v>
      </c>
      <c r="F877" s="1434"/>
      <c r="G877" s="1234"/>
      <c r="H877" s="1234"/>
      <c r="I877" s="1234"/>
      <c r="J877" s="1434"/>
      <c r="K877" s="1875"/>
      <c r="L877" s="1234"/>
      <c r="M877" s="1234"/>
      <c r="N877" s="1539"/>
      <c r="O877"/>
      <c r="P877" s="617"/>
      <c r="Q877"/>
      <c r="R877"/>
    </row>
    <row r="878" spans="1:18" ht="35.25" hidden="1" customHeight="1" x14ac:dyDescent="0.25">
      <c r="A878" s="2"/>
      <c r="B878" s="1344"/>
      <c r="C878" s="2524" t="s">
        <v>4795</v>
      </c>
      <c r="D878" s="896">
        <v>125000000</v>
      </c>
      <c r="E878" s="2879">
        <f t="shared" si="27"/>
        <v>0.12100174889151749</v>
      </c>
      <c r="F878" s="1434"/>
      <c r="G878" s="1278"/>
      <c r="H878" s="1278"/>
      <c r="I878" s="1228"/>
      <c r="J878" s="1434"/>
      <c r="K878" s="1283"/>
      <c r="L878" s="1278"/>
      <c r="M878" s="1228"/>
      <c r="N878" s="1539"/>
      <c r="O878"/>
      <c r="P878" s="617"/>
      <c r="Q878"/>
      <c r="R878"/>
    </row>
    <row r="879" spans="1:18" ht="15.75" hidden="1" customHeight="1" x14ac:dyDescent="0.25">
      <c r="A879" s="2"/>
      <c r="B879" s="1344"/>
      <c r="C879" s="2585"/>
      <c r="D879" s="2769"/>
      <c r="E879" s="2879"/>
      <c r="F879" s="1260"/>
      <c r="G879" s="1876"/>
      <c r="H879" s="1228"/>
      <c r="I879" s="1228"/>
      <c r="J879" s="1281"/>
      <c r="K879" s="1876"/>
      <c r="L879" s="1228"/>
      <c r="M879" s="1228"/>
      <c r="N879" s="1539"/>
      <c r="O879"/>
      <c r="P879" s="617"/>
      <c r="Q879"/>
      <c r="R879"/>
    </row>
    <row r="880" spans="1:18" ht="24.75" hidden="1" customHeight="1" x14ac:dyDescent="0.25">
      <c r="A880" s="2"/>
      <c r="B880" s="1344"/>
      <c r="C880" s="2525" t="s">
        <v>2565</v>
      </c>
      <c r="D880" s="899">
        <f>SUM(D881:D887)</f>
        <v>2250000000</v>
      </c>
      <c r="E880" s="3214">
        <f t="shared" si="27"/>
        <v>2.1780314800473146</v>
      </c>
      <c r="F880" s="1433"/>
      <c r="G880" s="1245"/>
      <c r="H880" s="1235"/>
      <c r="I880" s="1235"/>
      <c r="J880" s="1433"/>
      <c r="K880" s="1487"/>
      <c r="L880" s="1235"/>
      <c r="M880" s="1235"/>
      <c r="N880" s="1539"/>
      <c r="O880"/>
      <c r="P880" s="617"/>
      <c r="Q880"/>
      <c r="R880"/>
    </row>
    <row r="881" spans="1:18" ht="22.5" hidden="1" customHeight="1" x14ac:dyDescent="0.25">
      <c r="A881" s="2"/>
      <c r="B881" s="1344"/>
      <c r="C881" s="2524" t="s">
        <v>4796</v>
      </c>
      <c r="D881" s="896">
        <v>114500000</v>
      </c>
      <c r="E881" s="2879">
        <f t="shared" si="27"/>
        <v>0.11083760198463002</v>
      </c>
      <c r="F881" s="1434"/>
      <c r="G881" s="1228"/>
      <c r="H881" s="1228"/>
      <c r="I881" s="1228"/>
      <c r="J881" s="1434"/>
      <c r="K881" s="1277"/>
      <c r="L881" s="1228"/>
      <c r="M881" s="1228"/>
      <c r="N881" s="1539"/>
      <c r="O881"/>
      <c r="P881" s="617"/>
      <c r="Q881"/>
      <c r="R881"/>
    </row>
    <row r="882" spans="1:18" ht="21" hidden="1" customHeight="1" x14ac:dyDescent="0.25">
      <c r="A882" s="2"/>
      <c r="B882" s="1344"/>
      <c r="C882" s="2524" t="s">
        <v>4797</v>
      </c>
      <c r="D882" s="896">
        <v>300000000</v>
      </c>
      <c r="E882" s="2879">
        <f t="shared" si="27"/>
        <v>0.29040419733964201</v>
      </c>
      <c r="F882" s="1434"/>
      <c r="G882" s="1228"/>
      <c r="H882" s="1228"/>
      <c r="I882" s="1228"/>
      <c r="J882" s="1434"/>
      <c r="K882" s="1277"/>
      <c r="L882" s="1228"/>
      <c r="M882" s="1228"/>
      <c r="N882" s="1539"/>
      <c r="O882"/>
      <c r="P882" s="617"/>
      <c r="Q882"/>
      <c r="R882"/>
    </row>
    <row r="883" spans="1:18" ht="19.5" hidden="1" customHeight="1" x14ac:dyDescent="0.25">
      <c r="A883" s="2"/>
      <c r="B883" s="1344"/>
      <c r="C883" s="2524" t="s">
        <v>4798</v>
      </c>
      <c r="D883" s="896">
        <v>50000000</v>
      </c>
      <c r="E883" s="2879">
        <f t="shared" si="27"/>
        <v>4.8400699556607002E-2</v>
      </c>
      <c r="F883" s="1434"/>
      <c r="G883" s="1228"/>
      <c r="H883" s="1228"/>
      <c r="I883" s="1228"/>
      <c r="J883" s="1434"/>
      <c r="K883" s="1277"/>
      <c r="L883" s="1228"/>
      <c r="M883" s="1228"/>
      <c r="N883" s="1539"/>
      <c r="O883"/>
      <c r="P883" s="617"/>
      <c r="Q883"/>
      <c r="R883"/>
    </row>
    <row r="884" spans="1:18" ht="18.75" hidden="1" customHeight="1" x14ac:dyDescent="0.25">
      <c r="A884" s="2"/>
      <c r="B884" s="1344"/>
      <c r="C884" s="2524" t="s">
        <v>4799</v>
      </c>
      <c r="D884" s="896">
        <v>550000000</v>
      </c>
      <c r="E884" s="2879">
        <f t="shared" si="27"/>
        <v>0.53240769512267694</v>
      </c>
      <c r="F884" s="1434"/>
      <c r="G884" s="1228"/>
      <c r="H884" s="1228"/>
      <c r="I884" s="1228"/>
      <c r="J884" s="1434"/>
      <c r="K884" s="1277"/>
      <c r="L884" s="1228"/>
      <c r="M884" s="1228"/>
      <c r="N884" s="1539"/>
      <c r="O884"/>
      <c r="P884" s="617"/>
      <c r="Q884"/>
      <c r="R884"/>
    </row>
    <row r="885" spans="1:18" ht="21.75" hidden="1" customHeight="1" x14ac:dyDescent="0.25">
      <c r="A885" s="2"/>
      <c r="B885" s="1344"/>
      <c r="C885" s="2524" t="s">
        <v>4800</v>
      </c>
      <c r="D885" s="896">
        <v>150000000</v>
      </c>
      <c r="E885" s="2879">
        <f t="shared" si="27"/>
        <v>0.14520209866982101</v>
      </c>
      <c r="F885" s="1434"/>
      <c r="G885" s="1228"/>
      <c r="H885" s="1228"/>
      <c r="I885" s="1228"/>
      <c r="J885" s="1434"/>
      <c r="K885" s="1277"/>
      <c r="L885" s="1228"/>
      <c r="M885" s="1228"/>
      <c r="N885" s="1539"/>
      <c r="O885"/>
      <c r="P885" s="617"/>
      <c r="Q885"/>
      <c r="R885"/>
    </row>
    <row r="886" spans="1:18" ht="22.5" hidden="1" customHeight="1" x14ac:dyDescent="0.25">
      <c r="A886" s="2"/>
      <c r="B886" s="1344"/>
      <c r="C886" s="2524" t="s">
        <v>4801</v>
      </c>
      <c r="D886" s="896">
        <v>1000000000</v>
      </c>
      <c r="E886" s="2879">
        <f t="shared" si="27"/>
        <v>0.96801399113213993</v>
      </c>
      <c r="F886" s="1434"/>
      <c r="G886" s="1228"/>
      <c r="H886" s="1228"/>
      <c r="I886" s="1228"/>
      <c r="J886" s="1434"/>
      <c r="K886" s="1277"/>
      <c r="L886" s="1228"/>
      <c r="M886" s="1228"/>
      <c r="N886" s="1539"/>
      <c r="O886"/>
      <c r="P886" s="617"/>
      <c r="Q886"/>
      <c r="R886"/>
    </row>
    <row r="887" spans="1:18" ht="22.5" hidden="1" customHeight="1" x14ac:dyDescent="0.25">
      <c r="A887" s="2"/>
      <c r="B887" s="1344"/>
      <c r="C887" s="2524" t="s">
        <v>4802</v>
      </c>
      <c r="D887" s="896">
        <v>85500000</v>
      </c>
      <c r="E887" s="2879">
        <f t="shared" si="27"/>
        <v>8.276519624179797E-2</v>
      </c>
      <c r="F887" s="1434"/>
      <c r="G887" s="1228"/>
      <c r="H887" s="1228"/>
      <c r="I887" s="1228"/>
      <c r="J887" s="1434"/>
      <c r="K887" s="1277"/>
      <c r="L887" s="1228"/>
      <c r="M887" s="1228"/>
      <c r="N887" s="1539"/>
      <c r="O887"/>
      <c r="P887" s="617"/>
      <c r="Q887"/>
      <c r="R887"/>
    </row>
    <row r="888" spans="1:18" ht="14.25" hidden="1" customHeight="1" x14ac:dyDescent="0.25">
      <c r="A888" s="2"/>
      <c r="B888" s="1344"/>
      <c r="C888" s="2524"/>
      <c r="D888" s="896"/>
      <c r="E888" s="2879"/>
      <c r="F888" s="1434"/>
      <c r="G888" s="1228"/>
      <c r="H888" s="1228"/>
      <c r="I888" s="1228"/>
      <c r="J888" s="1434"/>
      <c r="K888" s="1277"/>
      <c r="L888" s="1228"/>
      <c r="M888" s="1228"/>
      <c r="N888" s="1539"/>
      <c r="O888"/>
      <c r="P888" s="617"/>
      <c r="Q888"/>
      <c r="R888"/>
    </row>
    <row r="889" spans="1:18" ht="20.25" hidden="1" customHeight="1" x14ac:dyDescent="0.25">
      <c r="A889" s="2"/>
      <c r="B889" s="1344"/>
      <c r="C889" s="2525" t="s">
        <v>1296</v>
      </c>
      <c r="D889" s="899">
        <f>SUM(D890:D890)</f>
        <v>400000000</v>
      </c>
      <c r="E889" s="3214">
        <f t="shared" si="27"/>
        <v>0.38720559645285602</v>
      </c>
      <c r="F889" s="1433"/>
      <c r="G889" s="1235"/>
      <c r="H889" s="1235"/>
      <c r="I889" s="1235"/>
      <c r="J889" s="1433"/>
      <c r="K889" s="1292"/>
      <c r="L889" s="1235"/>
      <c r="M889" s="1235"/>
      <c r="N889" s="1539"/>
      <c r="O889"/>
      <c r="P889" s="617"/>
      <c r="Q889"/>
      <c r="R889"/>
    </row>
    <row r="890" spans="1:18" ht="21.75" hidden="1" customHeight="1" x14ac:dyDescent="0.25">
      <c r="A890" s="2"/>
      <c r="B890" s="1344"/>
      <c r="C890" s="2524" t="s">
        <v>4803</v>
      </c>
      <c r="D890" s="896">
        <v>400000000</v>
      </c>
      <c r="E890" s="2879">
        <f t="shared" si="27"/>
        <v>0.38720559645285602</v>
      </c>
      <c r="F890" s="1434"/>
      <c r="G890" s="1228"/>
      <c r="H890" s="1228"/>
      <c r="I890" s="1228"/>
      <c r="J890" s="1434"/>
      <c r="K890" s="1277"/>
      <c r="L890" s="1228"/>
      <c r="M890" s="1228"/>
      <c r="N890" s="1539"/>
      <c r="O890"/>
      <c r="P890" s="617"/>
      <c r="Q890"/>
      <c r="R890"/>
    </row>
    <row r="891" spans="1:18" ht="14.25" hidden="1" customHeight="1" x14ac:dyDescent="0.25">
      <c r="A891" s="2"/>
      <c r="B891" s="1344"/>
      <c r="C891" s="2592"/>
      <c r="D891" s="2759"/>
      <c r="E891" s="2879"/>
      <c r="F891" s="1258"/>
      <c r="G891" s="1228"/>
      <c r="H891" s="1228"/>
      <c r="I891" s="1228"/>
      <c r="J891" s="1453"/>
      <c r="K891" s="1487"/>
      <c r="L891" s="1245"/>
      <c r="M891" s="1245"/>
      <c r="N891" s="1539"/>
      <c r="O891"/>
      <c r="P891" s="617"/>
      <c r="Q891"/>
      <c r="R891"/>
    </row>
    <row r="892" spans="1:18" ht="24" hidden="1" customHeight="1" x14ac:dyDescent="0.25">
      <c r="A892" s="2"/>
      <c r="B892" s="1344"/>
      <c r="C892" s="2525" t="s">
        <v>2583</v>
      </c>
      <c r="D892" s="899">
        <f>SUM(D893:D904)</f>
        <v>1600000000</v>
      </c>
      <c r="E892" s="3214">
        <f t="shared" si="27"/>
        <v>1.5488223858114241</v>
      </c>
      <c r="F892" s="1433"/>
      <c r="G892" s="1235"/>
      <c r="H892" s="1235"/>
      <c r="I892" s="1235"/>
      <c r="J892" s="1433"/>
      <c r="K892" s="1292"/>
      <c r="L892" s="1235"/>
      <c r="M892" s="1235"/>
      <c r="N892" s="1539"/>
      <c r="O892"/>
      <c r="P892" s="617"/>
      <c r="Q892"/>
      <c r="R892"/>
    </row>
    <row r="893" spans="1:18" ht="23.25" hidden="1" customHeight="1" x14ac:dyDescent="0.25">
      <c r="A893" s="2"/>
      <c r="B893" s="1344"/>
      <c r="C893" s="2524" t="s">
        <v>4804</v>
      </c>
      <c r="D893" s="896">
        <v>100000000</v>
      </c>
      <c r="E893" s="2879">
        <f t="shared" si="27"/>
        <v>9.6801399113214004E-2</v>
      </c>
      <c r="F893" s="1276"/>
      <c r="G893" s="1228"/>
      <c r="H893" s="1228"/>
      <c r="I893" s="1228"/>
      <c r="J893" s="1276"/>
      <c r="K893" s="1277"/>
      <c r="L893" s="1228"/>
      <c r="M893" s="1228"/>
      <c r="N893" s="1539"/>
      <c r="O893"/>
      <c r="P893" s="617"/>
      <c r="Q893"/>
      <c r="R893"/>
    </row>
    <row r="894" spans="1:18" ht="21" hidden="1" customHeight="1" x14ac:dyDescent="0.25">
      <c r="A894" s="2"/>
      <c r="B894" s="1344"/>
      <c r="C894" s="2524" t="s">
        <v>4805</v>
      </c>
      <c r="D894" s="896">
        <v>100000000</v>
      </c>
      <c r="E894" s="2879">
        <f t="shared" si="27"/>
        <v>9.6801399113214004E-2</v>
      </c>
      <c r="F894" s="1276"/>
      <c r="G894" s="1228"/>
      <c r="H894" s="1228"/>
      <c r="I894" s="1228"/>
      <c r="J894" s="1276"/>
      <c r="K894" s="1277"/>
      <c r="L894" s="1228"/>
      <c r="M894" s="1228"/>
      <c r="N894" s="1539"/>
      <c r="O894"/>
      <c r="P894" s="617"/>
      <c r="Q894"/>
      <c r="R894"/>
    </row>
    <row r="895" spans="1:18" ht="18" hidden="1" customHeight="1" x14ac:dyDescent="0.25">
      <c r="A895" s="2"/>
      <c r="B895" s="1344"/>
      <c r="C895" s="2524" t="s">
        <v>4806</v>
      </c>
      <c r="D895" s="896">
        <v>150000000</v>
      </c>
      <c r="E895" s="2879">
        <f t="shared" si="27"/>
        <v>0.14520209866982101</v>
      </c>
      <c r="F895" s="1276"/>
      <c r="G895" s="1228"/>
      <c r="H895" s="1228"/>
      <c r="I895" s="1228"/>
      <c r="J895" s="1276"/>
      <c r="K895" s="1277"/>
      <c r="L895" s="1228"/>
      <c r="M895" s="1228"/>
      <c r="N895" s="1539"/>
      <c r="O895"/>
      <c r="P895" s="617"/>
      <c r="Q895"/>
      <c r="R895"/>
    </row>
    <row r="896" spans="1:18" ht="18" hidden="1" customHeight="1" x14ac:dyDescent="0.25">
      <c r="A896" s="2"/>
      <c r="B896" s="1344"/>
      <c r="C896" s="2524" t="s">
        <v>4807</v>
      </c>
      <c r="D896" s="896">
        <v>50000000</v>
      </c>
      <c r="E896" s="2879">
        <f t="shared" si="27"/>
        <v>4.8400699556607002E-2</v>
      </c>
      <c r="F896" s="1276"/>
      <c r="G896" s="1228"/>
      <c r="H896" s="1228"/>
      <c r="I896" s="1228"/>
      <c r="J896" s="1276"/>
      <c r="K896" s="1277"/>
      <c r="L896" s="1228"/>
      <c r="M896" s="1228"/>
      <c r="N896" s="1539"/>
      <c r="O896"/>
      <c r="P896" s="617"/>
      <c r="Q896"/>
      <c r="R896"/>
    </row>
    <row r="897" spans="1:18" ht="21" hidden="1" customHeight="1" x14ac:dyDescent="0.25">
      <c r="A897" s="2"/>
      <c r="B897" s="1344"/>
      <c r="C897" s="2524" t="s">
        <v>4808</v>
      </c>
      <c r="D897" s="896">
        <v>200000000</v>
      </c>
      <c r="E897" s="2879">
        <f t="shared" si="27"/>
        <v>0.19360279822642801</v>
      </c>
      <c r="F897" s="1434"/>
      <c r="G897" s="1228"/>
      <c r="H897" s="1228"/>
      <c r="I897" s="1228"/>
      <c r="J897" s="1434"/>
      <c r="K897" s="1277"/>
      <c r="L897" s="1228"/>
      <c r="M897" s="1228"/>
      <c r="N897" s="1539"/>
      <c r="O897"/>
      <c r="P897" s="617"/>
      <c r="Q897"/>
      <c r="R897"/>
    </row>
    <row r="898" spans="1:18" ht="28.5" hidden="1" customHeight="1" x14ac:dyDescent="0.25">
      <c r="A898" s="2"/>
      <c r="B898" s="1344"/>
      <c r="C898" s="2524" t="s">
        <v>4809</v>
      </c>
      <c r="D898" s="3436">
        <v>50000000</v>
      </c>
      <c r="E898" s="2879">
        <f t="shared" si="27"/>
        <v>4.8400699556607002E-2</v>
      </c>
      <c r="F898" s="1434"/>
      <c r="G898" s="1228"/>
      <c r="H898" s="1228"/>
      <c r="I898" s="1228"/>
      <c r="J898" s="1434"/>
      <c r="K898" s="1277"/>
      <c r="L898" s="1228"/>
      <c r="M898" s="1228"/>
      <c r="N898" s="1539"/>
      <c r="O898"/>
      <c r="P898" s="617"/>
      <c r="Q898"/>
      <c r="R898"/>
    </row>
    <row r="899" spans="1:18" ht="22.5" hidden="1" customHeight="1" x14ac:dyDescent="0.25">
      <c r="A899" s="2"/>
      <c r="B899" s="1344"/>
      <c r="C899" s="2524" t="s">
        <v>4810</v>
      </c>
      <c r="D899" s="896">
        <v>100000000</v>
      </c>
      <c r="E899" s="2879">
        <f t="shared" si="27"/>
        <v>9.6801399113214004E-2</v>
      </c>
      <c r="F899" s="1276"/>
      <c r="G899" s="1228"/>
      <c r="H899" s="1228"/>
      <c r="I899" s="1228"/>
      <c r="J899" s="1276"/>
      <c r="K899" s="1277"/>
      <c r="L899" s="1228"/>
      <c r="M899" s="1228"/>
      <c r="N899" s="1539"/>
      <c r="O899"/>
      <c r="P899" s="617"/>
      <c r="Q899"/>
      <c r="R899"/>
    </row>
    <row r="900" spans="1:18" ht="22.5" hidden="1" customHeight="1" x14ac:dyDescent="0.25">
      <c r="A900" s="2"/>
      <c r="B900" s="1344"/>
      <c r="C900" s="2524" t="s">
        <v>4811</v>
      </c>
      <c r="D900" s="896">
        <v>300000000</v>
      </c>
      <c r="E900" s="2879">
        <f t="shared" si="27"/>
        <v>0.29040419733964201</v>
      </c>
      <c r="F900" s="1434"/>
      <c r="G900" s="1228"/>
      <c r="H900" s="1228"/>
      <c r="I900" s="1228"/>
      <c r="J900" s="1434"/>
      <c r="K900" s="1277"/>
      <c r="L900" s="1228"/>
      <c r="M900" s="1228"/>
      <c r="N900" s="1539"/>
      <c r="O900"/>
      <c r="P900" s="617"/>
      <c r="Q900"/>
      <c r="R900"/>
    </row>
    <row r="901" spans="1:18" ht="21.75" hidden="1" customHeight="1" x14ac:dyDescent="0.25">
      <c r="A901" s="2"/>
      <c r="B901" s="1344"/>
      <c r="C901" s="2585" t="s">
        <v>4812</v>
      </c>
      <c r="D901" s="2769">
        <v>200000000</v>
      </c>
      <c r="E901" s="2879">
        <f t="shared" si="27"/>
        <v>0.19360279822642801</v>
      </c>
      <c r="F901" s="1260"/>
      <c r="G901" s="1877"/>
      <c r="H901" s="1228"/>
      <c r="I901" s="1228"/>
      <c r="J901" s="1281"/>
      <c r="K901" s="1282"/>
      <c r="L901" s="1228"/>
      <c r="M901" s="1228"/>
      <c r="N901" s="1539"/>
      <c r="O901"/>
      <c r="P901" s="617"/>
      <c r="Q901"/>
      <c r="R901"/>
    </row>
    <row r="902" spans="1:18" ht="19.5" hidden="1" customHeight="1" x14ac:dyDescent="0.25">
      <c r="A902" s="2"/>
      <c r="B902" s="1344"/>
      <c r="C902" s="2577" t="s">
        <v>4813</v>
      </c>
      <c r="D902" s="896">
        <v>100000000</v>
      </c>
      <c r="E902" s="2879">
        <f t="shared" si="27"/>
        <v>9.6801399113214004E-2</v>
      </c>
      <c r="F902" s="1230"/>
      <c r="G902" s="1282"/>
      <c r="H902" s="1228"/>
      <c r="I902" s="1228"/>
      <c r="J902" s="1281"/>
      <c r="K902" s="1282"/>
      <c r="L902" s="1228"/>
      <c r="M902" s="1228"/>
      <c r="N902" s="1539"/>
      <c r="O902"/>
      <c r="P902" s="617"/>
      <c r="Q902"/>
      <c r="R902"/>
    </row>
    <row r="903" spans="1:18" ht="20.25" hidden="1" customHeight="1" x14ac:dyDescent="0.25">
      <c r="A903" s="2"/>
      <c r="B903" s="1344"/>
      <c r="C903" s="2577" t="s">
        <v>4814</v>
      </c>
      <c r="D903" s="896">
        <v>100000000</v>
      </c>
      <c r="E903" s="2879">
        <f t="shared" si="27"/>
        <v>9.6801399113214004E-2</v>
      </c>
      <c r="F903" s="1230"/>
      <c r="G903" s="1282"/>
      <c r="H903" s="1228"/>
      <c r="I903" s="1228"/>
      <c r="J903" s="1281"/>
      <c r="K903" s="1282"/>
      <c r="L903" s="1228"/>
      <c r="M903" s="1228"/>
      <c r="N903" s="1539"/>
      <c r="O903"/>
      <c r="P903" s="617"/>
      <c r="Q903"/>
      <c r="R903"/>
    </row>
    <row r="904" spans="1:18" ht="21.75" hidden="1" customHeight="1" x14ac:dyDescent="0.25">
      <c r="A904" s="2"/>
      <c r="B904" s="1344"/>
      <c r="C904" s="2577" t="s">
        <v>4815</v>
      </c>
      <c r="D904" s="896">
        <v>150000000</v>
      </c>
      <c r="E904" s="2879">
        <f t="shared" si="27"/>
        <v>0.14520209866982101</v>
      </c>
      <c r="F904" s="1230"/>
      <c r="G904" s="1282"/>
      <c r="H904" s="1228"/>
      <c r="I904" s="1228"/>
      <c r="J904" s="1281"/>
      <c r="K904" s="1282"/>
      <c r="L904" s="1228"/>
      <c r="M904" s="1228"/>
      <c r="N904" s="1539"/>
      <c r="O904"/>
      <c r="P904" s="617"/>
      <c r="Q904"/>
      <c r="R904"/>
    </row>
    <row r="905" spans="1:18" ht="13.5" hidden="1" customHeight="1" x14ac:dyDescent="0.25">
      <c r="A905" s="2"/>
      <c r="B905" s="1344"/>
      <c r="C905" s="2577"/>
      <c r="D905" s="896"/>
      <c r="E905" s="2879"/>
      <c r="F905" s="1230"/>
      <c r="G905" s="1282"/>
      <c r="H905" s="1228"/>
      <c r="I905" s="1228"/>
      <c r="J905" s="1281"/>
      <c r="K905" s="1282"/>
      <c r="L905" s="1228"/>
      <c r="M905" s="1228"/>
      <c r="N905" s="1539"/>
      <c r="O905"/>
      <c r="P905" s="617"/>
      <c r="Q905"/>
      <c r="R905"/>
    </row>
    <row r="906" spans="1:18" ht="38.25" hidden="1" customHeight="1" x14ac:dyDescent="0.25">
      <c r="A906" s="2"/>
      <c r="B906" s="1344"/>
      <c r="C906" s="2538" t="s">
        <v>2602</v>
      </c>
      <c r="D906" s="2751">
        <f>SUM(D907:D908)</f>
        <v>6236428900</v>
      </c>
      <c r="E906" s="3214">
        <f t="shared" si="27"/>
        <v>6.0369504299008216</v>
      </c>
      <c r="F906" s="1337"/>
      <c r="G906" s="1878"/>
      <c r="H906" s="1235"/>
      <c r="I906" s="1235"/>
      <c r="J906" s="1280"/>
      <c r="K906" s="1280"/>
      <c r="L906" s="1235"/>
      <c r="M906" s="1235"/>
      <c r="N906" s="1539"/>
      <c r="O906"/>
      <c r="P906" s="617"/>
      <c r="Q906"/>
      <c r="R906"/>
    </row>
    <row r="907" spans="1:18" ht="23.25" hidden="1" customHeight="1" x14ac:dyDescent="0.25">
      <c r="A907" s="2"/>
      <c r="B907" s="1344"/>
      <c r="C907" s="2524" t="s">
        <v>4816</v>
      </c>
      <c r="D907" s="896">
        <v>600000000</v>
      </c>
      <c r="E907" s="2879">
        <f t="shared" si="27"/>
        <v>0.58080839467928402</v>
      </c>
      <c r="F907" s="1434"/>
      <c r="G907" s="1228"/>
      <c r="H907" s="1228"/>
      <c r="I907" s="1228"/>
      <c r="J907" s="1434"/>
      <c r="K907" s="1277"/>
      <c r="L907" s="1228"/>
      <c r="M907" s="1228"/>
      <c r="N907" s="1539"/>
      <c r="O907"/>
      <c r="P907" s="617"/>
      <c r="Q907"/>
      <c r="R907"/>
    </row>
    <row r="908" spans="1:18" ht="21" hidden="1" customHeight="1" x14ac:dyDescent="0.25">
      <c r="A908" s="2"/>
      <c r="B908" s="1344"/>
      <c r="C908" s="2524" t="s">
        <v>4817</v>
      </c>
      <c r="D908" s="896">
        <v>5636428900</v>
      </c>
      <c r="E908" s="2879">
        <f t="shared" si="27"/>
        <v>5.4561420352215375</v>
      </c>
      <c r="F908" s="1434"/>
      <c r="G908" s="1228"/>
      <c r="H908" s="1228"/>
      <c r="I908" s="1228"/>
      <c r="J908" s="1434"/>
      <c r="K908" s="1282"/>
      <c r="L908" s="1278"/>
      <c r="M908" s="1228"/>
      <c r="N908" s="1539"/>
      <c r="O908"/>
      <c r="P908" s="617"/>
      <c r="Q908"/>
      <c r="R908"/>
    </row>
    <row r="909" spans="1:18" ht="11.25" hidden="1" customHeight="1" x14ac:dyDescent="0.25">
      <c r="A909" s="2"/>
      <c r="B909" s="1344"/>
      <c r="C909" s="2585"/>
      <c r="D909" s="2769"/>
      <c r="E909" s="2879"/>
      <c r="F909" s="1260"/>
      <c r="G909" s="1282"/>
      <c r="H909" s="1228"/>
      <c r="I909" s="1228"/>
      <c r="J909" s="1281"/>
      <c r="K909" s="1282"/>
      <c r="L909" s="1228"/>
      <c r="M909" s="1228"/>
      <c r="N909" s="1539"/>
      <c r="O909"/>
      <c r="P909" s="617"/>
      <c r="Q909"/>
      <c r="R909"/>
    </row>
    <row r="910" spans="1:18" ht="22.5" hidden="1" customHeight="1" x14ac:dyDescent="0.25">
      <c r="A910" s="2"/>
      <c r="B910" s="1344"/>
      <c r="C910" s="2525" t="s">
        <v>2609</v>
      </c>
      <c r="D910" s="899">
        <f>SUM(D911:D912)</f>
        <v>8748600000</v>
      </c>
      <c r="E910" s="3214">
        <f t="shared" si="27"/>
        <v>8.4687672028186398</v>
      </c>
      <c r="F910" s="1433"/>
      <c r="G910" s="1235"/>
      <c r="H910" s="1235"/>
      <c r="I910" s="1235"/>
      <c r="J910" s="1433"/>
      <c r="K910" s="1292"/>
      <c r="L910" s="1235"/>
      <c r="M910" s="1235"/>
      <c r="N910" s="1539"/>
      <c r="O910"/>
      <c r="P910" s="617"/>
      <c r="Q910"/>
      <c r="R910"/>
    </row>
    <row r="911" spans="1:18" ht="18" hidden="1" customHeight="1" x14ac:dyDescent="0.25">
      <c r="A911" s="2"/>
      <c r="B911" s="1344"/>
      <c r="C911" s="2524" t="s">
        <v>2610</v>
      </c>
      <c r="D911" s="896">
        <v>7663250000</v>
      </c>
      <c r="E911" s="2879">
        <f t="shared" si="27"/>
        <v>7.418133217543371</v>
      </c>
      <c r="F911" s="1451"/>
      <c r="G911" s="1879"/>
      <c r="H911" s="1879"/>
      <c r="I911" s="1879"/>
      <c r="J911" s="1451"/>
      <c r="K911" s="1880"/>
      <c r="L911" s="1879"/>
      <c r="M911" s="1879"/>
      <c r="N911" s="1539"/>
      <c r="O911"/>
      <c r="P911" s="617"/>
      <c r="Q911"/>
      <c r="R911"/>
    </row>
    <row r="912" spans="1:18" ht="24.75" hidden="1" customHeight="1" x14ac:dyDescent="0.25">
      <c r="A912" s="2"/>
      <c r="B912" s="1344"/>
      <c r="C912" s="2524" t="s">
        <v>2611</v>
      </c>
      <c r="D912" s="896">
        <v>1085350000</v>
      </c>
      <c r="E912" s="2879">
        <f t="shared" si="27"/>
        <v>1.0506339852752682</v>
      </c>
      <c r="F912" s="1451"/>
      <c r="G912" s="1879"/>
      <c r="H912" s="1879"/>
      <c r="I912" s="1879"/>
      <c r="J912" s="1451"/>
      <c r="K912" s="1880"/>
      <c r="L912" s="1879"/>
      <c r="M912" s="1879"/>
      <c r="N912" s="1539"/>
      <c r="O912"/>
      <c r="P912" s="617"/>
      <c r="Q912"/>
      <c r="R912"/>
    </row>
    <row r="913" spans="1:18" ht="16.5" hidden="1" customHeight="1" x14ac:dyDescent="0.25">
      <c r="A913" s="2"/>
      <c r="B913" s="1344"/>
      <c r="C913" s="2524"/>
      <c r="D913" s="896"/>
      <c r="E913" s="2879"/>
      <c r="F913" s="1451"/>
      <c r="G913" s="1285"/>
      <c r="H913" s="1879"/>
      <c r="I913" s="1879"/>
      <c r="J913" s="1451"/>
      <c r="K913" s="1285"/>
      <c r="L913" s="1879"/>
      <c r="M913" s="1879"/>
      <c r="N913" s="1539"/>
      <c r="O913"/>
      <c r="P913" s="617"/>
      <c r="Q913"/>
      <c r="R913"/>
    </row>
    <row r="914" spans="1:18" ht="23.25" hidden="1" customHeight="1" x14ac:dyDescent="0.25">
      <c r="A914" s="2"/>
      <c r="B914" s="1344"/>
      <c r="C914" s="2525" t="s">
        <v>2612</v>
      </c>
      <c r="D914" s="899">
        <f>SUM(D915:D916)</f>
        <v>250000000</v>
      </c>
      <c r="E914" s="3214">
        <f t="shared" si="27"/>
        <v>0.24200349778303498</v>
      </c>
      <c r="F914" s="1433"/>
      <c r="G914" s="1433"/>
      <c r="H914" s="1289"/>
      <c r="I914" s="1235"/>
      <c r="J914" s="1433"/>
      <c r="K914" s="1433"/>
      <c r="L914" s="1235"/>
      <c r="M914" s="1235"/>
      <c r="N914" s="1539"/>
      <c r="O914"/>
      <c r="P914" s="617"/>
      <c r="Q914"/>
      <c r="R914"/>
    </row>
    <row r="915" spans="1:18" ht="31.5" hidden="1" customHeight="1" x14ac:dyDescent="0.25">
      <c r="A915" s="2"/>
      <c r="B915" s="1344"/>
      <c r="C915" s="2524" t="s">
        <v>4818</v>
      </c>
      <c r="D915" s="896">
        <v>125000000</v>
      </c>
      <c r="E915" s="2879">
        <f t="shared" si="27"/>
        <v>0.12100174889151749</v>
      </c>
      <c r="F915" s="1434"/>
      <c r="G915" s="1283"/>
      <c r="H915" s="1278"/>
      <c r="I915" s="1228"/>
      <c r="J915" s="1434"/>
      <c r="K915" s="1279"/>
      <c r="L915" s="1278"/>
      <c r="M915" s="1228"/>
      <c r="N915" s="1539"/>
      <c r="O915"/>
      <c r="P915" s="617"/>
      <c r="Q915"/>
      <c r="R915"/>
    </row>
    <row r="916" spans="1:18" ht="20.25" hidden="1" customHeight="1" x14ac:dyDescent="0.25">
      <c r="A916" s="2"/>
      <c r="B916" s="1344"/>
      <c r="C916" s="2524" t="s">
        <v>4819</v>
      </c>
      <c r="D916" s="896">
        <v>125000000</v>
      </c>
      <c r="E916" s="2879">
        <f t="shared" si="27"/>
        <v>0.12100174889151749</v>
      </c>
      <c r="F916" s="1434"/>
      <c r="G916" s="1283"/>
      <c r="H916" s="1278"/>
      <c r="I916" s="1228"/>
      <c r="J916" s="1434"/>
      <c r="K916" s="1277"/>
      <c r="L916" s="1278"/>
      <c r="M916" s="1228"/>
      <c r="N916" s="1539"/>
      <c r="O916"/>
      <c r="P916" s="617"/>
      <c r="Q916"/>
      <c r="R916"/>
    </row>
    <row r="917" spans="1:18" ht="15" hidden="1" customHeight="1" x14ac:dyDescent="0.25">
      <c r="A917" s="2"/>
      <c r="B917" s="1344"/>
      <c r="C917" s="2528"/>
      <c r="D917" s="911"/>
      <c r="E917" s="2879"/>
      <c r="F917" s="1438"/>
      <c r="G917" s="1443"/>
      <c r="H917" s="1255"/>
      <c r="I917" s="1255"/>
      <c r="J917" s="1279"/>
      <c r="K917" s="1291"/>
      <c r="L917" s="1255"/>
      <c r="M917" s="1255"/>
      <c r="N917" s="1539"/>
      <c r="O917"/>
      <c r="P917" s="617"/>
      <c r="Q917"/>
      <c r="R917"/>
    </row>
    <row r="918" spans="1:18" ht="33.75" hidden="1" customHeight="1" x14ac:dyDescent="0.25">
      <c r="A918" s="2"/>
      <c r="B918" s="1344"/>
      <c r="C918" s="2525" t="s">
        <v>2615</v>
      </c>
      <c r="D918" s="899">
        <f>SUM(D919:D920)</f>
        <v>200000000</v>
      </c>
      <c r="E918" s="2879">
        <f t="shared" si="27"/>
        <v>0.19360279822642801</v>
      </c>
      <c r="F918" s="1452"/>
      <c r="G918" s="1452"/>
      <c r="H918" s="1826"/>
      <c r="I918" s="1826"/>
      <c r="J918" s="1881"/>
      <c r="K918" s="1881"/>
      <c r="L918" s="1826"/>
      <c r="M918" s="1826"/>
      <c r="N918" s="1540"/>
      <c r="O918"/>
      <c r="P918" s="617"/>
      <c r="Q918"/>
      <c r="R918"/>
    </row>
    <row r="919" spans="1:18" ht="18.75" hidden="1" customHeight="1" x14ac:dyDescent="0.25">
      <c r="A919" s="2"/>
      <c r="B919" s="1831"/>
      <c r="C919" s="2524" t="s">
        <v>4820</v>
      </c>
      <c r="D919" s="896">
        <v>100000000</v>
      </c>
      <c r="E919" s="2879">
        <f t="shared" si="27"/>
        <v>9.6801399113214004E-2</v>
      </c>
      <c r="F919" s="1441"/>
      <c r="G919" s="1441"/>
      <c r="H919" s="1228"/>
      <c r="I919" s="1228"/>
      <c r="J919" s="1277"/>
      <c r="K919" s="1277"/>
      <c r="L919" s="1228"/>
      <c r="M919" s="1228"/>
      <c r="N919" s="1723"/>
      <c r="O919"/>
      <c r="P919" s="617"/>
      <c r="Q919"/>
      <c r="R919"/>
    </row>
    <row r="920" spans="1:18" ht="30.75" hidden="1" customHeight="1" x14ac:dyDescent="0.25">
      <c r="A920" s="2"/>
      <c r="B920" s="1831"/>
      <c r="C920" s="2524" t="s">
        <v>4821</v>
      </c>
      <c r="D920" s="3436">
        <v>100000000</v>
      </c>
      <c r="E920" s="2879">
        <f t="shared" si="27"/>
        <v>9.6801399113214004E-2</v>
      </c>
      <c r="F920" s="1441"/>
      <c r="G920" s="1441"/>
      <c r="H920" s="1228"/>
      <c r="I920" s="1228"/>
      <c r="J920" s="1277"/>
      <c r="K920" s="1277"/>
      <c r="L920" s="1228"/>
      <c r="M920" s="1228"/>
      <c r="N920" s="1723"/>
      <c r="O920"/>
      <c r="P920" s="617"/>
      <c r="Q920"/>
      <c r="R920"/>
    </row>
    <row r="921" spans="1:18" ht="21" hidden="1" customHeight="1" x14ac:dyDescent="0.25">
      <c r="B921" s="1592"/>
      <c r="C921" s="2475"/>
      <c r="D921" s="3792"/>
      <c r="E921" s="2758"/>
      <c r="F921" s="1427"/>
      <c r="G921" s="1790"/>
      <c r="H921" s="1790"/>
      <c r="I921" s="1790"/>
      <c r="J921" s="1340"/>
      <c r="K921" s="1340"/>
      <c r="L921" s="1281"/>
      <c r="M921" s="1611"/>
      <c r="N921" s="1539"/>
    </row>
    <row r="922" spans="1:18" ht="24" hidden="1" customHeight="1" x14ac:dyDescent="0.25">
      <c r="B922" s="1588"/>
      <c r="C922" s="2522" t="s">
        <v>7005</v>
      </c>
      <c r="D922" s="3770">
        <f>SUM(D924+D965+D973)</f>
        <v>30755940000</v>
      </c>
      <c r="E922" s="2948">
        <f>D922/2512247400000*100</f>
        <v>1.2242400967356957</v>
      </c>
      <c r="F922" s="1356"/>
      <c r="G922" s="1589"/>
      <c r="H922" s="1335"/>
      <c r="I922" s="1589"/>
      <c r="J922" s="1589"/>
      <c r="K922" s="1589"/>
      <c r="L922" s="1335"/>
      <c r="M922" s="1798"/>
      <c r="N922" s="1539"/>
    </row>
    <row r="923" spans="1:18" ht="9" hidden="1" customHeight="1" x14ac:dyDescent="0.25">
      <c r="B923" s="1592"/>
      <c r="C923" s="2478"/>
      <c r="D923" s="3595"/>
      <c r="E923" s="2785"/>
      <c r="F923" s="1430"/>
      <c r="G923" s="1799"/>
      <c r="H923" s="1337"/>
      <c r="I923" s="1337"/>
      <c r="J923" s="1799"/>
      <c r="K923" s="1799"/>
      <c r="L923" s="1337"/>
      <c r="M923" s="1610"/>
      <c r="N923" s="1539"/>
    </row>
    <row r="924" spans="1:18" ht="20.25" hidden="1" customHeight="1" x14ac:dyDescent="0.25">
      <c r="B924" s="1609"/>
      <c r="C924" s="2471" t="s">
        <v>398</v>
      </c>
      <c r="D924" s="3192">
        <f>SUM(D925+D928+D931+D935+D938+D941+D945+D952+D955+D958+D961)</f>
        <v>18171080000</v>
      </c>
      <c r="E924" s="2672">
        <f>D924/102355632000*100</f>
        <v>17.752887305702924</v>
      </c>
      <c r="F924" s="1351"/>
      <c r="G924" s="1351"/>
      <c r="H924" s="1333"/>
      <c r="I924" s="1333"/>
      <c r="J924" s="1351"/>
      <c r="K924" s="1351"/>
      <c r="L924" s="1333"/>
      <c r="M924" s="1717"/>
      <c r="N924" s="1539"/>
    </row>
    <row r="925" spans="1:18" ht="26.25" hidden="1" customHeight="1" x14ac:dyDescent="0.25">
      <c r="B925" s="1592"/>
      <c r="C925" s="2521" t="s">
        <v>2665</v>
      </c>
      <c r="D925" s="2825">
        <f>SUM(D926)</f>
        <v>10557150000</v>
      </c>
      <c r="E925" s="3003">
        <f>D925/102355632000*100</f>
        <v>10.314185740165231</v>
      </c>
      <c r="F925" s="1257"/>
      <c r="G925" s="1257"/>
      <c r="H925" s="1280"/>
      <c r="I925" s="1314"/>
      <c r="J925" s="1727"/>
      <c r="K925" s="1727"/>
      <c r="L925" s="1231"/>
      <c r="M925" s="1800"/>
      <c r="N925" s="1539"/>
    </row>
    <row r="926" spans="1:18" ht="22.5" hidden="1" customHeight="1" x14ac:dyDescent="0.25">
      <c r="B926" s="1592"/>
      <c r="C926" s="2473" t="s">
        <v>2666</v>
      </c>
      <c r="D926" s="896">
        <v>10557150000</v>
      </c>
      <c r="E926" s="2690">
        <f>D926/102355632000*100</f>
        <v>10.314185740165231</v>
      </c>
      <c r="F926" s="1230"/>
      <c r="G926" s="1315"/>
      <c r="H926" s="1228"/>
      <c r="I926" s="1315"/>
      <c r="J926" s="1801"/>
      <c r="K926" s="1802"/>
      <c r="L926" s="1228"/>
      <c r="M926" s="1740"/>
      <c r="N926" s="1539"/>
    </row>
    <row r="927" spans="1:18" ht="15.75" hidden="1" customHeight="1" x14ac:dyDescent="0.25">
      <c r="B927" s="1592"/>
      <c r="C927" s="2473"/>
      <c r="D927" s="896"/>
      <c r="E927" s="2690"/>
      <c r="F927" s="1431"/>
      <c r="G927" s="1338"/>
      <c r="H927" s="1228"/>
      <c r="I927" s="1338"/>
      <c r="J927" s="1803"/>
      <c r="K927" s="1581"/>
      <c r="L927" s="1338"/>
      <c r="M927" s="1584"/>
      <c r="N927" s="1539"/>
    </row>
    <row r="928" spans="1:18" ht="21.75" hidden="1" customHeight="1" x14ac:dyDescent="0.25">
      <c r="B928" s="1592"/>
      <c r="C928" s="2474" t="s">
        <v>2667</v>
      </c>
      <c r="D928" s="899">
        <f>SUM(D929:D929)</f>
        <v>400000000</v>
      </c>
      <c r="E928" s="2695">
        <f t="shared" ref="E928:E963" si="28">D928/102355632000*100</f>
        <v>0.39079432385313201</v>
      </c>
      <c r="F928" s="1432"/>
      <c r="G928" s="1432"/>
      <c r="H928" s="1235"/>
      <c r="I928" s="1280"/>
      <c r="J928" s="1804"/>
      <c r="K928" s="1804"/>
      <c r="L928" s="1231"/>
      <c r="M928" s="1805"/>
      <c r="N928" s="1539"/>
    </row>
    <row r="929" spans="2:18" ht="21" hidden="1" customHeight="1" x14ac:dyDescent="0.25">
      <c r="B929" s="1592"/>
      <c r="C929" s="2473" t="s">
        <v>2668</v>
      </c>
      <c r="D929" s="896">
        <v>400000000</v>
      </c>
      <c r="E929" s="2690">
        <f t="shared" si="28"/>
        <v>0.39079432385313201</v>
      </c>
      <c r="F929" s="1230"/>
      <c r="G929" s="1230"/>
      <c r="H929" s="1228"/>
      <c r="I929" s="1255"/>
      <c r="J929" s="1806"/>
      <c r="K929" s="1807"/>
      <c r="L929" s="1228"/>
      <c r="M929" s="1631"/>
      <c r="N929" s="1539"/>
    </row>
    <row r="930" spans="2:18" ht="13.5" hidden="1" customHeight="1" x14ac:dyDescent="0.25">
      <c r="B930" s="1592"/>
      <c r="C930" s="2473"/>
      <c r="D930" s="896"/>
      <c r="E930" s="2690"/>
      <c r="F930" s="1230"/>
      <c r="G930" s="1583"/>
      <c r="H930" s="1583"/>
      <c r="I930" s="1583"/>
      <c r="J930" s="1583"/>
      <c r="K930" s="1237"/>
      <c r="L930" s="1583"/>
      <c r="M930" s="1757"/>
      <c r="N930" s="1539"/>
    </row>
    <row r="931" spans="2:18" s="32" customFormat="1" ht="23.25" hidden="1" customHeight="1" x14ac:dyDescent="0.25">
      <c r="B931" s="1592"/>
      <c r="C931" s="2491" t="s">
        <v>2669</v>
      </c>
      <c r="D931" s="2692">
        <f>SUM(D932:D933)</f>
        <v>458525000</v>
      </c>
      <c r="E931" s="2695">
        <f t="shared" si="28"/>
        <v>0.44797241836189333</v>
      </c>
      <c r="F931" s="1432"/>
      <c r="G931" s="1280"/>
      <c r="H931" s="1280"/>
      <c r="I931" s="1280"/>
      <c r="J931" s="1808"/>
      <c r="K931" s="1314"/>
      <c r="L931" s="1280"/>
      <c r="M931" s="1805"/>
      <c r="N931" s="1540"/>
      <c r="O931" s="1095"/>
      <c r="P931" s="1128"/>
      <c r="Q931" s="1128"/>
      <c r="R931" s="1095"/>
    </row>
    <row r="932" spans="2:18" s="196" customFormat="1" ht="21.75" hidden="1" customHeight="1" x14ac:dyDescent="0.25">
      <c r="B932" s="1809"/>
      <c r="C932" s="2473" t="s">
        <v>5852</v>
      </c>
      <c r="D932" s="896">
        <v>300000000</v>
      </c>
      <c r="E932" s="2690">
        <f t="shared" si="28"/>
        <v>0.29309574288984896</v>
      </c>
      <c r="F932" s="1228"/>
      <c r="G932" s="1228"/>
      <c r="H932" s="1228"/>
      <c r="I932" s="1315"/>
      <c r="J932" s="1228"/>
      <c r="K932" s="1228"/>
      <c r="L932" s="1229"/>
      <c r="M932" s="1740"/>
      <c r="N932" s="1723"/>
      <c r="O932" s="1098"/>
      <c r="P932" s="1103"/>
      <c r="Q932" s="1103"/>
      <c r="R932" s="1098"/>
    </row>
    <row r="933" spans="2:18" ht="24.75" hidden="1" customHeight="1" x14ac:dyDescent="0.25">
      <c r="B933" s="1592"/>
      <c r="C933" s="2526" t="s">
        <v>5853</v>
      </c>
      <c r="D933" s="896">
        <v>158525000</v>
      </c>
      <c r="E933" s="2690">
        <f t="shared" si="28"/>
        <v>0.15487667547204437</v>
      </c>
      <c r="F933" s="1230"/>
      <c r="G933" s="1431"/>
      <c r="H933" s="1228"/>
      <c r="I933" s="1315"/>
      <c r="J933" s="1810"/>
      <c r="K933" s="1811"/>
      <c r="L933" s="1228"/>
      <c r="M933" s="1740"/>
      <c r="N933" s="1539"/>
    </row>
    <row r="934" spans="2:18" ht="13.5" hidden="1" customHeight="1" x14ac:dyDescent="0.25">
      <c r="B934" s="1592"/>
      <c r="C934" s="2473"/>
      <c r="D934" s="896"/>
      <c r="E934" s="2690"/>
      <c r="F934" s="1230"/>
      <c r="G934" s="1315"/>
      <c r="H934" s="1228"/>
      <c r="I934" s="1315"/>
      <c r="J934" s="1810"/>
      <c r="K934" s="1811"/>
      <c r="L934" s="1228"/>
      <c r="M934" s="1740"/>
      <c r="N934" s="1539"/>
    </row>
    <row r="935" spans="2:18" ht="24.75" hidden="1" customHeight="1" x14ac:dyDescent="0.25">
      <c r="B935" s="1592"/>
      <c r="C935" s="2474" t="s">
        <v>2673</v>
      </c>
      <c r="D935" s="899">
        <f>D936</f>
        <v>189355000</v>
      </c>
      <c r="E935" s="2695">
        <f t="shared" si="28"/>
        <v>0.18499714798302452</v>
      </c>
      <c r="F935" s="1431"/>
      <c r="G935" s="1338"/>
      <c r="H935" s="1338"/>
      <c r="I935" s="1338"/>
      <c r="J935" s="1803"/>
      <c r="K935" s="1581"/>
      <c r="L935" s="1338"/>
      <c r="M935" s="1584"/>
      <c r="N935" s="1539"/>
    </row>
    <row r="936" spans="2:18" ht="21.75" hidden="1" customHeight="1" x14ac:dyDescent="0.25">
      <c r="B936" s="1592"/>
      <c r="C936" s="2473" t="s">
        <v>5854</v>
      </c>
      <c r="D936" s="896">
        <v>189355000</v>
      </c>
      <c r="E936" s="2690">
        <f t="shared" si="28"/>
        <v>0.18499714798302452</v>
      </c>
      <c r="F936" s="1432"/>
      <c r="G936" s="1432"/>
      <c r="H936" s="1235"/>
      <c r="I936" s="1280"/>
      <c r="J936" s="1432"/>
      <c r="K936" s="1432"/>
      <c r="L936" s="1231"/>
      <c r="M936" s="1766"/>
      <c r="N936" s="1539"/>
    </row>
    <row r="937" spans="2:18" ht="14.25" hidden="1" customHeight="1" x14ac:dyDescent="0.25">
      <c r="B937" s="1592"/>
      <c r="C937" s="2474"/>
      <c r="D937" s="896"/>
      <c r="E937" s="2690"/>
      <c r="F937" s="1230"/>
      <c r="G937" s="1230"/>
      <c r="H937" s="1228"/>
      <c r="I937" s="1315"/>
      <c r="J937" s="1812"/>
      <c r="K937" s="1813"/>
      <c r="L937" s="1228"/>
      <c r="M937" s="1714"/>
      <c r="N937" s="1539"/>
    </row>
    <row r="938" spans="2:18" ht="24" hidden="1" customHeight="1" x14ac:dyDescent="0.25">
      <c r="B938" s="1592"/>
      <c r="C938" s="2491" t="s">
        <v>2675</v>
      </c>
      <c r="D938" s="2692">
        <f>SUM(D939:D939)</f>
        <v>55850000</v>
      </c>
      <c r="E938" s="2695">
        <f t="shared" si="28"/>
        <v>5.4564657467993556E-2</v>
      </c>
      <c r="F938" s="1431"/>
      <c r="G938" s="1338"/>
      <c r="H938" s="1315"/>
      <c r="I938" s="1315"/>
      <c r="J938" s="1581"/>
      <c r="K938" s="1581"/>
      <c r="L938" s="1315"/>
      <c r="M938" s="1740"/>
      <c r="N938" s="1539"/>
    </row>
    <row r="939" spans="2:18" ht="24" hidden="1" customHeight="1" x14ac:dyDescent="0.25">
      <c r="B939" s="1592"/>
      <c r="C939" s="2473" t="s">
        <v>5855</v>
      </c>
      <c r="D939" s="896">
        <v>55850000</v>
      </c>
      <c r="E939" s="2690">
        <f t="shared" si="28"/>
        <v>5.4564657467993556E-2</v>
      </c>
      <c r="F939" s="1235"/>
      <c r="G939" s="1235"/>
      <c r="H939" s="1235"/>
      <c r="I939" s="1280"/>
      <c r="J939" s="1235"/>
      <c r="K939" s="1235"/>
      <c r="L939" s="1231"/>
      <c r="M939" s="1766"/>
      <c r="N939" s="1539"/>
    </row>
    <row r="940" spans="2:18" ht="15" hidden="1" customHeight="1" x14ac:dyDescent="0.25">
      <c r="B940" s="1592"/>
      <c r="C940" s="2473"/>
      <c r="D940" s="896"/>
      <c r="E940" s="2690"/>
      <c r="F940" s="1230"/>
      <c r="G940" s="1315"/>
      <c r="H940" s="1228"/>
      <c r="I940" s="1315"/>
      <c r="J940" s="1814"/>
      <c r="K940" s="1815"/>
      <c r="L940" s="1228"/>
      <c r="M940" s="1714"/>
      <c r="N940" s="1539"/>
    </row>
    <row r="941" spans="2:18" ht="33" hidden="1" customHeight="1" x14ac:dyDescent="0.25">
      <c r="B941" s="1592"/>
      <c r="C941" s="2491" t="s">
        <v>5856</v>
      </c>
      <c r="D941" s="2692">
        <f>SUM(D942:D943)</f>
        <v>471000000</v>
      </c>
      <c r="E941" s="2695">
        <f t="shared" si="28"/>
        <v>0.46016031633706289</v>
      </c>
      <c r="F941" s="1230"/>
      <c r="G941" s="1315"/>
      <c r="H941" s="1228"/>
      <c r="I941" s="1315"/>
      <c r="J941" s="1814"/>
      <c r="K941" s="1815"/>
      <c r="L941" s="1228"/>
      <c r="M941" s="1714"/>
      <c r="N941" s="1539"/>
    </row>
    <row r="942" spans="2:18" ht="23.25" hidden="1" customHeight="1" x14ac:dyDescent="0.25">
      <c r="B942" s="1592"/>
      <c r="C942" s="2494" t="s">
        <v>5857</v>
      </c>
      <c r="D942" s="2698">
        <v>330000000</v>
      </c>
      <c r="E942" s="2690">
        <f t="shared" si="28"/>
        <v>0.32240531717883392</v>
      </c>
      <c r="F942" s="1230"/>
      <c r="G942" s="1315"/>
      <c r="H942" s="1315"/>
      <c r="I942" s="1315"/>
      <c r="J942" s="1803"/>
      <c r="K942" s="1492"/>
      <c r="L942" s="1315"/>
      <c r="M942" s="1740"/>
      <c r="N942" s="1539"/>
    </row>
    <row r="943" spans="2:18" ht="21.75" hidden="1" customHeight="1" x14ac:dyDescent="0.25">
      <c r="B943" s="1592"/>
      <c r="C943" s="2494" t="s">
        <v>5858</v>
      </c>
      <c r="D943" s="2698">
        <v>141000000</v>
      </c>
      <c r="E943" s="2690">
        <f t="shared" si="28"/>
        <v>0.13775499915822903</v>
      </c>
      <c r="F943" s="1235"/>
      <c r="G943" s="1816"/>
      <c r="H943" s="1816"/>
      <c r="I943" s="1816"/>
      <c r="J943" s="1816"/>
      <c r="K943" s="1250"/>
      <c r="L943" s="1816"/>
      <c r="M943" s="1761"/>
      <c r="N943" s="1539"/>
    </row>
    <row r="944" spans="2:18" ht="14.25" hidden="1" customHeight="1" x14ac:dyDescent="0.25">
      <c r="B944" s="1592"/>
      <c r="C944" s="2473"/>
      <c r="D944" s="896"/>
      <c r="E944" s="2690"/>
      <c r="F944" s="1228"/>
      <c r="G944" s="1583"/>
      <c r="H944" s="1583"/>
      <c r="I944" s="1583"/>
      <c r="J944" s="1583"/>
      <c r="K944" s="1237"/>
      <c r="L944" s="1583"/>
      <c r="M944" s="1757"/>
      <c r="N944" s="1539"/>
    </row>
    <row r="945" spans="1:18" ht="34.5" hidden="1" customHeight="1" x14ac:dyDescent="0.25">
      <c r="B945" s="1592"/>
      <c r="C945" s="2491" t="s">
        <v>5859</v>
      </c>
      <c r="D945" s="2692">
        <f>SUM(D946:D950)</f>
        <v>4907000000</v>
      </c>
      <c r="E945" s="2695">
        <f t="shared" si="28"/>
        <v>4.7940693678682962</v>
      </c>
      <c r="F945" s="1230"/>
      <c r="G945" s="1443"/>
      <c r="H945" s="1443"/>
      <c r="I945" s="1443"/>
      <c r="J945" s="1432"/>
      <c r="K945" s="1270"/>
      <c r="L945" s="1245"/>
      <c r="M945" s="1713"/>
      <c r="N945" s="1539"/>
    </row>
    <row r="946" spans="1:18" ht="24" hidden="1" customHeight="1" x14ac:dyDescent="0.25">
      <c r="B946" s="1592"/>
      <c r="C946" s="2473" t="s">
        <v>5860</v>
      </c>
      <c r="D946" s="896">
        <v>1372000000</v>
      </c>
      <c r="E946" s="2690">
        <f t="shared" si="28"/>
        <v>1.3404245308162426</v>
      </c>
      <c r="F946" s="1235"/>
      <c r="G946" s="1816"/>
      <c r="H946" s="1816"/>
      <c r="I946" s="1816"/>
      <c r="J946" s="1235"/>
      <c r="K946" s="1235"/>
      <c r="L946" s="1231"/>
      <c r="M946" s="1713"/>
      <c r="N946" s="1539"/>
    </row>
    <row r="947" spans="1:18" ht="23.25" hidden="1" customHeight="1" x14ac:dyDescent="0.25">
      <c r="B947" s="1592"/>
      <c r="C947" s="2473" t="s">
        <v>5861</v>
      </c>
      <c r="D947" s="896">
        <v>50000000</v>
      </c>
      <c r="E947" s="2690">
        <f t="shared" si="28"/>
        <v>4.8849290481641501E-2</v>
      </c>
      <c r="F947" s="1230"/>
      <c r="G947" s="1583"/>
      <c r="H947" s="1583"/>
      <c r="I947" s="1583"/>
      <c r="J947" s="1817"/>
      <c r="K947" s="1818"/>
      <c r="L947" s="1228"/>
      <c r="M947" s="1631"/>
      <c r="N947" s="1539"/>
    </row>
    <row r="948" spans="1:18" ht="21" hidden="1" customHeight="1" x14ac:dyDescent="0.25">
      <c r="B948" s="1592"/>
      <c r="C948" s="2473" t="s">
        <v>5862</v>
      </c>
      <c r="D948" s="896">
        <v>150000000</v>
      </c>
      <c r="E948" s="2690">
        <f t="shared" si="28"/>
        <v>0.14654787144492448</v>
      </c>
      <c r="F948" s="1230"/>
      <c r="G948" s="1583"/>
      <c r="H948" s="1583"/>
      <c r="I948" s="1583"/>
      <c r="J948" s="1583"/>
      <c r="K948" s="1237"/>
      <c r="L948" s="1583"/>
      <c r="M948" s="1757"/>
      <c r="N948" s="1539"/>
    </row>
    <row r="949" spans="1:18" ht="21" hidden="1" customHeight="1" x14ac:dyDescent="0.25">
      <c r="B949" s="1592"/>
      <c r="C949" s="2473" t="s">
        <v>5863</v>
      </c>
      <c r="D949" s="896">
        <v>35000000</v>
      </c>
      <c r="E949" s="2690">
        <f t="shared" si="28"/>
        <v>3.4194503337149046E-2</v>
      </c>
      <c r="F949" s="1533"/>
      <c r="G949" s="1251"/>
      <c r="H949" s="1251"/>
      <c r="I949" s="1340"/>
      <c r="J949" s="1339"/>
      <c r="K949" s="1339"/>
      <c r="L949" s="1281"/>
      <c r="M949" s="1573"/>
      <c r="N949" s="1539"/>
    </row>
    <row r="950" spans="1:18" s="32" customFormat="1" ht="24.75" hidden="1" customHeight="1" x14ac:dyDescent="0.25">
      <c r="B950" s="1592"/>
      <c r="C950" s="2473" t="s">
        <v>5864</v>
      </c>
      <c r="D950" s="896">
        <v>3300000000</v>
      </c>
      <c r="E950" s="2690">
        <f t="shared" si="28"/>
        <v>3.2240531717883387</v>
      </c>
      <c r="F950" s="1433"/>
      <c r="G950" s="1231"/>
      <c r="H950" s="1231"/>
      <c r="I950" s="1280"/>
      <c r="J950" s="1280"/>
      <c r="K950" s="1280"/>
      <c r="L950" s="1288"/>
      <c r="M950" s="1805"/>
      <c r="N950" s="1540"/>
      <c r="O950" s="1095"/>
      <c r="P950" s="1128"/>
      <c r="Q950" s="1128"/>
      <c r="R950" s="1095"/>
    </row>
    <row r="951" spans="1:18" ht="12" hidden="1" customHeight="1" x14ac:dyDescent="0.25">
      <c r="B951" s="1592"/>
      <c r="C951" s="2478"/>
      <c r="D951" s="2769"/>
      <c r="E951" s="2690"/>
      <c r="F951" s="1434"/>
      <c r="G951" s="1229"/>
      <c r="H951" s="1229"/>
      <c r="I951" s="1338"/>
      <c r="J951" s="1338"/>
      <c r="K951" s="1338"/>
      <c r="L951" s="1284"/>
      <c r="M951" s="1584"/>
      <c r="N951" s="1539"/>
    </row>
    <row r="952" spans="1:18" ht="24.75" hidden="1" customHeight="1" x14ac:dyDescent="0.25">
      <c r="B952" s="1592"/>
      <c r="C952" s="2474" t="s">
        <v>5865</v>
      </c>
      <c r="D952" s="899">
        <f>D953</f>
        <v>238200000</v>
      </c>
      <c r="E952" s="2695">
        <f t="shared" si="28"/>
        <v>0.2327180198545401</v>
      </c>
      <c r="F952" s="1434"/>
      <c r="G952" s="1229"/>
      <c r="H952" s="1229"/>
      <c r="I952" s="1338"/>
      <c r="J952" s="1338"/>
      <c r="K952" s="1338"/>
      <c r="L952" s="1284"/>
      <c r="M952" s="1584"/>
      <c r="N952" s="1539"/>
    </row>
    <row r="953" spans="1:18" s="32" customFormat="1" ht="24.75" hidden="1" customHeight="1" x14ac:dyDescent="0.25">
      <c r="B953" s="1592"/>
      <c r="C953" s="2473" t="s">
        <v>5866</v>
      </c>
      <c r="D953" s="896">
        <v>238200000</v>
      </c>
      <c r="E953" s="2690">
        <f t="shared" si="28"/>
        <v>0.2327180198545401</v>
      </c>
      <c r="F953" s="1433"/>
      <c r="G953" s="1231"/>
      <c r="H953" s="1231"/>
      <c r="I953" s="1280"/>
      <c r="J953" s="1280"/>
      <c r="K953" s="1280"/>
      <c r="L953" s="1288"/>
      <c r="M953" s="1805"/>
      <c r="N953" s="1540"/>
      <c r="O953" s="1095"/>
      <c r="P953" s="1128"/>
      <c r="Q953" s="1128"/>
      <c r="R953" s="1095"/>
    </row>
    <row r="954" spans="1:18" ht="12.75" hidden="1" customHeight="1" x14ac:dyDescent="0.25">
      <c r="B954" s="1592"/>
      <c r="C954" s="2474"/>
      <c r="D954" s="896"/>
      <c r="E954" s="2690"/>
      <c r="F954" s="1434"/>
      <c r="G954" s="1229"/>
      <c r="H954" s="1229"/>
      <c r="I954" s="1338"/>
      <c r="J954" s="1338"/>
      <c r="K954" s="1338"/>
      <c r="L954" s="1284"/>
      <c r="M954" s="1584"/>
      <c r="N954" s="1539"/>
    </row>
    <row r="955" spans="1:18" s="1002" customFormat="1" ht="25.5" hidden="1" customHeight="1" x14ac:dyDescent="0.25">
      <c r="A955"/>
      <c r="B955" s="1592"/>
      <c r="C955" s="2474" t="s">
        <v>5867</v>
      </c>
      <c r="D955" s="899">
        <f>D956</f>
        <v>400000000</v>
      </c>
      <c r="E955" s="2695">
        <f t="shared" si="28"/>
        <v>0.39079432385313201</v>
      </c>
      <c r="F955" s="1533"/>
      <c r="G955" s="1251"/>
      <c r="H955" s="1251"/>
      <c r="I955" s="1340"/>
      <c r="J955" s="1340"/>
      <c r="K955" s="1340"/>
      <c r="L955" s="1281"/>
      <c r="M955" s="1611"/>
      <c r="N955" s="1574"/>
      <c r="P955" s="1003"/>
      <c r="Q955" s="1003"/>
    </row>
    <row r="956" spans="1:18" s="1002" customFormat="1" ht="20.25" hidden="1" customHeight="1" x14ac:dyDescent="0.25">
      <c r="A956"/>
      <c r="B956" s="1592"/>
      <c r="C956" s="2473" t="s">
        <v>5868</v>
      </c>
      <c r="D956" s="896">
        <v>400000000</v>
      </c>
      <c r="E956" s="2690">
        <f t="shared" si="28"/>
        <v>0.39079432385313201</v>
      </c>
      <c r="F956" s="1434"/>
      <c r="G956" s="1229"/>
      <c r="H956" s="1229"/>
      <c r="I956" s="1338"/>
      <c r="J956" s="1338"/>
      <c r="K956" s="1338"/>
      <c r="L956" s="1284"/>
      <c r="M956" s="1584"/>
      <c r="N956" s="1574"/>
      <c r="P956" s="1003"/>
      <c r="Q956" s="1003"/>
    </row>
    <row r="957" spans="1:18" s="1002" customFormat="1" ht="15" hidden="1" customHeight="1" x14ac:dyDescent="0.25">
      <c r="A957"/>
      <c r="B957" s="1592"/>
      <c r="C957" s="2475"/>
      <c r="D957" s="2769"/>
      <c r="E957" s="2690"/>
      <c r="F957" s="1434"/>
      <c r="G957" s="1229"/>
      <c r="H957" s="1229"/>
      <c r="I957" s="1338"/>
      <c r="J957" s="1338"/>
      <c r="K957" s="1338"/>
      <c r="L957" s="1284"/>
      <c r="M957" s="1584"/>
      <c r="N957" s="1574"/>
      <c r="P957" s="1003"/>
      <c r="Q957" s="1003"/>
    </row>
    <row r="958" spans="1:18" s="1002" customFormat="1" ht="26.25" hidden="1" customHeight="1" x14ac:dyDescent="0.25">
      <c r="A958"/>
      <c r="B958" s="1592"/>
      <c r="C958" s="2474" t="s">
        <v>5869</v>
      </c>
      <c r="D958" s="899">
        <f>D959</f>
        <v>214000000</v>
      </c>
      <c r="E958" s="2695">
        <f t="shared" si="28"/>
        <v>0.20907496326142561</v>
      </c>
      <c r="F958" s="1434"/>
      <c r="G958" s="1229"/>
      <c r="H958" s="1229"/>
      <c r="I958" s="1338"/>
      <c r="J958" s="1338"/>
      <c r="K958" s="1338"/>
      <c r="L958" s="1284"/>
      <c r="M958" s="1584"/>
      <c r="N958" s="1574"/>
      <c r="P958" s="1003"/>
      <c r="Q958" s="1003"/>
    </row>
    <row r="959" spans="1:18" s="1002" customFormat="1" ht="25.5" hidden="1" customHeight="1" x14ac:dyDescent="0.25">
      <c r="A959"/>
      <c r="B959" s="1592"/>
      <c r="C959" s="2473" t="s">
        <v>5870</v>
      </c>
      <c r="D959" s="896">
        <v>214000000</v>
      </c>
      <c r="E959" s="2690">
        <f t="shared" si="28"/>
        <v>0.20907496326142561</v>
      </c>
      <c r="F959" s="1434"/>
      <c r="G959" s="1229"/>
      <c r="H959" s="1229"/>
      <c r="I959" s="1338"/>
      <c r="J959" s="1338"/>
      <c r="K959" s="1338"/>
      <c r="L959" s="1284"/>
      <c r="M959" s="1584"/>
      <c r="N959" s="1574"/>
      <c r="P959" s="1003"/>
      <c r="Q959" s="1003"/>
    </row>
    <row r="960" spans="1:18" s="1002" customFormat="1" ht="15" hidden="1" customHeight="1" x14ac:dyDescent="0.25">
      <c r="A960"/>
      <c r="B960" s="1592"/>
      <c r="C960" s="2473"/>
      <c r="D960" s="896"/>
      <c r="E960" s="2690"/>
      <c r="F960" s="1434"/>
      <c r="G960" s="1229"/>
      <c r="H960" s="1229"/>
      <c r="I960" s="1338"/>
      <c r="J960" s="1338"/>
      <c r="K960" s="1338"/>
      <c r="L960" s="1284"/>
      <c r="M960" s="1584"/>
      <c r="N960" s="1574"/>
      <c r="P960" s="1003"/>
      <c r="Q960" s="1003"/>
    </row>
    <row r="961" spans="1:17" s="1002" customFormat="1" ht="26.25" hidden="1" customHeight="1" x14ac:dyDescent="0.25">
      <c r="A961"/>
      <c r="B961" s="1592"/>
      <c r="C961" s="2474" t="s">
        <v>5871</v>
      </c>
      <c r="D961" s="899">
        <f>SUM(D962:D963)</f>
        <v>280000000</v>
      </c>
      <c r="E961" s="2695">
        <f t="shared" si="28"/>
        <v>0.27355602669719237</v>
      </c>
      <c r="F961" s="1434"/>
      <c r="G961" s="1229"/>
      <c r="H961" s="1229"/>
      <c r="I961" s="1338"/>
      <c r="J961" s="1338"/>
      <c r="K961" s="1338"/>
      <c r="L961" s="1284"/>
      <c r="M961" s="1584"/>
      <c r="N961" s="1574"/>
      <c r="P961" s="1003"/>
      <c r="Q961" s="1003"/>
    </row>
    <row r="962" spans="1:17" s="1002" customFormat="1" ht="20.25" hidden="1" customHeight="1" x14ac:dyDescent="0.25">
      <c r="A962"/>
      <c r="B962" s="1592"/>
      <c r="C962" s="2473" t="s">
        <v>5872</v>
      </c>
      <c r="D962" s="896">
        <v>200000000</v>
      </c>
      <c r="E962" s="2690">
        <f t="shared" si="28"/>
        <v>0.195397161926566</v>
      </c>
      <c r="F962" s="1434"/>
      <c r="G962" s="1229"/>
      <c r="H962" s="1229"/>
      <c r="I962" s="1338"/>
      <c r="J962" s="1338"/>
      <c r="K962" s="1338"/>
      <c r="L962" s="1284"/>
      <c r="M962" s="1584"/>
      <c r="N962" s="1574"/>
      <c r="P962" s="1003"/>
      <c r="Q962" s="1003"/>
    </row>
    <row r="963" spans="1:17" s="1002" customFormat="1" ht="21.75" hidden="1" customHeight="1" x14ac:dyDescent="0.25">
      <c r="A963"/>
      <c r="B963" s="1592"/>
      <c r="C963" s="2473" t="s">
        <v>5873</v>
      </c>
      <c r="D963" s="896">
        <v>80000000</v>
      </c>
      <c r="E963" s="2690">
        <f t="shared" si="28"/>
        <v>7.8158864770626404E-2</v>
      </c>
      <c r="F963" s="1434"/>
      <c r="G963" s="1229"/>
      <c r="H963" s="1229"/>
      <c r="I963" s="1338"/>
      <c r="J963" s="1338"/>
      <c r="K963" s="1338"/>
      <c r="L963" s="1284"/>
      <c r="M963" s="1584"/>
      <c r="N963" s="1574"/>
      <c r="P963" s="1003"/>
      <c r="Q963" s="1003"/>
    </row>
    <row r="964" spans="1:17" s="1002" customFormat="1" ht="17.25" hidden="1" customHeight="1" x14ac:dyDescent="0.25">
      <c r="A964"/>
      <c r="B964" s="1592"/>
      <c r="C964" s="2475"/>
      <c r="D964" s="2922"/>
      <c r="E964" s="2752"/>
      <c r="F964" s="1533"/>
      <c r="G964" s="1251"/>
      <c r="H964" s="1251"/>
      <c r="I964" s="1340"/>
      <c r="J964" s="1340"/>
      <c r="K964" s="1340"/>
      <c r="L964" s="1281"/>
      <c r="M964" s="1611"/>
      <c r="N964" s="1574"/>
      <c r="P964" s="1003"/>
      <c r="Q964" s="1003"/>
    </row>
    <row r="965" spans="1:17" s="1002" customFormat="1" ht="21.75" hidden="1" customHeight="1" x14ac:dyDescent="0.25">
      <c r="A965"/>
      <c r="B965" s="1609"/>
      <c r="C965" s="2532" t="s">
        <v>2618</v>
      </c>
      <c r="D965" s="2744">
        <f>SUM(D966+D969)</f>
        <v>3869860000</v>
      </c>
      <c r="E965" s="2672">
        <f>D965/102355632000*100</f>
        <v>3.7807983052657033</v>
      </c>
      <c r="F965" s="1435"/>
      <c r="G965" s="1336"/>
      <c r="H965" s="1336"/>
      <c r="I965" s="1575"/>
      <c r="J965" s="1575"/>
      <c r="K965" s="1575"/>
      <c r="L965" s="1796"/>
      <c r="M965" s="1577"/>
      <c r="N965" s="1578"/>
      <c r="P965" s="1003"/>
      <c r="Q965" s="1003"/>
    </row>
    <row r="966" spans="1:17" s="1002" customFormat="1" ht="29.25" hidden="1" customHeight="1" x14ac:dyDescent="0.25">
      <c r="A966"/>
      <c r="B966" s="1592"/>
      <c r="C966" s="2521" t="s">
        <v>5877</v>
      </c>
      <c r="D966" s="2721">
        <f>D967</f>
        <v>218580000</v>
      </c>
      <c r="E966" s="3003">
        <f>D966/102355632000*100</f>
        <v>0.213549558269544</v>
      </c>
      <c r="F966" s="1533"/>
      <c r="G966" s="1251"/>
      <c r="H966" s="1251"/>
      <c r="I966" s="1340"/>
      <c r="J966" s="1340"/>
      <c r="K966" s="1340"/>
      <c r="L966" s="1281"/>
      <c r="M966" s="1611"/>
      <c r="N966" s="1734"/>
      <c r="P966" s="1003"/>
      <c r="Q966" s="1003"/>
    </row>
    <row r="967" spans="1:17" s="1002" customFormat="1" ht="24.75" hidden="1" customHeight="1" x14ac:dyDescent="0.25">
      <c r="A967"/>
      <c r="B967" s="1592"/>
      <c r="C967" s="2526" t="s">
        <v>5878</v>
      </c>
      <c r="D967" s="896">
        <v>218580000</v>
      </c>
      <c r="E967" s="2690">
        <f>D967/102355632000*100</f>
        <v>0.213549558269544</v>
      </c>
      <c r="F967" s="1434"/>
      <c r="G967" s="1229"/>
      <c r="H967" s="1229"/>
      <c r="I967" s="1338"/>
      <c r="J967" s="1338"/>
      <c r="K967" s="1338"/>
      <c r="L967" s="1284"/>
      <c r="M967" s="1584"/>
      <c r="N967" s="1539"/>
      <c r="P967" s="1003"/>
      <c r="Q967" s="1003"/>
    </row>
    <row r="968" spans="1:17" s="1002" customFormat="1" ht="12" hidden="1" customHeight="1" x14ac:dyDescent="0.25">
      <c r="A968"/>
      <c r="B968" s="1592"/>
      <c r="C968" s="2527"/>
      <c r="D968" s="898"/>
      <c r="E968" s="2690"/>
      <c r="F968" s="1434"/>
      <c r="G968" s="1229"/>
      <c r="H968" s="1229"/>
      <c r="I968" s="1338"/>
      <c r="J968" s="1338"/>
      <c r="K968" s="1338"/>
      <c r="L968" s="1284"/>
      <c r="M968" s="1584"/>
      <c r="N968" s="1539"/>
      <c r="P968" s="1003"/>
      <c r="Q968" s="1003"/>
    </row>
    <row r="969" spans="1:17" s="1002" customFormat="1" ht="27" hidden="1" customHeight="1" x14ac:dyDescent="0.25">
      <c r="A969"/>
      <c r="B969" s="1592"/>
      <c r="C969" s="2521" t="s">
        <v>5879</v>
      </c>
      <c r="D969" s="2692">
        <f>SUM(D970:D970)</f>
        <v>3651280000</v>
      </c>
      <c r="E969" s="2695">
        <f t="shared" ref="E969:E971" si="29">D969/102355632000*100</f>
        <v>3.5672487469961593</v>
      </c>
      <c r="F969" s="1434"/>
      <c r="G969" s="1229"/>
      <c r="H969" s="1229"/>
      <c r="I969" s="1338"/>
      <c r="J969" s="1338"/>
      <c r="K969" s="1338"/>
      <c r="L969" s="1284"/>
      <c r="M969" s="1584"/>
      <c r="N969" s="1539"/>
      <c r="P969" s="1003"/>
      <c r="Q969" s="1003"/>
    </row>
    <row r="970" spans="1:17" s="1002" customFormat="1" ht="31.5" hidden="1" customHeight="1" x14ac:dyDescent="0.25">
      <c r="A970"/>
      <c r="B970" s="1592"/>
      <c r="C970" s="2524" t="s">
        <v>5880</v>
      </c>
      <c r="D970" s="896">
        <v>3651280000</v>
      </c>
      <c r="E970" s="2690">
        <f t="shared" si="29"/>
        <v>3.5672487469961593</v>
      </c>
      <c r="F970" s="1434"/>
      <c r="G970" s="1229"/>
      <c r="H970" s="1229"/>
      <c r="I970" s="1338"/>
      <c r="J970" s="1338"/>
      <c r="K970" s="1338"/>
      <c r="L970" s="1284"/>
      <c r="M970" s="1584"/>
      <c r="N970" s="1539"/>
      <c r="P970" s="1003"/>
      <c r="Q970" s="1003"/>
    </row>
    <row r="971" spans="1:17" ht="36" hidden="1" customHeight="1" x14ac:dyDescent="0.25">
      <c r="B971" s="1592"/>
      <c r="C971" s="2473" t="s">
        <v>5881</v>
      </c>
      <c r="D971" s="2852">
        <v>1520460000</v>
      </c>
      <c r="E971" s="2690">
        <f t="shared" si="29"/>
        <v>1.4854678441143325</v>
      </c>
      <c r="F971" s="1434"/>
      <c r="G971" s="1229"/>
      <c r="H971" s="1229"/>
      <c r="I971" s="1338"/>
      <c r="J971" s="1338"/>
      <c r="K971" s="1338"/>
      <c r="L971" s="1284"/>
      <c r="M971" s="1584"/>
      <c r="N971" s="1574"/>
    </row>
    <row r="972" spans="1:17" ht="17.25" hidden="1" customHeight="1" x14ac:dyDescent="0.25">
      <c r="B972" s="1592"/>
      <c r="C972" s="2475"/>
      <c r="D972" s="2922"/>
      <c r="E972" s="2752"/>
      <c r="F972" s="1533"/>
      <c r="G972" s="1251"/>
      <c r="H972" s="1251"/>
      <c r="I972" s="1340"/>
      <c r="J972" s="1340"/>
      <c r="K972" s="1340"/>
      <c r="L972" s="1281"/>
      <c r="M972" s="1611"/>
      <c r="N972" s="1734"/>
    </row>
    <row r="973" spans="1:17" ht="20.25" hidden="1" customHeight="1" x14ac:dyDescent="0.25">
      <c r="B973" s="1609"/>
      <c r="C973" s="2532" t="s">
        <v>6038</v>
      </c>
      <c r="D973" s="2744">
        <f>SUM(D974)</f>
        <v>8715000000</v>
      </c>
      <c r="E973" s="2672">
        <f>D973/102355632000*100</f>
        <v>8.5144313309501136</v>
      </c>
      <c r="F973" s="1435"/>
      <c r="G973" s="1336"/>
      <c r="H973" s="1336"/>
      <c r="I973" s="1575"/>
      <c r="J973" s="1575"/>
      <c r="K973" s="1575"/>
      <c r="L973" s="1796"/>
      <c r="M973" s="1577"/>
      <c r="N973" s="1539"/>
    </row>
    <row r="974" spans="1:17" ht="31.5" hidden="1" customHeight="1" x14ac:dyDescent="0.25">
      <c r="B974" s="1592"/>
      <c r="C974" s="2521" t="s">
        <v>2699</v>
      </c>
      <c r="D974" s="2751">
        <f>SUM(D975)</f>
        <v>8715000000</v>
      </c>
      <c r="E974" s="3003">
        <f>D974/102355632000*100</f>
        <v>8.5144313309501136</v>
      </c>
      <c r="F974" s="1533"/>
      <c r="G974" s="1251"/>
      <c r="H974" s="1251"/>
      <c r="I974" s="1340"/>
      <c r="J974" s="1340"/>
      <c r="K974" s="1340"/>
      <c r="L974" s="1281"/>
      <c r="M974" s="1611"/>
      <c r="N974" s="1734"/>
    </row>
    <row r="975" spans="1:17" ht="24" hidden="1" customHeight="1" x14ac:dyDescent="0.25">
      <c r="B975" s="1592"/>
      <c r="C975" s="2524" t="s">
        <v>6039</v>
      </c>
      <c r="D975" s="2698">
        <v>8715000000</v>
      </c>
      <c r="E975" s="2690">
        <f>D975/102355632000*100</f>
        <v>8.5144313309501136</v>
      </c>
      <c r="F975" s="1434"/>
      <c r="G975" s="1229"/>
      <c r="H975" s="1229"/>
      <c r="I975" s="1338"/>
      <c r="J975" s="1338"/>
      <c r="K975" s="1338"/>
      <c r="L975" s="1284"/>
      <c r="M975" s="1584"/>
      <c r="N975" s="1539"/>
    </row>
    <row r="976" spans="1:17" ht="16.5" hidden="1" customHeight="1" x14ac:dyDescent="0.25">
      <c r="B976" s="1592"/>
      <c r="C976" s="2526"/>
      <c r="D976" s="2724"/>
      <c r="E976" s="2752"/>
      <c r="F976" s="1533"/>
      <c r="G976" s="1251"/>
      <c r="H976" s="1251"/>
      <c r="I976" s="1340"/>
      <c r="J976" s="1340"/>
      <c r="K976" s="1340"/>
      <c r="L976" s="1281"/>
      <c r="M976" s="1611"/>
      <c r="N976" s="1734"/>
    </row>
    <row r="977" spans="1:18" ht="33.75" hidden="1" customHeight="1" x14ac:dyDescent="0.25">
      <c r="B977" s="1609"/>
      <c r="C977" s="2471" t="s">
        <v>6031</v>
      </c>
      <c r="D977" s="2744">
        <f>D978</f>
        <v>2683251150</v>
      </c>
      <c r="E977" s="2672">
        <f>D977/102355632000*100</f>
        <v>2.6214982972309722</v>
      </c>
      <c r="F977" s="1435"/>
      <c r="G977" s="1336"/>
      <c r="H977" s="1336"/>
      <c r="I977" s="1575"/>
      <c r="J977" s="1575"/>
      <c r="K977" s="1575"/>
      <c r="L977" s="1796"/>
      <c r="M977" s="1577"/>
      <c r="N977" s="1539"/>
    </row>
    <row r="978" spans="1:18" ht="24" hidden="1" customHeight="1" x14ac:dyDescent="0.25">
      <c r="B978" s="1592"/>
      <c r="C978" s="2521" t="s">
        <v>6033</v>
      </c>
      <c r="D978" s="2759">
        <f>SUM(D979)</f>
        <v>2683251150</v>
      </c>
      <c r="E978" s="3003">
        <f>D978/102355632000*100</f>
        <v>2.6214982972309722</v>
      </c>
      <c r="F978" s="1533"/>
      <c r="G978" s="1251"/>
      <c r="H978" s="1251"/>
      <c r="I978" s="1340"/>
      <c r="J978" s="1340"/>
      <c r="K978" s="1340"/>
      <c r="L978" s="1281"/>
      <c r="M978" s="1611"/>
      <c r="N978" s="1582"/>
    </row>
    <row r="979" spans="1:18" ht="24" hidden="1" customHeight="1" x14ac:dyDescent="0.25">
      <c r="B979" s="1592"/>
      <c r="C979" s="2491" t="s">
        <v>6034</v>
      </c>
      <c r="D979" s="2692">
        <f>D980</f>
        <v>2683251150</v>
      </c>
      <c r="E979" s="2690">
        <f>D979/102355632000*100</f>
        <v>2.6214982972309722</v>
      </c>
      <c r="F979" s="3935"/>
      <c r="G979" s="1247"/>
      <c r="H979" s="1247"/>
      <c r="I979" s="1339"/>
      <c r="J979" s="1339"/>
      <c r="K979" s="1339"/>
      <c r="L979" s="1797"/>
      <c r="M979" s="1573"/>
      <c r="N979" s="1539"/>
    </row>
    <row r="980" spans="1:18" ht="24" hidden="1" customHeight="1" x14ac:dyDescent="0.25">
      <c r="B980" s="1592"/>
      <c r="C980" s="2494" t="s">
        <v>6035</v>
      </c>
      <c r="D980" s="2698">
        <v>2683251150</v>
      </c>
      <c r="E980" s="2690">
        <f>D980/102355632000*100</f>
        <v>2.6214982972309722</v>
      </c>
      <c r="F980" s="1434"/>
      <c r="G980" s="1229"/>
      <c r="H980" s="1229"/>
      <c r="I980" s="1338"/>
      <c r="J980" s="1338"/>
      <c r="K980" s="1338"/>
      <c r="L980" s="1284"/>
      <c r="M980" s="1584"/>
      <c r="N980" s="1539"/>
    </row>
    <row r="981" spans="1:18" ht="16.5" hidden="1" customHeight="1" thickBot="1" x14ac:dyDescent="0.3">
      <c r="B981" s="1842"/>
      <c r="C981" s="2477"/>
      <c r="D981" s="3638"/>
      <c r="E981" s="3027"/>
      <c r="F981" s="1445"/>
      <c r="G981" s="1843"/>
      <c r="H981" s="1339"/>
      <c r="I981" s="1572"/>
      <c r="J981" s="1844"/>
      <c r="K981" s="1845"/>
      <c r="L981" s="1846"/>
      <c r="M981" s="1438"/>
      <c r="N981" s="1847"/>
    </row>
    <row r="982" spans="1:18" s="37" customFormat="1" ht="21" customHeight="1" thickBot="1" x14ac:dyDescent="0.3">
      <c r="B982" s="1848"/>
      <c r="C982" s="3795" t="s">
        <v>3061</v>
      </c>
      <c r="D982" s="3796">
        <f>SUM(D13+D19)</f>
        <v>367967482950</v>
      </c>
      <c r="E982" s="3797">
        <f>D982/367967482950*100</f>
        <v>100</v>
      </c>
      <c r="F982" s="1446"/>
      <c r="G982" s="1446"/>
      <c r="H982" s="1446"/>
      <c r="I982" s="1446"/>
      <c r="J982" s="1446"/>
      <c r="K982" s="1446"/>
      <c r="L982" s="1446"/>
      <c r="M982" s="1849"/>
      <c r="N982" s="1850"/>
      <c r="O982" s="999"/>
      <c r="P982" s="1000"/>
      <c r="Q982" s="1000"/>
      <c r="R982" s="999"/>
    </row>
    <row r="983" spans="1:18" ht="14.1" customHeight="1" thickTop="1" x14ac:dyDescent="0.25">
      <c r="B983" s="1851"/>
      <c r="C983" s="3798"/>
      <c r="D983" s="3799"/>
      <c r="E983" s="3808"/>
      <c r="F983" s="1447"/>
      <c r="G983" s="1852"/>
      <c r="H983" s="1853"/>
      <c r="I983" s="1854"/>
      <c r="J983" s="1855"/>
      <c r="K983" s="1855"/>
      <c r="L983" s="1855"/>
      <c r="M983" s="1856"/>
      <c r="N983" s="1857"/>
    </row>
    <row r="984" spans="1:18" ht="20.100000000000001" customHeight="1" x14ac:dyDescent="0.25">
      <c r="B984" s="1858"/>
      <c r="C984" s="3800"/>
      <c r="D984" s="3801"/>
      <c r="E984" s="3808"/>
      <c r="F984" s="1448"/>
      <c r="G984" s="1852"/>
      <c r="H984" s="1853"/>
      <c r="I984" s="1859"/>
      <c r="J984" s="1855"/>
      <c r="K984" s="1855"/>
      <c r="L984" s="1855"/>
      <c r="M984" s="1860"/>
      <c r="N984" s="1857"/>
    </row>
    <row r="985" spans="1:18" s="229" customFormat="1" x14ac:dyDescent="0.25">
      <c r="A985"/>
      <c r="B985" s="5105"/>
      <c r="C985" s="5105"/>
      <c r="D985" s="5105"/>
      <c r="E985" s="2648"/>
      <c r="F985" s="1348"/>
      <c r="G985" s="1550"/>
      <c r="H985" s="1343"/>
      <c r="I985" s="1551"/>
      <c r="J985" s="1343"/>
      <c r="K985" s="1343"/>
      <c r="L985" s="1857"/>
      <c r="M985" s="1861" t="s">
        <v>7959</v>
      </c>
      <c r="N985" s="1857"/>
      <c r="O985" s="1002"/>
      <c r="P985" s="1003"/>
      <c r="Q985" s="1149"/>
      <c r="R985" s="1150"/>
    </row>
    <row r="986" spans="1:18" s="229" customFormat="1" x14ac:dyDescent="0.25">
      <c r="A986"/>
      <c r="B986" s="1862"/>
      <c r="C986" s="3802"/>
      <c r="D986" s="3803"/>
      <c r="E986" s="2648"/>
      <c r="F986" s="1348"/>
      <c r="G986" s="1550"/>
      <c r="H986" s="1343"/>
      <c r="I986" s="1551"/>
      <c r="J986" s="1343"/>
      <c r="K986" s="1343"/>
      <c r="L986" s="1857"/>
      <c r="M986" s="1861" t="s">
        <v>3078</v>
      </c>
      <c r="N986" s="1857"/>
      <c r="O986" s="1002"/>
      <c r="P986" s="1003"/>
      <c r="Q986" s="1149"/>
      <c r="R986" s="1150"/>
    </row>
    <row r="987" spans="1:18" s="229" customFormat="1" x14ac:dyDescent="0.25">
      <c r="A987"/>
      <c r="B987" s="1862"/>
      <c r="C987" s="3802"/>
      <c r="D987" s="3804"/>
      <c r="E987" s="2648"/>
      <c r="F987" s="1348"/>
      <c r="G987" s="1550"/>
      <c r="H987" s="1343"/>
      <c r="I987" s="1551"/>
      <c r="J987" s="1343"/>
      <c r="K987" s="1343"/>
      <c r="L987" s="1857"/>
      <c r="M987" s="1861" t="s">
        <v>3063</v>
      </c>
      <c r="N987" s="1857"/>
      <c r="O987" s="1002"/>
      <c r="P987" s="1003"/>
      <c r="Q987" s="1149"/>
      <c r="R987" s="1150"/>
    </row>
    <row r="988" spans="1:18" s="229" customFormat="1" x14ac:dyDescent="0.25">
      <c r="A988"/>
      <c r="B988" s="1862"/>
      <c r="C988" s="3802"/>
      <c r="D988" s="3804"/>
      <c r="E988" s="2648"/>
      <c r="F988" s="1348"/>
      <c r="G988" s="1550"/>
      <c r="H988" s="1343"/>
      <c r="I988" s="1551"/>
      <c r="J988" s="1343"/>
      <c r="K988" s="1343"/>
      <c r="L988" s="1857"/>
      <c r="M988" s="1857"/>
      <c r="N988" s="1857"/>
      <c r="O988" s="1002"/>
      <c r="P988" s="1003"/>
      <c r="Q988" s="1149"/>
      <c r="R988" s="1150"/>
    </row>
    <row r="989" spans="1:18" s="229" customFormat="1" x14ac:dyDescent="0.25">
      <c r="A989"/>
      <c r="B989" s="1862"/>
      <c r="C989" s="3802"/>
      <c r="D989" s="3804"/>
      <c r="E989" s="2648"/>
      <c r="F989" s="1348"/>
      <c r="G989" s="1550"/>
      <c r="H989" s="1343"/>
      <c r="I989" s="1551"/>
      <c r="J989" s="1343"/>
      <c r="K989" s="1343"/>
      <c r="L989" s="1857"/>
      <c r="M989" s="1857"/>
      <c r="N989" s="1857"/>
      <c r="O989" s="1002"/>
      <c r="P989" s="1003"/>
      <c r="Q989" s="1149"/>
      <c r="R989" s="1150"/>
    </row>
    <row r="990" spans="1:18" s="229" customFormat="1" x14ac:dyDescent="0.25">
      <c r="A990"/>
      <c r="B990" s="1862"/>
      <c r="C990" s="3802"/>
      <c r="D990" s="3804"/>
      <c r="E990" s="2648"/>
      <c r="F990" s="1348"/>
      <c r="G990" s="1550"/>
      <c r="H990" s="1343"/>
      <c r="I990" s="1551"/>
      <c r="J990" s="1343"/>
      <c r="K990" s="1343"/>
      <c r="L990" s="1857"/>
      <c r="M990" s="1857"/>
      <c r="N990" s="1857"/>
      <c r="O990" s="1002"/>
      <c r="P990" s="1003"/>
      <c r="Q990" s="1149"/>
      <c r="R990" s="1150"/>
    </row>
    <row r="991" spans="1:18" s="229" customFormat="1" x14ac:dyDescent="0.25">
      <c r="A991"/>
      <c r="B991" s="1862"/>
      <c r="C991" s="3802"/>
      <c r="D991" s="3803"/>
      <c r="E991" s="2648"/>
      <c r="F991" s="1348"/>
      <c r="G991" s="1550"/>
      <c r="H991" s="1343"/>
      <c r="I991" s="1551"/>
      <c r="J991" s="1343"/>
      <c r="K991" s="1343"/>
      <c r="L991" s="1857"/>
      <c r="M991" s="1857"/>
      <c r="N991" s="1857"/>
      <c r="O991" s="1002"/>
      <c r="P991" s="1003"/>
      <c r="Q991" s="1149"/>
      <c r="R991" s="1150"/>
    </row>
    <row r="992" spans="1:18" s="229" customFormat="1" x14ac:dyDescent="0.25">
      <c r="A992"/>
      <c r="B992" s="1862"/>
      <c r="C992" s="3800"/>
      <c r="D992" s="3800"/>
      <c r="E992" s="2648"/>
      <c r="F992" s="1348"/>
      <c r="G992" s="1550"/>
      <c r="H992" s="1343"/>
      <c r="I992" s="1551"/>
      <c r="J992" s="1343"/>
      <c r="K992" s="1343"/>
      <c r="L992" s="1857"/>
      <c r="M992" s="1857"/>
      <c r="N992" s="1857"/>
      <c r="O992" s="1002"/>
      <c r="P992" s="1003"/>
      <c r="Q992" s="1149"/>
      <c r="R992" s="1150"/>
    </row>
    <row r="993" spans="1:18" s="229" customFormat="1" x14ac:dyDescent="0.25">
      <c r="A993"/>
      <c r="B993" s="1862"/>
      <c r="C993" s="3800"/>
      <c r="D993" s="3800"/>
      <c r="E993" s="2648"/>
      <c r="F993" s="1348"/>
      <c r="G993" s="1550"/>
      <c r="H993" s="1343"/>
      <c r="I993" s="1551"/>
      <c r="J993" s="1343"/>
      <c r="K993" s="1343"/>
      <c r="L993" s="5106" t="s">
        <v>3064</v>
      </c>
      <c r="M993" s="5106"/>
      <c r="N993" s="5106"/>
      <c r="O993" s="1002"/>
      <c r="P993" s="1003"/>
      <c r="Q993" s="1149"/>
      <c r="R993" s="1150"/>
    </row>
    <row r="994" spans="1:18" s="229" customFormat="1" x14ac:dyDescent="0.25">
      <c r="A994"/>
      <c r="B994" s="1862"/>
      <c r="C994" s="3802"/>
      <c r="D994" s="3803"/>
      <c r="E994" s="2648"/>
      <c r="F994" s="1348"/>
      <c r="G994" s="1550"/>
      <c r="H994" s="1343"/>
      <c r="I994" s="1551"/>
      <c r="J994" s="1343"/>
      <c r="K994" s="1343"/>
      <c r="L994" s="5107" t="s">
        <v>4165</v>
      </c>
      <c r="M994" s="5107"/>
      <c r="N994" s="5107"/>
      <c r="O994" s="1002"/>
      <c r="P994" s="1003"/>
      <c r="Q994" s="1149"/>
      <c r="R994" s="1150"/>
    </row>
    <row r="995" spans="1:18" s="229" customFormat="1" x14ac:dyDescent="0.25">
      <c r="A995"/>
      <c r="B995" s="1862"/>
      <c r="C995" s="3802"/>
      <c r="D995" s="3803"/>
      <c r="E995" s="2648"/>
      <c r="F995" s="1348"/>
      <c r="G995" s="1550"/>
      <c r="H995" s="1343"/>
      <c r="I995" s="1551"/>
      <c r="J995" s="1343"/>
      <c r="K995" s="1343"/>
      <c r="L995" s="1343"/>
      <c r="M995" s="1860" t="s">
        <v>3065</v>
      </c>
      <c r="N995" s="1548"/>
      <c r="O995" s="1002"/>
      <c r="P995" s="1003"/>
      <c r="Q995" s="1149"/>
      <c r="R995" s="1150"/>
    </row>
    <row r="996" spans="1:18" s="229" customFormat="1" x14ac:dyDescent="0.25">
      <c r="A996"/>
      <c r="B996" s="1862"/>
      <c r="C996" s="3802"/>
      <c r="D996" s="3803"/>
      <c r="E996" s="2648"/>
      <c r="F996" s="1348"/>
      <c r="G996" s="1550"/>
      <c r="H996" s="1343"/>
      <c r="I996" s="1551"/>
      <c r="J996" s="1343"/>
      <c r="K996" s="1343"/>
      <c r="L996" s="1343"/>
      <c r="M996" s="4259"/>
      <c r="N996" s="1295"/>
      <c r="O996" s="1002"/>
      <c r="P996" s="1003"/>
      <c r="Q996" s="1149"/>
      <c r="R996" s="1150"/>
    </row>
    <row r="997" spans="1:18" s="229" customFormat="1" x14ac:dyDescent="0.25">
      <c r="A997"/>
      <c r="B997" s="1862"/>
      <c r="C997" s="3805"/>
      <c r="D997" s="3579"/>
      <c r="E997" s="2648"/>
      <c r="F997" s="1348"/>
      <c r="G997" s="1550"/>
      <c r="H997" s="1343"/>
      <c r="I997" s="1551"/>
      <c r="J997" s="1343"/>
      <c r="K997" s="1343"/>
      <c r="L997" s="1343"/>
      <c r="M997" s="1863"/>
      <c r="N997" s="1295"/>
      <c r="O997" s="1002"/>
      <c r="P997" s="1003"/>
      <c r="Q997" s="1149"/>
      <c r="R997" s="1150"/>
    </row>
    <row r="998" spans="1:18" s="229" customFormat="1" x14ac:dyDescent="0.25">
      <c r="A998"/>
      <c r="B998" s="1862"/>
      <c r="C998" s="3802"/>
      <c r="D998" s="3579"/>
      <c r="E998" s="2648"/>
      <c r="F998" s="1348"/>
      <c r="G998" s="1550"/>
      <c r="H998" s="1343"/>
      <c r="I998" s="1551"/>
      <c r="J998" s="1343"/>
      <c r="K998" s="1343"/>
      <c r="L998" s="1343"/>
      <c r="M998" s="1860"/>
      <c r="N998" s="1295"/>
      <c r="O998" s="1002"/>
      <c r="P998" s="1003"/>
      <c r="Q998" s="1149"/>
      <c r="R998" s="1150"/>
    </row>
    <row r="999" spans="1:18" s="229" customFormat="1" x14ac:dyDescent="0.25">
      <c r="A999"/>
      <c r="B999" s="1862"/>
      <c r="C999" s="3802"/>
      <c r="D999" s="3803"/>
      <c r="E999" s="2648"/>
      <c r="F999" s="1348"/>
      <c r="G999" s="1550"/>
      <c r="H999" s="1343"/>
      <c r="I999" s="1551"/>
      <c r="J999" s="1343"/>
      <c r="K999" s="1343"/>
      <c r="L999" s="1343"/>
      <c r="M999" s="4258"/>
      <c r="N999" s="1295"/>
      <c r="O999" s="1002"/>
      <c r="P999" s="1003"/>
      <c r="Q999" s="1149"/>
      <c r="R999" s="1150"/>
    </row>
  </sheetData>
  <mergeCells count="18">
    <mergeCell ref="B985:D985"/>
    <mergeCell ref="L993:N993"/>
    <mergeCell ref="L994:N994"/>
    <mergeCell ref="B9:B11"/>
    <mergeCell ref="C9:C11"/>
    <mergeCell ref="D9:E9"/>
    <mergeCell ref="F9:I9"/>
    <mergeCell ref="J9:M9"/>
    <mergeCell ref="N9:N11"/>
    <mergeCell ref="D10:E10"/>
    <mergeCell ref="F10:I10"/>
    <mergeCell ref="J10:M10"/>
    <mergeCell ref="B7:J7"/>
    <mergeCell ref="B1:N1"/>
    <mergeCell ref="B2:N2"/>
    <mergeCell ref="B3:N3"/>
    <mergeCell ref="A4:N4"/>
    <mergeCell ref="B6:N6"/>
  </mergeCells>
  <printOptions horizontalCentered="1"/>
  <pageMargins left="0.7" right="0.45" top="0.75" bottom="0.5" header="0.3" footer="0.3"/>
  <pageSetup paperSize="258" scale="38" orientation="landscape" r:id="rId1"/>
  <rowBreaks count="4" manualBreakCount="4">
    <brk id="144" max="17" man="1"/>
    <brk id="44" max="17" man="1"/>
    <brk id="773" max="13" man="1"/>
    <brk id="982" max="16383" man="1"/>
  </rowBreaks>
  <colBreaks count="1" manualBreakCount="1">
    <brk id="12" max="1050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356"/>
  <sheetViews>
    <sheetView view="pageBreakPreview" topLeftCell="A7" zoomScale="78" zoomScaleNormal="80" zoomScaleSheetLayoutView="78" workbookViewId="0">
      <selection activeCell="C294" sqref="C294"/>
    </sheetView>
  </sheetViews>
  <sheetFormatPr defaultColWidth="8.85546875" defaultRowHeight="15" x14ac:dyDescent="0.25"/>
  <cols>
    <col min="1" max="1" width="4.5703125" style="806" customWidth="1"/>
    <col min="2" max="2" width="88.85546875" style="1182" customWidth="1"/>
    <col min="3" max="3" width="25.28515625" style="1169" customWidth="1"/>
    <col min="4" max="4" width="16.5703125" style="1169" customWidth="1"/>
    <col min="5" max="5" width="14.140625" style="963" customWidth="1"/>
    <col min="6" max="6" width="13.7109375" style="963" customWidth="1"/>
    <col min="7" max="7" width="14.7109375" style="703" customWidth="1"/>
    <col min="8" max="8" width="10.85546875" style="704" customWidth="1"/>
    <col min="9" max="9" width="14" style="963" customWidth="1"/>
    <col min="10" max="10" width="13.140625" style="963" customWidth="1"/>
    <col min="11" max="11" width="14" style="963" customWidth="1"/>
    <col min="12" max="12" width="10" style="963" customWidth="1"/>
    <col min="13" max="13" width="9" style="963" customWidth="1"/>
    <col min="14" max="14" width="8.85546875" style="963"/>
    <col min="15" max="15" width="27.5703125" style="963" customWidth="1"/>
    <col min="16" max="256" width="8.85546875" style="963"/>
    <col min="257" max="257" width="4.5703125" style="963" customWidth="1"/>
    <col min="258" max="258" width="81.28515625" style="963" customWidth="1"/>
    <col min="259" max="259" width="38.42578125" style="963" customWidth="1"/>
    <col min="260" max="260" width="24.5703125" style="963" customWidth="1"/>
    <col min="261" max="261" width="26.42578125" style="963" customWidth="1"/>
    <col min="262" max="262" width="22.7109375" style="963" customWidth="1"/>
    <col min="263" max="263" width="15.85546875" style="963" customWidth="1"/>
    <col min="264" max="264" width="14.85546875" style="963" customWidth="1"/>
    <col min="265" max="266" width="22.7109375" style="963" customWidth="1"/>
    <col min="267" max="267" width="17.7109375" style="963" customWidth="1"/>
    <col min="268" max="268" width="10.85546875" style="963" customWidth="1"/>
    <col min="269" max="269" width="11.140625" style="963" customWidth="1"/>
    <col min="270" max="270" width="8.85546875" style="963"/>
    <col min="271" max="271" width="27.5703125" style="963" customWidth="1"/>
    <col min="272" max="512" width="8.85546875" style="963"/>
    <col min="513" max="513" width="4.5703125" style="963" customWidth="1"/>
    <col min="514" max="514" width="81.28515625" style="963" customWidth="1"/>
    <col min="515" max="515" width="38.42578125" style="963" customWidth="1"/>
    <col min="516" max="516" width="24.5703125" style="963" customWidth="1"/>
    <col min="517" max="517" width="26.42578125" style="963" customWidth="1"/>
    <col min="518" max="518" width="22.7109375" style="963" customWidth="1"/>
    <col min="519" max="519" width="15.85546875" style="963" customWidth="1"/>
    <col min="520" max="520" width="14.85546875" style="963" customWidth="1"/>
    <col min="521" max="522" width="22.7109375" style="963" customWidth="1"/>
    <col min="523" max="523" width="17.7109375" style="963" customWidth="1"/>
    <col min="524" max="524" width="10.85546875" style="963" customWidth="1"/>
    <col min="525" max="525" width="11.140625" style="963" customWidth="1"/>
    <col min="526" max="526" width="8.85546875" style="963"/>
    <col min="527" max="527" width="27.5703125" style="963" customWidth="1"/>
    <col min="528" max="768" width="8.85546875" style="963"/>
    <col min="769" max="769" width="4.5703125" style="963" customWidth="1"/>
    <col min="770" max="770" width="81.28515625" style="963" customWidth="1"/>
    <col min="771" max="771" width="38.42578125" style="963" customWidth="1"/>
    <col min="772" max="772" width="24.5703125" style="963" customWidth="1"/>
    <col min="773" max="773" width="26.42578125" style="963" customWidth="1"/>
    <col min="774" max="774" width="22.7109375" style="963" customWidth="1"/>
    <col min="775" max="775" width="15.85546875" style="963" customWidth="1"/>
    <col min="776" max="776" width="14.85546875" style="963" customWidth="1"/>
    <col min="777" max="778" width="22.7109375" style="963" customWidth="1"/>
    <col min="779" max="779" width="17.7109375" style="963" customWidth="1"/>
    <col min="780" max="780" width="10.85546875" style="963" customWidth="1"/>
    <col min="781" max="781" width="11.140625" style="963" customWidth="1"/>
    <col min="782" max="782" width="8.85546875" style="963"/>
    <col min="783" max="783" width="27.5703125" style="963" customWidth="1"/>
    <col min="784" max="1024" width="8.85546875" style="963"/>
    <col min="1025" max="1025" width="4.5703125" style="963" customWidth="1"/>
    <col min="1026" max="1026" width="81.28515625" style="963" customWidth="1"/>
    <col min="1027" max="1027" width="38.42578125" style="963" customWidth="1"/>
    <col min="1028" max="1028" width="24.5703125" style="963" customWidth="1"/>
    <col min="1029" max="1029" width="26.42578125" style="963" customWidth="1"/>
    <col min="1030" max="1030" width="22.7109375" style="963" customWidth="1"/>
    <col min="1031" max="1031" width="15.85546875" style="963" customWidth="1"/>
    <col min="1032" max="1032" width="14.85546875" style="963" customWidth="1"/>
    <col min="1033" max="1034" width="22.7109375" style="963" customWidth="1"/>
    <col min="1035" max="1035" width="17.7109375" style="963" customWidth="1"/>
    <col min="1036" max="1036" width="10.85546875" style="963" customWidth="1"/>
    <col min="1037" max="1037" width="11.140625" style="963" customWidth="1"/>
    <col min="1038" max="1038" width="8.85546875" style="963"/>
    <col min="1039" max="1039" width="27.5703125" style="963" customWidth="1"/>
    <col min="1040" max="1280" width="8.85546875" style="963"/>
    <col min="1281" max="1281" width="4.5703125" style="963" customWidth="1"/>
    <col min="1282" max="1282" width="81.28515625" style="963" customWidth="1"/>
    <col min="1283" max="1283" width="38.42578125" style="963" customWidth="1"/>
    <col min="1284" max="1284" width="24.5703125" style="963" customWidth="1"/>
    <col min="1285" max="1285" width="26.42578125" style="963" customWidth="1"/>
    <col min="1286" max="1286" width="22.7109375" style="963" customWidth="1"/>
    <col min="1287" max="1287" width="15.85546875" style="963" customWidth="1"/>
    <col min="1288" max="1288" width="14.85546875" style="963" customWidth="1"/>
    <col min="1289" max="1290" width="22.7109375" style="963" customWidth="1"/>
    <col min="1291" max="1291" width="17.7109375" style="963" customWidth="1"/>
    <col min="1292" max="1292" width="10.85546875" style="963" customWidth="1"/>
    <col min="1293" max="1293" width="11.140625" style="963" customWidth="1"/>
    <col min="1294" max="1294" width="8.85546875" style="963"/>
    <col min="1295" max="1295" width="27.5703125" style="963" customWidth="1"/>
    <col min="1296" max="1536" width="8.85546875" style="963"/>
    <col min="1537" max="1537" width="4.5703125" style="963" customWidth="1"/>
    <col min="1538" max="1538" width="81.28515625" style="963" customWidth="1"/>
    <col min="1539" max="1539" width="38.42578125" style="963" customWidth="1"/>
    <col min="1540" max="1540" width="24.5703125" style="963" customWidth="1"/>
    <col min="1541" max="1541" width="26.42578125" style="963" customWidth="1"/>
    <col min="1542" max="1542" width="22.7109375" style="963" customWidth="1"/>
    <col min="1543" max="1543" width="15.85546875" style="963" customWidth="1"/>
    <col min="1544" max="1544" width="14.85546875" style="963" customWidth="1"/>
    <col min="1545" max="1546" width="22.7109375" style="963" customWidth="1"/>
    <col min="1547" max="1547" width="17.7109375" style="963" customWidth="1"/>
    <col min="1548" max="1548" width="10.85546875" style="963" customWidth="1"/>
    <col min="1549" max="1549" width="11.140625" style="963" customWidth="1"/>
    <col min="1550" max="1550" width="8.85546875" style="963"/>
    <col min="1551" max="1551" width="27.5703125" style="963" customWidth="1"/>
    <col min="1552" max="1792" width="8.85546875" style="963"/>
    <col min="1793" max="1793" width="4.5703125" style="963" customWidth="1"/>
    <col min="1794" max="1794" width="81.28515625" style="963" customWidth="1"/>
    <col min="1795" max="1795" width="38.42578125" style="963" customWidth="1"/>
    <col min="1796" max="1796" width="24.5703125" style="963" customWidth="1"/>
    <col min="1797" max="1797" width="26.42578125" style="963" customWidth="1"/>
    <col min="1798" max="1798" width="22.7109375" style="963" customWidth="1"/>
    <col min="1799" max="1799" width="15.85546875" style="963" customWidth="1"/>
    <col min="1800" max="1800" width="14.85546875" style="963" customWidth="1"/>
    <col min="1801" max="1802" width="22.7109375" style="963" customWidth="1"/>
    <col min="1803" max="1803" width="17.7109375" style="963" customWidth="1"/>
    <col min="1804" max="1804" width="10.85546875" style="963" customWidth="1"/>
    <col min="1805" max="1805" width="11.140625" style="963" customWidth="1"/>
    <col min="1806" max="1806" width="8.85546875" style="963"/>
    <col min="1807" max="1807" width="27.5703125" style="963" customWidth="1"/>
    <col min="1808" max="2048" width="8.85546875" style="963"/>
    <col min="2049" max="2049" width="4.5703125" style="963" customWidth="1"/>
    <col min="2050" max="2050" width="81.28515625" style="963" customWidth="1"/>
    <col min="2051" max="2051" width="38.42578125" style="963" customWidth="1"/>
    <col min="2052" max="2052" width="24.5703125" style="963" customWidth="1"/>
    <col min="2053" max="2053" width="26.42578125" style="963" customWidth="1"/>
    <col min="2054" max="2054" width="22.7109375" style="963" customWidth="1"/>
    <col min="2055" max="2055" width="15.85546875" style="963" customWidth="1"/>
    <col min="2056" max="2056" width="14.85546875" style="963" customWidth="1"/>
    <col min="2057" max="2058" width="22.7109375" style="963" customWidth="1"/>
    <col min="2059" max="2059" width="17.7109375" style="963" customWidth="1"/>
    <col min="2060" max="2060" width="10.85546875" style="963" customWidth="1"/>
    <col min="2061" max="2061" width="11.140625" style="963" customWidth="1"/>
    <col min="2062" max="2062" width="8.85546875" style="963"/>
    <col min="2063" max="2063" width="27.5703125" style="963" customWidth="1"/>
    <col min="2064" max="2304" width="8.85546875" style="963"/>
    <col min="2305" max="2305" width="4.5703125" style="963" customWidth="1"/>
    <col min="2306" max="2306" width="81.28515625" style="963" customWidth="1"/>
    <col min="2307" max="2307" width="38.42578125" style="963" customWidth="1"/>
    <col min="2308" max="2308" width="24.5703125" style="963" customWidth="1"/>
    <col min="2309" max="2309" width="26.42578125" style="963" customWidth="1"/>
    <col min="2310" max="2310" width="22.7109375" style="963" customWidth="1"/>
    <col min="2311" max="2311" width="15.85546875" style="963" customWidth="1"/>
    <col min="2312" max="2312" width="14.85546875" style="963" customWidth="1"/>
    <col min="2313" max="2314" width="22.7109375" style="963" customWidth="1"/>
    <col min="2315" max="2315" width="17.7109375" style="963" customWidth="1"/>
    <col min="2316" max="2316" width="10.85546875" style="963" customWidth="1"/>
    <col min="2317" max="2317" width="11.140625" style="963" customWidth="1"/>
    <col min="2318" max="2318" width="8.85546875" style="963"/>
    <col min="2319" max="2319" width="27.5703125" style="963" customWidth="1"/>
    <col min="2320" max="2560" width="8.85546875" style="963"/>
    <col min="2561" max="2561" width="4.5703125" style="963" customWidth="1"/>
    <col min="2562" max="2562" width="81.28515625" style="963" customWidth="1"/>
    <col min="2563" max="2563" width="38.42578125" style="963" customWidth="1"/>
    <col min="2564" max="2564" width="24.5703125" style="963" customWidth="1"/>
    <col min="2565" max="2565" width="26.42578125" style="963" customWidth="1"/>
    <col min="2566" max="2566" width="22.7109375" style="963" customWidth="1"/>
    <col min="2567" max="2567" width="15.85546875" style="963" customWidth="1"/>
    <col min="2568" max="2568" width="14.85546875" style="963" customWidth="1"/>
    <col min="2569" max="2570" width="22.7109375" style="963" customWidth="1"/>
    <col min="2571" max="2571" width="17.7109375" style="963" customWidth="1"/>
    <col min="2572" max="2572" width="10.85546875" style="963" customWidth="1"/>
    <col min="2573" max="2573" width="11.140625" style="963" customWidth="1"/>
    <col min="2574" max="2574" width="8.85546875" style="963"/>
    <col min="2575" max="2575" width="27.5703125" style="963" customWidth="1"/>
    <col min="2576" max="2816" width="8.85546875" style="963"/>
    <col min="2817" max="2817" width="4.5703125" style="963" customWidth="1"/>
    <col min="2818" max="2818" width="81.28515625" style="963" customWidth="1"/>
    <col min="2819" max="2819" width="38.42578125" style="963" customWidth="1"/>
    <col min="2820" max="2820" width="24.5703125" style="963" customWidth="1"/>
    <col min="2821" max="2821" width="26.42578125" style="963" customWidth="1"/>
    <col min="2822" max="2822" width="22.7109375" style="963" customWidth="1"/>
    <col min="2823" max="2823" width="15.85546875" style="963" customWidth="1"/>
    <col min="2824" max="2824" width="14.85546875" style="963" customWidth="1"/>
    <col min="2825" max="2826" width="22.7109375" style="963" customWidth="1"/>
    <col min="2827" max="2827" width="17.7109375" style="963" customWidth="1"/>
    <col min="2828" max="2828" width="10.85546875" style="963" customWidth="1"/>
    <col min="2829" max="2829" width="11.140625" style="963" customWidth="1"/>
    <col min="2830" max="2830" width="8.85546875" style="963"/>
    <col min="2831" max="2831" width="27.5703125" style="963" customWidth="1"/>
    <col min="2832" max="3072" width="8.85546875" style="963"/>
    <col min="3073" max="3073" width="4.5703125" style="963" customWidth="1"/>
    <col min="3074" max="3074" width="81.28515625" style="963" customWidth="1"/>
    <col min="3075" max="3075" width="38.42578125" style="963" customWidth="1"/>
    <col min="3076" max="3076" width="24.5703125" style="963" customWidth="1"/>
    <col min="3077" max="3077" width="26.42578125" style="963" customWidth="1"/>
    <col min="3078" max="3078" width="22.7109375" style="963" customWidth="1"/>
    <col min="3079" max="3079" width="15.85546875" style="963" customWidth="1"/>
    <col min="3080" max="3080" width="14.85546875" style="963" customWidth="1"/>
    <col min="3081" max="3082" width="22.7109375" style="963" customWidth="1"/>
    <col min="3083" max="3083" width="17.7109375" style="963" customWidth="1"/>
    <col min="3084" max="3084" width="10.85546875" style="963" customWidth="1"/>
    <col min="3085" max="3085" width="11.140625" style="963" customWidth="1"/>
    <col min="3086" max="3086" width="8.85546875" style="963"/>
    <col min="3087" max="3087" width="27.5703125" style="963" customWidth="1"/>
    <col min="3088" max="3328" width="8.85546875" style="963"/>
    <col min="3329" max="3329" width="4.5703125" style="963" customWidth="1"/>
    <col min="3330" max="3330" width="81.28515625" style="963" customWidth="1"/>
    <col min="3331" max="3331" width="38.42578125" style="963" customWidth="1"/>
    <col min="3332" max="3332" width="24.5703125" style="963" customWidth="1"/>
    <col min="3333" max="3333" width="26.42578125" style="963" customWidth="1"/>
    <col min="3334" max="3334" width="22.7109375" style="963" customWidth="1"/>
    <col min="3335" max="3335" width="15.85546875" style="963" customWidth="1"/>
    <col min="3336" max="3336" width="14.85546875" style="963" customWidth="1"/>
    <col min="3337" max="3338" width="22.7109375" style="963" customWidth="1"/>
    <col min="3339" max="3339" width="17.7109375" style="963" customWidth="1"/>
    <col min="3340" max="3340" width="10.85546875" style="963" customWidth="1"/>
    <col min="3341" max="3341" width="11.140625" style="963" customWidth="1"/>
    <col min="3342" max="3342" width="8.85546875" style="963"/>
    <col min="3343" max="3343" width="27.5703125" style="963" customWidth="1"/>
    <col min="3344" max="3584" width="8.85546875" style="963"/>
    <col min="3585" max="3585" width="4.5703125" style="963" customWidth="1"/>
    <col min="3586" max="3586" width="81.28515625" style="963" customWidth="1"/>
    <col min="3587" max="3587" width="38.42578125" style="963" customWidth="1"/>
    <col min="3588" max="3588" width="24.5703125" style="963" customWidth="1"/>
    <col min="3589" max="3589" width="26.42578125" style="963" customWidth="1"/>
    <col min="3590" max="3590" width="22.7109375" style="963" customWidth="1"/>
    <col min="3591" max="3591" width="15.85546875" style="963" customWidth="1"/>
    <col min="3592" max="3592" width="14.85546875" style="963" customWidth="1"/>
    <col min="3593" max="3594" width="22.7109375" style="963" customWidth="1"/>
    <col min="3595" max="3595" width="17.7109375" style="963" customWidth="1"/>
    <col min="3596" max="3596" width="10.85546875" style="963" customWidth="1"/>
    <col min="3597" max="3597" width="11.140625" style="963" customWidth="1"/>
    <col min="3598" max="3598" width="8.85546875" style="963"/>
    <col min="3599" max="3599" width="27.5703125" style="963" customWidth="1"/>
    <col min="3600" max="3840" width="8.85546875" style="963"/>
    <col min="3841" max="3841" width="4.5703125" style="963" customWidth="1"/>
    <col min="3842" max="3842" width="81.28515625" style="963" customWidth="1"/>
    <col min="3843" max="3843" width="38.42578125" style="963" customWidth="1"/>
    <col min="3844" max="3844" width="24.5703125" style="963" customWidth="1"/>
    <col min="3845" max="3845" width="26.42578125" style="963" customWidth="1"/>
    <col min="3846" max="3846" width="22.7109375" style="963" customWidth="1"/>
    <col min="3847" max="3847" width="15.85546875" style="963" customWidth="1"/>
    <col min="3848" max="3848" width="14.85546875" style="963" customWidth="1"/>
    <col min="3849" max="3850" width="22.7109375" style="963" customWidth="1"/>
    <col min="3851" max="3851" width="17.7109375" style="963" customWidth="1"/>
    <col min="3852" max="3852" width="10.85546875" style="963" customWidth="1"/>
    <col min="3853" max="3853" width="11.140625" style="963" customWidth="1"/>
    <col min="3854" max="3854" width="8.85546875" style="963"/>
    <col min="3855" max="3855" width="27.5703125" style="963" customWidth="1"/>
    <col min="3856" max="4096" width="8.85546875" style="963"/>
    <col min="4097" max="4097" width="4.5703125" style="963" customWidth="1"/>
    <col min="4098" max="4098" width="81.28515625" style="963" customWidth="1"/>
    <col min="4099" max="4099" width="38.42578125" style="963" customWidth="1"/>
    <col min="4100" max="4100" width="24.5703125" style="963" customWidth="1"/>
    <col min="4101" max="4101" width="26.42578125" style="963" customWidth="1"/>
    <col min="4102" max="4102" width="22.7109375" style="963" customWidth="1"/>
    <col min="4103" max="4103" width="15.85546875" style="963" customWidth="1"/>
    <col min="4104" max="4104" width="14.85546875" style="963" customWidth="1"/>
    <col min="4105" max="4106" width="22.7109375" style="963" customWidth="1"/>
    <col min="4107" max="4107" width="17.7109375" style="963" customWidth="1"/>
    <col min="4108" max="4108" width="10.85546875" style="963" customWidth="1"/>
    <col min="4109" max="4109" width="11.140625" style="963" customWidth="1"/>
    <col min="4110" max="4110" width="8.85546875" style="963"/>
    <col min="4111" max="4111" width="27.5703125" style="963" customWidth="1"/>
    <col min="4112" max="4352" width="8.85546875" style="963"/>
    <col min="4353" max="4353" width="4.5703125" style="963" customWidth="1"/>
    <col min="4354" max="4354" width="81.28515625" style="963" customWidth="1"/>
    <col min="4355" max="4355" width="38.42578125" style="963" customWidth="1"/>
    <col min="4356" max="4356" width="24.5703125" style="963" customWidth="1"/>
    <col min="4357" max="4357" width="26.42578125" style="963" customWidth="1"/>
    <col min="4358" max="4358" width="22.7109375" style="963" customWidth="1"/>
    <col min="4359" max="4359" width="15.85546875" style="963" customWidth="1"/>
    <col min="4360" max="4360" width="14.85546875" style="963" customWidth="1"/>
    <col min="4361" max="4362" width="22.7109375" style="963" customWidth="1"/>
    <col min="4363" max="4363" width="17.7109375" style="963" customWidth="1"/>
    <col min="4364" max="4364" width="10.85546875" style="963" customWidth="1"/>
    <col min="4365" max="4365" width="11.140625" style="963" customWidth="1"/>
    <col min="4366" max="4366" width="8.85546875" style="963"/>
    <col min="4367" max="4367" width="27.5703125" style="963" customWidth="1"/>
    <col min="4368" max="4608" width="8.85546875" style="963"/>
    <col min="4609" max="4609" width="4.5703125" style="963" customWidth="1"/>
    <col min="4610" max="4610" width="81.28515625" style="963" customWidth="1"/>
    <col min="4611" max="4611" width="38.42578125" style="963" customWidth="1"/>
    <col min="4612" max="4612" width="24.5703125" style="963" customWidth="1"/>
    <col min="4613" max="4613" width="26.42578125" style="963" customWidth="1"/>
    <col min="4614" max="4614" width="22.7109375" style="963" customWidth="1"/>
    <col min="4615" max="4615" width="15.85546875" style="963" customWidth="1"/>
    <col min="4616" max="4616" width="14.85546875" style="963" customWidth="1"/>
    <col min="4617" max="4618" width="22.7109375" style="963" customWidth="1"/>
    <col min="4619" max="4619" width="17.7109375" style="963" customWidth="1"/>
    <col min="4620" max="4620" width="10.85546875" style="963" customWidth="1"/>
    <col min="4621" max="4621" width="11.140625" style="963" customWidth="1"/>
    <col min="4622" max="4622" width="8.85546875" style="963"/>
    <col min="4623" max="4623" width="27.5703125" style="963" customWidth="1"/>
    <col min="4624" max="4864" width="8.85546875" style="963"/>
    <col min="4865" max="4865" width="4.5703125" style="963" customWidth="1"/>
    <col min="4866" max="4866" width="81.28515625" style="963" customWidth="1"/>
    <col min="4867" max="4867" width="38.42578125" style="963" customWidth="1"/>
    <col min="4868" max="4868" width="24.5703125" style="963" customWidth="1"/>
    <col min="4869" max="4869" width="26.42578125" style="963" customWidth="1"/>
    <col min="4870" max="4870" width="22.7109375" style="963" customWidth="1"/>
    <col min="4871" max="4871" width="15.85546875" style="963" customWidth="1"/>
    <col min="4872" max="4872" width="14.85546875" style="963" customWidth="1"/>
    <col min="4873" max="4874" width="22.7109375" style="963" customWidth="1"/>
    <col min="4875" max="4875" width="17.7109375" style="963" customWidth="1"/>
    <col min="4876" max="4876" width="10.85546875" style="963" customWidth="1"/>
    <col min="4877" max="4877" width="11.140625" style="963" customWidth="1"/>
    <col min="4878" max="4878" width="8.85546875" style="963"/>
    <col min="4879" max="4879" width="27.5703125" style="963" customWidth="1"/>
    <col min="4880" max="5120" width="8.85546875" style="963"/>
    <col min="5121" max="5121" width="4.5703125" style="963" customWidth="1"/>
    <col min="5122" max="5122" width="81.28515625" style="963" customWidth="1"/>
    <col min="5123" max="5123" width="38.42578125" style="963" customWidth="1"/>
    <col min="5124" max="5124" width="24.5703125" style="963" customWidth="1"/>
    <col min="5125" max="5125" width="26.42578125" style="963" customWidth="1"/>
    <col min="5126" max="5126" width="22.7109375" style="963" customWidth="1"/>
    <col min="5127" max="5127" width="15.85546875" style="963" customWidth="1"/>
    <col min="5128" max="5128" width="14.85546875" style="963" customWidth="1"/>
    <col min="5129" max="5130" width="22.7109375" style="963" customWidth="1"/>
    <col min="5131" max="5131" width="17.7109375" style="963" customWidth="1"/>
    <col min="5132" max="5132" width="10.85546875" style="963" customWidth="1"/>
    <col min="5133" max="5133" width="11.140625" style="963" customWidth="1"/>
    <col min="5134" max="5134" width="8.85546875" style="963"/>
    <col min="5135" max="5135" width="27.5703125" style="963" customWidth="1"/>
    <col min="5136" max="5376" width="8.85546875" style="963"/>
    <col min="5377" max="5377" width="4.5703125" style="963" customWidth="1"/>
    <col min="5378" max="5378" width="81.28515625" style="963" customWidth="1"/>
    <col min="5379" max="5379" width="38.42578125" style="963" customWidth="1"/>
    <col min="5380" max="5380" width="24.5703125" style="963" customWidth="1"/>
    <col min="5381" max="5381" width="26.42578125" style="963" customWidth="1"/>
    <col min="5382" max="5382" width="22.7109375" style="963" customWidth="1"/>
    <col min="5383" max="5383" width="15.85546875" style="963" customWidth="1"/>
    <col min="5384" max="5384" width="14.85546875" style="963" customWidth="1"/>
    <col min="5385" max="5386" width="22.7109375" style="963" customWidth="1"/>
    <col min="5387" max="5387" width="17.7109375" style="963" customWidth="1"/>
    <col min="5388" max="5388" width="10.85546875" style="963" customWidth="1"/>
    <col min="5389" max="5389" width="11.140625" style="963" customWidth="1"/>
    <col min="5390" max="5390" width="8.85546875" style="963"/>
    <col min="5391" max="5391" width="27.5703125" style="963" customWidth="1"/>
    <col min="5392" max="5632" width="8.85546875" style="963"/>
    <col min="5633" max="5633" width="4.5703125" style="963" customWidth="1"/>
    <col min="5634" max="5634" width="81.28515625" style="963" customWidth="1"/>
    <col min="5635" max="5635" width="38.42578125" style="963" customWidth="1"/>
    <col min="5636" max="5636" width="24.5703125" style="963" customWidth="1"/>
    <col min="5637" max="5637" width="26.42578125" style="963" customWidth="1"/>
    <col min="5638" max="5638" width="22.7109375" style="963" customWidth="1"/>
    <col min="5639" max="5639" width="15.85546875" style="963" customWidth="1"/>
    <col min="5640" max="5640" width="14.85546875" style="963" customWidth="1"/>
    <col min="5641" max="5642" width="22.7109375" style="963" customWidth="1"/>
    <col min="5643" max="5643" width="17.7109375" style="963" customWidth="1"/>
    <col min="5644" max="5644" width="10.85546875" style="963" customWidth="1"/>
    <col min="5645" max="5645" width="11.140625" style="963" customWidth="1"/>
    <col min="5646" max="5646" width="8.85546875" style="963"/>
    <col min="5647" max="5647" width="27.5703125" style="963" customWidth="1"/>
    <col min="5648" max="5888" width="8.85546875" style="963"/>
    <col min="5889" max="5889" width="4.5703125" style="963" customWidth="1"/>
    <col min="5890" max="5890" width="81.28515625" style="963" customWidth="1"/>
    <col min="5891" max="5891" width="38.42578125" style="963" customWidth="1"/>
    <col min="5892" max="5892" width="24.5703125" style="963" customWidth="1"/>
    <col min="5893" max="5893" width="26.42578125" style="963" customWidth="1"/>
    <col min="5894" max="5894" width="22.7109375" style="963" customWidth="1"/>
    <col min="5895" max="5895" width="15.85546875" style="963" customWidth="1"/>
    <col min="5896" max="5896" width="14.85546875" style="963" customWidth="1"/>
    <col min="5897" max="5898" width="22.7109375" style="963" customWidth="1"/>
    <col min="5899" max="5899" width="17.7109375" style="963" customWidth="1"/>
    <col min="5900" max="5900" width="10.85546875" style="963" customWidth="1"/>
    <col min="5901" max="5901" width="11.140625" style="963" customWidth="1"/>
    <col min="5902" max="5902" width="8.85546875" style="963"/>
    <col min="5903" max="5903" width="27.5703125" style="963" customWidth="1"/>
    <col min="5904" max="6144" width="8.85546875" style="963"/>
    <col min="6145" max="6145" width="4.5703125" style="963" customWidth="1"/>
    <col min="6146" max="6146" width="81.28515625" style="963" customWidth="1"/>
    <col min="6147" max="6147" width="38.42578125" style="963" customWidth="1"/>
    <col min="6148" max="6148" width="24.5703125" style="963" customWidth="1"/>
    <col min="6149" max="6149" width="26.42578125" style="963" customWidth="1"/>
    <col min="6150" max="6150" width="22.7109375" style="963" customWidth="1"/>
    <col min="6151" max="6151" width="15.85546875" style="963" customWidth="1"/>
    <col min="6152" max="6152" width="14.85546875" style="963" customWidth="1"/>
    <col min="6153" max="6154" width="22.7109375" style="963" customWidth="1"/>
    <col min="6155" max="6155" width="17.7109375" style="963" customWidth="1"/>
    <col min="6156" max="6156" width="10.85546875" style="963" customWidth="1"/>
    <col min="6157" max="6157" width="11.140625" style="963" customWidth="1"/>
    <col min="6158" max="6158" width="8.85546875" style="963"/>
    <col min="6159" max="6159" width="27.5703125" style="963" customWidth="1"/>
    <col min="6160" max="6400" width="8.85546875" style="963"/>
    <col min="6401" max="6401" width="4.5703125" style="963" customWidth="1"/>
    <col min="6402" max="6402" width="81.28515625" style="963" customWidth="1"/>
    <col min="6403" max="6403" width="38.42578125" style="963" customWidth="1"/>
    <col min="6404" max="6404" width="24.5703125" style="963" customWidth="1"/>
    <col min="6405" max="6405" width="26.42578125" style="963" customWidth="1"/>
    <col min="6406" max="6406" width="22.7109375" style="963" customWidth="1"/>
    <col min="6407" max="6407" width="15.85546875" style="963" customWidth="1"/>
    <col min="6408" max="6408" width="14.85546875" style="963" customWidth="1"/>
    <col min="6409" max="6410" width="22.7109375" style="963" customWidth="1"/>
    <col min="6411" max="6411" width="17.7109375" style="963" customWidth="1"/>
    <col min="6412" max="6412" width="10.85546875" style="963" customWidth="1"/>
    <col min="6413" max="6413" width="11.140625" style="963" customWidth="1"/>
    <col min="6414" max="6414" width="8.85546875" style="963"/>
    <col min="6415" max="6415" width="27.5703125" style="963" customWidth="1"/>
    <col min="6416" max="6656" width="8.85546875" style="963"/>
    <col min="6657" max="6657" width="4.5703125" style="963" customWidth="1"/>
    <col min="6658" max="6658" width="81.28515625" style="963" customWidth="1"/>
    <col min="6659" max="6659" width="38.42578125" style="963" customWidth="1"/>
    <col min="6660" max="6660" width="24.5703125" style="963" customWidth="1"/>
    <col min="6661" max="6661" width="26.42578125" style="963" customWidth="1"/>
    <col min="6662" max="6662" width="22.7109375" style="963" customWidth="1"/>
    <col min="6663" max="6663" width="15.85546875" style="963" customWidth="1"/>
    <col min="6664" max="6664" width="14.85546875" style="963" customWidth="1"/>
    <col min="6665" max="6666" width="22.7109375" style="963" customWidth="1"/>
    <col min="6667" max="6667" width="17.7109375" style="963" customWidth="1"/>
    <col min="6668" max="6668" width="10.85546875" style="963" customWidth="1"/>
    <col min="6669" max="6669" width="11.140625" style="963" customWidth="1"/>
    <col min="6670" max="6670" width="8.85546875" style="963"/>
    <col min="6671" max="6671" width="27.5703125" style="963" customWidth="1"/>
    <col min="6672" max="6912" width="8.85546875" style="963"/>
    <col min="6913" max="6913" width="4.5703125" style="963" customWidth="1"/>
    <col min="6914" max="6914" width="81.28515625" style="963" customWidth="1"/>
    <col min="6915" max="6915" width="38.42578125" style="963" customWidth="1"/>
    <col min="6916" max="6916" width="24.5703125" style="963" customWidth="1"/>
    <col min="6917" max="6917" width="26.42578125" style="963" customWidth="1"/>
    <col min="6918" max="6918" width="22.7109375" style="963" customWidth="1"/>
    <col min="6919" max="6919" width="15.85546875" style="963" customWidth="1"/>
    <col min="6920" max="6920" width="14.85546875" style="963" customWidth="1"/>
    <col min="6921" max="6922" width="22.7109375" style="963" customWidth="1"/>
    <col min="6923" max="6923" width="17.7109375" style="963" customWidth="1"/>
    <col min="6924" max="6924" width="10.85546875" style="963" customWidth="1"/>
    <col min="6925" max="6925" width="11.140625" style="963" customWidth="1"/>
    <col min="6926" max="6926" width="8.85546875" style="963"/>
    <col min="6927" max="6927" width="27.5703125" style="963" customWidth="1"/>
    <col min="6928" max="7168" width="8.85546875" style="963"/>
    <col min="7169" max="7169" width="4.5703125" style="963" customWidth="1"/>
    <col min="7170" max="7170" width="81.28515625" style="963" customWidth="1"/>
    <col min="7171" max="7171" width="38.42578125" style="963" customWidth="1"/>
    <col min="7172" max="7172" width="24.5703125" style="963" customWidth="1"/>
    <col min="7173" max="7173" width="26.42578125" style="963" customWidth="1"/>
    <col min="7174" max="7174" width="22.7109375" style="963" customWidth="1"/>
    <col min="7175" max="7175" width="15.85546875" style="963" customWidth="1"/>
    <col min="7176" max="7176" width="14.85546875" style="963" customWidth="1"/>
    <col min="7177" max="7178" width="22.7109375" style="963" customWidth="1"/>
    <col min="7179" max="7179" width="17.7109375" style="963" customWidth="1"/>
    <col min="7180" max="7180" width="10.85546875" style="963" customWidth="1"/>
    <col min="7181" max="7181" width="11.140625" style="963" customWidth="1"/>
    <col min="7182" max="7182" width="8.85546875" style="963"/>
    <col min="7183" max="7183" width="27.5703125" style="963" customWidth="1"/>
    <col min="7184" max="7424" width="8.85546875" style="963"/>
    <col min="7425" max="7425" width="4.5703125" style="963" customWidth="1"/>
    <col min="7426" max="7426" width="81.28515625" style="963" customWidth="1"/>
    <col min="7427" max="7427" width="38.42578125" style="963" customWidth="1"/>
    <col min="7428" max="7428" width="24.5703125" style="963" customWidth="1"/>
    <col min="7429" max="7429" width="26.42578125" style="963" customWidth="1"/>
    <col min="7430" max="7430" width="22.7109375" style="963" customWidth="1"/>
    <col min="7431" max="7431" width="15.85546875" style="963" customWidth="1"/>
    <col min="7432" max="7432" width="14.85546875" style="963" customWidth="1"/>
    <col min="7433" max="7434" width="22.7109375" style="963" customWidth="1"/>
    <col min="7435" max="7435" width="17.7109375" style="963" customWidth="1"/>
    <col min="7436" max="7436" width="10.85546875" style="963" customWidth="1"/>
    <col min="7437" max="7437" width="11.140625" style="963" customWidth="1"/>
    <col min="7438" max="7438" width="8.85546875" style="963"/>
    <col min="7439" max="7439" width="27.5703125" style="963" customWidth="1"/>
    <col min="7440" max="7680" width="8.85546875" style="963"/>
    <col min="7681" max="7681" width="4.5703125" style="963" customWidth="1"/>
    <col min="7682" max="7682" width="81.28515625" style="963" customWidth="1"/>
    <col min="7683" max="7683" width="38.42578125" style="963" customWidth="1"/>
    <col min="7684" max="7684" width="24.5703125" style="963" customWidth="1"/>
    <col min="7685" max="7685" width="26.42578125" style="963" customWidth="1"/>
    <col min="7686" max="7686" width="22.7109375" style="963" customWidth="1"/>
    <col min="7687" max="7687" width="15.85546875" style="963" customWidth="1"/>
    <col min="7688" max="7688" width="14.85546875" style="963" customWidth="1"/>
    <col min="7689" max="7690" width="22.7109375" style="963" customWidth="1"/>
    <col min="7691" max="7691" width="17.7109375" style="963" customWidth="1"/>
    <col min="7692" max="7692" width="10.85546875" style="963" customWidth="1"/>
    <col min="7693" max="7693" width="11.140625" style="963" customWidth="1"/>
    <col min="7694" max="7694" width="8.85546875" style="963"/>
    <col min="7695" max="7695" width="27.5703125" style="963" customWidth="1"/>
    <col min="7696" max="7936" width="8.85546875" style="963"/>
    <col min="7937" max="7937" width="4.5703125" style="963" customWidth="1"/>
    <col min="7938" max="7938" width="81.28515625" style="963" customWidth="1"/>
    <col min="7939" max="7939" width="38.42578125" style="963" customWidth="1"/>
    <col min="7940" max="7940" width="24.5703125" style="963" customWidth="1"/>
    <col min="7941" max="7941" width="26.42578125" style="963" customWidth="1"/>
    <col min="7942" max="7942" width="22.7109375" style="963" customWidth="1"/>
    <col min="7943" max="7943" width="15.85546875" style="963" customWidth="1"/>
    <col min="7944" max="7944" width="14.85546875" style="963" customWidth="1"/>
    <col min="7945" max="7946" width="22.7109375" style="963" customWidth="1"/>
    <col min="7947" max="7947" width="17.7109375" style="963" customWidth="1"/>
    <col min="7948" max="7948" width="10.85546875" style="963" customWidth="1"/>
    <col min="7949" max="7949" width="11.140625" style="963" customWidth="1"/>
    <col min="7950" max="7950" width="8.85546875" style="963"/>
    <col min="7951" max="7951" width="27.5703125" style="963" customWidth="1"/>
    <col min="7952" max="8192" width="8.85546875" style="963"/>
    <col min="8193" max="8193" width="4.5703125" style="963" customWidth="1"/>
    <col min="8194" max="8194" width="81.28515625" style="963" customWidth="1"/>
    <col min="8195" max="8195" width="38.42578125" style="963" customWidth="1"/>
    <col min="8196" max="8196" width="24.5703125" style="963" customWidth="1"/>
    <col min="8197" max="8197" width="26.42578125" style="963" customWidth="1"/>
    <col min="8198" max="8198" width="22.7109375" style="963" customWidth="1"/>
    <col min="8199" max="8199" width="15.85546875" style="963" customWidth="1"/>
    <col min="8200" max="8200" width="14.85546875" style="963" customWidth="1"/>
    <col min="8201" max="8202" width="22.7109375" style="963" customWidth="1"/>
    <col min="8203" max="8203" width="17.7109375" style="963" customWidth="1"/>
    <col min="8204" max="8204" width="10.85546875" style="963" customWidth="1"/>
    <col min="8205" max="8205" width="11.140625" style="963" customWidth="1"/>
    <col min="8206" max="8206" width="8.85546875" style="963"/>
    <col min="8207" max="8207" width="27.5703125" style="963" customWidth="1"/>
    <col min="8208" max="8448" width="8.85546875" style="963"/>
    <col min="8449" max="8449" width="4.5703125" style="963" customWidth="1"/>
    <col min="8450" max="8450" width="81.28515625" style="963" customWidth="1"/>
    <col min="8451" max="8451" width="38.42578125" style="963" customWidth="1"/>
    <col min="8452" max="8452" width="24.5703125" style="963" customWidth="1"/>
    <col min="8453" max="8453" width="26.42578125" style="963" customWidth="1"/>
    <col min="8454" max="8454" width="22.7109375" style="963" customWidth="1"/>
    <col min="8455" max="8455" width="15.85546875" style="963" customWidth="1"/>
    <col min="8456" max="8456" width="14.85546875" style="963" customWidth="1"/>
    <col min="8457" max="8458" width="22.7109375" style="963" customWidth="1"/>
    <col min="8459" max="8459" width="17.7109375" style="963" customWidth="1"/>
    <col min="8460" max="8460" width="10.85546875" style="963" customWidth="1"/>
    <col min="8461" max="8461" width="11.140625" style="963" customWidth="1"/>
    <col min="8462" max="8462" width="8.85546875" style="963"/>
    <col min="8463" max="8463" width="27.5703125" style="963" customWidth="1"/>
    <col min="8464" max="8704" width="8.85546875" style="963"/>
    <col min="8705" max="8705" width="4.5703125" style="963" customWidth="1"/>
    <col min="8706" max="8706" width="81.28515625" style="963" customWidth="1"/>
    <col min="8707" max="8707" width="38.42578125" style="963" customWidth="1"/>
    <col min="8708" max="8708" width="24.5703125" style="963" customWidth="1"/>
    <col min="8709" max="8709" width="26.42578125" style="963" customWidth="1"/>
    <col min="8710" max="8710" width="22.7109375" style="963" customWidth="1"/>
    <col min="8711" max="8711" width="15.85546875" style="963" customWidth="1"/>
    <col min="8712" max="8712" width="14.85546875" style="963" customWidth="1"/>
    <col min="8713" max="8714" width="22.7109375" style="963" customWidth="1"/>
    <col min="8715" max="8715" width="17.7109375" style="963" customWidth="1"/>
    <col min="8716" max="8716" width="10.85546875" style="963" customWidth="1"/>
    <col min="8717" max="8717" width="11.140625" style="963" customWidth="1"/>
    <col min="8718" max="8718" width="8.85546875" style="963"/>
    <col min="8719" max="8719" width="27.5703125" style="963" customWidth="1"/>
    <col min="8720" max="8960" width="8.85546875" style="963"/>
    <col min="8961" max="8961" width="4.5703125" style="963" customWidth="1"/>
    <col min="8962" max="8962" width="81.28515625" style="963" customWidth="1"/>
    <col min="8963" max="8963" width="38.42578125" style="963" customWidth="1"/>
    <col min="8964" max="8964" width="24.5703125" style="963" customWidth="1"/>
    <col min="8965" max="8965" width="26.42578125" style="963" customWidth="1"/>
    <col min="8966" max="8966" width="22.7109375" style="963" customWidth="1"/>
    <col min="8967" max="8967" width="15.85546875" style="963" customWidth="1"/>
    <col min="8968" max="8968" width="14.85546875" style="963" customWidth="1"/>
    <col min="8969" max="8970" width="22.7109375" style="963" customWidth="1"/>
    <col min="8971" max="8971" width="17.7109375" style="963" customWidth="1"/>
    <col min="8972" max="8972" width="10.85546875" style="963" customWidth="1"/>
    <col min="8973" max="8973" width="11.140625" style="963" customWidth="1"/>
    <col min="8974" max="8974" width="8.85546875" style="963"/>
    <col min="8975" max="8975" width="27.5703125" style="963" customWidth="1"/>
    <col min="8976" max="9216" width="8.85546875" style="963"/>
    <col min="9217" max="9217" width="4.5703125" style="963" customWidth="1"/>
    <col min="9218" max="9218" width="81.28515625" style="963" customWidth="1"/>
    <col min="9219" max="9219" width="38.42578125" style="963" customWidth="1"/>
    <col min="9220" max="9220" width="24.5703125" style="963" customWidth="1"/>
    <col min="9221" max="9221" width="26.42578125" style="963" customWidth="1"/>
    <col min="9222" max="9222" width="22.7109375" style="963" customWidth="1"/>
    <col min="9223" max="9223" width="15.85546875" style="963" customWidth="1"/>
    <col min="9224" max="9224" width="14.85546875" style="963" customWidth="1"/>
    <col min="9225" max="9226" width="22.7109375" style="963" customWidth="1"/>
    <col min="9227" max="9227" width="17.7109375" style="963" customWidth="1"/>
    <col min="9228" max="9228" width="10.85546875" style="963" customWidth="1"/>
    <col min="9229" max="9229" width="11.140625" style="963" customWidth="1"/>
    <col min="9230" max="9230" width="8.85546875" style="963"/>
    <col min="9231" max="9231" width="27.5703125" style="963" customWidth="1"/>
    <col min="9232" max="9472" width="8.85546875" style="963"/>
    <col min="9473" max="9473" width="4.5703125" style="963" customWidth="1"/>
    <col min="9474" max="9474" width="81.28515625" style="963" customWidth="1"/>
    <col min="9475" max="9475" width="38.42578125" style="963" customWidth="1"/>
    <col min="9476" max="9476" width="24.5703125" style="963" customWidth="1"/>
    <col min="9477" max="9477" width="26.42578125" style="963" customWidth="1"/>
    <col min="9478" max="9478" width="22.7109375" style="963" customWidth="1"/>
    <col min="9479" max="9479" width="15.85546875" style="963" customWidth="1"/>
    <col min="9480" max="9480" width="14.85546875" style="963" customWidth="1"/>
    <col min="9481" max="9482" width="22.7109375" style="963" customWidth="1"/>
    <col min="9483" max="9483" width="17.7109375" style="963" customWidth="1"/>
    <col min="9484" max="9484" width="10.85546875" style="963" customWidth="1"/>
    <col min="9485" max="9485" width="11.140625" style="963" customWidth="1"/>
    <col min="9486" max="9486" width="8.85546875" style="963"/>
    <col min="9487" max="9487" width="27.5703125" style="963" customWidth="1"/>
    <col min="9488" max="9728" width="8.85546875" style="963"/>
    <col min="9729" max="9729" width="4.5703125" style="963" customWidth="1"/>
    <col min="9730" max="9730" width="81.28515625" style="963" customWidth="1"/>
    <col min="9731" max="9731" width="38.42578125" style="963" customWidth="1"/>
    <col min="9732" max="9732" width="24.5703125" style="963" customWidth="1"/>
    <col min="9733" max="9733" width="26.42578125" style="963" customWidth="1"/>
    <col min="9734" max="9734" width="22.7109375" style="963" customWidth="1"/>
    <col min="9735" max="9735" width="15.85546875" style="963" customWidth="1"/>
    <col min="9736" max="9736" width="14.85546875" style="963" customWidth="1"/>
    <col min="9737" max="9738" width="22.7109375" style="963" customWidth="1"/>
    <col min="9739" max="9739" width="17.7109375" style="963" customWidth="1"/>
    <col min="9740" max="9740" width="10.85546875" style="963" customWidth="1"/>
    <col min="9741" max="9741" width="11.140625" style="963" customWidth="1"/>
    <col min="9742" max="9742" width="8.85546875" style="963"/>
    <col min="9743" max="9743" width="27.5703125" style="963" customWidth="1"/>
    <col min="9744" max="9984" width="8.85546875" style="963"/>
    <col min="9985" max="9985" width="4.5703125" style="963" customWidth="1"/>
    <col min="9986" max="9986" width="81.28515625" style="963" customWidth="1"/>
    <col min="9987" max="9987" width="38.42578125" style="963" customWidth="1"/>
    <col min="9988" max="9988" width="24.5703125" style="963" customWidth="1"/>
    <col min="9989" max="9989" width="26.42578125" style="963" customWidth="1"/>
    <col min="9990" max="9990" width="22.7109375" style="963" customWidth="1"/>
    <col min="9991" max="9991" width="15.85546875" style="963" customWidth="1"/>
    <col min="9992" max="9992" width="14.85546875" style="963" customWidth="1"/>
    <col min="9993" max="9994" width="22.7109375" style="963" customWidth="1"/>
    <col min="9995" max="9995" width="17.7109375" style="963" customWidth="1"/>
    <col min="9996" max="9996" width="10.85546875" style="963" customWidth="1"/>
    <col min="9997" max="9997" width="11.140625" style="963" customWidth="1"/>
    <col min="9998" max="9998" width="8.85546875" style="963"/>
    <col min="9999" max="9999" width="27.5703125" style="963" customWidth="1"/>
    <col min="10000" max="10240" width="8.85546875" style="963"/>
    <col min="10241" max="10241" width="4.5703125" style="963" customWidth="1"/>
    <col min="10242" max="10242" width="81.28515625" style="963" customWidth="1"/>
    <col min="10243" max="10243" width="38.42578125" style="963" customWidth="1"/>
    <col min="10244" max="10244" width="24.5703125" style="963" customWidth="1"/>
    <col min="10245" max="10245" width="26.42578125" style="963" customWidth="1"/>
    <col min="10246" max="10246" width="22.7109375" style="963" customWidth="1"/>
    <col min="10247" max="10247" width="15.85546875" style="963" customWidth="1"/>
    <col min="10248" max="10248" width="14.85546875" style="963" customWidth="1"/>
    <col min="10249" max="10250" width="22.7109375" style="963" customWidth="1"/>
    <col min="10251" max="10251" width="17.7109375" style="963" customWidth="1"/>
    <col min="10252" max="10252" width="10.85546875" style="963" customWidth="1"/>
    <col min="10253" max="10253" width="11.140625" style="963" customWidth="1"/>
    <col min="10254" max="10254" width="8.85546875" style="963"/>
    <col min="10255" max="10255" width="27.5703125" style="963" customWidth="1"/>
    <col min="10256" max="10496" width="8.85546875" style="963"/>
    <col min="10497" max="10497" width="4.5703125" style="963" customWidth="1"/>
    <col min="10498" max="10498" width="81.28515625" style="963" customWidth="1"/>
    <col min="10499" max="10499" width="38.42578125" style="963" customWidth="1"/>
    <col min="10500" max="10500" width="24.5703125" style="963" customWidth="1"/>
    <col min="10501" max="10501" width="26.42578125" style="963" customWidth="1"/>
    <col min="10502" max="10502" width="22.7109375" style="963" customWidth="1"/>
    <col min="10503" max="10503" width="15.85546875" style="963" customWidth="1"/>
    <col min="10504" max="10504" width="14.85546875" style="963" customWidth="1"/>
    <col min="10505" max="10506" width="22.7109375" style="963" customWidth="1"/>
    <col min="10507" max="10507" width="17.7109375" style="963" customWidth="1"/>
    <col min="10508" max="10508" width="10.85546875" style="963" customWidth="1"/>
    <col min="10509" max="10509" width="11.140625" style="963" customWidth="1"/>
    <col min="10510" max="10510" width="8.85546875" style="963"/>
    <col min="10511" max="10511" width="27.5703125" style="963" customWidth="1"/>
    <col min="10512" max="10752" width="8.85546875" style="963"/>
    <col min="10753" max="10753" width="4.5703125" style="963" customWidth="1"/>
    <col min="10754" max="10754" width="81.28515625" style="963" customWidth="1"/>
    <col min="10755" max="10755" width="38.42578125" style="963" customWidth="1"/>
    <col min="10756" max="10756" width="24.5703125" style="963" customWidth="1"/>
    <col min="10757" max="10757" width="26.42578125" style="963" customWidth="1"/>
    <col min="10758" max="10758" width="22.7109375" style="963" customWidth="1"/>
    <col min="10759" max="10759" width="15.85546875" style="963" customWidth="1"/>
    <col min="10760" max="10760" width="14.85546875" style="963" customWidth="1"/>
    <col min="10761" max="10762" width="22.7109375" style="963" customWidth="1"/>
    <col min="10763" max="10763" width="17.7109375" style="963" customWidth="1"/>
    <col min="10764" max="10764" width="10.85546875" style="963" customWidth="1"/>
    <col min="10765" max="10765" width="11.140625" style="963" customWidth="1"/>
    <col min="10766" max="10766" width="8.85546875" style="963"/>
    <col min="10767" max="10767" width="27.5703125" style="963" customWidth="1"/>
    <col min="10768" max="11008" width="8.85546875" style="963"/>
    <col min="11009" max="11009" width="4.5703125" style="963" customWidth="1"/>
    <col min="11010" max="11010" width="81.28515625" style="963" customWidth="1"/>
    <col min="11011" max="11011" width="38.42578125" style="963" customWidth="1"/>
    <col min="11012" max="11012" width="24.5703125" style="963" customWidth="1"/>
    <col min="11013" max="11013" width="26.42578125" style="963" customWidth="1"/>
    <col min="11014" max="11014" width="22.7109375" style="963" customWidth="1"/>
    <col min="11015" max="11015" width="15.85546875" style="963" customWidth="1"/>
    <col min="11016" max="11016" width="14.85546875" style="963" customWidth="1"/>
    <col min="11017" max="11018" width="22.7109375" style="963" customWidth="1"/>
    <col min="11019" max="11019" width="17.7109375" style="963" customWidth="1"/>
    <col min="11020" max="11020" width="10.85546875" style="963" customWidth="1"/>
    <col min="11021" max="11021" width="11.140625" style="963" customWidth="1"/>
    <col min="11022" max="11022" width="8.85546875" style="963"/>
    <col min="11023" max="11023" width="27.5703125" style="963" customWidth="1"/>
    <col min="11024" max="11264" width="8.85546875" style="963"/>
    <col min="11265" max="11265" width="4.5703125" style="963" customWidth="1"/>
    <col min="11266" max="11266" width="81.28515625" style="963" customWidth="1"/>
    <col min="11267" max="11267" width="38.42578125" style="963" customWidth="1"/>
    <col min="11268" max="11268" width="24.5703125" style="963" customWidth="1"/>
    <col min="11269" max="11269" width="26.42578125" style="963" customWidth="1"/>
    <col min="11270" max="11270" width="22.7109375" style="963" customWidth="1"/>
    <col min="11271" max="11271" width="15.85546875" style="963" customWidth="1"/>
    <col min="11272" max="11272" width="14.85546875" style="963" customWidth="1"/>
    <col min="11273" max="11274" width="22.7109375" style="963" customWidth="1"/>
    <col min="11275" max="11275" width="17.7109375" style="963" customWidth="1"/>
    <col min="11276" max="11276" width="10.85546875" style="963" customWidth="1"/>
    <col min="11277" max="11277" width="11.140625" style="963" customWidth="1"/>
    <col min="11278" max="11278" width="8.85546875" style="963"/>
    <col min="11279" max="11279" width="27.5703125" style="963" customWidth="1"/>
    <col min="11280" max="11520" width="8.85546875" style="963"/>
    <col min="11521" max="11521" width="4.5703125" style="963" customWidth="1"/>
    <col min="11522" max="11522" width="81.28515625" style="963" customWidth="1"/>
    <col min="11523" max="11523" width="38.42578125" style="963" customWidth="1"/>
    <col min="11524" max="11524" width="24.5703125" style="963" customWidth="1"/>
    <col min="11525" max="11525" width="26.42578125" style="963" customWidth="1"/>
    <col min="11526" max="11526" width="22.7109375" style="963" customWidth="1"/>
    <col min="11527" max="11527" width="15.85546875" style="963" customWidth="1"/>
    <col min="11528" max="11528" width="14.85546875" style="963" customWidth="1"/>
    <col min="11529" max="11530" width="22.7109375" style="963" customWidth="1"/>
    <col min="11531" max="11531" width="17.7109375" style="963" customWidth="1"/>
    <col min="11532" max="11532" width="10.85546875" style="963" customWidth="1"/>
    <col min="11533" max="11533" width="11.140625" style="963" customWidth="1"/>
    <col min="11534" max="11534" width="8.85546875" style="963"/>
    <col min="11535" max="11535" width="27.5703125" style="963" customWidth="1"/>
    <col min="11536" max="11776" width="8.85546875" style="963"/>
    <col min="11777" max="11777" width="4.5703125" style="963" customWidth="1"/>
    <col min="11778" max="11778" width="81.28515625" style="963" customWidth="1"/>
    <col min="11779" max="11779" width="38.42578125" style="963" customWidth="1"/>
    <col min="11780" max="11780" width="24.5703125" style="963" customWidth="1"/>
    <col min="11781" max="11781" width="26.42578125" style="963" customWidth="1"/>
    <col min="11782" max="11782" width="22.7109375" style="963" customWidth="1"/>
    <col min="11783" max="11783" width="15.85546875" style="963" customWidth="1"/>
    <col min="11784" max="11784" width="14.85546875" style="963" customWidth="1"/>
    <col min="11785" max="11786" width="22.7109375" style="963" customWidth="1"/>
    <col min="11787" max="11787" width="17.7109375" style="963" customWidth="1"/>
    <col min="11788" max="11788" width="10.85546875" style="963" customWidth="1"/>
    <col min="11789" max="11789" width="11.140625" style="963" customWidth="1"/>
    <col min="11790" max="11790" width="8.85546875" style="963"/>
    <col min="11791" max="11791" width="27.5703125" style="963" customWidth="1"/>
    <col min="11792" max="12032" width="8.85546875" style="963"/>
    <col min="12033" max="12033" width="4.5703125" style="963" customWidth="1"/>
    <col min="12034" max="12034" width="81.28515625" style="963" customWidth="1"/>
    <col min="12035" max="12035" width="38.42578125" style="963" customWidth="1"/>
    <col min="12036" max="12036" width="24.5703125" style="963" customWidth="1"/>
    <col min="12037" max="12037" width="26.42578125" style="963" customWidth="1"/>
    <col min="12038" max="12038" width="22.7109375" style="963" customWidth="1"/>
    <col min="12039" max="12039" width="15.85546875" style="963" customWidth="1"/>
    <col min="12040" max="12040" width="14.85546875" style="963" customWidth="1"/>
    <col min="12041" max="12042" width="22.7109375" style="963" customWidth="1"/>
    <col min="12043" max="12043" width="17.7109375" style="963" customWidth="1"/>
    <col min="12044" max="12044" width="10.85546875" style="963" customWidth="1"/>
    <col min="12045" max="12045" width="11.140625" style="963" customWidth="1"/>
    <col min="12046" max="12046" width="8.85546875" style="963"/>
    <col min="12047" max="12047" width="27.5703125" style="963" customWidth="1"/>
    <col min="12048" max="12288" width="8.85546875" style="963"/>
    <col min="12289" max="12289" width="4.5703125" style="963" customWidth="1"/>
    <col min="12290" max="12290" width="81.28515625" style="963" customWidth="1"/>
    <col min="12291" max="12291" width="38.42578125" style="963" customWidth="1"/>
    <col min="12292" max="12292" width="24.5703125" style="963" customWidth="1"/>
    <col min="12293" max="12293" width="26.42578125" style="963" customWidth="1"/>
    <col min="12294" max="12294" width="22.7109375" style="963" customWidth="1"/>
    <col min="12295" max="12295" width="15.85546875" style="963" customWidth="1"/>
    <col min="12296" max="12296" width="14.85546875" style="963" customWidth="1"/>
    <col min="12297" max="12298" width="22.7109375" style="963" customWidth="1"/>
    <col min="12299" max="12299" width="17.7109375" style="963" customWidth="1"/>
    <col min="12300" max="12300" width="10.85546875" style="963" customWidth="1"/>
    <col min="12301" max="12301" width="11.140625" style="963" customWidth="1"/>
    <col min="12302" max="12302" width="8.85546875" style="963"/>
    <col min="12303" max="12303" width="27.5703125" style="963" customWidth="1"/>
    <col min="12304" max="12544" width="8.85546875" style="963"/>
    <col min="12545" max="12545" width="4.5703125" style="963" customWidth="1"/>
    <col min="12546" max="12546" width="81.28515625" style="963" customWidth="1"/>
    <col min="12547" max="12547" width="38.42578125" style="963" customWidth="1"/>
    <col min="12548" max="12548" width="24.5703125" style="963" customWidth="1"/>
    <col min="12549" max="12549" width="26.42578125" style="963" customWidth="1"/>
    <col min="12550" max="12550" width="22.7109375" style="963" customWidth="1"/>
    <col min="12551" max="12551" width="15.85546875" style="963" customWidth="1"/>
    <col min="12552" max="12552" width="14.85546875" style="963" customWidth="1"/>
    <col min="12553" max="12554" width="22.7109375" style="963" customWidth="1"/>
    <col min="12555" max="12555" width="17.7109375" style="963" customWidth="1"/>
    <col min="12556" max="12556" width="10.85546875" style="963" customWidth="1"/>
    <col min="12557" max="12557" width="11.140625" style="963" customWidth="1"/>
    <col min="12558" max="12558" width="8.85546875" style="963"/>
    <col min="12559" max="12559" width="27.5703125" style="963" customWidth="1"/>
    <col min="12560" max="12800" width="8.85546875" style="963"/>
    <col min="12801" max="12801" width="4.5703125" style="963" customWidth="1"/>
    <col min="12802" max="12802" width="81.28515625" style="963" customWidth="1"/>
    <col min="12803" max="12803" width="38.42578125" style="963" customWidth="1"/>
    <col min="12804" max="12804" width="24.5703125" style="963" customWidth="1"/>
    <col min="12805" max="12805" width="26.42578125" style="963" customWidth="1"/>
    <col min="12806" max="12806" width="22.7109375" style="963" customWidth="1"/>
    <col min="12807" max="12807" width="15.85546875" style="963" customWidth="1"/>
    <col min="12808" max="12808" width="14.85546875" style="963" customWidth="1"/>
    <col min="12809" max="12810" width="22.7109375" style="963" customWidth="1"/>
    <col min="12811" max="12811" width="17.7109375" style="963" customWidth="1"/>
    <col min="12812" max="12812" width="10.85546875" style="963" customWidth="1"/>
    <col min="12813" max="12813" width="11.140625" style="963" customWidth="1"/>
    <col min="12814" max="12814" width="8.85546875" style="963"/>
    <col min="12815" max="12815" width="27.5703125" style="963" customWidth="1"/>
    <col min="12816" max="13056" width="8.85546875" style="963"/>
    <col min="13057" max="13057" width="4.5703125" style="963" customWidth="1"/>
    <col min="13058" max="13058" width="81.28515625" style="963" customWidth="1"/>
    <col min="13059" max="13059" width="38.42578125" style="963" customWidth="1"/>
    <col min="13060" max="13060" width="24.5703125" style="963" customWidth="1"/>
    <col min="13061" max="13061" width="26.42578125" style="963" customWidth="1"/>
    <col min="13062" max="13062" width="22.7109375" style="963" customWidth="1"/>
    <col min="13063" max="13063" width="15.85546875" style="963" customWidth="1"/>
    <col min="13064" max="13064" width="14.85546875" style="963" customWidth="1"/>
    <col min="13065" max="13066" width="22.7109375" style="963" customWidth="1"/>
    <col min="13067" max="13067" width="17.7109375" style="963" customWidth="1"/>
    <col min="13068" max="13068" width="10.85546875" style="963" customWidth="1"/>
    <col min="13069" max="13069" width="11.140625" style="963" customWidth="1"/>
    <col min="13070" max="13070" width="8.85546875" style="963"/>
    <col min="13071" max="13071" width="27.5703125" style="963" customWidth="1"/>
    <col min="13072" max="13312" width="8.85546875" style="963"/>
    <col min="13313" max="13313" width="4.5703125" style="963" customWidth="1"/>
    <col min="13314" max="13314" width="81.28515625" style="963" customWidth="1"/>
    <col min="13315" max="13315" width="38.42578125" style="963" customWidth="1"/>
    <col min="13316" max="13316" width="24.5703125" style="963" customWidth="1"/>
    <col min="13317" max="13317" width="26.42578125" style="963" customWidth="1"/>
    <col min="13318" max="13318" width="22.7109375" style="963" customWidth="1"/>
    <col min="13319" max="13319" width="15.85546875" style="963" customWidth="1"/>
    <col min="13320" max="13320" width="14.85546875" style="963" customWidth="1"/>
    <col min="13321" max="13322" width="22.7109375" style="963" customWidth="1"/>
    <col min="13323" max="13323" width="17.7109375" style="963" customWidth="1"/>
    <col min="13324" max="13324" width="10.85546875" style="963" customWidth="1"/>
    <col min="13325" max="13325" width="11.140625" style="963" customWidth="1"/>
    <col min="13326" max="13326" width="8.85546875" style="963"/>
    <col min="13327" max="13327" width="27.5703125" style="963" customWidth="1"/>
    <col min="13328" max="13568" width="8.85546875" style="963"/>
    <col min="13569" max="13569" width="4.5703125" style="963" customWidth="1"/>
    <col min="13570" max="13570" width="81.28515625" style="963" customWidth="1"/>
    <col min="13571" max="13571" width="38.42578125" style="963" customWidth="1"/>
    <col min="13572" max="13572" width="24.5703125" style="963" customWidth="1"/>
    <col min="13573" max="13573" width="26.42578125" style="963" customWidth="1"/>
    <col min="13574" max="13574" width="22.7109375" style="963" customWidth="1"/>
    <col min="13575" max="13575" width="15.85546875" style="963" customWidth="1"/>
    <col min="13576" max="13576" width="14.85546875" style="963" customWidth="1"/>
    <col min="13577" max="13578" width="22.7109375" style="963" customWidth="1"/>
    <col min="13579" max="13579" width="17.7109375" style="963" customWidth="1"/>
    <col min="13580" max="13580" width="10.85546875" style="963" customWidth="1"/>
    <col min="13581" max="13581" width="11.140625" style="963" customWidth="1"/>
    <col min="13582" max="13582" width="8.85546875" style="963"/>
    <col min="13583" max="13583" width="27.5703125" style="963" customWidth="1"/>
    <col min="13584" max="13824" width="8.85546875" style="963"/>
    <col min="13825" max="13825" width="4.5703125" style="963" customWidth="1"/>
    <col min="13826" max="13826" width="81.28515625" style="963" customWidth="1"/>
    <col min="13827" max="13827" width="38.42578125" style="963" customWidth="1"/>
    <col min="13828" max="13828" width="24.5703125" style="963" customWidth="1"/>
    <col min="13829" max="13829" width="26.42578125" style="963" customWidth="1"/>
    <col min="13830" max="13830" width="22.7109375" style="963" customWidth="1"/>
    <col min="13831" max="13831" width="15.85546875" style="963" customWidth="1"/>
    <col min="13832" max="13832" width="14.85546875" style="963" customWidth="1"/>
    <col min="13833" max="13834" width="22.7109375" style="963" customWidth="1"/>
    <col min="13835" max="13835" width="17.7109375" style="963" customWidth="1"/>
    <col min="13836" max="13836" width="10.85546875" style="963" customWidth="1"/>
    <col min="13837" max="13837" width="11.140625" style="963" customWidth="1"/>
    <col min="13838" max="13838" width="8.85546875" style="963"/>
    <col min="13839" max="13839" width="27.5703125" style="963" customWidth="1"/>
    <col min="13840" max="14080" width="8.85546875" style="963"/>
    <col min="14081" max="14081" width="4.5703125" style="963" customWidth="1"/>
    <col min="14082" max="14082" width="81.28515625" style="963" customWidth="1"/>
    <col min="14083" max="14083" width="38.42578125" style="963" customWidth="1"/>
    <col min="14084" max="14084" width="24.5703125" style="963" customWidth="1"/>
    <col min="14085" max="14085" width="26.42578125" style="963" customWidth="1"/>
    <col min="14086" max="14086" width="22.7109375" style="963" customWidth="1"/>
    <col min="14087" max="14087" width="15.85546875" style="963" customWidth="1"/>
    <col min="14088" max="14088" width="14.85546875" style="963" customWidth="1"/>
    <col min="14089" max="14090" width="22.7109375" style="963" customWidth="1"/>
    <col min="14091" max="14091" width="17.7109375" style="963" customWidth="1"/>
    <col min="14092" max="14092" width="10.85546875" style="963" customWidth="1"/>
    <col min="14093" max="14093" width="11.140625" style="963" customWidth="1"/>
    <col min="14094" max="14094" width="8.85546875" style="963"/>
    <col min="14095" max="14095" width="27.5703125" style="963" customWidth="1"/>
    <col min="14096" max="14336" width="8.85546875" style="963"/>
    <col min="14337" max="14337" width="4.5703125" style="963" customWidth="1"/>
    <col min="14338" max="14338" width="81.28515625" style="963" customWidth="1"/>
    <col min="14339" max="14339" width="38.42578125" style="963" customWidth="1"/>
    <col min="14340" max="14340" width="24.5703125" style="963" customWidth="1"/>
    <col min="14341" max="14341" width="26.42578125" style="963" customWidth="1"/>
    <col min="14342" max="14342" width="22.7109375" style="963" customWidth="1"/>
    <col min="14343" max="14343" width="15.85546875" style="963" customWidth="1"/>
    <col min="14344" max="14344" width="14.85546875" style="963" customWidth="1"/>
    <col min="14345" max="14346" width="22.7109375" style="963" customWidth="1"/>
    <col min="14347" max="14347" width="17.7109375" style="963" customWidth="1"/>
    <col min="14348" max="14348" width="10.85546875" style="963" customWidth="1"/>
    <col min="14349" max="14349" width="11.140625" style="963" customWidth="1"/>
    <col min="14350" max="14350" width="8.85546875" style="963"/>
    <col min="14351" max="14351" width="27.5703125" style="963" customWidth="1"/>
    <col min="14352" max="14592" width="8.85546875" style="963"/>
    <col min="14593" max="14593" width="4.5703125" style="963" customWidth="1"/>
    <col min="14594" max="14594" width="81.28515625" style="963" customWidth="1"/>
    <col min="14595" max="14595" width="38.42578125" style="963" customWidth="1"/>
    <col min="14596" max="14596" width="24.5703125" style="963" customWidth="1"/>
    <col min="14597" max="14597" width="26.42578125" style="963" customWidth="1"/>
    <col min="14598" max="14598" width="22.7109375" style="963" customWidth="1"/>
    <col min="14599" max="14599" width="15.85546875" style="963" customWidth="1"/>
    <col min="14600" max="14600" width="14.85546875" style="963" customWidth="1"/>
    <col min="14601" max="14602" width="22.7109375" style="963" customWidth="1"/>
    <col min="14603" max="14603" width="17.7109375" style="963" customWidth="1"/>
    <col min="14604" max="14604" width="10.85546875" style="963" customWidth="1"/>
    <col min="14605" max="14605" width="11.140625" style="963" customWidth="1"/>
    <col min="14606" max="14606" width="8.85546875" style="963"/>
    <col min="14607" max="14607" width="27.5703125" style="963" customWidth="1"/>
    <col min="14608" max="14848" width="8.85546875" style="963"/>
    <col min="14849" max="14849" width="4.5703125" style="963" customWidth="1"/>
    <col min="14850" max="14850" width="81.28515625" style="963" customWidth="1"/>
    <col min="14851" max="14851" width="38.42578125" style="963" customWidth="1"/>
    <col min="14852" max="14852" width="24.5703125" style="963" customWidth="1"/>
    <col min="14853" max="14853" width="26.42578125" style="963" customWidth="1"/>
    <col min="14854" max="14854" width="22.7109375" style="963" customWidth="1"/>
    <col min="14855" max="14855" width="15.85546875" style="963" customWidth="1"/>
    <col min="14856" max="14856" width="14.85546875" style="963" customWidth="1"/>
    <col min="14857" max="14858" width="22.7109375" style="963" customWidth="1"/>
    <col min="14859" max="14859" width="17.7109375" style="963" customWidth="1"/>
    <col min="14860" max="14860" width="10.85546875" style="963" customWidth="1"/>
    <col min="14861" max="14861" width="11.140625" style="963" customWidth="1"/>
    <col min="14862" max="14862" width="8.85546875" style="963"/>
    <col min="14863" max="14863" width="27.5703125" style="963" customWidth="1"/>
    <col min="14864" max="15104" width="8.85546875" style="963"/>
    <col min="15105" max="15105" width="4.5703125" style="963" customWidth="1"/>
    <col min="15106" max="15106" width="81.28515625" style="963" customWidth="1"/>
    <col min="15107" max="15107" width="38.42578125" style="963" customWidth="1"/>
    <col min="15108" max="15108" width="24.5703125" style="963" customWidth="1"/>
    <col min="15109" max="15109" width="26.42578125" style="963" customWidth="1"/>
    <col min="15110" max="15110" width="22.7109375" style="963" customWidth="1"/>
    <col min="15111" max="15111" width="15.85546875" style="963" customWidth="1"/>
    <col min="15112" max="15112" width="14.85546875" style="963" customWidth="1"/>
    <col min="15113" max="15114" width="22.7109375" style="963" customWidth="1"/>
    <col min="15115" max="15115" width="17.7109375" style="963" customWidth="1"/>
    <col min="15116" max="15116" width="10.85546875" style="963" customWidth="1"/>
    <col min="15117" max="15117" width="11.140625" style="963" customWidth="1"/>
    <col min="15118" max="15118" width="8.85546875" style="963"/>
    <col min="15119" max="15119" width="27.5703125" style="963" customWidth="1"/>
    <col min="15120" max="15360" width="8.85546875" style="963"/>
    <col min="15361" max="15361" width="4.5703125" style="963" customWidth="1"/>
    <col min="15362" max="15362" width="81.28515625" style="963" customWidth="1"/>
    <col min="15363" max="15363" width="38.42578125" style="963" customWidth="1"/>
    <col min="15364" max="15364" width="24.5703125" style="963" customWidth="1"/>
    <col min="15365" max="15365" width="26.42578125" style="963" customWidth="1"/>
    <col min="15366" max="15366" width="22.7109375" style="963" customWidth="1"/>
    <col min="15367" max="15367" width="15.85546875" style="963" customWidth="1"/>
    <col min="15368" max="15368" width="14.85546875" style="963" customWidth="1"/>
    <col min="15369" max="15370" width="22.7109375" style="963" customWidth="1"/>
    <col min="15371" max="15371" width="17.7109375" style="963" customWidth="1"/>
    <col min="15372" max="15372" width="10.85546875" style="963" customWidth="1"/>
    <col min="15373" max="15373" width="11.140625" style="963" customWidth="1"/>
    <col min="15374" max="15374" width="8.85546875" style="963"/>
    <col min="15375" max="15375" width="27.5703125" style="963" customWidth="1"/>
    <col min="15376" max="15616" width="8.85546875" style="963"/>
    <col min="15617" max="15617" width="4.5703125" style="963" customWidth="1"/>
    <col min="15618" max="15618" width="81.28515625" style="963" customWidth="1"/>
    <col min="15619" max="15619" width="38.42578125" style="963" customWidth="1"/>
    <col min="15620" max="15620" width="24.5703125" style="963" customWidth="1"/>
    <col min="15621" max="15621" width="26.42578125" style="963" customWidth="1"/>
    <col min="15622" max="15622" width="22.7109375" style="963" customWidth="1"/>
    <col min="15623" max="15623" width="15.85546875" style="963" customWidth="1"/>
    <col min="15624" max="15624" width="14.85546875" style="963" customWidth="1"/>
    <col min="15625" max="15626" width="22.7109375" style="963" customWidth="1"/>
    <col min="15627" max="15627" width="17.7109375" style="963" customWidth="1"/>
    <col min="15628" max="15628" width="10.85546875" style="963" customWidth="1"/>
    <col min="15629" max="15629" width="11.140625" style="963" customWidth="1"/>
    <col min="15630" max="15630" width="8.85546875" style="963"/>
    <col min="15631" max="15631" width="27.5703125" style="963" customWidth="1"/>
    <col min="15632" max="15872" width="8.85546875" style="963"/>
    <col min="15873" max="15873" width="4.5703125" style="963" customWidth="1"/>
    <col min="15874" max="15874" width="81.28515625" style="963" customWidth="1"/>
    <col min="15875" max="15875" width="38.42578125" style="963" customWidth="1"/>
    <col min="15876" max="15876" width="24.5703125" style="963" customWidth="1"/>
    <col min="15877" max="15877" width="26.42578125" style="963" customWidth="1"/>
    <col min="15878" max="15878" width="22.7109375" style="963" customWidth="1"/>
    <col min="15879" max="15879" width="15.85546875" style="963" customWidth="1"/>
    <col min="15880" max="15880" width="14.85546875" style="963" customWidth="1"/>
    <col min="15881" max="15882" width="22.7109375" style="963" customWidth="1"/>
    <col min="15883" max="15883" width="17.7109375" style="963" customWidth="1"/>
    <col min="15884" max="15884" width="10.85546875" style="963" customWidth="1"/>
    <col min="15885" max="15885" width="11.140625" style="963" customWidth="1"/>
    <col min="15886" max="15886" width="8.85546875" style="963"/>
    <col min="15887" max="15887" width="27.5703125" style="963" customWidth="1"/>
    <col min="15888" max="16128" width="8.85546875" style="963"/>
    <col min="16129" max="16129" width="4.5703125" style="963" customWidth="1"/>
    <col min="16130" max="16130" width="81.28515625" style="963" customWidth="1"/>
    <col min="16131" max="16131" width="38.42578125" style="963" customWidth="1"/>
    <col min="16132" max="16132" width="24.5703125" style="963" customWidth="1"/>
    <col min="16133" max="16133" width="26.42578125" style="963" customWidth="1"/>
    <col min="16134" max="16134" width="22.7109375" style="963" customWidth="1"/>
    <col min="16135" max="16135" width="15.85546875" style="963" customWidth="1"/>
    <col min="16136" max="16136" width="14.85546875" style="963" customWidth="1"/>
    <col min="16137" max="16138" width="22.7109375" style="963" customWidth="1"/>
    <col min="16139" max="16139" width="17.7109375" style="963" customWidth="1"/>
    <col min="16140" max="16140" width="10.85546875" style="963" customWidth="1"/>
    <col min="16141" max="16141" width="11.140625" style="963" customWidth="1"/>
    <col min="16142" max="16142" width="8.85546875" style="963"/>
    <col min="16143" max="16143" width="27.5703125" style="963" customWidth="1"/>
    <col min="16144" max="16384" width="8.85546875" style="963"/>
  </cols>
  <sheetData>
    <row r="1" spans="1:15" s="3" customFormat="1" ht="21.75" customHeight="1" x14ac:dyDescent="0.25">
      <c r="A1" s="4921"/>
      <c r="B1" s="5120" t="s">
        <v>3571</v>
      </c>
      <c r="C1" s="5120"/>
      <c r="D1" s="5120"/>
      <c r="E1" s="5120"/>
      <c r="F1" s="5120"/>
      <c r="G1" s="5120"/>
      <c r="H1" s="5120"/>
      <c r="I1" s="5120"/>
      <c r="J1" s="5120"/>
      <c r="K1" s="5120"/>
      <c r="L1" s="5120"/>
      <c r="M1" s="5120"/>
    </row>
    <row r="2" spans="1:15" s="3" customFormat="1" ht="21.75" customHeight="1" x14ac:dyDescent="0.25">
      <c r="A2" s="4922"/>
      <c r="B2" s="5120" t="s">
        <v>3572</v>
      </c>
      <c r="C2" s="5120"/>
      <c r="D2" s="5120"/>
      <c r="E2" s="5120"/>
      <c r="F2" s="5120"/>
      <c r="G2" s="5120"/>
      <c r="H2" s="5120"/>
      <c r="I2" s="5120"/>
      <c r="J2" s="5120"/>
      <c r="K2" s="5120"/>
      <c r="L2" s="5120"/>
      <c r="M2" s="5120"/>
    </row>
    <row r="3" spans="1:15" s="3" customFormat="1" ht="21.75" customHeight="1" x14ac:dyDescent="0.35">
      <c r="A3" s="4923"/>
      <c r="B3" s="5121" t="s">
        <v>7960</v>
      </c>
      <c r="C3" s="5121"/>
      <c r="D3" s="5121"/>
      <c r="E3" s="5121"/>
      <c r="F3" s="5121"/>
      <c r="G3" s="5121"/>
      <c r="H3" s="5121"/>
      <c r="I3" s="5121"/>
      <c r="J3" s="5121"/>
      <c r="K3" s="5121"/>
      <c r="L3" s="5121"/>
      <c r="M3" s="5121"/>
    </row>
    <row r="4" spans="1:15" s="3" customFormat="1" ht="21.75" customHeight="1" x14ac:dyDescent="0.3">
      <c r="A4" s="4923"/>
      <c r="B4" s="4924"/>
      <c r="C4" s="4925"/>
      <c r="D4" s="4926"/>
      <c r="E4" s="4923"/>
      <c r="F4" s="4923"/>
      <c r="G4" s="4921"/>
      <c r="H4" s="4921"/>
      <c r="I4" s="4923"/>
      <c r="J4" s="4923"/>
      <c r="K4" s="4923"/>
      <c r="L4" s="4923"/>
      <c r="M4" s="4923"/>
    </row>
    <row r="5" spans="1:15" ht="20.25" customHeight="1" x14ac:dyDescent="0.3">
      <c r="A5" s="4927"/>
      <c r="B5" s="4935" t="s">
        <v>7839</v>
      </c>
      <c r="C5" s="4928"/>
      <c r="D5" s="4928"/>
      <c r="E5" s="4556"/>
      <c r="F5" s="4929"/>
      <c r="G5" s="4930"/>
      <c r="H5" s="4931"/>
      <c r="I5" s="4556"/>
      <c r="J5" s="4556"/>
      <c r="K5" s="4556"/>
      <c r="L5" s="4556"/>
      <c r="M5" s="4556"/>
    </row>
    <row r="6" spans="1:15" ht="20.25" customHeight="1" x14ac:dyDescent="0.35">
      <c r="A6" s="4932"/>
      <c r="B6" s="4936" t="s">
        <v>4177</v>
      </c>
      <c r="C6" s="4928"/>
      <c r="D6" s="4928"/>
      <c r="E6" s="4556"/>
      <c r="F6" s="4556"/>
      <c r="G6" s="4930"/>
      <c r="H6" s="4933"/>
      <c r="I6" s="4556"/>
      <c r="J6" s="4556"/>
      <c r="K6" s="5122" t="s">
        <v>3576</v>
      </c>
      <c r="L6" s="5122"/>
      <c r="M6" s="5122"/>
    </row>
    <row r="7" spans="1:15" ht="14.1" customHeight="1" thickBot="1" x14ac:dyDescent="0.3">
      <c r="A7" s="4932"/>
      <c r="B7" s="4934"/>
      <c r="C7" s="4928"/>
      <c r="D7" s="4928"/>
      <c r="E7" s="4556"/>
      <c r="F7" s="4556"/>
      <c r="G7" s="4930"/>
      <c r="H7" s="4933"/>
      <c r="I7" s="4556"/>
      <c r="J7" s="4556"/>
      <c r="K7" s="4556"/>
      <c r="L7" s="4556"/>
      <c r="M7" s="4556"/>
    </row>
    <row r="8" spans="1:15" ht="26.25" customHeight="1" thickTop="1" thickBot="1" x14ac:dyDescent="0.3">
      <c r="A8" s="967"/>
      <c r="B8" s="969" t="s">
        <v>7</v>
      </c>
      <c r="C8" s="5115" t="s">
        <v>8</v>
      </c>
      <c r="D8" s="5116"/>
      <c r="E8" s="5117" t="s">
        <v>9</v>
      </c>
      <c r="F8" s="5118"/>
      <c r="G8" s="5118"/>
      <c r="H8" s="5119"/>
      <c r="I8" s="5117" t="s">
        <v>9</v>
      </c>
      <c r="J8" s="5118"/>
      <c r="K8" s="5118"/>
      <c r="L8" s="5119"/>
      <c r="M8" s="4756" t="s">
        <v>11</v>
      </c>
    </row>
    <row r="9" spans="1:15" s="4496" customFormat="1" ht="81.75" customHeight="1" thickBot="1" x14ac:dyDescent="0.3">
      <c r="A9" s="968"/>
      <c r="B9" s="965"/>
      <c r="C9" s="706" t="s">
        <v>12</v>
      </c>
      <c r="D9" s="707" t="s">
        <v>3068</v>
      </c>
      <c r="E9" s="706" t="s">
        <v>12</v>
      </c>
      <c r="F9" s="706" t="s">
        <v>14</v>
      </c>
      <c r="G9" s="708" t="s">
        <v>15</v>
      </c>
      <c r="H9" s="708" t="s">
        <v>3577</v>
      </c>
      <c r="I9" s="707" t="s">
        <v>12</v>
      </c>
      <c r="J9" s="707" t="s">
        <v>17</v>
      </c>
      <c r="K9" s="707" t="s">
        <v>15</v>
      </c>
      <c r="L9" s="707" t="s">
        <v>3578</v>
      </c>
      <c r="M9" s="4757"/>
    </row>
    <row r="10" spans="1:15" ht="21" customHeight="1" thickTop="1" thickBot="1" x14ac:dyDescent="0.3">
      <c r="A10" s="709"/>
      <c r="B10" s="710" t="s">
        <v>20</v>
      </c>
      <c r="C10" s="711" t="s">
        <v>21</v>
      </c>
      <c r="D10" s="711" t="s">
        <v>22</v>
      </c>
      <c r="E10" s="711" t="s">
        <v>23</v>
      </c>
      <c r="F10" s="711" t="s">
        <v>24</v>
      </c>
      <c r="G10" s="712" t="s">
        <v>25</v>
      </c>
      <c r="H10" s="712" t="s">
        <v>26</v>
      </c>
      <c r="I10" s="711" t="s">
        <v>27</v>
      </c>
      <c r="J10" s="711" t="s">
        <v>28</v>
      </c>
      <c r="K10" s="467" t="s">
        <v>29</v>
      </c>
      <c r="L10" s="711" t="s">
        <v>30</v>
      </c>
      <c r="M10" s="467" t="s">
        <v>31</v>
      </c>
    </row>
    <row r="11" spans="1:15" ht="12" customHeight="1" thickTop="1" x14ac:dyDescent="0.25">
      <c r="A11" s="713"/>
      <c r="B11" s="714"/>
      <c r="C11" s="1170"/>
      <c r="D11" s="1170"/>
      <c r="E11" s="715"/>
      <c r="F11" s="715"/>
      <c r="G11" s="716"/>
      <c r="H11" s="717"/>
      <c r="I11" s="715"/>
      <c r="J11" s="715"/>
      <c r="K11" s="715"/>
      <c r="L11" s="715"/>
      <c r="M11" s="468"/>
    </row>
    <row r="12" spans="1:15" s="470" customFormat="1" ht="23.25" customHeight="1" x14ac:dyDescent="0.25">
      <c r="A12" s="602"/>
      <c r="B12" s="583" t="s">
        <v>33</v>
      </c>
      <c r="C12" s="718">
        <f>SUM(C13,C294)</f>
        <v>1826206200000</v>
      </c>
      <c r="D12" s="719">
        <f>C12/1826206200000*100</f>
        <v>100</v>
      </c>
      <c r="E12" s="718"/>
      <c r="F12" s="718"/>
      <c r="G12" s="720"/>
      <c r="H12" s="718"/>
      <c r="I12" s="718"/>
      <c r="J12" s="718"/>
      <c r="K12" s="720"/>
      <c r="L12" s="718"/>
      <c r="M12" s="469"/>
    </row>
    <row r="13" spans="1:15" s="470" customFormat="1" ht="26.25" customHeight="1" x14ac:dyDescent="0.25">
      <c r="A13" s="1199" t="s">
        <v>34</v>
      </c>
      <c r="B13" s="721" t="s">
        <v>3579</v>
      </c>
      <c r="C13" s="722">
        <f>SUM(C14,C17,C82,C93,C108,C120,C133,C147,C151,C156,C228,C287,C290)</f>
        <v>1697206200000</v>
      </c>
      <c r="D13" s="722">
        <f>C13/C12*100</f>
        <v>92.936175553450653</v>
      </c>
      <c r="E13" s="722"/>
      <c r="F13" s="722"/>
      <c r="G13" s="592"/>
      <c r="H13" s="592"/>
      <c r="I13" s="722"/>
      <c r="J13" s="588"/>
      <c r="K13" s="592"/>
      <c r="L13" s="592"/>
      <c r="M13" s="471"/>
      <c r="O13" s="472"/>
    </row>
    <row r="14" spans="1:15" s="470" customFormat="1" ht="30" hidden="1" customHeight="1" x14ac:dyDescent="0.25">
      <c r="A14" s="723"/>
      <c r="B14" s="1163" t="s">
        <v>4445</v>
      </c>
      <c r="C14" s="1164">
        <f>C15</f>
        <v>1500000000</v>
      </c>
      <c r="D14" s="773">
        <f>C14/C12*100</f>
        <v>8.2137493564527375E-2</v>
      </c>
      <c r="E14" s="1164"/>
      <c r="F14" s="1164"/>
      <c r="G14" s="720"/>
      <c r="H14" s="720"/>
      <c r="I14" s="1164"/>
      <c r="J14" s="1165"/>
      <c r="K14" s="720"/>
      <c r="L14" s="720"/>
      <c r="M14" s="473"/>
      <c r="O14" s="472"/>
    </row>
    <row r="15" spans="1:15" s="470" customFormat="1" ht="21" hidden="1" customHeight="1" x14ac:dyDescent="0.25">
      <c r="A15" s="723"/>
      <c r="B15" s="524" t="s">
        <v>4446</v>
      </c>
      <c r="C15" s="726">
        <v>1500000000</v>
      </c>
      <c r="D15" s="726">
        <f>C15/C12*100</f>
        <v>8.2137493564527375E-2</v>
      </c>
      <c r="E15" s="737"/>
      <c r="F15" s="737"/>
      <c r="G15" s="603"/>
      <c r="H15" s="603"/>
      <c r="I15" s="737"/>
      <c r="J15" s="587"/>
      <c r="K15" s="603"/>
      <c r="L15" s="603"/>
      <c r="M15" s="473"/>
      <c r="O15" s="472"/>
    </row>
    <row r="16" spans="1:15" s="470" customFormat="1" ht="13.5" hidden="1" customHeight="1" x14ac:dyDescent="0.25">
      <c r="A16" s="723"/>
      <c r="B16" s="605"/>
      <c r="C16" s="737"/>
      <c r="D16" s="737"/>
      <c r="E16" s="737"/>
      <c r="F16" s="737"/>
      <c r="G16" s="603"/>
      <c r="H16" s="603"/>
      <c r="I16" s="737"/>
      <c r="J16" s="587"/>
      <c r="K16" s="603"/>
      <c r="L16" s="603"/>
      <c r="M16" s="473"/>
      <c r="O16" s="472"/>
    </row>
    <row r="17" spans="1:13" s="470" customFormat="1" ht="19.5" hidden="1" customHeight="1" x14ac:dyDescent="0.25">
      <c r="A17" s="723"/>
      <c r="B17" s="1171" t="s">
        <v>4447</v>
      </c>
      <c r="C17" s="1166">
        <f>SUM(C18:C80)</f>
        <v>558113250000</v>
      </c>
      <c r="D17" s="773">
        <f>C17/C12*100</f>
        <v>30.561348986768305</v>
      </c>
      <c r="E17" s="780"/>
      <c r="F17" s="780"/>
      <c r="G17" s="589"/>
      <c r="H17" s="589"/>
      <c r="I17" s="1166"/>
      <c r="J17" s="595"/>
      <c r="K17" s="589"/>
      <c r="L17" s="589"/>
      <c r="M17" s="473"/>
    </row>
    <row r="18" spans="1:13" s="475" customFormat="1" ht="17.25" hidden="1" customHeight="1" x14ac:dyDescent="0.2">
      <c r="A18" s="725"/>
      <c r="B18" s="1172" t="s">
        <v>4448</v>
      </c>
      <c r="C18" s="1168">
        <v>10000000000</v>
      </c>
      <c r="D18" s="726">
        <f>C18/C12*100</f>
        <v>0.5475832904301825</v>
      </c>
      <c r="E18" s="726"/>
      <c r="F18" s="726"/>
      <c r="G18" s="590"/>
      <c r="H18" s="726"/>
      <c r="I18" s="726"/>
      <c r="J18" s="727"/>
      <c r="K18" s="590"/>
      <c r="L18" s="728"/>
      <c r="M18" s="474"/>
    </row>
    <row r="19" spans="1:13" s="475" customFormat="1" ht="18" hidden="1" customHeight="1" x14ac:dyDescent="0.2">
      <c r="A19" s="725"/>
      <c r="B19" s="1172" t="s">
        <v>4449</v>
      </c>
      <c r="C19" s="1168">
        <v>30000000000</v>
      </c>
      <c r="D19" s="726">
        <f>C19/C12*100</f>
        <v>1.6427498712905477</v>
      </c>
      <c r="E19" s="729"/>
      <c r="F19" s="729"/>
      <c r="G19" s="590"/>
      <c r="H19" s="729"/>
      <c r="I19" s="729"/>
      <c r="J19" s="594"/>
      <c r="K19" s="590"/>
      <c r="L19" s="730"/>
      <c r="M19" s="474"/>
    </row>
    <row r="20" spans="1:13" s="475" customFormat="1" ht="15.75" hidden="1" customHeight="1" x14ac:dyDescent="0.2">
      <c r="A20" s="725"/>
      <c r="B20" s="1172" t="s">
        <v>4106</v>
      </c>
      <c r="C20" s="1168">
        <v>10000000000</v>
      </c>
      <c r="D20" s="726">
        <f>C20/C12*100</f>
        <v>0.5475832904301825</v>
      </c>
      <c r="E20" s="729"/>
      <c r="F20" s="729"/>
      <c r="G20" s="590"/>
      <c r="H20" s="729"/>
      <c r="I20" s="729"/>
      <c r="J20" s="594"/>
      <c r="K20" s="590"/>
      <c r="L20" s="730"/>
      <c r="M20" s="474"/>
    </row>
    <row r="21" spans="1:13" s="475" customFormat="1" ht="17.25" hidden="1" customHeight="1" x14ac:dyDescent="0.2">
      <c r="A21" s="725"/>
      <c r="B21" s="1172" t="s">
        <v>4450</v>
      </c>
      <c r="C21" s="1168">
        <v>30000000000</v>
      </c>
      <c r="D21" s="726">
        <f>C21/C12*100</f>
        <v>1.6427498712905477</v>
      </c>
      <c r="E21" s="729"/>
      <c r="F21" s="729"/>
      <c r="G21" s="590"/>
      <c r="H21" s="729"/>
      <c r="I21" s="729"/>
      <c r="J21" s="594"/>
      <c r="K21" s="590"/>
      <c r="L21" s="730"/>
      <c r="M21" s="474"/>
    </row>
    <row r="22" spans="1:13" s="475" customFormat="1" ht="21.75" hidden="1" customHeight="1" x14ac:dyDescent="0.2">
      <c r="A22" s="725"/>
      <c r="B22" s="1172" t="s">
        <v>4451</v>
      </c>
      <c r="C22" s="1168">
        <v>30000000000</v>
      </c>
      <c r="D22" s="726">
        <f>C22/C12*100</f>
        <v>1.6427498712905477</v>
      </c>
      <c r="E22" s="729"/>
      <c r="F22" s="729"/>
      <c r="G22" s="590"/>
      <c r="H22" s="590"/>
      <c r="I22" s="729"/>
      <c r="J22" s="594"/>
      <c r="K22" s="590"/>
      <c r="L22" s="730"/>
      <c r="M22" s="474"/>
    </row>
    <row r="23" spans="1:13" s="475" customFormat="1" ht="15.75" hidden="1" customHeight="1" x14ac:dyDescent="0.2">
      <c r="A23" s="725"/>
      <c r="B23" s="1172" t="s">
        <v>3620</v>
      </c>
      <c r="C23" s="1168">
        <v>12000000000</v>
      </c>
      <c r="D23" s="726">
        <f>C23/C12*100</f>
        <v>0.657099948516219</v>
      </c>
      <c r="E23" s="729"/>
      <c r="F23" s="729"/>
      <c r="G23" s="590"/>
      <c r="H23" s="729"/>
      <c r="I23" s="729"/>
      <c r="J23" s="594"/>
      <c r="K23" s="590"/>
      <c r="L23" s="730"/>
      <c r="M23" s="474"/>
    </row>
    <row r="24" spans="1:13" s="475" customFormat="1" ht="18.75" hidden="1" customHeight="1" x14ac:dyDescent="0.2">
      <c r="A24" s="725"/>
      <c r="B24" s="1172" t="s">
        <v>4452</v>
      </c>
      <c r="C24" s="1168">
        <v>10000000000</v>
      </c>
      <c r="D24" s="726">
        <f>C24/C12*100</f>
        <v>0.5475832904301825</v>
      </c>
      <c r="E24" s="729"/>
      <c r="F24" s="729"/>
      <c r="G24" s="590"/>
      <c r="H24" s="729"/>
      <c r="I24" s="729"/>
      <c r="J24" s="594"/>
      <c r="K24" s="590"/>
      <c r="L24" s="730"/>
      <c r="M24" s="474"/>
    </row>
    <row r="25" spans="1:13" s="475" customFormat="1" ht="33.75" hidden="1" customHeight="1" x14ac:dyDescent="0.2">
      <c r="A25" s="725"/>
      <c r="B25" s="1172" t="s">
        <v>4453</v>
      </c>
      <c r="C25" s="726">
        <v>10000000000</v>
      </c>
      <c r="D25" s="726">
        <f>C25/C12*100</f>
        <v>0.5475832904301825</v>
      </c>
      <c r="E25" s="726"/>
      <c r="F25" s="729"/>
      <c r="G25" s="590"/>
      <c r="H25" s="729"/>
      <c r="I25" s="729"/>
      <c r="J25" s="594"/>
      <c r="K25" s="590"/>
      <c r="L25" s="730"/>
      <c r="M25" s="474"/>
    </row>
    <row r="26" spans="1:13" s="475" customFormat="1" ht="19.5" hidden="1" customHeight="1" x14ac:dyDescent="0.2">
      <c r="A26" s="725"/>
      <c r="B26" s="1172" t="s">
        <v>4454</v>
      </c>
      <c r="C26" s="726">
        <v>9000000000</v>
      </c>
      <c r="D26" s="726">
        <f>C26/C12*100</f>
        <v>0.49282496138716425</v>
      </c>
      <c r="E26" s="729"/>
      <c r="F26" s="729"/>
      <c r="G26" s="590"/>
      <c r="H26" s="729"/>
      <c r="I26" s="729"/>
      <c r="J26" s="594"/>
      <c r="K26" s="590"/>
      <c r="L26" s="730"/>
      <c r="M26" s="474"/>
    </row>
    <row r="27" spans="1:13" s="475" customFormat="1" ht="15.75" hidden="1" customHeight="1" x14ac:dyDescent="0.2">
      <c r="A27" s="725"/>
      <c r="B27" s="1172" t="s">
        <v>4455</v>
      </c>
      <c r="C27" s="726">
        <v>8000000000</v>
      </c>
      <c r="D27" s="726">
        <f>C27/C12*100</f>
        <v>0.43806663234414606</v>
      </c>
      <c r="E27" s="729"/>
      <c r="F27" s="729"/>
      <c r="G27" s="590"/>
      <c r="H27" s="729"/>
      <c r="I27" s="729"/>
      <c r="J27" s="594"/>
      <c r="K27" s="590"/>
      <c r="L27" s="730"/>
      <c r="M27" s="474"/>
    </row>
    <row r="28" spans="1:13" s="475" customFormat="1" ht="35.25" hidden="1" customHeight="1" x14ac:dyDescent="0.2">
      <c r="A28" s="725"/>
      <c r="B28" s="1172" t="s">
        <v>4456</v>
      </c>
      <c r="C28" s="731">
        <v>15000000000</v>
      </c>
      <c r="D28" s="731">
        <f>C28/C12*100</f>
        <v>0.82137493564527386</v>
      </c>
      <c r="E28" s="731"/>
      <c r="F28" s="731"/>
      <c r="G28" s="732"/>
      <c r="H28" s="731"/>
      <c r="I28" s="731"/>
      <c r="J28" s="585"/>
      <c r="K28" s="590"/>
      <c r="L28" s="590"/>
      <c r="M28" s="474"/>
    </row>
    <row r="29" spans="1:13" s="475" customFormat="1" ht="15.75" hidden="1" customHeight="1" x14ac:dyDescent="0.2">
      <c r="A29" s="725"/>
      <c r="B29" s="1172" t="s">
        <v>4457</v>
      </c>
      <c r="C29" s="726">
        <v>12000000000</v>
      </c>
      <c r="D29" s="726">
        <f>C29/C12*100</f>
        <v>0.657099948516219</v>
      </c>
      <c r="E29" s="729"/>
      <c r="F29" s="729"/>
      <c r="G29" s="590"/>
      <c r="H29" s="590"/>
      <c r="I29" s="729"/>
      <c r="J29" s="594"/>
      <c r="K29" s="590"/>
      <c r="L29" s="730"/>
      <c r="M29" s="474"/>
    </row>
    <row r="30" spans="1:13" s="475" customFormat="1" ht="19.5" hidden="1" customHeight="1" x14ac:dyDescent="0.2">
      <c r="A30" s="725"/>
      <c r="B30" s="1172" t="s">
        <v>4458</v>
      </c>
      <c r="C30" s="726">
        <v>14000000000</v>
      </c>
      <c r="D30" s="726">
        <f>C30/C12*100</f>
        <v>0.76661660660225561</v>
      </c>
      <c r="E30" s="726"/>
      <c r="F30" s="726"/>
      <c r="G30" s="590"/>
      <c r="H30" s="726"/>
      <c r="I30" s="726"/>
      <c r="J30" s="586"/>
      <c r="K30" s="590"/>
      <c r="L30" s="590"/>
      <c r="M30" s="476"/>
    </row>
    <row r="31" spans="1:13" s="475" customFormat="1" ht="15.75" hidden="1" customHeight="1" x14ac:dyDescent="0.2">
      <c r="A31" s="725"/>
      <c r="B31" s="1172" t="s">
        <v>4459</v>
      </c>
      <c r="C31" s="726">
        <v>5000000000</v>
      </c>
      <c r="D31" s="726">
        <f>C31/C12*100</f>
        <v>0.27379164521509125</v>
      </c>
      <c r="E31" s="729"/>
      <c r="F31" s="729"/>
      <c r="G31" s="590"/>
      <c r="H31" s="729"/>
      <c r="I31" s="729"/>
      <c r="J31" s="594"/>
      <c r="K31" s="590"/>
      <c r="L31" s="730"/>
      <c r="M31" s="474"/>
    </row>
    <row r="32" spans="1:13" s="475" customFormat="1" ht="19.5" hidden="1" customHeight="1" x14ac:dyDescent="0.2">
      <c r="A32" s="725"/>
      <c r="B32" s="1172" t="s">
        <v>4460</v>
      </c>
      <c r="C32" s="726">
        <v>3000000000</v>
      </c>
      <c r="D32" s="726">
        <f>C32/C12*100</f>
        <v>0.16427498712905475</v>
      </c>
      <c r="E32" s="729"/>
      <c r="F32" s="729"/>
      <c r="G32" s="590"/>
      <c r="H32" s="729"/>
      <c r="I32" s="729"/>
      <c r="J32" s="594"/>
      <c r="K32" s="590"/>
      <c r="L32" s="730"/>
      <c r="M32" s="474"/>
    </row>
    <row r="33" spans="1:13" s="475" customFormat="1" ht="15.75" hidden="1" customHeight="1" x14ac:dyDescent="0.2">
      <c r="A33" s="725"/>
      <c r="B33" s="1172" t="s">
        <v>4461</v>
      </c>
      <c r="C33" s="726">
        <v>8000000000</v>
      </c>
      <c r="D33" s="726">
        <f>C33/C12*100</f>
        <v>0.43806663234414606</v>
      </c>
      <c r="E33" s="726"/>
      <c r="F33" s="726"/>
      <c r="G33" s="590"/>
      <c r="H33" s="590"/>
      <c r="I33" s="726"/>
      <c r="J33" s="586"/>
      <c r="K33" s="590"/>
      <c r="L33" s="730"/>
      <c r="M33" s="474"/>
    </row>
    <row r="34" spans="1:13" s="475" customFormat="1" ht="17.25" hidden="1" customHeight="1" x14ac:dyDescent="0.2">
      <c r="A34" s="725"/>
      <c r="B34" s="1172" t="s">
        <v>4462</v>
      </c>
      <c r="C34" s="726">
        <v>3000000000</v>
      </c>
      <c r="D34" s="726">
        <f>C34/C12*100</f>
        <v>0.16427498712905475</v>
      </c>
      <c r="E34" s="726"/>
      <c r="F34" s="726"/>
      <c r="G34" s="590"/>
      <c r="H34" s="726"/>
      <c r="I34" s="726"/>
      <c r="J34" s="586"/>
      <c r="K34" s="590"/>
      <c r="L34" s="730"/>
      <c r="M34" s="474"/>
    </row>
    <row r="35" spans="1:13" s="475" customFormat="1" ht="18.75" hidden="1" customHeight="1" x14ac:dyDescent="0.2">
      <c r="A35" s="725"/>
      <c r="B35" s="1172" t="s">
        <v>4463</v>
      </c>
      <c r="C35" s="726">
        <v>5000000000</v>
      </c>
      <c r="D35" s="726">
        <f>C35/C12*100</f>
        <v>0.27379164521509125</v>
      </c>
      <c r="E35" s="729"/>
      <c r="F35" s="729"/>
      <c r="G35" s="590"/>
      <c r="H35" s="590"/>
      <c r="I35" s="729"/>
      <c r="J35" s="594"/>
      <c r="K35" s="590"/>
      <c r="L35" s="730"/>
      <c r="M35" s="474"/>
    </row>
    <row r="36" spans="1:13" s="475" customFormat="1" ht="20.25" hidden="1" customHeight="1" x14ac:dyDescent="0.2">
      <c r="A36" s="725"/>
      <c r="B36" s="1172" t="s">
        <v>4464</v>
      </c>
      <c r="C36" s="726">
        <v>5000000000</v>
      </c>
      <c r="D36" s="726">
        <f>C36/C12*100</f>
        <v>0.27379164521509125</v>
      </c>
      <c r="E36" s="726"/>
      <c r="F36" s="726"/>
      <c r="G36" s="726"/>
      <c r="H36" s="726"/>
      <c r="I36" s="726"/>
      <c r="J36" s="586"/>
      <c r="K36" s="590"/>
      <c r="L36" s="590"/>
      <c r="M36" s="474"/>
    </row>
    <row r="37" spans="1:13" s="475" customFormat="1" ht="18.75" hidden="1" customHeight="1" x14ac:dyDescent="0.2">
      <c r="A37" s="725"/>
      <c r="B37" s="1172" t="s">
        <v>4465</v>
      </c>
      <c r="C37" s="726">
        <v>3000000000</v>
      </c>
      <c r="D37" s="726">
        <f>C37/C12*100</f>
        <v>0.16427498712905475</v>
      </c>
      <c r="E37" s="729"/>
      <c r="F37" s="729"/>
      <c r="G37" s="729"/>
      <c r="H37" s="729"/>
      <c r="I37" s="729"/>
      <c r="J37" s="594"/>
      <c r="K37" s="590"/>
      <c r="L37" s="730"/>
      <c r="M37" s="474"/>
    </row>
    <row r="38" spans="1:13" s="475" customFormat="1" ht="20.25" hidden="1" customHeight="1" x14ac:dyDescent="0.2">
      <c r="A38" s="725"/>
      <c r="B38" s="1172" t="s">
        <v>4466</v>
      </c>
      <c r="C38" s="726">
        <v>8000000000</v>
      </c>
      <c r="D38" s="726">
        <f>C38/C12*100</f>
        <v>0.43806663234414606</v>
      </c>
      <c r="E38" s="729"/>
      <c r="F38" s="729"/>
      <c r="G38" s="729"/>
      <c r="H38" s="729"/>
      <c r="I38" s="729"/>
      <c r="J38" s="594"/>
      <c r="K38" s="590"/>
      <c r="L38" s="730"/>
      <c r="M38" s="474"/>
    </row>
    <row r="39" spans="1:13" s="475" customFormat="1" ht="21.75" hidden="1" customHeight="1" x14ac:dyDescent="0.2">
      <c r="A39" s="725"/>
      <c r="B39" s="1172" t="s">
        <v>4467</v>
      </c>
      <c r="C39" s="726">
        <v>15000000000</v>
      </c>
      <c r="D39" s="726">
        <f>C39/C12*100</f>
        <v>0.82137493564527386</v>
      </c>
      <c r="E39" s="729"/>
      <c r="F39" s="729"/>
      <c r="G39" s="729"/>
      <c r="H39" s="729"/>
      <c r="I39" s="729"/>
      <c r="J39" s="594"/>
      <c r="K39" s="590"/>
      <c r="L39" s="730"/>
      <c r="M39" s="474"/>
    </row>
    <row r="40" spans="1:13" s="475" customFormat="1" ht="15.75" hidden="1" customHeight="1" x14ac:dyDescent="0.2">
      <c r="A40" s="725"/>
      <c r="B40" s="1172" t="s">
        <v>4468</v>
      </c>
      <c r="C40" s="726">
        <v>5000000000</v>
      </c>
      <c r="D40" s="726">
        <f>C40/C12*100</f>
        <v>0.27379164521509125</v>
      </c>
      <c r="E40" s="729"/>
      <c r="F40" s="729"/>
      <c r="G40" s="729"/>
      <c r="H40" s="729"/>
      <c r="I40" s="729"/>
      <c r="J40" s="594"/>
      <c r="K40" s="590"/>
      <c r="L40" s="730"/>
      <c r="M40" s="474"/>
    </row>
    <row r="41" spans="1:13" s="475" customFormat="1" ht="17.25" hidden="1" customHeight="1" x14ac:dyDescent="0.2">
      <c r="A41" s="725"/>
      <c r="B41" s="1172" t="s">
        <v>4469</v>
      </c>
      <c r="C41" s="726">
        <v>25000000000</v>
      </c>
      <c r="D41" s="726">
        <f>C41/C12*100</f>
        <v>1.3689582260754563</v>
      </c>
      <c r="E41" s="729"/>
      <c r="F41" s="729"/>
      <c r="G41" s="590"/>
      <c r="H41" s="590"/>
      <c r="I41" s="729"/>
      <c r="J41" s="594"/>
      <c r="K41" s="590"/>
      <c r="L41" s="730"/>
      <c r="M41" s="474"/>
    </row>
    <row r="42" spans="1:13" s="475" customFormat="1" ht="15.75" hidden="1" customHeight="1" x14ac:dyDescent="0.2">
      <c r="A42" s="725"/>
      <c r="B42" s="1172" t="s">
        <v>4470</v>
      </c>
      <c r="C42" s="726">
        <v>10000000000</v>
      </c>
      <c r="D42" s="726">
        <f>C42/C12*100</f>
        <v>0.5475832904301825</v>
      </c>
      <c r="E42" s="729"/>
      <c r="F42" s="729"/>
      <c r="G42" s="729"/>
      <c r="H42" s="729"/>
      <c r="I42" s="729"/>
      <c r="J42" s="594"/>
      <c r="K42" s="590"/>
      <c r="L42" s="730"/>
      <c r="M42" s="474"/>
    </row>
    <row r="43" spans="1:13" s="475" customFormat="1" ht="15.75" hidden="1" customHeight="1" x14ac:dyDescent="0.2">
      <c r="A43" s="725"/>
      <c r="B43" s="1172" t="s">
        <v>4471</v>
      </c>
      <c r="C43" s="1168">
        <v>13000000000</v>
      </c>
      <c r="D43" s="726">
        <f>C43/C12*100</f>
        <v>0.71185827755923725</v>
      </c>
      <c r="E43" s="729"/>
      <c r="F43" s="729"/>
      <c r="G43" s="729"/>
      <c r="H43" s="729"/>
      <c r="I43" s="729"/>
      <c r="J43" s="594"/>
      <c r="K43" s="590"/>
      <c r="L43" s="730"/>
      <c r="M43" s="474"/>
    </row>
    <row r="44" spans="1:13" s="475" customFormat="1" ht="31.5" hidden="1" customHeight="1" x14ac:dyDescent="0.2">
      <c r="A44" s="725"/>
      <c r="B44" s="1172" t="s">
        <v>4472</v>
      </c>
      <c r="C44" s="731">
        <v>35000000000</v>
      </c>
      <c r="D44" s="731">
        <f>C44/C12*100</f>
        <v>1.9165415165056388</v>
      </c>
      <c r="E44" s="729"/>
      <c r="F44" s="729"/>
      <c r="G44" s="729"/>
      <c r="H44" s="729"/>
      <c r="I44" s="729"/>
      <c r="J44" s="594"/>
      <c r="K44" s="590"/>
      <c r="L44" s="730"/>
      <c r="M44" s="474"/>
    </row>
    <row r="45" spans="1:13" s="475" customFormat="1" ht="21.75" hidden="1" customHeight="1" x14ac:dyDescent="0.2">
      <c r="A45" s="725"/>
      <c r="B45" s="1172" t="s">
        <v>4473</v>
      </c>
      <c r="C45" s="726">
        <v>6000000000</v>
      </c>
      <c r="D45" s="726">
        <f>C45/C12*100</f>
        <v>0.3285499742581095</v>
      </c>
      <c r="E45" s="729"/>
      <c r="F45" s="729"/>
      <c r="G45" s="729"/>
      <c r="H45" s="729"/>
      <c r="I45" s="729"/>
      <c r="J45" s="594"/>
      <c r="K45" s="590"/>
      <c r="L45" s="730"/>
      <c r="M45" s="474"/>
    </row>
    <row r="46" spans="1:13" s="475" customFormat="1" ht="16.5" hidden="1" customHeight="1" x14ac:dyDescent="0.2">
      <c r="A46" s="725"/>
      <c r="B46" s="1172" t="s">
        <v>4474</v>
      </c>
      <c r="C46" s="726">
        <v>3000000000</v>
      </c>
      <c r="D46" s="726">
        <f>C46/C12*100</f>
        <v>0.16427498712905475</v>
      </c>
      <c r="E46" s="729"/>
      <c r="F46" s="729"/>
      <c r="G46" s="590"/>
      <c r="H46" s="590"/>
      <c r="I46" s="729"/>
      <c r="J46" s="594"/>
      <c r="K46" s="730"/>
      <c r="L46" s="730"/>
      <c r="M46" s="474"/>
    </row>
    <row r="47" spans="1:13" s="475" customFormat="1" ht="15.75" hidden="1" customHeight="1" x14ac:dyDescent="0.2">
      <c r="A47" s="725"/>
      <c r="B47" s="1172" t="s">
        <v>4475</v>
      </c>
      <c r="C47" s="726">
        <v>3000000000</v>
      </c>
      <c r="D47" s="726">
        <f>C47/C12*100</f>
        <v>0.16427498712905475</v>
      </c>
      <c r="E47" s="729"/>
      <c r="F47" s="729"/>
      <c r="G47" s="590"/>
      <c r="H47" s="590"/>
      <c r="I47" s="729"/>
      <c r="J47" s="594"/>
      <c r="K47" s="730"/>
      <c r="L47" s="730"/>
      <c r="M47" s="474"/>
    </row>
    <row r="48" spans="1:13" s="475" customFormat="1" ht="16.5" hidden="1" customHeight="1" x14ac:dyDescent="0.2">
      <c r="A48" s="725"/>
      <c r="B48" s="1172" t="s">
        <v>4476</v>
      </c>
      <c r="C48" s="726">
        <v>3000000000</v>
      </c>
      <c r="D48" s="726">
        <f>C48/C12*100</f>
        <v>0.16427498712905475</v>
      </c>
      <c r="E48" s="729"/>
      <c r="F48" s="729"/>
      <c r="G48" s="590"/>
      <c r="H48" s="590"/>
      <c r="I48" s="729"/>
      <c r="J48" s="594"/>
      <c r="K48" s="730"/>
      <c r="L48" s="730"/>
      <c r="M48" s="474"/>
    </row>
    <row r="49" spans="1:13" s="475" customFormat="1" ht="15.75" hidden="1" customHeight="1" x14ac:dyDescent="0.2">
      <c r="A49" s="725"/>
      <c r="B49" s="1172" t="s">
        <v>4477</v>
      </c>
      <c r="C49" s="726">
        <v>3000000000</v>
      </c>
      <c r="D49" s="726">
        <f>C49/C12*100</f>
        <v>0.16427498712905475</v>
      </c>
      <c r="E49" s="729"/>
      <c r="F49" s="729"/>
      <c r="G49" s="590"/>
      <c r="H49" s="590"/>
      <c r="I49" s="729"/>
      <c r="J49" s="594"/>
      <c r="K49" s="730"/>
      <c r="L49" s="730"/>
      <c r="M49" s="474"/>
    </row>
    <row r="50" spans="1:13" s="475" customFormat="1" ht="14.25" hidden="1" customHeight="1" x14ac:dyDescent="0.2">
      <c r="A50" s="725"/>
      <c r="B50" s="1172" t="s">
        <v>4478</v>
      </c>
      <c r="C50" s="726">
        <v>6000000000</v>
      </c>
      <c r="D50" s="726">
        <f>C50/C12*100</f>
        <v>0.3285499742581095</v>
      </c>
      <c r="E50" s="729"/>
      <c r="F50" s="729"/>
      <c r="G50" s="590"/>
      <c r="H50" s="590"/>
      <c r="I50" s="729"/>
      <c r="J50" s="594"/>
      <c r="K50" s="730"/>
      <c r="L50" s="730"/>
      <c r="M50" s="474"/>
    </row>
    <row r="51" spans="1:13" s="475" customFormat="1" ht="19.5" hidden="1" customHeight="1" x14ac:dyDescent="0.2">
      <c r="A51" s="725"/>
      <c r="B51" s="1172" t="s">
        <v>4479</v>
      </c>
      <c r="C51" s="726">
        <v>3000000000</v>
      </c>
      <c r="D51" s="726">
        <f>C51/C12*100</f>
        <v>0.16427498712905475</v>
      </c>
      <c r="E51" s="729"/>
      <c r="F51" s="729"/>
      <c r="G51" s="590"/>
      <c r="H51" s="590"/>
      <c r="I51" s="729"/>
      <c r="J51" s="594"/>
      <c r="K51" s="730"/>
      <c r="L51" s="730"/>
      <c r="M51" s="474"/>
    </row>
    <row r="52" spans="1:13" s="475" customFormat="1" ht="16.5" hidden="1" customHeight="1" x14ac:dyDescent="0.2">
      <c r="A52" s="725"/>
      <c r="B52" s="1172" t="s">
        <v>4480</v>
      </c>
      <c r="C52" s="726">
        <v>6000000000</v>
      </c>
      <c r="D52" s="726">
        <f>C52/C12*100</f>
        <v>0.3285499742581095</v>
      </c>
      <c r="E52" s="729"/>
      <c r="F52" s="729"/>
      <c r="G52" s="590"/>
      <c r="H52" s="590"/>
      <c r="I52" s="729"/>
      <c r="J52" s="594"/>
      <c r="K52" s="730"/>
      <c r="L52" s="730"/>
      <c r="M52" s="474"/>
    </row>
    <row r="53" spans="1:13" s="475" customFormat="1" ht="18.75" hidden="1" customHeight="1" x14ac:dyDescent="0.2">
      <c r="A53" s="725"/>
      <c r="B53" s="1172" t="s">
        <v>4481</v>
      </c>
      <c r="C53" s="726">
        <v>5000000000</v>
      </c>
      <c r="D53" s="726">
        <f>C53/C12*100</f>
        <v>0.27379164521509125</v>
      </c>
      <c r="E53" s="729"/>
      <c r="F53" s="729"/>
      <c r="G53" s="590"/>
      <c r="H53" s="590"/>
      <c r="I53" s="729"/>
      <c r="J53" s="594"/>
      <c r="K53" s="730"/>
      <c r="L53" s="730"/>
      <c r="M53" s="474"/>
    </row>
    <row r="54" spans="1:13" s="475" customFormat="1" ht="18.75" hidden="1" customHeight="1" x14ac:dyDescent="0.2">
      <c r="A54" s="725"/>
      <c r="B54" s="1172" t="s">
        <v>4482</v>
      </c>
      <c r="C54" s="726">
        <v>500000000</v>
      </c>
      <c r="D54" s="726">
        <f>C54/C12*100</f>
        <v>2.7379164521509129E-2</v>
      </c>
      <c r="E54" s="729"/>
      <c r="F54" s="729"/>
      <c r="G54" s="590"/>
      <c r="H54" s="590"/>
      <c r="I54" s="729"/>
      <c r="J54" s="594"/>
      <c r="K54" s="730"/>
      <c r="L54" s="730"/>
      <c r="M54" s="474"/>
    </row>
    <row r="55" spans="1:13" s="475" customFormat="1" ht="18.75" hidden="1" customHeight="1" x14ac:dyDescent="0.2">
      <c r="A55" s="725"/>
      <c r="B55" s="1172" t="s">
        <v>4483</v>
      </c>
      <c r="C55" s="726">
        <v>25000000000</v>
      </c>
      <c r="D55" s="726">
        <f>C55/C12*100</f>
        <v>1.3689582260754563</v>
      </c>
      <c r="E55" s="729"/>
      <c r="F55" s="729"/>
      <c r="G55" s="590"/>
      <c r="H55" s="590"/>
      <c r="I55" s="729"/>
      <c r="J55" s="594"/>
      <c r="K55" s="730"/>
      <c r="L55" s="730"/>
      <c r="M55" s="474"/>
    </row>
    <row r="56" spans="1:13" s="475" customFormat="1" ht="18.75" hidden="1" customHeight="1" x14ac:dyDescent="0.2">
      <c r="A56" s="725"/>
      <c r="B56" s="1172" t="s">
        <v>4484</v>
      </c>
      <c r="C56" s="726">
        <v>4000000000</v>
      </c>
      <c r="D56" s="726">
        <f>C56/C12*100</f>
        <v>0.21903331617207303</v>
      </c>
      <c r="E56" s="729"/>
      <c r="F56" s="729"/>
      <c r="G56" s="590"/>
      <c r="H56" s="590"/>
      <c r="I56" s="729"/>
      <c r="J56" s="594"/>
      <c r="K56" s="730"/>
      <c r="L56" s="730"/>
      <c r="M56" s="474"/>
    </row>
    <row r="57" spans="1:13" s="475" customFormat="1" ht="18.75" hidden="1" customHeight="1" x14ac:dyDescent="0.2">
      <c r="A57" s="725"/>
      <c r="B57" s="1172" t="s">
        <v>4485</v>
      </c>
      <c r="C57" s="726">
        <v>3000000000</v>
      </c>
      <c r="D57" s="726">
        <f>C57/C12*100</f>
        <v>0.16427498712905475</v>
      </c>
      <c r="E57" s="729"/>
      <c r="F57" s="729"/>
      <c r="G57" s="590"/>
      <c r="H57" s="590"/>
      <c r="I57" s="729"/>
      <c r="J57" s="594"/>
      <c r="K57" s="730"/>
      <c r="L57" s="730"/>
      <c r="M57" s="474"/>
    </row>
    <row r="58" spans="1:13" s="475" customFormat="1" ht="18.75" hidden="1" customHeight="1" x14ac:dyDescent="0.2">
      <c r="A58" s="725"/>
      <c r="B58" s="1172" t="s">
        <v>4486</v>
      </c>
      <c r="C58" s="726">
        <v>3000000000</v>
      </c>
      <c r="D58" s="726">
        <f>C58/C12*100</f>
        <v>0.16427498712905475</v>
      </c>
      <c r="E58" s="729"/>
      <c r="F58" s="729"/>
      <c r="G58" s="590"/>
      <c r="H58" s="590"/>
      <c r="I58" s="729"/>
      <c r="J58" s="594"/>
      <c r="K58" s="730"/>
      <c r="L58" s="730"/>
      <c r="M58" s="474"/>
    </row>
    <row r="59" spans="1:13" s="475" customFormat="1" ht="18.75" hidden="1" customHeight="1" x14ac:dyDescent="0.2">
      <c r="A59" s="725"/>
      <c r="B59" s="1172" t="s">
        <v>4487</v>
      </c>
      <c r="C59" s="726">
        <v>30040000000</v>
      </c>
      <c r="D59" s="726">
        <f>C59/C12*100</f>
        <v>1.6449402044522683</v>
      </c>
      <c r="E59" s="729"/>
      <c r="F59" s="729"/>
      <c r="G59" s="590"/>
      <c r="H59" s="590"/>
      <c r="I59" s="729"/>
      <c r="J59" s="594"/>
      <c r="K59" s="730"/>
      <c r="L59" s="730"/>
      <c r="M59" s="474"/>
    </row>
    <row r="60" spans="1:13" s="475" customFormat="1" ht="18.75" hidden="1" customHeight="1" x14ac:dyDescent="0.2">
      <c r="A60" s="725"/>
      <c r="B60" s="1172" t="s">
        <v>4488</v>
      </c>
      <c r="C60" s="726">
        <v>5000000000</v>
      </c>
      <c r="D60" s="726">
        <f>C60/C12*100</f>
        <v>0.27379164521509125</v>
      </c>
      <c r="E60" s="729"/>
      <c r="F60" s="729"/>
      <c r="G60" s="590"/>
      <c r="H60" s="590"/>
      <c r="I60" s="729"/>
      <c r="J60" s="594"/>
      <c r="K60" s="730"/>
      <c r="L60" s="730"/>
      <c r="M60" s="474"/>
    </row>
    <row r="61" spans="1:13" s="475" customFormat="1" ht="36" hidden="1" customHeight="1" x14ac:dyDescent="0.2">
      <c r="A61" s="725"/>
      <c r="B61" s="1172" t="s">
        <v>4489</v>
      </c>
      <c r="C61" s="726">
        <v>5000000000</v>
      </c>
      <c r="D61" s="726">
        <f>C61/C12*100</f>
        <v>0.27379164521509125</v>
      </c>
      <c r="E61" s="729"/>
      <c r="F61" s="729"/>
      <c r="G61" s="590"/>
      <c r="H61" s="590"/>
      <c r="I61" s="729"/>
      <c r="J61" s="594"/>
      <c r="K61" s="730"/>
      <c r="L61" s="730"/>
      <c r="M61" s="474"/>
    </row>
    <row r="62" spans="1:13" s="475" customFormat="1" ht="18.75" hidden="1" customHeight="1" x14ac:dyDescent="0.2">
      <c r="A62" s="725"/>
      <c r="B62" s="1172" t="s">
        <v>4490</v>
      </c>
      <c r="C62" s="726">
        <v>5000000000</v>
      </c>
      <c r="D62" s="726">
        <f>C62/C12*100</f>
        <v>0.27379164521509125</v>
      </c>
      <c r="E62" s="729"/>
      <c r="F62" s="729"/>
      <c r="G62" s="590"/>
      <c r="H62" s="590"/>
      <c r="I62" s="729"/>
      <c r="J62" s="594"/>
      <c r="K62" s="730"/>
      <c r="L62" s="730"/>
      <c r="M62" s="474"/>
    </row>
    <row r="63" spans="1:13" s="475" customFormat="1" ht="34.5" hidden="1" customHeight="1" x14ac:dyDescent="0.2">
      <c r="A63" s="725"/>
      <c r="B63" s="1172" t="s">
        <v>4491</v>
      </c>
      <c r="C63" s="726">
        <v>25000000000</v>
      </c>
      <c r="D63" s="726">
        <f>C63/C12*100</f>
        <v>1.3689582260754563</v>
      </c>
      <c r="E63" s="729"/>
      <c r="F63" s="729"/>
      <c r="G63" s="590"/>
      <c r="H63" s="590"/>
      <c r="I63" s="729"/>
      <c r="J63" s="594"/>
      <c r="K63" s="730"/>
      <c r="L63" s="730"/>
      <c r="M63" s="474"/>
    </row>
    <row r="64" spans="1:13" s="475" customFormat="1" ht="18.75" hidden="1" customHeight="1" x14ac:dyDescent="0.2">
      <c r="A64" s="725"/>
      <c r="B64" s="1172" t="s">
        <v>4492</v>
      </c>
      <c r="C64" s="726">
        <v>5000000000</v>
      </c>
      <c r="D64" s="726">
        <f>C64/C12*100</f>
        <v>0.27379164521509125</v>
      </c>
      <c r="E64" s="729"/>
      <c r="F64" s="729"/>
      <c r="G64" s="590"/>
      <c r="H64" s="590"/>
      <c r="I64" s="729"/>
      <c r="J64" s="594"/>
      <c r="K64" s="730"/>
      <c r="L64" s="730"/>
      <c r="M64" s="474"/>
    </row>
    <row r="65" spans="1:13" s="475" customFormat="1" ht="18.75" hidden="1" customHeight="1" x14ac:dyDescent="0.2">
      <c r="A65" s="725"/>
      <c r="B65" s="1172" t="s">
        <v>4493</v>
      </c>
      <c r="C65" s="726">
        <v>5000000000</v>
      </c>
      <c r="D65" s="726">
        <f>C65/C12*100</f>
        <v>0.27379164521509125</v>
      </c>
      <c r="E65" s="729"/>
      <c r="F65" s="729"/>
      <c r="G65" s="590"/>
      <c r="H65" s="590"/>
      <c r="I65" s="729"/>
      <c r="J65" s="594"/>
      <c r="K65" s="730"/>
      <c r="L65" s="730"/>
      <c r="M65" s="474"/>
    </row>
    <row r="66" spans="1:13" s="475" customFormat="1" ht="18.75" hidden="1" customHeight="1" x14ac:dyDescent="0.2">
      <c r="A66" s="725"/>
      <c r="B66" s="1172" t="s">
        <v>4494</v>
      </c>
      <c r="C66" s="726">
        <v>5000000000</v>
      </c>
      <c r="D66" s="726">
        <f>C66/C12*100</f>
        <v>0.27379164521509125</v>
      </c>
      <c r="E66" s="729"/>
      <c r="F66" s="729"/>
      <c r="G66" s="590"/>
      <c r="H66" s="590"/>
      <c r="I66" s="729"/>
      <c r="J66" s="594"/>
      <c r="K66" s="730"/>
      <c r="L66" s="730"/>
      <c r="M66" s="474"/>
    </row>
    <row r="67" spans="1:13" s="475" customFormat="1" ht="18.75" hidden="1" customHeight="1" x14ac:dyDescent="0.2">
      <c r="A67" s="725"/>
      <c r="B67" s="1172" t="s">
        <v>4495</v>
      </c>
      <c r="C67" s="726">
        <v>2192000000</v>
      </c>
      <c r="D67" s="726">
        <f>C67/C12*100</f>
        <v>0.12003025726229601</v>
      </c>
      <c r="E67" s="729"/>
      <c r="F67" s="729"/>
      <c r="G67" s="590"/>
      <c r="H67" s="590"/>
      <c r="I67" s="729"/>
      <c r="J67" s="594"/>
      <c r="K67" s="730"/>
      <c r="L67" s="730"/>
      <c r="M67" s="474"/>
    </row>
    <row r="68" spans="1:13" s="475" customFormat="1" ht="18.75" hidden="1" customHeight="1" x14ac:dyDescent="0.2">
      <c r="A68" s="725"/>
      <c r="B68" s="1172" t="s">
        <v>4496</v>
      </c>
      <c r="C68" s="726">
        <v>11800000000</v>
      </c>
      <c r="D68" s="726">
        <f>C68/C12*100</f>
        <v>0.64614828270761537</v>
      </c>
      <c r="E68" s="729"/>
      <c r="F68" s="729"/>
      <c r="G68" s="590"/>
      <c r="H68" s="590"/>
      <c r="I68" s="729"/>
      <c r="J68" s="594"/>
      <c r="K68" s="730"/>
      <c r="L68" s="730"/>
      <c r="M68" s="474"/>
    </row>
    <row r="69" spans="1:13" s="475" customFormat="1" ht="18.75" hidden="1" customHeight="1" x14ac:dyDescent="0.2">
      <c r="A69" s="725"/>
      <c r="B69" s="1172" t="s">
        <v>4497</v>
      </c>
      <c r="C69" s="726">
        <v>5000000000</v>
      </c>
      <c r="D69" s="726">
        <f>C69/C12*100</f>
        <v>0.27379164521509125</v>
      </c>
      <c r="E69" s="729"/>
      <c r="F69" s="729"/>
      <c r="G69" s="590"/>
      <c r="H69" s="590"/>
      <c r="I69" s="729"/>
      <c r="J69" s="594"/>
      <c r="K69" s="730"/>
      <c r="L69" s="730"/>
      <c r="M69" s="474"/>
    </row>
    <row r="70" spans="1:13" s="475" customFormat="1" ht="18.75" hidden="1" customHeight="1" x14ac:dyDescent="0.2">
      <c r="A70" s="725"/>
      <c r="B70" s="1172" t="s">
        <v>4498</v>
      </c>
      <c r="C70" s="726">
        <v>4000000000</v>
      </c>
      <c r="D70" s="726">
        <f>C70/C12*100</f>
        <v>0.21903331617207303</v>
      </c>
      <c r="E70" s="729"/>
      <c r="F70" s="729"/>
      <c r="G70" s="590"/>
      <c r="H70" s="590"/>
      <c r="I70" s="729"/>
      <c r="J70" s="594"/>
      <c r="K70" s="730"/>
      <c r="L70" s="730"/>
      <c r="M70" s="474"/>
    </row>
    <row r="71" spans="1:13" s="475" customFormat="1" ht="18.75" hidden="1" customHeight="1" x14ac:dyDescent="0.2">
      <c r="A71" s="725"/>
      <c r="B71" s="1172" t="s">
        <v>4499</v>
      </c>
      <c r="C71" s="726">
        <v>9300000000</v>
      </c>
      <c r="D71" s="726">
        <f>C71/C12*100</f>
        <v>0.50925246010006975</v>
      </c>
      <c r="E71" s="729"/>
      <c r="F71" s="729"/>
      <c r="G71" s="590"/>
      <c r="H71" s="590"/>
      <c r="I71" s="729"/>
      <c r="J71" s="594"/>
      <c r="K71" s="730"/>
      <c r="L71" s="730"/>
      <c r="M71" s="474"/>
    </row>
    <row r="72" spans="1:13" s="475" customFormat="1" ht="18.75" hidden="1" customHeight="1" x14ac:dyDescent="0.2">
      <c r="A72" s="725"/>
      <c r="B72" s="1172" t="s">
        <v>4500</v>
      </c>
      <c r="C72" s="726">
        <v>1500000000</v>
      </c>
      <c r="D72" s="726">
        <f>C72/C12*100</f>
        <v>8.2137493564527375E-2</v>
      </c>
      <c r="E72" s="729"/>
      <c r="F72" s="729"/>
      <c r="G72" s="590"/>
      <c r="H72" s="590"/>
      <c r="I72" s="729"/>
      <c r="J72" s="594"/>
      <c r="K72" s="730"/>
      <c r="L72" s="730"/>
      <c r="M72" s="474"/>
    </row>
    <row r="73" spans="1:13" s="475" customFormat="1" ht="18.75" hidden="1" customHeight="1" x14ac:dyDescent="0.2">
      <c r="A73" s="725"/>
      <c r="B73" s="1172" t="s">
        <v>4501</v>
      </c>
      <c r="C73" s="726">
        <v>2000000000</v>
      </c>
      <c r="D73" s="726">
        <f>C73/C12*100</f>
        <v>0.10951665808603651</v>
      </c>
      <c r="E73" s="729"/>
      <c r="F73" s="729"/>
      <c r="G73" s="590"/>
      <c r="H73" s="590"/>
      <c r="I73" s="729"/>
      <c r="J73" s="594"/>
      <c r="K73" s="730"/>
      <c r="L73" s="730"/>
      <c r="M73" s="474"/>
    </row>
    <row r="74" spans="1:13" s="475" customFormat="1" ht="18.75" hidden="1" customHeight="1" x14ac:dyDescent="0.2">
      <c r="A74" s="725"/>
      <c r="B74" s="1172" t="s">
        <v>4502</v>
      </c>
      <c r="C74" s="726">
        <v>1000000000</v>
      </c>
      <c r="D74" s="726">
        <f>C74/C12*100</f>
        <v>5.4758329043018257E-2</v>
      </c>
      <c r="E74" s="729"/>
      <c r="F74" s="729"/>
      <c r="G74" s="590"/>
      <c r="H74" s="590"/>
      <c r="I74" s="729"/>
      <c r="J74" s="594"/>
      <c r="K74" s="730"/>
      <c r="L74" s="730"/>
      <c r="M74" s="474"/>
    </row>
    <row r="75" spans="1:13" s="475" customFormat="1" ht="18.75" hidden="1" customHeight="1" x14ac:dyDescent="0.2">
      <c r="A75" s="725"/>
      <c r="B75" s="1172" t="s">
        <v>4503</v>
      </c>
      <c r="C75" s="726">
        <v>3000000000</v>
      </c>
      <c r="D75" s="726">
        <f>C75/C12*100</f>
        <v>0.16427498712905475</v>
      </c>
      <c r="E75" s="729"/>
      <c r="F75" s="729"/>
      <c r="G75" s="590"/>
      <c r="H75" s="590"/>
      <c r="I75" s="729"/>
      <c r="J75" s="594"/>
      <c r="K75" s="730"/>
      <c r="L75" s="730"/>
      <c r="M75" s="474"/>
    </row>
    <row r="76" spans="1:13" s="475" customFormat="1" ht="18.75" hidden="1" customHeight="1" x14ac:dyDescent="0.2">
      <c r="A76" s="725"/>
      <c r="B76" s="1172" t="s">
        <v>4504</v>
      </c>
      <c r="C76" s="726">
        <v>3660000000</v>
      </c>
      <c r="D76" s="726">
        <f>C76/C12*100</f>
        <v>0.20041548429744682</v>
      </c>
      <c r="E76" s="729"/>
      <c r="F76" s="729"/>
      <c r="G76" s="590"/>
      <c r="H76" s="590"/>
      <c r="I76" s="729"/>
      <c r="J76" s="594"/>
      <c r="K76" s="730"/>
      <c r="L76" s="730"/>
      <c r="M76" s="474"/>
    </row>
    <row r="77" spans="1:13" s="475" customFormat="1" ht="18.75" hidden="1" customHeight="1" x14ac:dyDescent="0.2">
      <c r="A77" s="725"/>
      <c r="B77" s="1172" t="s">
        <v>4505</v>
      </c>
      <c r="C77" s="726">
        <v>3000000000</v>
      </c>
      <c r="D77" s="726">
        <f>C77/C12*100</f>
        <v>0.16427498712905475</v>
      </c>
      <c r="E77" s="729"/>
      <c r="F77" s="729"/>
      <c r="G77" s="590"/>
      <c r="H77" s="590"/>
      <c r="I77" s="729"/>
      <c r="J77" s="594"/>
      <c r="K77" s="730"/>
      <c r="L77" s="730"/>
      <c r="M77" s="474"/>
    </row>
    <row r="78" spans="1:13" s="475" customFormat="1" ht="18.75" hidden="1" customHeight="1" x14ac:dyDescent="0.2">
      <c r="A78" s="725"/>
      <c r="B78" s="1172" t="s">
        <v>4506</v>
      </c>
      <c r="C78" s="726">
        <v>2500000000</v>
      </c>
      <c r="D78" s="726">
        <f>C78/C12*100</f>
        <v>0.13689582260754563</v>
      </c>
      <c r="E78" s="729"/>
      <c r="F78" s="729"/>
      <c r="G78" s="590"/>
      <c r="H78" s="590"/>
      <c r="I78" s="729"/>
      <c r="J78" s="594"/>
      <c r="K78" s="730"/>
      <c r="L78" s="730"/>
      <c r="M78" s="474"/>
    </row>
    <row r="79" spans="1:13" s="475" customFormat="1" ht="18.75" hidden="1" customHeight="1" x14ac:dyDescent="0.2">
      <c r="A79" s="725"/>
      <c r="B79" s="1172" t="s">
        <v>4507</v>
      </c>
      <c r="C79" s="726">
        <v>3871250000</v>
      </c>
      <c r="D79" s="726">
        <f>C79/C12*100</f>
        <v>0.21198318130778443</v>
      </c>
      <c r="E79" s="729"/>
      <c r="F79" s="729"/>
      <c r="G79" s="590"/>
      <c r="H79" s="590"/>
      <c r="I79" s="729"/>
      <c r="J79" s="594"/>
      <c r="K79" s="730"/>
      <c r="L79" s="730"/>
      <c r="M79" s="474"/>
    </row>
    <row r="80" spans="1:13" s="475" customFormat="1" ht="18.75" hidden="1" customHeight="1" x14ac:dyDescent="0.2">
      <c r="A80" s="725"/>
      <c r="B80" s="1172" t="s">
        <v>4508</v>
      </c>
      <c r="C80" s="1168">
        <v>3750000000</v>
      </c>
      <c r="D80" s="726">
        <f>C80/C12*100</f>
        <v>0.20534373391131847</v>
      </c>
      <c r="E80" s="729"/>
      <c r="F80" s="729"/>
      <c r="G80" s="590"/>
      <c r="H80" s="590"/>
      <c r="I80" s="729"/>
      <c r="J80" s="594"/>
      <c r="K80" s="730"/>
      <c r="L80" s="730"/>
      <c r="M80" s="474"/>
    </row>
    <row r="81" spans="1:13" s="477" customFormat="1" ht="12" hidden="1" customHeight="1" x14ac:dyDescent="0.25">
      <c r="A81" s="733"/>
      <c r="B81" s="1172"/>
      <c r="C81" s="726"/>
      <c r="D81" s="740"/>
      <c r="E81" s="729"/>
      <c r="F81" s="734"/>
      <c r="G81" s="582"/>
      <c r="H81" s="582"/>
      <c r="I81" s="729"/>
      <c r="J81" s="594"/>
      <c r="K81" s="728"/>
      <c r="L81" s="728"/>
      <c r="M81" s="478"/>
    </row>
    <row r="82" spans="1:13" s="477" customFormat="1" ht="19.5" hidden="1" customHeight="1" x14ac:dyDescent="0.25">
      <c r="A82" s="733"/>
      <c r="B82" s="1173" t="s">
        <v>4509</v>
      </c>
      <c r="C82" s="737">
        <f>SUM(C83:C91)</f>
        <v>48525000000</v>
      </c>
      <c r="D82" s="743">
        <f>C82/C12*100</f>
        <v>2.6571479168124608</v>
      </c>
      <c r="E82" s="737"/>
      <c r="F82" s="737"/>
      <c r="G82" s="603"/>
      <c r="H82" s="603"/>
      <c r="I82" s="737"/>
      <c r="J82" s="587"/>
      <c r="K82" s="603"/>
      <c r="L82" s="603"/>
      <c r="M82" s="478"/>
    </row>
    <row r="83" spans="1:13" s="477" customFormat="1" ht="17.25" hidden="1" customHeight="1" x14ac:dyDescent="0.25">
      <c r="A83" s="733"/>
      <c r="B83" s="1172" t="s">
        <v>4510</v>
      </c>
      <c r="C83" s="726">
        <v>8000000000</v>
      </c>
      <c r="D83" s="726">
        <f>C83/C12*100</f>
        <v>0.43806663234414606</v>
      </c>
      <c r="E83" s="729"/>
      <c r="F83" s="729"/>
      <c r="G83" s="582"/>
      <c r="H83" s="729"/>
      <c r="I83" s="729"/>
      <c r="J83" s="594"/>
      <c r="K83" s="582"/>
      <c r="L83" s="728"/>
      <c r="M83" s="478"/>
    </row>
    <row r="84" spans="1:13" s="477" customFormat="1" ht="18" hidden="1" customHeight="1" x14ac:dyDescent="0.25">
      <c r="A84" s="733"/>
      <c r="B84" s="1172" t="s">
        <v>4511</v>
      </c>
      <c r="C84" s="726">
        <v>10000000000</v>
      </c>
      <c r="D84" s="726">
        <f>C84/C12*100</f>
        <v>0.5475832904301825</v>
      </c>
      <c r="E84" s="726"/>
      <c r="F84" s="726"/>
      <c r="G84" s="582"/>
      <c r="H84" s="726"/>
      <c r="I84" s="726"/>
      <c r="J84" s="586"/>
      <c r="K84" s="582"/>
      <c r="L84" s="744"/>
      <c r="M84" s="478"/>
    </row>
    <row r="85" spans="1:13" s="477" customFormat="1" ht="18.75" hidden="1" customHeight="1" x14ac:dyDescent="0.25">
      <c r="A85" s="733"/>
      <c r="B85" s="1172" t="s">
        <v>4512</v>
      </c>
      <c r="C85" s="726">
        <v>8000000000</v>
      </c>
      <c r="D85" s="726">
        <f>C85/C12*100</f>
        <v>0.43806663234414606</v>
      </c>
      <c r="E85" s="726"/>
      <c r="F85" s="726"/>
      <c r="G85" s="582"/>
      <c r="H85" s="726"/>
      <c r="I85" s="726"/>
      <c r="J85" s="586"/>
      <c r="K85" s="582"/>
      <c r="L85" s="582"/>
      <c r="M85" s="478"/>
    </row>
    <row r="86" spans="1:13" s="477" customFormat="1" ht="18.75" hidden="1" customHeight="1" x14ac:dyDescent="0.25">
      <c r="A86" s="733"/>
      <c r="B86" s="1172" t="s">
        <v>4513</v>
      </c>
      <c r="C86" s="726">
        <v>7000000000</v>
      </c>
      <c r="D86" s="726">
        <f>C86/C12*100</f>
        <v>0.38330830330112781</v>
      </c>
      <c r="E86" s="729"/>
      <c r="F86" s="729"/>
      <c r="G86" s="582"/>
      <c r="H86" s="729"/>
      <c r="I86" s="729"/>
      <c r="J86" s="594"/>
      <c r="K86" s="582"/>
      <c r="L86" s="728"/>
      <c r="M86" s="478"/>
    </row>
    <row r="87" spans="1:13" s="477" customFormat="1" ht="21" hidden="1" customHeight="1" x14ac:dyDescent="0.25">
      <c r="A87" s="733"/>
      <c r="B87" s="1172" t="s">
        <v>4514</v>
      </c>
      <c r="C87" s="726">
        <v>3000000000</v>
      </c>
      <c r="D87" s="726">
        <f>C87/C12*100</f>
        <v>0.16427498712905475</v>
      </c>
      <c r="E87" s="729"/>
      <c r="F87" s="729"/>
      <c r="G87" s="582"/>
      <c r="H87" s="729"/>
      <c r="I87" s="729"/>
      <c r="J87" s="594"/>
      <c r="K87" s="582"/>
      <c r="L87" s="728"/>
      <c r="M87" s="478"/>
    </row>
    <row r="88" spans="1:13" s="477" customFormat="1" ht="19.5" hidden="1" customHeight="1" x14ac:dyDescent="0.25">
      <c r="A88" s="733"/>
      <c r="B88" s="1172" t="s">
        <v>4515</v>
      </c>
      <c r="C88" s="726">
        <v>3000000000</v>
      </c>
      <c r="D88" s="726">
        <f>C88/C12*100</f>
        <v>0.16427498712905475</v>
      </c>
      <c r="E88" s="729"/>
      <c r="F88" s="729"/>
      <c r="G88" s="582"/>
      <c r="H88" s="729"/>
      <c r="I88" s="729"/>
      <c r="J88" s="594"/>
      <c r="K88" s="582"/>
      <c r="L88" s="728"/>
      <c r="M88" s="478"/>
    </row>
    <row r="89" spans="1:13" s="477" customFormat="1" ht="18.75" hidden="1" customHeight="1" x14ac:dyDescent="0.25">
      <c r="A89" s="733"/>
      <c r="B89" s="1172" t="s">
        <v>4516</v>
      </c>
      <c r="C89" s="726">
        <v>3000000000</v>
      </c>
      <c r="D89" s="726">
        <f>C89/C12*100</f>
        <v>0.16427498712905475</v>
      </c>
      <c r="E89" s="729"/>
      <c r="F89" s="729"/>
      <c r="G89" s="584"/>
      <c r="H89" s="729"/>
      <c r="I89" s="729"/>
      <c r="J89" s="594"/>
      <c r="K89" s="582"/>
      <c r="L89" s="728"/>
      <c r="M89" s="478"/>
    </row>
    <row r="90" spans="1:13" s="477" customFormat="1" ht="18.75" hidden="1" customHeight="1" x14ac:dyDescent="0.25">
      <c r="A90" s="733"/>
      <c r="B90" s="1174" t="s">
        <v>4517</v>
      </c>
      <c r="C90" s="740">
        <v>3000000000</v>
      </c>
      <c r="D90" s="740">
        <f t="shared" ref="D90" si="0">C90/C13*100</f>
        <v>0.17676107947284189</v>
      </c>
      <c r="E90" s="745"/>
      <c r="F90" s="734"/>
      <c r="G90" s="584"/>
      <c r="H90" s="729"/>
      <c r="I90" s="745"/>
      <c r="J90" s="594"/>
      <c r="K90" s="582"/>
      <c r="L90" s="728"/>
      <c r="M90" s="478"/>
    </row>
    <row r="91" spans="1:13" s="477" customFormat="1" ht="20.25" hidden="1" customHeight="1" x14ac:dyDescent="0.25">
      <c r="A91" s="733"/>
      <c r="B91" s="1172" t="s">
        <v>4518</v>
      </c>
      <c r="C91" s="726">
        <v>3525000000</v>
      </c>
      <c r="D91" s="726">
        <f>C91/C12*100</f>
        <v>0.19302310987663934</v>
      </c>
      <c r="E91" s="729"/>
      <c r="F91" s="734"/>
      <c r="G91" s="584"/>
      <c r="H91" s="729"/>
      <c r="I91" s="745"/>
      <c r="J91" s="594"/>
      <c r="K91" s="582"/>
      <c r="L91" s="728"/>
      <c r="M91" s="478"/>
    </row>
    <row r="92" spans="1:13" s="477" customFormat="1" ht="15.75" hidden="1" customHeight="1" x14ac:dyDescent="0.25">
      <c r="A92" s="733"/>
      <c r="B92" s="1174"/>
      <c r="C92" s="751"/>
      <c r="D92" s="751"/>
      <c r="E92" s="745"/>
      <c r="F92" s="734"/>
      <c r="G92" s="582"/>
      <c r="H92" s="582"/>
      <c r="I92" s="745"/>
      <c r="J92" s="594"/>
      <c r="K92" s="728"/>
      <c r="L92" s="728"/>
      <c r="M92" s="478"/>
    </row>
    <row r="93" spans="1:13" s="477" customFormat="1" ht="18.75" hidden="1" customHeight="1" x14ac:dyDescent="0.25">
      <c r="A93" s="733"/>
      <c r="B93" s="1173" t="s">
        <v>4519</v>
      </c>
      <c r="C93" s="737">
        <f>SUM(C94:C106)</f>
        <v>52000000000</v>
      </c>
      <c r="D93" s="743">
        <f>C93/C12*100</f>
        <v>2.847433110236949</v>
      </c>
      <c r="E93" s="737"/>
      <c r="F93" s="737"/>
      <c r="G93" s="603"/>
      <c r="H93" s="603"/>
      <c r="I93" s="737"/>
      <c r="J93" s="587"/>
      <c r="K93" s="603"/>
      <c r="L93" s="603"/>
      <c r="M93" s="478"/>
    </row>
    <row r="94" spans="1:13" s="477" customFormat="1" ht="18" hidden="1" customHeight="1" x14ac:dyDescent="0.25">
      <c r="A94" s="733"/>
      <c r="B94" s="1172" t="s">
        <v>4520</v>
      </c>
      <c r="C94" s="1168">
        <v>4000000000</v>
      </c>
      <c r="D94" s="726">
        <f>C94/C12*100</f>
        <v>0.21903331617207303</v>
      </c>
      <c r="E94" s="729"/>
      <c r="F94" s="729"/>
      <c r="G94" s="582"/>
      <c r="H94" s="729"/>
      <c r="I94" s="729"/>
      <c r="J94" s="594"/>
      <c r="K94" s="582"/>
      <c r="L94" s="728"/>
      <c r="M94" s="478"/>
    </row>
    <row r="95" spans="1:13" s="477" customFormat="1" ht="15.75" hidden="1" customHeight="1" x14ac:dyDescent="0.25">
      <c r="A95" s="733"/>
      <c r="B95" s="1172" t="s">
        <v>4521</v>
      </c>
      <c r="C95" s="726">
        <v>3000000000</v>
      </c>
      <c r="D95" s="726">
        <f>C95/C12*100</f>
        <v>0.16427498712905475</v>
      </c>
      <c r="E95" s="729"/>
      <c r="F95" s="729"/>
      <c r="G95" s="582"/>
      <c r="H95" s="729"/>
      <c r="I95" s="729"/>
      <c r="J95" s="594"/>
      <c r="K95" s="582"/>
      <c r="L95" s="728"/>
      <c r="M95" s="478"/>
    </row>
    <row r="96" spans="1:13" s="477" customFormat="1" ht="18.75" hidden="1" customHeight="1" x14ac:dyDescent="0.25">
      <c r="A96" s="733"/>
      <c r="B96" s="1172" t="s">
        <v>4522</v>
      </c>
      <c r="C96" s="726">
        <v>3000000000</v>
      </c>
      <c r="D96" s="726">
        <f>C96/C12*100</f>
        <v>0.16427498712905475</v>
      </c>
      <c r="E96" s="729"/>
      <c r="F96" s="729"/>
      <c r="G96" s="582"/>
      <c r="H96" s="729"/>
      <c r="I96" s="729"/>
      <c r="J96" s="594"/>
      <c r="K96" s="582"/>
      <c r="L96" s="728"/>
      <c r="M96" s="478"/>
    </row>
    <row r="97" spans="1:13" s="477" customFormat="1" ht="15" hidden="1" customHeight="1" x14ac:dyDescent="0.25">
      <c r="A97" s="733"/>
      <c r="B97" s="1172" t="s">
        <v>4523</v>
      </c>
      <c r="C97" s="726">
        <v>12500000000</v>
      </c>
      <c r="D97" s="726">
        <f>C97/C12*100</f>
        <v>0.68447911303772813</v>
      </c>
      <c r="E97" s="729"/>
      <c r="F97" s="729"/>
      <c r="G97" s="582"/>
      <c r="H97" s="729"/>
      <c r="I97" s="729"/>
      <c r="J97" s="594"/>
      <c r="K97" s="582"/>
      <c r="L97" s="728"/>
      <c r="M97" s="478"/>
    </row>
    <row r="98" spans="1:13" s="477" customFormat="1" ht="16.5" hidden="1" customHeight="1" x14ac:dyDescent="0.25">
      <c r="A98" s="733"/>
      <c r="B98" s="1172" t="s">
        <v>4524</v>
      </c>
      <c r="C98" s="726">
        <v>4000000000</v>
      </c>
      <c r="D98" s="726">
        <f>C98/C12*100</f>
        <v>0.21903331617207303</v>
      </c>
      <c r="E98" s="729"/>
      <c r="F98" s="734"/>
      <c r="G98" s="582"/>
      <c r="H98" s="582"/>
      <c r="I98" s="729"/>
      <c r="J98" s="594"/>
      <c r="K98" s="728"/>
      <c r="L98" s="728"/>
      <c r="M98" s="478"/>
    </row>
    <row r="99" spans="1:13" s="477" customFormat="1" ht="18" hidden="1" customHeight="1" x14ac:dyDescent="0.25">
      <c r="A99" s="733"/>
      <c r="B99" s="1172" t="s">
        <v>4525</v>
      </c>
      <c r="C99" s="726">
        <v>4000000000</v>
      </c>
      <c r="D99" s="726">
        <f>C99/C12*100</f>
        <v>0.21903331617207303</v>
      </c>
      <c r="E99" s="729"/>
      <c r="F99" s="734"/>
      <c r="G99" s="582"/>
      <c r="H99" s="582"/>
      <c r="I99" s="729"/>
      <c r="J99" s="594"/>
      <c r="K99" s="728"/>
      <c r="L99" s="728"/>
      <c r="M99" s="478"/>
    </row>
    <row r="100" spans="1:13" s="477" customFormat="1" ht="16.5" hidden="1" customHeight="1" x14ac:dyDescent="0.25">
      <c r="A100" s="733"/>
      <c r="B100" s="1172" t="s">
        <v>4526</v>
      </c>
      <c r="C100" s="726">
        <v>3000000000</v>
      </c>
      <c r="D100" s="726">
        <f>C100/C12*100</f>
        <v>0.16427498712905475</v>
      </c>
      <c r="E100" s="729"/>
      <c r="F100" s="734"/>
      <c r="G100" s="582"/>
      <c r="H100" s="582"/>
      <c r="I100" s="729"/>
      <c r="J100" s="594"/>
      <c r="K100" s="728"/>
      <c r="L100" s="728"/>
      <c r="M100" s="478"/>
    </row>
    <row r="101" spans="1:13" s="477" customFormat="1" ht="15.75" hidden="1" customHeight="1" x14ac:dyDescent="0.25">
      <c r="A101" s="733"/>
      <c r="B101" s="1172" t="s">
        <v>4527</v>
      </c>
      <c r="C101" s="726">
        <v>3000000000</v>
      </c>
      <c r="D101" s="726">
        <f>C101/C12*100</f>
        <v>0.16427498712905475</v>
      </c>
      <c r="E101" s="729"/>
      <c r="F101" s="734"/>
      <c r="G101" s="582"/>
      <c r="H101" s="582"/>
      <c r="I101" s="729"/>
      <c r="J101" s="594"/>
      <c r="K101" s="728"/>
      <c r="L101" s="728"/>
      <c r="M101" s="478"/>
    </row>
    <row r="102" spans="1:13" s="477" customFormat="1" ht="15.75" hidden="1" customHeight="1" x14ac:dyDescent="0.25">
      <c r="A102" s="733"/>
      <c r="B102" s="1172" t="s">
        <v>4528</v>
      </c>
      <c r="C102" s="726">
        <v>3000000000</v>
      </c>
      <c r="D102" s="726">
        <f>C102/C12*100</f>
        <v>0.16427498712905475</v>
      </c>
      <c r="E102" s="729"/>
      <c r="F102" s="734"/>
      <c r="G102" s="582"/>
      <c r="H102" s="582"/>
      <c r="I102" s="729"/>
      <c r="J102" s="594"/>
      <c r="K102" s="728"/>
      <c r="L102" s="728"/>
      <c r="M102" s="478"/>
    </row>
    <row r="103" spans="1:13" s="477" customFormat="1" ht="18.75" hidden="1" customHeight="1" x14ac:dyDescent="0.25">
      <c r="A103" s="733"/>
      <c r="B103" s="1172" t="s">
        <v>4529</v>
      </c>
      <c r="C103" s="726">
        <v>3000000000</v>
      </c>
      <c r="D103" s="726">
        <f>C103/C12*100</f>
        <v>0.16427498712905475</v>
      </c>
      <c r="E103" s="729"/>
      <c r="F103" s="734"/>
      <c r="G103" s="582"/>
      <c r="H103" s="582"/>
      <c r="I103" s="729"/>
      <c r="J103" s="594"/>
      <c r="K103" s="728"/>
      <c r="L103" s="728"/>
      <c r="M103" s="478"/>
    </row>
    <row r="104" spans="1:13" s="477" customFormat="1" ht="18" hidden="1" customHeight="1" x14ac:dyDescent="0.25">
      <c r="A104" s="733"/>
      <c r="B104" s="1172" t="s">
        <v>4530</v>
      </c>
      <c r="C104" s="726">
        <v>4000000000</v>
      </c>
      <c r="D104" s="726">
        <f>C104/C12*100</f>
        <v>0.21903331617207303</v>
      </c>
      <c r="E104" s="729"/>
      <c r="F104" s="734"/>
      <c r="G104" s="582"/>
      <c r="H104" s="582"/>
      <c r="I104" s="729"/>
      <c r="J104" s="594"/>
      <c r="K104" s="728"/>
      <c r="L104" s="728"/>
      <c r="M104" s="478"/>
    </row>
    <row r="105" spans="1:13" s="477" customFormat="1" ht="17.25" hidden="1" customHeight="1" x14ac:dyDescent="0.25">
      <c r="A105" s="733"/>
      <c r="B105" s="1172" t="s">
        <v>4531</v>
      </c>
      <c r="C105" s="726">
        <v>3000000000</v>
      </c>
      <c r="D105" s="726">
        <f>C105/C12*100</f>
        <v>0.16427498712905475</v>
      </c>
      <c r="E105" s="729"/>
      <c r="F105" s="734"/>
      <c r="G105" s="582"/>
      <c r="H105" s="582"/>
      <c r="I105" s="729"/>
      <c r="J105" s="594"/>
      <c r="K105" s="728"/>
      <c r="L105" s="728"/>
      <c r="M105" s="478"/>
    </row>
    <row r="106" spans="1:13" s="477" customFormat="1" ht="17.25" hidden="1" customHeight="1" x14ac:dyDescent="0.25">
      <c r="A106" s="733"/>
      <c r="B106" s="1172" t="s">
        <v>4532</v>
      </c>
      <c r="C106" s="726">
        <v>2500000000</v>
      </c>
      <c r="D106" s="726">
        <f>C106/C12*100</f>
        <v>0.13689582260754563</v>
      </c>
      <c r="E106" s="729"/>
      <c r="F106" s="734"/>
      <c r="G106" s="582"/>
      <c r="H106" s="582"/>
      <c r="I106" s="729"/>
      <c r="J106" s="594"/>
      <c r="K106" s="728"/>
      <c r="L106" s="728"/>
      <c r="M106" s="478"/>
    </row>
    <row r="107" spans="1:13" s="477" customFormat="1" ht="12" hidden="1" customHeight="1" x14ac:dyDescent="0.25">
      <c r="A107" s="733"/>
      <c r="B107" s="1172"/>
      <c r="C107" s="726"/>
      <c r="D107" s="740"/>
      <c r="E107" s="729"/>
      <c r="F107" s="734"/>
      <c r="G107" s="582"/>
      <c r="H107" s="582"/>
      <c r="I107" s="729"/>
      <c r="J107" s="594"/>
      <c r="K107" s="728"/>
      <c r="L107" s="728"/>
      <c r="M107" s="478"/>
    </row>
    <row r="108" spans="1:13" s="477" customFormat="1" ht="33" hidden="1" customHeight="1" x14ac:dyDescent="0.25">
      <c r="A108" s="733"/>
      <c r="B108" s="1173" t="s">
        <v>4533</v>
      </c>
      <c r="C108" s="737">
        <f>SUM(C109:C118)</f>
        <v>23315320000</v>
      </c>
      <c r="D108" s="743">
        <f>C108/C12*100</f>
        <v>1.2767079643032644</v>
      </c>
      <c r="E108" s="736"/>
      <c r="F108" s="736"/>
      <c r="G108" s="603"/>
      <c r="H108" s="603"/>
      <c r="I108" s="736"/>
      <c r="J108" s="746"/>
      <c r="K108" s="736"/>
      <c r="L108" s="736"/>
      <c r="M108" s="478"/>
    </row>
    <row r="109" spans="1:13" s="477" customFormat="1" ht="22.5" hidden="1" customHeight="1" x14ac:dyDescent="0.25">
      <c r="A109" s="733"/>
      <c r="B109" s="1172" t="s">
        <v>4534</v>
      </c>
      <c r="C109" s="1167">
        <v>3000000000</v>
      </c>
      <c r="D109" s="726">
        <f>C109/C12*100</f>
        <v>0.16427498712905475</v>
      </c>
      <c r="E109" s="729"/>
      <c r="F109" s="729"/>
      <c r="G109" s="582"/>
      <c r="H109" s="729"/>
      <c r="I109" s="729"/>
      <c r="J109" s="594"/>
      <c r="K109" s="729"/>
      <c r="L109" s="729"/>
      <c r="M109" s="478"/>
    </row>
    <row r="110" spans="1:13" s="477" customFormat="1" ht="15.75" hidden="1" customHeight="1" x14ac:dyDescent="0.25">
      <c r="A110" s="733"/>
      <c r="B110" s="1172" t="s">
        <v>4535</v>
      </c>
      <c r="C110" s="731">
        <v>3000000000</v>
      </c>
      <c r="D110" s="726">
        <f>C110/C12*100</f>
        <v>0.16427498712905475</v>
      </c>
      <c r="E110" s="729"/>
      <c r="F110" s="738"/>
      <c r="G110" s="590"/>
      <c r="H110" s="590"/>
      <c r="I110" s="729"/>
      <c r="J110" s="747"/>
      <c r="K110" s="730"/>
      <c r="L110" s="739"/>
      <c r="M110" s="474"/>
    </row>
    <row r="111" spans="1:13" s="477" customFormat="1" ht="18.75" hidden="1" customHeight="1" x14ac:dyDescent="0.25">
      <c r="A111" s="733"/>
      <c r="B111" s="1172" t="s">
        <v>4536</v>
      </c>
      <c r="C111" s="731">
        <v>3000000000</v>
      </c>
      <c r="D111" s="726">
        <f>C111/C12*100</f>
        <v>0.16427498712905475</v>
      </c>
      <c r="E111" s="729"/>
      <c r="F111" s="738"/>
      <c r="G111" s="590"/>
      <c r="H111" s="590"/>
      <c r="I111" s="729"/>
      <c r="J111" s="747"/>
      <c r="K111" s="730"/>
      <c r="L111" s="739"/>
      <c r="M111" s="474"/>
    </row>
    <row r="112" spans="1:13" s="477" customFormat="1" ht="19.5" hidden="1" customHeight="1" x14ac:dyDescent="0.25">
      <c r="A112" s="733"/>
      <c r="B112" s="1172" t="s">
        <v>4537</v>
      </c>
      <c r="C112" s="726">
        <v>1000000000</v>
      </c>
      <c r="D112" s="726">
        <f>C112/C12*100</f>
        <v>5.4758329043018257E-2</v>
      </c>
      <c r="E112" s="729"/>
      <c r="F112" s="738"/>
      <c r="G112" s="590"/>
      <c r="H112" s="590"/>
      <c r="I112" s="729"/>
      <c r="J112" s="747"/>
      <c r="K112" s="730"/>
      <c r="L112" s="739"/>
      <c r="M112" s="474"/>
    </row>
    <row r="113" spans="1:13" s="477" customFormat="1" ht="19.5" hidden="1" customHeight="1" x14ac:dyDescent="0.25">
      <c r="A113" s="733"/>
      <c r="B113" s="1172" t="s">
        <v>4538</v>
      </c>
      <c r="C113" s="726">
        <v>1000000000</v>
      </c>
      <c r="D113" s="726">
        <f>C113/C12*100</f>
        <v>5.4758329043018257E-2</v>
      </c>
      <c r="E113" s="729"/>
      <c r="F113" s="738"/>
      <c r="G113" s="590"/>
      <c r="H113" s="590"/>
      <c r="I113" s="729"/>
      <c r="J113" s="747"/>
      <c r="K113" s="730"/>
      <c r="L113" s="739"/>
      <c r="M113" s="474"/>
    </row>
    <row r="114" spans="1:13" s="477" customFormat="1" ht="18.75" hidden="1" customHeight="1" x14ac:dyDescent="0.25">
      <c r="A114" s="733"/>
      <c r="B114" s="1172" t="s">
        <v>4539</v>
      </c>
      <c r="C114" s="726">
        <v>4200000000</v>
      </c>
      <c r="D114" s="726">
        <f>C114/C12*100</f>
        <v>0.22998498198067668</v>
      </c>
      <c r="E114" s="729"/>
      <c r="F114" s="738"/>
      <c r="G114" s="590"/>
      <c r="H114" s="590"/>
      <c r="I114" s="729"/>
      <c r="J114" s="747"/>
      <c r="K114" s="730"/>
      <c r="L114" s="739"/>
      <c r="M114" s="474"/>
    </row>
    <row r="115" spans="1:13" s="477" customFormat="1" ht="19.5" hidden="1" customHeight="1" x14ac:dyDescent="0.25">
      <c r="A115" s="733"/>
      <c r="B115" s="1172" t="s">
        <v>4540</v>
      </c>
      <c r="C115" s="726">
        <v>2500000000</v>
      </c>
      <c r="D115" s="726">
        <f>C115/C12*100</f>
        <v>0.13689582260754563</v>
      </c>
      <c r="E115" s="729"/>
      <c r="F115" s="738"/>
      <c r="G115" s="590"/>
      <c r="H115" s="590"/>
      <c r="I115" s="729"/>
      <c r="J115" s="747"/>
      <c r="K115" s="730"/>
      <c r="L115" s="739"/>
      <c r="M115" s="474"/>
    </row>
    <row r="116" spans="1:13" s="477" customFormat="1" ht="18" hidden="1" customHeight="1" x14ac:dyDescent="0.25">
      <c r="A116" s="733"/>
      <c r="B116" s="1172" t="s">
        <v>4541</v>
      </c>
      <c r="C116" s="726">
        <v>1500000000</v>
      </c>
      <c r="D116" s="726">
        <f>C116/C12*100</f>
        <v>8.2137493564527375E-2</v>
      </c>
      <c r="E116" s="729"/>
      <c r="F116" s="738"/>
      <c r="G116" s="590"/>
      <c r="H116" s="590"/>
      <c r="I116" s="729"/>
      <c r="J116" s="747"/>
      <c r="K116" s="730"/>
      <c r="L116" s="739"/>
      <c r="M116" s="474"/>
    </row>
    <row r="117" spans="1:13" s="477" customFormat="1" ht="30" hidden="1" customHeight="1" x14ac:dyDescent="0.25">
      <c r="A117" s="733"/>
      <c r="B117" s="1172" t="s">
        <v>4543</v>
      </c>
      <c r="C117" s="726">
        <v>2403500000</v>
      </c>
      <c r="D117" s="726">
        <f>C117/C12*100</f>
        <v>0.13161164385489438</v>
      </c>
      <c r="E117" s="729"/>
      <c r="F117" s="738"/>
      <c r="G117" s="590"/>
      <c r="H117" s="590"/>
      <c r="I117" s="729"/>
      <c r="J117" s="747"/>
      <c r="K117" s="730"/>
      <c r="L117" s="739"/>
      <c r="M117" s="474"/>
    </row>
    <row r="118" spans="1:13" s="477" customFormat="1" ht="21.75" hidden="1" customHeight="1" x14ac:dyDescent="0.25">
      <c r="A118" s="733"/>
      <c r="B118" s="1172" t="s">
        <v>4542</v>
      </c>
      <c r="C118" s="726">
        <v>1711820000</v>
      </c>
      <c r="D118" s="726">
        <f>C118/C12*100</f>
        <v>9.3736402822419518E-2</v>
      </c>
      <c r="E118" s="729"/>
      <c r="F118" s="738"/>
      <c r="G118" s="590"/>
      <c r="H118" s="590"/>
      <c r="I118" s="729"/>
      <c r="J118" s="747"/>
      <c r="K118" s="730"/>
      <c r="L118" s="739"/>
      <c r="M118" s="474"/>
    </row>
    <row r="119" spans="1:13" s="477" customFormat="1" ht="12" hidden="1" customHeight="1" x14ac:dyDescent="0.25">
      <c r="A119" s="733"/>
      <c r="B119" s="1172"/>
      <c r="C119" s="726"/>
      <c r="D119" s="740"/>
      <c r="E119" s="729"/>
      <c r="F119" s="738"/>
      <c r="G119" s="590"/>
      <c r="H119" s="590"/>
      <c r="I119" s="729"/>
      <c r="J119" s="747"/>
      <c r="K119" s="730"/>
      <c r="L119" s="739"/>
      <c r="M119" s="474"/>
    </row>
    <row r="120" spans="1:13" s="470" customFormat="1" ht="19.5" hidden="1" customHeight="1" x14ac:dyDescent="0.25">
      <c r="A120" s="735"/>
      <c r="B120" s="1173" t="s">
        <v>4544</v>
      </c>
      <c r="C120" s="737">
        <f>SUM(C121:C131)</f>
        <v>18243000000</v>
      </c>
      <c r="D120" s="743">
        <f>C120/C12*100</f>
        <v>0.99895619673178204</v>
      </c>
      <c r="E120" s="737"/>
      <c r="F120" s="737"/>
      <c r="G120" s="589"/>
      <c r="H120" s="741"/>
      <c r="I120" s="737"/>
      <c r="J120" s="587"/>
      <c r="K120" s="589"/>
      <c r="L120" s="589"/>
      <c r="M120" s="473"/>
    </row>
    <row r="121" spans="1:13" s="477" customFormat="1" ht="17.25" hidden="1" customHeight="1" x14ac:dyDescent="0.25">
      <c r="A121" s="733"/>
      <c r="B121" s="1184" t="s">
        <v>4545</v>
      </c>
      <c r="C121" s="726">
        <v>500000000</v>
      </c>
      <c r="D121" s="726">
        <f>C121/C12*100</f>
        <v>2.7379164521509129E-2</v>
      </c>
      <c r="E121" s="729"/>
      <c r="F121" s="729"/>
      <c r="G121" s="582"/>
      <c r="H121" s="729"/>
      <c r="I121" s="729"/>
      <c r="J121" s="594"/>
      <c r="K121" s="582"/>
      <c r="L121" s="730"/>
      <c r="M121" s="474"/>
    </row>
    <row r="122" spans="1:13" s="477" customFormat="1" ht="16.5" hidden="1" customHeight="1" x14ac:dyDescent="0.25">
      <c r="A122" s="733"/>
      <c r="B122" s="1172" t="s">
        <v>4546</v>
      </c>
      <c r="C122" s="726">
        <v>1200000000</v>
      </c>
      <c r="D122" s="726">
        <f>C122/C12*100</f>
        <v>6.5709994851621892E-2</v>
      </c>
      <c r="E122" s="729"/>
      <c r="F122" s="729"/>
      <c r="G122" s="582"/>
      <c r="H122" s="729"/>
      <c r="I122" s="729"/>
      <c r="J122" s="748"/>
      <c r="K122" s="582"/>
      <c r="L122" s="590"/>
      <c r="M122" s="474"/>
    </row>
    <row r="123" spans="1:13" s="477" customFormat="1" ht="15.75" hidden="1" customHeight="1" x14ac:dyDescent="0.25">
      <c r="A123" s="733"/>
      <c r="B123" s="1172" t="s">
        <v>4547</v>
      </c>
      <c r="C123" s="726">
        <v>5000000000</v>
      </c>
      <c r="D123" s="726">
        <f>C123/C12*100</f>
        <v>0.27379164521509125</v>
      </c>
      <c r="E123" s="729"/>
      <c r="F123" s="729"/>
      <c r="G123" s="582"/>
      <c r="H123" s="729"/>
      <c r="I123" s="729"/>
      <c r="J123" s="594"/>
      <c r="K123" s="582"/>
      <c r="L123" s="730"/>
      <c r="M123" s="474"/>
    </row>
    <row r="124" spans="1:13" s="477" customFormat="1" ht="15" hidden="1" customHeight="1" x14ac:dyDescent="0.25">
      <c r="A124" s="733"/>
      <c r="B124" s="1172" t="s">
        <v>4548</v>
      </c>
      <c r="C124" s="726">
        <v>800000000</v>
      </c>
      <c r="D124" s="726">
        <f>C124/C12*100</f>
        <v>4.3806663234414601E-2</v>
      </c>
      <c r="E124" s="729"/>
      <c r="F124" s="729"/>
      <c r="G124" s="582"/>
      <c r="H124" s="729"/>
      <c r="I124" s="729"/>
      <c r="J124" s="738"/>
      <c r="K124" s="582"/>
      <c r="L124" s="749"/>
      <c r="M124" s="474"/>
    </row>
    <row r="125" spans="1:13" s="477" customFormat="1" ht="16.5" hidden="1" customHeight="1" x14ac:dyDescent="0.25">
      <c r="A125" s="733"/>
      <c r="B125" s="1172" t="s">
        <v>4549</v>
      </c>
      <c r="C125" s="726">
        <v>1000000000</v>
      </c>
      <c r="D125" s="726">
        <f>C125/C12*100</f>
        <v>5.4758329043018257E-2</v>
      </c>
      <c r="E125" s="726"/>
      <c r="F125" s="726"/>
      <c r="G125" s="582"/>
      <c r="H125" s="726"/>
      <c r="I125" s="726"/>
      <c r="J125" s="750"/>
      <c r="K125" s="582"/>
      <c r="L125" s="726"/>
      <c r="M125" s="474"/>
    </row>
    <row r="126" spans="1:13" s="477" customFormat="1" ht="17.25" hidden="1" customHeight="1" x14ac:dyDescent="0.25">
      <c r="A126" s="733"/>
      <c r="B126" s="1172" t="s">
        <v>4550</v>
      </c>
      <c r="C126" s="726">
        <v>1000000000</v>
      </c>
      <c r="D126" s="726">
        <f>C126/C12*100</f>
        <v>5.4758329043018257E-2</v>
      </c>
      <c r="E126" s="726"/>
      <c r="F126" s="751"/>
      <c r="G126" s="590"/>
      <c r="H126" s="752"/>
      <c r="I126" s="726"/>
      <c r="J126" s="753"/>
      <c r="K126" s="590"/>
      <c r="L126" s="752"/>
      <c r="M126" s="474"/>
    </row>
    <row r="127" spans="1:13" s="477" customFormat="1" ht="18" hidden="1" customHeight="1" x14ac:dyDescent="0.25">
      <c r="A127" s="733"/>
      <c r="B127" s="1172" t="s">
        <v>4551</v>
      </c>
      <c r="C127" s="726">
        <v>1000000000</v>
      </c>
      <c r="D127" s="726">
        <f>C127/C12*100</f>
        <v>5.4758329043018257E-2</v>
      </c>
      <c r="E127" s="726"/>
      <c r="F127" s="751"/>
      <c r="G127" s="590"/>
      <c r="H127" s="752"/>
      <c r="I127" s="726"/>
      <c r="J127" s="753"/>
      <c r="K127" s="590"/>
      <c r="L127" s="752"/>
      <c r="M127" s="474"/>
    </row>
    <row r="128" spans="1:13" s="477" customFormat="1" ht="17.25" hidden="1" customHeight="1" x14ac:dyDescent="0.25">
      <c r="A128" s="733"/>
      <c r="B128" s="1172" t="s">
        <v>4552</v>
      </c>
      <c r="C128" s="726">
        <v>243000000</v>
      </c>
      <c r="D128" s="726">
        <f>C128/C12*100</f>
        <v>1.3306273957453435E-2</v>
      </c>
      <c r="E128" s="726"/>
      <c r="F128" s="751"/>
      <c r="G128" s="590"/>
      <c r="H128" s="752"/>
      <c r="I128" s="726"/>
      <c r="J128" s="753"/>
      <c r="K128" s="590"/>
      <c r="L128" s="752"/>
      <c r="M128" s="474"/>
    </row>
    <row r="129" spans="1:13" s="477" customFormat="1" ht="16.5" hidden="1" customHeight="1" x14ac:dyDescent="0.25">
      <c r="A129" s="733"/>
      <c r="B129" s="1172" t="s">
        <v>4553</v>
      </c>
      <c r="C129" s="726">
        <v>5000000000</v>
      </c>
      <c r="D129" s="726">
        <f>C129/C12*100</f>
        <v>0.27379164521509125</v>
      </c>
      <c r="E129" s="729"/>
      <c r="F129" s="754"/>
      <c r="G129" s="590"/>
      <c r="H129" s="590"/>
      <c r="I129" s="729"/>
      <c r="J129" s="754"/>
      <c r="K129" s="730"/>
      <c r="L129" s="739"/>
      <c r="M129" s="474"/>
    </row>
    <row r="130" spans="1:13" s="470" customFormat="1" ht="18" hidden="1" customHeight="1" x14ac:dyDescent="0.25">
      <c r="A130" s="735"/>
      <c r="B130" s="1172" t="s">
        <v>4554</v>
      </c>
      <c r="C130" s="726">
        <v>1250000000</v>
      </c>
      <c r="D130" s="740">
        <f>C130/C12*100</f>
        <v>6.8447911303772813E-2</v>
      </c>
      <c r="E130" s="736"/>
      <c r="F130" s="736"/>
      <c r="G130" s="589"/>
      <c r="H130" s="737"/>
      <c r="I130" s="736"/>
      <c r="J130" s="746"/>
      <c r="K130" s="589"/>
      <c r="L130" s="589"/>
      <c r="M130" s="473"/>
    </row>
    <row r="131" spans="1:13" s="470" customFormat="1" ht="20.25" hidden="1" customHeight="1" x14ac:dyDescent="0.25">
      <c r="A131" s="735"/>
      <c r="B131" s="1172" t="s">
        <v>4555</v>
      </c>
      <c r="C131" s="726">
        <v>1250000000</v>
      </c>
      <c r="D131" s="740">
        <f>C131/C12*100</f>
        <v>6.8447911303772813E-2</v>
      </c>
      <c r="E131" s="736"/>
      <c r="F131" s="736"/>
      <c r="G131" s="589"/>
      <c r="H131" s="737"/>
      <c r="I131" s="736"/>
      <c r="J131" s="755"/>
      <c r="K131" s="589"/>
      <c r="L131" s="589"/>
      <c r="M131" s="473"/>
    </row>
    <row r="132" spans="1:13" s="470" customFormat="1" ht="15" hidden="1" customHeight="1" x14ac:dyDescent="0.25">
      <c r="A132" s="735"/>
      <c r="B132" s="1185"/>
      <c r="C132" s="726"/>
      <c r="D132" s="743"/>
      <c r="E132" s="736"/>
      <c r="F132" s="736"/>
      <c r="G132" s="589"/>
      <c r="H132" s="737"/>
      <c r="I132" s="736"/>
      <c r="J132" s="755"/>
      <c r="K132" s="589"/>
      <c r="L132" s="589"/>
      <c r="M132" s="473"/>
    </row>
    <row r="133" spans="1:13" s="470" customFormat="1" ht="20.25" hidden="1" customHeight="1" x14ac:dyDescent="0.25">
      <c r="A133" s="735"/>
      <c r="B133" s="1173" t="s">
        <v>4556</v>
      </c>
      <c r="C133" s="737">
        <f>SUM(C134:C145)</f>
        <v>29700000000</v>
      </c>
      <c r="D133" s="743">
        <f>C133/C12*100</f>
        <v>1.6263223725776421</v>
      </c>
      <c r="E133" s="736"/>
      <c r="F133" s="736"/>
      <c r="G133" s="589"/>
      <c r="H133" s="737"/>
      <c r="I133" s="736"/>
      <c r="J133" s="755"/>
      <c r="K133" s="589"/>
      <c r="L133" s="589"/>
      <c r="M133" s="473"/>
    </row>
    <row r="134" spans="1:13" s="477" customFormat="1" ht="18" hidden="1" customHeight="1" x14ac:dyDescent="0.25">
      <c r="A134" s="733"/>
      <c r="B134" s="1172" t="s">
        <v>4560</v>
      </c>
      <c r="C134" s="1168">
        <v>1000000000</v>
      </c>
      <c r="D134" s="726">
        <f>C134/C12*100</f>
        <v>5.4758329043018257E-2</v>
      </c>
      <c r="E134" s="729"/>
      <c r="F134" s="729"/>
      <c r="G134" s="590"/>
      <c r="H134" s="729"/>
      <c r="I134" s="729"/>
      <c r="J134" s="750"/>
      <c r="K134" s="590"/>
      <c r="L134" s="749"/>
      <c r="M134" s="474"/>
    </row>
    <row r="135" spans="1:13" s="477" customFormat="1" ht="15.75" hidden="1" customHeight="1" x14ac:dyDescent="0.25">
      <c r="A135" s="733"/>
      <c r="B135" s="1172" t="s">
        <v>4561</v>
      </c>
      <c r="C135" s="726">
        <v>700000000</v>
      </c>
      <c r="D135" s="726">
        <f>C135/C12*100</f>
        <v>3.8330830330112774E-2</v>
      </c>
      <c r="E135" s="729"/>
      <c r="F135" s="729"/>
      <c r="G135" s="590"/>
      <c r="H135" s="729"/>
      <c r="I135" s="729"/>
      <c r="J135" s="747"/>
      <c r="K135" s="590"/>
      <c r="L135" s="749"/>
      <c r="M135" s="474"/>
    </row>
    <row r="136" spans="1:13" s="477" customFormat="1" ht="16.5" hidden="1" customHeight="1" x14ac:dyDescent="0.25">
      <c r="A136" s="733"/>
      <c r="B136" s="1172" t="s">
        <v>4562</v>
      </c>
      <c r="C136" s="726">
        <v>7000000000</v>
      </c>
      <c r="D136" s="726">
        <f>C136/C12*100</f>
        <v>0.38330830330112781</v>
      </c>
      <c r="E136" s="729"/>
      <c r="F136" s="729"/>
      <c r="G136" s="590"/>
      <c r="H136" s="729"/>
      <c r="I136" s="729"/>
      <c r="J136" s="747"/>
      <c r="K136" s="590"/>
      <c r="L136" s="749"/>
      <c r="M136" s="474"/>
    </row>
    <row r="137" spans="1:13" s="477" customFormat="1" ht="18.75" hidden="1" customHeight="1" x14ac:dyDescent="0.25">
      <c r="A137" s="733"/>
      <c r="B137" s="1172" t="s">
        <v>4563</v>
      </c>
      <c r="C137" s="726">
        <v>1000000000</v>
      </c>
      <c r="D137" s="726">
        <f>C137/C12*100</f>
        <v>5.4758329043018257E-2</v>
      </c>
      <c r="E137" s="729"/>
      <c r="F137" s="729"/>
      <c r="G137" s="590"/>
      <c r="H137" s="729"/>
      <c r="I137" s="729"/>
      <c r="J137" s="747"/>
      <c r="K137" s="590"/>
      <c r="L137" s="749"/>
      <c r="M137" s="474"/>
    </row>
    <row r="138" spans="1:13" s="477" customFormat="1" ht="18" hidden="1" customHeight="1" x14ac:dyDescent="0.25">
      <c r="A138" s="733"/>
      <c r="B138" s="1172" t="s">
        <v>4564</v>
      </c>
      <c r="C138" s="726">
        <v>2000000000</v>
      </c>
      <c r="D138" s="726">
        <f>C138/C12*100</f>
        <v>0.10951665808603651</v>
      </c>
      <c r="E138" s="729"/>
      <c r="F138" s="729"/>
      <c r="G138" s="590"/>
      <c r="H138" s="729"/>
      <c r="I138" s="729"/>
      <c r="J138" s="747"/>
      <c r="K138" s="590"/>
      <c r="L138" s="749"/>
      <c r="M138" s="474"/>
    </row>
    <row r="139" spans="1:13" s="477" customFormat="1" ht="22.5" hidden="1" customHeight="1" x14ac:dyDescent="0.25">
      <c r="A139" s="733"/>
      <c r="B139" s="1172" t="s">
        <v>4565</v>
      </c>
      <c r="C139" s="731">
        <v>1000000000</v>
      </c>
      <c r="D139" s="731">
        <f>C139/C12*100</f>
        <v>5.4758329043018257E-2</v>
      </c>
      <c r="E139" s="729"/>
      <c r="F139" s="729"/>
      <c r="G139" s="590"/>
      <c r="H139" s="729"/>
      <c r="I139" s="729"/>
      <c r="J139" s="747"/>
      <c r="K139" s="590"/>
      <c r="L139" s="749"/>
      <c r="M139" s="474"/>
    </row>
    <row r="140" spans="1:13" s="477" customFormat="1" ht="15.75" hidden="1" customHeight="1" x14ac:dyDescent="0.25">
      <c r="A140" s="733"/>
      <c r="B140" s="1172" t="s">
        <v>4566</v>
      </c>
      <c r="C140" s="726">
        <v>10000000000</v>
      </c>
      <c r="D140" s="726">
        <f>C140/C12*100</f>
        <v>0.5475832904301825</v>
      </c>
      <c r="E140" s="729"/>
      <c r="F140" s="729"/>
      <c r="G140" s="590"/>
      <c r="H140" s="729"/>
      <c r="I140" s="729"/>
      <c r="J140" s="747"/>
      <c r="K140" s="590"/>
      <c r="L140" s="749"/>
      <c r="M140" s="474"/>
    </row>
    <row r="141" spans="1:13" s="477" customFormat="1" ht="18.75" hidden="1" customHeight="1" x14ac:dyDescent="0.25">
      <c r="A141" s="733"/>
      <c r="B141" s="1172" t="s">
        <v>4567</v>
      </c>
      <c r="C141" s="726">
        <v>1000000000</v>
      </c>
      <c r="D141" s="726">
        <f>C141/C12*100</f>
        <v>5.4758329043018257E-2</v>
      </c>
      <c r="E141" s="726"/>
      <c r="F141" s="726"/>
      <c r="G141" s="590"/>
      <c r="H141" s="726"/>
      <c r="I141" s="726"/>
      <c r="J141" s="750"/>
      <c r="K141" s="590"/>
      <c r="L141" s="756"/>
      <c r="M141" s="474"/>
    </row>
    <row r="142" spans="1:13" s="477" customFormat="1" ht="17.25" hidden="1" customHeight="1" x14ac:dyDescent="0.25">
      <c r="A142" s="733"/>
      <c r="B142" s="1172" t="s">
        <v>4568</v>
      </c>
      <c r="C142" s="726">
        <v>1000000000</v>
      </c>
      <c r="D142" s="726">
        <f>C142/C12*100</f>
        <v>5.4758329043018257E-2</v>
      </c>
      <c r="E142" s="731"/>
      <c r="F142" s="726"/>
      <c r="G142" s="590"/>
      <c r="H142" s="726"/>
      <c r="I142" s="731"/>
      <c r="J142" s="750"/>
      <c r="K142" s="590"/>
      <c r="L142" s="756"/>
      <c r="M142" s="474"/>
    </row>
    <row r="143" spans="1:13" s="477" customFormat="1" ht="18" hidden="1" customHeight="1" x14ac:dyDescent="0.25">
      <c r="A143" s="733"/>
      <c r="B143" s="1172" t="s">
        <v>4569</v>
      </c>
      <c r="C143" s="726">
        <v>2000000000</v>
      </c>
      <c r="D143" s="726">
        <f>C143/C12*100</f>
        <v>0.10951665808603651</v>
      </c>
      <c r="E143" s="726"/>
      <c r="F143" s="726"/>
      <c r="G143" s="590"/>
      <c r="H143" s="726"/>
      <c r="I143" s="726"/>
      <c r="J143" s="750"/>
      <c r="K143" s="590"/>
      <c r="L143" s="756"/>
      <c r="M143" s="474"/>
    </row>
    <row r="144" spans="1:13" s="477" customFormat="1" ht="20.25" hidden="1" customHeight="1" x14ac:dyDescent="0.25">
      <c r="A144" s="733"/>
      <c r="B144" s="1172" t="s">
        <v>4570</v>
      </c>
      <c r="C144" s="726">
        <v>2000000000</v>
      </c>
      <c r="D144" s="726">
        <f>C144/C12*100</f>
        <v>0.10951665808603651</v>
      </c>
      <c r="E144" s="726"/>
      <c r="F144" s="726"/>
      <c r="G144" s="590"/>
      <c r="H144" s="726"/>
      <c r="I144" s="726"/>
      <c r="J144" s="750"/>
      <c r="K144" s="590"/>
      <c r="L144" s="756"/>
      <c r="M144" s="474"/>
    </row>
    <row r="145" spans="1:13" s="477" customFormat="1" ht="18.75" hidden="1" customHeight="1" x14ac:dyDescent="0.25">
      <c r="A145" s="733"/>
      <c r="B145" s="1172" t="s">
        <v>4571</v>
      </c>
      <c r="C145" s="726">
        <v>1000000000</v>
      </c>
      <c r="D145" s="726">
        <f>C145/C12*100</f>
        <v>5.4758329043018257E-2</v>
      </c>
      <c r="E145" s="729"/>
      <c r="F145" s="747"/>
      <c r="G145" s="590"/>
      <c r="H145" s="590"/>
      <c r="I145" s="729"/>
      <c r="J145" s="738"/>
      <c r="K145" s="757"/>
      <c r="L145" s="739"/>
      <c r="M145" s="474"/>
    </row>
    <row r="146" spans="1:13" s="470" customFormat="1" ht="13.5" hidden="1" customHeight="1" x14ac:dyDescent="0.25">
      <c r="A146" s="735"/>
      <c r="B146" s="1186"/>
      <c r="C146" s="737"/>
      <c r="D146" s="726"/>
      <c r="E146" s="737"/>
      <c r="F146" s="737"/>
      <c r="G146" s="737"/>
      <c r="H146" s="737"/>
      <c r="I146" s="737"/>
      <c r="J146" s="587"/>
      <c r="K146" s="737"/>
      <c r="L146" s="589"/>
      <c r="M146" s="473"/>
    </row>
    <row r="147" spans="1:13" s="470" customFormat="1" ht="19.5" hidden="1" customHeight="1" x14ac:dyDescent="0.25">
      <c r="A147" s="735"/>
      <c r="B147" s="1173" t="s">
        <v>4557</v>
      </c>
      <c r="C147" s="737">
        <f>SUM(C148:C149)</f>
        <v>9415443450</v>
      </c>
      <c r="D147" s="737">
        <f>C147/C12*100</f>
        <v>0.51557395052103094</v>
      </c>
      <c r="E147" s="737"/>
      <c r="F147" s="737"/>
      <c r="G147" s="737"/>
      <c r="H147" s="737"/>
      <c r="I147" s="737"/>
      <c r="J147" s="587"/>
      <c r="K147" s="737"/>
      <c r="L147" s="589"/>
      <c r="M147" s="473"/>
    </row>
    <row r="148" spans="1:13" s="470" customFormat="1" ht="18" hidden="1" customHeight="1" x14ac:dyDescent="0.25">
      <c r="A148" s="735"/>
      <c r="B148" s="1172" t="s">
        <v>4558</v>
      </c>
      <c r="C148" s="726">
        <v>1000000000</v>
      </c>
      <c r="D148" s="726">
        <f>C148/C12*100</f>
        <v>5.4758329043018257E-2</v>
      </c>
      <c r="E148" s="737"/>
      <c r="F148" s="737"/>
      <c r="G148" s="737"/>
      <c r="H148" s="737"/>
      <c r="I148" s="737"/>
      <c r="J148" s="587"/>
      <c r="K148" s="737"/>
      <c r="L148" s="589"/>
      <c r="M148" s="473"/>
    </row>
    <row r="149" spans="1:13" s="470" customFormat="1" ht="21" hidden="1" customHeight="1" x14ac:dyDescent="0.25">
      <c r="A149" s="735"/>
      <c r="B149" s="1172" t="s">
        <v>4559</v>
      </c>
      <c r="C149" s="726">
        <v>8415443450</v>
      </c>
      <c r="D149" s="726">
        <f>C149/C12*100</f>
        <v>0.46081562147801275</v>
      </c>
      <c r="E149" s="737"/>
      <c r="F149" s="737"/>
      <c r="G149" s="737"/>
      <c r="H149" s="737"/>
      <c r="I149" s="737"/>
      <c r="J149" s="587"/>
      <c r="K149" s="737"/>
      <c r="L149" s="589"/>
      <c r="M149" s="473"/>
    </row>
    <row r="150" spans="1:13" s="470" customFormat="1" ht="13.5" hidden="1" customHeight="1" x14ac:dyDescent="0.25">
      <c r="A150" s="735"/>
      <c r="B150" s="1186"/>
      <c r="C150" s="737"/>
      <c r="D150" s="743"/>
      <c r="E150" s="737"/>
      <c r="F150" s="737"/>
      <c r="G150" s="737"/>
      <c r="H150" s="737"/>
      <c r="I150" s="737"/>
      <c r="J150" s="587"/>
      <c r="K150" s="737"/>
      <c r="L150" s="589"/>
      <c r="M150" s="473"/>
    </row>
    <row r="151" spans="1:13" s="477" customFormat="1" ht="33.75" hidden="1" customHeight="1" x14ac:dyDescent="0.25">
      <c r="A151" s="733"/>
      <c r="B151" s="1173" t="s">
        <v>3674</v>
      </c>
      <c r="C151" s="742">
        <f>SUM(C152:C154)</f>
        <v>5800000000</v>
      </c>
      <c r="D151" s="737">
        <f>C151/C12*100</f>
        <v>0.31759830844950587</v>
      </c>
      <c r="E151" s="729"/>
      <c r="F151" s="729"/>
      <c r="G151" s="726"/>
      <c r="H151" s="729"/>
      <c r="I151" s="729"/>
      <c r="J151" s="594"/>
      <c r="K151" s="726"/>
      <c r="L151" s="730"/>
      <c r="M151" s="474"/>
    </row>
    <row r="152" spans="1:13" s="477" customFormat="1" ht="16.5" hidden="1" customHeight="1" x14ac:dyDescent="0.25">
      <c r="A152" s="733"/>
      <c r="B152" s="1172" t="s">
        <v>4572</v>
      </c>
      <c r="C152" s="726">
        <v>500000000</v>
      </c>
      <c r="D152" s="726">
        <f>C152/C12*100</f>
        <v>2.7379164521509129E-2</v>
      </c>
      <c r="E152" s="729"/>
      <c r="F152" s="758"/>
      <c r="G152" s="752"/>
      <c r="H152" s="752"/>
      <c r="I152" s="729"/>
      <c r="J152" s="594"/>
      <c r="K152" s="752"/>
      <c r="L152" s="730"/>
      <c r="M152" s="474"/>
    </row>
    <row r="153" spans="1:13" s="477" customFormat="1" ht="16.5" hidden="1" customHeight="1" x14ac:dyDescent="0.25">
      <c r="A153" s="733"/>
      <c r="B153" s="1172" t="s">
        <v>4573</v>
      </c>
      <c r="C153" s="1168">
        <v>700000000</v>
      </c>
      <c r="D153" s="726">
        <f>C153/C12*100</f>
        <v>3.8330830330112774E-2</v>
      </c>
      <c r="E153" s="729"/>
      <c r="F153" s="758"/>
      <c r="G153" s="752"/>
      <c r="H153" s="752"/>
      <c r="I153" s="729"/>
      <c r="J153" s="594"/>
      <c r="K153" s="752"/>
      <c r="L153" s="730"/>
      <c r="M153" s="474"/>
    </row>
    <row r="154" spans="1:13" s="477" customFormat="1" ht="16.5" hidden="1" customHeight="1" x14ac:dyDescent="0.25">
      <c r="A154" s="733"/>
      <c r="B154" s="1172" t="s">
        <v>4574</v>
      </c>
      <c r="C154" s="726">
        <v>4600000000</v>
      </c>
      <c r="D154" s="726">
        <f>C154/C12*100</f>
        <v>0.25188831359788399</v>
      </c>
      <c r="E154" s="729"/>
      <c r="F154" s="758"/>
      <c r="G154" s="752"/>
      <c r="H154" s="752"/>
      <c r="I154" s="729"/>
      <c r="J154" s="594"/>
      <c r="K154" s="752"/>
      <c r="L154" s="730"/>
      <c r="M154" s="474"/>
    </row>
    <row r="155" spans="1:13" s="477" customFormat="1" ht="14.25" hidden="1" customHeight="1" x14ac:dyDescent="0.25">
      <c r="A155" s="733"/>
      <c r="B155" s="1172"/>
      <c r="C155" s="726"/>
      <c r="D155" s="740"/>
      <c r="E155" s="729"/>
      <c r="F155" s="747"/>
      <c r="G155" s="590"/>
      <c r="H155" s="590"/>
      <c r="I155" s="729"/>
      <c r="J155" s="738"/>
      <c r="K155" s="759"/>
      <c r="L155" s="760"/>
      <c r="M155" s="474"/>
    </row>
    <row r="156" spans="1:13" s="470" customFormat="1" ht="22.5" hidden="1" customHeight="1" x14ac:dyDescent="0.25">
      <c r="A156" s="735"/>
      <c r="B156" s="1187" t="s">
        <v>4575</v>
      </c>
      <c r="C156" s="737">
        <f>SUM(C157:C226)</f>
        <v>765314186550</v>
      </c>
      <c r="D156" s="743">
        <f>C156/C12*100</f>
        <v>41.907326048394758</v>
      </c>
      <c r="E156" s="742"/>
      <c r="F156" s="742"/>
      <c r="G156" s="589"/>
      <c r="H156" s="741"/>
      <c r="I156" s="742"/>
      <c r="J156" s="591"/>
      <c r="K156" s="589"/>
      <c r="L156" s="761"/>
      <c r="M156" s="473"/>
    </row>
    <row r="157" spans="1:13" s="477" customFormat="1" ht="18" hidden="1" customHeight="1" x14ac:dyDescent="0.25">
      <c r="A157" s="733"/>
      <c r="B157" s="1172" t="s">
        <v>4576</v>
      </c>
      <c r="C157" s="726">
        <v>25000000000</v>
      </c>
      <c r="D157" s="726">
        <f>C157/C12*100</f>
        <v>1.3689582260754563</v>
      </c>
      <c r="E157" s="729"/>
      <c r="F157" s="729"/>
      <c r="G157" s="590"/>
      <c r="H157" s="729"/>
      <c r="I157" s="729"/>
      <c r="J157" s="594"/>
      <c r="K157" s="590"/>
      <c r="L157" s="729"/>
      <c r="M157" s="474"/>
    </row>
    <row r="158" spans="1:13" s="477" customFormat="1" ht="18" hidden="1" customHeight="1" x14ac:dyDescent="0.25">
      <c r="A158" s="733"/>
      <c r="B158" s="1172" t="s">
        <v>4577</v>
      </c>
      <c r="C158" s="726">
        <v>10000000000</v>
      </c>
      <c r="D158" s="726">
        <f>C158/C12*100</f>
        <v>0.5475832904301825</v>
      </c>
      <c r="E158" s="729"/>
      <c r="F158" s="729"/>
      <c r="G158" s="590"/>
      <c r="H158" s="729"/>
      <c r="I158" s="729"/>
      <c r="J158" s="594"/>
      <c r="K158" s="590"/>
      <c r="L158" s="729"/>
      <c r="M158" s="474"/>
    </row>
    <row r="159" spans="1:13" s="477" customFormat="1" ht="20.25" hidden="1" customHeight="1" x14ac:dyDescent="0.25">
      <c r="A159" s="733"/>
      <c r="B159" s="1172" t="s">
        <v>4578</v>
      </c>
      <c r="C159" s="726">
        <v>35000000000</v>
      </c>
      <c r="D159" s="726">
        <f>C159/C12*100</f>
        <v>1.9165415165056388</v>
      </c>
      <c r="E159" s="726"/>
      <c r="F159" s="726"/>
      <c r="G159" s="590"/>
      <c r="H159" s="726"/>
      <c r="I159" s="726"/>
      <c r="J159" s="586"/>
      <c r="K159" s="726"/>
      <c r="L159" s="726"/>
      <c r="M159" s="474"/>
    </row>
    <row r="160" spans="1:13" s="477" customFormat="1" ht="18.75" hidden="1" customHeight="1" x14ac:dyDescent="0.25">
      <c r="A160" s="733"/>
      <c r="B160" s="1172" t="s">
        <v>4579</v>
      </c>
      <c r="C160" s="726">
        <v>15000000000</v>
      </c>
      <c r="D160" s="726">
        <f>C160/C12*100</f>
        <v>0.82137493564527386</v>
      </c>
      <c r="E160" s="729"/>
      <c r="F160" s="729"/>
      <c r="G160" s="590"/>
      <c r="H160" s="729"/>
      <c r="I160" s="729"/>
      <c r="J160" s="753"/>
      <c r="K160" s="590"/>
      <c r="L160" s="590"/>
      <c r="M160" s="474"/>
    </row>
    <row r="161" spans="1:13" s="477" customFormat="1" ht="18.75" hidden="1" customHeight="1" x14ac:dyDescent="0.25">
      <c r="A161" s="733"/>
      <c r="B161" s="1172" t="s">
        <v>4580</v>
      </c>
      <c r="C161" s="726">
        <v>7000000000</v>
      </c>
      <c r="D161" s="726">
        <f>C161/C12*100</f>
        <v>0.38330830330112781</v>
      </c>
      <c r="E161" s="729"/>
      <c r="F161" s="729"/>
      <c r="G161" s="590"/>
      <c r="H161" s="758"/>
      <c r="I161" s="729"/>
      <c r="J161" s="753"/>
      <c r="K161" s="590"/>
      <c r="L161" s="590"/>
      <c r="M161" s="474"/>
    </row>
    <row r="162" spans="1:13" s="477" customFormat="1" ht="18.75" hidden="1" customHeight="1" x14ac:dyDescent="0.25">
      <c r="A162" s="733"/>
      <c r="B162" s="1172" t="s">
        <v>4581</v>
      </c>
      <c r="C162" s="726">
        <v>15000000000</v>
      </c>
      <c r="D162" s="726">
        <f>C162/C12*100</f>
        <v>0.82137493564527386</v>
      </c>
      <c r="E162" s="729"/>
      <c r="F162" s="729"/>
      <c r="G162" s="590"/>
      <c r="H162" s="758"/>
      <c r="I162" s="729"/>
      <c r="J162" s="753"/>
      <c r="K162" s="590"/>
      <c r="L162" s="590"/>
      <c r="M162" s="474"/>
    </row>
    <row r="163" spans="1:13" s="477" customFormat="1" ht="18.75" hidden="1" customHeight="1" x14ac:dyDescent="0.25">
      <c r="A163" s="733"/>
      <c r="B163" s="1172" t="s">
        <v>4582</v>
      </c>
      <c r="C163" s="726">
        <v>10000000000</v>
      </c>
      <c r="D163" s="726">
        <f>C163/C12*100</f>
        <v>0.5475832904301825</v>
      </c>
      <c r="E163" s="729"/>
      <c r="F163" s="729"/>
      <c r="G163" s="590"/>
      <c r="H163" s="758"/>
      <c r="I163" s="729"/>
      <c r="J163" s="753"/>
      <c r="K163" s="590"/>
      <c r="L163" s="590"/>
      <c r="M163" s="474"/>
    </row>
    <row r="164" spans="1:13" s="477" customFormat="1" ht="18.75" hidden="1" customHeight="1" x14ac:dyDescent="0.25">
      <c r="A164" s="733"/>
      <c r="B164" s="1172" t="s">
        <v>4583</v>
      </c>
      <c r="C164" s="726">
        <v>5000000000</v>
      </c>
      <c r="D164" s="726">
        <f>C164/C12*100</f>
        <v>0.27379164521509125</v>
      </c>
      <c r="E164" s="729"/>
      <c r="F164" s="729"/>
      <c r="G164" s="590"/>
      <c r="H164" s="758"/>
      <c r="I164" s="729"/>
      <c r="J164" s="753"/>
      <c r="K164" s="590"/>
      <c r="L164" s="590"/>
      <c r="M164" s="474"/>
    </row>
    <row r="165" spans="1:13" s="477" customFormat="1" ht="18.75" hidden="1" customHeight="1" x14ac:dyDescent="0.25">
      <c r="A165" s="733"/>
      <c r="B165" s="1172" t="s">
        <v>4584</v>
      </c>
      <c r="C165" s="726">
        <v>10000000000</v>
      </c>
      <c r="D165" s="726">
        <f>C165/C12*100</f>
        <v>0.5475832904301825</v>
      </c>
      <c r="E165" s="729"/>
      <c r="F165" s="729"/>
      <c r="G165" s="590"/>
      <c r="H165" s="758"/>
      <c r="I165" s="729"/>
      <c r="J165" s="753"/>
      <c r="K165" s="590"/>
      <c r="L165" s="590"/>
      <c r="M165" s="474"/>
    </row>
    <row r="166" spans="1:13" s="477" customFormat="1" ht="18.75" hidden="1" customHeight="1" x14ac:dyDescent="0.25">
      <c r="A166" s="733"/>
      <c r="B166" s="1172" t="s">
        <v>4585</v>
      </c>
      <c r="C166" s="726">
        <v>22500000000</v>
      </c>
      <c r="D166" s="726">
        <f>C166/C12*100</f>
        <v>1.2320624034679106</v>
      </c>
      <c r="E166" s="729"/>
      <c r="F166" s="729"/>
      <c r="G166" s="590"/>
      <c r="H166" s="758"/>
      <c r="I166" s="729"/>
      <c r="J166" s="753"/>
      <c r="K166" s="590"/>
      <c r="L166" s="590"/>
      <c r="M166" s="474"/>
    </row>
    <row r="167" spans="1:13" s="477" customFormat="1" ht="34.5" hidden="1" customHeight="1" x14ac:dyDescent="0.25">
      <c r="A167" s="733"/>
      <c r="B167" s="1172" t="s">
        <v>4586</v>
      </c>
      <c r="C167" s="726">
        <v>10000000000</v>
      </c>
      <c r="D167" s="726">
        <f>C167/C12*100</f>
        <v>0.5475832904301825</v>
      </c>
      <c r="E167" s="729"/>
      <c r="F167" s="729"/>
      <c r="G167" s="590"/>
      <c r="H167" s="758"/>
      <c r="I167" s="729"/>
      <c r="J167" s="753"/>
      <c r="K167" s="590"/>
      <c r="L167" s="590"/>
      <c r="M167" s="474"/>
    </row>
    <row r="168" spans="1:13" s="477" customFormat="1" ht="18.75" hidden="1" customHeight="1" x14ac:dyDescent="0.25">
      <c r="A168" s="733"/>
      <c r="B168" s="1172" t="s">
        <v>4587</v>
      </c>
      <c r="C168" s="726">
        <v>10000000000</v>
      </c>
      <c r="D168" s="726">
        <f>C168/C12*100</f>
        <v>0.5475832904301825</v>
      </c>
      <c r="E168" s="729"/>
      <c r="F168" s="729"/>
      <c r="G168" s="590"/>
      <c r="H168" s="758"/>
      <c r="I168" s="729"/>
      <c r="J168" s="753"/>
      <c r="K168" s="590"/>
      <c r="L168" s="590"/>
      <c r="M168" s="474"/>
    </row>
    <row r="169" spans="1:13" s="477" customFormat="1" ht="18" hidden="1" customHeight="1" x14ac:dyDescent="0.25">
      <c r="A169" s="733"/>
      <c r="B169" s="1172" t="s">
        <v>4588</v>
      </c>
      <c r="C169" s="726">
        <v>15000000000</v>
      </c>
      <c r="D169" s="726">
        <f>C169/C12*100</f>
        <v>0.82137493564527386</v>
      </c>
      <c r="E169" s="729"/>
      <c r="F169" s="729"/>
      <c r="G169" s="590"/>
      <c r="H169" s="758"/>
      <c r="I169" s="729"/>
      <c r="J169" s="753"/>
      <c r="K169" s="590"/>
      <c r="L169" s="590"/>
      <c r="M169" s="474"/>
    </row>
    <row r="170" spans="1:13" s="477" customFormat="1" ht="18.75" hidden="1" customHeight="1" x14ac:dyDescent="0.25">
      <c r="A170" s="733"/>
      <c r="B170" s="1172" t="s">
        <v>4589</v>
      </c>
      <c r="C170" s="726">
        <v>8000000000</v>
      </c>
      <c r="D170" s="726">
        <f>C170/C12*100</f>
        <v>0.43806663234414606</v>
      </c>
      <c r="E170" s="729"/>
      <c r="F170" s="729"/>
      <c r="G170" s="590"/>
      <c r="H170" s="758"/>
      <c r="I170" s="729"/>
      <c r="J170" s="753"/>
      <c r="K170" s="590"/>
      <c r="L170" s="590"/>
      <c r="M170" s="474"/>
    </row>
    <row r="171" spans="1:13" s="477" customFormat="1" ht="21" hidden="1" customHeight="1" x14ac:dyDescent="0.25">
      <c r="A171" s="733"/>
      <c r="B171" s="1172" t="s">
        <v>4590</v>
      </c>
      <c r="C171" s="726">
        <v>8000000000</v>
      </c>
      <c r="D171" s="726">
        <f>C171/C12*100</f>
        <v>0.43806663234414606</v>
      </c>
      <c r="E171" s="729"/>
      <c r="F171" s="729"/>
      <c r="G171" s="590"/>
      <c r="H171" s="758"/>
      <c r="I171" s="729"/>
      <c r="J171" s="753"/>
      <c r="K171" s="590"/>
      <c r="L171" s="590"/>
      <c r="M171" s="474"/>
    </row>
    <row r="172" spans="1:13" s="477" customFormat="1" ht="18" hidden="1" customHeight="1" x14ac:dyDescent="0.25">
      <c r="A172" s="733"/>
      <c r="B172" s="1172" t="s">
        <v>4591</v>
      </c>
      <c r="C172" s="726">
        <v>10000000000</v>
      </c>
      <c r="D172" s="726">
        <f>C172/C12*100</f>
        <v>0.5475832904301825</v>
      </c>
      <c r="E172" s="729"/>
      <c r="F172" s="729"/>
      <c r="G172" s="590"/>
      <c r="H172" s="758"/>
      <c r="I172" s="729"/>
      <c r="J172" s="753"/>
      <c r="K172" s="590"/>
      <c r="L172" s="590"/>
      <c r="M172" s="474"/>
    </row>
    <row r="173" spans="1:13" s="477" customFormat="1" ht="18.75" hidden="1" customHeight="1" x14ac:dyDescent="0.25">
      <c r="A173" s="733"/>
      <c r="B173" s="1172" t="s">
        <v>4592</v>
      </c>
      <c r="C173" s="726">
        <v>10000000000</v>
      </c>
      <c r="D173" s="726">
        <f>C173/C12*100</f>
        <v>0.5475832904301825</v>
      </c>
      <c r="E173" s="729"/>
      <c r="F173" s="729"/>
      <c r="G173" s="590"/>
      <c r="H173" s="758"/>
      <c r="I173" s="729"/>
      <c r="J173" s="753"/>
      <c r="K173" s="590"/>
      <c r="L173" s="590"/>
      <c r="M173" s="474"/>
    </row>
    <row r="174" spans="1:13" s="477" customFormat="1" ht="19.5" hidden="1" customHeight="1" x14ac:dyDescent="0.25">
      <c r="A174" s="733"/>
      <c r="B174" s="1172" t="s">
        <v>4593</v>
      </c>
      <c r="C174" s="726">
        <v>20000000000</v>
      </c>
      <c r="D174" s="726">
        <f>C174/C12*100</f>
        <v>1.095166580860365</v>
      </c>
      <c r="E174" s="729"/>
      <c r="F174" s="729"/>
      <c r="G174" s="590"/>
      <c r="H174" s="758"/>
      <c r="I174" s="729"/>
      <c r="J174" s="753"/>
      <c r="K174" s="590"/>
      <c r="L174" s="590"/>
      <c r="M174" s="474"/>
    </row>
    <row r="175" spans="1:13" s="477" customFormat="1" ht="23.25" hidden="1" customHeight="1" x14ac:dyDescent="0.25">
      <c r="A175" s="733"/>
      <c r="B175" s="1172" t="s">
        <v>4594</v>
      </c>
      <c r="C175" s="726">
        <v>7000000000</v>
      </c>
      <c r="D175" s="726">
        <f>C175/C12*100</f>
        <v>0.38330830330112781</v>
      </c>
      <c r="E175" s="729"/>
      <c r="F175" s="729"/>
      <c r="G175" s="590"/>
      <c r="H175" s="758"/>
      <c r="I175" s="729"/>
      <c r="J175" s="753"/>
      <c r="K175" s="590"/>
      <c r="L175" s="590"/>
      <c r="M175" s="474"/>
    </row>
    <row r="176" spans="1:13" s="477" customFormat="1" ht="22.5" hidden="1" customHeight="1" x14ac:dyDescent="0.25">
      <c r="A176" s="733"/>
      <c r="B176" s="1172" t="s">
        <v>4595</v>
      </c>
      <c r="C176" s="726">
        <v>10000000000</v>
      </c>
      <c r="D176" s="726">
        <f>C176/C12*100</f>
        <v>0.5475832904301825</v>
      </c>
      <c r="E176" s="729"/>
      <c r="F176" s="729"/>
      <c r="G176" s="590"/>
      <c r="H176" s="758"/>
      <c r="I176" s="729"/>
      <c r="J176" s="753"/>
      <c r="K176" s="590"/>
      <c r="L176" s="590"/>
      <c r="M176" s="474"/>
    </row>
    <row r="177" spans="1:13" s="477" customFormat="1" ht="22.5" hidden="1" customHeight="1" x14ac:dyDescent="0.25">
      <c r="A177" s="733"/>
      <c r="B177" s="1172" t="s">
        <v>4596</v>
      </c>
      <c r="C177" s="726">
        <v>12000000000</v>
      </c>
      <c r="D177" s="726">
        <f>C177/C12*100</f>
        <v>0.657099948516219</v>
      </c>
      <c r="E177" s="729"/>
      <c r="F177" s="729"/>
      <c r="G177" s="590"/>
      <c r="H177" s="758"/>
      <c r="I177" s="729"/>
      <c r="J177" s="753"/>
      <c r="K177" s="590"/>
      <c r="L177" s="590"/>
      <c r="M177" s="474"/>
    </row>
    <row r="178" spans="1:13" s="477" customFormat="1" ht="19.5" hidden="1" customHeight="1" x14ac:dyDescent="0.25">
      <c r="A178" s="733"/>
      <c r="B178" s="1172" t="s">
        <v>4597</v>
      </c>
      <c r="C178" s="726">
        <v>10000000000</v>
      </c>
      <c r="D178" s="726">
        <f>C178/C12*100</f>
        <v>0.5475832904301825</v>
      </c>
      <c r="E178" s="729"/>
      <c r="F178" s="729"/>
      <c r="G178" s="590"/>
      <c r="H178" s="758"/>
      <c r="I178" s="729"/>
      <c r="J178" s="753"/>
      <c r="K178" s="590"/>
      <c r="L178" s="590"/>
      <c r="M178" s="474"/>
    </row>
    <row r="179" spans="1:13" s="477" customFormat="1" ht="24.75" hidden="1" customHeight="1" x14ac:dyDescent="0.25">
      <c r="A179" s="733"/>
      <c r="B179" s="1172" t="s">
        <v>4598</v>
      </c>
      <c r="C179" s="726">
        <v>20000000000</v>
      </c>
      <c r="D179" s="726">
        <f>C179/C12*100</f>
        <v>1.095166580860365</v>
      </c>
      <c r="E179" s="729"/>
      <c r="F179" s="729"/>
      <c r="G179" s="590"/>
      <c r="H179" s="758"/>
      <c r="I179" s="729"/>
      <c r="J179" s="753"/>
      <c r="K179" s="590"/>
      <c r="L179" s="590"/>
      <c r="M179" s="474"/>
    </row>
    <row r="180" spans="1:13" s="477" customFormat="1" ht="22.5" hidden="1" customHeight="1" x14ac:dyDescent="0.25">
      <c r="A180" s="733"/>
      <c r="B180" s="1172" t="s">
        <v>4599</v>
      </c>
      <c r="C180" s="726">
        <v>30000000000</v>
      </c>
      <c r="D180" s="726">
        <f>C180/C12*100</f>
        <v>1.6427498712905477</v>
      </c>
      <c r="E180" s="729"/>
      <c r="F180" s="729"/>
      <c r="G180" s="590"/>
      <c r="H180" s="758"/>
      <c r="I180" s="729"/>
      <c r="J180" s="753"/>
      <c r="K180" s="590"/>
      <c r="L180" s="590"/>
      <c r="M180" s="474"/>
    </row>
    <row r="181" spans="1:13" s="477" customFormat="1" ht="22.5" hidden="1" customHeight="1" x14ac:dyDescent="0.25">
      <c r="A181" s="733"/>
      <c r="B181" s="1172" t="s">
        <v>4600</v>
      </c>
      <c r="C181" s="726">
        <v>40000000000</v>
      </c>
      <c r="D181" s="726">
        <f>C181/C12*100</f>
        <v>2.19033316172073</v>
      </c>
      <c r="E181" s="729"/>
      <c r="F181" s="729"/>
      <c r="G181" s="590"/>
      <c r="H181" s="758"/>
      <c r="I181" s="729"/>
      <c r="J181" s="753"/>
      <c r="K181" s="590"/>
      <c r="L181" s="590"/>
      <c r="M181" s="474"/>
    </row>
    <row r="182" spans="1:13" s="477" customFormat="1" ht="20.25" hidden="1" customHeight="1" x14ac:dyDescent="0.25">
      <c r="A182" s="733"/>
      <c r="B182" s="1172" t="s">
        <v>4601</v>
      </c>
      <c r="C182" s="726">
        <v>2000000000</v>
      </c>
      <c r="D182" s="726">
        <f>C182/C12*100</f>
        <v>0.10951665808603651</v>
      </c>
      <c r="E182" s="729"/>
      <c r="F182" s="729"/>
      <c r="G182" s="590"/>
      <c r="H182" s="758"/>
      <c r="I182" s="729"/>
      <c r="J182" s="753"/>
      <c r="K182" s="590"/>
      <c r="L182" s="590"/>
      <c r="M182" s="474"/>
    </row>
    <row r="183" spans="1:13" s="477" customFormat="1" ht="23.25" hidden="1" customHeight="1" x14ac:dyDescent="0.25">
      <c r="A183" s="733"/>
      <c r="B183" s="1172" t="s">
        <v>4602</v>
      </c>
      <c r="C183" s="726">
        <v>10000000000</v>
      </c>
      <c r="D183" s="726">
        <f>C183/C12*100</f>
        <v>0.5475832904301825</v>
      </c>
      <c r="E183" s="729"/>
      <c r="F183" s="729"/>
      <c r="G183" s="590"/>
      <c r="H183" s="758"/>
      <c r="I183" s="729"/>
      <c r="J183" s="753"/>
      <c r="K183" s="590"/>
      <c r="L183" s="590"/>
      <c r="M183" s="474"/>
    </row>
    <row r="184" spans="1:13" s="477" customFormat="1" ht="20.25" hidden="1" customHeight="1" x14ac:dyDescent="0.25">
      <c r="A184" s="733"/>
      <c r="B184" s="1172" t="s">
        <v>4603</v>
      </c>
      <c r="C184" s="726">
        <v>5000000000</v>
      </c>
      <c r="D184" s="726">
        <f>C184/C12*100</f>
        <v>0.27379164521509125</v>
      </c>
      <c r="E184" s="729"/>
      <c r="F184" s="729"/>
      <c r="G184" s="590"/>
      <c r="H184" s="758"/>
      <c r="I184" s="729"/>
      <c r="J184" s="753"/>
      <c r="K184" s="590"/>
      <c r="L184" s="590"/>
      <c r="M184" s="474"/>
    </row>
    <row r="185" spans="1:13" s="477" customFormat="1" ht="20.25" hidden="1" customHeight="1" x14ac:dyDescent="0.25">
      <c r="A185" s="733"/>
      <c r="B185" s="1172" t="s">
        <v>4604</v>
      </c>
      <c r="C185" s="726">
        <v>7000000000</v>
      </c>
      <c r="D185" s="726">
        <f>C185/C12*100</f>
        <v>0.38330830330112781</v>
      </c>
      <c r="E185" s="729"/>
      <c r="F185" s="729"/>
      <c r="G185" s="590"/>
      <c r="H185" s="758"/>
      <c r="I185" s="729"/>
      <c r="J185" s="753"/>
      <c r="K185" s="590"/>
      <c r="L185" s="590"/>
      <c r="M185" s="474"/>
    </row>
    <row r="186" spans="1:13" s="477" customFormat="1" ht="20.25" hidden="1" customHeight="1" x14ac:dyDescent="0.25">
      <c r="A186" s="733"/>
      <c r="B186" s="1172" t="s">
        <v>4605</v>
      </c>
      <c r="C186" s="726">
        <v>15060756550</v>
      </c>
      <c r="D186" s="726">
        <f>C186/C12*100</f>
        <v>0.82470186280169233</v>
      </c>
      <c r="E186" s="729"/>
      <c r="F186" s="729"/>
      <c r="G186" s="590"/>
      <c r="H186" s="758"/>
      <c r="I186" s="729"/>
      <c r="J186" s="753"/>
      <c r="K186" s="590"/>
      <c r="L186" s="590"/>
      <c r="M186" s="474"/>
    </row>
    <row r="187" spans="1:13" s="477" customFormat="1" ht="20.25" hidden="1" customHeight="1" x14ac:dyDescent="0.25">
      <c r="A187" s="733"/>
      <c r="B187" s="1172" t="s">
        <v>4606</v>
      </c>
      <c r="C187" s="726">
        <v>15000000000</v>
      </c>
      <c r="D187" s="726">
        <f>C187/C12*100</f>
        <v>0.82137493564527386</v>
      </c>
      <c r="E187" s="729"/>
      <c r="F187" s="729"/>
      <c r="G187" s="590"/>
      <c r="H187" s="758"/>
      <c r="I187" s="729"/>
      <c r="J187" s="753"/>
      <c r="K187" s="590"/>
      <c r="L187" s="590"/>
      <c r="M187" s="474"/>
    </row>
    <row r="188" spans="1:13" s="477" customFormat="1" ht="20.25" hidden="1" customHeight="1" x14ac:dyDescent="0.25">
      <c r="A188" s="733"/>
      <c r="B188" s="1172" t="s">
        <v>4607</v>
      </c>
      <c r="C188" s="726">
        <v>5000000000</v>
      </c>
      <c r="D188" s="726">
        <f>C188/C12*100</f>
        <v>0.27379164521509125</v>
      </c>
      <c r="E188" s="729"/>
      <c r="F188" s="729"/>
      <c r="G188" s="590"/>
      <c r="H188" s="758"/>
      <c r="I188" s="729"/>
      <c r="J188" s="753"/>
      <c r="K188" s="590"/>
      <c r="L188" s="590"/>
      <c r="M188" s="474"/>
    </row>
    <row r="189" spans="1:13" s="477" customFormat="1" ht="20.25" hidden="1" customHeight="1" x14ac:dyDescent="0.25">
      <c r="A189" s="733"/>
      <c r="B189" s="1172" t="s">
        <v>4608</v>
      </c>
      <c r="C189" s="726">
        <v>30000000000</v>
      </c>
      <c r="D189" s="726">
        <f>C189/C12*100</f>
        <v>1.6427498712905477</v>
      </c>
      <c r="E189" s="729"/>
      <c r="F189" s="729"/>
      <c r="G189" s="590"/>
      <c r="H189" s="758"/>
      <c r="I189" s="729"/>
      <c r="J189" s="753"/>
      <c r="K189" s="590"/>
      <c r="L189" s="590"/>
      <c r="M189" s="474"/>
    </row>
    <row r="190" spans="1:13" s="477" customFormat="1" ht="20.25" hidden="1" customHeight="1" x14ac:dyDescent="0.25">
      <c r="A190" s="733"/>
      <c r="B190" s="1172" t="s">
        <v>4609</v>
      </c>
      <c r="C190" s="726">
        <v>10000000000</v>
      </c>
      <c r="D190" s="726">
        <f>C190/C12*100</f>
        <v>0.5475832904301825</v>
      </c>
      <c r="E190" s="729"/>
      <c r="F190" s="729"/>
      <c r="G190" s="590"/>
      <c r="H190" s="758"/>
      <c r="I190" s="729"/>
      <c r="J190" s="753"/>
      <c r="K190" s="590"/>
      <c r="L190" s="590"/>
      <c r="M190" s="474"/>
    </row>
    <row r="191" spans="1:13" s="477" customFormat="1" ht="20.25" hidden="1" customHeight="1" x14ac:dyDescent="0.25">
      <c r="A191" s="733"/>
      <c r="B191" s="1172" t="s">
        <v>4610</v>
      </c>
      <c r="C191" s="726">
        <v>5000000000</v>
      </c>
      <c r="D191" s="726">
        <f>C191/C12*100</f>
        <v>0.27379164521509125</v>
      </c>
      <c r="E191" s="729"/>
      <c r="F191" s="729"/>
      <c r="G191" s="590"/>
      <c r="H191" s="758"/>
      <c r="I191" s="729"/>
      <c r="J191" s="753"/>
      <c r="K191" s="590"/>
      <c r="L191" s="590"/>
      <c r="M191" s="474"/>
    </row>
    <row r="192" spans="1:13" s="477" customFormat="1" ht="20.25" hidden="1" customHeight="1" x14ac:dyDescent="0.25">
      <c r="A192" s="733"/>
      <c r="B192" s="1172" t="s">
        <v>4611</v>
      </c>
      <c r="C192" s="726">
        <v>1500000000</v>
      </c>
      <c r="D192" s="726">
        <f>C192/C12*100</f>
        <v>8.2137493564527375E-2</v>
      </c>
      <c r="E192" s="729"/>
      <c r="F192" s="729"/>
      <c r="G192" s="590"/>
      <c r="H192" s="758"/>
      <c r="I192" s="729"/>
      <c r="J192" s="753"/>
      <c r="K192" s="590"/>
      <c r="L192" s="590"/>
      <c r="M192" s="474"/>
    </row>
    <row r="193" spans="1:13" s="477" customFormat="1" ht="20.25" hidden="1" customHeight="1" x14ac:dyDescent="0.25">
      <c r="A193" s="733"/>
      <c r="B193" s="1172" t="s">
        <v>4612</v>
      </c>
      <c r="C193" s="726">
        <v>20000000000</v>
      </c>
      <c r="D193" s="726">
        <f>C193/C12*100</f>
        <v>1.095166580860365</v>
      </c>
      <c r="E193" s="729"/>
      <c r="F193" s="729"/>
      <c r="G193" s="590"/>
      <c r="H193" s="758"/>
      <c r="I193" s="729"/>
      <c r="J193" s="753"/>
      <c r="K193" s="590"/>
      <c r="L193" s="590"/>
      <c r="M193" s="474"/>
    </row>
    <row r="194" spans="1:13" s="477" customFormat="1" ht="20.25" hidden="1" customHeight="1" x14ac:dyDescent="0.25">
      <c r="A194" s="733"/>
      <c r="B194" s="1172" t="s">
        <v>4613</v>
      </c>
      <c r="C194" s="726">
        <v>10000000000</v>
      </c>
      <c r="D194" s="726">
        <f>C194/C12*100</f>
        <v>0.5475832904301825</v>
      </c>
      <c r="E194" s="729"/>
      <c r="F194" s="729"/>
      <c r="G194" s="590"/>
      <c r="H194" s="758"/>
      <c r="I194" s="729"/>
      <c r="J194" s="753"/>
      <c r="K194" s="590"/>
      <c r="L194" s="590"/>
      <c r="M194" s="474"/>
    </row>
    <row r="195" spans="1:13" s="477" customFormat="1" ht="20.25" hidden="1" customHeight="1" x14ac:dyDescent="0.25">
      <c r="A195" s="733"/>
      <c r="B195" s="1172" t="s">
        <v>4614</v>
      </c>
      <c r="C195" s="726">
        <v>8000000000</v>
      </c>
      <c r="D195" s="726">
        <f>C195/C12*100</f>
        <v>0.43806663234414606</v>
      </c>
      <c r="E195" s="729"/>
      <c r="F195" s="729"/>
      <c r="G195" s="590"/>
      <c r="H195" s="758"/>
      <c r="I195" s="729"/>
      <c r="J195" s="753"/>
      <c r="K195" s="590"/>
      <c r="L195" s="590"/>
      <c r="M195" s="474"/>
    </row>
    <row r="196" spans="1:13" s="477" customFormat="1" ht="20.25" hidden="1" customHeight="1" x14ac:dyDescent="0.25">
      <c r="A196" s="733"/>
      <c r="B196" s="1172" t="s">
        <v>4615</v>
      </c>
      <c r="C196" s="726">
        <v>35000000000</v>
      </c>
      <c r="D196" s="726">
        <f>C196/C12*100</f>
        <v>1.9165415165056388</v>
      </c>
      <c r="E196" s="729"/>
      <c r="F196" s="729"/>
      <c r="G196" s="590"/>
      <c r="H196" s="758"/>
      <c r="I196" s="729"/>
      <c r="J196" s="753"/>
      <c r="K196" s="590"/>
      <c r="L196" s="590"/>
      <c r="M196" s="474"/>
    </row>
    <row r="197" spans="1:13" s="477" customFormat="1" ht="20.25" hidden="1" customHeight="1" x14ac:dyDescent="0.25">
      <c r="A197" s="733"/>
      <c r="B197" s="1172" t="s">
        <v>4616</v>
      </c>
      <c r="C197" s="726">
        <v>6000000000</v>
      </c>
      <c r="D197" s="726">
        <f>C197/C12*100</f>
        <v>0.3285499742581095</v>
      </c>
      <c r="E197" s="729"/>
      <c r="F197" s="729"/>
      <c r="G197" s="590"/>
      <c r="H197" s="758"/>
      <c r="I197" s="729"/>
      <c r="J197" s="753"/>
      <c r="K197" s="590"/>
      <c r="L197" s="590"/>
      <c r="M197" s="474"/>
    </row>
    <row r="198" spans="1:13" s="477" customFormat="1" ht="20.25" hidden="1" customHeight="1" x14ac:dyDescent="0.25">
      <c r="A198" s="733"/>
      <c r="B198" s="1172" t="s">
        <v>4617</v>
      </c>
      <c r="C198" s="726">
        <v>18000000000</v>
      </c>
      <c r="D198" s="726">
        <f>C198/C12*100</f>
        <v>0.9856499227743285</v>
      </c>
      <c r="E198" s="729"/>
      <c r="F198" s="729"/>
      <c r="G198" s="590"/>
      <c r="H198" s="758"/>
      <c r="I198" s="729"/>
      <c r="J198" s="753"/>
      <c r="K198" s="590"/>
      <c r="L198" s="590"/>
      <c r="M198" s="474"/>
    </row>
    <row r="199" spans="1:13" s="477" customFormat="1" ht="20.25" hidden="1" customHeight="1" x14ac:dyDescent="0.25">
      <c r="A199" s="733"/>
      <c r="B199" s="1172" t="s">
        <v>4618</v>
      </c>
      <c r="C199" s="726">
        <v>13928750000</v>
      </c>
      <c r="D199" s="726">
        <f>C199/C12*100</f>
        <v>0.7627150756579405</v>
      </c>
      <c r="E199" s="729"/>
      <c r="F199" s="729"/>
      <c r="G199" s="590"/>
      <c r="H199" s="758"/>
      <c r="I199" s="729"/>
      <c r="J199" s="753"/>
      <c r="K199" s="590"/>
      <c r="L199" s="590"/>
      <c r="M199" s="474"/>
    </row>
    <row r="200" spans="1:13" s="477" customFormat="1" ht="20.25" hidden="1" customHeight="1" x14ac:dyDescent="0.25">
      <c r="A200" s="733"/>
      <c r="B200" s="1172" t="s">
        <v>4619</v>
      </c>
      <c r="C200" s="726">
        <v>3600000000</v>
      </c>
      <c r="D200" s="726">
        <f>C200/C12*100</f>
        <v>0.19712998455486572</v>
      </c>
      <c r="E200" s="729"/>
      <c r="F200" s="729"/>
      <c r="G200" s="590"/>
      <c r="H200" s="758"/>
      <c r="I200" s="729"/>
      <c r="J200" s="753"/>
      <c r="K200" s="590"/>
      <c r="L200" s="590"/>
      <c r="M200" s="474"/>
    </row>
    <row r="201" spans="1:13" s="477" customFormat="1" ht="20.25" hidden="1" customHeight="1" x14ac:dyDescent="0.25">
      <c r="A201" s="733"/>
      <c r="B201" s="1172" t="s">
        <v>4620</v>
      </c>
      <c r="C201" s="726">
        <v>2000000000</v>
      </c>
      <c r="D201" s="726">
        <f>C201/C12*100</f>
        <v>0.10951665808603651</v>
      </c>
      <c r="E201" s="729"/>
      <c r="F201" s="729"/>
      <c r="G201" s="590"/>
      <c r="H201" s="758"/>
      <c r="I201" s="729"/>
      <c r="J201" s="753"/>
      <c r="K201" s="590"/>
      <c r="L201" s="590"/>
      <c r="M201" s="474"/>
    </row>
    <row r="202" spans="1:13" s="477" customFormat="1" ht="20.25" hidden="1" customHeight="1" x14ac:dyDescent="0.25">
      <c r="A202" s="733"/>
      <c r="B202" s="1172" t="s">
        <v>4621</v>
      </c>
      <c r="C202" s="726">
        <v>1700000000</v>
      </c>
      <c r="D202" s="726">
        <f>C202/C12*100</f>
        <v>9.3089159373131031E-2</v>
      </c>
      <c r="E202" s="729"/>
      <c r="F202" s="729"/>
      <c r="G202" s="590"/>
      <c r="H202" s="758"/>
      <c r="I202" s="729"/>
      <c r="J202" s="753"/>
      <c r="K202" s="590"/>
      <c r="L202" s="590"/>
      <c r="M202" s="474"/>
    </row>
    <row r="203" spans="1:13" s="477" customFormat="1" ht="20.25" hidden="1" customHeight="1" x14ac:dyDescent="0.25">
      <c r="A203" s="733"/>
      <c r="B203" s="1172" t="s">
        <v>4622</v>
      </c>
      <c r="C203" s="726">
        <v>1500000000</v>
      </c>
      <c r="D203" s="726">
        <f>C203/C12*100</f>
        <v>8.2137493564527375E-2</v>
      </c>
      <c r="E203" s="729"/>
      <c r="F203" s="729"/>
      <c r="G203" s="590"/>
      <c r="H203" s="758"/>
      <c r="I203" s="729"/>
      <c r="J203" s="753"/>
      <c r="K203" s="590"/>
      <c r="L203" s="590"/>
      <c r="M203" s="474"/>
    </row>
    <row r="204" spans="1:13" s="477" customFormat="1" ht="20.25" hidden="1" customHeight="1" x14ac:dyDescent="0.25">
      <c r="A204" s="733"/>
      <c r="B204" s="1172" t="s">
        <v>4623</v>
      </c>
      <c r="C204" s="726">
        <v>11000000000</v>
      </c>
      <c r="D204" s="726">
        <f>C204/C12*100</f>
        <v>0.60234161947320075</v>
      </c>
      <c r="E204" s="729"/>
      <c r="F204" s="729"/>
      <c r="G204" s="590"/>
      <c r="H204" s="758"/>
      <c r="I204" s="729"/>
      <c r="J204" s="753"/>
      <c r="K204" s="590"/>
      <c r="L204" s="590"/>
      <c r="M204" s="474"/>
    </row>
    <row r="205" spans="1:13" s="477" customFormat="1" ht="20.25" hidden="1" customHeight="1" x14ac:dyDescent="0.25">
      <c r="A205" s="733"/>
      <c r="B205" s="1172" t="s">
        <v>4624</v>
      </c>
      <c r="C205" s="726">
        <v>5000000000</v>
      </c>
      <c r="D205" s="726">
        <f>C205/C12*100</f>
        <v>0.27379164521509125</v>
      </c>
      <c r="E205" s="729"/>
      <c r="F205" s="729"/>
      <c r="G205" s="590"/>
      <c r="H205" s="758"/>
      <c r="I205" s="729"/>
      <c r="J205" s="753"/>
      <c r="K205" s="590"/>
      <c r="L205" s="590"/>
      <c r="M205" s="474"/>
    </row>
    <row r="206" spans="1:13" s="477" customFormat="1" ht="20.25" hidden="1" customHeight="1" x14ac:dyDescent="0.25">
      <c r="A206" s="733"/>
      <c r="B206" s="1172" t="s">
        <v>4625</v>
      </c>
      <c r="C206" s="726">
        <v>5000000000</v>
      </c>
      <c r="D206" s="726">
        <f>C206/C12*100</f>
        <v>0.27379164521509125</v>
      </c>
      <c r="E206" s="729"/>
      <c r="F206" s="729"/>
      <c r="G206" s="590"/>
      <c r="H206" s="758"/>
      <c r="I206" s="729"/>
      <c r="J206" s="753"/>
      <c r="K206" s="590"/>
      <c r="L206" s="590"/>
      <c r="M206" s="474"/>
    </row>
    <row r="207" spans="1:13" s="477" customFormat="1" ht="20.25" hidden="1" customHeight="1" x14ac:dyDescent="0.25">
      <c r="A207" s="733"/>
      <c r="B207" s="1172" t="s">
        <v>4626</v>
      </c>
      <c r="C207" s="726">
        <v>5000000000</v>
      </c>
      <c r="D207" s="726">
        <f>C207/C12*100</f>
        <v>0.27379164521509125</v>
      </c>
      <c r="E207" s="729"/>
      <c r="F207" s="729"/>
      <c r="G207" s="590"/>
      <c r="H207" s="758"/>
      <c r="I207" s="729"/>
      <c r="J207" s="753"/>
      <c r="K207" s="590"/>
      <c r="L207" s="590"/>
      <c r="M207" s="474"/>
    </row>
    <row r="208" spans="1:13" s="477" customFormat="1" ht="20.25" hidden="1" customHeight="1" x14ac:dyDescent="0.25">
      <c r="A208" s="733"/>
      <c r="B208" s="1172" t="s">
        <v>4627</v>
      </c>
      <c r="C208" s="726">
        <v>4800000000</v>
      </c>
      <c r="D208" s="726">
        <f>C208/C12*100</f>
        <v>0.26283997940648757</v>
      </c>
      <c r="E208" s="729"/>
      <c r="F208" s="729"/>
      <c r="G208" s="590"/>
      <c r="H208" s="758"/>
      <c r="I208" s="729"/>
      <c r="J208" s="753"/>
      <c r="K208" s="590"/>
      <c r="L208" s="590"/>
      <c r="M208" s="474"/>
    </row>
    <row r="209" spans="1:13" s="477" customFormat="1" ht="20.25" hidden="1" customHeight="1" x14ac:dyDescent="0.25">
      <c r="A209" s="733"/>
      <c r="B209" s="1172" t="s">
        <v>4628</v>
      </c>
      <c r="C209" s="726">
        <v>15350000000</v>
      </c>
      <c r="D209" s="726">
        <f>C209/C12*100</f>
        <v>0.84054035081033018</v>
      </c>
      <c r="E209" s="729"/>
      <c r="F209" s="729"/>
      <c r="G209" s="590"/>
      <c r="H209" s="758"/>
      <c r="I209" s="729"/>
      <c r="J209" s="753"/>
      <c r="K209" s="590"/>
      <c r="L209" s="590"/>
      <c r="M209" s="474"/>
    </row>
    <row r="210" spans="1:13" s="477" customFormat="1" ht="20.25" hidden="1" customHeight="1" x14ac:dyDescent="0.25">
      <c r="A210" s="733"/>
      <c r="B210" s="1172" t="s">
        <v>4629</v>
      </c>
      <c r="C210" s="726">
        <v>1439600000</v>
      </c>
      <c r="D210" s="726">
        <f>C210/C12*100</f>
        <v>7.8830090490329074E-2</v>
      </c>
      <c r="E210" s="729"/>
      <c r="F210" s="729"/>
      <c r="G210" s="590"/>
      <c r="H210" s="758"/>
      <c r="I210" s="729"/>
      <c r="J210" s="753"/>
      <c r="K210" s="590"/>
      <c r="L210" s="590"/>
      <c r="M210" s="474"/>
    </row>
    <row r="211" spans="1:13" s="477" customFormat="1" ht="20.25" hidden="1" customHeight="1" x14ac:dyDescent="0.25">
      <c r="A211" s="733"/>
      <c r="B211" s="1172" t="s">
        <v>4630</v>
      </c>
      <c r="C211" s="726">
        <v>4384300000</v>
      </c>
      <c r="D211" s="726">
        <f>C211/C12*100</f>
        <v>0.24007694202330493</v>
      </c>
      <c r="E211" s="729"/>
      <c r="F211" s="729"/>
      <c r="G211" s="590"/>
      <c r="H211" s="758"/>
      <c r="I211" s="729"/>
      <c r="J211" s="753"/>
      <c r="K211" s="590"/>
      <c r="L211" s="590"/>
      <c r="M211" s="474"/>
    </row>
    <row r="212" spans="1:13" s="477" customFormat="1" ht="20.25" hidden="1" customHeight="1" x14ac:dyDescent="0.25">
      <c r="A212" s="733"/>
      <c r="B212" s="1172" t="s">
        <v>4631</v>
      </c>
      <c r="C212" s="726">
        <v>4528000000</v>
      </c>
      <c r="D212" s="726">
        <f>C212/C12*100</f>
        <v>0.24794571390678666</v>
      </c>
      <c r="E212" s="729"/>
      <c r="F212" s="729"/>
      <c r="G212" s="590"/>
      <c r="H212" s="758"/>
      <c r="I212" s="729"/>
      <c r="J212" s="753"/>
      <c r="K212" s="590"/>
      <c r="L212" s="590"/>
      <c r="M212" s="474"/>
    </row>
    <row r="213" spans="1:13" s="477" customFormat="1" ht="20.25" hidden="1" customHeight="1" x14ac:dyDescent="0.25">
      <c r="A213" s="733"/>
      <c r="B213" s="1172" t="s">
        <v>4632</v>
      </c>
      <c r="C213" s="726">
        <v>4256100000</v>
      </c>
      <c r="D213" s="726">
        <f>C213/C12*100</f>
        <v>0.23305692423998997</v>
      </c>
      <c r="E213" s="729"/>
      <c r="F213" s="729"/>
      <c r="G213" s="590"/>
      <c r="H213" s="758"/>
      <c r="I213" s="729"/>
      <c r="J213" s="753"/>
      <c r="K213" s="590"/>
      <c r="L213" s="590"/>
      <c r="M213" s="474"/>
    </row>
    <row r="214" spans="1:13" s="477" customFormat="1" ht="20.25" hidden="1" customHeight="1" x14ac:dyDescent="0.25">
      <c r="A214" s="733"/>
      <c r="B214" s="1172" t="s">
        <v>4633</v>
      </c>
      <c r="C214" s="726">
        <v>17700000000</v>
      </c>
      <c r="D214" s="726">
        <f>C214/C12*100</f>
        <v>0.96922242406142312</v>
      </c>
      <c r="E214" s="729"/>
      <c r="F214" s="729"/>
      <c r="G214" s="590"/>
      <c r="H214" s="758"/>
      <c r="I214" s="729"/>
      <c r="J214" s="753"/>
      <c r="K214" s="590"/>
      <c r="L214" s="590"/>
      <c r="M214" s="474"/>
    </row>
    <row r="215" spans="1:13" s="477" customFormat="1" ht="20.25" hidden="1" customHeight="1" x14ac:dyDescent="0.25">
      <c r="A215" s="733"/>
      <c r="B215" s="1172" t="s">
        <v>4634</v>
      </c>
      <c r="C215" s="726">
        <v>11000000000</v>
      </c>
      <c r="D215" s="726">
        <f>C215/C12*100</f>
        <v>0.60234161947320075</v>
      </c>
      <c r="E215" s="729"/>
      <c r="F215" s="729"/>
      <c r="G215" s="590"/>
      <c r="H215" s="758"/>
      <c r="I215" s="729"/>
      <c r="J215" s="753"/>
      <c r="K215" s="590"/>
      <c r="L215" s="590"/>
      <c r="M215" s="474"/>
    </row>
    <row r="216" spans="1:13" s="477" customFormat="1" ht="20.25" hidden="1" customHeight="1" x14ac:dyDescent="0.25">
      <c r="A216" s="733"/>
      <c r="B216" s="1172" t="s">
        <v>4635</v>
      </c>
      <c r="C216" s="726">
        <v>6000000000</v>
      </c>
      <c r="D216" s="726">
        <f>C216/C12*100</f>
        <v>0.3285499742581095</v>
      </c>
      <c r="E216" s="729"/>
      <c r="F216" s="729"/>
      <c r="G216" s="590"/>
      <c r="H216" s="758"/>
      <c r="I216" s="729"/>
      <c r="J216" s="753"/>
      <c r="K216" s="590"/>
      <c r="L216" s="590"/>
      <c r="M216" s="474"/>
    </row>
    <row r="217" spans="1:13" s="477" customFormat="1" ht="20.25" hidden="1" customHeight="1" x14ac:dyDescent="0.25">
      <c r="A217" s="733"/>
      <c r="B217" s="1172" t="s">
        <v>4636</v>
      </c>
      <c r="C217" s="726">
        <v>7500000000</v>
      </c>
      <c r="D217" s="726">
        <f>C217/C12*100</f>
        <v>0.41068746782263693</v>
      </c>
      <c r="E217" s="729"/>
      <c r="F217" s="729"/>
      <c r="G217" s="590"/>
      <c r="H217" s="758"/>
      <c r="I217" s="729"/>
      <c r="J217" s="753"/>
      <c r="K217" s="590"/>
      <c r="L217" s="590"/>
      <c r="M217" s="474"/>
    </row>
    <row r="218" spans="1:13" s="477" customFormat="1" ht="20.25" hidden="1" customHeight="1" x14ac:dyDescent="0.25">
      <c r="A218" s="733"/>
      <c r="B218" s="1172" t="s">
        <v>4637</v>
      </c>
      <c r="C218" s="726">
        <v>7000000000</v>
      </c>
      <c r="D218" s="726">
        <f>C218/C12*100</f>
        <v>0.38330830330112781</v>
      </c>
      <c r="E218" s="729"/>
      <c r="F218" s="729"/>
      <c r="G218" s="590"/>
      <c r="H218" s="758"/>
      <c r="I218" s="729"/>
      <c r="J218" s="753"/>
      <c r="K218" s="590"/>
      <c r="L218" s="590"/>
      <c r="M218" s="474"/>
    </row>
    <row r="219" spans="1:13" s="477" customFormat="1" ht="20.25" hidden="1" customHeight="1" x14ac:dyDescent="0.25">
      <c r="A219" s="733"/>
      <c r="B219" s="1172" t="s">
        <v>4638</v>
      </c>
      <c r="C219" s="726">
        <v>2000000000</v>
      </c>
      <c r="D219" s="726">
        <f>C219/C12*100</f>
        <v>0.10951665808603651</v>
      </c>
      <c r="E219" s="729"/>
      <c r="F219" s="729"/>
      <c r="G219" s="590"/>
      <c r="H219" s="758"/>
      <c r="I219" s="729"/>
      <c r="J219" s="753"/>
      <c r="K219" s="590"/>
      <c r="L219" s="590"/>
      <c r="M219" s="474"/>
    </row>
    <row r="220" spans="1:13" s="477" customFormat="1" ht="31.5" hidden="1" customHeight="1" x14ac:dyDescent="0.25">
      <c r="A220" s="733"/>
      <c r="B220" s="1172" t="s">
        <v>4639</v>
      </c>
      <c r="C220" s="726">
        <v>13340480000</v>
      </c>
      <c r="D220" s="726">
        <f>C220/C12*100</f>
        <v>0.73050239343180412</v>
      </c>
      <c r="E220" s="729"/>
      <c r="F220" s="729"/>
      <c r="G220" s="590"/>
      <c r="H220" s="758"/>
      <c r="I220" s="729"/>
      <c r="J220" s="753"/>
      <c r="K220" s="590"/>
      <c r="L220" s="590"/>
      <c r="M220" s="474"/>
    </row>
    <row r="221" spans="1:13" s="477" customFormat="1" ht="20.25" hidden="1" customHeight="1" x14ac:dyDescent="0.25">
      <c r="A221" s="733"/>
      <c r="B221" s="1172" t="s">
        <v>4640</v>
      </c>
      <c r="C221" s="726">
        <v>6426200000</v>
      </c>
      <c r="D221" s="726">
        <f>C221/C12*100</f>
        <v>0.35188797409624389</v>
      </c>
      <c r="E221" s="729"/>
      <c r="F221" s="729"/>
      <c r="G221" s="590"/>
      <c r="H221" s="758"/>
      <c r="I221" s="729"/>
      <c r="J221" s="753"/>
      <c r="K221" s="590"/>
      <c r="L221" s="590"/>
      <c r="M221" s="474"/>
    </row>
    <row r="222" spans="1:13" s="477" customFormat="1" ht="20.25" hidden="1" customHeight="1" x14ac:dyDescent="0.25">
      <c r="A222" s="733"/>
      <c r="B222" s="1172" t="s">
        <v>4641</v>
      </c>
      <c r="C222" s="726">
        <v>2000000000</v>
      </c>
      <c r="D222" s="726">
        <f>C222/C12*100</f>
        <v>0.10951665808603651</v>
      </c>
      <c r="E222" s="729"/>
      <c r="F222" s="729"/>
      <c r="G222" s="590"/>
      <c r="H222" s="758"/>
      <c r="I222" s="729"/>
      <c r="J222" s="753"/>
      <c r="K222" s="590"/>
      <c r="L222" s="590"/>
      <c r="M222" s="474"/>
    </row>
    <row r="223" spans="1:13" s="477" customFormat="1" ht="20.25" hidden="1" customHeight="1" x14ac:dyDescent="0.25">
      <c r="A223" s="733"/>
      <c r="B223" s="1172" t="s">
        <v>4642</v>
      </c>
      <c r="C223" s="726">
        <v>8000000000</v>
      </c>
      <c r="D223" s="726">
        <f>C223/C12*100</f>
        <v>0.43806663234414606</v>
      </c>
      <c r="E223" s="729"/>
      <c r="F223" s="729"/>
      <c r="G223" s="590"/>
      <c r="H223" s="758"/>
      <c r="I223" s="729"/>
      <c r="J223" s="753"/>
      <c r="K223" s="590"/>
      <c r="L223" s="590"/>
      <c r="M223" s="474"/>
    </row>
    <row r="224" spans="1:13" s="477" customFormat="1" ht="20.25" hidden="1" customHeight="1" x14ac:dyDescent="0.25">
      <c r="A224" s="733"/>
      <c r="B224" s="1172" t="s">
        <v>4643</v>
      </c>
      <c r="C224" s="726">
        <v>6300000000</v>
      </c>
      <c r="D224" s="726">
        <f>C224/C12*100</f>
        <v>0.344977472971015</v>
      </c>
      <c r="E224" s="729"/>
      <c r="F224" s="729"/>
      <c r="G224" s="590"/>
      <c r="H224" s="758"/>
      <c r="I224" s="729"/>
      <c r="J224" s="753"/>
      <c r="K224" s="590"/>
      <c r="L224" s="590"/>
      <c r="M224" s="474"/>
    </row>
    <row r="225" spans="1:13" s="477" customFormat="1" ht="20.25" hidden="1" customHeight="1" x14ac:dyDescent="0.25">
      <c r="A225" s="733"/>
      <c r="B225" s="1172" t="s">
        <v>4644</v>
      </c>
      <c r="C225" s="726">
        <v>5500000000</v>
      </c>
      <c r="D225" s="726">
        <f>C225/C12*100</f>
        <v>0.30117080973660038</v>
      </c>
      <c r="E225" s="729"/>
      <c r="F225" s="729"/>
      <c r="G225" s="590"/>
      <c r="H225" s="758"/>
      <c r="I225" s="729"/>
      <c r="J225" s="753"/>
      <c r="K225" s="590"/>
      <c r="L225" s="590"/>
      <c r="M225" s="474"/>
    </row>
    <row r="226" spans="1:13" s="477" customFormat="1" ht="20.25" hidden="1" customHeight="1" x14ac:dyDescent="0.25">
      <c r="A226" s="733"/>
      <c r="B226" s="1172" t="s">
        <v>4645</v>
      </c>
      <c r="C226" s="726">
        <v>12000000000</v>
      </c>
      <c r="D226" s="726">
        <f>C226/C12*100</f>
        <v>0.657099948516219</v>
      </c>
      <c r="E226" s="729"/>
      <c r="F226" s="729"/>
      <c r="G226" s="590"/>
      <c r="H226" s="758"/>
      <c r="I226" s="729"/>
      <c r="J226" s="753"/>
      <c r="K226" s="590"/>
      <c r="L226" s="590"/>
      <c r="M226" s="474"/>
    </row>
    <row r="227" spans="1:13" s="477" customFormat="1" ht="12.75" hidden="1" customHeight="1" x14ac:dyDescent="0.25">
      <c r="A227" s="733"/>
      <c r="B227" s="1172" t="s">
        <v>809</v>
      </c>
      <c r="C227" s="726"/>
      <c r="D227" s="740"/>
      <c r="E227" s="729"/>
      <c r="F227" s="738"/>
      <c r="G227" s="590"/>
      <c r="H227" s="590"/>
      <c r="I227" s="729"/>
      <c r="J227" s="754"/>
      <c r="K227" s="730"/>
      <c r="L227" s="739"/>
      <c r="M227" s="474"/>
    </row>
    <row r="228" spans="1:13" s="470" customFormat="1" ht="21" hidden="1" customHeight="1" x14ac:dyDescent="0.25">
      <c r="A228" s="735"/>
      <c r="B228" s="1187" t="s">
        <v>3680</v>
      </c>
      <c r="C228" s="737">
        <f>SUM(C229:C285)</f>
        <v>183580000000</v>
      </c>
      <c r="D228" s="743">
        <f>C228/C12*100</f>
        <v>10.052534045717291</v>
      </c>
      <c r="E228" s="736"/>
      <c r="F228" s="736"/>
      <c r="G228" s="589"/>
      <c r="H228" s="741"/>
      <c r="I228" s="737"/>
      <c r="J228" s="587"/>
      <c r="K228" s="589"/>
      <c r="L228" s="589"/>
      <c r="M228" s="473"/>
    </row>
    <row r="229" spans="1:13" s="477" customFormat="1" ht="20.25" hidden="1" customHeight="1" x14ac:dyDescent="0.25">
      <c r="A229" s="733"/>
      <c r="B229" s="1172" t="s">
        <v>4646</v>
      </c>
      <c r="C229" s="726">
        <v>7000000000</v>
      </c>
      <c r="D229" s="726">
        <f>C229/C12*100</f>
        <v>0.38330830330112781</v>
      </c>
      <c r="E229" s="726"/>
      <c r="F229" s="726"/>
      <c r="G229" s="590"/>
      <c r="H229" s="726"/>
      <c r="I229" s="726"/>
      <c r="J229" s="750"/>
      <c r="K229" s="590"/>
      <c r="L229" s="756"/>
      <c r="M229" s="474"/>
    </row>
    <row r="230" spans="1:13" s="477" customFormat="1" ht="19.5" hidden="1" customHeight="1" x14ac:dyDescent="0.25">
      <c r="A230" s="733"/>
      <c r="B230" s="1172" t="s">
        <v>4647</v>
      </c>
      <c r="C230" s="726">
        <v>5000000000</v>
      </c>
      <c r="D230" s="726">
        <f>C230/C12*100</f>
        <v>0.27379164521509125</v>
      </c>
      <c r="E230" s="729"/>
      <c r="F230" s="729"/>
      <c r="G230" s="590"/>
      <c r="H230" s="729"/>
      <c r="I230" s="726"/>
      <c r="J230" s="750"/>
      <c r="K230" s="590"/>
      <c r="L230" s="749"/>
      <c r="M230" s="474"/>
    </row>
    <row r="231" spans="1:13" s="477" customFormat="1" ht="19.5" hidden="1" customHeight="1" x14ac:dyDescent="0.25">
      <c r="A231" s="733"/>
      <c r="B231" s="1172" t="s">
        <v>4648</v>
      </c>
      <c r="C231" s="726">
        <v>5000000000</v>
      </c>
      <c r="D231" s="726">
        <f>C231/C12*100</f>
        <v>0.27379164521509125</v>
      </c>
      <c r="E231" s="726"/>
      <c r="F231" s="731"/>
      <c r="G231" s="590"/>
      <c r="H231" s="731"/>
      <c r="I231" s="726"/>
      <c r="J231" s="762"/>
      <c r="K231" s="590"/>
      <c r="L231" s="590"/>
      <c r="M231" s="474"/>
    </row>
    <row r="232" spans="1:13" s="477" customFormat="1" ht="19.5" hidden="1" customHeight="1" x14ac:dyDescent="0.25">
      <c r="A232" s="733"/>
      <c r="B232" s="1172" t="s">
        <v>3684</v>
      </c>
      <c r="C232" s="726">
        <v>2500000000</v>
      </c>
      <c r="D232" s="726">
        <f>C232/C12*100</f>
        <v>0.13689582260754563</v>
      </c>
      <c r="E232" s="726"/>
      <c r="F232" s="726"/>
      <c r="G232" s="590"/>
      <c r="H232" s="726"/>
      <c r="I232" s="726"/>
      <c r="J232" s="586"/>
      <c r="K232" s="590"/>
      <c r="L232" s="590"/>
      <c r="M232" s="474"/>
    </row>
    <row r="233" spans="1:13" s="477" customFormat="1" ht="18.75" hidden="1" customHeight="1" x14ac:dyDescent="0.25">
      <c r="A233" s="733"/>
      <c r="B233" s="1172" t="s">
        <v>3685</v>
      </c>
      <c r="C233" s="726">
        <v>2500000000</v>
      </c>
      <c r="D233" s="726">
        <f>C233/C12*100</f>
        <v>0.13689582260754563</v>
      </c>
      <c r="E233" s="729"/>
      <c r="F233" s="729"/>
      <c r="G233" s="590"/>
      <c r="H233" s="729"/>
      <c r="I233" s="729"/>
      <c r="J233" s="748"/>
      <c r="K233" s="590"/>
      <c r="L233" s="590"/>
      <c r="M233" s="474"/>
    </row>
    <row r="234" spans="1:13" s="477" customFormat="1" ht="21" hidden="1" customHeight="1" x14ac:dyDescent="0.25">
      <c r="A234" s="733"/>
      <c r="B234" s="1172" t="s">
        <v>4649</v>
      </c>
      <c r="C234" s="726">
        <v>2500000000</v>
      </c>
      <c r="D234" s="726">
        <f>C234/C12*100</f>
        <v>0.13689582260754563</v>
      </c>
      <c r="E234" s="726"/>
      <c r="F234" s="726"/>
      <c r="G234" s="590"/>
      <c r="H234" s="726"/>
      <c r="I234" s="726"/>
      <c r="J234" s="586"/>
      <c r="K234" s="590"/>
      <c r="L234" s="590"/>
      <c r="M234" s="474"/>
    </row>
    <row r="235" spans="1:13" s="477" customFormat="1" ht="21" hidden="1" customHeight="1" x14ac:dyDescent="0.25">
      <c r="A235" s="733"/>
      <c r="B235" s="1172" t="s">
        <v>4650</v>
      </c>
      <c r="C235" s="726">
        <v>2500000000</v>
      </c>
      <c r="D235" s="726">
        <f>C235/C12*100</f>
        <v>0.13689582260754563</v>
      </c>
      <c r="E235" s="731"/>
      <c r="F235" s="731"/>
      <c r="G235" s="590"/>
      <c r="H235" s="726"/>
      <c r="I235" s="763"/>
      <c r="J235" s="585"/>
      <c r="K235" s="590"/>
      <c r="L235" s="590"/>
      <c r="M235" s="474"/>
    </row>
    <row r="236" spans="1:13" s="477" customFormat="1" ht="21.75" hidden="1" customHeight="1" x14ac:dyDescent="0.25">
      <c r="A236" s="733"/>
      <c r="B236" s="1172" t="s">
        <v>4651</v>
      </c>
      <c r="C236" s="726">
        <v>2500000000</v>
      </c>
      <c r="D236" s="726">
        <f>C236/C12*100</f>
        <v>0.13689582260754563</v>
      </c>
      <c r="E236" s="731"/>
      <c r="F236" s="731"/>
      <c r="G236" s="590"/>
      <c r="H236" s="729"/>
      <c r="I236" s="731"/>
      <c r="J236" s="585"/>
      <c r="K236" s="590"/>
      <c r="L236" s="590"/>
      <c r="M236" s="474"/>
    </row>
    <row r="237" spans="1:13" s="477" customFormat="1" ht="17.25" hidden="1" customHeight="1" x14ac:dyDescent="0.25">
      <c r="A237" s="733"/>
      <c r="B237" s="1172" t="s">
        <v>4652</v>
      </c>
      <c r="C237" s="726">
        <v>2500000000</v>
      </c>
      <c r="D237" s="726">
        <f>C237/C12*100</f>
        <v>0.13689582260754563</v>
      </c>
      <c r="E237" s="726"/>
      <c r="F237" s="726"/>
      <c r="G237" s="590"/>
      <c r="H237" s="726"/>
      <c r="I237" s="726"/>
      <c r="J237" s="586"/>
      <c r="K237" s="590"/>
      <c r="L237" s="590"/>
      <c r="M237" s="474"/>
    </row>
    <row r="238" spans="1:13" s="477" customFormat="1" ht="22.5" hidden="1" customHeight="1" x14ac:dyDescent="0.25">
      <c r="A238" s="733"/>
      <c r="B238" s="1172" t="s">
        <v>4653</v>
      </c>
      <c r="C238" s="726">
        <v>2500000000</v>
      </c>
      <c r="D238" s="726">
        <f>C238/C12*100</f>
        <v>0.13689582260754563</v>
      </c>
      <c r="E238" s="726"/>
      <c r="F238" s="726"/>
      <c r="G238" s="726"/>
      <c r="H238" s="726"/>
      <c r="I238" s="764"/>
      <c r="J238" s="586"/>
      <c r="K238" s="726"/>
      <c r="L238" s="726"/>
      <c r="M238" s="474"/>
    </row>
    <row r="239" spans="1:13" s="477" customFormat="1" ht="18.75" hidden="1" customHeight="1" x14ac:dyDescent="0.25">
      <c r="A239" s="733"/>
      <c r="B239" s="1172" t="s">
        <v>4654</v>
      </c>
      <c r="C239" s="726">
        <v>2500000000</v>
      </c>
      <c r="D239" s="726">
        <f>C239/C12*100</f>
        <v>0.13689582260754563</v>
      </c>
      <c r="F239" s="729"/>
      <c r="G239" s="590"/>
      <c r="H239" s="590"/>
      <c r="I239" s="765"/>
      <c r="J239" s="594"/>
      <c r="K239" s="728"/>
      <c r="L239" s="730"/>
      <c r="M239" s="474"/>
    </row>
    <row r="240" spans="1:13" s="477" customFormat="1" ht="18.75" hidden="1" customHeight="1" x14ac:dyDescent="0.25">
      <c r="A240" s="733"/>
      <c r="B240" s="1172" t="s">
        <v>4655</v>
      </c>
      <c r="C240" s="726">
        <v>2500000000</v>
      </c>
      <c r="D240" s="726">
        <f>C240/C12*100</f>
        <v>0.13689582260754563</v>
      </c>
      <c r="E240" s="766"/>
      <c r="F240" s="729"/>
      <c r="G240" s="590"/>
      <c r="H240" s="590"/>
      <c r="I240" s="765"/>
      <c r="J240" s="594"/>
      <c r="K240" s="730"/>
      <c r="L240" s="730"/>
      <c r="M240" s="474"/>
    </row>
    <row r="241" spans="1:13" s="477" customFormat="1" ht="18" hidden="1" customHeight="1" x14ac:dyDescent="0.25">
      <c r="A241" s="733"/>
      <c r="B241" s="1172" t="s">
        <v>3693</v>
      </c>
      <c r="C241" s="726">
        <v>2500000000</v>
      </c>
      <c r="D241" s="726">
        <f>C241/C12*100</f>
        <v>0.13689582260754563</v>
      </c>
      <c r="E241" s="766"/>
      <c r="F241" s="729"/>
      <c r="G241" s="590"/>
      <c r="H241" s="590"/>
      <c r="I241" s="765"/>
      <c r="J241" s="594"/>
      <c r="K241" s="730"/>
      <c r="L241" s="730"/>
      <c r="M241" s="474"/>
    </row>
    <row r="242" spans="1:13" s="477" customFormat="1" ht="18.75" hidden="1" customHeight="1" x14ac:dyDescent="0.25">
      <c r="A242" s="733"/>
      <c r="B242" s="1172" t="s">
        <v>4656</v>
      </c>
      <c r="C242" s="726">
        <v>30030000000</v>
      </c>
      <c r="D242" s="726">
        <f>C242/C12*100</f>
        <v>1.644392621161838</v>
      </c>
      <c r="E242" s="766"/>
      <c r="F242" s="729"/>
      <c r="G242" s="590"/>
      <c r="H242" s="590"/>
      <c r="I242" s="765"/>
      <c r="J242" s="594"/>
      <c r="K242" s="730"/>
      <c r="L242" s="730"/>
      <c r="M242" s="474"/>
    </row>
    <row r="243" spans="1:13" s="477" customFormat="1" ht="18" hidden="1" customHeight="1" x14ac:dyDescent="0.25">
      <c r="A243" s="733"/>
      <c r="B243" s="1172" t="s">
        <v>4657</v>
      </c>
      <c r="C243" s="726">
        <v>500000000</v>
      </c>
      <c r="D243" s="726">
        <f>C243/C12*100</f>
        <v>2.7379164521509129E-2</v>
      </c>
      <c r="E243" s="766"/>
      <c r="F243" s="729"/>
      <c r="G243" s="590"/>
      <c r="H243" s="590"/>
      <c r="I243" s="765"/>
      <c r="J243" s="594"/>
      <c r="K243" s="730"/>
      <c r="L243" s="730"/>
      <c r="M243" s="474"/>
    </row>
    <row r="244" spans="1:13" s="477" customFormat="1" ht="16.5" hidden="1" customHeight="1" x14ac:dyDescent="0.25">
      <c r="A244" s="733"/>
      <c r="B244" s="1172" t="s">
        <v>4658</v>
      </c>
      <c r="C244" s="726">
        <v>500000000</v>
      </c>
      <c r="D244" s="726">
        <f>C244/C12*100</f>
        <v>2.7379164521509129E-2</v>
      </c>
      <c r="E244" s="766"/>
      <c r="F244" s="729"/>
      <c r="G244" s="590"/>
      <c r="H244" s="590"/>
      <c r="I244" s="765"/>
      <c r="J244" s="594"/>
      <c r="K244" s="730"/>
      <c r="L244" s="730"/>
      <c r="M244" s="474"/>
    </row>
    <row r="245" spans="1:13" s="477" customFormat="1" ht="19.5" hidden="1" customHeight="1" x14ac:dyDescent="0.25">
      <c r="A245" s="733"/>
      <c r="B245" s="1172" t="s">
        <v>4659</v>
      </c>
      <c r="C245" s="726">
        <v>3000000000</v>
      </c>
      <c r="D245" s="726">
        <f>C245/C12*100</f>
        <v>0.16427498712905475</v>
      </c>
      <c r="E245" s="766"/>
      <c r="F245" s="729"/>
      <c r="G245" s="590"/>
      <c r="H245" s="590"/>
      <c r="I245" s="765"/>
      <c r="J245" s="594"/>
      <c r="K245" s="730"/>
      <c r="L245" s="730"/>
      <c r="M245" s="474"/>
    </row>
    <row r="246" spans="1:13" s="477" customFormat="1" ht="17.25" hidden="1" customHeight="1" x14ac:dyDescent="0.25">
      <c r="A246" s="733"/>
      <c r="B246" s="1172" t="s">
        <v>4660</v>
      </c>
      <c r="C246" s="726">
        <v>5000000000</v>
      </c>
      <c r="D246" s="726">
        <f>C246/C12*100</f>
        <v>0.27379164521509125</v>
      </c>
      <c r="E246" s="766"/>
      <c r="F246" s="729"/>
      <c r="G246" s="590"/>
      <c r="H246" s="590"/>
      <c r="I246" s="765"/>
      <c r="J246" s="594"/>
      <c r="K246" s="730"/>
      <c r="L246" s="730"/>
      <c r="M246" s="474"/>
    </row>
    <row r="247" spans="1:13" s="477" customFormat="1" ht="18.75" hidden="1" customHeight="1" x14ac:dyDescent="0.25">
      <c r="A247" s="733"/>
      <c r="B247" s="1172" t="s">
        <v>4661</v>
      </c>
      <c r="C247" s="726">
        <v>2000000000</v>
      </c>
      <c r="D247" s="726">
        <f>C247/C12*100</f>
        <v>0.10951665808603651</v>
      </c>
      <c r="E247" s="766"/>
      <c r="F247" s="729"/>
      <c r="G247" s="590"/>
      <c r="H247" s="590"/>
      <c r="I247" s="765"/>
      <c r="J247" s="594"/>
      <c r="K247" s="730"/>
      <c r="L247" s="730"/>
      <c r="M247" s="474"/>
    </row>
    <row r="248" spans="1:13" s="477" customFormat="1" ht="15.75" hidden="1" customHeight="1" x14ac:dyDescent="0.25">
      <c r="A248" s="733"/>
      <c r="B248" s="1172" t="s">
        <v>4662</v>
      </c>
      <c r="C248" s="726">
        <v>2000000000</v>
      </c>
      <c r="D248" s="726">
        <f>C248/C12*100</f>
        <v>0.10951665808603651</v>
      </c>
      <c r="E248" s="766"/>
      <c r="F248" s="729"/>
      <c r="G248" s="590"/>
      <c r="H248" s="590"/>
      <c r="I248" s="765"/>
      <c r="J248" s="594"/>
      <c r="K248" s="730"/>
      <c r="L248" s="730"/>
      <c r="M248" s="474"/>
    </row>
    <row r="249" spans="1:13" s="477" customFormat="1" ht="19.5" hidden="1" customHeight="1" x14ac:dyDescent="0.25">
      <c r="A249" s="733"/>
      <c r="B249" s="1172" t="s">
        <v>4663</v>
      </c>
      <c r="C249" s="726">
        <v>1200000000</v>
      </c>
      <c r="D249" s="726">
        <f>C249/C12*100</f>
        <v>6.5709994851621892E-2</v>
      </c>
      <c r="E249" s="766"/>
      <c r="F249" s="729"/>
      <c r="G249" s="590"/>
      <c r="H249" s="590"/>
      <c r="I249" s="765"/>
      <c r="J249" s="594"/>
      <c r="K249" s="730"/>
      <c r="L249" s="730"/>
      <c r="M249" s="474"/>
    </row>
    <row r="250" spans="1:13" s="477" customFormat="1" ht="19.5" hidden="1" customHeight="1" x14ac:dyDescent="0.25">
      <c r="A250" s="733"/>
      <c r="B250" s="1172" t="s">
        <v>4664</v>
      </c>
      <c r="C250" s="726">
        <v>2000000000</v>
      </c>
      <c r="D250" s="726">
        <f>C250/C12*100</f>
        <v>0.10951665808603651</v>
      </c>
      <c r="E250" s="766"/>
      <c r="F250" s="729"/>
      <c r="G250" s="590"/>
      <c r="H250" s="590"/>
      <c r="I250" s="765"/>
      <c r="J250" s="594"/>
      <c r="K250" s="730"/>
      <c r="L250" s="730"/>
      <c r="M250" s="474"/>
    </row>
    <row r="251" spans="1:13" s="477" customFormat="1" ht="18" hidden="1" customHeight="1" x14ac:dyDescent="0.25">
      <c r="A251" s="733"/>
      <c r="B251" s="1172" t="s">
        <v>4665</v>
      </c>
      <c r="C251" s="726">
        <v>2000000000</v>
      </c>
      <c r="D251" s="726">
        <f>C251/C12*100</f>
        <v>0.10951665808603651</v>
      </c>
      <c r="E251" s="1188"/>
      <c r="F251" s="729"/>
      <c r="G251" s="590"/>
      <c r="H251" s="590"/>
      <c r="I251" s="765"/>
      <c r="J251" s="594"/>
      <c r="K251" s="730"/>
      <c r="L251" s="730"/>
      <c r="M251" s="474"/>
    </row>
    <row r="252" spans="1:13" s="477" customFormat="1" ht="19.5" hidden="1" customHeight="1" x14ac:dyDescent="0.25">
      <c r="A252" s="733"/>
      <c r="B252" s="1172" t="s">
        <v>4666</v>
      </c>
      <c r="C252" s="726">
        <v>1728000000</v>
      </c>
      <c r="D252" s="726">
        <f>C252/C12*100</f>
        <v>9.4622392586335549E-2</v>
      </c>
      <c r="E252" s="766"/>
      <c r="F252" s="729"/>
      <c r="G252" s="590"/>
      <c r="H252" s="590"/>
      <c r="I252" s="765"/>
      <c r="J252" s="594"/>
      <c r="K252" s="730"/>
      <c r="L252" s="730"/>
      <c r="M252" s="474"/>
    </row>
    <row r="253" spans="1:13" s="477" customFormat="1" ht="22.5" hidden="1" customHeight="1" x14ac:dyDescent="0.25">
      <c r="A253" s="733"/>
      <c r="B253" s="1172" t="s">
        <v>4667</v>
      </c>
      <c r="C253" s="726">
        <v>1540000000</v>
      </c>
      <c r="D253" s="726">
        <f>C253/C12*100</f>
        <v>8.4327826726248112E-2</v>
      </c>
      <c r="E253" s="766"/>
      <c r="F253" s="729"/>
      <c r="G253" s="590"/>
      <c r="H253" s="590"/>
      <c r="I253" s="765"/>
      <c r="J253" s="594"/>
      <c r="K253" s="730"/>
      <c r="L253" s="730"/>
      <c r="M253" s="474"/>
    </row>
    <row r="254" spans="1:13" s="477" customFormat="1" ht="18" hidden="1" customHeight="1" x14ac:dyDescent="0.25">
      <c r="A254" s="733"/>
      <c r="B254" s="1172" t="s">
        <v>4668</v>
      </c>
      <c r="C254" s="726">
        <v>850000000</v>
      </c>
      <c r="D254" s="726">
        <f>C254/C12*100</f>
        <v>4.6544579686565515E-2</v>
      </c>
      <c r="E254" s="766"/>
      <c r="F254" s="729"/>
      <c r="G254" s="590"/>
      <c r="H254" s="590"/>
      <c r="I254" s="765"/>
      <c r="J254" s="594"/>
      <c r="K254" s="730"/>
      <c r="L254" s="730"/>
      <c r="M254" s="474"/>
    </row>
    <row r="255" spans="1:13" s="477" customFormat="1" ht="21" hidden="1" customHeight="1" x14ac:dyDescent="0.25">
      <c r="A255" s="733"/>
      <c r="B255" s="1172" t="s">
        <v>4669</v>
      </c>
      <c r="C255" s="726">
        <v>11800000000</v>
      </c>
      <c r="D255" s="726">
        <f>C255/C12*100</f>
        <v>0.64614828270761537</v>
      </c>
      <c r="E255" s="766"/>
      <c r="F255" s="729"/>
      <c r="G255" s="590"/>
      <c r="H255" s="590"/>
      <c r="I255" s="765"/>
      <c r="J255" s="594"/>
      <c r="K255" s="730"/>
      <c r="L255" s="730"/>
      <c r="M255" s="474"/>
    </row>
    <row r="256" spans="1:13" s="477" customFormat="1" ht="21" hidden="1" customHeight="1" x14ac:dyDescent="0.25">
      <c r="A256" s="733"/>
      <c r="B256" s="1172" t="s">
        <v>4670</v>
      </c>
      <c r="C256" s="726">
        <v>3825000000</v>
      </c>
      <c r="D256" s="726">
        <f>C256/C12*100</f>
        <v>0.20945060858954481</v>
      </c>
      <c r="E256" s="766"/>
      <c r="F256" s="729"/>
      <c r="G256" s="590"/>
      <c r="H256" s="590"/>
      <c r="I256" s="765"/>
      <c r="J256" s="594"/>
      <c r="K256" s="730"/>
      <c r="L256" s="730"/>
      <c r="M256" s="474"/>
    </row>
    <row r="257" spans="1:13" s="477" customFormat="1" ht="18.75" hidden="1" customHeight="1" x14ac:dyDescent="0.25">
      <c r="A257" s="733"/>
      <c r="B257" s="1172" t="s">
        <v>4671</v>
      </c>
      <c r="C257" s="726">
        <v>9375000000</v>
      </c>
      <c r="D257" s="726">
        <f>C257/C12*100</f>
        <v>0.51335933477829609</v>
      </c>
      <c r="E257" s="766"/>
      <c r="F257" s="729"/>
      <c r="G257" s="590"/>
      <c r="H257" s="590"/>
      <c r="I257" s="765"/>
      <c r="J257" s="594"/>
      <c r="K257" s="730"/>
      <c r="L257" s="730"/>
      <c r="M257" s="474"/>
    </row>
    <row r="258" spans="1:13" s="477" customFormat="1" ht="18" hidden="1" customHeight="1" x14ac:dyDescent="0.25">
      <c r="A258" s="733"/>
      <c r="B258" s="1172" t="s">
        <v>4672</v>
      </c>
      <c r="C258" s="726">
        <v>2000000000</v>
      </c>
      <c r="D258" s="726">
        <f>C258/C12*100</f>
        <v>0.10951665808603651</v>
      </c>
      <c r="E258" s="766"/>
      <c r="F258" s="729"/>
      <c r="G258" s="590"/>
      <c r="H258" s="590"/>
      <c r="I258" s="765"/>
      <c r="J258" s="594"/>
      <c r="K258" s="730"/>
      <c r="L258" s="730"/>
      <c r="M258" s="474"/>
    </row>
    <row r="259" spans="1:13" s="477" customFormat="1" ht="26.25" hidden="1" customHeight="1" x14ac:dyDescent="0.25">
      <c r="A259" s="733"/>
      <c r="B259" s="1172" t="s">
        <v>4673</v>
      </c>
      <c r="C259" s="726">
        <v>2000000000</v>
      </c>
      <c r="D259" s="726">
        <f>C259/C12*100</f>
        <v>0.10951665808603651</v>
      </c>
      <c r="E259" s="766"/>
      <c r="F259" s="729"/>
      <c r="G259" s="590"/>
      <c r="H259" s="590"/>
      <c r="I259" s="765"/>
      <c r="J259" s="594"/>
      <c r="K259" s="730"/>
      <c r="L259" s="730"/>
      <c r="M259" s="474"/>
    </row>
    <row r="260" spans="1:13" s="477" customFormat="1" ht="30" hidden="1" customHeight="1" x14ac:dyDescent="0.25">
      <c r="A260" s="733"/>
      <c r="B260" s="1172" t="s">
        <v>4674</v>
      </c>
      <c r="C260" s="726">
        <v>1500000000</v>
      </c>
      <c r="D260" s="726">
        <f>C260/C12*100</f>
        <v>8.2137493564527375E-2</v>
      </c>
      <c r="E260" s="766"/>
      <c r="F260" s="729"/>
      <c r="G260" s="590"/>
      <c r="H260" s="590"/>
      <c r="I260" s="765"/>
      <c r="J260" s="594"/>
      <c r="K260" s="730"/>
      <c r="L260" s="730"/>
      <c r="M260" s="474"/>
    </row>
    <row r="261" spans="1:13" s="477" customFormat="1" ht="21.75" hidden="1" customHeight="1" x14ac:dyDescent="0.25">
      <c r="A261" s="733"/>
      <c r="B261" s="1172" t="s">
        <v>4675</v>
      </c>
      <c r="C261" s="726">
        <v>1500000000</v>
      </c>
      <c r="D261" s="726">
        <f>C261/C12*100</f>
        <v>8.2137493564527375E-2</v>
      </c>
      <c r="E261" s="766"/>
      <c r="F261" s="729"/>
      <c r="G261" s="590"/>
      <c r="H261" s="590"/>
      <c r="I261" s="765"/>
      <c r="J261" s="594"/>
      <c r="K261" s="730"/>
      <c r="L261" s="730"/>
      <c r="M261" s="474"/>
    </row>
    <row r="262" spans="1:13" s="477" customFormat="1" ht="23.25" hidden="1" customHeight="1" x14ac:dyDescent="0.25">
      <c r="A262" s="733"/>
      <c r="B262" s="1172" t="s">
        <v>4676</v>
      </c>
      <c r="C262" s="726">
        <v>3030000000</v>
      </c>
      <c r="D262" s="726">
        <f>C262/C12*100</f>
        <v>0.16591773700034529</v>
      </c>
      <c r="E262" s="766"/>
      <c r="F262" s="729"/>
      <c r="G262" s="590"/>
      <c r="H262" s="590"/>
      <c r="I262" s="765"/>
      <c r="J262" s="594"/>
      <c r="K262" s="730"/>
      <c r="L262" s="730"/>
      <c r="M262" s="474"/>
    </row>
    <row r="263" spans="1:13" s="477" customFormat="1" ht="21" hidden="1" customHeight="1" x14ac:dyDescent="0.25">
      <c r="A263" s="733"/>
      <c r="B263" s="1172" t="s">
        <v>4677</v>
      </c>
      <c r="C263" s="726">
        <v>2670000000</v>
      </c>
      <c r="D263" s="726">
        <f>C263/C12*100</f>
        <v>0.14620473854485871</v>
      </c>
      <c r="E263" s="766"/>
      <c r="F263" s="729"/>
      <c r="G263" s="590"/>
      <c r="H263" s="590"/>
      <c r="I263" s="765"/>
      <c r="J263" s="594"/>
      <c r="K263" s="730"/>
      <c r="L263" s="730"/>
      <c r="M263" s="474"/>
    </row>
    <row r="264" spans="1:13" s="477" customFormat="1" ht="21" hidden="1" customHeight="1" x14ac:dyDescent="0.25">
      <c r="A264" s="733"/>
      <c r="B264" s="1172" t="s">
        <v>4678</v>
      </c>
      <c r="C264" s="726">
        <v>1200000000</v>
      </c>
      <c r="D264" s="726">
        <f>C264/C12*100</f>
        <v>6.5709994851621892E-2</v>
      </c>
      <c r="E264" s="766"/>
      <c r="F264" s="729"/>
      <c r="G264" s="590"/>
      <c r="H264" s="590"/>
      <c r="I264" s="765"/>
      <c r="J264" s="594"/>
      <c r="K264" s="730"/>
      <c r="L264" s="730"/>
      <c r="M264" s="474"/>
    </row>
    <row r="265" spans="1:13" s="477" customFormat="1" ht="20.25" hidden="1" customHeight="1" x14ac:dyDescent="0.25">
      <c r="A265" s="733"/>
      <c r="B265" s="1172" t="s">
        <v>4679</v>
      </c>
      <c r="C265" s="726">
        <v>2000000000</v>
      </c>
      <c r="D265" s="726">
        <f>C265/C12*100</f>
        <v>0.10951665808603651</v>
      </c>
      <c r="E265" s="766"/>
      <c r="F265" s="729"/>
      <c r="G265" s="590"/>
      <c r="H265" s="590"/>
      <c r="I265" s="765"/>
      <c r="J265" s="594"/>
      <c r="K265" s="730"/>
      <c r="L265" s="730"/>
      <c r="M265" s="474"/>
    </row>
    <row r="266" spans="1:13" s="477" customFormat="1" ht="21.75" hidden="1" customHeight="1" x14ac:dyDescent="0.25">
      <c r="A266" s="733"/>
      <c r="B266" s="1172" t="s">
        <v>4680</v>
      </c>
      <c r="C266" s="726">
        <v>2000000000</v>
      </c>
      <c r="D266" s="726">
        <f>C266/C12*100</f>
        <v>0.10951665808603651</v>
      </c>
      <c r="E266" s="766"/>
      <c r="F266" s="729"/>
      <c r="G266" s="590"/>
      <c r="H266" s="590"/>
      <c r="I266" s="765"/>
      <c r="J266" s="594"/>
      <c r="K266" s="730"/>
      <c r="L266" s="730"/>
      <c r="M266" s="474"/>
    </row>
    <row r="267" spans="1:13" s="477" customFormat="1" ht="21.75" hidden="1" customHeight="1" x14ac:dyDescent="0.25">
      <c r="A267" s="733"/>
      <c r="B267" s="1172" t="s">
        <v>4681</v>
      </c>
      <c r="C267" s="726">
        <v>4000000000</v>
      </c>
      <c r="D267" s="726">
        <f>C267/C12*100</f>
        <v>0.21903331617207303</v>
      </c>
      <c r="E267" s="766"/>
      <c r="F267" s="729"/>
      <c r="G267" s="590"/>
      <c r="H267" s="590"/>
      <c r="I267" s="765"/>
      <c r="J267" s="594"/>
      <c r="K267" s="730"/>
      <c r="L267" s="730"/>
      <c r="M267" s="474"/>
    </row>
    <row r="268" spans="1:13" s="477" customFormat="1" ht="21" hidden="1" customHeight="1" x14ac:dyDescent="0.25">
      <c r="A268" s="733"/>
      <c r="B268" s="1172" t="s">
        <v>4682</v>
      </c>
      <c r="C268" s="726">
        <v>3000000000</v>
      </c>
      <c r="D268" s="726">
        <f>C268/C12*100</f>
        <v>0.16427498712905475</v>
      </c>
      <c r="E268" s="766"/>
      <c r="F268" s="729"/>
      <c r="G268" s="590"/>
      <c r="H268" s="590"/>
      <c r="I268" s="765"/>
      <c r="J268" s="594"/>
      <c r="K268" s="730"/>
      <c r="L268" s="730"/>
      <c r="M268" s="474"/>
    </row>
    <row r="269" spans="1:13" s="477" customFormat="1" ht="21" hidden="1" customHeight="1" x14ac:dyDescent="0.25">
      <c r="A269" s="733"/>
      <c r="B269" s="1172" t="s">
        <v>4683</v>
      </c>
      <c r="C269" s="726">
        <v>2200000000</v>
      </c>
      <c r="D269" s="726">
        <f>C269/C12*100</f>
        <v>0.12046832389464016</v>
      </c>
      <c r="E269" s="766"/>
      <c r="F269" s="729"/>
      <c r="G269" s="590"/>
      <c r="H269" s="590"/>
      <c r="I269" s="765"/>
      <c r="J269" s="594"/>
      <c r="K269" s="730"/>
      <c r="L269" s="730"/>
      <c r="M269" s="474"/>
    </row>
    <row r="270" spans="1:13" s="477" customFormat="1" ht="20.25" hidden="1" customHeight="1" x14ac:dyDescent="0.25">
      <c r="A270" s="733"/>
      <c r="B270" s="1172" t="s">
        <v>4684</v>
      </c>
      <c r="C270" s="726">
        <v>9900000000</v>
      </c>
      <c r="D270" s="726">
        <f>C270/C12*100</f>
        <v>0.54210745752588074</v>
      </c>
      <c r="E270" s="766"/>
      <c r="F270" s="729"/>
      <c r="G270" s="590"/>
      <c r="H270" s="590"/>
      <c r="I270" s="765"/>
      <c r="J270" s="594"/>
      <c r="K270" s="730"/>
      <c r="L270" s="730"/>
      <c r="M270" s="474"/>
    </row>
    <row r="271" spans="1:13" s="477" customFormat="1" ht="21.75" hidden="1" customHeight="1" x14ac:dyDescent="0.25">
      <c r="A271" s="733"/>
      <c r="B271" s="1172" t="s">
        <v>4685</v>
      </c>
      <c r="C271" s="726">
        <v>250000000</v>
      </c>
      <c r="D271" s="726">
        <f>C271/C12*100</f>
        <v>1.3689582260754564E-2</v>
      </c>
      <c r="E271" s="766"/>
      <c r="F271" s="729"/>
      <c r="G271" s="590"/>
      <c r="H271" s="590"/>
      <c r="I271" s="765"/>
      <c r="J271" s="594"/>
      <c r="K271" s="730"/>
      <c r="L271" s="730"/>
      <c r="M271" s="474"/>
    </row>
    <row r="272" spans="1:13" s="477" customFormat="1" ht="18.75" hidden="1" customHeight="1" x14ac:dyDescent="0.25">
      <c r="A272" s="733"/>
      <c r="B272" s="1172" t="s">
        <v>4686</v>
      </c>
      <c r="C272" s="726">
        <v>250000000</v>
      </c>
      <c r="D272" s="726">
        <f>C272/C12*100</f>
        <v>1.3689582260754564E-2</v>
      </c>
      <c r="E272" s="766"/>
      <c r="F272" s="729"/>
      <c r="G272" s="590"/>
      <c r="H272" s="590"/>
      <c r="I272" s="765"/>
      <c r="J272" s="594"/>
      <c r="K272" s="730"/>
      <c r="L272" s="730"/>
      <c r="M272" s="474"/>
    </row>
    <row r="273" spans="1:13" s="477" customFormat="1" ht="19.5" hidden="1" customHeight="1" x14ac:dyDescent="0.25">
      <c r="A273" s="733"/>
      <c r="B273" s="1172" t="s">
        <v>4687</v>
      </c>
      <c r="C273" s="726">
        <v>250000000</v>
      </c>
      <c r="D273" s="726">
        <f>C273/C12*100</f>
        <v>1.3689582260754564E-2</v>
      </c>
      <c r="E273" s="766"/>
      <c r="F273" s="729"/>
      <c r="G273" s="590"/>
      <c r="H273" s="590"/>
      <c r="I273" s="765"/>
      <c r="J273" s="594"/>
      <c r="K273" s="730"/>
      <c r="L273" s="730"/>
      <c r="M273" s="474"/>
    </row>
    <row r="274" spans="1:13" s="477" customFormat="1" ht="21.75" hidden="1" customHeight="1" x14ac:dyDescent="0.25">
      <c r="A274" s="733"/>
      <c r="B274" s="1172" t="s">
        <v>4688</v>
      </c>
      <c r="C274" s="726">
        <v>250000000</v>
      </c>
      <c r="D274" s="726">
        <f>C274/C12*100</f>
        <v>1.3689582260754564E-2</v>
      </c>
      <c r="E274" s="766"/>
      <c r="F274" s="729"/>
      <c r="G274" s="590"/>
      <c r="H274" s="590"/>
      <c r="I274" s="765"/>
      <c r="J274" s="594"/>
      <c r="K274" s="730"/>
      <c r="L274" s="730"/>
      <c r="M274" s="474"/>
    </row>
    <row r="275" spans="1:13" s="477" customFormat="1" ht="19.5" hidden="1" customHeight="1" x14ac:dyDescent="0.25">
      <c r="A275" s="733"/>
      <c r="B275" s="1172" t="s">
        <v>4689</v>
      </c>
      <c r="C275" s="726">
        <v>250000000</v>
      </c>
      <c r="D275" s="726">
        <f>C275/C12*100</f>
        <v>1.3689582260754564E-2</v>
      </c>
      <c r="E275" s="766"/>
      <c r="F275" s="729"/>
      <c r="G275" s="590"/>
      <c r="H275" s="590"/>
      <c r="I275" s="765"/>
      <c r="J275" s="594"/>
      <c r="K275" s="730"/>
      <c r="L275" s="730"/>
      <c r="M275" s="474"/>
    </row>
    <row r="276" spans="1:13" s="477" customFormat="1" ht="17.25" hidden="1" customHeight="1" x14ac:dyDescent="0.25">
      <c r="A276" s="733"/>
      <c r="B276" s="1172" t="s">
        <v>4690</v>
      </c>
      <c r="C276" s="726">
        <v>250000000</v>
      </c>
      <c r="D276" s="726">
        <f>C276/C12*100</f>
        <v>1.3689582260754564E-2</v>
      </c>
      <c r="E276" s="766"/>
      <c r="F276" s="729"/>
      <c r="G276" s="590"/>
      <c r="H276" s="590"/>
      <c r="I276" s="765"/>
      <c r="J276" s="594"/>
      <c r="K276" s="730"/>
      <c r="L276" s="730"/>
      <c r="M276" s="474"/>
    </row>
    <row r="277" spans="1:13" s="477" customFormat="1" ht="18" hidden="1" customHeight="1" x14ac:dyDescent="0.25">
      <c r="A277" s="733"/>
      <c r="B277" s="1172" t="s">
        <v>4691</v>
      </c>
      <c r="C277" s="726">
        <v>1000000000</v>
      </c>
      <c r="D277" s="726">
        <f>C277/C12*100</f>
        <v>5.4758329043018257E-2</v>
      </c>
      <c r="E277" s="766"/>
      <c r="F277" s="729"/>
      <c r="G277" s="590"/>
      <c r="H277" s="590"/>
      <c r="I277" s="765"/>
      <c r="J277" s="594"/>
      <c r="K277" s="730"/>
      <c r="L277" s="730"/>
      <c r="M277" s="474"/>
    </row>
    <row r="278" spans="1:13" s="477" customFormat="1" ht="21.75" hidden="1" customHeight="1" x14ac:dyDescent="0.25">
      <c r="A278" s="733"/>
      <c r="B278" s="1172" t="s">
        <v>4692</v>
      </c>
      <c r="C278" s="726">
        <v>2000000000</v>
      </c>
      <c r="D278" s="726">
        <f>C278/C12*100</f>
        <v>0.10951665808603651</v>
      </c>
      <c r="E278" s="766"/>
      <c r="F278" s="729"/>
      <c r="G278" s="590"/>
      <c r="H278" s="590"/>
      <c r="I278" s="765"/>
      <c r="J278" s="594"/>
      <c r="K278" s="730"/>
      <c r="L278" s="730"/>
      <c r="M278" s="474"/>
    </row>
    <row r="279" spans="1:13" s="477" customFormat="1" ht="19.5" hidden="1" customHeight="1" x14ac:dyDescent="0.25">
      <c r="A279" s="733"/>
      <c r="B279" s="1172" t="s">
        <v>4693</v>
      </c>
      <c r="C279" s="726">
        <v>5467500000</v>
      </c>
      <c r="D279" s="726">
        <f>C279/C12*100</f>
        <v>0.29939116404270233</v>
      </c>
      <c r="E279" s="766"/>
      <c r="F279" s="729"/>
      <c r="G279" s="590"/>
      <c r="H279" s="590"/>
      <c r="I279" s="765"/>
      <c r="J279" s="594"/>
      <c r="K279" s="730"/>
      <c r="L279" s="730"/>
      <c r="M279" s="474"/>
    </row>
    <row r="280" spans="1:13" s="477" customFormat="1" ht="20.25" hidden="1" customHeight="1" x14ac:dyDescent="0.25">
      <c r="A280" s="733"/>
      <c r="B280" s="1172" t="s">
        <v>4694</v>
      </c>
      <c r="C280" s="726">
        <v>6489500000</v>
      </c>
      <c r="D280" s="726">
        <f>C280/C12*100</f>
        <v>0.35535417632466693</v>
      </c>
      <c r="E280" s="766"/>
      <c r="F280" s="729"/>
      <c r="G280" s="590"/>
      <c r="H280" s="590"/>
      <c r="I280" s="765"/>
      <c r="J280" s="594"/>
      <c r="K280" s="730"/>
      <c r="L280" s="730"/>
      <c r="M280" s="474"/>
    </row>
    <row r="281" spans="1:13" s="477" customFormat="1" ht="21" hidden="1" customHeight="1" x14ac:dyDescent="0.25">
      <c r="A281" s="733"/>
      <c r="B281" s="1172" t="s">
        <v>4695</v>
      </c>
      <c r="C281" s="726">
        <v>3150000000</v>
      </c>
      <c r="D281" s="726">
        <f>C281/C12*100</f>
        <v>0.1724887364855075</v>
      </c>
      <c r="E281" s="766"/>
      <c r="F281" s="729"/>
      <c r="G281" s="590"/>
      <c r="H281" s="590"/>
      <c r="I281" s="765"/>
      <c r="J281" s="594"/>
      <c r="K281" s="730"/>
      <c r="L281" s="730"/>
      <c r="M281" s="474"/>
    </row>
    <row r="282" spans="1:13" s="477" customFormat="1" ht="18" hidden="1" customHeight="1" x14ac:dyDescent="0.25">
      <c r="A282" s="733"/>
      <c r="B282" s="1172" t="s">
        <v>4696</v>
      </c>
      <c r="C282" s="726">
        <v>3525000000</v>
      </c>
      <c r="D282" s="726">
        <f>C282/C12*100</f>
        <v>0.19302310987663934</v>
      </c>
      <c r="E282" s="766"/>
      <c r="F282" s="729"/>
      <c r="G282" s="590"/>
      <c r="H282" s="590"/>
      <c r="I282" s="765"/>
      <c r="J282" s="594"/>
      <c r="K282" s="730"/>
      <c r="L282" s="730"/>
      <c r="M282" s="474"/>
    </row>
    <row r="283" spans="1:13" s="477" customFormat="1" ht="21.75" hidden="1" customHeight="1" x14ac:dyDescent="0.25">
      <c r="A283" s="733"/>
      <c r="B283" s="1172" t="s">
        <v>4697</v>
      </c>
      <c r="C283" s="726">
        <v>600000000</v>
      </c>
      <c r="D283" s="726">
        <f>C283/C12*100</f>
        <v>3.2854997425810946E-2</v>
      </c>
      <c r="E283" s="766"/>
      <c r="F283" s="729"/>
      <c r="G283" s="590"/>
      <c r="H283" s="590"/>
      <c r="I283" s="765"/>
      <c r="J283" s="594"/>
      <c r="K283" s="730"/>
      <c r="L283" s="730"/>
      <c r="M283" s="474"/>
    </row>
    <row r="284" spans="1:13" s="477" customFormat="1" ht="18" hidden="1" customHeight="1" x14ac:dyDescent="0.25">
      <c r="A284" s="733"/>
      <c r="B284" s="1172" t="s">
        <v>4698</v>
      </c>
      <c r="C284" s="726">
        <v>2000000000</v>
      </c>
      <c r="D284" s="726">
        <f>C284/C12*100</f>
        <v>0.10951665808603651</v>
      </c>
      <c r="E284" s="766"/>
      <c r="F284" s="729"/>
      <c r="G284" s="590"/>
      <c r="H284" s="590"/>
      <c r="I284" s="765"/>
      <c r="J284" s="594"/>
      <c r="K284" s="730"/>
      <c r="L284" s="730"/>
      <c r="M284" s="474"/>
    </row>
    <row r="285" spans="1:13" s="477" customFormat="1" ht="21" hidden="1" customHeight="1" x14ac:dyDescent="0.25">
      <c r="A285" s="733"/>
      <c r="B285" s="1172" t="s">
        <v>4699</v>
      </c>
      <c r="C285" s="726">
        <v>1500000000</v>
      </c>
      <c r="D285" s="726">
        <f>C285/C12*100</f>
        <v>8.2137493564527375E-2</v>
      </c>
      <c r="E285" s="766"/>
      <c r="F285" s="729"/>
      <c r="G285" s="590"/>
      <c r="H285" s="590"/>
      <c r="I285" s="765"/>
      <c r="J285" s="594"/>
      <c r="K285" s="730"/>
      <c r="L285" s="730"/>
      <c r="M285" s="474"/>
    </row>
    <row r="286" spans="1:13" s="477" customFormat="1" ht="13.5" hidden="1" customHeight="1" x14ac:dyDescent="0.25">
      <c r="A286" s="733"/>
      <c r="B286" s="1172"/>
      <c r="C286" s="768"/>
      <c r="D286" s="726"/>
      <c r="E286" s="726"/>
      <c r="F286" s="731"/>
      <c r="G286" s="590"/>
      <c r="H286" s="731"/>
      <c r="I286" s="726"/>
      <c r="J286" s="767"/>
      <c r="K286" s="590"/>
      <c r="L286" s="590"/>
      <c r="M286" s="474"/>
    </row>
    <row r="287" spans="1:13" s="477" customFormat="1" ht="17.25" hidden="1" customHeight="1" x14ac:dyDescent="0.25">
      <c r="A287" s="733"/>
      <c r="B287" s="1187" t="s">
        <v>4700</v>
      </c>
      <c r="C287" s="743">
        <f>SUM(C288:C288)</f>
        <v>700000000</v>
      </c>
      <c r="D287" s="737">
        <f>C287/C12*100</f>
        <v>3.8330830330112774E-2</v>
      </c>
      <c r="E287" s="726"/>
      <c r="F287" s="731"/>
      <c r="G287" s="590"/>
      <c r="H287" s="731"/>
      <c r="I287" s="726"/>
      <c r="J287" s="767"/>
      <c r="K287" s="590"/>
      <c r="L287" s="590"/>
      <c r="M287" s="474"/>
    </row>
    <row r="288" spans="1:13" s="477" customFormat="1" ht="21" hidden="1" customHeight="1" x14ac:dyDescent="0.25">
      <c r="A288" s="733"/>
      <c r="B288" s="1172" t="s">
        <v>4701</v>
      </c>
      <c r="C288" s="726">
        <v>700000000</v>
      </c>
      <c r="D288" s="726">
        <f>C288/C12*100</f>
        <v>3.8330830330112774E-2</v>
      </c>
      <c r="E288" s="726"/>
      <c r="F288" s="726"/>
      <c r="G288" s="590"/>
      <c r="H288" s="726"/>
      <c r="I288" s="726"/>
      <c r="J288" s="586"/>
      <c r="K288" s="590"/>
      <c r="L288" s="590"/>
      <c r="M288" s="474"/>
    </row>
    <row r="289" spans="1:15" s="477" customFormat="1" ht="9.75" hidden="1" customHeight="1" x14ac:dyDescent="0.25">
      <c r="A289" s="733"/>
      <c r="B289" s="1174"/>
      <c r="C289" s="751"/>
      <c r="D289" s="751"/>
      <c r="E289" s="726"/>
      <c r="F289" s="751"/>
      <c r="G289" s="584"/>
      <c r="H289" s="751"/>
      <c r="I289" s="751"/>
      <c r="J289" s="767"/>
      <c r="K289" s="584"/>
      <c r="L289" s="584"/>
      <c r="M289" s="1189"/>
    </row>
    <row r="290" spans="1:15" s="477" customFormat="1" ht="21" hidden="1" customHeight="1" x14ac:dyDescent="0.25">
      <c r="A290" s="733"/>
      <c r="B290" s="1173" t="s">
        <v>4702</v>
      </c>
      <c r="C290" s="737">
        <f>SUM(C291:C292)</f>
        <v>1000000000</v>
      </c>
      <c r="D290" s="737">
        <f>C290/C12*100</f>
        <v>5.4758329043018257E-2</v>
      </c>
      <c r="E290" s="726"/>
      <c r="F290" s="726"/>
      <c r="G290" s="582"/>
      <c r="H290" s="726"/>
      <c r="I290" s="726"/>
      <c r="J290" s="586"/>
      <c r="K290" s="582"/>
      <c r="L290" s="582"/>
      <c r="M290" s="478"/>
    </row>
    <row r="291" spans="1:15" s="477" customFormat="1" ht="18.75" hidden="1" customHeight="1" x14ac:dyDescent="0.25">
      <c r="A291" s="733"/>
      <c r="B291" s="1172" t="s">
        <v>4703</v>
      </c>
      <c r="C291" s="726">
        <v>500000000</v>
      </c>
      <c r="D291" s="726">
        <f>C291/C12*100</f>
        <v>2.7379164521509129E-2</v>
      </c>
      <c r="E291" s="726"/>
      <c r="F291" s="726"/>
      <c r="G291" s="582"/>
      <c r="H291" s="726"/>
      <c r="I291" s="726"/>
      <c r="J291" s="586"/>
      <c r="K291" s="582"/>
      <c r="L291" s="582"/>
      <c r="M291" s="478"/>
    </row>
    <row r="292" spans="1:15" s="477" customFormat="1" ht="21" hidden="1" customHeight="1" x14ac:dyDescent="0.25">
      <c r="A292" s="733"/>
      <c r="B292" s="1172" t="s">
        <v>4704</v>
      </c>
      <c r="C292" s="726">
        <v>500000000</v>
      </c>
      <c r="D292" s="726">
        <f>C292/C12*100</f>
        <v>2.7379164521509129E-2</v>
      </c>
      <c r="E292" s="726"/>
      <c r="F292" s="726"/>
      <c r="G292" s="582"/>
      <c r="H292" s="726"/>
      <c r="I292" s="726"/>
      <c r="J292" s="586"/>
      <c r="K292" s="582"/>
      <c r="L292" s="582"/>
      <c r="M292" s="478"/>
    </row>
    <row r="293" spans="1:15" ht="17.25" hidden="1" customHeight="1" x14ac:dyDescent="0.25">
      <c r="A293" s="4264"/>
      <c r="B293" s="1190"/>
      <c r="C293" s="1191"/>
      <c r="D293" s="1192"/>
      <c r="E293" s="1193"/>
      <c r="F293" s="1194"/>
      <c r="G293" s="1195"/>
      <c r="H293" s="604"/>
      <c r="I293" s="1193"/>
      <c r="J293" s="1196"/>
      <c r="K293" s="604"/>
      <c r="L293" s="1197"/>
      <c r="M293" s="1198"/>
    </row>
    <row r="294" spans="1:15" s="470" customFormat="1" ht="23.25" customHeight="1" thickBot="1" x14ac:dyDescent="0.3">
      <c r="A294" s="4265" t="s">
        <v>89</v>
      </c>
      <c r="B294" s="1175" t="s">
        <v>3708</v>
      </c>
      <c r="C294" s="722">
        <f>SUM(C295,C300,C307,C311,C317,C329)</f>
        <v>129000000000</v>
      </c>
      <c r="D294" s="722">
        <f>C294/C12*100</f>
        <v>7.0638244465493552</v>
      </c>
      <c r="E294" s="769"/>
      <c r="F294" s="769"/>
      <c r="G294" s="592"/>
      <c r="H294" s="770"/>
      <c r="I294" s="769"/>
      <c r="J294" s="593"/>
      <c r="K294" s="592"/>
      <c r="L294" s="592"/>
      <c r="M294" s="479"/>
      <c r="O294" s="472"/>
    </row>
    <row r="295" spans="1:15" s="470" customFormat="1" ht="24" hidden="1" customHeight="1" x14ac:dyDescent="0.25">
      <c r="A295" s="735"/>
      <c r="B295" s="1187" t="s">
        <v>4705</v>
      </c>
      <c r="C295" s="773">
        <f>SUM(C296:C298)</f>
        <v>11300000000</v>
      </c>
      <c r="D295" s="773">
        <f>C295/C12*100</f>
        <v>0.61876911818610625</v>
      </c>
      <c r="E295" s="724"/>
      <c r="F295" s="724"/>
      <c r="G295" s="589"/>
      <c r="H295" s="741"/>
      <c r="I295" s="724"/>
      <c r="J295" s="771"/>
      <c r="K295" s="589"/>
      <c r="L295" s="772"/>
      <c r="M295" s="473"/>
    </row>
    <row r="296" spans="1:15" s="477" customFormat="1" ht="20.25" hidden="1" customHeight="1" x14ac:dyDescent="0.25">
      <c r="A296" s="733"/>
      <c r="B296" s="1172" t="s">
        <v>4707</v>
      </c>
      <c r="C296" s="726">
        <v>3001790000</v>
      </c>
      <c r="D296" s="740">
        <f>C296/C12*100</f>
        <v>0.16437300453804177</v>
      </c>
      <c r="E296" s="729"/>
      <c r="F296" s="731"/>
      <c r="G296" s="590"/>
      <c r="H296" s="731"/>
      <c r="I296" s="729"/>
      <c r="J296" s="738"/>
      <c r="K296" s="590"/>
      <c r="L296" s="749"/>
      <c r="M296" s="474"/>
    </row>
    <row r="297" spans="1:15" s="477" customFormat="1" ht="14.25" hidden="1" customHeight="1" x14ac:dyDescent="0.25">
      <c r="A297" s="733"/>
      <c r="B297" s="1172" t="s">
        <v>4706</v>
      </c>
      <c r="C297" s="726">
        <v>8000000000</v>
      </c>
      <c r="D297" s="740">
        <f>C297/C12*100</f>
        <v>0.43806663234414606</v>
      </c>
      <c r="E297" s="729"/>
      <c r="F297" s="731"/>
      <c r="G297" s="590"/>
      <c r="H297" s="778"/>
      <c r="I297" s="729"/>
      <c r="J297" s="747"/>
      <c r="K297" s="590"/>
      <c r="L297" s="749"/>
      <c r="M297" s="474"/>
    </row>
    <row r="298" spans="1:15" s="477" customFormat="1" ht="14.25" hidden="1" customHeight="1" x14ac:dyDescent="0.25">
      <c r="A298" s="733"/>
      <c r="B298" s="1172" t="s">
        <v>4708</v>
      </c>
      <c r="C298" s="726">
        <v>298210000</v>
      </c>
      <c r="D298" s="740">
        <f>C298/C12*100</f>
        <v>1.6329481303918474E-2</v>
      </c>
      <c r="E298" s="729"/>
      <c r="F298" s="738"/>
      <c r="G298" s="590"/>
      <c r="H298" s="590"/>
      <c r="I298" s="729"/>
      <c r="J298" s="738"/>
      <c r="K298" s="590"/>
      <c r="L298" s="739"/>
      <c r="M298" s="474"/>
    </row>
    <row r="299" spans="1:15" s="477" customFormat="1" ht="14.25" hidden="1" customHeight="1" x14ac:dyDescent="0.25">
      <c r="A299" s="733"/>
      <c r="B299" s="1172"/>
      <c r="C299" s="726"/>
      <c r="D299" s="740"/>
      <c r="E299" s="729"/>
      <c r="F299" s="738"/>
      <c r="G299" s="590"/>
      <c r="H299" s="590"/>
      <c r="I299" s="729"/>
      <c r="J299" s="738"/>
      <c r="K299" s="590"/>
      <c r="L299" s="1200"/>
      <c r="M299" s="474"/>
    </row>
    <row r="300" spans="1:15" s="470" customFormat="1" ht="20.25" hidden="1" customHeight="1" x14ac:dyDescent="0.25">
      <c r="A300" s="735"/>
      <c r="B300" s="1173" t="s">
        <v>4709</v>
      </c>
      <c r="C300" s="737">
        <f>SUM(C301:C305)</f>
        <v>33500000000</v>
      </c>
      <c r="D300" s="743">
        <f>C300/C12*100</f>
        <v>1.8344040229411114</v>
      </c>
      <c r="E300" s="736"/>
      <c r="F300" s="736"/>
      <c r="G300" s="589"/>
      <c r="H300" s="741"/>
      <c r="I300" s="736"/>
      <c r="J300" s="746"/>
      <c r="K300" s="589"/>
      <c r="L300" s="773"/>
      <c r="M300" s="473"/>
    </row>
    <row r="301" spans="1:15" s="477" customFormat="1" ht="19.5" hidden="1" customHeight="1" x14ac:dyDescent="0.25">
      <c r="A301" s="733"/>
      <c r="B301" s="1172" t="s">
        <v>4710</v>
      </c>
      <c r="C301" s="726">
        <v>10000000000</v>
      </c>
      <c r="D301" s="740">
        <f>C301/C12*100</f>
        <v>0.5475832904301825</v>
      </c>
      <c r="E301" s="729"/>
      <c r="F301" s="731"/>
      <c r="G301" s="590"/>
      <c r="H301" s="731"/>
      <c r="I301" s="726"/>
      <c r="J301" s="727"/>
      <c r="K301" s="590"/>
      <c r="L301" s="729"/>
      <c r="M301" s="474"/>
    </row>
    <row r="302" spans="1:15" s="477" customFormat="1" ht="19.5" hidden="1" customHeight="1" x14ac:dyDescent="0.25">
      <c r="A302" s="733"/>
      <c r="B302" s="1172" t="s">
        <v>4711</v>
      </c>
      <c r="C302" s="726">
        <v>10000000000</v>
      </c>
      <c r="D302" s="740">
        <f>C302/C12*100</f>
        <v>0.5475832904301825</v>
      </c>
      <c r="E302" s="729"/>
      <c r="F302" s="731"/>
      <c r="G302" s="590"/>
      <c r="H302" s="731"/>
      <c r="I302" s="726"/>
      <c r="J302" s="585"/>
      <c r="K302" s="590"/>
      <c r="L302" s="731"/>
      <c r="M302" s="474"/>
    </row>
    <row r="303" spans="1:15" s="477" customFormat="1" ht="19.5" hidden="1" customHeight="1" x14ac:dyDescent="0.25">
      <c r="A303" s="733"/>
      <c r="B303" s="1201" t="s">
        <v>4712</v>
      </c>
      <c r="C303" s="726">
        <v>7000000000</v>
      </c>
      <c r="D303" s="740">
        <f>C303/C12*100</f>
        <v>0.38330830330112781</v>
      </c>
      <c r="E303" s="729"/>
      <c r="F303" s="731"/>
      <c r="G303" s="590"/>
      <c r="H303" s="731"/>
      <c r="I303" s="726"/>
      <c r="J303" s="727"/>
      <c r="K303" s="590"/>
      <c r="L303" s="729"/>
      <c r="M303" s="474"/>
    </row>
    <row r="304" spans="1:15" s="477" customFormat="1" ht="19.5" hidden="1" customHeight="1" x14ac:dyDescent="0.25">
      <c r="A304" s="733"/>
      <c r="B304" s="1201" t="s">
        <v>4713</v>
      </c>
      <c r="C304" s="726">
        <v>3500000000</v>
      </c>
      <c r="D304" s="740">
        <f>C304/C12*100</f>
        <v>0.1916541516505639</v>
      </c>
      <c r="E304" s="729"/>
      <c r="F304" s="731"/>
      <c r="G304" s="590"/>
      <c r="H304" s="778"/>
      <c r="I304" s="726"/>
      <c r="J304" s="727"/>
      <c r="K304" s="590"/>
      <c r="L304" s="729"/>
      <c r="M304" s="474"/>
    </row>
    <row r="305" spans="1:13" s="477" customFormat="1" ht="19.5" hidden="1" customHeight="1" x14ac:dyDescent="0.25">
      <c r="A305" s="733"/>
      <c r="B305" s="774" t="s">
        <v>4714</v>
      </c>
      <c r="C305" s="726">
        <v>3000000000</v>
      </c>
      <c r="D305" s="740">
        <f>C305/C12*100</f>
        <v>0.16427498712905475</v>
      </c>
      <c r="E305" s="729"/>
      <c r="F305" s="731"/>
      <c r="G305" s="590"/>
      <c r="H305" s="778"/>
      <c r="I305" s="726"/>
      <c r="J305" s="727"/>
      <c r="K305" s="590"/>
      <c r="L305" s="729"/>
      <c r="M305" s="474"/>
    </row>
    <row r="306" spans="1:13" s="477" customFormat="1" ht="17.25" hidden="1" customHeight="1" x14ac:dyDescent="0.25">
      <c r="A306" s="733"/>
      <c r="B306" s="1172"/>
      <c r="C306" s="726"/>
      <c r="D306" s="740"/>
      <c r="E306" s="729"/>
      <c r="F306" s="738"/>
      <c r="G306" s="590"/>
      <c r="H306" s="590"/>
      <c r="I306" s="729"/>
      <c r="J306" s="738"/>
      <c r="K306" s="730"/>
      <c r="L306" s="757"/>
      <c r="M306" s="474"/>
    </row>
    <row r="307" spans="1:13" s="477" customFormat="1" ht="17.25" hidden="1" customHeight="1" x14ac:dyDescent="0.25">
      <c r="A307" s="733"/>
      <c r="B307" s="1173" t="s">
        <v>4715</v>
      </c>
      <c r="C307" s="737">
        <f>SUM(C308:C309)</f>
        <v>4000000000</v>
      </c>
      <c r="D307" s="743">
        <f>C307/C12*100</f>
        <v>0.21903331617207303</v>
      </c>
      <c r="E307" s="729"/>
      <c r="F307" s="738"/>
      <c r="G307" s="590"/>
      <c r="H307" s="590"/>
      <c r="I307" s="729"/>
      <c r="J307" s="738"/>
      <c r="K307" s="730"/>
      <c r="L307" s="739"/>
      <c r="M307" s="474"/>
    </row>
    <row r="308" spans="1:13" s="477" customFormat="1" ht="30.75" hidden="1" customHeight="1" x14ac:dyDescent="0.25">
      <c r="A308" s="733"/>
      <c r="B308" s="1172" t="s">
        <v>4716</v>
      </c>
      <c r="C308" s="726">
        <v>500000000</v>
      </c>
      <c r="D308" s="740">
        <f>C308/C12*100</f>
        <v>2.7379164521509129E-2</v>
      </c>
      <c r="E308" s="729"/>
      <c r="F308" s="738"/>
      <c r="G308" s="590"/>
      <c r="H308" s="590"/>
      <c r="I308" s="729"/>
      <c r="J308" s="738"/>
      <c r="K308" s="730"/>
      <c r="L308" s="739"/>
      <c r="M308" s="474"/>
    </row>
    <row r="309" spans="1:13" s="477" customFormat="1" ht="21" hidden="1" customHeight="1" x14ac:dyDescent="0.25">
      <c r="A309" s="733"/>
      <c r="B309" s="1172" t="s">
        <v>4717</v>
      </c>
      <c r="C309" s="726">
        <v>3500000000</v>
      </c>
      <c r="D309" s="740">
        <f>C309/C12*100</f>
        <v>0.1916541516505639</v>
      </c>
      <c r="E309" s="729"/>
      <c r="F309" s="738"/>
      <c r="G309" s="590"/>
      <c r="H309" s="590"/>
      <c r="I309" s="729"/>
      <c r="J309" s="738"/>
      <c r="K309" s="730"/>
      <c r="L309" s="739"/>
      <c r="M309" s="474"/>
    </row>
    <row r="310" spans="1:13" s="477" customFormat="1" ht="9.75" hidden="1" customHeight="1" x14ac:dyDescent="0.25">
      <c r="A310" s="733"/>
      <c r="B310" s="1172"/>
      <c r="C310" s="726"/>
      <c r="D310" s="740"/>
      <c r="E310" s="729"/>
      <c r="F310" s="738"/>
      <c r="G310" s="590"/>
      <c r="H310" s="590"/>
      <c r="I310" s="729"/>
      <c r="J310" s="738"/>
      <c r="K310" s="730"/>
      <c r="L310" s="739"/>
      <c r="M310" s="474"/>
    </row>
    <row r="311" spans="1:13" s="470" customFormat="1" ht="23.25" hidden="1" customHeight="1" x14ac:dyDescent="0.25">
      <c r="A311" s="735"/>
      <c r="B311" s="1173" t="s">
        <v>4718</v>
      </c>
      <c r="C311" s="737">
        <f>SUM(C312:C315)</f>
        <v>22000000000</v>
      </c>
      <c r="D311" s="743">
        <f>C311/C12*100</f>
        <v>1.2046832389464015</v>
      </c>
      <c r="E311" s="736"/>
      <c r="F311" s="736"/>
      <c r="G311" s="589"/>
      <c r="H311" s="589"/>
      <c r="I311" s="736"/>
      <c r="J311" s="746"/>
      <c r="K311" s="589"/>
      <c r="L311" s="589"/>
      <c r="M311" s="473"/>
    </row>
    <row r="312" spans="1:13" s="477" customFormat="1" ht="18" hidden="1" customHeight="1" x14ac:dyDescent="0.25">
      <c r="A312" s="733"/>
      <c r="B312" s="1172" t="s">
        <v>4719</v>
      </c>
      <c r="C312" s="726">
        <v>10000000000</v>
      </c>
      <c r="D312" s="740">
        <f>C312/C12*100</f>
        <v>0.5475832904301825</v>
      </c>
      <c r="E312" s="729"/>
      <c r="F312" s="731"/>
      <c r="G312" s="590"/>
      <c r="H312" s="731"/>
      <c r="I312" s="726"/>
      <c r="J312" s="727"/>
      <c r="K312" s="590"/>
      <c r="L312" s="749"/>
      <c r="M312" s="474"/>
    </row>
    <row r="313" spans="1:13" s="477" customFormat="1" ht="18" hidden="1" customHeight="1" x14ac:dyDescent="0.25">
      <c r="A313" s="733"/>
      <c r="B313" s="1172" t="s">
        <v>4720</v>
      </c>
      <c r="C313" s="726">
        <v>4000000000</v>
      </c>
      <c r="D313" s="740">
        <f>C313/C12*100</f>
        <v>0.21903331617207303</v>
      </c>
      <c r="E313" s="729"/>
      <c r="F313" s="731"/>
      <c r="G313" s="590"/>
      <c r="H313" s="731"/>
      <c r="I313" s="726"/>
      <c r="J313" s="727"/>
      <c r="K313" s="590"/>
      <c r="L313" s="749"/>
      <c r="M313" s="474"/>
    </row>
    <row r="314" spans="1:13" s="477" customFormat="1" ht="15" hidden="1" customHeight="1" x14ac:dyDescent="0.25">
      <c r="A314" s="733"/>
      <c r="B314" s="1172" t="s">
        <v>4721</v>
      </c>
      <c r="C314" s="726">
        <v>4000000000</v>
      </c>
      <c r="D314" s="740">
        <f>C314/C12*100</f>
        <v>0.21903331617207303</v>
      </c>
      <c r="E314" s="729"/>
      <c r="F314" s="738"/>
      <c r="G314" s="590"/>
      <c r="H314" s="590"/>
      <c r="I314" s="729"/>
      <c r="J314" s="738"/>
      <c r="K314" s="590"/>
      <c r="L314" s="739"/>
      <c r="M314" s="474"/>
    </row>
    <row r="315" spans="1:13" s="477" customFormat="1" ht="15" hidden="1" customHeight="1" x14ac:dyDescent="0.25">
      <c r="A315" s="733"/>
      <c r="B315" s="1172" t="s">
        <v>4722</v>
      </c>
      <c r="C315" s="726">
        <v>4000000000</v>
      </c>
      <c r="D315" s="740">
        <f>C315/C12*100</f>
        <v>0.21903331617207303</v>
      </c>
      <c r="E315" s="729"/>
      <c r="F315" s="738"/>
      <c r="G315" s="590"/>
      <c r="H315" s="590"/>
      <c r="I315" s="729"/>
      <c r="J315" s="738"/>
      <c r="K315" s="590"/>
      <c r="L315" s="739"/>
      <c r="M315" s="474"/>
    </row>
    <row r="316" spans="1:13" s="477" customFormat="1" ht="12" hidden="1" customHeight="1" x14ac:dyDescent="0.25">
      <c r="A316" s="733"/>
      <c r="B316" s="1172"/>
      <c r="C316" s="726"/>
      <c r="D316" s="740"/>
      <c r="E316" s="729"/>
      <c r="F316" s="738"/>
      <c r="G316" s="590"/>
      <c r="H316" s="590"/>
      <c r="I316" s="729"/>
      <c r="J316" s="738"/>
      <c r="K316" s="590"/>
      <c r="L316" s="739"/>
      <c r="M316" s="474"/>
    </row>
    <row r="317" spans="1:13" s="470" customFormat="1" ht="21" hidden="1" customHeight="1" x14ac:dyDescent="0.25">
      <c r="A317" s="735"/>
      <c r="B317" s="1173" t="s">
        <v>4723</v>
      </c>
      <c r="C317" s="737">
        <f>SUM(C318:C327)</f>
        <v>47700000000</v>
      </c>
      <c r="D317" s="743">
        <f>C317/C12*100</f>
        <v>2.6119722953519706</v>
      </c>
      <c r="E317" s="736"/>
      <c r="F317" s="736"/>
      <c r="G317" s="589"/>
      <c r="H317" s="589"/>
      <c r="I317" s="736"/>
      <c r="J317" s="746"/>
      <c r="K317" s="589"/>
      <c r="L317" s="589"/>
      <c r="M317" s="473"/>
    </row>
    <row r="318" spans="1:13" s="477" customFormat="1" ht="15" hidden="1" customHeight="1" x14ac:dyDescent="0.25">
      <c r="A318" s="733"/>
      <c r="B318" s="1172" t="s">
        <v>4724</v>
      </c>
      <c r="C318" s="726">
        <v>4900000000</v>
      </c>
      <c r="D318" s="740">
        <f>C318/C12*100</f>
        <v>0.26831581231078944</v>
      </c>
      <c r="E318" s="729"/>
      <c r="F318" s="731"/>
      <c r="G318" s="590"/>
      <c r="H318" s="731"/>
      <c r="I318" s="729"/>
      <c r="J318" s="594"/>
      <c r="K318" s="590"/>
      <c r="L318" s="730"/>
      <c r="M318" s="474"/>
    </row>
    <row r="319" spans="1:13" s="477" customFormat="1" ht="16.5" hidden="1" customHeight="1" x14ac:dyDescent="0.25">
      <c r="A319" s="733"/>
      <c r="B319" s="1172" t="s">
        <v>4725</v>
      </c>
      <c r="C319" s="726">
        <v>3000000000</v>
      </c>
      <c r="D319" s="740">
        <f>C319/C12*100</f>
        <v>0.16427498712905475</v>
      </c>
      <c r="E319" s="729"/>
      <c r="F319" s="731"/>
      <c r="G319" s="590"/>
      <c r="H319" s="731"/>
      <c r="I319" s="729"/>
      <c r="J319" s="594"/>
      <c r="K319" s="590"/>
      <c r="L319" s="730"/>
      <c r="M319" s="474"/>
    </row>
    <row r="320" spans="1:13" s="477" customFormat="1" ht="15.75" hidden="1" customHeight="1" x14ac:dyDescent="0.25">
      <c r="A320" s="733"/>
      <c r="B320" s="1172" t="s">
        <v>4726</v>
      </c>
      <c r="C320" s="726">
        <v>8000000000</v>
      </c>
      <c r="D320" s="740">
        <f>C320/C12*100</f>
        <v>0.43806663234414606</v>
      </c>
      <c r="E320" s="729"/>
      <c r="F320" s="731"/>
      <c r="G320" s="590"/>
      <c r="H320" s="731"/>
      <c r="I320" s="729"/>
      <c r="J320" s="747"/>
      <c r="K320" s="590"/>
      <c r="L320" s="730"/>
      <c r="M320" s="474"/>
    </row>
    <row r="321" spans="1:13" s="477" customFormat="1" ht="17.25" hidden="1" customHeight="1" x14ac:dyDescent="0.25">
      <c r="A321" s="733"/>
      <c r="B321" s="1172" t="s">
        <v>4727</v>
      </c>
      <c r="C321" s="726">
        <v>5000000000</v>
      </c>
      <c r="D321" s="740">
        <f>C321/C12*100</f>
        <v>0.27379164521509125</v>
      </c>
      <c r="E321" s="726"/>
      <c r="F321" s="731"/>
      <c r="G321" s="590"/>
      <c r="H321" s="731"/>
      <c r="I321" s="726"/>
      <c r="J321" s="750"/>
      <c r="K321" s="590"/>
      <c r="L321" s="590"/>
      <c r="M321" s="474"/>
    </row>
    <row r="322" spans="1:13" s="477" customFormat="1" ht="15" hidden="1" customHeight="1" x14ac:dyDescent="0.25">
      <c r="A322" s="733"/>
      <c r="B322" s="1172" t="s">
        <v>4728</v>
      </c>
      <c r="C322" s="726">
        <v>4000000000</v>
      </c>
      <c r="D322" s="740">
        <f>C322/C12*100</f>
        <v>0.21903331617207303</v>
      </c>
      <c r="E322" s="729"/>
      <c r="F322" s="731"/>
      <c r="G322" s="590"/>
      <c r="H322" s="731"/>
      <c r="I322" s="729"/>
      <c r="J322" s="585"/>
      <c r="K322" s="590"/>
      <c r="L322" s="731"/>
      <c r="M322" s="474"/>
    </row>
    <row r="323" spans="1:13" s="477" customFormat="1" ht="15" hidden="1" customHeight="1" x14ac:dyDescent="0.25">
      <c r="A323" s="733"/>
      <c r="B323" s="1172" t="s">
        <v>4729</v>
      </c>
      <c r="C323" s="726">
        <v>1800000000</v>
      </c>
      <c r="D323" s="740">
        <f>C323/C12*100</f>
        <v>9.8564992277432859E-2</v>
      </c>
      <c r="E323" s="729"/>
      <c r="F323" s="731"/>
      <c r="G323" s="590"/>
      <c r="H323" s="731"/>
      <c r="I323" s="729"/>
      <c r="J323" s="747"/>
      <c r="K323" s="590"/>
      <c r="L323" s="775"/>
      <c r="M323" s="474"/>
    </row>
    <row r="324" spans="1:13" s="477" customFormat="1" ht="20.25" hidden="1" customHeight="1" x14ac:dyDescent="0.25">
      <c r="A324" s="733"/>
      <c r="B324" s="1172" t="s">
        <v>4730</v>
      </c>
      <c r="C324" s="731">
        <v>3000000000</v>
      </c>
      <c r="D324" s="763">
        <f>C324/C12*100</f>
        <v>0.16427498712905475</v>
      </c>
      <c r="E324" s="729"/>
      <c r="F324" s="731"/>
      <c r="G324" s="590"/>
      <c r="H324" s="731"/>
      <c r="I324" s="729"/>
      <c r="J324" s="747"/>
      <c r="K324" s="590"/>
      <c r="L324" s="775"/>
      <c r="M324" s="474"/>
    </row>
    <row r="325" spans="1:13" s="477" customFormat="1" ht="18" hidden="1" customHeight="1" x14ac:dyDescent="0.25">
      <c r="A325" s="733"/>
      <c r="B325" s="1172" t="s">
        <v>4731</v>
      </c>
      <c r="C325" s="731">
        <v>3000000000</v>
      </c>
      <c r="D325" s="740">
        <f>C325/C12*100</f>
        <v>0.16427498712905475</v>
      </c>
      <c r="E325" s="729"/>
      <c r="F325" s="731"/>
      <c r="G325" s="590"/>
      <c r="H325" s="731"/>
      <c r="I325" s="729"/>
      <c r="J325" s="747"/>
      <c r="K325" s="590"/>
      <c r="L325" s="775"/>
      <c r="M325" s="474"/>
    </row>
    <row r="326" spans="1:13" s="477" customFormat="1" ht="20.25" hidden="1" customHeight="1" x14ac:dyDescent="0.25">
      <c r="A326" s="733"/>
      <c r="B326" s="1172" t="s">
        <v>4732</v>
      </c>
      <c r="C326" s="726">
        <v>7000000000</v>
      </c>
      <c r="D326" s="740">
        <f>C326/C12*100</f>
        <v>0.38330830330112781</v>
      </c>
      <c r="E326" s="726"/>
      <c r="F326" s="731"/>
      <c r="G326" s="590"/>
      <c r="H326" s="731"/>
      <c r="I326" s="726"/>
      <c r="J326" s="750"/>
      <c r="K326" s="590"/>
      <c r="L326" s="776"/>
      <c r="M326" s="474"/>
    </row>
    <row r="327" spans="1:13" s="477" customFormat="1" ht="19.5" hidden="1" customHeight="1" x14ac:dyDescent="0.25">
      <c r="A327" s="733"/>
      <c r="B327" s="1172" t="s">
        <v>4733</v>
      </c>
      <c r="C327" s="726">
        <v>8000000000</v>
      </c>
      <c r="D327" s="740">
        <f>C327/C12*100</f>
        <v>0.43806663234414606</v>
      </c>
      <c r="E327" s="726"/>
      <c r="F327" s="731"/>
      <c r="G327" s="590"/>
      <c r="H327" s="731"/>
      <c r="I327" s="726"/>
      <c r="J327" s="750"/>
      <c r="K327" s="590"/>
      <c r="L327" s="776"/>
      <c r="M327" s="474"/>
    </row>
    <row r="328" spans="1:13" s="477" customFormat="1" ht="12.75" hidden="1" customHeight="1" x14ac:dyDescent="0.25">
      <c r="A328" s="733"/>
      <c r="B328" s="1176"/>
      <c r="C328" s="752"/>
      <c r="D328" s="752"/>
      <c r="E328" s="758"/>
      <c r="F328" s="777"/>
      <c r="G328" s="590"/>
      <c r="H328" s="778"/>
      <c r="I328" s="752"/>
      <c r="J328" s="779"/>
      <c r="K328" s="590"/>
      <c r="L328" s="590"/>
      <c r="M328" s="474"/>
    </row>
    <row r="329" spans="1:13" s="477" customFormat="1" ht="21.75" hidden="1" customHeight="1" x14ac:dyDescent="0.25">
      <c r="A329" s="733"/>
      <c r="B329" s="1177" t="s">
        <v>4736</v>
      </c>
      <c r="C329" s="1166">
        <f>SUM(C330:C332)</f>
        <v>10500000000</v>
      </c>
      <c r="D329" s="737">
        <f>C329/C12*100</f>
        <v>0.57496245495169163</v>
      </c>
      <c r="E329" s="758"/>
      <c r="F329" s="777"/>
      <c r="G329" s="590"/>
      <c r="H329" s="778"/>
      <c r="I329" s="752"/>
      <c r="J329" s="779"/>
      <c r="K329" s="590"/>
      <c r="L329" s="590"/>
      <c r="M329" s="474"/>
    </row>
    <row r="330" spans="1:13" s="477" customFormat="1" ht="21.75" hidden="1" customHeight="1" x14ac:dyDescent="0.25">
      <c r="A330" s="733"/>
      <c r="B330" s="1176" t="s">
        <v>4737</v>
      </c>
      <c r="C330" s="752">
        <v>1500000000</v>
      </c>
      <c r="D330" s="752">
        <f>C330/C12*100</f>
        <v>8.2137493564527375E-2</v>
      </c>
      <c r="E330" s="758"/>
      <c r="F330" s="777"/>
      <c r="G330" s="590"/>
      <c r="H330" s="778"/>
      <c r="I330" s="752"/>
      <c r="J330" s="779"/>
      <c r="K330" s="590"/>
      <c r="L330" s="590"/>
      <c r="M330" s="474"/>
    </row>
    <row r="331" spans="1:13" s="477" customFormat="1" ht="31.5" hidden="1" customHeight="1" x14ac:dyDescent="0.25">
      <c r="A331" s="733"/>
      <c r="B331" s="1176" t="s">
        <v>4734</v>
      </c>
      <c r="C331" s="752">
        <v>5000000000</v>
      </c>
      <c r="D331" s="752">
        <f>C331/C12*100</f>
        <v>0.27379164521509125</v>
      </c>
      <c r="E331" s="758"/>
      <c r="F331" s="777"/>
      <c r="G331" s="590"/>
      <c r="H331" s="778"/>
      <c r="I331" s="752"/>
      <c r="J331" s="779"/>
      <c r="K331" s="590"/>
      <c r="L331" s="590"/>
      <c r="M331" s="474"/>
    </row>
    <row r="332" spans="1:13" s="477" customFormat="1" ht="21.75" hidden="1" customHeight="1" x14ac:dyDescent="0.25">
      <c r="A332" s="733"/>
      <c r="B332" s="1176" t="s">
        <v>4735</v>
      </c>
      <c r="C332" s="752">
        <v>4000000000</v>
      </c>
      <c r="D332" s="752">
        <f>C332/C12*100</f>
        <v>0.21903331617207303</v>
      </c>
      <c r="E332" s="758"/>
      <c r="F332" s="777"/>
      <c r="G332" s="590"/>
      <c r="H332" s="778"/>
      <c r="I332" s="752"/>
      <c r="J332" s="779"/>
      <c r="K332" s="590"/>
      <c r="L332" s="590"/>
      <c r="M332" s="474"/>
    </row>
    <row r="333" spans="1:13" ht="12" hidden="1" customHeight="1" thickBot="1" x14ac:dyDescent="0.3">
      <c r="A333" s="781"/>
      <c r="B333" s="782"/>
      <c r="C333" s="606"/>
      <c r="D333" s="606"/>
      <c r="E333" s="596"/>
      <c r="F333" s="596"/>
      <c r="G333" s="783"/>
      <c r="H333" s="607"/>
      <c r="I333" s="596"/>
      <c r="J333" s="596"/>
      <c r="K333" s="596"/>
      <c r="L333" s="596"/>
      <c r="M333" s="480"/>
    </row>
    <row r="334" spans="1:13" ht="23.25" customHeight="1" thickTop="1" thickBot="1" x14ac:dyDescent="0.3">
      <c r="A334" s="784"/>
      <c r="B334" s="597" t="s">
        <v>3061</v>
      </c>
      <c r="C334" s="785">
        <f>C12</f>
        <v>1826206200000</v>
      </c>
      <c r="D334" s="786">
        <f>C334/1826206200000*100</f>
        <v>100</v>
      </c>
      <c r="E334" s="785"/>
      <c r="F334" s="785"/>
      <c r="G334" s="787"/>
      <c r="H334" s="785"/>
      <c r="I334" s="785"/>
      <c r="J334" s="785"/>
      <c r="K334" s="787"/>
      <c r="L334" s="785"/>
      <c r="M334" s="481"/>
    </row>
    <row r="335" spans="1:13" ht="11.25" customHeight="1" thickTop="1" x14ac:dyDescent="0.25">
      <c r="A335" s="788"/>
      <c r="B335" s="1183"/>
      <c r="C335" s="1178"/>
      <c r="D335" s="1178"/>
      <c r="E335" s="789"/>
      <c r="F335" s="789"/>
      <c r="G335" s="790"/>
      <c r="H335" s="791"/>
      <c r="I335" s="789"/>
      <c r="J335" s="789"/>
      <c r="K335" s="789"/>
      <c r="L335" s="789"/>
      <c r="M335" s="482"/>
    </row>
    <row r="336" spans="1:13" x14ac:dyDescent="0.25">
      <c r="A336" s="792"/>
      <c r="B336" s="608"/>
      <c r="C336" s="600"/>
      <c r="D336" s="600"/>
      <c r="E336" s="217"/>
      <c r="F336" s="217"/>
      <c r="G336" s="794"/>
      <c r="H336" s="795"/>
      <c r="I336" s="217"/>
      <c r="J336" s="217"/>
      <c r="K336" s="217"/>
      <c r="L336" s="217"/>
      <c r="M336" s="483"/>
    </row>
    <row r="337" spans="1:13" x14ac:dyDescent="0.25">
      <c r="A337" s="792"/>
      <c r="B337" s="598"/>
      <c r="C337" s="599"/>
      <c r="D337" s="599"/>
      <c r="E337" s="217"/>
      <c r="F337" s="217"/>
      <c r="G337" s="794"/>
      <c r="H337" s="796"/>
      <c r="I337" s="972" t="s">
        <v>4738</v>
      </c>
      <c r="J337" s="972"/>
      <c r="K337" s="972"/>
      <c r="L337" s="217"/>
      <c r="M337" s="483"/>
    </row>
    <row r="338" spans="1:13" ht="15" customHeight="1" x14ac:dyDescent="0.25">
      <c r="A338" s="792"/>
      <c r="B338" s="598"/>
      <c r="C338" s="600"/>
      <c r="D338" s="599"/>
      <c r="E338" s="217"/>
      <c r="F338" s="217"/>
      <c r="G338" s="794"/>
      <c r="H338" s="795"/>
      <c r="I338" s="973" t="s">
        <v>3062</v>
      </c>
      <c r="J338" s="973"/>
      <c r="K338" s="973"/>
      <c r="M338" s="483"/>
    </row>
    <row r="339" spans="1:13" ht="15" customHeight="1" x14ac:dyDescent="0.25">
      <c r="A339" s="792"/>
      <c r="B339" s="598"/>
      <c r="C339" s="599"/>
      <c r="D339" s="599"/>
      <c r="E339" s="217"/>
      <c r="F339" s="217"/>
      <c r="G339" s="794"/>
      <c r="H339" s="795"/>
      <c r="I339" s="973" t="s">
        <v>3063</v>
      </c>
      <c r="J339" s="973"/>
      <c r="K339" s="973"/>
      <c r="M339" s="483"/>
    </row>
    <row r="340" spans="1:13" x14ac:dyDescent="0.25">
      <c r="A340" s="792"/>
      <c r="B340" s="598"/>
      <c r="C340" s="599"/>
      <c r="D340" s="599"/>
      <c r="E340" s="217"/>
      <c r="F340" s="217"/>
      <c r="G340" s="794"/>
      <c r="H340" s="795"/>
      <c r="I340" s="793"/>
      <c r="J340" s="599"/>
      <c r="K340" s="793"/>
      <c r="L340" s="217"/>
      <c r="M340" s="483"/>
    </row>
    <row r="341" spans="1:13" x14ac:dyDescent="0.25">
      <c r="A341" s="792"/>
      <c r="B341" s="608"/>
      <c r="C341" s="600"/>
      <c r="D341" s="600"/>
      <c r="E341" s="217"/>
      <c r="F341" s="217"/>
      <c r="G341" s="794"/>
      <c r="H341" s="795"/>
      <c r="I341" s="793"/>
      <c r="J341" s="600"/>
      <c r="K341" s="793"/>
      <c r="L341" s="217"/>
      <c r="M341" s="483"/>
    </row>
    <row r="342" spans="1:13" x14ac:dyDescent="0.25">
      <c r="A342" s="792"/>
      <c r="B342" s="608"/>
      <c r="C342" s="600"/>
      <c r="D342" s="599"/>
      <c r="E342" s="217"/>
      <c r="F342" s="217"/>
      <c r="G342" s="794"/>
      <c r="H342" s="795"/>
      <c r="I342" s="793"/>
      <c r="J342" s="599"/>
      <c r="K342" s="793"/>
      <c r="L342" s="217"/>
      <c r="M342" s="483"/>
    </row>
    <row r="343" spans="1:13" x14ac:dyDescent="0.25">
      <c r="A343" s="792"/>
      <c r="B343" s="608"/>
      <c r="C343" s="600"/>
      <c r="D343" s="599"/>
      <c r="E343" s="217"/>
      <c r="F343" s="217"/>
      <c r="G343" s="794"/>
      <c r="H343" s="795"/>
      <c r="I343" s="793"/>
      <c r="J343" s="797"/>
      <c r="K343" s="793"/>
      <c r="L343" s="217"/>
      <c r="M343" s="483"/>
    </row>
    <row r="344" spans="1:13" ht="15" customHeight="1" x14ac:dyDescent="0.25">
      <c r="A344" s="792"/>
      <c r="B344" s="608"/>
      <c r="C344" s="600"/>
      <c r="D344" s="599"/>
      <c r="E344" s="217"/>
      <c r="F344" s="217"/>
      <c r="G344" s="794"/>
      <c r="H344" s="795"/>
      <c r="I344" s="966" t="s">
        <v>3064</v>
      </c>
      <c r="J344" s="966"/>
      <c r="K344" s="966"/>
      <c r="L344" s="217"/>
      <c r="M344" s="483"/>
    </row>
    <row r="345" spans="1:13" ht="15.75" x14ac:dyDescent="0.25">
      <c r="A345" s="792"/>
      <c r="B345" s="608"/>
      <c r="C345" s="600"/>
      <c r="D345" s="599"/>
      <c r="E345" s="217"/>
      <c r="F345" s="217"/>
      <c r="G345" s="794"/>
      <c r="H345" s="795"/>
      <c r="I345" s="4751" t="s">
        <v>4165</v>
      </c>
      <c r="J345" s="4751"/>
      <c r="K345" s="4751"/>
      <c r="L345" s="4751"/>
      <c r="M345" s="483"/>
    </row>
    <row r="346" spans="1:13" ht="15" customHeight="1" x14ac:dyDescent="0.25">
      <c r="A346" s="792"/>
      <c r="B346" s="608"/>
      <c r="C346" s="600"/>
      <c r="D346" s="600"/>
      <c r="E346" s="217"/>
      <c r="F346" s="217"/>
      <c r="G346" s="794"/>
      <c r="H346" s="795"/>
      <c r="I346" s="964" t="s">
        <v>3065</v>
      </c>
      <c r="J346" s="964"/>
      <c r="K346" s="964"/>
      <c r="M346" s="483"/>
    </row>
    <row r="347" spans="1:13" ht="15" customHeight="1" x14ac:dyDescent="0.25">
      <c r="A347" s="792"/>
      <c r="B347" s="608"/>
      <c r="C347" s="608"/>
      <c r="D347" s="598" t="s">
        <v>3749</v>
      </c>
      <c r="E347" s="217"/>
      <c r="F347" s="217"/>
      <c r="G347" s="794"/>
      <c r="H347" s="795"/>
      <c r="I347" s="4754"/>
      <c r="J347" s="4754"/>
      <c r="K347" s="4754"/>
      <c r="M347" s="483"/>
    </row>
    <row r="348" spans="1:13" ht="15.75" x14ac:dyDescent="0.25">
      <c r="A348" s="792"/>
      <c r="B348" s="608"/>
      <c r="C348" s="608"/>
      <c r="D348" s="598"/>
      <c r="E348" s="217"/>
      <c r="F348" s="217"/>
      <c r="G348" s="794"/>
      <c r="H348" s="795"/>
      <c r="I348" s="798"/>
      <c r="J348" s="798"/>
      <c r="K348" s="798"/>
      <c r="L348" s="799"/>
      <c r="M348" s="483"/>
    </row>
    <row r="349" spans="1:13" ht="15.75" x14ac:dyDescent="0.25">
      <c r="A349" s="792"/>
      <c r="B349" s="608"/>
      <c r="C349" s="600"/>
      <c r="D349" s="600"/>
      <c r="E349" s="217"/>
      <c r="F349" s="217"/>
      <c r="G349" s="794"/>
      <c r="H349" s="795"/>
      <c r="I349" s="793"/>
      <c r="J349" s="793"/>
      <c r="K349" s="793"/>
      <c r="L349" s="799"/>
      <c r="M349" s="483"/>
    </row>
    <row r="350" spans="1:13" ht="15.75" x14ac:dyDescent="0.25">
      <c r="A350" s="792"/>
      <c r="B350" s="608"/>
      <c r="C350" s="600"/>
      <c r="D350" s="600"/>
      <c r="E350" s="217"/>
      <c r="F350" s="217"/>
      <c r="G350" s="794"/>
      <c r="H350" s="795"/>
      <c r="I350" s="217"/>
      <c r="J350" s="217"/>
      <c r="K350" s="217"/>
      <c r="L350" s="799"/>
      <c r="M350" s="483"/>
    </row>
    <row r="351" spans="1:13" ht="15.75" x14ac:dyDescent="0.25">
      <c r="A351" s="792"/>
      <c r="B351" s="608"/>
      <c r="C351" s="600"/>
      <c r="D351" s="600"/>
      <c r="E351" s="217"/>
      <c r="F351" s="217"/>
      <c r="G351" s="794"/>
      <c r="H351" s="795"/>
      <c r="I351" s="217"/>
      <c r="J351" s="217"/>
      <c r="K351" s="217"/>
      <c r="L351" s="799"/>
      <c r="M351" s="483"/>
    </row>
    <row r="352" spans="1:13" ht="15.75" x14ac:dyDescent="0.25">
      <c r="A352" s="792"/>
      <c r="B352" s="608"/>
      <c r="C352" s="1179"/>
      <c r="D352" s="1179"/>
      <c r="E352" s="217"/>
      <c r="F352" s="217"/>
      <c r="G352" s="794"/>
      <c r="H352" s="795"/>
      <c r="I352" s="217"/>
      <c r="J352" s="217"/>
      <c r="K352" s="217"/>
      <c r="L352" s="800"/>
      <c r="M352" s="483"/>
    </row>
    <row r="353" spans="1:13" ht="15.75" x14ac:dyDescent="0.25">
      <c r="A353" s="792"/>
      <c r="B353" s="608"/>
      <c r="C353" s="600"/>
      <c r="D353" s="1179"/>
      <c r="E353" s="217"/>
      <c r="F353" s="217"/>
      <c r="G353" s="794"/>
      <c r="H353" s="795"/>
      <c r="I353" s="217"/>
      <c r="J353" s="217"/>
      <c r="K353" s="217"/>
      <c r="L353" s="581"/>
      <c r="M353" s="483"/>
    </row>
    <row r="354" spans="1:13" ht="15.75" x14ac:dyDescent="0.25">
      <c r="A354" s="792"/>
      <c r="B354" s="608"/>
      <c r="C354" s="600"/>
      <c r="D354" s="600"/>
      <c r="E354" s="217"/>
      <c r="F354" s="217"/>
      <c r="G354" s="794"/>
      <c r="H354" s="795"/>
      <c r="I354" s="217"/>
      <c r="J354" s="217"/>
      <c r="K354" s="217"/>
      <c r="L354" s="800"/>
      <c r="M354" s="483"/>
    </row>
    <row r="355" spans="1:13" ht="15.75" x14ac:dyDescent="0.25">
      <c r="A355" s="792"/>
      <c r="B355" s="608"/>
      <c r="C355" s="600"/>
      <c r="D355" s="600"/>
      <c r="E355" s="217"/>
      <c r="F355" s="217"/>
      <c r="G355" s="794"/>
      <c r="H355" s="795"/>
      <c r="I355" s="217"/>
      <c r="J355" s="217"/>
      <c r="K355" s="217"/>
      <c r="L355" s="799"/>
      <c r="M355" s="483"/>
    </row>
    <row r="356" spans="1:13" ht="15.75" x14ac:dyDescent="0.25">
      <c r="A356" s="801"/>
      <c r="B356" s="1180"/>
      <c r="C356" s="1181"/>
      <c r="D356" s="1181"/>
      <c r="E356" s="802"/>
      <c r="F356" s="802"/>
      <c r="G356" s="803"/>
      <c r="H356" s="804"/>
      <c r="I356" s="802"/>
      <c r="J356" s="802"/>
      <c r="K356" s="802"/>
      <c r="L356" s="805"/>
      <c r="M356" s="484"/>
    </row>
  </sheetData>
  <mergeCells count="7">
    <mergeCell ref="C8:D8"/>
    <mergeCell ref="E8:H8"/>
    <mergeCell ref="I8:L8"/>
    <mergeCell ref="B1:M1"/>
    <mergeCell ref="B2:M2"/>
    <mergeCell ref="B3:M3"/>
    <mergeCell ref="K6:M6"/>
  </mergeCells>
  <printOptions horizontalCentered="1"/>
  <pageMargins left="0.75" right="0.5" top="0.5" bottom="0.75" header="0.3" footer="0.3"/>
  <pageSetup paperSize="258" scale="56" fitToHeight="0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52"/>
  <sheetViews>
    <sheetView topLeftCell="A40" workbookViewId="0">
      <selection activeCell="B12" sqref="B12"/>
    </sheetView>
  </sheetViews>
  <sheetFormatPr defaultRowHeight="15" x14ac:dyDescent="0.25"/>
  <cols>
    <col min="2" max="2" width="31.7109375" customWidth="1"/>
    <col min="3" max="3" width="21.85546875" customWidth="1"/>
    <col min="4" max="4" width="20.42578125" style="121" customWidth="1"/>
    <col min="5" max="5" width="16.85546875" style="121" customWidth="1"/>
    <col min="6" max="6" width="19.42578125" style="121" customWidth="1"/>
    <col min="7" max="7" width="15.42578125" style="121" customWidth="1"/>
    <col min="8" max="8" width="18.85546875" style="121" customWidth="1"/>
    <col min="9" max="9" width="15.7109375" style="121" customWidth="1"/>
    <col min="10" max="10" width="6.5703125" style="293" customWidth="1"/>
  </cols>
  <sheetData>
    <row r="2" spans="1:10" x14ac:dyDescent="0.25">
      <c r="B2" s="428" t="s">
        <v>4107</v>
      </c>
      <c r="E2" s="122"/>
      <c r="F2" s="122"/>
      <c r="G2" s="122"/>
      <c r="H2" s="122"/>
      <c r="I2" s="122"/>
      <c r="J2" s="557"/>
    </row>
    <row r="3" spans="1:10" ht="7.5" customHeight="1" thickBot="1" x14ac:dyDescent="0.3"/>
    <row r="4" spans="1:10" ht="17.25" customHeight="1" thickBot="1" x14ac:dyDescent="0.3">
      <c r="A4" s="5125" t="s">
        <v>7930</v>
      </c>
      <c r="B4" s="5125" t="s">
        <v>7933</v>
      </c>
      <c r="C4" s="5127" t="s">
        <v>3563</v>
      </c>
      <c r="D4" s="5129" t="s">
        <v>3568</v>
      </c>
      <c r="E4" s="5129"/>
      <c r="F4" s="5129" t="s">
        <v>3567</v>
      </c>
      <c r="G4" s="5129"/>
      <c r="H4" s="5129" t="s">
        <v>4097</v>
      </c>
      <c r="I4" s="5129"/>
      <c r="J4" s="558"/>
    </row>
    <row r="5" spans="1:10" ht="15.75" thickBot="1" x14ac:dyDescent="0.3">
      <c r="A5" s="5126"/>
      <c r="B5" s="5126"/>
      <c r="C5" s="5128"/>
      <c r="D5" s="4781" t="s">
        <v>3564</v>
      </c>
      <c r="E5" s="4781" t="s">
        <v>7935</v>
      </c>
      <c r="F5" s="4781" t="s">
        <v>3564</v>
      </c>
      <c r="G5" s="4781" t="s">
        <v>7935</v>
      </c>
      <c r="H5" s="4781" t="s">
        <v>3564</v>
      </c>
      <c r="I5" s="4781" t="s">
        <v>7935</v>
      </c>
      <c r="J5" s="558"/>
    </row>
    <row r="6" spans="1:10" ht="17.25" customHeight="1" x14ac:dyDescent="0.25">
      <c r="A6" s="4786" t="s">
        <v>7931</v>
      </c>
      <c r="B6" s="19" t="s">
        <v>3196</v>
      </c>
      <c r="C6" s="222">
        <v>185815544334</v>
      </c>
      <c r="D6" s="4771">
        <v>78361685699</v>
      </c>
      <c r="E6" s="4803">
        <f>SUM(D6/C6*100)</f>
        <v>42.17176016132769</v>
      </c>
      <c r="F6" s="4767"/>
      <c r="G6" s="4769">
        <f>SUM(F6/C6)*100</f>
        <v>0</v>
      </c>
      <c r="H6" s="466"/>
      <c r="I6" s="4769">
        <f>SUM(H6/C6)*100</f>
        <v>0</v>
      </c>
      <c r="J6" s="559"/>
    </row>
    <row r="7" spans="1:10" ht="10.5" customHeight="1" x14ac:dyDescent="0.25">
      <c r="A7" s="4787"/>
      <c r="B7" s="509"/>
      <c r="C7" s="3823"/>
      <c r="D7" s="111"/>
      <c r="E7" s="432"/>
      <c r="F7" s="432"/>
      <c r="G7" s="4768"/>
      <c r="H7" s="433"/>
      <c r="I7" s="4769"/>
      <c r="J7" s="559"/>
    </row>
    <row r="8" spans="1:10" x14ac:dyDescent="0.25">
      <c r="A8" s="4787" t="s">
        <v>7932</v>
      </c>
      <c r="B8" s="509" t="s">
        <v>240</v>
      </c>
      <c r="C8" s="3823">
        <f>SUM(C9:C21)</f>
        <v>1582384044000</v>
      </c>
      <c r="D8" s="3823">
        <f>SUM(D9:D21)</f>
        <v>561740815646.54004</v>
      </c>
      <c r="E8" s="4803">
        <f>SUM(D8/C8*100)</f>
        <v>35.499651160950407</v>
      </c>
      <c r="F8" s="4768"/>
      <c r="G8" s="4768"/>
      <c r="H8" s="433"/>
      <c r="I8" s="4768"/>
      <c r="J8" s="559"/>
    </row>
    <row r="9" spans="1:10" x14ac:dyDescent="0.25">
      <c r="A9" s="4788">
        <v>1</v>
      </c>
      <c r="B9" s="210" t="s">
        <v>6674</v>
      </c>
      <c r="C9" s="4789">
        <v>151574776000</v>
      </c>
      <c r="D9" s="111">
        <v>33967248034</v>
      </c>
      <c r="E9" s="432">
        <f>SUM(D9/C9*100)</f>
        <v>22.40956505454443</v>
      </c>
      <c r="F9" s="432"/>
      <c r="G9" s="432">
        <f t="shared" ref="G9:G23" si="0">SUM(F9/C9)*100</f>
        <v>0</v>
      </c>
      <c r="H9" s="432"/>
      <c r="I9" s="433">
        <f t="shared" ref="I9:I21" si="1">SUM(H9/C9)*100</f>
        <v>0</v>
      </c>
      <c r="J9" s="560"/>
    </row>
    <row r="10" spans="1:10" x14ac:dyDescent="0.25">
      <c r="A10" s="4788">
        <v>2</v>
      </c>
      <c r="B10" s="210" t="s">
        <v>6675</v>
      </c>
      <c r="C10" s="4789">
        <v>138204815000</v>
      </c>
      <c r="D10" s="111">
        <v>43413757000</v>
      </c>
      <c r="E10" s="432">
        <f t="shared" ref="E10:E24" si="2">SUM(D10/C10*100)</f>
        <v>31.412622635470406</v>
      </c>
      <c r="F10" s="432"/>
      <c r="G10" s="432">
        <f t="shared" si="0"/>
        <v>0</v>
      </c>
      <c r="H10" s="432"/>
      <c r="I10" s="433">
        <f t="shared" si="1"/>
        <v>0</v>
      </c>
      <c r="J10" s="560"/>
    </row>
    <row r="11" spans="1:10" x14ac:dyDescent="0.25">
      <c r="A11" s="4788">
        <v>3</v>
      </c>
      <c r="B11" s="210" t="s">
        <v>6676</v>
      </c>
      <c r="C11" s="4789">
        <v>137153760000</v>
      </c>
      <c r="D11" s="111">
        <v>87515231150</v>
      </c>
      <c r="E11" s="432">
        <f t="shared" si="2"/>
        <v>63.80811663493585</v>
      </c>
      <c r="F11" s="432"/>
      <c r="G11" s="432">
        <f t="shared" si="0"/>
        <v>0</v>
      </c>
      <c r="H11" s="432"/>
      <c r="I11" s="433">
        <f t="shared" si="1"/>
        <v>0</v>
      </c>
      <c r="J11" s="560"/>
    </row>
    <row r="12" spans="1:10" x14ac:dyDescent="0.25">
      <c r="A12" s="4788">
        <v>4</v>
      </c>
      <c r="B12" s="210" t="s">
        <v>6677</v>
      </c>
      <c r="C12" s="4789">
        <v>128986258000</v>
      </c>
      <c r="D12" s="111">
        <v>45627494919</v>
      </c>
      <c r="E12" s="432">
        <f>SUM(D12/C12*100)</f>
        <v>35.373919382171707</v>
      </c>
      <c r="F12" s="432"/>
      <c r="G12" s="432">
        <f t="shared" si="0"/>
        <v>0</v>
      </c>
      <c r="H12" s="432"/>
      <c r="I12" s="433">
        <f t="shared" si="1"/>
        <v>0</v>
      </c>
      <c r="J12" s="561"/>
    </row>
    <row r="13" spans="1:10" x14ac:dyDescent="0.25">
      <c r="A13" s="4788">
        <v>5</v>
      </c>
      <c r="B13" s="210" t="s">
        <v>6678</v>
      </c>
      <c r="C13" s="4789">
        <v>122746977000</v>
      </c>
      <c r="D13" s="111">
        <v>35194382000</v>
      </c>
      <c r="E13" s="432">
        <f t="shared" si="2"/>
        <v>28.672300418445335</v>
      </c>
      <c r="F13" s="432"/>
      <c r="G13" s="432">
        <f t="shared" si="0"/>
        <v>0</v>
      </c>
      <c r="H13" s="432"/>
      <c r="I13" s="433">
        <f t="shared" si="1"/>
        <v>0</v>
      </c>
      <c r="J13" s="561"/>
    </row>
    <row r="14" spans="1:10" x14ac:dyDescent="0.25">
      <c r="A14" s="4788">
        <v>6</v>
      </c>
      <c r="B14" s="210" t="s">
        <v>6679</v>
      </c>
      <c r="C14" s="4789">
        <v>121629554000</v>
      </c>
      <c r="D14" s="111">
        <v>45427990639</v>
      </c>
      <c r="E14" s="432">
        <f t="shared" si="2"/>
        <v>37.349467415624986</v>
      </c>
      <c r="F14" s="432"/>
      <c r="G14" s="432">
        <f t="shared" si="0"/>
        <v>0</v>
      </c>
      <c r="H14" s="432"/>
      <c r="I14" s="433">
        <f t="shared" si="1"/>
        <v>0</v>
      </c>
      <c r="J14" s="561"/>
    </row>
    <row r="15" spans="1:10" x14ac:dyDescent="0.25">
      <c r="A15" s="4788">
        <v>7</v>
      </c>
      <c r="B15" s="210" t="s">
        <v>6680</v>
      </c>
      <c r="C15" s="4789">
        <v>118779366000</v>
      </c>
      <c r="D15" s="111">
        <v>26100000000</v>
      </c>
      <c r="E15" s="432">
        <f t="shared" si="2"/>
        <v>21.973513480447437</v>
      </c>
      <c r="F15" s="432"/>
      <c r="G15" s="433">
        <f t="shared" si="0"/>
        <v>0</v>
      </c>
      <c r="H15" s="433"/>
      <c r="I15" s="433">
        <f t="shared" si="1"/>
        <v>0</v>
      </c>
      <c r="J15" s="554"/>
    </row>
    <row r="16" spans="1:10" x14ac:dyDescent="0.25">
      <c r="A16" s="4788">
        <v>8</v>
      </c>
      <c r="B16" s="4790" t="s">
        <v>6681</v>
      </c>
      <c r="C16" s="4791">
        <v>118389902000</v>
      </c>
      <c r="D16" s="111">
        <v>49162538100</v>
      </c>
      <c r="E16" s="432">
        <f t="shared" si="2"/>
        <v>41.525955566717172</v>
      </c>
      <c r="F16" s="432"/>
      <c r="G16" s="433">
        <f t="shared" si="0"/>
        <v>0</v>
      </c>
      <c r="H16" s="433"/>
      <c r="I16" s="433">
        <f t="shared" si="1"/>
        <v>0</v>
      </c>
      <c r="J16" s="554"/>
    </row>
    <row r="17" spans="1:10" x14ac:dyDescent="0.25">
      <c r="A17" s="4788">
        <v>9</v>
      </c>
      <c r="B17" s="210" t="s">
        <v>6682</v>
      </c>
      <c r="C17" s="4789">
        <v>117124750000</v>
      </c>
      <c r="D17" s="111">
        <v>34653691200</v>
      </c>
      <c r="E17" s="432">
        <f t="shared" si="2"/>
        <v>29.586992672342948</v>
      </c>
      <c r="F17" s="432"/>
      <c r="G17" s="433">
        <f t="shared" si="0"/>
        <v>0</v>
      </c>
      <c r="H17" s="433"/>
      <c r="I17" s="433">
        <f t="shared" si="1"/>
        <v>0</v>
      </c>
      <c r="J17" s="554"/>
    </row>
    <row r="18" spans="1:10" x14ac:dyDescent="0.25">
      <c r="A18" s="4788">
        <v>10</v>
      </c>
      <c r="B18" s="210" t="s">
        <v>6683</v>
      </c>
      <c r="C18" s="4789">
        <v>114128848000</v>
      </c>
      <c r="D18" s="111">
        <v>40775305000</v>
      </c>
      <c r="E18" s="432">
        <f t="shared" si="2"/>
        <v>35.727430631736503</v>
      </c>
      <c r="F18" s="432"/>
      <c r="G18" s="433">
        <f t="shared" si="0"/>
        <v>0</v>
      </c>
      <c r="H18" s="433"/>
      <c r="I18" s="433">
        <f t="shared" si="1"/>
        <v>0</v>
      </c>
      <c r="J18" s="554"/>
    </row>
    <row r="19" spans="1:10" x14ac:dyDescent="0.25">
      <c r="A19" s="4788">
        <v>11</v>
      </c>
      <c r="B19" s="210" t="s">
        <v>6684</v>
      </c>
      <c r="C19" s="4789">
        <v>108005114000</v>
      </c>
      <c r="D19" s="111">
        <v>41761989829.540001</v>
      </c>
      <c r="E19" s="432">
        <f t="shared" si="2"/>
        <v>38.666678162609969</v>
      </c>
      <c r="F19" s="432"/>
      <c r="G19" s="433">
        <f t="shared" si="0"/>
        <v>0</v>
      </c>
      <c r="H19" s="433"/>
      <c r="I19" s="433">
        <f t="shared" si="1"/>
        <v>0</v>
      </c>
      <c r="J19" s="554"/>
    </row>
    <row r="20" spans="1:10" x14ac:dyDescent="0.25">
      <c r="A20" s="4788">
        <v>12</v>
      </c>
      <c r="B20" s="210" t="s">
        <v>6685</v>
      </c>
      <c r="C20" s="4789">
        <v>103304292000</v>
      </c>
      <c r="D20" s="111">
        <v>44715640400</v>
      </c>
      <c r="E20" s="432">
        <f t="shared" si="2"/>
        <v>43.285365529633566</v>
      </c>
      <c r="F20" s="432"/>
      <c r="G20" s="433">
        <f t="shared" si="0"/>
        <v>0</v>
      </c>
      <c r="H20" s="433"/>
      <c r="I20" s="433">
        <f t="shared" si="1"/>
        <v>0</v>
      </c>
      <c r="J20" s="554"/>
    </row>
    <row r="21" spans="1:10" x14ac:dyDescent="0.25">
      <c r="A21" s="4788">
        <v>13</v>
      </c>
      <c r="B21" s="210" t="s">
        <v>6686</v>
      </c>
      <c r="C21" s="4792">
        <v>102355632000</v>
      </c>
      <c r="D21" s="111">
        <v>33425547375</v>
      </c>
      <c r="E21" s="432">
        <f t="shared" si="2"/>
        <v>32.65628546458489</v>
      </c>
      <c r="F21" s="432"/>
      <c r="G21" s="433">
        <f t="shared" si="0"/>
        <v>0</v>
      </c>
      <c r="H21" s="433"/>
      <c r="I21" s="433">
        <f t="shared" si="1"/>
        <v>0</v>
      </c>
      <c r="J21" s="554"/>
    </row>
    <row r="22" spans="1:10" x14ac:dyDescent="0.25">
      <c r="A22" s="4788"/>
      <c r="B22" s="210"/>
      <c r="C22" s="4792"/>
      <c r="D22" s="111"/>
      <c r="E22" s="432"/>
      <c r="F22" s="432"/>
      <c r="G22" s="433"/>
      <c r="H22" s="433"/>
      <c r="I22" s="433"/>
      <c r="J22" s="554"/>
    </row>
    <row r="23" spans="1:10" x14ac:dyDescent="0.25">
      <c r="A23" s="4787" t="s">
        <v>7936</v>
      </c>
      <c r="B23" s="509" t="s">
        <v>3060</v>
      </c>
      <c r="C23" s="3823">
        <v>251224740000</v>
      </c>
      <c r="D23" s="111"/>
      <c r="E23" s="432"/>
      <c r="F23" s="4793"/>
      <c r="G23" s="433">
        <f t="shared" si="0"/>
        <v>0</v>
      </c>
      <c r="H23" s="433"/>
      <c r="I23" s="433"/>
      <c r="J23" s="554"/>
    </row>
    <row r="24" spans="1:10" ht="16.5" customHeight="1" x14ac:dyDescent="0.25">
      <c r="A24" s="4786" t="s">
        <v>7937</v>
      </c>
      <c r="B24" s="19" t="s">
        <v>6660</v>
      </c>
      <c r="C24" s="222">
        <v>428000000000</v>
      </c>
      <c r="D24" s="4771"/>
      <c r="E24" s="4767">
        <f t="shared" si="2"/>
        <v>0</v>
      </c>
      <c r="F24" s="4771"/>
      <c r="G24" s="466"/>
      <c r="H24" s="4771"/>
      <c r="I24" s="466"/>
      <c r="J24" s="554"/>
    </row>
    <row r="25" spans="1:10" ht="21" customHeight="1" x14ac:dyDescent="0.25">
      <c r="A25" s="4787" t="s">
        <v>7938</v>
      </c>
      <c r="B25" s="509" t="s">
        <v>7816</v>
      </c>
      <c r="C25" s="3823">
        <v>44818166666</v>
      </c>
      <c r="D25" s="3823">
        <v>44818166666</v>
      </c>
      <c r="E25" s="432">
        <f>SUM(D25/C25*100)</f>
        <v>100</v>
      </c>
      <c r="F25" s="4794"/>
      <c r="G25" s="433"/>
      <c r="H25" s="4794"/>
      <c r="I25" s="433"/>
      <c r="J25" s="554"/>
    </row>
    <row r="26" spans="1:10" ht="30.75" customHeight="1" x14ac:dyDescent="0.25">
      <c r="A26" s="4800" t="s">
        <v>7939</v>
      </c>
      <c r="B26" s="4799" t="s">
        <v>7826</v>
      </c>
      <c r="C26" s="4801">
        <v>10004905000</v>
      </c>
      <c r="D26" s="4794"/>
      <c r="E26" s="432"/>
      <c r="F26" s="4794"/>
      <c r="G26" s="433"/>
      <c r="H26" s="4794"/>
      <c r="I26" s="433"/>
      <c r="J26" s="554"/>
    </row>
    <row r="27" spans="1:10" ht="45" x14ac:dyDescent="0.25">
      <c r="A27" s="4800" t="s">
        <v>7940</v>
      </c>
      <c r="B27" s="4799" t="s">
        <v>7922</v>
      </c>
      <c r="C27" s="4802">
        <v>10000000000</v>
      </c>
      <c r="D27" s="4794"/>
      <c r="E27" s="432"/>
      <c r="F27" s="4794"/>
      <c r="G27" s="433"/>
      <c r="H27" s="4794"/>
      <c r="I27" s="433"/>
      <c r="J27" s="554"/>
    </row>
    <row r="28" spans="1:10" ht="15.75" thickBot="1" x14ac:dyDescent="0.3">
      <c r="A28" s="4785"/>
      <c r="B28" s="4776"/>
      <c r="C28" s="4777"/>
      <c r="D28" s="4778"/>
      <c r="E28" s="4783"/>
      <c r="F28" s="4778"/>
      <c r="G28" s="4784"/>
      <c r="H28" s="4778"/>
      <c r="I28" s="4798"/>
      <c r="J28" s="554"/>
    </row>
    <row r="29" spans="1:10" ht="15.75" thickBot="1" x14ac:dyDescent="0.3">
      <c r="A29" s="4782"/>
      <c r="B29" s="4776" t="s">
        <v>3061</v>
      </c>
      <c r="C29" s="4777">
        <f>SUM(C6+C8+C23+C24+C25+C26+C27)</f>
        <v>2512247400000</v>
      </c>
      <c r="D29" s="4778">
        <f>SUM(D6+D8)</f>
        <v>640102501345.54004</v>
      </c>
      <c r="E29" s="4779">
        <f>SUM(D29/C29*100)</f>
        <v>25.47927808963162</v>
      </c>
      <c r="F29" s="4778" t="e">
        <f>SUM(F6+#REF!+F23+F24)</f>
        <v>#REF!</v>
      </c>
      <c r="G29" s="4779" t="e">
        <f>SUM(F29/C29*100)</f>
        <v>#REF!</v>
      </c>
      <c r="H29" s="4778" t="e">
        <f>SUM(H6+#REF!+H23+H24)</f>
        <v>#REF!</v>
      </c>
      <c r="I29" s="4780" t="e">
        <f>H29/C29*100</f>
        <v>#REF!</v>
      </c>
      <c r="J29" s="561"/>
    </row>
    <row r="31" spans="1:10" ht="15.75" thickBot="1" x14ac:dyDescent="0.3">
      <c r="E31" s="4773"/>
      <c r="F31" s="4773"/>
      <c r="G31" s="4773"/>
      <c r="H31" s="4773"/>
      <c r="I31" s="4773"/>
      <c r="J31" s="560"/>
    </row>
    <row r="32" spans="1:10" ht="15.75" thickBot="1" x14ac:dyDescent="0.3">
      <c r="A32" s="5127" t="s">
        <v>7930</v>
      </c>
      <c r="B32" s="5127" t="s">
        <v>7933</v>
      </c>
      <c r="C32" s="5127" t="s">
        <v>3563</v>
      </c>
      <c r="D32" s="5123" t="s">
        <v>3568</v>
      </c>
      <c r="E32" s="5124"/>
      <c r="F32" s="5123" t="s">
        <v>3567</v>
      </c>
      <c r="G32" s="5124"/>
      <c r="H32" s="5123" t="s">
        <v>4097</v>
      </c>
      <c r="I32" s="5124"/>
      <c r="J32" s="560"/>
    </row>
    <row r="33" spans="1:9" ht="15.75" thickBot="1" x14ac:dyDescent="0.3">
      <c r="A33" s="5128"/>
      <c r="B33" s="5128"/>
      <c r="C33" s="5128"/>
      <c r="D33" s="4781" t="s">
        <v>3566</v>
      </c>
      <c r="E33" s="4781" t="s">
        <v>7934</v>
      </c>
      <c r="F33" s="4781" t="s">
        <v>3566</v>
      </c>
      <c r="G33" s="4781" t="s">
        <v>7934</v>
      </c>
      <c r="H33" s="4781" t="s">
        <v>3566</v>
      </c>
      <c r="I33" s="4781" t="s">
        <v>7934</v>
      </c>
    </row>
    <row r="34" spans="1:9" x14ac:dyDescent="0.25">
      <c r="A34" s="4786" t="s">
        <v>7931</v>
      </c>
      <c r="B34" s="427" t="s">
        <v>3196</v>
      </c>
      <c r="C34" s="222">
        <v>250724149600</v>
      </c>
      <c r="D34" s="4771">
        <v>33861534853</v>
      </c>
      <c r="E34" s="4804">
        <f>SUM(D34/C34)*100</f>
        <v>13.505493949036012</v>
      </c>
      <c r="F34" s="4771"/>
      <c r="G34" s="435">
        <f>SUM(F34/C34)*100</f>
        <v>0</v>
      </c>
      <c r="H34" s="4766"/>
      <c r="I34" s="555">
        <f>SUM(H34/C34)*100</f>
        <v>0</v>
      </c>
    </row>
    <row r="35" spans="1:9" x14ac:dyDescent="0.25">
      <c r="A35" s="4787"/>
      <c r="B35" s="509"/>
      <c r="C35" s="3823"/>
      <c r="D35" s="4794"/>
      <c r="E35" s="4795"/>
      <c r="F35" s="4794"/>
      <c r="G35" s="4796"/>
      <c r="H35" s="111"/>
      <c r="I35" s="555"/>
    </row>
    <row r="36" spans="1:9" x14ac:dyDescent="0.25">
      <c r="A36" s="4787" t="s">
        <v>7932</v>
      </c>
      <c r="B36" s="509" t="s">
        <v>240</v>
      </c>
      <c r="C36" s="3823">
        <f>SUM(C37:C49)</f>
        <v>1582384044000</v>
      </c>
      <c r="D36" s="4794">
        <f>SUM(D37:D49)</f>
        <v>334105948097</v>
      </c>
      <c r="E36" s="4795">
        <f>SUM(D36/C36)*100</f>
        <v>21.114087276337575</v>
      </c>
      <c r="F36" s="4794">
        <f>SUM(F37:F49)</f>
        <v>0</v>
      </c>
      <c r="G36" s="4795">
        <f t="shared" ref="G36:G49" si="3">SUM(F36/C36)*100</f>
        <v>0</v>
      </c>
      <c r="H36" s="4794">
        <f>SUM(H37:H49)</f>
        <v>0</v>
      </c>
      <c r="I36" s="4795">
        <f t="shared" ref="I36:I49" si="4">SUM(H36/C36)*100</f>
        <v>0</v>
      </c>
    </row>
    <row r="37" spans="1:9" x14ac:dyDescent="0.25">
      <c r="A37" s="4788">
        <v>1</v>
      </c>
      <c r="B37" s="210" t="s">
        <v>6674</v>
      </c>
      <c r="C37" s="4789">
        <v>151574776000</v>
      </c>
      <c r="D37" s="111">
        <v>29847489420</v>
      </c>
      <c r="E37" s="4796">
        <f t="shared" ref="E37:E49" si="5">SUM(D37/C37)*100</f>
        <v>19.691593949642385</v>
      </c>
      <c r="F37" s="111"/>
      <c r="G37" s="4796">
        <f t="shared" si="3"/>
        <v>0</v>
      </c>
      <c r="H37" s="111"/>
      <c r="I37" s="4796">
        <f t="shared" si="4"/>
        <v>0</v>
      </c>
    </row>
    <row r="38" spans="1:9" x14ac:dyDescent="0.25">
      <c r="A38" s="4788">
        <v>2</v>
      </c>
      <c r="B38" s="210" t="s">
        <v>6675</v>
      </c>
      <c r="C38" s="4789">
        <v>138204815000</v>
      </c>
      <c r="D38" s="111">
        <v>24836000000</v>
      </c>
      <c r="E38" s="4796">
        <f t="shared" si="5"/>
        <v>17.970430335585629</v>
      </c>
      <c r="F38" s="111"/>
      <c r="G38" s="4796">
        <f t="shared" si="3"/>
        <v>0</v>
      </c>
      <c r="H38" s="111"/>
      <c r="I38" s="4796">
        <f t="shared" si="4"/>
        <v>0</v>
      </c>
    </row>
    <row r="39" spans="1:9" x14ac:dyDescent="0.25">
      <c r="A39" s="4788">
        <v>3</v>
      </c>
      <c r="B39" s="210" t="s">
        <v>6676</v>
      </c>
      <c r="C39" s="4789">
        <v>137153760000</v>
      </c>
      <c r="D39" s="111">
        <v>28799245540</v>
      </c>
      <c r="E39" s="4796">
        <f t="shared" si="5"/>
        <v>20.997780549362993</v>
      </c>
      <c r="F39" s="111"/>
      <c r="G39" s="4796">
        <f t="shared" si="3"/>
        <v>0</v>
      </c>
      <c r="H39" s="111"/>
      <c r="I39" s="4796">
        <f t="shared" si="4"/>
        <v>0</v>
      </c>
    </row>
    <row r="40" spans="1:9" x14ac:dyDescent="0.25">
      <c r="A40" s="4788">
        <v>4</v>
      </c>
      <c r="B40" s="210" t="s">
        <v>6677</v>
      </c>
      <c r="C40" s="4789">
        <v>128986258000</v>
      </c>
      <c r="D40" s="111">
        <v>27714995390</v>
      </c>
      <c r="E40" s="4796">
        <f t="shared" si="5"/>
        <v>21.486781475589439</v>
      </c>
      <c r="F40" s="111"/>
      <c r="G40" s="4796">
        <f t="shared" si="3"/>
        <v>0</v>
      </c>
      <c r="H40" s="111"/>
      <c r="I40" s="4796">
        <f t="shared" si="4"/>
        <v>0</v>
      </c>
    </row>
    <row r="41" spans="1:9" x14ac:dyDescent="0.25">
      <c r="A41" s="4788">
        <v>5</v>
      </c>
      <c r="B41" s="210" t="s">
        <v>6678</v>
      </c>
      <c r="C41" s="4789">
        <v>122746977000</v>
      </c>
      <c r="D41" s="111">
        <v>19436820000</v>
      </c>
      <c r="E41" s="4796">
        <f t="shared" si="5"/>
        <v>15.834866548281672</v>
      </c>
      <c r="F41" s="111"/>
      <c r="G41" s="4796">
        <f t="shared" si="3"/>
        <v>0</v>
      </c>
      <c r="H41" s="111"/>
      <c r="I41" s="4796">
        <f t="shared" si="4"/>
        <v>0</v>
      </c>
    </row>
    <row r="42" spans="1:9" x14ac:dyDescent="0.25">
      <c r="A42" s="4788">
        <v>6</v>
      </c>
      <c r="B42" s="210" t="s">
        <v>6679</v>
      </c>
      <c r="C42" s="4789">
        <v>121629554000</v>
      </c>
      <c r="D42" s="111">
        <v>28815500707</v>
      </c>
      <c r="E42" s="4796">
        <f>SUM(D42/C42)*100</f>
        <v>23.691199843584069</v>
      </c>
      <c r="F42" s="111"/>
      <c r="G42" s="4796">
        <f t="shared" si="3"/>
        <v>0</v>
      </c>
      <c r="H42" s="111"/>
      <c r="I42" s="4796">
        <f t="shared" si="4"/>
        <v>0</v>
      </c>
    </row>
    <row r="43" spans="1:9" x14ac:dyDescent="0.25">
      <c r="A43" s="4788">
        <v>7</v>
      </c>
      <c r="B43" s="210" t="s">
        <v>6680</v>
      </c>
      <c r="C43" s="4789">
        <v>118779366000</v>
      </c>
      <c r="D43" s="111">
        <v>15600000000</v>
      </c>
      <c r="E43" s="4796">
        <f t="shared" si="5"/>
        <v>13.13359426417548</v>
      </c>
      <c r="F43" s="111"/>
      <c r="G43" s="4796">
        <f t="shared" si="3"/>
        <v>0</v>
      </c>
      <c r="H43" s="111"/>
      <c r="I43" s="4796">
        <f t="shared" si="4"/>
        <v>0</v>
      </c>
    </row>
    <row r="44" spans="1:9" x14ac:dyDescent="0.25">
      <c r="A44" s="4788">
        <v>8</v>
      </c>
      <c r="B44" s="4790" t="s">
        <v>6681</v>
      </c>
      <c r="C44" s="4791">
        <v>118389902000</v>
      </c>
      <c r="D44" s="111">
        <v>20758465501</v>
      </c>
      <c r="E44" s="4796">
        <f t="shared" si="5"/>
        <v>17.533983177889613</v>
      </c>
      <c r="F44" s="111"/>
      <c r="G44" s="4796">
        <f t="shared" si="3"/>
        <v>0</v>
      </c>
      <c r="H44" s="111"/>
      <c r="I44" s="4796">
        <f t="shared" si="4"/>
        <v>0</v>
      </c>
    </row>
    <row r="45" spans="1:9" x14ac:dyDescent="0.25">
      <c r="A45" s="4788">
        <v>9</v>
      </c>
      <c r="B45" s="210" t="s">
        <v>6682</v>
      </c>
      <c r="C45" s="4789">
        <v>117124750000</v>
      </c>
      <c r="D45" s="111">
        <v>24650000000</v>
      </c>
      <c r="E45" s="4796">
        <f t="shared" si="5"/>
        <v>21.045936063897681</v>
      </c>
      <c r="F45" s="111"/>
      <c r="G45" s="4796">
        <f t="shared" si="3"/>
        <v>0</v>
      </c>
      <c r="H45" s="111"/>
      <c r="I45" s="4796">
        <f t="shared" si="4"/>
        <v>0</v>
      </c>
    </row>
    <row r="46" spans="1:9" x14ac:dyDescent="0.25">
      <c r="A46" s="4788">
        <v>10</v>
      </c>
      <c r="B46" s="210" t="s">
        <v>6683</v>
      </c>
      <c r="C46" s="4789">
        <v>114128848000</v>
      </c>
      <c r="D46" s="111">
        <v>42548000000</v>
      </c>
      <c r="E46" s="4796">
        <f t="shared" si="5"/>
        <v>37.280670702993511</v>
      </c>
      <c r="F46" s="111"/>
      <c r="G46" s="4796">
        <f t="shared" si="3"/>
        <v>0</v>
      </c>
      <c r="H46" s="111"/>
      <c r="I46" s="4796">
        <f t="shared" si="4"/>
        <v>0</v>
      </c>
    </row>
    <row r="47" spans="1:9" x14ac:dyDescent="0.25">
      <c r="A47" s="4788">
        <v>11</v>
      </c>
      <c r="B47" s="210" t="s">
        <v>6684</v>
      </c>
      <c r="C47" s="4789">
        <v>108005114000</v>
      </c>
      <c r="D47" s="111">
        <v>19750487539</v>
      </c>
      <c r="E47" s="4796">
        <f t="shared" si="5"/>
        <v>18.286622556594867</v>
      </c>
      <c r="F47" s="111"/>
      <c r="G47" s="4796">
        <f t="shared" si="3"/>
        <v>0</v>
      </c>
      <c r="H47" s="111"/>
      <c r="I47" s="4796">
        <f t="shared" si="4"/>
        <v>0</v>
      </c>
    </row>
    <row r="48" spans="1:9" x14ac:dyDescent="0.25">
      <c r="A48" s="4788">
        <v>12</v>
      </c>
      <c r="B48" s="210" t="s">
        <v>6685</v>
      </c>
      <c r="C48" s="4789">
        <v>103304292000</v>
      </c>
      <c r="D48" s="111">
        <v>20593004000</v>
      </c>
      <c r="E48" s="4796">
        <f>SUM(D48/C48)*100</f>
        <v>19.934315991440123</v>
      </c>
      <c r="F48" s="111"/>
      <c r="G48" s="4796">
        <f t="shared" si="3"/>
        <v>0</v>
      </c>
      <c r="H48" s="111"/>
      <c r="I48" s="4796">
        <f t="shared" si="4"/>
        <v>0</v>
      </c>
    </row>
    <row r="49" spans="1:9" x14ac:dyDescent="0.25">
      <c r="A49" s="4788">
        <v>13</v>
      </c>
      <c r="B49" s="210" t="s">
        <v>6686</v>
      </c>
      <c r="C49" s="4792">
        <v>102355632000</v>
      </c>
      <c r="D49" s="111">
        <v>30755940000</v>
      </c>
      <c r="E49" s="4796">
        <f t="shared" si="5"/>
        <v>30.048116941918739</v>
      </c>
      <c r="F49" s="111"/>
      <c r="G49" s="4796">
        <f t="shared" si="3"/>
        <v>0</v>
      </c>
      <c r="H49" s="111"/>
      <c r="I49" s="4796">
        <f t="shared" si="4"/>
        <v>0</v>
      </c>
    </row>
    <row r="50" spans="1:9" x14ac:dyDescent="0.25">
      <c r="A50" s="210"/>
      <c r="B50" s="509"/>
      <c r="C50" s="3823"/>
      <c r="D50" s="4793"/>
      <c r="E50" s="4797"/>
      <c r="F50" s="4793"/>
      <c r="G50" s="4797"/>
      <c r="H50" s="4793"/>
      <c r="I50" s="4797"/>
    </row>
    <row r="51" spans="1:9" ht="15.75" thickBot="1" x14ac:dyDescent="0.3">
      <c r="A51" s="426"/>
      <c r="B51" s="427"/>
      <c r="C51" s="222"/>
      <c r="D51" s="4770"/>
      <c r="E51" s="4770"/>
      <c r="F51" s="4770"/>
      <c r="G51" s="4770"/>
      <c r="H51" s="4770"/>
      <c r="I51" s="4774"/>
    </row>
    <row r="52" spans="1:9" ht="15.75" thickBot="1" x14ac:dyDescent="0.3">
      <c r="A52" s="426"/>
      <c r="B52" s="429" t="s">
        <v>3061</v>
      </c>
      <c r="C52" s="430">
        <f>SUM(C34+C36+C50+C51)</f>
        <v>1833108193600</v>
      </c>
      <c r="D52" s="4772">
        <f>SUM(D34+D36+D50+D51)</f>
        <v>367967482950</v>
      </c>
      <c r="E52" s="4775">
        <f>SUM(D52/C52)*100</f>
        <v>20.073418701345549</v>
      </c>
      <c r="F52" s="4772">
        <f>SUM(F34+F36+F50+F51)</f>
        <v>0</v>
      </c>
      <c r="G52" s="4775">
        <f>SUM(F52/C52)*100</f>
        <v>0</v>
      </c>
      <c r="H52" s="4772">
        <f>SUM(H34+H36+H50+H51)</f>
        <v>0</v>
      </c>
      <c r="I52" s="556">
        <f>SUM(H52/C52)*100</f>
        <v>0</v>
      </c>
    </row>
  </sheetData>
  <mergeCells count="12">
    <mergeCell ref="H32:I32"/>
    <mergeCell ref="A4:A5"/>
    <mergeCell ref="B4:B5"/>
    <mergeCell ref="C4:C5"/>
    <mergeCell ref="D4:E4"/>
    <mergeCell ref="F4:G4"/>
    <mergeCell ref="H4:I4"/>
    <mergeCell ref="A32:A33"/>
    <mergeCell ref="B32:B33"/>
    <mergeCell ref="C32:C33"/>
    <mergeCell ref="D32:E32"/>
    <mergeCell ref="F32:G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A.1</vt:lpstr>
      <vt:lpstr>A.3  </vt:lpstr>
      <vt:lpstr>A.5  </vt:lpstr>
      <vt:lpstr>A.7  </vt:lpstr>
      <vt:lpstr>A.9 </vt:lpstr>
      <vt:lpstr>PENYERAPAN </vt:lpstr>
      <vt:lpstr>PAGU KABKOTA </vt:lpstr>
      <vt:lpstr>A2 sesuai pergub</vt:lpstr>
      <vt:lpstr>A.4 sesuai pergub</vt:lpstr>
      <vt:lpstr>A.6 sesuai pergub</vt:lpstr>
      <vt:lpstr>A.8 sesuai pergub</vt:lpstr>
      <vt:lpstr>A.10 </vt:lpstr>
      <vt:lpstr>%ALOKASI PEND,KESEH </vt:lpstr>
      <vt:lpstr>A.1!Print_Area</vt:lpstr>
      <vt:lpstr>'A.3  '!Print_Area</vt:lpstr>
      <vt:lpstr>'A.4 sesuai pergub'!Print_Area</vt:lpstr>
      <vt:lpstr>'A.6 sesuai pergub'!Print_Area</vt:lpstr>
      <vt:lpstr>'A.7  '!Print_Area</vt:lpstr>
      <vt:lpstr>'A2 sesuai pergub'!Print_Area</vt:lpstr>
      <vt:lpstr>'A.10 '!Print_Titles</vt:lpstr>
      <vt:lpstr>'A.3  '!Print_Titles</vt:lpstr>
      <vt:lpstr>'A.4 sesuai pergub'!Print_Titles</vt:lpstr>
      <vt:lpstr>'A.5  '!Print_Titles</vt:lpstr>
      <vt:lpstr>'A.6 sesuai pergub'!Print_Titles</vt:lpstr>
      <vt:lpstr>'A.7  '!Print_Titles</vt:lpstr>
      <vt:lpstr>'A.8 sesuai pergub'!Print_Titles</vt:lpstr>
      <vt:lpstr>'A.9 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ismail - [2010]</cp:lastModifiedBy>
  <cp:lastPrinted>2020-02-07T00:34:12Z</cp:lastPrinted>
  <dcterms:created xsi:type="dcterms:W3CDTF">2019-07-24T06:52:27Z</dcterms:created>
  <dcterms:modified xsi:type="dcterms:W3CDTF">2020-09-28T02:30:41Z</dcterms:modified>
</cp:coreProperties>
</file>